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317"/>
  <workbookPr showInkAnnotation="0" codeName="ThisWorkbook" autoCompressPictures="0"/>
  <bookViews>
    <workbookView xWindow="160" yWindow="0" windowWidth="25600" windowHeight="18480" tabRatio="825"/>
  </bookViews>
  <sheets>
    <sheet name="Index" sheetId="40" r:id="rId1"/>
    <sheet name="TableUK1" sheetId="5" r:id="rId2"/>
    <sheet name="TableUK2" sheetId="6" r:id="rId3"/>
    <sheet name="TableUK3" sheetId="38" r:id="rId4"/>
    <sheet name="TableUK4a" sheetId="35" r:id="rId5"/>
    <sheet name="TableUK4b" sheetId="27" r:id="rId6"/>
    <sheet name="TableUK4c" sheetId="36" r:id="rId7"/>
    <sheet name="TableUK4d" sheetId="37" r:id="rId8"/>
    <sheet name="TableUK4e" sheetId="41" r:id="rId9"/>
    <sheet name="TableUK4f" sheetId="52" r:id="rId10"/>
    <sheet name="TableUK5a" sheetId="25" r:id="rId11"/>
    <sheet name="TableUK5b" sheetId="34" r:id="rId12"/>
    <sheet name="TableUK5c" sheetId="42" r:id="rId13"/>
    <sheet name="TableUK5d" sheetId="26" r:id="rId14"/>
    <sheet name="TableUK5e" sheetId="50" r:id="rId15"/>
    <sheet name="TableUK6a" sheetId="2" r:id="rId16"/>
    <sheet name="TableUK6b" sheetId="3" r:id="rId17"/>
    <sheet name="TableUK6c" sheetId="45" r:id="rId18"/>
    <sheet name="TableUK6d" sheetId="47" r:id="rId19"/>
    <sheet name="TableUK6e" sheetId="39" r:id="rId20"/>
    <sheet name="TableUK6f" sheetId="33" r:id="rId21"/>
    <sheet name="TableUK6g" sheetId="23" r:id="rId22"/>
    <sheet name="TableUK7" sheetId="48" r:id="rId23"/>
    <sheet name="TableUK8" sheetId="13" r:id="rId24"/>
    <sheet name="TableUK9" sheetId="14" r:id="rId25"/>
    <sheet name="TableUK10" sheetId="15" r:id="rId26"/>
    <sheet name="TableUK11a" sheetId="16" r:id="rId27"/>
    <sheet name="TableUK12b" sheetId="21" r:id="rId28"/>
    <sheet name="TableUK12c" sheetId="32" r:id="rId29"/>
    <sheet name="TableUK12d" sheetId="22" r:id="rId30"/>
    <sheet name="TableUK15a" sheetId="53" r:id="rId31"/>
    <sheet name="DataUK1" sheetId="4" r:id="rId32"/>
    <sheet name="DataUK2" sheetId="30" r:id="rId33"/>
    <sheet name="DataUK3" sheetId="29" r:id="rId34"/>
    <sheet name="DataUK4" sheetId="44" r:id="rId35"/>
  </sheets>
  <externalReferences>
    <externalReference r:id="rId36"/>
    <externalReference r:id="rId37"/>
    <externalReference r:id="rId38"/>
  </externalReferences>
  <definedNames>
    <definedName name="an" localSheetId="31">DataUK1!#REF!</definedName>
    <definedName name="an" localSheetId="32">DataUK2!#REF!</definedName>
    <definedName name="an" localSheetId="33">DataUK3!#REF!</definedName>
    <definedName name="an" localSheetId="34">DataUK4!#REF!</definedName>
    <definedName name="an" localSheetId="3">[2]DataFR1!$AK$5</definedName>
    <definedName name="an" localSheetId="5">[2]DataFR1!$AK$5</definedName>
    <definedName name="an" localSheetId="7">[2]DataFR1!$AK$5</definedName>
    <definedName name="column_headings" localSheetId="3">#REF!</definedName>
    <definedName name="column_headings" localSheetId="5">#REF!</definedName>
    <definedName name="column_headings" localSheetId="7">#REF!</definedName>
    <definedName name="column_headings" localSheetId="10">#REF!</definedName>
    <definedName name="column_headings" localSheetId="11">#REF!</definedName>
    <definedName name="column_headings" localSheetId="13">#REF!</definedName>
    <definedName name="column_headings" localSheetId="15">TableUK6a!#REF!</definedName>
    <definedName name="column_headings" localSheetId="16">TableUK6b!#REF!</definedName>
    <definedName name="column_headings" localSheetId="20">#REF!</definedName>
    <definedName name="column_headings" localSheetId="21">TableUK6g!#REF!</definedName>
    <definedName name="column_headings" localSheetId="22">TableUK7!#REF!</definedName>
    <definedName name="column_numbers" localSheetId="3">#REF!</definedName>
    <definedName name="column_numbers" localSheetId="5">#REF!</definedName>
    <definedName name="column_numbers" localSheetId="7">#REF!</definedName>
    <definedName name="column_numbers" localSheetId="10">#REF!</definedName>
    <definedName name="column_numbers" localSheetId="11">#REF!</definedName>
    <definedName name="column_numbers" localSheetId="13">#REF!</definedName>
    <definedName name="column_numbers" localSheetId="15">TableUK6a!#REF!</definedName>
    <definedName name="column_numbers" localSheetId="16">TableUK6b!#REF!</definedName>
    <definedName name="column_numbers" localSheetId="20">#REF!</definedName>
    <definedName name="column_numbers" localSheetId="21">TableUK6g!#REF!</definedName>
    <definedName name="column_numbers" localSheetId="22">TableUK7!#REF!</definedName>
    <definedName name="data" localSheetId="3">#REF!</definedName>
    <definedName name="data" localSheetId="5">#REF!</definedName>
    <definedName name="data" localSheetId="7">#REF!</definedName>
    <definedName name="data" localSheetId="10">#REF!</definedName>
    <definedName name="data" localSheetId="11">#REF!</definedName>
    <definedName name="data" localSheetId="13">#REF!</definedName>
    <definedName name="data" localSheetId="15">TableUK6a!#REF!</definedName>
    <definedName name="data" localSheetId="16">TableUK6b!#REF!</definedName>
    <definedName name="data" localSheetId="20">#REF!</definedName>
    <definedName name="data" localSheetId="21">TableUK6g!#REF!</definedName>
    <definedName name="data" localSheetId="22">TableUK7!#REF!</definedName>
    <definedName name="ea_flux" localSheetId="3">#REF!</definedName>
    <definedName name="ea_flux" localSheetId="5">#REF!</definedName>
    <definedName name="ea_flux" localSheetId="7">#REF!</definedName>
    <definedName name="ea_flux" localSheetId="10">#REF!</definedName>
    <definedName name="ea_flux" localSheetId="11">#REF!</definedName>
    <definedName name="ea_flux" localSheetId="13">#REF!</definedName>
    <definedName name="ea_flux" localSheetId="15">TableUK6a!#REF!</definedName>
    <definedName name="ea_flux" localSheetId="16">TableUK6b!#REF!</definedName>
    <definedName name="ea_flux" localSheetId="20">#REF!</definedName>
    <definedName name="ea_flux" localSheetId="21">TableUK6g!#REF!</definedName>
    <definedName name="ea_flux" localSheetId="22">TableUK7!#REF!</definedName>
    <definedName name="Equilibre" localSheetId="3">#REF!</definedName>
    <definedName name="Equilibre" localSheetId="5">#REF!</definedName>
    <definedName name="Equilibre" localSheetId="7">#REF!</definedName>
    <definedName name="Equilibre" localSheetId="10">#REF!</definedName>
    <definedName name="Equilibre" localSheetId="11">#REF!</definedName>
    <definedName name="Equilibre" localSheetId="13">#REF!</definedName>
    <definedName name="Equilibre" localSheetId="15">TableUK6a!#REF!</definedName>
    <definedName name="Equilibre" localSheetId="16">TableUK6b!#REF!</definedName>
    <definedName name="Equilibre" localSheetId="20">#REF!</definedName>
    <definedName name="Equilibre" localSheetId="21">TableUK6g!#REF!</definedName>
    <definedName name="Equilibre" localSheetId="22">TableUK7!#REF!</definedName>
    <definedName name="footnotes" localSheetId="3">#REF!</definedName>
    <definedName name="footnotes" localSheetId="5">#REF!</definedName>
    <definedName name="footnotes" localSheetId="7">#REF!</definedName>
    <definedName name="footnotes" localSheetId="10">#REF!</definedName>
    <definedName name="footnotes" localSheetId="11">#REF!</definedName>
    <definedName name="footnotes" localSheetId="13">#REF!</definedName>
    <definedName name="footnotes" localSheetId="15">TableUK6a!#REF!</definedName>
    <definedName name="footnotes" localSheetId="16">TableUK6b!#REF!</definedName>
    <definedName name="footnotes" localSheetId="20">#REF!</definedName>
    <definedName name="footnotes" localSheetId="21">TableUK6g!#REF!</definedName>
    <definedName name="footnotes" localSheetId="22">TableUK7!#REF!</definedName>
    <definedName name="_xlnm.Print_Titles" localSheetId="1">TableUK1!$6:$9</definedName>
    <definedName name="_xlnm.Print_Titles" localSheetId="25">TableUK10!$6:$9</definedName>
    <definedName name="_xlnm.Print_Titles" localSheetId="26">TableUK11a!$6:$12</definedName>
    <definedName name="_xlnm.Print_Titles" localSheetId="27">TableUK12b!$5:$9</definedName>
    <definedName name="_xlnm.Print_Titles" localSheetId="28">TableUK12c!$6:$9</definedName>
    <definedName name="_xlnm.Print_Titles" localSheetId="29">TableUK12d!$6:$9</definedName>
    <definedName name="_xlnm.Print_Titles" localSheetId="30">TableUK15a!$6:$9</definedName>
    <definedName name="_xlnm.Print_Titles" localSheetId="6">TableUK4c!$6:$8</definedName>
    <definedName name="_xlnm.Print_Titles" localSheetId="7">TableUK4d!$5:$8</definedName>
    <definedName name="_xlnm.Print_Titles" localSheetId="10">TableUK5a!$6:$9</definedName>
    <definedName name="_xlnm.Print_Titles" localSheetId="11">TableUK5b!$6:$9</definedName>
    <definedName name="_xlnm.Print_Titles" localSheetId="12">TableUK5c!$6:$9</definedName>
    <definedName name="_xlnm.Print_Titles" localSheetId="15">TableUK6a!$5:$9</definedName>
    <definedName name="_xlnm.Print_Titles" localSheetId="22">TableUK7!$5:$8</definedName>
    <definedName name="_xlnm.Print_Titles" localSheetId="23">TableUK8!$7:$9</definedName>
    <definedName name="_xlnm.Print_Titles" localSheetId="24">TableUK9!$6:$9</definedName>
    <definedName name="PIB" localSheetId="3">#REF!</definedName>
    <definedName name="PIB" localSheetId="5">#REF!</definedName>
    <definedName name="PIB" localSheetId="7">#REF!</definedName>
    <definedName name="PIB" localSheetId="10">#REF!</definedName>
    <definedName name="PIB" localSheetId="11">#REF!</definedName>
    <definedName name="PIB" localSheetId="13">#REF!</definedName>
    <definedName name="PIB" localSheetId="15">TableUK6a!#REF!</definedName>
    <definedName name="PIB" localSheetId="16">TableUK6b!#REF!</definedName>
    <definedName name="PIB" localSheetId="20">#REF!</definedName>
    <definedName name="PIB" localSheetId="21">TableUK6g!#REF!</definedName>
    <definedName name="PIB" localSheetId="22">TableUK7!#REF!</definedName>
    <definedName name="ressources" localSheetId="3">#REF!</definedName>
    <definedName name="ressources" localSheetId="5">#REF!</definedName>
    <definedName name="ressources" localSheetId="7">#REF!</definedName>
    <definedName name="ressources" localSheetId="10">#REF!</definedName>
    <definedName name="ressources" localSheetId="11">#REF!</definedName>
    <definedName name="ressources" localSheetId="13">#REF!</definedName>
    <definedName name="ressources" localSheetId="15">TableUK6a!#REF!</definedName>
    <definedName name="ressources" localSheetId="16">TableUK6b!#REF!</definedName>
    <definedName name="ressources" localSheetId="20">#REF!</definedName>
    <definedName name="ressources" localSheetId="21">TableUK6g!#REF!</definedName>
    <definedName name="ressources" localSheetId="22">TableUK7!#REF!</definedName>
    <definedName name="rpflux" localSheetId="3">#REF!</definedName>
    <definedName name="rpflux" localSheetId="5">#REF!</definedName>
    <definedName name="rpflux" localSheetId="7">#REF!</definedName>
    <definedName name="rpflux" localSheetId="10">#REF!</definedName>
    <definedName name="rpflux" localSheetId="11">#REF!</definedName>
    <definedName name="rpflux" localSheetId="13">#REF!</definedName>
    <definedName name="rpflux" localSheetId="15">TableUK6a!#REF!</definedName>
    <definedName name="rpflux" localSheetId="16">TableUK6b!#REF!</definedName>
    <definedName name="rpflux" localSheetId="20">#REF!</definedName>
    <definedName name="rpflux" localSheetId="21">TableUK6g!#REF!</definedName>
    <definedName name="rpflux" localSheetId="22">TableUK7!#REF!</definedName>
    <definedName name="rptof" localSheetId="3">#REF!</definedName>
    <definedName name="rptof" localSheetId="5">#REF!</definedName>
    <definedName name="rptof" localSheetId="7">#REF!</definedName>
    <definedName name="rptof" localSheetId="10">#REF!</definedName>
    <definedName name="rptof" localSheetId="11">#REF!</definedName>
    <definedName name="rptof" localSheetId="13">#REF!</definedName>
    <definedName name="rptof" localSheetId="15">TableUK6a!#REF!</definedName>
    <definedName name="rptof" localSheetId="16">TableUK6b!#REF!</definedName>
    <definedName name="rptof" localSheetId="20">#REF!</definedName>
    <definedName name="rptof" localSheetId="21">TableUK6g!#REF!</definedName>
    <definedName name="rptof" localSheetId="22">TableUK7!#REF!</definedName>
    <definedName name="spanners_level1" localSheetId="3">#REF!</definedName>
    <definedName name="spanners_level1" localSheetId="5">#REF!</definedName>
    <definedName name="spanners_level1" localSheetId="7">#REF!</definedName>
    <definedName name="spanners_level1" localSheetId="10">#REF!</definedName>
    <definedName name="spanners_level1" localSheetId="11">#REF!</definedName>
    <definedName name="spanners_level1" localSheetId="13">#REF!</definedName>
    <definedName name="spanners_level1" localSheetId="15">TableUK6a!#REF!</definedName>
    <definedName name="spanners_level1" localSheetId="16">TableUK6b!#REF!</definedName>
    <definedName name="spanners_level1" localSheetId="20">#REF!</definedName>
    <definedName name="spanners_level1" localSheetId="21">TableUK6g!#REF!</definedName>
    <definedName name="spanners_level1" localSheetId="22">TableUK7!#REF!</definedName>
    <definedName name="spanners_level2" localSheetId="3">#REF!</definedName>
    <definedName name="spanners_level2" localSheetId="5">#REF!</definedName>
    <definedName name="spanners_level2" localSheetId="7">#REF!</definedName>
    <definedName name="spanners_level2" localSheetId="10">#REF!</definedName>
    <definedName name="spanners_level2" localSheetId="11">#REF!</definedName>
    <definedName name="spanners_level2" localSheetId="13">#REF!</definedName>
    <definedName name="spanners_level2" localSheetId="15">TableUK6a!#REF!</definedName>
    <definedName name="spanners_level2" localSheetId="16">TableUK6b!#REF!</definedName>
    <definedName name="spanners_level2" localSheetId="20">#REF!</definedName>
    <definedName name="spanners_level2" localSheetId="21">TableUK6g!#REF!</definedName>
    <definedName name="spanners_level2" localSheetId="22">TableUK7!#REF!</definedName>
    <definedName name="spanners_level3" localSheetId="3">#REF!</definedName>
    <definedName name="spanners_level3" localSheetId="5">#REF!</definedName>
    <definedName name="spanners_level3" localSheetId="7">#REF!</definedName>
    <definedName name="spanners_level3" localSheetId="10">#REF!</definedName>
    <definedName name="spanners_level3" localSheetId="11">#REF!</definedName>
    <definedName name="spanners_level3" localSheetId="13">#REF!</definedName>
    <definedName name="spanners_level3" localSheetId="15">TableUK6a!#REF!</definedName>
    <definedName name="spanners_level3" localSheetId="16">TableUK6b!#REF!</definedName>
    <definedName name="spanners_level3" localSheetId="20">#REF!</definedName>
    <definedName name="spanners_level3" localSheetId="21">TableUK6g!#REF!</definedName>
    <definedName name="spanners_level3" localSheetId="22">TableUK7!#REF!</definedName>
    <definedName name="spanners_level4" localSheetId="3">#REF!</definedName>
    <definedName name="spanners_level4" localSheetId="5">#REF!</definedName>
    <definedName name="spanners_level4" localSheetId="7">#REF!</definedName>
    <definedName name="spanners_level4" localSheetId="10">#REF!</definedName>
    <definedName name="spanners_level4" localSheetId="11">#REF!</definedName>
    <definedName name="spanners_level4" localSheetId="13">#REF!</definedName>
    <definedName name="spanners_level4" localSheetId="15">TableUK6a!#REF!</definedName>
    <definedName name="spanners_level4" localSheetId="16">TableUK6b!#REF!</definedName>
    <definedName name="spanners_level4" localSheetId="20">#REF!</definedName>
    <definedName name="spanners_level4" localSheetId="21">TableUK6g!#REF!</definedName>
    <definedName name="spanners_level4" localSheetId="22">TableUK7!#REF!</definedName>
    <definedName name="spanners_level5" localSheetId="3">#REF!</definedName>
    <definedName name="spanners_level5" localSheetId="5">#REF!</definedName>
    <definedName name="spanners_level5" localSheetId="7">#REF!</definedName>
    <definedName name="spanners_level5" localSheetId="10">#REF!</definedName>
    <definedName name="spanners_level5" localSheetId="11">#REF!</definedName>
    <definedName name="spanners_level5" localSheetId="13">#REF!</definedName>
    <definedName name="spanners_level5" localSheetId="15">TableUK6a!#REF!</definedName>
    <definedName name="spanners_level5" localSheetId="16">TableUK6b!#REF!</definedName>
    <definedName name="spanners_level5" localSheetId="20">#REF!</definedName>
    <definedName name="spanners_level5" localSheetId="21">TableUK6g!#REF!</definedName>
    <definedName name="spanners_level5" localSheetId="22">TableUK7!#REF!</definedName>
    <definedName name="stub_lines" localSheetId="3">#REF!</definedName>
    <definedName name="stub_lines" localSheetId="5">#REF!</definedName>
    <definedName name="stub_lines" localSheetId="7">#REF!</definedName>
    <definedName name="stub_lines" localSheetId="10">#REF!</definedName>
    <definedName name="stub_lines" localSheetId="11">#REF!</definedName>
    <definedName name="stub_lines" localSheetId="13">#REF!</definedName>
    <definedName name="stub_lines" localSheetId="15">TableUK6a!#REF!</definedName>
    <definedName name="stub_lines" localSheetId="16">TableUK6b!#REF!</definedName>
    <definedName name="stub_lines" localSheetId="20">#REF!</definedName>
    <definedName name="stub_lines" localSheetId="21">TableUK6g!#REF!</definedName>
    <definedName name="stub_lines" localSheetId="22">TableUK7!#REF!</definedName>
    <definedName name="Table_DE.4b__Sources_of_private_wealth_accumulation_in_Germany__1870_2010___Multiplicative_decomposition">[3]TableDE4b!$A$3</definedName>
    <definedName name="titles" localSheetId="3">#REF!</definedName>
    <definedName name="titles" localSheetId="5">#REF!</definedName>
    <definedName name="titles" localSheetId="7">#REF!</definedName>
    <definedName name="titles" localSheetId="10">#REF!</definedName>
    <definedName name="titles" localSheetId="11">#REF!</definedName>
    <definedName name="titles" localSheetId="13">#REF!</definedName>
    <definedName name="titles" localSheetId="15">TableUK6a!#REF!</definedName>
    <definedName name="titles" localSheetId="16">TableUK6b!#REF!</definedName>
    <definedName name="titles" localSheetId="20">#REF!</definedName>
    <definedName name="titles" localSheetId="21">TableUK6g!#REF!</definedName>
    <definedName name="titles" localSheetId="22">TableUK7!#REF!</definedName>
    <definedName name="totals" localSheetId="3">#REF!</definedName>
    <definedName name="totals" localSheetId="5">#REF!</definedName>
    <definedName name="totals" localSheetId="7">#REF!</definedName>
    <definedName name="totals" localSheetId="10">#REF!</definedName>
    <definedName name="totals" localSheetId="11">#REF!</definedName>
    <definedName name="totals" localSheetId="13">#REF!</definedName>
    <definedName name="totals" localSheetId="15">TableUK6a!#REF!</definedName>
    <definedName name="totals" localSheetId="16">TableUK6b!#REF!</definedName>
    <definedName name="totals" localSheetId="20">#REF!</definedName>
    <definedName name="totals" localSheetId="21">TableUK6g!#REF!</definedName>
    <definedName name="totals" localSheetId="22">TableUK7!#REF!</definedName>
    <definedName name="_xlnm.Print_Area" localSheetId="0">Index!$A$1:$C$46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G168" i="29" l="1"/>
  <c r="AI168" i="4"/>
  <c r="DB168" i="4"/>
  <c r="CN168" i="4"/>
  <c r="CQ168" i="4"/>
  <c r="CP168" i="4"/>
  <c r="CM168" i="4"/>
  <c r="CL168" i="4"/>
  <c r="C165" i="15"/>
  <c r="HD168" i="4"/>
  <c r="HG168" i="4"/>
  <c r="HO168" i="4"/>
  <c r="HJ168" i="4"/>
  <c r="C168" i="4"/>
  <c r="K168" i="4"/>
  <c r="T168" i="4"/>
  <c r="AL168" i="4"/>
  <c r="BT168" i="4"/>
  <c r="AJ168" i="4"/>
  <c r="DI168" i="4"/>
  <c r="DH168" i="4"/>
  <c r="D168" i="4"/>
  <c r="B168" i="4"/>
  <c r="E165" i="14"/>
  <c r="G165" i="15"/>
  <c r="C168" i="16"/>
  <c r="B165" i="14"/>
  <c r="D168" i="16"/>
  <c r="C165" i="14"/>
  <c r="E168" i="16"/>
  <c r="B165" i="13"/>
  <c r="F165" i="13"/>
  <c r="F168" i="16"/>
  <c r="GY168" i="4"/>
  <c r="G168" i="16"/>
  <c r="B168" i="16"/>
  <c r="H165" i="14"/>
  <c r="J165" i="13"/>
  <c r="R168" i="16"/>
  <c r="C169" i="29"/>
  <c r="B169" i="29"/>
  <c r="C170" i="29"/>
  <c r="B170" i="29"/>
  <c r="C166" i="5"/>
  <c r="HD169" i="4"/>
  <c r="HG169" i="4"/>
  <c r="HO169" i="4"/>
  <c r="HJ169" i="4"/>
  <c r="C169" i="4"/>
  <c r="K169" i="4"/>
  <c r="BG169" i="29"/>
  <c r="AI169" i="4"/>
  <c r="T169" i="4"/>
  <c r="AL169" i="4"/>
  <c r="BT169" i="4"/>
  <c r="AJ169" i="4"/>
  <c r="DB169" i="4"/>
  <c r="CN169" i="4"/>
  <c r="CP169" i="4"/>
  <c r="CM169" i="4"/>
  <c r="CQ169" i="4"/>
  <c r="CL169" i="4"/>
  <c r="DI169" i="4"/>
  <c r="DH169" i="4"/>
  <c r="D169" i="4"/>
  <c r="B169" i="4"/>
  <c r="B166" i="5"/>
  <c r="N166" i="5"/>
  <c r="BG167" i="29"/>
  <c r="AI167" i="4"/>
  <c r="DB167" i="4"/>
  <c r="CN167" i="4"/>
  <c r="CQ167" i="4"/>
  <c r="CP167" i="4"/>
  <c r="CM167" i="4"/>
  <c r="CL167" i="4"/>
  <c r="C164" i="15"/>
  <c r="HD167" i="4"/>
  <c r="HG167" i="4"/>
  <c r="HO167" i="4"/>
  <c r="HJ167" i="4"/>
  <c r="C167" i="4"/>
  <c r="K167" i="4"/>
  <c r="T167" i="4"/>
  <c r="AL167" i="4"/>
  <c r="BT167" i="4"/>
  <c r="AJ167" i="4"/>
  <c r="DI167" i="4"/>
  <c r="DH167" i="4"/>
  <c r="D167" i="4"/>
  <c r="B167" i="4"/>
  <c r="E164" i="14"/>
  <c r="G164" i="15"/>
  <c r="C167" i="16"/>
  <c r="B164" i="14"/>
  <c r="D167" i="16"/>
  <c r="C164" i="14"/>
  <c r="E167" i="16"/>
  <c r="B164" i="13"/>
  <c r="F164" i="13"/>
  <c r="F167" i="16"/>
  <c r="GY167" i="4"/>
  <c r="G167" i="16"/>
  <c r="B167" i="16"/>
  <c r="H164" i="14"/>
  <c r="J164" i="13"/>
  <c r="R167" i="16"/>
  <c r="C168" i="29"/>
  <c r="B168" i="29"/>
  <c r="C165" i="5"/>
  <c r="B165" i="5"/>
  <c r="N165" i="5"/>
  <c r="BG166" i="29"/>
  <c r="AI166" i="4"/>
  <c r="DB166" i="4"/>
  <c r="CN166" i="4"/>
  <c r="CQ166" i="4"/>
  <c r="CP166" i="4"/>
  <c r="CM166" i="4"/>
  <c r="CL166" i="4"/>
  <c r="C163" i="15"/>
  <c r="HD166" i="4"/>
  <c r="HG166" i="4"/>
  <c r="HO166" i="4"/>
  <c r="HJ166" i="4"/>
  <c r="C166" i="4"/>
  <c r="K166" i="4"/>
  <c r="T166" i="4"/>
  <c r="AL166" i="4"/>
  <c r="BT166" i="4"/>
  <c r="AJ166" i="4"/>
  <c r="DI166" i="4"/>
  <c r="DH166" i="4"/>
  <c r="D166" i="4"/>
  <c r="B166" i="4"/>
  <c r="E163" i="14"/>
  <c r="G163" i="15"/>
  <c r="C166" i="16"/>
  <c r="B163" i="14"/>
  <c r="D166" i="16"/>
  <c r="C163" i="14"/>
  <c r="E166" i="16"/>
  <c r="B163" i="13"/>
  <c r="F163" i="13"/>
  <c r="F166" i="16"/>
  <c r="GY166" i="4"/>
  <c r="G166" i="16"/>
  <c r="B166" i="16"/>
  <c r="H163" i="14"/>
  <c r="J163" i="13"/>
  <c r="R166" i="16"/>
  <c r="C167" i="29"/>
  <c r="B167" i="29"/>
  <c r="C164" i="5"/>
  <c r="B164" i="5"/>
  <c r="N164" i="5"/>
  <c r="BG165" i="29"/>
  <c r="AI165" i="4"/>
  <c r="DB165" i="4"/>
  <c r="CN165" i="4"/>
  <c r="CQ165" i="4"/>
  <c r="CP165" i="4"/>
  <c r="CM165" i="4"/>
  <c r="CL165" i="4"/>
  <c r="C162" i="15"/>
  <c r="HD165" i="4"/>
  <c r="HG165" i="4"/>
  <c r="HO165" i="4"/>
  <c r="HJ165" i="4"/>
  <c r="C165" i="4"/>
  <c r="K165" i="4"/>
  <c r="T165" i="4"/>
  <c r="AL165" i="4"/>
  <c r="BT165" i="4"/>
  <c r="AJ165" i="4"/>
  <c r="DI165" i="4"/>
  <c r="DH165" i="4"/>
  <c r="D165" i="4"/>
  <c r="B165" i="4"/>
  <c r="E162" i="14"/>
  <c r="G162" i="15"/>
  <c r="C165" i="16"/>
  <c r="B162" i="14"/>
  <c r="D165" i="16"/>
  <c r="C162" i="14"/>
  <c r="E165" i="16"/>
  <c r="B162" i="13"/>
  <c r="F162" i="13"/>
  <c r="F165" i="16"/>
  <c r="GY165" i="4"/>
  <c r="G165" i="16"/>
  <c r="B165" i="16"/>
  <c r="H162" i="14"/>
  <c r="J162" i="13"/>
  <c r="R165" i="16"/>
  <c r="C166" i="29"/>
  <c r="B166" i="29"/>
  <c r="C163" i="5"/>
  <c r="B163" i="5"/>
  <c r="N163" i="5"/>
  <c r="BG164" i="29"/>
  <c r="AI164" i="4"/>
  <c r="DB164" i="4"/>
  <c r="CN164" i="4"/>
  <c r="CQ164" i="4"/>
  <c r="CP164" i="4"/>
  <c r="CM164" i="4"/>
  <c r="CL164" i="4"/>
  <c r="C161" i="15"/>
  <c r="HD164" i="4"/>
  <c r="HG164" i="4"/>
  <c r="HO164" i="4"/>
  <c r="HJ164" i="4"/>
  <c r="C164" i="4"/>
  <c r="K164" i="4"/>
  <c r="T164" i="4"/>
  <c r="AL164" i="4"/>
  <c r="BT164" i="4"/>
  <c r="AJ164" i="4"/>
  <c r="DI164" i="4"/>
  <c r="DH164" i="4"/>
  <c r="D164" i="4"/>
  <c r="B164" i="4"/>
  <c r="E161" i="14"/>
  <c r="G161" i="15"/>
  <c r="C164" i="16"/>
  <c r="B161" i="14"/>
  <c r="D164" i="16"/>
  <c r="C161" i="14"/>
  <c r="E164" i="16"/>
  <c r="B161" i="13"/>
  <c r="F161" i="13"/>
  <c r="F164" i="16"/>
  <c r="GY164" i="4"/>
  <c r="G164" i="16"/>
  <c r="B164" i="16"/>
  <c r="H161" i="14"/>
  <c r="J161" i="13"/>
  <c r="R164" i="16"/>
  <c r="C165" i="29"/>
  <c r="B165" i="29"/>
  <c r="C162" i="5"/>
  <c r="B162" i="5"/>
  <c r="N162" i="5"/>
  <c r="BG163" i="29"/>
  <c r="AI163" i="4"/>
  <c r="DB163" i="4"/>
  <c r="CN163" i="4"/>
  <c r="CQ163" i="4"/>
  <c r="CP163" i="4"/>
  <c r="CM163" i="4"/>
  <c r="CL163" i="4"/>
  <c r="C160" i="15"/>
  <c r="HD163" i="4"/>
  <c r="HG163" i="4"/>
  <c r="HO163" i="4"/>
  <c r="HJ163" i="4"/>
  <c r="C163" i="4"/>
  <c r="K163" i="4"/>
  <c r="T163" i="4"/>
  <c r="AL163" i="4"/>
  <c r="BT163" i="4"/>
  <c r="AJ163" i="4"/>
  <c r="DI163" i="4"/>
  <c r="DH163" i="4"/>
  <c r="D163" i="4"/>
  <c r="B163" i="4"/>
  <c r="E160" i="14"/>
  <c r="G160" i="15"/>
  <c r="C163" i="16"/>
  <c r="B160" i="14"/>
  <c r="D163" i="16"/>
  <c r="C160" i="14"/>
  <c r="E163" i="16"/>
  <c r="B160" i="13"/>
  <c r="F160" i="13"/>
  <c r="F163" i="16"/>
  <c r="GY163" i="4"/>
  <c r="G163" i="16"/>
  <c r="B163" i="16"/>
  <c r="H160" i="14"/>
  <c r="J160" i="13"/>
  <c r="R163" i="16"/>
  <c r="C164" i="29"/>
  <c r="B164" i="29"/>
  <c r="C161" i="5"/>
  <c r="B161" i="5"/>
  <c r="N161" i="5"/>
  <c r="BG162" i="29"/>
  <c r="AI162" i="4"/>
  <c r="DB162" i="4"/>
  <c r="CN162" i="4"/>
  <c r="CQ162" i="4"/>
  <c r="CP162" i="4"/>
  <c r="CM162" i="4"/>
  <c r="CL162" i="4"/>
  <c r="C159" i="15"/>
  <c r="HD162" i="4"/>
  <c r="HG162" i="4"/>
  <c r="HO162" i="4"/>
  <c r="HJ162" i="4"/>
  <c r="C162" i="4"/>
  <c r="K162" i="4"/>
  <c r="T162" i="4"/>
  <c r="AL162" i="4"/>
  <c r="BT162" i="4"/>
  <c r="AJ162" i="4"/>
  <c r="DI162" i="4"/>
  <c r="DH162" i="4"/>
  <c r="D162" i="4"/>
  <c r="B162" i="4"/>
  <c r="E159" i="14"/>
  <c r="G159" i="15"/>
  <c r="C162" i="16"/>
  <c r="B159" i="14"/>
  <c r="D162" i="16"/>
  <c r="C159" i="14"/>
  <c r="E162" i="16"/>
  <c r="B159" i="13"/>
  <c r="F159" i="13"/>
  <c r="F162" i="16"/>
  <c r="GY162" i="4"/>
  <c r="G162" i="16"/>
  <c r="B162" i="16"/>
  <c r="H159" i="14"/>
  <c r="J159" i="13"/>
  <c r="R162" i="16"/>
  <c r="C163" i="29"/>
  <c r="B163" i="29"/>
  <c r="C160" i="5"/>
  <c r="B160" i="5"/>
  <c r="N160" i="5"/>
  <c r="BG161" i="29"/>
  <c r="AI161" i="4"/>
  <c r="DB161" i="4"/>
  <c r="CN161" i="4"/>
  <c r="CQ161" i="4"/>
  <c r="CP161" i="4"/>
  <c r="CM161" i="4"/>
  <c r="CL161" i="4"/>
  <c r="C158" i="15"/>
  <c r="HD161" i="4"/>
  <c r="HG161" i="4"/>
  <c r="HO161" i="4"/>
  <c r="HJ161" i="4"/>
  <c r="C161" i="4"/>
  <c r="K161" i="4"/>
  <c r="T161" i="4"/>
  <c r="AL161" i="4"/>
  <c r="BT161" i="4"/>
  <c r="AJ161" i="4"/>
  <c r="DI161" i="4"/>
  <c r="DH161" i="4"/>
  <c r="D161" i="4"/>
  <c r="B161" i="4"/>
  <c r="E158" i="14"/>
  <c r="G158" i="15"/>
  <c r="C161" i="16"/>
  <c r="B158" i="14"/>
  <c r="D161" i="16"/>
  <c r="C158" i="14"/>
  <c r="E161" i="16"/>
  <c r="B158" i="13"/>
  <c r="F158" i="13"/>
  <c r="F161" i="16"/>
  <c r="GY161" i="4"/>
  <c r="G161" i="16"/>
  <c r="B161" i="16"/>
  <c r="H158" i="14"/>
  <c r="J158" i="13"/>
  <c r="R161" i="16"/>
  <c r="C162" i="29"/>
  <c r="B162" i="29"/>
  <c r="C159" i="5"/>
  <c r="B159" i="5"/>
  <c r="N159" i="5"/>
  <c r="BG160" i="29"/>
  <c r="AI160" i="4"/>
  <c r="DB160" i="4"/>
  <c r="CN160" i="4"/>
  <c r="CQ160" i="4"/>
  <c r="CP160" i="4"/>
  <c r="CM160" i="4"/>
  <c r="CL160" i="4"/>
  <c r="C157" i="15"/>
  <c r="HD160" i="4"/>
  <c r="HG160" i="4"/>
  <c r="HO160" i="4"/>
  <c r="HJ160" i="4"/>
  <c r="C160" i="4"/>
  <c r="K160" i="4"/>
  <c r="T160" i="4"/>
  <c r="AL160" i="4"/>
  <c r="BT160" i="4"/>
  <c r="AJ160" i="4"/>
  <c r="DI160" i="4"/>
  <c r="DH160" i="4"/>
  <c r="D160" i="4"/>
  <c r="B160" i="4"/>
  <c r="E157" i="14"/>
  <c r="G157" i="15"/>
  <c r="C160" i="16"/>
  <c r="B157" i="14"/>
  <c r="D160" i="16"/>
  <c r="C157" i="14"/>
  <c r="E160" i="16"/>
  <c r="B157" i="13"/>
  <c r="F157" i="13"/>
  <c r="F160" i="16"/>
  <c r="GY160" i="4"/>
  <c r="G160" i="16"/>
  <c r="B160" i="16"/>
  <c r="H157" i="14"/>
  <c r="J157" i="13"/>
  <c r="R160" i="16"/>
  <c r="C161" i="29"/>
  <c r="B161" i="29"/>
  <c r="C158" i="5"/>
  <c r="B158" i="5"/>
  <c r="N158" i="5"/>
  <c r="BG159" i="29"/>
  <c r="AI159" i="4"/>
  <c r="DB159" i="4"/>
  <c r="CN159" i="4"/>
  <c r="CQ159" i="4"/>
  <c r="CP159" i="4"/>
  <c r="CM159" i="4"/>
  <c r="CL159" i="4"/>
  <c r="C156" i="15"/>
  <c r="HD159" i="4"/>
  <c r="HG159" i="4"/>
  <c r="HO159" i="4"/>
  <c r="HJ159" i="4"/>
  <c r="C159" i="4"/>
  <c r="K159" i="4"/>
  <c r="T159" i="4"/>
  <c r="AL159" i="4"/>
  <c r="BT159" i="4"/>
  <c r="AJ159" i="4"/>
  <c r="DI159" i="4"/>
  <c r="DH159" i="4"/>
  <c r="D159" i="4"/>
  <c r="B159" i="4"/>
  <c r="E156" i="14"/>
  <c r="G156" i="15"/>
  <c r="C159" i="16"/>
  <c r="B156" i="14"/>
  <c r="D159" i="16"/>
  <c r="C156" i="14"/>
  <c r="E159" i="16"/>
  <c r="B156" i="13"/>
  <c r="F156" i="13"/>
  <c r="F159" i="16"/>
  <c r="GY159" i="4"/>
  <c r="G159" i="16"/>
  <c r="B159" i="16"/>
  <c r="H156" i="14"/>
  <c r="J156" i="13"/>
  <c r="R159" i="16"/>
  <c r="C160" i="29"/>
  <c r="B160" i="29"/>
  <c r="C157" i="5"/>
  <c r="B157" i="5"/>
  <c r="N157" i="5"/>
  <c r="BG158" i="29"/>
  <c r="AI158" i="4"/>
  <c r="DB158" i="4"/>
  <c r="CN158" i="4"/>
  <c r="CQ158" i="4"/>
  <c r="CP158" i="4"/>
  <c r="CM158" i="4"/>
  <c r="CL158" i="4"/>
  <c r="C155" i="15"/>
  <c r="HD158" i="4"/>
  <c r="HG158" i="4"/>
  <c r="HO158" i="4"/>
  <c r="HJ158" i="4"/>
  <c r="C158" i="4"/>
  <c r="K158" i="4"/>
  <c r="T158" i="4"/>
  <c r="AL158" i="4"/>
  <c r="BT158" i="4"/>
  <c r="AJ158" i="4"/>
  <c r="DI158" i="4"/>
  <c r="DH158" i="4"/>
  <c r="D158" i="4"/>
  <c r="B158" i="4"/>
  <c r="E155" i="14"/>
  <c r="G155" i="15"/>
  <c r="C158" i="16"/>
  <c r="B155" i="14"/>
  <c r="D158" i="16"/>
  <c r="C155" i="14"/>
  <c r="E158" i="16"/>
  <c r="B155" i="13"/>
  <c r="F155" i="13"/>
  <c r="F158" i="16"/>
  <c r="GY158" i="4"/>
  <c r="G158" i="16"/>
  <c r="B158" i="16"/>
  <c r="H155" i="14"/>
  <c r="J155" i="13"/>
  <c r="R158" i="16"/>
  <c r="C159" i="29"/>
  <c r="B159" i="29"/>
  <c r="C156" i="5"/>
  <c r="B156" i="5"/>
  <c r="N156" i="5"/>
  <c r="BG157" i="29"/>
  <c r="AI157" i="4"/>
  <c r="DB157" i="4"/>
  <c r="CN157" i="4"/>
  <c r="CQ157" i="4"/>
  <c r="CP157" i="4"/>
  <c r="CM157" i="4"/>
  <c r="CL157" i="4"/>
  <c r="C154" i="15"/>
  <c r="HD157" i="4"/>
  <c r="HG157" i="4"/>
  <c r="HO157" i="4"/>
  <c r="HJ157" i="4"/>
  <c r="C157" i="4"/>
  <c r="K157" i="4"/>
  <c r="T157" i="4"/>
  <c r="AL157" i="4"/>
  <c r="BT157" i="4"/>
  <c r="AJ157" i="4"/>
  <c r="DI157" i="4"/>
  <c r="DH157" i="4"/>
  <c r="D157" i="4"/>
  <c r="B157" i="4"/>
  <c r="E154" i="14"/>
  <c r="G154" i="15"/>
  <c r="C157" i="16"/>
  <c r="B154" i="14"/>
  <c r="D157" i="16"/>
  <c r="C154" i="14"/>
  <c r="E157" i="16"/>
  <c r="B154" i="13"/>
  <c r="F154" i="13"/>
  <c r="F157" i="16"/>
  <c r="GY157" i="4"/>
  <c r="G157" i="16"/>
  <c r="B157" i="16"/>
  <c r="H154" i="14"/>
  <c r="J154" i="13"/>
  <c r="R157" i="16"/>
  <c r="C158" i="29"/>
  <c r="B158" i="29"/>
  <c r="C155" i="5"/>
  <c r="B155" i="5"/>
  <c r="N155" i="5"/>
  <c r="BG156" i="29"/>
  <c r="AI156" i="4"/>
  <c r="DB156" i="4"/>
  <c r="CN156" i="4"/>
  <c r="CQ156" i="4"/>
  <c r="CP156" i="4"/>
  <c r="CM156" i="4"/>
  <c r="CL156" i="4"/>
  <c r="C153" i="15"/>
  <c r="HD156" i="4"/>
  <c r="HG156" i="4"/>
  <c r="HO156" i="4"/>
  <c r="HJ156" i="4"/>
  <c r="C156" i="4"/>
  <c r="K156" i="4"/>
  <c r="T156" i="4"/>
  <c r="AL156" i="4"/>
  <c r="BT156" i="4"/>
  <c r="AJ156" i="4"/>
  <c r="DI156" i="4"/>
  <c r="DH156" i="4"/>
  <c r="D156" i="4"/>
  <c r="B156" i="4"/>
  <c r="E153" i="14"/>
  <c r="G153" i="15"/>
  <c r="C156" i="16"/>
  <c r="B153" i="14"/>
  <c r="D156" i="16"/>
  <c r="C153" i="14"/>
  <c r="E156" i="16"/>
  <c r="B153" i="13"/>
  <c r="F153" i="13"/>
  <c r="F156" i="16"/>
  <c r="GY156" i="4"/>
  <c r="G156" i="16"/>
  <c r="B156" i="16"/>
  <c r="H153" i="14"/>
  <c r="J153" i="13"/>
  <c r="R156" i="16"/>
  <c r="C157" i="29"/>
  <c r="B157" i="29"/>
  <c r="C154" i="5"/>
  <c r="B154" i="5"/>
  <c r="N154" i="5"/>
  <c r="BG155" i="29"/>
  <c r="AI155" i="4"/>
  <c r="DB155" i="4"/>
  <c r="CN155" i="4"/>
  <c r="CQ155" i="4"/>
  <c r="CP155" i="4"/>
  <c r="CM155" i="4"/>
  <c r="CL155" i="4"/>
  <c r="C152" i="15"/>
  <c r="HD155" i="4"/>
  <c r="HG155" i="4"/>
  <c r="HO155" i="4"/>
  <c r="HJ155" i="4"/>
  <c r="C155" i="4"/>
  <c r="K155" i="4"/>
  <c r="T155" i="4"/>
  <c r="AL155" i="4"/>
  <c r="BT155" i="4"/>
  <c r="AJ155" i="4"/>
  <c r="DI155" i="4"/>
  <c r="DH155" i="4"/>
  <c r="D155" i="4"/>
  <c r="B155" i="4"/>
  <c r="E152" i="14"/>
  <c r="G152" i="15"/>
  <c r="C155" i="16"/>
  <c r="B152" i="14"/>
  <c r="D155" i="16"/>
  <c r="C152" i="14"/>
  <c r="E155" i="16"/>
  <c r="B152" i="13"/>
  <c r="F152" i="13"/>
  <c r="F155" i="16"/>
  <c r="GY155" i="4"/>
  <c r="G155" i="16"/>
  <c r="B155" i="16"/>
  <c r="H152" i="14"/>
  <c r="J152" i="13"/>
  <c r="R155" i="16"/>
  <c r="C156" i="29"/>
  <c r="B156" i="29"/>
  <c r="C153" i="5"/>
  <c r="B153" i="5"/>
  <c r="N153" i="5"/>
  <c r="BG154" i="29"/>
  <c r="AI154" i="4"/>
  <c r="DB154" i="4"/>
  <c r="CN154" i="4"/>
  <c r="CQ154" i="4"/>
  <c r="CP154" i="4"/>
  <c r="CM154" i="4"/>
  <c r="CL154" i="4"/>
  <c r="C151" i="15"/>
  <c r="HD154" i="4"/>
  <c r="HG154" i="4"/>
  <c r="HO154" i="4"/>
  <c r="HJ154" i="4"/>
  <c r="C154" i="4"/>
  <c r="K154" i="4"/>
  <c r="T154" i="4"/>
  <c r="AL154" i="4"/>
  <c r="BT154" i="4"/>
  <c r="AJ154" i="4"/>
  <c r="DI154" i="4"/>
  <c r="DH154" i="4"/>
  <c r="D154" i="4"/>
  <c r="B154" i="4"/>
  <c r="E151" i="14"/>
  <c r="G151" i="15"/>
  <c r="C154" i="16"/>
  <c r="B151" i="14"/>
  <c r="D154" i="16"/>
  <c r="C151" i="14"/>
  <c r="E154" i="16"/>
  <c r="B151" i="13"/>
  <c r="F151" i="13"/>
  <c r="F154" i="16"/>
  <c r="GY154" i="4"/>
  <c r="G154" i="16"/>
  <c r="B154" i="16"/>
  <c r="H151" i="14"/>
  <c r="J151" i="13"/>
  <c r="R154" i="16"/>
  <c r="C155" i="29"/>
  <c r="B155" i="29"/>
  <c r="C152" i="5"/>
  <c r="B152" i="5"/>
  <c r="N152" i="5"/>
  <c r="BG153" i="29"/>
  <c r="AI153" i="4"/>
  <c r="DB153" i="4"/>
  <c r="CN153" i="4"/>
  <c r="CQ153" i="4"/>
  <c r="CP153" i="4"/>
  <c r="CM153" i="4"/>
  <c r="CL153" i="4"/>
  <c r="C150" i="15"/>
  <c r="HD153" i="4"/>
  <c r="HG153" i="4"/>
  <c r="HO153" i="4"/>
  <c r="HJ153" i="4"/>
  <c r="C153" i="4"/>
  <c r="K153" i="4"/>
  <c r="T153" i="4"/>
  <c r="AL153" i="4"/>
  <c r="BT153" i="4"/>
  <c r="AJ153" i="4"/>
  <c r="DI153" i="4"/>
  <c r="DH153" i="4"/>
  <c r="D153" i="4"/>
  <c r="B153" i="4"/>
  <c r="E150" i="14"/>
  <c r="G150" i="15"/>
  <c r="C153" i="16"/>
  <c r="B150" i="14"/>
  <c r="D153" i="16"/>
  <c r="C150" i="14"/>
  <c r="E153" i="16"/>
  <c r="B150" i="13"/>
  <c r="F150" i="13"/>
  <c r="F153" i="16"/>
  <c r="GY153" i="4"/>
  <c r="G153" i="16"/>
  <c r="B153" i="16"/>
  <c r="H150" i="14"/>
  <c r="J150" i="13"/>
  <c r="R153" i="16"/>
  <c r="C154" i="29"/>
  <c r="B154" i="29"/>
  <c r="C151" i="5"/>
  <c r="B151" i="5"/>
  <c r="N151" i="5"/>
  <c r="BG152" i="29"/>
  <c r="AI152" i="4"/>
  <c r="DB152" i="4"/>
  <c r="CN152" i="4"/>
  <c r="CQ152" i="4"/>
  <c r="CP152" i="4"/>
  <c r="CM152" i="4"/>
  <c r="CL152" i="4"/>
  <c r="C149" i="15"/>
  <c r="HD152" i="4"/>
  <c r="HG152" i="4"/>
  <c r="HO152" i="4"/>
  <c r="HJ152" i="4"/>
  <c r="C152" i="4"/>
  <c r="K152" i="4"/>
  <c r="T152" i="4"/>
  <c r="AL152" i="4"/>
  <c r="BT152" i="4"/>
  <c r="AJ152" i="4"/>
  <c r="DI152" i="4"/>
  <c r="DH152" i="4"/>
  <c r="D152" i="4"/>
  <c r="B152" i="4"/>
  <c r="E149" i="14"/>
  <c r="G149" i="15"/>
  <c r="C152" i="16"/>
  <c r="B149" i="14"/>
  <c r="D152" i="16"/>
  <c r="C149" i="14"/>
  <c r="E152" i="16"/>
  <c r="B149" i="13"/>
  <c r="F149" i="13"/>
  <c r="F152" i="16"/>
  <c r="GY152" i="4"/>
  <c r="G152" i="16"/>
  <c r="B152" i="16"/>
  <c r="H149" i="14"/>
  <c r="J149" i="13"/>
  <c r="R152" i="16"/>
  <c r="C153" i="29"/>
  <c r="B153" i="29"/>
  <c r="C150" i="5"/>
  <c r="B150" i="5"/>
  <c r="N150" i="5"/>
  <c r="BG151" i="29"/>
  <c r="AI151" i="4"/>
  <c r="DB151" i="4"/>
  <c r="CN151" i="4"/>
  <c r="CQ151" i="4"/>
  <c r="CP151" i="4"/>
  <c r="CM151" i="4"/>
  <c r="CL151" i="4"/>
  <c r="C148" i="15"/>
  <c r="HD151" i="4"/>
  <c r="HG151" i="4"/>
  <c r="HO151" i="4"/>
  <c r="HJ151" i="4"/>
  <c r="C151" i="4"/>
  <c r="K151" i="4"/>
  <c r="T151" i="4"/>
  <c r="AL151" i="4"/>
  <c r="BT151" i="4"/>
  <c r="AJ151" i="4"/>
  <c r="DI151" i="4"/>
  <c r="DH151" i="4"/>
  <c r="D151" i="4"/>
  <c r="B151" i="4"/>
  <c r="E148" i="14"/>
  <c r="G148" i="15"/>
  <c r="C151" i="16"/>
  <c r="B148" i="14"/>
  <c r="D151" i="16"/>
  <c r="C148" i="14"/>
  <c r="E151" i="16"/>
  <c r="B148" i="13"/>
  <c r="F148" i="13"/>
  <c r="F151" i="16"/>
  <c r="GY151" i="4"/>
  <c r="G151" i="16"/>
  <c r="B151" i="16"/>
  <c r="H148" i="14"/>
  <c r="J148" i="13"/>
  <c r="R151" i="16"/>
  <c r="C152" i="29"/>
  <c r="B152" i="29"/>
  <c r="C149" i="5"/>
  <c r="B149" i="5"/>
  <c r="N149" i="5"/>
  <c r="BG150" i="29"/>
  <c r="AI150" i="4"/>
  <c r="DB150" i="4"/>
  <c r="CN150" i="4"/>
  <c r="CQ150" i="4"/>
  <c r="CP150" i="4"/>
  <c r="CM150" i="4"/>
  <c r="CL150" i="4"/>
  <c r="C147" i="15"/>
  <c r="HD150" i="4"/>
  <c r="HG150" i="4"/>
  <c r="HO150" i="4"/>
  <c r="HJ150" i="4"/>
  <c r="C150" i="4"/>
  <c r="K150" i="4"/>
  <c r="T150" i="4"/>
  <c r="AL150" i="4"/>
  <c r="BT150" i="4"/>
  <c r="AJ150" i="4"/>
  <c r="DI150" i="4"/>
  <c r="DH150" i="4"/>
  <c r="D150" i="4"/>
  <c r="B150" i="4"/>
  <c r="E147" i="14"/>
  <c r="G147" i="15"/>
  <c r="C150" i="16"/>
  <c r="B147" i="14"/>
  <c r="D150" i="16"/>
  <c r="C147" i="14"/>
  <c r="E150" i="16"/>
  <c r="B147" i="13"/>
  <c r="F147" i="13"/>
  <c r="F150" i="16"/>
  <c r="GY150" i="4"/>
  <c r="G150" i="16"/>
  <c r="B150" i="16"/>
  <c r="H147" i="14"/>
  <c r="J147" i="13"/>
  <c r="R150" i="16"/>
  <c r="C151" i="29"/>
  <c r="B151" i="29"/>
  <c r="C148" i="5"/>
  <c r="B148" i="5"/>
  <c r="N148" i="5"/>
  <c r="BG149" i="29"/>
  <c r="AI149" i="4"/>
  <c r="DB149" i="4"/>
  <c r="CN149" i="4"/>
  <c r="CQ149" i="4"/>
  <c r="CP149" i="4"/>
  <c r="CM149" i="4"/>
  <c r="CL149" i="4"/>
  <c r="C146" i="15"/>
  <c r="HD149" i="4"/>
  <c r="HG149" i="4"/>
  <c r="HO149" i="4"/>
  <c r="HJ149" i="4"/>
  <c r="C149" i="4"/>
  <c r="K149" i="4"/>
  <c r="T149" i="4"/>
  <c r="AL149" i="4"/>
  <c r="BT149" i="4"/>
  <c r="AJ149" i="4"/>
  <c r="DI149" i="4"/>
  <c r="DH149" i="4"/>
  <c r="D149" i="4"/>
  <c r="B149" i="4"/>
  <c r="E146" i="14"/>
  <c r="G146" i="15"/>
  <c r="C149" i="16"/>
  <c r="B146" i="14"/>
  <c r="D149" i="16"/>
  <c r="C146" i="14"/>
  <c r="E149" i="16"/>
  <c r="B146" i="13"/>
  <c r="F146" i="13"/>
  <c r="F149" i="16"/>
  <c r="GY149" i="4"/>
  <c r="G149" i="16"/>
  <c r="B149" i="16"/>
  <c r="H146" i="14"/>
  <c r="J146" i="13"/>
  <c r="R149" i="16"/>
  <c r="C150" i="29"/>
  <c r="B150" i="29"/>
  <c r="C147" i="5"/>
  <c r="B147" i="5"/>
  <c r="N147" i="5"/>
  <c r="BG148" i="29"/>
  <c r="AI148" i="4"/>
  <c r="DB148" i="4"/>
  <c r="CN148" i="4"/>
  <c r="CQ148" i="4"/>
  <c r="CP148" i="4"/>
  <c r="CM148" i="4"/>
  <c r="CL148" i="4"/>
  <c r="C145" i="15"/>
  <c r="HD148" i="4"/>
  <c r="HG148" i="4"/>
  <c r="HO148" i="4"/>
  <c r="HJ148" i="4"/>
  <c r="C148" i="4"/>
  <c r="K148" i="4"/>
  <c r="T148" i="4"/>
  <c r="AL148" i="4"/>
  <c r="BT148" i="4"/>
  <c r="AJ148" i="4"/>
  <c r="DI148" i="4"/>
  <c r="DH148" i="4"/>
  <c r="D148" i="4"/>
  <c r="B148" i="4"/>
  <c r="E145" i="14"/>
  <c r="G145" i="15"/>
  <c r="C148" i="16"/>
  <c r="B145" i="14"/>
  <c r="D148" i="16"/>
  <c r="C145" i="14"/>
  <c r="E148" i="16"/>
  <c r="B145" i="13"/>
  <c r="F145" i="13"/>
  <c r="F148" i="16"/>
  <c r="GY148" i="4"/>
  <c r="G148" i="16"/>
  <c r="B148" i="16"/>
  <c r="H145" i="14"/>
  <c r="J145" i="13"/>
  <c r="R148" i="16"/>
  <c r="C149" i="29"/>
  <c r="B149" i="29"/>
  <c r="C146" i="5"/>
  <c r="B146" i="5"/>
  <c r="N146" i="5"/>
  <c r="BG147" i="29"/>
  <c r="AI147" i="4"/>
  <c r="DB147" i="4"/>
  <c r="CN147" i="4"/>
  <c r="CQ147" i="4"/>
  <c r="CP147" i="4"/>
  <c r="CM147" i="4"/>
  <c r="CL147" i="4"/>
  <c r="C144" i="15"/>
  <c r="HD147" i="4"/>
  <c r="HG147" i="4"/>
  <c r="HO147" i="4"/>
  <c r="HJ147" i="4"/>
  <c r="C147" i="4"/>
  <c r="K147" i="4"/>
  <c r="T147" i="4"/>
  <c r="AL147" i="4"/>
  <c r="BT147" i="4"/>
  <c r="AJ147" i="4"/>
  <c r="DI147" i="4"/>
  <c r="DH147" i="4"/>
  <c r="D147" i="4"/>
  <c r="B147" i="4"/>
  <c r="E144" i="14"/>
  <c r="G144" i="15"/>
  <c r="C147" i="16"/>
  <c r="B144" i="14"/>
  <c r="D147" i="16"/>
  <c r="C144" i="14"/>
  <c r="E147" i="16"/>
  <c r="B144" i="13"/>
  <c r="F144" i="13"/>
  <c r="F147" i="16"/>
  <c r="GY147" i="4"/>
  <c r="G147" i="16"/>
  <c r="B147" i="16"/>
  <c r="H144" i="14"/>
  <c r="J144" i="13"/>
  <c r="R147" i="16"/>
  <c r="C148" i="29"/>
  <c r="B148" i="29"/>
  <c r="C145" i="5"/>
  <c r="B145" i="5"/>
  <c r="N145" i="5"/>
  <c r="BG146" i="29"/>
  <c r="AI146" i="4"/>
  <c r="DB146" i="4"/>
  <c r="CN146" i="4"/>
  <c r="CQ146" i="4"/>
  <c r="CP146" i="4"/>
  <c r="CM146" i="4"/>
  <c r="CL146" i="4"/>
  <c r="C143" i="15"/>
  <c r="HD146" i="4"/>
  <c r="HG146" i="4"/>
  <c r="HO146" i="4"/>
  <c r="HJ146" i="4"/>
  <c r="C146" i="4"/>
  <c r="K146" i="4"/>
  <c r="T146" i="4"/>
  <c r="AL146" i="4"/>
  <c r="BT146" i="4"/>
  <c r="AJ146" i="4"/>
  <c r="DI146" i="4"/>
  <c r="DH146" i="4"/>
  <c r="D146" i="4"/>
  <c r="B146" i="4"/>
  <c r="E143" i="14"/>
  <c r="G143" i="15"/>
  <c r="C146" i="16"/>
  <c r="B143" i="14"/>
  <c r="D146" i="16"/>
  <c r="C143" i="14"/>
  <c r="E146" i="16"/>
  <c r="B143" i="13"/>
  <c r="F143" i="13"/>
  <c r="F146" i="16"/>
  <c r="GY146" i="4"/>
  <c r="G146" i="16"/>
  <c r="B146" i="16"/>
  <c r="H143" i="14"/>
  <c r="J143" i="13"/>
  <c r="R146" i="16"/>
  <c r="C147" i="29"/>
  <c r="B147" i="29"/>
  <c r="C144" i="5"/>
  <c r="B144" i="5"/>
  <c r="N144" i="5"/>
  <c r="BG145" i="29"/>
  <c r="AI145" i="4"/>
  <c r="DB145" i="4"/>
  <c r="CN145" i="4"/>
  <c r="CQ145" i="4"/>
  <c r="HG145" i="4"/>
  <c r="BJ145" i="4"/>
  <c r="BS146" i="4"/>
  <c r="BS145" i="4"/>
  <c r="U145" i="4"/>
  <c r="X145" i="4"/>
  <c r="BT145" i="4"/>
  <c r="AO145" i="4"/>
  <c r="BM145" i="4"/>
  <c r="CV145" i="4"/>
  <c r="CP145" i="4"/>
  <c r="CM145" i="4"/>
  <c r="CL145" i="4"/>
  <c r="C142" i="15"/>
  <c r="HD145" i="4"/>
  <c r="HO145" i="4"/>
  <c r="HJ145" i="4"/>
  <c r="C145" i="4"/>
  <c r="K145" i="4"/>
  <c r="T145" i="4"/>
  <c r="AL145" i="4"/>
  <c r="AJ145" i="4"/>
  <c r="DI145" i="4"/>
  <c r="DH145" i="4"/>
  <c r="D145" i="4"/>
  <c r="B145" i="4"/>
  <c r="E142" i="14"/>
  <c r="G142" i="15"/>
  <c r="C145" i="16"/>
  <c r="B142" i="14"/>
  <c r="D145" i="16"/>
  <c r="C142" i="14"/>
  <c r="E145" i="16"/>
  <c r="B142" i="13"/>
  <c r="F142" i="13"/>
  <c r="F145" i="16"/>
  <c r="GY145" i="4"/>
  <c r="G145" i="16"/>
  <c r="B145" i="16"/>
  <c r="H142" i="14"/>
  <c r="J142" i="13"/>
  <c r="R145" i="16"/>
  <c r="E147" i="29"/>
  <c r="G147" i="29"/>
  <c r="G146" i="29"/>
  <c r="E146" i="29"/>
  <c r="C146" i="29"/>
  <c r="AU146" i="29"/>
  <c r="AS146" i="29"/>
  <c r="B146" i="29"/>
  <c r="C143" i="5"/>
  <c r="B143" i="5"/>
  <c r="N143" i="5"/>
  <c r="BG144" i="29"/>
  <c r="AI144" i="4"/>
  <c r="DB144" i="4"/>
  <c r="CN144" i="4"/>
  <c r="CQ144" i="4"/>
  <c r="HG144" i="4"/>
  <c r="BJ144" i="4"/>
  <c r="BS144" i="4"/>
  <c r="X144" i="4"/>
  <c r="BT144" i="4"/>
  <c r="AO144" i="4"/>
  <c r="BM144" i="4"/>
  <c r="CV144" i="4"/>
  <c r="CP144" i="4"/>
  <c r="CM144" i="4"/>
  <c r="CL144" i="4"/>
  <c r="C141" i="15"/>
  <c r="HD144" i="4"/>
  <c r="HO144" i="4"/>
  <c r="HJ144" i="4"/>
  <c r="C144" i="4"/>
  <c r="K144" i="4"/>
  <c r="T144" i="4"/>
  <c r="AL144" i="4"/>
  <c r="AJ144" i="4"/>
  <c r="DI144" i="4"/>
  <c r="DH144" i="4"/>
  <c r="D144" i="4"/>
  <c r="B144" i="4"/>
  <c r="E141" i="14"/>
  <c r="G141" i="15"/>
  <c r="C144" i="16"/>
  <c r="B141" i="14"/>
  <c r="D144" i="16"/>
  <c r="C141" i="14"/>
  <c r="E144" i="16"/>
  <c r="B141" i="13"/>
  <c r="F141" i="13"/>
  <c r="F144" i="16"/>
  <c r="GY144" i="4"/>
  <c r="G144" i="16"/>
  <c r="B144" i="16"/>
  <c r="H141" i="14"/>
  <c r="J141" i="13"/>
  <c r="R144" i="16"/>
  <c r="G145" i="29"/>
  <c r="E145" i="29"/>
  <c r="C145" i="29"/>
  <c r="AU145" i="29"/>
  <c r="AS145" i="29"/>
  <c r="B145" i="29"/>
  <c r="C142" i="5"/>
  <c r="B142" i="5"/>
  <c r="N142" i="5"/>
  <c r="BG143" i="29"/>
  <c r="AI143" i="4"/>
  <c r="DB143" i="4"/>
  <c r="CN143" i="4"/>
  <c r="CQ143" i="4"/>
  <c r="HG143" i="4"/>
  <c r="BJ143" i="4"/>
  <c r="BS143" i="4"/>
  <c r="X143" i="4"/>
  <c r="BT143" i="4"/>
  <c r="AO143" i="4"/>
  <c r="BM143" i="4"/>
  <c r="CV143" i="4"/>
  <c r="CP143" i="4"/>
  <c r="CM143" i="4"/>
  <c r="CL143" i="4"/>
  <c r="C140" i="15"/>
  <c r="HD143" i="4"/>
  <c r="HO143" i="4"/>
  <c r="HJ143" i="4"/>
  <c r="C143" i="4"/>
  <c r="K143" i="4"/>
  <c r="T143" i="4"/>
  <c r="AL143" i="4"/>
  <c r="AJ143" i="4"/>
  <c r="DI143" i="4"/>
  <c r="DH143" i="4"/>
  <c r="D143" i="4"/>
  <c r="B143" i="4"/>
  <c r="E140" i="14"/>
  <c r="G140" i="15"/>
  <c r="C143" i="16"/>
  <c r="B140" i="14"/>
  <c r="D143" i="16"/>
  <c r="C140" i="14"/>
  <c r="E143" i="16"/>
  <c r="B140" i="13"/>
  <c r="F140" i="13"/>
  <c r="F143" i="16"/>
  <c r="GY143" i="4"/>
  <c r="G143" i="16"/>
  <c r="B143" i="16"/>
  <c r="H140" i="14"/>
  <c r="J140" i="13"/>
  <c r="R143" i="16"/>
  <c r="K145" i="29"/>
  <c r="K144" i="29"/>
  <c r="D144" i="29"/>
  <c r="G144" i="29"/>
  <c r="E144" i="29"/>
  <c r="C144" i="29"/>
  <c r="BD145" i="29"/>
  <c r="BD135" i="29"/>
  <c r="BD136" i="29"/>
  <c r="BD137" i="29"/>
  <c r="BD138" i="29"/>
  <c r="BD139" i="29"/>
  <c r="BD140" i="29"/>
  <c r="BD141" i="29"/>
  <c r="BD142" i="29"/>
  <c r="BD143" i="29"/>
  <c r="BD144" i="29"/>
  <c r="AU144" i="29"/>
  <c r="BB145" i="29"/>
  <c r="BB135" i="29"/>
  <c r="BB136" i="29"/>
  <c r="BB137" i="29"/>
  <c r="BB138" i="29"/>
  <c r="BB139" i="29"/>
  <c r="BB140" i="29"/>
  <c r="BB141" i="29"/>
  <c r="BB142" i="29"/>
  <c r="BB143" i="29"/>
  <c r="BB144" i="29"/>
  <c r="AT144" i="29"/>
  <c r="AS144" i="29"/>
  <c r="B144" i="29"/>
  <c r="C141" i="5"/>
  <c r="B141" i="5"/>
  <c r="N141" i="5"/>
  <c r="BG142" i="29"/>
  <c r="AI142" i="4"/>
  <c r="DB142" i="4"/>
  <c r="CN142" i="4"/>
  <c r="CQ142" i="4"/>
  <c r="HG142" i="4"/>
  <c r="BJ142" i="4"/>
  <c r="BS142" i="4"/>
  <c r="X142" i="4"/>
  <c r="BT142" i="4"/>
  <c r="AO142" i="4"/>
  <c r="BM142" i="4"/>
  <c r="CV142" i="4"/>
  <c r="CP142" i="4"/>
  <c r="CM142" i="4"/>
  <c r="CL142" i="4"/>
  <c r="C139" i="15"/>
  <c r="HD142" i="4"/>
  <c r="HO142" i="4"/>
  <c r="HJ142" i="4"/>
  <c r="C142" i="4"/>
  <c r="K142" i="4"/>
  <c r="T142" i="4"/>
  <c r="AL142" i="4"/>
  <c r="AJ142" i="4"/>
  <c r="DI142" i="4"/>
  <c r="DH142" i="4"/>
  <c r="D142" i="4"/>
  <c r="B142" i="4"/>
  <c r="E139" i="14"/>
  <c r="G139" i="15"/>
  <c r="C142" i="16"/>
  <c r="B139" i="14"/>
  <c r="D142" i="16"/>
  <c r="C139" i="14"/>
  <c r="E142" i="16"/>
  <c r="B139" i="13"/>
  <c r="F139" i="13"/>
  <c r="F142" i="16"/>
  <c r="GY142" i="4"/>
  <c r="G142" i="16"/>
  <c r="B142" i="16"/>
  <c r="H139" i="14"/>
  <c r="J139" i="13"/>
  <c r="R142" i="16"/>
  <c r="K143" i="29"/>
  <c r="D143" i="29"/>
  <c r="G143" i="29"/>
  <c r="E143" i="29"/>
  <c r="C143" i="29"/>
  <c r="AU143" i="29"/>
  <c r="AT143" i="29"/>
  <c r="AS143" i="29"/>
  <c r="B143" i="29"/>
  <c r="C140" i="5"/>
  <c r="B140" i="5"/>
  <c r="N140" i="5"/>
  <c r="BG141" i="29"/>
  <c r="AI141" i="4"/>
  <c r="DB141" i="4"/>
  <c r="CN141" i="4"/>
  <c r="CQ141" i="4"/>
  <c r="HG141" i="4"/>
  <c r="BJ141" i="4"/>
  <c r="BS141" i="4"/>
  <c r="X141" i="4"/>
  <c r="BT141" i="4"/>
  <c r="AO141" i="4"/>
  <c r="BM141" i="4"/>
  <c r="CV141" i="4"/>
  <c r="CP141" i="4"/>
  <c r="CM141" i="4"/>
  <c r="CL141" i="4"/>
  <c r="C138" i="15"/>
  <c r="HD141" i="4"/>
  <c r="HO141" i="4"/>
  <c r="HJ141" i="4"/>
  <c r="C141" i="4"/>
  <c r="K141" i="4"/>
  <c r="T141" i="4"/>
  <c r="AL141" i="4"/>
  <c r="AJ141" i="4"/>
  <c r="DI141" i="4"/>
  <c r="DH141" i="4"/>
  <c r="D141" i="4"/>
  <c r="B141" i="4"/>
  <c r="E138" i="14"/>
  <c r="G138" i="15"/>
  <c r="C141" i="16"/>
  <c r="B138" i="14"/>
  <c r="D141" i="16"/>
  <c r="C138" i="14"/>
  <c r="E141" i="16"/>
  <c r="B138" i="13"/>
  <c r="F138" i="13"/>
  <c r="F141" i="16"/>
  <c r="GY141" i="4"/>
  <c r="G141" i="16"/>
  <c r="B141" i="16"/>
  <c r="H138" i="14"/>
  <c r="J138" i="13"/>
  <c r="R141" i="16"/>
  <c r="K142" i="29"/>
  <c r="D142" i="29"/>
  <c r="E142" i="29"/>
  <c r="C142" i="29"/>
  <c r="AU142" i="29"/>
  <c r="AT142" i="29"/>
  <c r="AS142" i="29"/>
  <c r="B142" i="29"/>
  <c r="C139" i="5"/>
  <c r="B139" i="5"/>
  <c r="N139" i="5"/>
  <c r="BG140" i="29"/>
  <c r="AI140" i="4"/>
  <c r="DB140" i="4"/>
  <c r="CN140" i="4"/>
  <c r="CQ140" i="4"/>
  <c r="HG140" i="4"/>
  <c r="BJ140" i="4"/>
  <c r="BS140" i="4"/>
  <c r="X140" i="4"/>
  <c r="BT140" i="4"/>
  <c r="AO140" i="4"/>
  <c r="BM140" i="4"/>
  <c r="CV140" i="4"/>
  <c r="CP140" i="4"/>
  <c r="CM140" i="4"/>
  <c r="CL140" i="4"/>
  <c r="C137" i="15"/>
  <c r="HD140" i="4"/>
  <c r="HO140" i="4"/>
  <c r="HJ140" i="4"/>
  <c r="C140" i="4"/>
  <c r="K140" i="4"/>
  <c r="T140" i="4"/>
  <c r="AL140" i="4"/>
  <c r="AJ140" i="4"/>
  <c r="DI140" i="4"/>
  <c r="DH140" i="4"/>
  <c r="D140" i="4"/>
  <c r="B140" i="4"/>
  <c r="E137" i="14"/>
  <c r="G137" i="15"/>
  <c r="C140" i="16"/>
  <c r="B137" i="14"/>
  <c r="D140" i="16"/>
  <c r="C137" i="14"/>
  <c r="E140" i="16"/>
  <c r="B137" i="13"/>
  <c r="F137" i="13"/>
  <c r="F140" i="16"/>
  <c r="GY140" i="4"/>
  <c r="G140" i="16"/>
  <c r="B140" i="16"/>
  <c r="H137" i="14"/>
  <c r="J137" i="13"/>
  <c r="R140" i="16"/>
  <c r="K141" i="29"/>
  <c r="D141" i="29"/>
  <c r="E141" i="29"/>
  <c r="C141" i="29"/>
  <c r="AU141" i="29"/>
  <c r="AT141" i="29"/>
  <c r="AS141" i="29"/>
  <c r="B141" i="29"/>
  <c r="C138" i="5"/>
  <c r="B138" i="5"/>
  <c r="N138" i="5"/>
  <c r="BG139" i="29"/>
  <c r="AI139" i="4"/>
  <c r="DB139" i="4"/>
  <c r="CN139" i="4"/>
  <c r="CQ139" i="4"/>
  <c r="HG139" i="4"/>
  <c r="BJ139" i="4"/>
  <c r="BS139" i="4"/>
  <c r="X139" i="4"/>
  <c r="BT139" i="4"/>
  <c r="AO139" i="4"/>
  <c r="BM139" i="4"/>
  <c r="CV139" i="4"/>
  <c r="CP139" i="4"/>
  <c r="CM139" i="4"/>
  <c r="CL139" i="4"/>
  <c r="C136" i="15"/>
  <c r="HD139" i="4"/>
  <c r="HO139" i="4"/>
  <c r="HJ139" i="4"/>
  <c r="C139" i="4"/>
  <c r="K139" i="4"/>
  <c r="T139" i="4"/>
  <c r="AL139" i="4"/>
  <c r="AJ139" i="4"/>
  <c r="DI139" i="4"/>
  <c r="DH139" i="4"/>
  <c r="D139" i="4"/>
  <c r="B139" i="4"/>
  <c r="E136" i="14"/>
  <c r="G136" i="15"/>
  <c r="C139" i="16"/>
  <c r="B136" i="14"/>
  <c r="D139" i="16"/>
  <c r="C136" i="14"/>
  <c r="E139" i="16"/>
  <c r="B136" i="13"/>
  <c r="F136" i="13"/>
  <c r="F139" i="16"/>
  <c r="GY139" i="4"/>
  <c r="G139" i="16"/>
  <c r="B139" i="16"/>
  <c r="H136" i="14"/>
  <c r="J136" i="13"/>
  <c r="R139" i="16"/>
  <c r="K140" i="29"/>
  <c r="D140" i="29"/>
  <c r="G140" i="29"/>
  <c r="E140" i="29"/>
  <c r="C140" i="29"/>
  <c r="AU140" i="29"/>
  <c r="AT140" i="29"/>
  <c r="AS140" i="29"/>
  <c r="B140" i="29"/>
  <c r="C137" i="5"/>
  <c r="B137" i="5"/>
  <c r="N137" i="5"/>
  <c r="BG138" i="29"/>
  <c r="AI138" i="4"/>
  <c r="DB138" i="4"/>
  <c r="CN138" i="4"/>
  <c r="CQ138" i="4"/>
  <c r="HG138" i="4"/>
  <c r="BJ138" i="4"/>
  <c r="BS138" i="4"/>
  <c r="X138" i="4"/>
  <c r="BT138" i="4"/>
  <c r="AO138" i="4"/>
  <c r="BM138" i="4"/>
  <c r="CV138" i="4"/>
  <c r="CP138" i="4"/>
  <c r="CM138" i="4"/>
  <c r="CL138" i="4"/>
  <c r="C135" i="15"/>
  <c r="HD138" i="4"/>
  <c r="HO138" i="4"/>
  <c r="HJ138" i="4"/>
  <c r="C138" i="4"/>
  <c r="K138" i="4"/>
  <c r="T138" i="4"/>
  <c r="AL138" i="4"/>
  <c r="AJ138" i="4"/>
  <c r="DI138" i="4"/>
  <c r="DH138" i="4"/>
  <c r="D138" i="4"/>
  <c r="B138" i="4"/>
  <c r="E135" i="14"/>
  <c r="G135" i="15"/>
  <c r="C138" i="16"/>
  <c r="B135" i="14"/>
  <c r="D138" i="16"/>
  <c r="C135" i="14"/>
  <c r="E138" i="16"/>
  <c r="B135" i="13"/>
  <c r="F135" i="13"/>
  <c r="F138" i="16"/>
  <c r="GY138" i="4"/>
  <c r="G138" i="16"/>
  <c r="B138" i="16"/>
  <c r="H135" i="14"/>
  <c r="J135" i="13"/>
  <c r="R138" i="16"/>
  <c r="K139" i="29"/>
  <c r="D139" i="29"/>
  <c r="E139" i="29"/>
  <c r="C139" i="29"/>
  <c r="AU139" i="29"/>
  <c r="AT139" i="29"/>
  <c r="AS139" i="29"/>
  <c r="B139" i="29"/>
  <c r="C136" i="5"/>
  <c r="B136" i="5"/>
  <c r="N136" i="5"/>
  <c r="BG137" i="29"/>
  <c r="AI137" i="4"/>
  <c r="DB137" i="4"/>
  <c r="CN137" i="4"/>
  <c r="CQ137" i="4"/>
  <c r="HG137" i="4"/>
  <c r="BJ137" i="4"/>
  <c r="BS137" i="4"/>
  <c r="X137" i="4"/>
  <c r="BT137" i="4"/>
  <c r="AO137" i="4"/>
  <c r="BM137" i="4"/>
  <c r="CV137" i="4"/>
  <c r="CP137" i="4"/>
  <c r="CM137" i="4"/>
  <c r="CL137" i="4"/>
  <c r="C134" i="15"/>
  <c r="HD137" i="4"/>
  <c r="HO137" i="4"/>
  <c r="HJ137" i="4"/>
  <c r="C137" i="4"/>
  <c r="K137" i="4"/>
  <c r="T137" i="4"/>
  <c r="AL137" i="4"/>
  <c r="AJ137" i="4"/>
  <c r="DI137" i="4"/>
  <c r="DH137" i="4"/>
  <c r="D137" i="4"/>
  <c r="B137" i="4"/>
  <c r="E134" i="14"/>
  <c r="G134" i="15"/>
  <c r="C137" i="16"/>
  <c r="B134" i="14"/>
  <c r="D137" i="16"/>
  <c r="C134" i="14"/>
  <c r="E137" i="16"/>
  <c r="B134" i="13"/>
  <c r="F134" i="13"/>
  <c r="F137" i="16"/>
  <c r="GY137" i="4"/>
  <c r="G137" i="16"/>
  <c r="B137" i="16"/>
  <c r="H134" i="14"/>
  <c r="J134" i="13"/>
  <c r="R137" i="16"/>
  <c r="K138" i="29"/>
  <c r="D138" i="29"/>
  <c r="E138" i="29"/>
  <c r="C138" i="29"/>
  <c r="AU138" i="29"/>
  <c r="AT138" i="29"/>
  <c r="AS138" i="29"/>
  <c r="B138" i="29"/>
  <c r="C135" i="5"/>
  <c r="B135" i="5"/>
  <c r="N135" i="5"/>
  <c r="BG136" i="29"/>
  <c r="AI136" i="4"/>
  <c r="DB136" i="4"/>
  <c r="CN136" i="4"/>
  <c r="CQ136" i="4"/>
  <c r="HG136" i="4"/>
  <c r="BJ136" i="4"/>
  <c r="BS136" i="4"/>
  <c r="X136" i="4"/>
  <c r="BT136" i="4"/>
  <c r="AO136" i="4"/>
  <c r="BM136" i="4"/>
  <c r="CV136" i="4"/>
  <c r="CP136" i="4"/>
  <c r="CM136" i="4"/>
  <c r="CL136" i="4"/>
  <c r="C133" i="15"/>
  <c r="HD136" i="4"/>
  <c r="HO136" i="4"/>
  <c r="HJ136" i="4"/>
  <c r="C136" i="4"/>
  <c r="K136" i="4"/>
  <c r="T136" i="4"/>
  <c r="AL136" i="4"/>
  <c r="AJ136" i="4"/>
  <c r="DI136" i="4"/>
  <c r="DH136" i="4"/>
  <c r="D136" i="4"/>
  <c r="B136" i="4"/>
  <c r="E133" i="14"/>
  <c r="G133" i="15"/>
  <c r="C136" i="16"/>
  <c r="B133" i="14"/>
  <c r="D136" i="16"/>
  <c r="C133" i="14"/>
  <c r="E136" i="16"/>
  <c r="B133" i="13"/>
  <c r="F133" i="13"/>
  <c r="F136" i="16"/>
  <c r="GY136" i="4"/>
  <c r="G136" i="16"/>
  <c r="B136" i="16"/>
  <c r="H133" i="14"/>
  <c r="J133" i="13"/>
  <c r="R136" i="16"/>
  <c r="K137" i="29"/>
  <c r="D137" i="29"/>
  <c r="E137" i="29"/>
  <c r="C137" i="29"/>
  <c r="AU137" i="29"/>
  <c r="AT137" i="29"/>
  <c r="AS137" i="29"/>
  <c r="B137" i="29"/>
  <c r="C134" i="5"/>
  <c r="B134" i="5"/>
  <c r="N134" i="5"/>
  <c r="BG135" i="29"/>
  <c r="AI135" i="4"/>
  <c r="DB135" i="4"/>
  <c r="CN135" i="4"/>
  <c r="CQ135" i="4"/>
  <c r="HG135" i="4"/>
  <c r="BJ135" i="4"/>
  <c r="BS135" i="4"/>
  <c r="X135" i="4"/>
  <c r="BT135" i="4"/>
  <c r="AO135" i="4"/>
  <c r="BM135" i="4"/>
  <c r="CV135" i="4"/>
  <c r="CP135" i="4"/>
  <c r="CM135" i="4"/>
  <c r="CL135" i="4"/>
  <c r="C132" i="15"/>
  <c r="HD135" i="4"/>
  <c r="HO135" i="4"/>
  <c r="HJ135" i="4"/>
  <c r="C135" i="4"/>
  <c r="K135" i="4"/>
  <c r="T135" i="4"/>
  <c r="AL135" i="4"/>
  <c r="AJ135" i="4"/>
  <c r="DI135" i="4"/>
  <c r="DH135" i="4"/>
  <c r="D135" i="4"/>
  <c r="B135" i="4"/>
  <c r="E132" i="14"/>
  <c r="G132" i="15"/>
  <c r="C135" i="16"/>
  <c r="B132" i="14"/>
  <c r="D135" i="16"/>
  <c r="C132" i="14"/>
  <c r="E135" i="16"/>
  <c r="B132" i="13"/>
  <c r="F132" i="13"/>
  <c r="F135" i="16"/>
  <c r="GY135" i="4"/>
  <c r="G135" i="16"/>
  <c r="B135" i="16"/>
  <c r="H132" i="14"/>
  <c r="J132" i="13"/>
  <c r="R135" i="16"/>
  <c r="K136" i="29"/>
  <c r="D136" i="29"/>
  <c r="E136" i="29"/>
  <c r="C136" i="29"/>
  <c r="AU136" i="29"/>
  <c r="AT136" i="29"/>
  <c r="AS136" i="29"/>
  <c r="B136" i="29"/>
  <c r="C133" i="5"/>
  <c r="B133" i="5"/>
  <c r="N133" i="5"/>
  <c r="BG134" i="29"/>
  <c r="AI134" i="4"/>
  <c r="DB134" i="4"/>
  <c r="CN134" i="4"/>
  <c r="CQ134" i="4"/>
  <c r="HG134" i="4"/>
  <c r="BJ134" i="4"/>
  <c r="BS134" i="4"/>
  <c r="X134" i="4"/>
  <c r="BT134" i="4"/>
  <c r="AO134" i="4"/>
  <c r="BM134" i="4"/>
  <c r="CV134" i="4"/>
  <c r="CP134" i="4"/>
  <c r="CM134" i="4"/>
  <c r="CL134" i="4"/>
  <c r="C131" i="15"/>
  <c r="HD134" i="4"/>
  <c r="HO134" i="4"/>
  <c r="HJ134" i="4"/>
  <c r="C134" i="4"/>
  <c r="K134" i="4"/>
  <c r="T134" i="4"/>
  <c r="AL134" i="4"/>
  <c r="AJ134" i="4"/>
  <c r="DI134" i="4"/>
  <c r="DH134" i="4"/>
  <c r="D134" i="4"/>
  <c r="B134" i="4"/>
  <c r="E131" i="14"/>
  <c r="G131" i="15"/>
  <c r="C134" i="16"/>
  <c r="B131" i="14"/>
  <c r="D134" i="16"/>
  <c r="C131" i="14"/>
  <c r="E134" i="16"/>
  <c r="B131" i="13"/>
  <c r="F131" i="13"/>
  <c r="F134" i="16"/>
  <c r="GY134" i="4"/>
  <c r="G134" i="16"/>
  <c r="B134" i="16"/>
  <c r="H131" i="14"/>
  <c r="J131" i="13"/>
  <c r="R134" i="16"/>
  <c r="K135" i="29"/>
  <c r="D135" i="29"/>
  <c r="E135" i="29"/>
  <c r="C135" i="29"/>
  <c r="AU135" i="29"/>
  <c r="AT135" i="29"/>
  <c r="AS135" i="29"/>
  <c r="B135" i="29"/>
  <c r="C132" i="5"/>
  <c r="B132" i="5"/>
  <c r="N132" i="5"/>
  <c r="BG133" i="29"/>
  <c r="AI133" i="4"/>
  <c r="DB133" i="4"/>
  <c r="CN133" i="4"/>
  <c r="CQ133" i="4"/>
  <c r="HG133" i="4"/>
  <c r="BJ133" i="4"/>
  <c r="BS133" i="4"/>
  <c r="X133" i="4"/>
  <c r="BT133" i="4"/>
  <c r="AO133" i="4"/>
  <c r="BM133" i="4"/>
  <c r="CV133" i="4"/>
  <c r="CP133" i="4"/>
  <c r="CM133" i="4"/>
  <c r="CL133" i="4"/>
  <c r="C130" i="15"/>
  <c r="HD133" i="4"/>
  <c r="HO133" i="4"/>
  <c r="HJ133" i="4"/>
  <c r="C133" i="4"/>
  <c r="K133" i="4"/>
  <c r="T133" i="4"/>
  <c r="AL133" i="4"/>
  <c r="AJ133" i="4"/>
  <c r="DI133" i="4"/>
  <c r="DH133" i="4"/>
  <c r="D133" i="4"/>
  <c r="B133" i="4"/>
  <c r="E130" i="14"/>
  <c r="G130" i="15"/>
  <c r="C133" i="16"/>
  <c r="B130" i="14"/>
  <c r="D133" i="16"/>
  <c r="C130" i="14"/>
  <c r="E133" i="16"/>
  <c r="B130" i="13"/>
  <c r="F130" i="13"/>
  <c r="F133" i="16"/>
  <c r="GY133" i="4"/>
  <c r="G133" i="16"/>
  <c r="B133" i="16"/>
  <c r="H130" i="14"/>
  <c r="J130" i="13"/>
  <c r="R133" i="16"/>
  <c r="K134" i="29"/>
  <c r="D134" i="29"/>
  <c r="E134" i="29"/>
  <c r="C134" i="29"/>
  <c r="AU134" i="29"/>
  <c r="AT134" i="29"/>
  <c r="AS134" i="29"/>
  <c r="B134" i="29"/>
  <c r="C131" i="5"/>
  <c r="B131" i="5"/>
  <c r="N131" i="5"/>
  <c r="BG132" i="29"/>
  <c r="AI132" i="4"/>
  <c r="DB132" i="4"/>
  <c r="CN132" i="4"/>
  <c r="CQ132" i="4"/>
  <c r="HG132" i="4"/>
  <c r="BJ132" i="4"/>
  <c r="BS132" i="4"/>
  <c r="X132" i="4"/>
  <c r="BT132" i="4"/>
  <c r="AO132" i="4"/>
  <c r="BM132" i="4"/>
  <c r="CV132" i="4"/>
  <c r="CP132" i="4"/>
  <c r="CM132" i="4"/>
  <c r="CL132" i="4"/>
  <c r="C129" i="15"/>
  <c r="HD132" i="4"/>
  <c r="HO132" i="4"/>
  <c r="HJ132" i="4"/>
  <c r="C132" i="4"/>
  <c r="K132" i="4"/>
  <c r="T132" i="4"/>
  <c r="AL132" i="4"/>
  <c r="AJ132" i="4"/>
  <c r="DI132" i="4"/>
  <c r="DH132" i="4"/>
  <c r="D132" i="4"/>
  <c r="B132" i="4"/>
  <c r="E129" i="14"/>
  <c r="G129" i="15"/>
  <c r="C132" i="16"/>
  <c r="B129" i="14"/>
  <c r="D132" i="16"/>
  <c r="C129" i="14"/>
  <c r="E132" i="16"/>
  <c r="B129" i="13"/>
  <c r="F129" i="13"/>
  <c r="F132" i="16"/>
  <c r="GY132" i="4"/>
  <c r="G132" i="16"/>
  <c r="B132" i="16"/>
  <c r="H129" i="14"/>
  <c r="J129" i="13"/>
  <c r="R132" i="16"/>
  <c r="K133" i="29"/>
  <c r="D133" i="29"/>
  <c r="E133" i="29"/>
  <c r="C133" i="29"/>
  <c r="BD133" i="29"/>
  <c r="AU133" i="29"/>
  <c r="BB133" i="29"/>
  <c r="AT133" i="29"/>
  <c r="AS133" i="29"/>
  <c r="B133" i="29"/>
  <c r="C130" i="5"/>
  <c r="B130" i="5"/>
  <c r="N130" i="5"/>
  <c r="BG131" i="29"/>
  <c r="AI131" i="4"/>
  <c r="DB131" i="4"/>
  <c r="CN131" i="4"/>
  <c r="CQ131" i="4"/>
  <c r="HG131" i="4"/>
  <c r="BJ131" i="4"/>
  <c r="BS131" i="4"/>
  <c r="X131" i="4"/>
  <c r="BT131" i="4"/>
  <c r="AO131" i="4"/>
  <c r="BM131" i="4"/>
  <c r="CV131" i="4"/>
  <c r="CP131" i="4"/>
  <c r="CM131" i="4"/>
  <c r="CL131" i="4"/>
  <c r="C128" i="15"/>
  <c r="HD131" i="4"/>
  <c r="HO131" i="4"/>
  <c r="HJ131" i="4"/>
  <c r="C131" i="4"/>
  <c r="K131" i="4"/>
  <c r="T131" i="4"/>
  <c r="AL131" i="4"/>
  <c r="AJ131" i="4"/>
  <c r="DI131" i="4"/>
  <c r="DH131" i="4"/>
  <c r="D131" i="4"/>
  <c r="B131" i="4"/>
  <c r="E128" i="14"/>
  <c r="G128" i="15"/>
  <c r="C131" i="16"/>
  <c r="B128" i="14"/>
  <c r="D131" i="16"/>
  <c r="C128" i="14"/>
  <c r="E131" i="16"/>
  <c r="B128" i="13"/>
  <c r="F128" i="13"/>
  <c r="F131" i="16"/>
  <c r="GY131" i="4"/>
  <c r="G131" i="16"/>
  <c r="B131" i="16"/>
  <c r="H128" i="14"/>
  <c r="J128" i="13"/>
  <c r="R131" i="16"/>
  <c r="K132" i="29"/>
  <c r="D132" i="29"/>
  <c r="E132" i="29"/>
  <c r="C132" i="29"/>
  <c r="BD132" i="29"/>
  <c r="AU132" i="29"/>
  <c r="BB132" i="29"/>
  <c r="AT132" i="29"/>
  <c r="AS132" i="29"/>
  <c r="B132" i="29"/>
  <c r="C129" i="5"/>
  <c r="B129" i="5"/>
  <c r="N129" i="5"/>
  <c r="BG130" i="29"/>
  <c r="AI130" i="4"/>
  <c r="DB130" i="4"/>
  <c r="CN130" i="4"/>
  <c r="CQ130" i="4"/>
  <c r="HG130" i="4"/>
  <c r="BJ130" i="4"/>
  <c r="BS130" i="4"/>
  <c r="X130" i="4"/>
  <c r="BT130" i="4"/>
  <c r="AO130" i="4"/>
  <c r="BM130" i="4"/>
  <c r="CV130" i="4"/>
  <c r="CP130" i="4"/>
  <c r="CM130" i="4"/>
  <c r="CL130" i="4"/>
  <c r="C127" i="15"/>
  <c r="HD130" i="4"/>
  <c r="HO130" i="4"/>
  <c r="HJ130" i="4"/>
  <c r="C130" i="4"/>
  <c r="K130" i="4"/>
  <c r="T130" i="4"/>
  <c r="AL130" i="4"/>
  <c r="AJ130" i="4"/>
  <c r="DI130" i="4"/>
  <c r="DH130" i="4"/>
  <c r="D130" i="4"/>
  <c r="B130" i="4"/>
  <c r="E127" i="14"/>
  <c r="G127" i="15"/>
  <c r="C130" i="16"/>
  <c r="B127" i="14"/>
  <c r="D130" i="16"/>
  <c r="C127" i="14"/>
  <c r="E130" i="16"/>
  <c r="B127" i="13"/>
  <c r="F127" i="13"/>
  <c r="F130" i="16"/>
  <c r="GY130" i="4"/>
  <c r="G130" i="16"/>
  <c r="B130" i="16"/>
  <c r="H127" i="14"/>
  <c r="J127" i="13"/>
  <c r="R130" i="16"/>
  <c r="K131" i="29"/>
  <c r="D131" i="29"/>
  <c r="G131" i="29"/>
  <c r="E131" i="29"/>
  <c r="C131" i="29"/>
  <c r="BD131" i="29"/>
  <c r="AU131" i="29"/>
  <c r="BB131" i="29"/>
  <c r="AT131" i="29"/>
  <c r="AS131" i="29"/>
  <c r="B131" i="29"/>
  <c r="C128" i="5"/>
  <c r="B128" i="5"/>
  <c r="N128" i="5"/>
  <c r="BG129" i="29"/>
  <c r="AI129" i="4"/>
  <c r="DB129" i="4"/>
  <c r="CN129" i="4"/>
  <c r="CQ129" i="4"/>
  <c r="HG129" i="4"/>
  <c r="BJ129" i="4"/>
  <c r="BS129" i="4"/>
  <c r="X129" i="4"/>
  <c r="BT129" i="4"/>
  <c r="AO129" i="4"/>
  <c r="BM129" i="4"/>
  <c r="CV129" i="4"/>
  <c r="CP129" i="4"/>
  <c r="CM129" i="4"/>
  <c r="CL129" i="4"/>
  <c r="C126" i="15"/>
  <c r="HD129" i="4"/>
  <c r="HO129" i="4"/>
  <c r="HJ129" i="4"/>
  <c r="C129" i="4"/>
  <c r="K129" i="4"/>
  <c r="T129" i="4"/>
  <c r="AL129" i="4"/>
  <c r="AJ129" i="4"/>
  <c r="DI129" i="4"/>
  <c r="DH129" i="4"/>
  <c r="D129" i="4"/>
  <c r="B129" i="4"/>
  <c r="E126" i="14"/>
  <c r="G126" i="15"/>
  <c r="C129" i="16"/>
  <c r="B126" i="14"/>
  <c r="D129" i="16"/>
  <c r="C126" i="14"/>
  <c r="E129" i="16"/>
  <c r="B126" i="13"/>
  <c r="F126" i="13"/>
  <c r="F129" i="16"/>
  <c r="GY129" i="4"/>
  <c r="G129" i="16"/>
  <c r="B129" i="16"/>
  <c r="H126" i="14"/>
  <c r="J126" i="13"/>
  <c r="R129" i="16"/>
  <c r="K130" i="29"/>
  <c r="D130" i="29"/>
  <c r="G130" i="29"/>
  <c r="E130" i="29"/>
  <c r="C130" i="29"/>
  <c r="BD130" i="29"/>
  <c r="AU130" i="29"/>
  <c r="BB130" i="29"/>
  <c r="AT130" i="29"/>
  <c r="AS130" i="29"/>
  <c r="B130" i="29"/>
  <c r="C127" i="5"/>
  <c r="B127" i="5"/>
  <c r="N127" i="5"/>
  <c r="BG128" i="29"/>
  <c r="AI128" i="4"/>
  <c r="DB128" i="4"/>
  <c r="CN128" i="4"/>
  <c r="CQ128" i="4"/>
  <c r="HG128" i="4"/>
  <c r="BJ128" i="4"/>
  <c r="BS128" i="4"/>
  <c r="X128" i="4"/>
  <c r="BT128" i="4"/>
  <c r="AO128" i="4"/>
  <c r="BM128" i="4"/>
  <c r="CV128" i="4"/>
  <c r="CP128" i="4"/>
  <c r="CM128" i="4"/>
  <c r="CL128" i="4"/>
  <c r="C125" i="15"/>
  <c r="HD128" i="4"/>
  <c r="HO128" i="4"/>
  <c r="HJ128" i="4"/>
  <c r="C128" i="4"/>
  <c r="K128" i="4"/>
  <c r="T128" i="4"/>
  <c r="AL128" i="4"/>
  <c r="AJ128" i="4"/>
  <c r="DI128" i="4"/>
  <c r="DH128" i="4"/>
  <c r="D128" i="4"/>
  <c r="B128" i="4"/>
  <c r="E125" i="14"/>
  <c r="G125" i="15"/>
  <c r="C128" i="16"/>
  <c r="B125" i="14"/>
  <c r="D128" i="16"/>
  <c r="C125" i="14"/>
  <c r="E128" i="16"/>
  <c r="B125" i="13"/>
  <c r="F125" i="13"/>
  <c r="F128" i="16"/>
  <c r="GY128" i="4"/>
  <c r="G128" i="16"/>
  <c r="B128" i="16"/>
  <c r="H125" i="14"/>
  <c r="J125" i="13"/>
  <c r="R128" i="16"/>
  <c r="K129" i="29"/>
  <c r="D129" i="29"/>
  <c r="G129" i="29"/>
  <c r="E129" i="29"/>
  <c r="C129" i="29"/>
  <c r="BD129" i="29"/>
  <c r="AU129" i="29"/>
  <c r="BB129" i="29"/>
  <c r="AT129" i="29"/>
  <c r="AS129" i="29"/>
  <c r="B129" i="29"/>
  <c r="C126" i="5"/>
  <c r="B126" i="5"/>
  <c r="N126" i="5"/>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28" i="16"/>
  <c r="C165" i="2"/>
  <c r="D165" i="2"/>
  <c r="E165" i="2"/>
  <c r="C164" i="2"/>
  <c r="D164" i="2"/>
  <c r="E164" i="2"/>
  <c r="C163" i="2"/>
  <c r="D163" i="2"/>
  <c r="E163" i="2"/>
  <c r="C162" i="2"/>
  <c r="D162" i="2"/>
  <c r="E162" i="2"/>
  <c r="C161" i="2"/>
  <c r="D161" i="2"/>
  <c r="E161" i="2"/>
  <c r="C160" i="2"/>
  <c r="D160" i="2"/>
  <c r="E160" i="2"/>
  <c r="C159" i="2"/>
  <c r="D159" i="2"/>
  <c r="E159" i="2"/>
  <c r="C158" i="2"/>
  <c r="D158" i="2"/>
  <c r="E158" i="2"/>
  <c r="C157" i="2"/>
  <c r="D157" i="2"/>
  <c r="E157" i="2"/>
  <c r="C156" i="2"/>
  <c r="D156" i="2"/>
  <c r="E156" i="2"/>
  <c r="C155" i="2"/>
  <c r="D155" i="2"/>
  <c r="E155" i="2"/>
  <c r="C154" i="2"/>
  <c r="D154" i="2"/>
  <c r="E154" i="2"/>
  <c r="C153" i="2"/>
  <c r="D153" i="2"/>
  <c r="E153" i="2"/>
  <c r="C152" i="2"/>
  <c r="D152" i="2"/>
  <c r="E152" i="2"/>
  <c r="C151" i="2"/>
  <c r="D151" i="2"/>
  <c r="E151" i="2"/>
  <c r="C150" i="2"/>
  <c r="D150" i="2"/>
  <c r="E150" i="2"/>
  <c r="C149" i="2"/>
  <c r="D149" i="2"/>
  <c r="E149" i="2"/>
  <c r="C148" i="2"/>
  <c r="D148" i="2"/>
  <c r="E148" i="2"/>
  <c r="C147" i="2"/>
  <c r="D147" i="2"/>
  <c r="E147" i="2"/>
  <c r="C146" i="2"/>
  <c r="D146" i="2"/>
  <c r="E146" i="2"/>
  <c r="C145" i="2"/>
  <c r="D145" i="2"/>
  <c r="E145" i="2"/>
  <c r="C144" i="2"/>
  <c r="D144" i="2"/>
  <c r="E144" i="2"/>
  <c r="C143" i="2"/>
  <c r="D143" i="2"/>
  <c r="E143" i="2"/>
  <c r="C142" i="2"/>
  <c r="D142" i="2"/>
  <c r="E142" i="2"/>
  <c r="C141" i="2"/>
  <c r="D141" i="2"/>
  <c r="E141" i="2"/>
  <c r="C140" i="2"/>
  <c r="D140" i="2"/>
  <c r="E140" i="2"/>
  <c r="C139" i="2"/>
  <c r="D139" i="2"/>
  <c r="E139" i="2"/>
  <c r="C138" i="2"/>
  <c r="D138" i="2"/>
  <c r="E138" i="2"/>
  <c r="C137" i="2"/>
  <c r="D137" i="2"/>
  <c r="E137" i="2"/>
  <c r="C136" i="2"/>
  <c r="D136" i="2"/>
  <c r="E136" i="2"/>
  <c r="C135" i="2"/>
  <c r="D135" i="2"/>
  <c r="E135" i="2"/>
  <c r="C134" i="2"/>
  <c r="D134" i="2"/>
  <c r="E134" i="2"/>
  <c r="C133" i="2"/>
  <c r="D133" i="2"/>
  <c r="E133" i="2"/>
  <c r="C132" i="2"/>
  <c r="D132" i="2"/>
  <c r="E132" i="2"/>
  <c r="C131" i="2"/>
  <c r="D131" i="2"/>
  <c r="E131" i="2"/>
  <c r="C130" i="2"/>
  <c r="D130" i="2"/>
  <c r="E130" i="2"/>
  <c r="C129" i="2"/>
  <c r="D129" i="2"/>
  <c r="E129" i="2"/>
  <c r="C128" i="2"/>
  <c r="D128" i="2"/>
  <c r="E128" i="2"/>
  <c r="C127" i="2"/>
  <c r="D127" i="2"/>
  <c r="E127" i="2"/>
  <c r="C126" i="2"/>
  <c r="D126" i="2"/>
  <c r="E126" i="2"/>
  <c r="C125" i="2"/>
  <c r="D125" i="2"/>
  <c r="E125" i="2"/>
  <c r="K128" i="29"/>
  <c r="D128" i="29"/>
  <c r="G128" i="29"/>
  <c r="E128" i="29"/>
  <c r="C128" i="29"/>
  <c r="C124" i="2"/>
  <c r="BD128" i="29"/>
  <c r="AU128" i="29"/>
  <c r="BB128" i="29"/>
  <c r="AT128" i="29"/>
  <c r="AS128" i="29"/>
  <c r="D124" i="2"/>
  <c r="B128" i="29"/>
  <c r="C125" i="5"/>
  <c r="B125" i="5"/>
  <c r="N125" i="5"/>
  <c r="E124" i="2"/>
  <c r="K127" i="29"/>
  <c r="D127" i="29"/>
  <c r="G127" i="29"/>
  <c r="HD127" i="4"/>
  <c r="HG127" i="4"/>
  <c r="HO127" i="4"/>
  <c r="HJ127" i="4"/>
  <c r="C127" i="4"/>
  <c r="K127" i="4"/>
  <c r="BG127" i="29"/>
  <c r="AI127" i="4"/>
  <c r="T127" i="4"/>
  <c r="X127" i="4"/>
  <c r="BT127" i="4"/>
  <c r="AO127" i="4"/>
  <c r="BS127" i="4"/>
  <c r="BM127" i="4"/>
  <c r="AL127" i="4"/>
  <c r="AJ127" i="4"/>
  <c r="DB127" i="4"/>
  <c r="CN127" i="4"/>
  <c r="BJ127" i="4"/>
  <c r="CV127" i="4"/>
  <c r="CP127" i="4"/>
  <c r="CM127" i="4"/>
  <c r="CQ127" i="4"/>
  <c r="CL127" i="4"/>
  <c r="DI127" i="4"/>
  <c r="DH127" i="4"/>
  <c r="D127" i="4"/>
  <c r="B127" i="4"/>
  <c r="E127" i="29"/>
  <c r="C127" i="29"/>
  <c r="C123" i="2"/>
  <c r="BD127" i="29"/>
  <c r="AU127" i="29"/>
  <c r="BB127" i="29"/>
  <c r="AT127" i="29"/>
  <c r="AS127" i="29"/>
  <c r="D123" i="2"/>
  <c r="B127" i="29"/>
  <c r="C124" i="5"/>
  <c r="B124" i="5"/>
  <c r="N124" i="5"/>
  <c r="E123" i="2"/>
  <c r="K126" i="29"/>
  <c r="D126" i="29"/>
  <c r="G126" i="29"/>
  <c r="HD126" i="4"/>
  <c r="HG126" i="4"/>
  <c r="HO126" i="4"/>
  <c r="HJ126" i="4"/>
  <c r="C126" i="4"/>
  <c r="K126" i="4"/>
  <c r="BG126" i="29"/>
  <c r="AI126" i="4"/>
  <c r="T126" i="4"/>
  <c r="X126" i="4"/>
  <c r="BT126" i="4"/>
  <c r="AO126" i="4"/>
  <c r="BS126" i="4"/>
  <c r="BM126" i="4"/>
  <c r="AL126" i="4"/>
  <c r="AJ126" i="4"/>
  <c r="DB126" i="4"/>
  <c r="CN126" i="4"/>
  <c r="BJ126" i="4"/>
  <c r="CV126" i="4"/>
  <c r="CP126" i="4"/>
  <c r="CM126" i="4"/>
  <c r="CQ126" i="4"/>
  <c r="CL126" i="4"/>
  <c r="DI126" i="4"/>
  <c r="DH126" i="4"/>
  <c r="D126" i="4"/>
  <c r="B126" i="4"/>
  <c r="E126" i="29"/>
  <c r="C126" i="29"/>
  <c r="C122" i="2"/>
  <c r="BD126" i="29"/>
  <c r="AU126" i="29"/>
  <c r="BB126" i="29"/>
  <c r="AT126" i="29"/>
  <c r="AS126" i="29"/>
  <c r="D122" i="2"/>
  <c r="B126" i="29"/>
  <c r="C123" i="5"/>
  <c r="B123" i="5"/>
  <c r="N123" i="5"/>
  <c r="E122" i="2"/>
  <c r="K125" i="29"/>
  <c r="D125" i="29"/>
  <c r="G125" i="29"/>
  <c r="HD125" i="4"/>
  <c r="HG125" i="4"/>
  <c r="HO125" i="4"/>
  <c r="HJ125" i="4"/>
  <c r="C125" i="4"/>
  <c r="K125" i="4"/>
  <c r="BG125" i="29"/>
  <c r="AI125" i="4"/>
  <c r="T125" i="4"/>
  <c r="X125" i="4"/>
  <c r="BT125" i="4"/>
  <c r="AO125" i="4"/>
  <c r="BS125" i="4"/>
  <c r="BM125" i="4"/>
  <c r="AL125" i="4"/>
  <c r="AJ125" i="4"/>
  <c r="DB125" i="4"/>
  <c r="CN125" i="4"/>
  <c r="BJ125" i="4"/>
  <c r="CV125" i="4"/>
  <c r="CP125" i="4"/>
  <c r="CM125" i="4"/>
  <c r="CQ125" i="4"/>
  <c r="CL125" i="4"/>
  <c r="DI125" i="4"/>
  <c r="DH125" i="4"/>
  <c r="D125" i="4"/>
  <c r="B125" i="4"/>
  <c r="E125" i="29"/>
  <c r="C125" i="29"/>
  <c r="C121" i="2"/>
  <c r="BD125" i="29"/>
  <c r="AU125" i="29"/>
  <c r="BB125" i="29"/>
  <c r="AT125" i="29"/>
  <c r="AS125" i="29"/>
  <c r="D121" i="2"/>
  <c r="B125" i="29"/>
  <c r="C122" i="5"/>
  <c r="B122" i="5"/>
  <c r="N122" i="5"/>
  <c r="E121" i="2"/>
  <c r="K124" i="29"/>
  <c r="D124" i="29"/>
  <c r="G124" i="29"/>
  <c r="HD124" i="4"/>
  <c r="HG124" i="4"/>
  <c r="HO124" i="4"/>
  <c r="HJ124" i="4"/>
  <c r="C124" i="4"/>
  <c r="K124" i="4"/>
  <c r="BG124" i="29"/>
  <c r="AI124" i="4"/>
  <c r="T124" i="4"/>
  <c r="X124" i="4"/>
  <c r="BT124" i="4"/>
  <c r="AO124" i="4"/>
  <c r="BS124" i="4"/>
  <c r="BM124" i="4"/>
  <c r="AL124" i="4"/>
  <c r="AJ124" i="4"/>
  <c r="DB124" i="4"/>
  <c r="CN124" i="4"/>
  <c r="BJ124" i="4"/>
  <c r="CV124" i="4"/>
  <c r="CP124" i="4"/>
  <c r="CM124" i="4"/>
  <c r="CQ124" i="4"/>
  <c r="CL124" i="4"/>
  <c r="DI124" i="4"/>
  <c r="DH124" i="4"/>
  <c r="D124" i="4"/>
  <c r="B124" i="4"/>
  <c r="E124" i="29"/>
  <c r="C124" i="29"/>
  <c r="C120" i="2"/>
  <c r="BD124" i="29"/>
  <c r="AU124" i="29"/>
  <c r="BB124" i="29"/>
  <c r="AT124" i="29"/>
  <c r="AS124" i="29"/>
  <c r="D120" i="2"/>
  <c r="B124" i="29"/>
  <c r="C121" i="5"/>
  <c r="B121" i="5"/>
  <c r="N121" i="5"/>
  <c r="E120" i="2"/>
  <c r="K123" i="29"/>
  <c r="D123" i="29"/>
  <c r="G123" i="29"/>
  <c r="HD123" i="4"/>
  <c r="HG123" i="4"/>
  <c r="HO123" i="4"/>
  <c r="HJ123" i="4"/>
  <c r="C123" i="4"/>
  <c r="K123" i="4"/>
  <c r="BG123" i="29"/>
  <c r="AI123" i="4"/>
  <c r="T123" i="4"/>
  <c r="X123" i="4"/>
  <c r="BT123" i="4"/>
  <c r="AO123" i="4"/>
  <c r="BS123" i="4"/>
  <c r="BM123" i="4"/>
  <c r="AL123" i="4"/>
  <c r="AJ123" i="4"/>
  <c r="DB123" i="4"/>
  <c r="CN123" i="4"/>
  <c r="BJ123" i="4"/>
  <c r="CV123" i="4"/>
  <c r="CP123" i="4"/>
  <c r="CM123" i="4"/>
  <c r="CQ123" i="4"/>
  <c r="CL123" i="4"/>
  <c r="DI123" i="4"/>
  <c r="DH123" i="4"/>
  <c r="D123" i="4"/>
  <c r="B123" i="4"/>
  <c r="E123" i="29"/>
  <c r="C123" i="29"/>
  <c r="C119" i="2"/>
  <c r="BD123" i="29"/>
  <c r="AU123" i="29"/>
  <c r="BB123" i="29"/>
  <c r="AT123" i="29"/>
  <c r="AS123" i="29"/>
  <c r="D119" i="2"/>
  <c r="B123" i="29"/>
  <c r="C120" i="5"/>
  <c r="B120" i="5"/>
  <c r="N120" i="5"/>
  <c r="E119" i="2"/>
  <c r="K122" i="29"/>
  <c r="D122" i="29"/>
  <c r="G122" i="29"/>
  <c r="HD122" i="4"/>
  <c r="HG122" i="4"/>
  <c r="HO122" i="4"/>
  <c r="HJ122" i="4"/>
  <c r="C122" i="4"/>
  <c r="K122" i="4"/>
  <c r="BG122" i="29"/>
  <c r="AI122" i="4"/>
  <c r="T122" i="4"/>
  <c r="X122" i="4"/>
  <c r="BT122" i="4"/>
  <c r="AO122" i="4"/>
  <c r="BS122" i="4"/>
  <c r="BM122" i="4"/>
  <c r="AL122" i="4"/>
  <c r="AJ122" i="4"/>
  <c r="DB122" i="4"/>
  <c r="CN122" i="4"/>
  <c r="BJ122" i="4"/>
  <c r="CV122" i="4"/>
  <c r="CP122" i="4"/>
  <c r="CM122" i="4"/>
  <c r="CQ122" i="4"/>
  <c r="CL122" i="4"/>
  <c r="DI122" i="4"/>
  <c r="DH122" i="4"/>
  <c r="D122" i="4"/>
  <c r="B122" i="4"/>
  <c r="E122" i="29"/>
  <c r="C122" i="29"/>
  <c r="C118" i="2"/>
  <c r="BD122" i="29"/>
  <c r="AU122" i="29"/>
  <c r="BB122" i="29"/>
  <c r="AT122" i="29"/>
  <c r="AS122" i="29"/>
  <c r="D118" i="2"/>
  <c r="B122" i="29"/>
  <c r="C119" i="5"/>
  <c r="B119" i="5"/>
  <c r="N119" i="5"/>
  <c r="E118" i="2"/>
  <c r="K121" i="29"/>
  <c r="D121" i="29"/>
  <c r="G121" i="29"/>
  <c r="HD121" i="4"/>
  <c r="HG121" i="4"/>
  <c r="HO121" i="4"/>
  <c r="HJ121" i="4"/>
  <c r="C121" i="4"/>
  <c r="K121" i="4"/>
  <c r="BG121" i="29"/>
  <c r="AI121" i="4"/>
  <c r="T121" i="4"/>
  <c r="X121" i="4"/>
  <c r="BT121" i="4"/>
  <c r="AO121" i="4"/>
  <c r="BS121" i="4"/>
  <c r="BM121" i="4"/>
  <c r="AL121" i="4"/>
  <c r="AJ121" i="4"/>
  <c r="DB121" i="4"/>
  <c r="CN121" i="4"/>
  <c r="BJ121" i="4"/>
  <c r="DT121" i="4"/>
  <c r="DJ121" i="4"/>
  <c r="CV121" i="4"/>
  <c r="CP121" i="4"/>
  <c r="CM121" i="4"/>
  <c r="CQ121" i="4"/>
  <c r="CL121" i="4"/>
  <c r="DI121" i="4"/>
  <c r="DH121" i="4"/>
  <c r="D121" i="4"/>
  <c r="B121" i="4"/>
  <c r="E121" i="29"/>
  <c r="C121" i="29"/>
  <c r="C117" i="2"/>
  <c r="BD121" i="29"/>
  <c r="AU121" i="29"/>
  <c r="BB121" i="29"/>
  <c r="AT121" i="29"/>
  <c r="AS121" i="29"/>
  <c r="D117" i="2"/>
  <c r="B121" i="29"/>
  <c r="C118" i="5"/>
  <c r="B118" i="5"/>
  <c r="N118" i="5"/>
  <c r="E117" i="2"/>
  <c r="K120" i="29"/>
  <c r="D120" i="29"/>
  <c r="HD120" i="4"/>
  <c r="HG120" i="4"/>
  <c r="HO120" i="4"/>
  <c r="HJ120" i="4"/>
  <c r="C120" i="4"/>
  <c r="K120" i="4"/>
  <c r="BG120" i="29"/>
  <c r="AI120" i="4"/>
  <c r="T120" i="4"/>
  <c r="X120" i="4"/>
  <c r="BT120" i="4"/>
  <c r="AO120" i="4"/>
  <c r="BS120" i="4"/>
  <c r="BM120" i="4"/>
  <c r="AL120" i="4"/>
  <c r="AJ120" i="4"/>
  <c r="DB120" i="4"/>
  <c r="CN120" i="4"/>
  <c r="BJ120" i="4"/>
  <c r="DT120" i="4"/>
  <c r="DJ120" i="4"/>
  <c r="CV120" i="4"/>
  <c r="CP120" i="4"/>
  <c r="CM120" i="4"/>
  <c r="CQ120" i="4"/>
  <c r="CL120" i="4"/>
  <c r="DI120" i="4"/>
  <c r="DH120" i="4"/>
  <c r="D120" i="4"/>
  <c r="B120" i="4"/>
  <c r="E120" i="29"/>
  <c r="C120" i="29"/>
  <c r="C116" i="2"/>
  <c r="BD120" i="29"/>
  <c r="AU120" i="29"/>
  <c r="BB120" i="29"/>
  <c r="AT120" i="29"/>
  <c r="AS120" i="29"/>
  <c r="D116" i="2"/>
  <c r="B120" i="29"/>
  <c r="C117" i="5"/>
  <c r="B117" i="5"/>
  <c r="N117" i="5"/>
  <c r="E116" i="2"/>
  <c r="K119" i="29"/>
  <c r="D119" i="29"/>
  <c r="HD119" i="4"/>
  <c r="HG119" i="4"/>
  <c r="HO119" i="4"/>
  <c r="HJ119" i="4"/>
  <c r="C119" i="4"/>
  <c r="K119" i="4"/>
  <c r="BG119" i="29"/>
  <c r="AI119" i="4"/>
  <c r="T119" i="4"/>
  <c r="X119" i="4"/>
  <c r="BT119" i="4"/>
  <c r="AO119" i="4"/>
  <c r="BS119" i="4"/>
  <c r="BM119" i="4"/>
  <c r="AL119" i="4"/>
  <c r="AJ119" i="4"/>
  <c r="DB119" i="4"/>
  <c r="CN119" i="4"/>
  <c r="BJ119" i="4"/>
  <c r="DT119" i="4"/>
  <c r="DJ119" i="4"/>
  <c r="CV119" i="4"/>
  <c r="CP119" i="4"/>
  <c r="CM119" i="4"/>
  <c r="CQ119" i="4"/>
  <c r="CL119" i="4"/>
  <c r="DI119" i="4"/>
  <c r="DH119" i="4"/>
  <c r="D119" i="4"/>
  <c r="B119" i="4"/>
  <c r="E119" i="29"/>
  <c r="C119" i="29"/>
  <c r="C115" i="2"/>
  <c r="BD119" i="29"/>
  <c r="AU119" i="29"/>
  <c r="BB119" i="29"/>
  <c r="AT119" i="29"/>
  <c r="AS119" i="29"/>
  <c r="D115" i="2"/>
  <c r="B119" i="29"/>
  <c r="C116" i="5"/>
  <c r="B116" i="5"/>
  <c r="N116" i="5"/>
  <c r="E115" i="2"/>
  <c r="K109" i="29"/>
  <c r="D109" i="29"/>
  <c r="HD109" i="4"/>
  <c r="HG109" i="4"/>
  <c r="HO109" i="4"/>
  <c r="HJ109" i="4"/>
  <c r="C109" i="4"/>
  <c r="K109" i="4"/>
  <c r="BG109" i="29"/>
  <c r="AI109" i="4"/>
  <c r="T109" i="4"/>
  <c r="X109" i="4"/>
  <c r="BT109" i="4"/>
  <c r="AO109" i="4"/>
  <c r="BS109" i="4"/>
  <c r="BM109" i="4"/>
  <c r="AL109" i="4"/>
  <c r="AJ109" i="4"/>
  <c r="DB109" i="4"/>
  <c r="CN109" i="4"/>
  <c r="BJ109" i="4"/>
  <c r="DT109" i="4"/>
  <c r="DJ109" i="4"/>
  <c r="CV109" i="4"/>
  <c r="CP109" i="4"/>
  <c r="CM109" i="4"/>
  <c r="CQ109" i="4"/>
  <c r="CL109" i="4"/>
  <c r="DI109" i="4"/>
  <c r="DH109" i="4"/>
  <c r="D109" i="4"/>
  <c r="B109" i="4"/>
  <c r="E109" i="29"/>
  <c r="C109" i="29"/>
  <c r="BD109" i="29"/>
  <c r="AU109" i="29"/>
  <c r="BB109" i="29"/>
  <c r="AT109" i="29"/>
  <c r="AS109" i="29"/>
  <c r="B109" i="29"/>
  <c r="K110" i="29"/>
  <c r="D110" i="29"/>
  <c r="HD110" i="4"/>
  <c r="HG110" i="4"/>
  <c r="HO110" i="4"/>
  <c r="HJ110" i="4"/>
  <c r="C110" i="4"/>
  <c r="K110" i="4"/>
  <c r="BG110" i="29"/>
  <c r="AI110" i="4"/>
  <c r="T110" i="4"/>
  <c r="X110" i="4"/>
  <c r="BT110" i="4"/>
  <c r="AO110" i="4"/>
  <c r="BS110" i="4"/>
  <c r="BM110" i="4"/>
  <c r="AL110" i="4"/>
  <c r="AJ110" i="4"/>
  <c r="DB110" i="4"/>
  <c r="CN110" i="4"/>
  <c r="BJ110" i="4"/>
  <c r="DT110" i="4"/>
  <c r="DJ110" i="4"/>
  <c r="CV110" i="4"/>
  <c r="CP110" i="4"/>
  <c r="CM110" i="4"/>
  <c r="CQ110" i="4"/>
  <c r="CL110" i="4"/>
  <c r="DI110" i="4"/>
  <c r="DH110" i="4"/>
  <c r="D110" i="4"/>
  <c r="B110" i="4"/>
  <c r="E110" i="29"/>
  <c r="C110" i="29"/>
  <c r="BD110" i="29"/>
  <c r="AU110" i="29"/>
  <c r="BB110" i="29"/>
  <c r="AT110" i="29"/>
  <c r="AS110" i="29"/>
  <c r="B110" i="29"/>
  <c r="C106" i="5"/>
  <c r="B106" i="5"/>
  <c r="N106" i="5"/>
  <c r="E105" i="2"/>
  <c r="C105" i="2"/>
  <c r="D105" i="2"/>
  <c r="K111" i="29"/>
  <c r="D111" i="29"/>
  <c r="HD111" i="4"/>
  <c r="HG111" i="4"/>
  <c r="HO111" i="4"/>
  <c r="HJ111" i="4"/>
  <c r="C111" i="4"/>
  <c r="K111" i="4"/>
  <c r="BG111" i="29"/>
  <c r="AI111" i="4"/>
  <c r="T111" i="4"/>
  <c r="X111" i="4"/>
  <c r="BT111" i="4"/>
  <c r="AO111" i="4"/>
  <c r="BS111" i="4"/>
  <c r="BM111" i="4"/>
  <c r="AL111" i="4"/>
  <c r="AJ111" i="4"/>
  <c r="DB111" i="4"/>
  <c r="CN111" i="4"/>
  <c r="BJ111" i="4"/>
  <c r="DT111" i="4"/>
  <c r="DJ111" i="4"/>
  <c r="CV111" i="4"/>
  <c r="CP111" i="4"/>
  <c r="CM111" i="4"/>
  <c r="CQ111" i="4"/>
  <c r="CL111" i="4"/>
  <c r="DI111" i="4"/>
  <c r="DH111" i="4"/>
  <c r="D111" i="4"/>
  <c r="B111" i="4"/>
  <c r="E111" i="29"/>
  <c r="C111" i="29"/>
  <c r="BD111" i="29"/>
  <c r="AU111" i="29"/>
  <c r="BB111" i="29"/>
  <c r="AT111" i="29"/>
  <c r="AS111" i="29"/>
  <c r="B111" i="29"/>
  <c r="C107" i="5"/>
  <c r="B107" i="5"/>
  <c r="N107" i="5"/>
  <c r="E106" i="2"/>
  <c r="C106" i="2"/>
  <c r="D106" i="2"/>
  <c r="K112" i="29"/>
  <c r="D112" i="29"/>
  <c r="HD112" i="4"/>
  <c r="HG112" i="4"/>
  <c r="HO112" i="4"/>
  <c r="HJ112" i="4"/>
  <c r="C112" i="4"/>
  <c r="K112" i="4"/>
  <c r="BG112" i="29"/>
  <c r="AI112" i="4"/>
  <c r="T112" i="4"/>
  <c r="X112" i="4"/>
  <c r="BT112" i="4"/>
  <c r="AO112" i="4"/>
  <c r="BS112" i="4"/>
  <c r="BM112" i="4"/>
  <c r="AL112" i="4"/>
  <c r="AJ112" i="4"/>
  <c r="DB112" i="4"/>
  <c r="CN112" i="4"/>
  <c r="BJ112" i="4"/>
  <c r="DT112" i="4"/>
  <c r="DJ112" i="4"/>
  <c r="CV112" i="4"/>
  <c r="CP112" i="4"/>
  <c r="CM112" i="4"/>
  <c r="CQ112" i="4"/>
  <c r="CL112" i="4"/>
  <c r="DI112" i="4"/>
  <c r="DH112" i="4"/>
  <c r="D112" i="4"/>
  <c r="B112" i="4"/>
  <c r="E112" i="29"/>
  <c r="C112" i="29"/>
  <c r="BD112" i="29"/>
  <c r="AU112" i="29"/>
  <c r="BB112" i="29"/>
  <c r="AT112" i="29"/>
  <c r="AS112" i="29"/>
  <c r="B112" i="29"/>
  <c r="C108" i="5"/>
  <c r="B108" i="5"/>
  <c r="N108" i="5"/>
  <c r="E107" i="2"/>
  <c r="C107" i="2"/>
  <c r="D107" i="2"/>
  <c r="K113" i="29"/>
  <c r="D113" i="29"/>
  <c r="HD113" i="4"/>
  <c r="HG113" i="4"/>
  <c r="HO113" i="4"/>
  <c r="HJ113" i="4"/>
  <c r="C113" i="4"/>
  <c r="K113" i="4"/>
  <c r="BG113" i="29"/>
  <c r="AI113" i="4"/>
  <c r="T113" i="4"/>
  <c r="X113" i="4"/>
  <c r="BT113" i="4"/>
  <c r="AO113" i="4"/>
  <c r="BS113" i="4"/>
  <c r="BM113" i="4"/>
  <c r="AL113" i="4"/>
  <c r="AJ113" i="4"/>
  <c r="DB113" i="4"/>
  <c r="CN113" i="4"/>
  <c r="BJ113" i="4"/>
  <c r="DT113" i="4"/>
  <c r="DJ113" i="4"/>
  <c r="CV113" i="4"/>
  <c r="CP113" i="4"/>
  <c r="CM113" i="4"/>
  <c r="CQ113" i="4"/>
  <c r="CL113" i="4"/>
  <c r="DI113" i="4"/>
  <c r="DH113" i="4"/>
  <c r="D113" i="4"/>
  <c r="B113" i="4"/>
  <c r="E113" i="29"/>
  <c r="C113" i="29"/>
  <c r="BD113" i="29"/>
  <c r="AU113" i="29"/>
  <c r="BB113" i="29"/>
  <c r="AT113" i="29"/>
  <c r="AS113" i="29"/>
  <c r="B113" i="29"/>
  <c r="C109" i="5"/>
  <c r="B109" i="5"/>
  <c r="N109" i="5"/>
  <c r="E108" i="2"/>
  <c r="C108" i="2"/>
  <c r="D108" i="2"/>
  <c r="K114" i="29"/>
  <c r="D114" i="29"/>
  <c r="HD114" i="4"/>
  <c r="HG114" i="4"/>
  <c r="HO114" i="4"/>
  <c r="HJ114" i="4"/>
  <c r="C114" i="4"/>
  <c r="K114" i="4"/>
  <c r="BG114" i="29"/>
  <c r="AI114" i="4"/>
  <c r="T114" i="4"/>
  <c r="X114" i="4"/>
  <c r="BT114" i="4"/>
  <c r="AO114" i="4"/>
  <c r="BS114" i="4"/>
  <c r="BM114" i="4"/>
  <c r="AL114" i="4"/>
  <c r="AJ114" i="4"/>
  <c r="DB114" i="4"/>
  <c r="CN114" i="4"/>
  <c r="BJ114" i="4"/>
  <c r="DT114" i="4"/>
  <c r="DJ114" i="4"/>
  <c r="CV114" i="4"/>
  <c r="CP114" i="4"/>
  <c r="CM114" i="4"/>
  <c r="CQ114" i="4"/>
  <c r="CL114" i="4"/>
  <c r="DI114" i="4"/>
  <c r="DH114" i="4"/>
  <c r="D114" i="4"/>
  <c r="B114" i="4"/>
  <c r="E114" i="29"/>
  <c r="C114" i="29"/>
  <c r="BD114" i="29"/>
  <c r="AU114" i="29"/>
  <c r="BB114" i="29"/>
  <c r="AT114" i="29"/>
  <c r="AS114" i="29"/>
  <c r="B114" i="29"/>
  <c r="C110" i="5"/>
  <c r="B110" i="5"/>
  <c r="N110" i="5"/>
  <c r="E109" i="2"/>
  <c r="C109" i="2"/>
  <c r="D109" i="2"/>
  <c r="K115" i="29"/>
  <c r="D115" i="29"/>
  <c r="HD115" i="4"/>
  <c r="HG115" i="4"/>
  <c r="HO115" i="4"/>
  <c r="HJ115" i="4"/>
  <c r="C115" i="4"/>
  <c r="K115" i="4"/>
  <c r="BG115" i="29"/>
  <c r="AI115" i="4"/>
  <c r="T115" i="4"/>
  <c r="X115" i="4"/>
  <c r="BT115" i="4"/>
  <c r="AO115" i="4"/>
  <c r="BS115" i="4"/>
  <c r="BM115" i="4"/>
  <c r="AL115" i="4"/>
  <c r="AJ115" i="4"/>
  <c r="DB115" i="4"/>
  <c r="CN115" i="4"/>
  <c r="BJ115" i="4"/>
  <c r="DT115" i="4"/>
  <c r="DJ115" i="4"/>
  <c r="CV115" i="4"/>
  <c r="CP115" i="4"/>
  <c r="CM115" i="4"/>
  <c r="CQ115" i="4"/>
  <c r="CL115" i="4"/>
  <c r="DI115" i="4"/>
  <c r="DH115" i="4"/>
  <c r="D115" i="4"/>
  <c r="B115" i="4"/>
  <c r="E115" i="29"/>
  <c r="C115" i="29"/>
  <c r="BD115" i="29"/>
  <c r="AU115" i="29"/>
  <c r="BB115" i="29"/>
  <c r="AT115" i="29"/>
  <c r="AS115" i="29"/>
  <c r="B115" i="29"/>
  <c r="C111" i="5"/>
  <c r="B111" i="5"/>
  <c r="N111" i="5"/>
  <c r="E110" i="2"/>
  <c r="C110" i="2"/>
  <c r="D110" i="2"/>
  <c r="K116" i="29"/>
  <c r="D116" i="29"/>
  <c r="HD116" i="4"/>
  <c r="HG116" i="4"/>
  <c r="HO116" i="4"/>
  <c r="HJ116" i="4"/>
  <c r="C116" i="4"/>
  <c r="K116" i="4"/>
  <c r="BG116" i="29"/>
  <c r="AI116" i="4"/>
  <c r="T116" i="4"/>
  <c r="X116" i="4"/>
  <c r="BT116" i="4"/>
  <c r="AO116" i="4"/>
  <c r="BS116" i="4"/>
  <c r="BM116" i="4"/>
  <c r="AL116" i="4"/>
  <c r="AJ116" i="4"/>
  <c r="DB116" i="4"/>
  <c r="CN116" i="4"/>
  <c r="BJ116" i="4"/>
  <c r="DT116" i="4"/>
  <c r="DJ116" i="4"/>
  <c r="CV116" i="4"/>
  <c r="CP116" i="4"/>
  <c r="CM116" i="4"/>
  <c r="CQ116" i="4"/>
  <c r="CL116" i="4"/>
  <c r="DI116" i="4"/>
  <c r="DH116" i="4"/>
  <c r="D116" i="4"/>
  <c r="B116" i="4"/>
  <c r="E116" i="29"/>
  <c r="C116" i="29"/>
  <c r="BD116" i="29"/>
  <c r="AU116" i="29"/>
  <c r="BB116" i="29"/>
  <c r="AT116" i="29"/>
  <c r="AS116" i="29"/>
  <c r="B116" i="29"/>
  <c r="C112" i="5"/>
  <c r="B112" i="5"/>
  <c r="N112" i="5"/>
  <c r="E111" i="2"/>
  <c r="C111" i="2"/>
  <c r="D111" i="2"/>
  <c r="K117" i="29"/>
  <c r="D117" i="29"/>
  <c r="HD117" i="4"/>
  <c r="HG117" i="4"/>
  <c r="HO117" i="4"/>
  <c r="HJ117" i="4"/>
  <c r="C117" i="4"/>
  <c r="K117" i="4"/>
  <c r="BG117" i="29"/>
  <c r="AI117" i="4"/>
  <c r="T117" i="4"/>
  <c r="X117" i="4"/>
  <c r="BT117" i="4"/>
  <c r="AO117" i="4"/>
  <c r="BS117" i="4"/>
  <c r="BM117" i="4"/>
  <c r="AL117" i="4"/>
  <c r="AJ117" i="4"/>
  <c r="DB117" i="4"/>
  <c r="CN117" i="4"/>
  <c r="BJ117" i="4"/>
  <c r="DT117" i="4"/>
  <c r="DJ117" i="4"/>
  <c r="CV117" i="4"/>
  <c r="CP117" i="4"/>
  <c r="CM117" i="4"/>
  <c r="CQ117" i="4"/>
  <c r="CL117" i="4"/>
  <c r="DI117" i="4"/>
  <c r="DH117" i="4"/>
  <c r="D117" i="4"/>
  <c r="B117" i="4"/>
  <c r="E117" i="29"/>
  <c r="C117" i="29"/>
  <c r="BD117" i="29"/>
  <c r="AU117" i="29"/>
  <c r="BB117" i="29"/>
  <c r="AT117" i="29"/>
  <c r="AS117" i="29"/>
  <c r="B117" i="29"/>
  <c r="C113" i="5"/>
  <c r="B113" i="5"/>
  <c r="N113" i="5"/>
  <c r="E112" i="2"/>
  <c r="C112" i="2"/>
  <c r="D112" i="2"/>
  <c r="K118" i="29"/>
  <c r="D118" i="29"/>
  <c r="HD118" i="4"/>
  <c r="HG118" i="4"/>
  <c r="HO118" i="4"/>
  <c r="HJ118" i="4"/>
  <c r="C118" i="4"/>
  <c r="K118" i="4"/>
  <c r="BG118" i="29"/>
  <c r="AI118" i="4"/>
  <c r="T118" i="4"/>
  <c r="X118" i="4"/>
  <c r="BT118" i="4"/>
  <c r="AO118" i="4"/>
  <c r="BS118" i="4"/>
  <c r="BM118" i="4"/>
  <c r="AL118" i="4"/>
  <c r="AJ118" i="4"/>
  <c r="DB118" i="4"/>
  <c r="CN118" i="4"/>
  <c r="BJ118" i="4"/>
  <c r="DT118" i="4"/>
  <c r="DJ118" i="4"/>
  <c r="CV118" i="4"/>
  <c r="CP118" i="4"/>
  <c r="CM118" i="4"/>
  <c r="CQ118" i="4"/>
  <c r="CL118" i="4"/>
  <c r="DI118" i="4"/>
  <c r="DH118" i="4"/>
  <c r="D118" i="4"/>
  <c r="B118" i="4"/>
  <c r="E118" i="29"/>
  <c r="C118" i="29"/>
  <c r="BD118" i="29"/>
  <c r="AU118" i="29"/>
  <c r="BB118" i="29"/>
  <c r="AT118" i="29"/>
  <c r="AS118" i="29"/>
  <c r="B118" i="29"/>
  <c r="C114" i="5"/>
  <c r="B114" i="5"/>
  <c r="N114" i="5"/>
  <c r="E113" i="2"/>
  <c r="C113" i="2"/>
  <c r="D113" i="2"/>
  <c r="C115" i="5"/>
  <c r="B115" i="5"/>
  <c r="N115" i="5"/>
  <c r="E114" i="2"/>
  <c r="C114" i="2"/>
  <c r="D114" i="2"/>
  <c r="F10" i="45"/>
  <c r="D10" i="45"/>
  <c r="E10" i="45"/>
  <c r="C10" i="45"/>
  <c r="L10" i="45"/>
  <c r="H10" i="45"/>
  <c r="B10" i="45"/>
  <c r="F10" i="47"/>
  <c r="B10" i="47"/>
  <c r="E10" i="47"/>
  <c r="K10" i="47"/>
  <c r="F11" i="45"/>
  <c r="D11" i="45"/>
  <c r="E11" i="45"/>
  <c r="C11" i="45"/>
  <c r="L11" i="45"/>
  <c r="H11" i="45"/>
  <c r="B11" i="45"/>
  <c r="F11" i="47"/>
  <c r="B11" i="47"/>
  <c r="E11" i="47"/>
  <c r="K11" i="47"/>
  <c r="F12" i="45"/>
  <c r="D12" i="45"/>
  <c r="E12" i="45"/>
  <c r="C12" i="45"/>
  <c r="L12" i="45"/>
  <c r="H12" i="45"/>
  <c r="B12" i="45"/>
  <c r="F12" i="47"/>
  <c r="B12" i="47"/>
  <c r="E12" i="47"/>
  <c r="K12" i="47"/>
  <c r="F13" i="45"/>
  <c r="D13" i="45"/>
  <c r="E13" i="45"/>
  <c r="C13" i="45"/>
  <c r="L13" i="45"/>
  <c r="H13" i="45"/>
  <c r="B13" i="45"/>
  <c r="F13" i="47"/>
  <c r="B13" i="47"/>
  <c r="E13" i="47"/>
  <c r="K13" i="47"/>
  <c r="F14" i="45"/>
  <c r="D14" i="45"/>
  <c r="E14" i="45"/>
  <c r="C14" i="45"/>
  <c r="L14" i="45"/>
  <c r="H14" i="45"/>
  <c r="B14" i="45"/>
  <c r="F14" i="47"/>
  <c r="B14" i="47"/>
  <c r="E14" i="47"/>
  <c r="K14" i="47"/>
  <c r="F15" i="45"/>
  <c r="D15" i="45"/>
  <c r="E15" i="45"/>
  <c r="C15" i="45"/>
  <c r="L15" i="45"/>
  <c r="H15" i="45"/>
  <c r="B15" i="45"/>
  <c r="F15" i="47"/>
  <c r="B15" i="47"/>
  <c r="E15" i="47"/>
  <c r="K15" i="47"/>
  <c r="F16" i="45"/>
  <c r="D16" i="45"/>
  <c r="E16" i="45"/>
  <c r="C16" i="45"/>
  <c r="L16" i="45"/>
  <c r="H16" i="45"/>
  <c r="B16" i="45"/>
  <c r="F16" i="47"/>
  <c r="B16" i="47"/>
  <c r="E16" i="47"/>
  <c r="K16" i="47"/>
  <c r="F17" i="45"/>
  <c r="D17" i="45"/>
  <c r="E17" i="45"/>
  <c r="C17" i="45"/>
  <c r="L17" i="45"/>
  <c r="H17" i="45"/>
  <c r="B17" i="45"/>
  <c r="F17" i="47"/>
  <c r="B17" i="47"/>
  <c r="E17" i="47"/>
  <c r="K17" i="47"/>
  <c r="F18" i="45"/>
  <c r="D18" i="45"/>
  <c r="E18" i="45"/>
  <c r="C18" i="45"/>
  <c r="L18" i="45"/>
  <c r="H18" i="45"/>
  <c r="B18" i="45"/>
  <c r="F18" i="47"/>
  <c r="B18" i="47"/>
  <c r="E18" i="47"/>
  <c r="K18" i="47"/>
  <c r="F19" i="45"/>
  <c r="D19" i="45"/>
  <c r="E19" i="45"/>
  <c r="C19" i="45"/>
  <c r="L19" i="45"/>
  <c r="H19" i="45"/>
  <c r="B19" i="45"/>
  <c r="F19" i="47"/>
  <c r="B19" i="47"/>
  <c r="E19" i="47"/>
  <c r="K19" i="47"/>
  <c r="F20" i="45"/>
  <c r="D20" i="45"/>
  <c r="E20" i="45"/>
  <c r="C20" i="45"/>
  <c r="L20" i="45"/>
  <c r="H20" i="45"/>
  <c r="B20" i="45"/>
  <c r="F20" i="47"/>
  <c r="B20" i="47"/>
  <c r="E20" i="47"/>
  <c r="K20" i="47"/>
  <c r="F21" i="45"/>
  <c r="D21" i="45"/>
  <c r="E21" i="45"/>
  <c r="C21" i="45"/>
  <c r="L21" i="45"/>
  <c r="H21" i="45"/>
  <c r="B21" i="45"/>
  <c r="F21" i="47"/>
  <c r="B21" i="47"/>
  <c r="E21" i="47"/>
  <c r="K21" i="47"/>
  <c r="F22" i="45"/>
  <c r="D22" i="45"/>
  <c r="E22" i="45"/>
  <c r="C22" i="45"/>
  <c r="L22" i="45"/>
  <c r="H22" i="45"/>
  <c r="B22" i="45"/>
  <c r="F22" i="47"/>
  <c r="B22" i="47"/>
  <c r="E22" i="47"/>
  <c r="K22" i="47"/>
  <c r="F23" i="45"/>
  <c r="D23" i="45"/>
  <c r="E23" i="45"/>
  <c r="C23" i="45"/>
  <c r="L23" i="45"/>
  <c r="H23" i="45"/>
  <c r="B23" i="45"/>
  <c r="F23" i="47"/>
  <c r="B23" i="47"/>
  <c r="E23" i="47"/>
  <c r="K23" i="47"/>
  <c r="F24" i="45"/>
  <c r="D24" i="45"/>
  <c r="E24" i="45"/>
  <c r="C24" i="45"/>
  <c r="L24" i="45"/>
  <c r="H24" i="45"/>
  <c r="B24" i="45"/>
  <c r="F24" i="47"/>
  <c r="B24" i="47"/>
  <c r="E24" i="47"/>
  <c r="K24" i="47"/>
  <c r="F25" i="45"/>
  <c r="D25" i="45"/>
  <c r="E25" i="45"/>
  <c r="C25" i="45"/>
  <c r="L25" i="45"/>
  <c r="H25" i="45"/>
  <c r="B25" i="45"/>
  <c r="F25" i="47"/>
  <c r="B25" i="47"/>
  <c r="E25" i="47"/>
  <c r="K25" i="47"/>
  <c r="F26" i="45"/>
  <c r="D26" i="45"/>
  <c r="E26" i="45"/>
  <c r="C26" i="45"/>
  <c r="L26" i="45"/>
  <c r="H26" i="45"/>
  <c r="B26" i="45"/>
  <c r="F26" i="47"/>
  <c r="B26" i="47"/>
  <c r="E26" i="47"/>
  <c r="K26" i="47"/>
  <c r="E148" i="29"/>
  <c r="F27" i="45"/>
  <c r="D27" i="45"/>
  <c r="E27" i="45"/>
  <c r="C27" i="45"/>
  <c r="L27" i="45"/>
  <c r="H27" i="45"/>
  <c r="B27" i="45"/>
  <c r="F27" i="47"/>
  <c r="B27" i="47"/>
  <c r="E27" i="47"/>
  <c r="K27" i="47"/>
  <c r="E149" i="29"/>
  <c r="F28" i="45"/>
  <c r="D28" i="45"/>
  <c r="E28" i="45"/>
  <c r="C28" i="45"/>
  <c r="L28" i="45"/>
  <c r="H28" i="45"/>
  <c r="B28" i="45"/>
  <c r="F28" i="47"/>
  <c r="B28" i="47"/>
  <c r="E28" i="47"/>
  <c r="K28" i="47"/>
  <c r="E150" i="29"/>
  <c r="F29" i="45"/>
  <c r="D29" i="45"/>
  <c r="E29" i="45"/>
  <c r="C29" i="45"/>
  <c r="L29" i="45"/>
  <c r="H29" i="45"/>
  <c r="B29" i="45"/>
  <c r="F29" i="47"/>
  <c r="B29" i="47"/>
  <c r="E29" i="47"/>
  <c r="K29" i="47"/>
  <c r="E151" i="29"/>
  <c r="F30" i="45"/>
  <c r="D30" i="45"/>
  <c r="E30" i="45"/>
  <c r="C30" i="45"/>
  <c r="L30" i="45"/>
  <c r="H30" i="45"/>
  <c r="B30" i="45"/>
  <c r="F30" i="47"/>
  <c r="B30" i="47"/>
  <c r="E30" i="47"/>
  <c r="K30" i="47"/>
  <c r="E152" i="29"/>
  <c r="F31" i="45"/>
  <c r="D31" i="45"/>
  <c r="E31" i="45"/>
  <c r="C31" i="45"/>
  <c r="L31" i="45"/>
  <c r="H31" i="45"/>
  <c r="B31" i="45"/>
  <c r="F31" i="47"/>
  <c r="B31" i="47"/>
  <c r="E31" i="47"/>
  <c r="K31" i="47"/>
  <c r="E153" i="29"/>
  <c r="F32" i="45"/>
  <c r="D32" i="45"/>
  <c r="E32" i="45"/>
  <c r="C32" i="45"/>
  <c r="L32" i="45"/>
  <c r="H32" i="45"/>
  <c r="B32" i="45"/>
  <c r="F32" i="47"/>
  <c r="B32" i="47"/>
  <c r="E32" i="47"/>
  <c r="K32" i="47"/>
  <c r="E154" i="29"/>
  <c r="F33" i="45"/>
  <c r="D33" i="45"/>
  <c r="E33" i="45"/>
  <c r="C33" i="45"/>
  <c r="L33" i="45"/>
  <c r="H33" i="45"/>
  <c r="B33" i="45"/>
  <c r="F33" i="47"/>
  <c r="B33" i="47"/>
  <c r="E33" i="47"/>
  <c r="K33" i="47"/>
  <c r="E155" i="29"/>
  <c r="F34" i="45"/>
  <c r="D34" i="45"/>
  <c r="E34" i="45"/>
  <c r="C34" i="45"/>
  <c r="L34" i="45"/>
  <c r="H34" i="45"/>
  <c r="B34" i="45"/>
  <c r="F34" i="47"/>
  <c r="B34" i="47"/>
  <c r="E34" i="47"/>
  <c r="K34" i="47"/>
  <c r="E156" i="29"/>
  <c r="F35" i="45"/>
  <c r="D35" i="45"/>
  <c r="E35" i="45"/>
  <c r="C35" i="45"/>
  <c r="L35" i="45"/>
  <c r="H35" i="45"/>
  <c r="B35" i="45"/>
  <c r="F35" i="47"/>
  <c r="B35" i="47"/>
  <c r="E35" i="47"/>
  <c r="K35" i="47"/>
  <c r="E157" i="29"/>
  <c r="F36" i="45"/>
  <c r="D36" i="45"/>
  <c r="E36" i="45"/>
  <c r="C36" i="45"/>
  <c r="L36" i="45"/>
  <c r="H36" i="45"/>
  <c r="B36" i="45"/>
  <c r="F36" i="47"/>
  <c r="B36" i="47"/>
  <c r="E36" i="47"/>
  <c r="K36" i="47"/>
  <c r="E158" i="29"/>
  <c r="F37" i="45"/>
  <c r="D37" i="45"/>
  <c r="E37" i="45"/>
  <c r="C37" i="45"/>
  <c r="L37" i="45"/>
  <c r="H37" i="45"/>
  <c r="B37" i="45"/>
  <c r="F37" i="47"/>
  <c r="B37" i="47"/>
  <c r="E37" i="47"/>
  <c r="K37" i="47"/>
  <c r="E159" i="29"/>
  <c r="F38" i="45"/>
  <c r="D38" i="45"/>
  <c r="E38" i="45"/>
  <c r="C38" i="45"/>
  <c r="L38" i="45"/>
  <c r="H38" i="45"/>
  <c r="B38" i="45"/>
  <c r="F38" i="47"/>
  <c r="B38" i="47"/>
  <c r="E38" i="47"/>
  <c r="K38" i="47"/>
  <c r="E160" i="29"/>
  <c r="F39" i="45"/>
  <c r="D39" i="45"/>
  <c r="E39" i="45"/>
  <c r="C39" i="45"/>
  <c r="L39" i="45"/>
  <c r="H39" i="45"/>
  <c r="B39" i="45"/>
  <c r="F39" i="47"/>
  <c r="B39" i="47"/>
  <c r="E39" i="47"/>
  <c r="K39" i="47"/>
  <c r="E161" i="29"/>
  <c r="F40" i="45"/>
  <c r="D40" i="45"/>
  <c r="E40" i="45"/>
  <c r="C40" i="45"/>
  <c r="L40" i="45"/>
  <c r="H40" i="45"/>
  <c r="B40" i="45"/>
  <c r="F40" i="47"/>
  <c r="B40" i="47"/>
  <c r="E40" i="47"/>
  <c r="K40" i="47"/>
  <c r="E162" i="29"/>
  <c r="F41" i="45"/>
  <c r="D41" i="45"/>
  <c r="E41" i="45"/>
  <c r="C41" i="45"/>
  <c r="L41" i="45"/>
  <c r="H41" i="45"/>
  <c r="B41" i="45"/>
  <c r="F41" i="47"/>
  <c r="B41" i="47"/>
  <c r="E41" i="47"/>
  <c r="K41" i="47"/>
  <c r="E163" i="29"/>
  <c r="F42" i="45"/>
  <c r="D42" i="45"/>
  <c r="E42" i="45"/>
  <c r="C42" i="45"/>
  <c r="L42" i="45"/>
  <c r="H42" i="45"/>
  <c r="B42" i="45"/>
  <c r="F42" i="47"/>
  <c r="B42" i="47"/>
  <c r="E42" i="47"/>
  <c r="K42" i="47"/>
  <c r="E164" i="29"/>
  <c r="F43" i="45"/>
  <c r="D43" i="45"/>
  <c r="E43" i="45"/>
  <c r="C43" i="45"/>
  <c r="L43" i="45"/>
  <c r="H43" i="45"/>
  <c r="B43" i="45"/>
  <c r="F43" i="47"/>
  <c r="B43" i="47"/>
  <c r="E43" i="47"/>
  <c r="K43" i="47"/>
  <c r="E165" i="29"/>
  <c r="F44" i="45"/>
  <c r="D44" i="45"/>
  <c r="E44" i="45"/>
  <c r="C44" i="45"/>
  <c r="L44" i="45"/>
  <c r="H44" i="45"/>
  <c r="B44" i="45"/>
  <c r="F44" i="47"/>
  <c r="B44" i="47"/>
  <c r="E44" i="47"/>
  <c r="K44" i="47"/>
  <c r="E166" i="29"/>
  <c r="F45" i="45"/>
  <c r="D45" i="45"/>
  <c r="E45" i="45"/>
  <c r="C45" i="45"/>
  <c r="L45" i="45"/>
  <c r="H45" i="45"/>
  <c r="B45" i="45"/>
  <c r="F45" i="47"/>
  <c r="B45" i="47"/>
  <c r="E45" i="47"/>
  <c r="K45" i="47"/>
  <c r="E167" i="29"/>
  <c r="F46" i="45"/>
  <c r="D46" i="45"/>
  <c r="E46" i="45"/>
  <c r="C46" i="45"/>
  <c r="L46" i="45"/>
  <c r="H46" i="45"/>
  <c r="B46" i="45"/>
  <c r="F46" i="47"/>
  <c r="B46" i="47"/>
  <c r="E46" i="47"/>
  <c r="K46" i="47"/>
  <c r="E168" i="29"/>
  <c r="F47" i="45"/>
  <c r="D47" i="45"/>
  <c r="E47" i="45"/>
  <c r="C47" i="45"/>
  <c r="L47" i="45"/>
  <c r="H47" i="45"/>
  <c r="B47" i="45"/>
  <c r="F47" i="47"/>
  <c r="B47" i="47"/>
  <c r="E47" i="47"/>
  <c r="K47" i="47"/>
  <c r="E169" i="29"/>
  <c r="F48" i="45"/>
  <c r="D48" i="45"/>
  <c r="E48" i="45"/>
  <c r="C48" i="45"/>
  <c r="L48" i="45"/>
  <c r="H48" i="45"/>
  <c r="B48" i="45"/>
  <c r="F48" i="47"/>
  <c r="B48" i="47"/>
  <c r="E48" i="47"/>
  <c r="K48" i="47"/>
  <c r="E170" i="29"/>
  <c r="F49" i="45"/>
  <c r="D49" i="45"/>
  <c r="E49" i="45"/>
  <c r="C49" i="45"/>
  <c r="L49" i="45"/>
  <c r="H49" i="45"/>
  <c r="B49" i="45"/>
  <c r="F49" i="47"/>
  <c r="B49" i="47"/>
  <c r="E49" i="47"/>
  <c r="K49" i="47"/>
  <c r="F9" i="45"/>
  <c r="D9" i="45"/>
  <c r="E9" i="45"/>
  <c r="C9" i="45"/>
  <c r="L9" i="45"/>
  <c r="H9" i="45"/>
  <c r="B9" i="45"/>
  <c r="F9" i="47"/>
  <c r="B9" i="47"/>
  <c r="E9" i="47"/>
  <c r="K9" i="47"/>
  <c r="G10" i="47"/>
  <c r="D10" i="47"/>
  <c r="G11" i="47"/>
  <c r="D11" i="47"/>
  <c r="G12" i="47"/>
  <c r="D12" i="47"/>
  <c r="G13" i="47"/>
  <c r="D13" i="47"/>
  <c r="G14" i="47"/>
  <c r="D14" i="47"/>
  <c r="G15" i="47"/>
  <c r="D15" i="47"/>
  <c r="G16" i="47"/>
  <c r="D16" i="47"/>
  <c r="G17" i="47"/>
  <c r="D17" i="47"/>
  <c r="G18" i="47"/>
  <c r="D18" i="47"/>
  <c r="G19" i="47"/>
  <c r="D19" i="47"/>
  <c r="G20" i="47"/>
  <c r="D20" i="47"/>
  <c r="G21" i="47"/>
  <c r="D21" i="47"/>
  <c r="G22" i="47"/>
  <c r="D22" i="47"/>
  <c r="G23" i="47"/>
  <c r="D23" i="47"/>
  <c r="G24" i="47"/>
  <c r="D24" i="47"/>
  <c r="G25" i="47"/>
  <c r="D25" i="47"/>
  <c r="G26" i="47"/>
  <c r="D26" i="47"/>
  <c r="G27" i="47"/>
  <c r="D27" i="47"/>
  <c r="G28" i="47"/>
  <c r="D28" i="47"/>
  <c r="G29" i="47"/>
  <c r="D29" i="47"/>
  <c r="G30" i="47"/>
  <c r="D30" i="47"/>
  <c r="G31" i="47"/>
  <c r="D31" i="47"/>
  <c r="G32" i="47"/>
  <c r="D32" i="47"/>
  <c r="G33" i="47"/>
  <c r="D33" i="47"/>
  <c r="G34" i="47"/>
  <c r="D34" i="47"/>
  <c r="G35" i="47"/>
  <c r="D35" i="47"/>
  <c r="G36" i="47"/>
  <c r="D36" i="47"/>
  <c r="G37" i="47"/>
  <c r="D37" i="47"/>
  <c r="G38" i="47"/>
  <c r="D38" i="47"/>
  <c r="G39" i="47"/>
  <c r="D39" i="47"/>
  <c r="G40" i="47"/>
  <c r="D40" i="47"/>
  <c r="G41" i="47"/>
  <c r="D41" i="47"/>
  <c r="G42" i="47"/>
  <c r="D42" i="47"/>
  <c r="G43" i="47"/>
  <c r="D43" i="47"/>
  <c r="G44" i="47"/>
  <c r="D44" i="47"/>
  <c r="G45" i="47"/>
  <c r="D45" i="47"/>
  <c r="G46" i="47"/>
  <c r="D46" i="47"/>
  <c r="G47" i="47"/>
  <c r="D47" i="47"/>
  <c r="G48" i="47"/>
  <c r="D48" i="47"/>
  <c r="G49" i="47"/>
  <c r="D49" i="47"/>
  <c r="G9" i="47"/>
  <c r="D9" i="47"/>
  <c r="E126" i="5"/>
  <c r="C125" i="25"/>
  <c r="D126" i="5"/>
  <c r="B125" i="25"/>
  <c r="F125" i="25"/>
  <c r="FK129" i="4"/>
  <c r="DT129" i="4"/>
  <c r="I129" i="4"/>
  <c r="F129" i="4"/>
  <c r="H129" i="4"/>
  <c r="G129" i="4"/>
  <c r="F141" i="21"/>
  <c r="L141" i="21"/>
  <c r="M141" i="21"/>
  <c r="K141" i="21"/>
  <c r="N141" i="21"/>
  <c r="HN129" i="4"/>
  <c r="O141" i="21"/>
  <c r="G141" i="21"/>
  <c r="E141" i="21"/>
  <c r="J141" i="21"/>
  <c r="H141" i="21"/>
  <c r="T141" i="32"/>
  <c r="FT129" i="4"/>
  <c r="GK129" i="4"/>
  <c r="U141" i="32"/>
  <c r="V141" i="32"/>
  <c r="I141" i="32"/>
  <c r="N141" i="22"/>
  <c r="D141" i="32"/>
  <c r="J141" i="32"/>
  <c r="P141" i="22"/>
  <c r="E141" i="32"/>
  <c r="C141" i="32"/>
  <c r="G125" i="25"/>
  <c r="H126" i="25"/>
  <c r="D127" i="5"/>
  <c r="B126" i="25"/>
  <c r="D126" i="25"/>
  <c r="FK130" i="4"/>
  <c r="DT130" i="4"/>
  <c r="I130" i="4"/>
  <c r="F130" i="4"/>
  <c r="H130" i="4"/>
  <c r="G130" i="4"/>
  <c r="F142" i="21"/>
  <c r="L142" i="21"/>
  <c r="M142" i="21"/>
  <c r="K142" i="21"/>
  <c r="N142" i="21"/>
  <c r="HN130" i="4"/>
  <c r="O142" i="21"/>
  <c r="G142" i="21"/>
  <c r="E142" i="21"/>
  <c r="J142" i="21"/>
  <c r="H142" i="21"/>
  <c r="T142" i="32"/>
  <c r="FT130" i="4"/>
  <c r="GK130" i="4"/>
  <c r="U142" i="32"/>
  <c r="V142" i="32"/>
  <c r="I142" i="32"/>
  <c r="N142" i="22"/>
  <c r="D142" i="32"/>
  <c r="J142" i="32"/>
  <c r="P142" i="22"/>
  <c r="E142" i="32"/>
  <c r="C142" i="32"/>
  <c r="G126" i="25"/>
  <c r="E127" i="5"/>
  <c r="C126" i="25"/>
  <c r="F126" i="25"/>
  <c r="H127" i="25"/>
  <c r="D128" i="5"/>
  <c r="B127" i="25"/>
  <c r="D127" i="25"/>
  <c r="FK131" i="4"/>
  <c r="DT131" i="4"/>
  <c r="I131" i="4"/>
  <c r="F131" i="4"/>
  <c r="H131" i="4"/>
  <c r="G131" i="4"/>
  <c r="F143" i="21"/>
  <c r="L143" i="21"/>
  <c r="M143" i="21"/>
  <c r="K143" i="21"/>
  <c r="N143" i="21"/>
  <c r="HN131" i="4"/>
  <c r="O143" i="21"/>
  <c r="G143" i="21"/>
  <c r="E143" i="21"/>
  <c r="J143" i="21"/>
  <c r="H143" i="21"/>
  <c r="T143" i="32"/>
  <c r="FT131" i="4"/>
  <c r="GK131" i="4"/>
  <c r="U143" i="32"/>
  <c r="V143" i="32"/>
  <c r="I143" i="32"/>
  <c r="N143" i="22"/>
  <c r="D143" i="32"/>
  <c r="J143" i="32"/>
  <c r="P143" i="22"/>
  <c r="E143" i="32"/>
  <c r="C143" i="32"/>
  <c r="G127" i="25"/>
  <c r="E128" i="5"/>
  <c r="C127" i="25"/>
  <c r="F127" i="25"/>
  <c r="H128" i="25"/>
  <c r="D129" i="5"/>
  <c r="B128" i="25"/>
  <c r="D128" i="25"/>
  <c r="FK132" i="4"/>
  <c r="DT132" i="4"/>
  <c r="I132" i="4"/>
  <c r="F132" i="4"/>
  <c r="H132" i="4"/>
  <c r="G132" i="4"/>
  <c r="F144" i="21"/>
  <c r="L144" i="21"/>
  <c r="M144" i="21"/>
  <c r="K144" i="21"/>
  <c r="N144" i="21"/>
  <c r="HN132" i="4"/>
  <c r="O144" i="21"/>
  <c r="G144" i="21"/>
  <c r="E144" i="21"/>
  <c r="J144" i="21"/>
  <c r="H144" i="21"/>
  <c r="T144" i="32"/>
  <c r="FT132" i="4"/>
  <c r="GK132" i="4"/>
  <c r="U144" i="32"/>
  <c r="V144" i="32"/>
  <c r="I144" i="32"/>
  <c r="N144" i="22"/>
  <c r="D144" i="32"/>
  <c r="J144" i="32"/>
  <c r="P144" i="22"/>
  <c r="E144" i="32"/>
  <c r="C144" i="32"/>
  <c r="G128" i="25"/>
  <c r="E129" i="5"/>
  <c r="C128" i="25"/>
  <c r="F128" i="25"/>
  <c r="H129" i="25"/>
  <c r="D130" i="5"/>
  <c r="B129" i="25"/>
  <c r="D129" i="25"/>
  <c r="FK133" i="4"/>
  <c r="DT133" i="4"/>
  <c r="I133" i="4"/>
  <c r="F133" i="4"/>
  <c r="H133" i="4"/>
  <c r="G133" i="4"/>
  <c r="F145" i="21"/>
  <c r="L145" i="21"/>
  <c r="M145" i="21"/>
  <c r="K145" i="21"/>
  <c r="N145" i="21"/>
  <c r="HN133" i="4"/>
  <c r="O145" i="21"/>
  <c r="G145" i="21"/>
  <c r="E145" i="21"/>
  <c r="J145" i="21"/>
  <c r="H145" i="21"/>
  <c r="T145" i="32"/>
  <c r="FT133" i="4"/>
  <c r="GK133" i="4"/>
  <c r="U145" i="32"/>
  <c r="V145" i="32"/>
  <c r="I145" i="32"/>
  <c r="N145" i="22"/>
  <c r="D145" i="32"/>
  <c r="J145" i="32"/>
  <c r="P145" i="22"/>
  <c r="E145" i="32"/>
  <c r="C145" i="32"/>
  <c r="G129" i="25"/>
  <c r="E130" i="5"/>
  <c r="C129" i="25"/>
  <c r="F129" i="25"/>
  <c r="H130" i="25"/>
  <c r="D131" i="5"/>
  <c r="B130" i="25"/>
  <c r="D130" i="25"/>
  <c r="FK134" i="4"/>
  <c r="DT134" i="4"/>
  <c r="I134" i="4"/>
  <c r="F134" i="4"/>
  <c r="H134" i="4"/>
  <c r="G134" i="4"/>
  <c r="F146" i="21"/>
  <c r="L146" i="21"/>
  <c r="M146" i="21"/>
  <c r="K146" i="21"/>
  <c r="N146" i="21"/>
  <c r="HN134" i="4"/>
  <c r="O146" i="21"/>
  <c r="G146" i="21"/>
  <c r="E146" i="21"/>
  <c r="J146" i="21"/>
  <c r="H146" i="21"/>
  <c r="T146" i="32"/>
  <c r="FT134" i="4"/>
  <c r="GK134" i="4"/>
  <c r="U146" i="32"/>
  <c r="V146" i="32"/>
  <c r="I146" i="32"/>
  <c r="N146" i="22"/>
  <c r="D146" i="32"/>
  <c r="J146" i="32"/>
  <c r="P146" i="22"/>
  <c r="E146" i="32"/>
  <c r="C146" i="32"/>
  <c r="G130" i="25"/>
  <c r="E131" i="5"/>
  <c r="C130" i="25"/>
  <c r="F130" i="25"/>
  <c r="H131" i="25"/>
  <c r="D132" i="5"/>
  <c r="B131" i="25"/>
  <c r="D131" i="25"/>
  <c r="FK135" i="4"/>
  <c r="DT135" i="4"/>
  <c r="I135" i="4"/>
  <c r="F135" i="4"/>
  <c r="H135" i="4"/>
  <c r="G135" i="4"/>
  <c r="F147" i="21"/>
  <c r="L147" i="21"/>
  <c r="M147" i="21"/>
  <c r="K147" i="21"/>
  <c r="N147" i="21"/>
  <c r="HN135" i="4"/>
  <c r="O147" i="21"/>
  <c r="G147" i="21"/>
  <c r="E147" i="21"/>
  <c r="J147" i="21"/>
  <c r="H147" i="21"/>
  <c r="T147" i="32"/>
  <c r="FT135" i="4"/>
  <c r="GK135" i="4"/>
  <c r="U147" i="32"/>
  <c r="V147" i="32"/>
  <c r="I147" i="32"/>
  <c r="N147" i="22"/>
  <c r="D147" i="32"/>
  <c r="J147" i="32"/>
  <c r="P147" i="22"/>
  <c r="E147" i="32"/>
  <c r="C147" i="32"/>
  <c r="G131" i="25"/>
  <c r="E132" i="5"/>
  <c r="C131" i="25"/>
  <c r="F131" i="25"/>
  <c r="H132" i="25"/>
  <c r="D133" i="5"/>
  <c r="B132" i="25"/>
  <c r="D132" i="25"/>
  <c r="FK136" i="4"/>
  <c r="DT136" i="4"/>
  <c r="I136" i="4"/>
  <c r="F136" i="4"/>
  <c r="H136" i="4"/>
  <c r="G136" i="4"/>
  <c r="F148" i="21"/>
  <c r="L148" i="21"/>
  <c r="M148" i="21"/>
  <c r="K148" i="21"/>
  <c r="N148" i="21"/>
  <c r="HN136" i="4"/>
  <c r="O148" i="21"/>
  <c r="G148" i="21"/>
  <c r="E148" i="21"/>
  <c r="J148" i="21"/>
  <c r="H148" i="21"/>
  <c r="T148" i="32"/>
  <c r="FT136" i="4"/>
  <c r="GK136" i="4"/>
  <c r="U148" i="32"/>
  <c r="V148" i="32"/>
  <c r="I148" i="32"/>
  <c r="N148" i="22"/>
  <c r="D148" i="32"/>
  <c r="J148" i="32"/>
  <c r="P148" i="22"/>
  <c r="E148" i="32"/>
  <c r="C148" i="32"/>
  <c r="G132" i="25"/>
  <c r="E133" i="5"/>
  <c r="C132" i="25"/>
  <c r="F132" i="25"/>
  <c r="H133" i="25"/>
  <c r="D134" i="5"/>
  <c r="B133" i="25"/>
  <c r="D133" i="25"/>
  <c r="FK137" i="4"/>
  <c r="DT137" i="4"/>
  <c r="I137" i="4"/>
  <c r="F137" i="4"/>
  <c r="H137" i="4"/>
  <c r="G137" i="4"/>
  <c r="F149" i="21"/>
  <c r="L149" i="21"/>
  <c r="M149" i="21"/>
  <c r="K149" i="21"/>
  <c r="N149" i="21"/>
  <c r="HN137" i="4"/>
  <c r="O149" i="21"/>
  <c r="G149" i="21"/>
  <c r="E149" i="21"/>
  <c r="J149" i="21"/>
  <c r="H149" i="21"/>
  <c r="T149" i="32"/>
  <c r="FT137" i="4"/>
  <c r="GK137" i="4"/>
  <c r="U149" i="32"/>
  <c r="V149" i="32"/>
  <c r="I149" i="32"/>
  <c r="N149" i="22"/>
  <c r="D149" i="32"/>
  <c r="J149" i="32"/>
  <c r="P149" i="22"/>
  <c r="E149" i="32"/>
  <c r="C149" i="32"/>
  <c r="G133" i="25"/>
  <c r="E134" i="5"/>
  <c r="C133" i="25"/>
  <c r="F133" i="25"/>
  <c r="H134" i="25"/>
  <c r="D135" i="5"/>
  <c r="B134" i="25"/>
  <c r="D134" i="25"/>
  <c r="FK138" i="4"/>
  <c r="DT138" i="4"/>
  <c r="I138" i="4"/>
  <c r="F138" i="4"/>
  <c r="H138" i="4"/>
  <c r="G138" i="4"/>
  <c r="F150" i="21"/>
  <c r="L150" i="21"/>
  <c r="M150" i="21"/>
  <c r="K150" i="21"/>
  <c r="N150" i="21"/>
  <c r="HN138" i="4"/>
  <c r="O150" i="21"/>
  <c r="G150" i="21"/>
  <c r="E150" i="21"/>
  <c r="J150" i="21"/>
  <c r="H150" i="21"/>
  <c r="T150" i="32"/>
  <c r="FT138" i="4"/>
  <c r="GK138" i="4"/>
  <c r="U150" i="32"/>
  <c r="V150" i="32"/>
  <c r="I150" i="32"/>
  <c r="N150" i="22"/>
  <c r="D150" i="32"/>
  <c r="J150" i="32"/>
  <c r="P150" i="22"/>
  <c r="E150" i="32"/>
  <c r="C150" i="32"/>
  <c r="G134" i="25"/>
  <c r="E135" i="5"/>
  <c r="C134" i="25"/>
  <c r="F134" i="25"/>
  <c r="H135" i="25"/>
  <c r="D136" i="5"/>
  <c r="B135" i="25"/>
  <c r="D135" i="25"/>
  <c r="FK139" i="4"/>
  <c r="DT139" i="4"/>
  <c r="I139" i="4"/>
  <c r="F139" i="4"/>
  <c r="H139" i="4"/>
  <c r="G139" i="4"/>
  <c r="F151" i="21"/>
  <c r="L151" i="21"/>
  <c r="M151" i="21"/>
  <c r="K151" i="21"/>
  <c r="N151" i="21"/>
  <c r="HN139" i="4"/>
  <c r="O151" i="21"/>
  <c r="G151" i="21"/>
  <c r="E151" i="21"/>
  <c r="J151" i="21"/>
  <c r="H151" i="21"/>
  <c r="T151" i="32"/>
  <c r="FT139" i="4"/>
  <c r="GK139" i="4"/>
  <c r="U151" i="32"/>
  <c r="V151" i="32"/>
  <c r="I151" i="32"/>
  <c r="N151" i="22"/>
  <c r="D151" i="32"/>
  <c r="J151" i="32"/>
  <c r="P151" i="22"/>
  <c r="E151" i="32"/>
  <c r="C151" i="32"/>
  <c r="G135" i="25"/>
  <c r="E136" i="5"/>
  <c r="C135" i="25"/>
  <c r="F135" i="25"/>
  <c r="H136" i="25"/>
  <c r="D137" i="5"/>
  <c r="B136" i="25"/>
  <c r="D136" i="25"/>
  <c r="FK140" i="4"/>
  <c r="DT140" i="4"/>
  <c r="I140" i="4"/>
  <c r="F140" i="4"/>
  <c r="H140" i="4"/>
  <c r="G140" i="4"/>
  <c r="F152" i="21"/>
  <c r="L152" i="21"/>
  <c r="M152" i="21"/>
  <c r="K152" i="21"/>
  <c r="N152" i="21"/>
  <c r="HN140" i="4"/>
  <c r="O152" i="21"/>
  <c r="G152" i="21"/>
  <c r="E152" i="21"/>
  <c r="J152" i="21"/>
  <c r="H152" i="21"/>
  <c r="T152" i="32"/>
  <c r="FT140" i="4"/>
  <c r="GK140" i="4"/>
  <c r="U152" i="32"/>
  <c r="V152" i="32"/>
  <c r="I152" i="32"/>
  <c r="N152" i="22"/>
  <c r="D152" i="32"/>
  <c r="J152" i="32"/>
  <c r="P152" i="22"/>
  <c r="E152" i="32"/>
  <c r="C152" i="32"/>
  <c r="G136" i="25"/>
  <c r="E137" i="5"/>
  <c r="C136" i="25"/>
  <c r="F136" i="25"/>
  <c r="H137" i="25"/>
  <c r="D138" i="5"/>
  <c r="B137" i="25"/>
  <c r="D137" i="25"/>
  <c r="FK141" i="4"/>
  <c r="DT141" i="4"/>
  <c r="I141" i="4"/>
  <c r="F141" i="4"/>
  <c r="H141" i="4"/>
  <c r="G141" i="4"/>
  <c r="F153" i="21"/>
  <c r="L153" i="21"/>
  <c r="M153" i="21"/>
  <c r="K153" i="21"/>
  <c r="N153" i="21"/>
  <c r="HN141" i="4"/>
  <c r="O153" i="21"/>
  <c r="G153" i="21"/>
  <c r="E153" i="21"/>
  <c r="J153" i="21"/>
  <c r="H153" i="21"/>
  <c r="T153" i="32"/>
  <c r="FT141" i="4"/>
  <c r="GK141" i="4"/>
  <c r="U153" i="32"/>
  <c r="V153" i="32"/>
  <c r="I153" i="32"/>
  <c r="N153" i="22"/>
  <c r="D153" i="32"/>
  <c r="J153" i="32"/>
  <c r="P153" i="22"/>
  <c r="E153" i="32"/>
  <c r="C153" i="32"/>
  <c r="G137" i="25"/>
  <c r="E138" i="5"/>
  <c r="C137" i="25"/>
  <c r="F137" i="25"/>
  <c r="H138" i="25"/>
  <c r="D139" i="5"/>
  <c r="B138" i="25"/>
  <c r="D138" i="25"/>
  <c r="FK142" i="4"/>
  <c r="DT142" i="4"/>
  <c r="I142" i="4"/>
  <c r="F142" i="4"/>
  <c r="H142" i="4"/>
  <c r="G142" i="4"/>
  <c r="F154" i="21"/>
  <c r="L154" i="21"/>
  <c r="M154" i="21"/>
  <c r="K154" i="21"/>
  <c r="N154" i="21"/>
  <c r="HN142" i="4"/>
  <c r="O154" i="21"/>
  <c r="G154" i="21"/>
  <c r="E154" i="21"/>
  <c r="J154" i="21"/>
  <c r="H154" i="21"/>
  <c r="T154" i="32"/>
  <c r="FT142" i="4"/>
  <c r="GK142" i="4"/>
  <c r="U154" i="32"/>
  <c r="V154" i="32"/>
  <c r="I154" i="32"/>
  <c r="N154" i="22"/>
  <c r="D154" i="32"/>
  <c r="J154" i="32"/>
  <c r="P154" i="22"/>
  <c r="E154" i="32"/>
  <c r="C154" i="32"/>
  <c r="G138" i="25"/>
  <c r="E139" i="5"/>
  <c r="C138" i="25"/>
  <c r="F138" i="25"/>
  <c r="H139" i="25"/>
  <c r="D140" i="5"/>
  <c r="B139" i="25"/>
  <c r="D139" i="25"/>
  <c r="FK143" i="4"/>
  <c r="DT143" i="4"/>
  <c r="I143" i="4"/>
  <c r="F143" i="4"/>
  <c r="H143" i="4"/>
  <c r="G143" i="4"/>
  <c r="F155" i="21"/>
  <c r="L155" i="21"/>
  <c r="M155" i="21"/>
  <c r="K155" i="21"/>
  <c r="N155" i="21"/>
  <c r="HN143" i="4"/>
  <c r="O155" i="21"/>
  <c r="G155" i="21"/>
  <c r="E155" i="21"/>
  <c r="J155" i="21"/>
  <c r="H155" i="21"/>
  <c r="T155" i="32"/>
  <c r="FT143" i="4"/>
  <c r="GK143" i="4"/>
  <c r="U155" i="32"/>
  <c r="V155" i="32"/>
  <c r="I155" i="32"/>
  <c r="N155" i="22"/>
  <c r="D155" i="32"/>
  <c r="J155" i="32"/>
  <c r="P155" i="22"/>
  <c r="E155" i="32"/>
  <c r="C155" i="32"/>
  <c r="G139" i="25"/>
  <c r="E140" i="5"/>
  <c r="C139" i="25"/>
  <c r="F139" i="25"/>
  <c r="H140" i="25"/>
  <c r="D141" i="5"/>
  <c r="B140" i="25"/>
  <c r="D140" i="25"/>
  <c r="FK144" i="4"/>
  <c r="DT144" i="4"/>
  <c r="I144" i="4"/>
  <c r="F144" i="4"/>
  <c r="H144" i="4"/>
  <c r="G144" i="4"/>
  <c r="F156" i="21"/>
  <c r="L156" i="21"/>
  <c r="M156" i="21"/>
  <c r="K156" i="21"/>
  <c r="N156" i="21"/>
  <c r="HN144" i="4"/>
  <c r="O156" i="21"/>
  <c r="G156" i="21"/>
  <c r="E156" i="21"/>
  <c r="J156" i="21"/>
  <c r="H156" i="21"/>
  <c r="T156" i="32"/>
  <c r="FT144" i="4"/>
  <c r="GK144" i="4"/>
  <c r="U156" i="32"/>
  <c r="V156" i="32"/>
  <c r="I156" i="32"/>
  <c r="N156" i="22"/>
  <c r="D156" i="32"/>
  <c r="J156" i="32"/>
  <c r="P156" i="22"/>
  <c r="E156" i="32"/>
  <c r="C156" i="32"/>
  <c r="G140" i="25"/>
  <c r="E141" i="5"/>
  <c r="C140" i="25"/>
  <c r="F140" i="25"/>
  <c r="H141" i="25"/>
  <c r="D142" i="5"/>
  <c r="B141" i="25"/>
  <c r="D141" i="25"/>
  <c r="FK145" i="4"/>
  <c r="DT145" i="4"/>
  <c r="I145" i="4"/>
  <c r="F145" i="4"/>
  <c r="H145" i="4"/>
  <c r="G145" i="4"/>
  <c r="F157" i="21"/>
  <c r="L157" i="21"/>
  <c r="M157" i="21"/>
  <c r="K157" i="21"/>
  <c r="N157" i="21"/>
  <c r="HN145" i="4"/>
  <c r="O157" i="21"/>
  <c r="G157" i="21"/>
  <c r="E157" i="21"/>
  <c r="J157" i="21"/>
  <c r="H157" i="21"/>
  <c r="T157" i="32"/>
  <c r="FT145" i="4"/>
  <c r="GK145" i="4"/>
  <c r="U157" i="32"/>
  <c r="V157" i="32"/>
  <c r="I157" i="32"/>
  <c r="N157" i="22"/>
  <c r="D157" i="32"/>
  <c r="J157" i="32"/>
  <c r="P157" i="22"/>
  <c r="E157" i="32"/>
  <c r="C157" i="32"/>
  <c r="G141" i="25"/>
  <c r="E142" i="5"/>
  <c r="C141" i="25"/>
  <c r="F141" i="25"/>
  <c r="H142" i="25"/>
  <c r="D143" i="5"/>
  <c r="B142" i="25"/>
  <c r="D142" i="25"/>
  <c r="FK146" i="4"/>
  <c r="DT146" i="4"/>
  <c r="I146" i="4"/>
  <c r="X146" i="4"/>
  <c r="F146" i="4"/>
  <c r="H146" i="4"/>
  <c r="G146" i="4"/>
  <c r="F158" i="21"/>
  <c r="L158" i="21"/>
  <c r="M158" i="21"/>
  <c r="K158" i="21"/>
  <c r="N158" i="21"/>
  <c r="HN146" i="4"/>
  <c r="O158" i="21"/>
  <c r="G158" i="21"/>
  <c r="E158" i="21"/>
  <c r="J158" i="21"/>
  <c r="H158" i="21"/>
  <c r="T158" i="32"/>
  <c r="FT146" i="4"/>
  <c r="GK146" i="4"/>
  <c r="U158" i="32"/>
  <c r="V158" i="32"/>
  <c r="I158" i="32"/>
  <c r="N158" i="22"/>
  <c r="D158" i="32"/>
  <c r="J158" i="32"/>
  <c r="P158" i="22"/>
  <c r="E158" i="32"/>
  <c r="C158" i="32"/>
  <c r="G142" i="25"/>
  <c r="E143" i="5"/>
  <c r="C142" i="25"/>
  <c r="F142" i="25"/>
  <c r="H143" i="25"/>
  <c r="D144" i="5"/>
  <c r="B143" i="25"/>
  <c r="D143" i="25"/>
  <c r="FK147" i="4"/>
  <c r="DT147" i="4"/>
  <c r="I147" i="4"/>
  <c r="X147" i="4"/>
  <c r="F147" i="4"/>
  <c r="H147" i="4"/>
  <c r="G147" i="4"/>
  <c r="F159" i="21"/>
  <c r="L159" i="21"/>
  <c r="M159" i="21"/>
  <c r="K159" i="21"/>
  <c r="N159" i="21"/>
  <c r="HN147" i="4"/>
  <c r="O159" i="21"/>
  <c r="G159" i="21"/>
  <c r="E159" i="21"/>
  <c r="J159" i="21"/>
  <c r="H159" i="21"/>
  <c r="T159" i="32"/>
  <c r="FT147" i="4"/>
  <c r="GK147" i="4"/>
  <c r="U159" i="32"/>
  <c r="V159" i="32"/>
  <c r="I159" i="32"/>
  <c r="N159" i="22"/>
  <c r="D159" i="32"/>
  <c r="J159" i="32"/>
  <c r="P159" i="22"/>
  <c r="E159" i="32"/>
  <c r="C159" i="32"/>
  <c r="G143" i="25"/>
  <c r="E144" i="5"/>
  <c r="C143" i="25"/>
  <c r="F143" i="25"/>
  <c r="H144" i="25"/>
  <c r="D145" i="5"/>
  <c r="B144" i="25"/>
  <c r="D144" i="25"/>
  <c r="FK148" i="4"/>
  <c r="DT148" i="4"/>
  <c r="I148" i="4"/>
  <c r="X148" i="4"/>
  <c r="F148" i="4"/>
  <c r="H148" i="4"/>
  <c r="G148" i="4"/>
  <c r="F160" i="21"/>
  <c r="L160" i="21"/>
  <c r="M160" i="21"/>
  <c r="K160" i="21"/>
  <c r="N160" i="21"/>
  <c r="HN148" i="4"/>
  <c r="O160" i="21"/>
  <c r="G160" i="21"/>
  <c r="E160" i="21"/>
  <c r="J160" i="21"/>
  <c r="H160" i="21"/>
  <c r="T160" i="32"/>
  <c r="FT148" i="4"/>
  <c r="GK148" i="4"/>
  <c r="U160" i="32"/>
  <c r="V160" i="32"/>
  <c r="I160" i="32"/>
  <c r="N160" i="22"/>
  <c r="D160" i="32"/>
  <c r="J160" i="32"/>
  <c r="P160" i="22"/>
  <c r="E160" i="32"/>
  <c r="C160" i="32"/>
  <c r="G144" i="25"/>
  <c r="E145" i="5"/>
  <c r="C144" i="25"/>
  <c r="F144" i="25"/>
  <c r="H145" i="25"/>
  <c r="D146" i="5"/>
  <c r="B145" i="25"/>
  <c r="D145" i="25"/>
  <c r="FK149" i="4"/>
  <c r="DT149" i="4"/>
  <c r="I149" i="4"/>
  <c r="X149" i="4"/>
  <c r="F149" i="4"/>
  <c r="H149" i="4"/>
  <c r="G149" i="4"/>
  <c r="F161" i="21"/>
  <c r="L161" i="21"/>
  <c r="M161" i="21"/>
  <c r="K161" i="21"/>
  <c r="N161" i="21"/>
  <c r="HN149" i="4"/>
  <c r="O161" i="21"/>
  <c r="G161" i="21"/>
  <c r="E161" i="21"/>
  <c r="J161" i="21"/>
  <c r="H161" i="21"/>
  <c r="T161" i="32"/>
  <c r="FT149" i="4"/>
  <c r="GK149" i="4"/>
  <c r="U161" i="32"/>
  <c r="V161" i="32"/>
  <c r="I161" i="32"/>
  <c r="N161" i="22"/>
  <c r="D161" i="32"/>
  <c r="J161" i="32"/>
  <c r="P161" i="22"/>
  <c r="E161" i="32"/>
  <c r="C161" i="32"/>
  <c r="G145" i="25"/>
  <c r="E146" i="5"/>
  <c r="C145" i="25"/>
  <c r="F145" i="25"/>
  <c r="H146" i="25"/>
  <c r="D147" i="5"/>
  <c r="B146" i="25"/>
  <c r="D146" i="25"/>
  <c r="FK150" i="4"/>
  <c r="DT150" i="4"/>
  <c r="I150" i="4"/>
  <c r="X150" i="4"/>
  <c r="F150" i="4"/>
  <c r="H150" i="4"/>
  <c r="G150" i="4"/>
  <c r="F162" i="21"/>
  <c r="L162" i="21"/>
  <c r="M162" i="21"/>
  <c r="K162" i="21"/>
  <c r="N162" i="21"/>
  <c r="HN150" i="4"/>
  <c r="O162" i="21"/>
  <c r="G162" i="21"/>
  <c r="E162" i="21"/>
  <c r="J162" i="21"/>
  <c r="H162" i="21"/>
  <c r="T162" i="32"/>
  <c r="FT150" i="4"/>
  <c r="GK150" i="4"/>
  <c r="U162" i="32"/>
  <c r="V162" i="32"/>
  <c r="I162" i="32"/>
  <c r="N162" i="22"/>
  <c r="D162" i="32"/>
  <c r="J162" i="32"/>
  <c r="P162" i="22"/>
  <c r="E162" i="32"/>
  <c r="C162" i="32"/>
  <c r="G146" i="25"/>
  <c r="E147" i="5"/>
  <c r="C146" i="25"/>
  <c r="F146" i="25"/>
  <c r="H147" i="25"/>
  <c r="D148" i="5"/>
  <c r="B147" i="25"/>
  <c r="D147" i="25"/>
  <c r="FK151" i="4"/>
  <c r="DT151" i="4"/>
  <c r="I151" i="4"/>
  <c r="X151" i="4"/>
  <c r="F151" i="4"/>
  <c r="H151" i="4"/>
  <c r="G151" i="4"/>
  <c r="F163" i="21"/>
  <c r="L163" i="21"/>
  <c r="M163" i="21"/>
  <c r="K163" i="21"/>
  <c r="N163" i="21"/>
  <c r="HN151" i="4"/>
  <c r="O163" i="21"/>
  <c r="G163" i="21"/>
  <c r="E163" i="21"/>
  <c r="J163" i="21"/>
  <c r="H163" i="21"/>
  <c r="T163" i="32"/>
  <c r="FT151" i="4"/>
  <c r="GK151" i="4"/>
  <c r="U163" i="32"/>
  <c r="V163" i="32"/>
  <c r="I163" i="32"/>
  <c r="N163" i="22"/>
  <c r="D163" i="32"/>
  <c r="J163" i="32"/>
  <c r="P163" i="22"/>
  <c r="E163" i="32"/>
  <c r="C163" i="32"/>
  <c r="G147" i="25"/>
  <c r="E148" i="5"/>
  <c r="C147" i="25"/>
  <c r="F147" i="25"/>
  <c r="H148" i="25"/>
  <c r="D149" i="5"/>
  <c r="B148" i="25"/>
  <c r="D148" i="25"/>
  <c r="FK152" i="4"/>
  <c r="DT152" i="4"/>
  <c r="I152" i="4"/>
  <c r="X152" i="4"/>
  <c r="F152" i="4"/>
  <c r="H152" i="4"/>
  <c r="G152" i="4"/>
  <c r="F164" i="21"/>
  <c r="L164" i="21"/>
  <c r="M164" i="21"/>
  <c r="K164" i="21"/>
  <c r="N164" i="21"/>
  <c r="HN152" i="4"/>
  <c r="O164" i="21"/>
  <c r="G164" i="21"/>
  <c r="E164" i="21"/>
  <c r="J164" i="21"/>
  <c r="H164" i="21"/>
  <c r="T164" i="32"/>
  <c r="FT152" i="4"/>
  <c r="GK152" i="4"/>
  <c r="U164" i="32"/>
  <c r="V164" i="32"/>
  <c r="I164" i="32"/>
  <c r="N164" i="22"/>
  <c r="D164" i="32"/>
  <c r="J164" i="32"/>
  <c r="P164" i="22"/>
  <c r="E164" i="32"/>
  <c r="C164" i="32"/>
  <c r="G148" i="25"/>
  <c r="E149" i="5"/>
  <c r="C148" i="25"/>
  <c r="F148" i="25"/>
  <c r="H149" i="25"/>
  <c r="D150" i="5"/>
  <c r="B149" i="25"/>
  <c r="D149" i="25"/>
  <c r="FK153" i="4"/>
  <c r="DT153" i="4"/>
  <c r="I153" i="4"/>
  <c r="X153" i="4"/>
  <c r="F153" i="4"/>
  <c r="H153" i="4"/>
  <c r="G153" i="4"/>
  <c r="F165" i="21"/>
  <c r="L165" i="21"/>
  <c r="M165" i="21"/>
  <c r="K165" i="21"/>
  <c r="N165" i="21"/>
  <c r="HN153" i="4"/>
  <c r="O165" i="21"/>
  <c r="G165" i="21"/>
  <c r="E165" i="21"/>
  <c r="J165" i="21"/>
  <c r="H165" i="21"/>
  <c r="T165" i="32"/>
  <c r="FT153" i="4"/>
  <c r="GK153" i="4"/>
  <c r="U165" i="32"/>
  <c r="V165" i="32"/>
  <c r="I165" i="32"/>
  <c r="N165" i="22"/>
  <c r="D165" i="32"/>
  <c r="J165" i="32"/>
  <c r="P165" i="22"/>
  <c r="E165" i="32"/>
  <c r="C165" i="32"/>
  <c r="G149" i="25"/>
  <c r="E150" i="5"/>
  <c r="C149" i="25"/>
  <c r="F149" i="25"/>
  <c r="H150" i="25"/>
  <c r="D151" i="5"/>
  <c r="B150" i="25"/>
  <c r="D150" i="25"/>
  <c r="FK154" i="4"/>
  <c r="DT154" i="4"/>
  <c r="I154" i="4"/>
  <c r="X154" i="4"/>
  <c r="F154" i="4"/>
  <c r="H154" i="4"/>
  <c r="G154" i="4"/>
  <c r="F166" i="21"/>
  <c r="L166" i="21"/>
  <c r="M166" i="21"/>
  <c r="K166" i="21"/>
  <c r="N166" i="21"/>
  <c r="HN154" i="4"/>
  <c r="O166" i="21"/>
  <c r="G166" i="21"/>
  <c r="E166" i="21"/>
  <c r="J166" i="21"/>
  <c r="H166" i="21"/>
  <c r="T166" i="32"/>
  <c r="FT154" i="4"/>
  <c r="GK154" i="4"/>
  <c r="U166" i="32"/>
  <c r="V166" i="32"/>
  <c r="I166" i="32"/>
  <c r="N166" i="22"/>
  <c r="D166" i="32"/>
  <c r="J166" i="32"/>
  <c r="P166" i="22"/>
  <c r="E166" i="32"/>
  <c r="C166" i="32"/>
  <c r="G150" i="25"/>
  <c r="E151" i="5"/>
  <c r="C150" i="25"/>
  <c r="F150" i="25"/>
  <c r="H151" i="25"/>
  <c r="D152" i="5"/>
  <c r="B151" i="25"/>
  <c r="D151" i="25"/>
  <c r="FK155" i="4"/>
  <c r="DT155" i="4"/>
  <c r="I155" i="4"/>
  <c r="X155" i="4"/>
  <c r="F155" i="4"/>
  <c r="H155" i="4"/>
  <c r="G155" i="4"/>
  <c r="F167" i="21"/>
  <c r="L167" i="21"/>
  <c r="M167" i="21"/>
  <c r="K167" i="21"/>
  <c r="N167" i="21"/>
  <c r="HN155" i="4"/>
  <c r="O167" i="21"/>
  <c r="G167" i="21"/>
  <c r="E167" i="21"/>
  <c r="J167" i="21"/>
  <c r="H167" i="21"/>
  <c r="T167" i="32"/>
  <c r="FT155" i="4"/>
  <c r="GK155" i="4"/>
  <c r="U167" i="32"/>
  <c r="V167" i="32"/>
  <c r="I167" i="32"/>
  <c r="N167" i="22"/>
  <c r="D167" i="32"/>
  <c r="J167" i="32"/>
  <c r="P167" i="22"/>
  <c r="E167" i="32"/>
  <c r="C167" i="32"/>
  <c r="G151" i="25"/>
  <c r="E152" i="5"/>
  <c r="C151" i="25"/>
  <c r="F151" i="25"/>
  <c r="H152" i="25"/>
  <c r="D153" i="5"/>
  <c r="B152" i="25"/>
  <c r="D152" i="25"/>
  <c r="FK156" i="4"/>
  <c r="DT156" i="4"/>
  <c r="I156" i="4"/>
  <c r="X156" i="4"/>
  <c r="F156" i="4"/>
  <c r="H156" i="4"/>
  <c r="G156" i="4"/>
  <c r="F168" i="21"/>
  <c r="L168" i="21"/>
  <c r="M168" i="21"/>
  <c r="K168" i="21"/>
  <c r="N168" i="21"/>
  <c r="HN156" i="4"/>
  <c r="O168" i="21"/>
  <c r="G168" i="21"/>
  <c r="E168" i="21"/>
  <c r="J168" i="21"/>
  <c r="H168" i="21"/>
  <c r="T168" i="32"/>
  <c r="FT156" i="4"/>
  <c r="GK156" i="4"/>
  <c r="U168" i="32"/>
  <c r="V168" i="32"/>
  <c r="I168" i="32"/>
  <c r="N168" i="22"/>
  <c r="D168" i="32"/>
  <c r="J168" i="32"/>
  <c r="P168" i="22"/>
  <c r="E168" i="32"/>
  <c r="C168" i="32"/>
  <c r="G152" i="25"/>
  <c r="E153" i="5"/>
  <c r="C152" i="25"/>
  <c r="F152" i="25"/>
  <c r="H153" i="25"/>
  <c r="D154" i="5"/>
  <c r="B153" i="25"/>
  <c r="D153" i="25"/>
  <c r="FK157" i="4"/>
  <c r="DT157" i="4"/>
  <c r="I157" i="4"/>
  <c r="X157" i="4"/>
  <c r="F157" i="4"/>
  <c r="H157" i="4"/>
  <c r="G157" i="4"/>
  <c r="F169" i="21"/>
  <c r="L169" i="21"/>
  <c r="M169" i="21"/>
  <c r="K169" i="21"/>
  <c r="N169" i="21"/>
  <c r="HN157" i="4"/>
  <c r="O169" i="21"/>
  <c r="G169" i="21"/>
  <c r="E169" i="21"/>
  <c r="J169" i="21"/>
  <c r="H169" i="21"/>
  <c r="T169" i="32"/>
  <c r="FT157" i="4"/>
  <c r="GK157" i="4"/>
  <c r="U169" i="32"/>
  <c r="V169" i="32"/>
  <c r="I169" i="32"/>
  <c r="N169" i="22"/>
  <c r="D169" i="32"/>
  <c r="J169" i="32"/>
  <c r="P169" i="22"/>
  <c r="E169" i="32"/>
  <c r="C169" i="32"/>
  <c r="G153" i="25"/>
  <c r="E154" i="5"/>
  <c r="C153" i="25"/>
  <c r="F153" i="25"/>
  <c r="H154" i="25"/>
  <c r="D155" i="5"/>
  <c r="B154" i="25"/>
  <c r="D154" i="25"/>
  <c r="FK158" i="4"/>
  <c r="DT158" i="4"/>
  <c r="I158" i="4"/>
  <c r="X158" i="4"/>
  <c r="F158" i="4"/>
  <c r="H158" i="4"/>
  <c r="G158" i="4"/>
  <c r="F170" i="21"/>
  <c r="L170" i="21"/>
  <c r="M170" i="21"/>
  <c r="K170" i="21"/>
  <c r="N170" i="21"/>
  <c r="HN158" i="4"/>
  <c r="O170" i="21"/>
  <c r="G170" i="21"/>
  <c r="E170" i="21"/>
  <c r="J170" i="21"/>
  <c r="H170" i="21"/>
  <c r="T170" i="32"/>
  <c r="FT158" i="4"/>
  <c r="GK158" i="4"/>
  <c r="U170" i="32"/>
  <c r="V170" i="32"/>
  <c r="I170" i="32"/>
  <c r="N170" i="22"/>
  <c r="D170" i="32"/>
  <c r="J170" i="32"/>
  <c r="P170" i="22"/>
  <c r="E170" i="32"/>
  <c r="C170" i="32"/>
  <c r="G154" i="25"/>
  <c r="E155" i="5"/>
  <c r="C154" i="25"/>
  <c r="F154" i="25"/>
  <c r="H155" i="25"/>
  <c r="D156" i="5"/>
  <c r="B155" i="25"/>
  <c r="D155" i="25"/>
  <c r="FK159" i="4"/>
  <c r="DT159" i="4"/>
  <c r="I159" i="4"/>
  <c r="X159" i="4"/>
  <c r="F159" i="4"/>
  <c r="H159" i="4"/>
  <c r="G159" i="4"/>
  <c r="F171" i="21"/>
  <c r="L171" i="21"/>
  <c r="M171" i="21"/>
  <c r="K171" i="21"/>
  <c r="N171" i="21"/>
  <c r="HN159" i="4"/>
  <c r="O171" i="21"/>
  <c r="G171" i="21"/>
  <c r="E171" i="21"/>
  <c r="J171" i="21"/>
  <c r="H171" i="21"/>
  <c r="T171" i="32"/>
  <c r="FT159" i="4"/>
  <c r="GK159" i="4"/>
  <c r="U171" i="32"/>
  <c r="V171" i="32"/>
  <c r="I171" i="32"/>
  <c r="N171" i="22"/>
  <c r="D171" i="32"/>
  <c r="J171" i="32"/>
  <c r="P171" i="22"/>
  <c r="E171" i="32"/>
  <c r="C171" i="32"/>
  <c r="G155" i="25"/>
  <c r="E156" i="5"/>
  <c r="C155" i="25"/>
  <c r="F155" i="25"/>
  <c r="H156" i="25"/>
  <c r="D157" i="5"/>
  <c r="B156" i="25"/>
  <c r="D156" i="25"/>
  <c r="FK160" i="4"/>
  <c r="DT160" i="4"/>
  <c r="I160" i="4"/>
  <c r="X160" i="4"/>
  <c r="F160" i="4"/>
  <c r="H160" i="4"/>
  <c r="G160" i="4"/>
  <c r="F172" i="21"/>
  <c r="L172" i="21"/>
  <c r="M172" i="21"/>
  <c r="K172" i="21"/>
  <c r="N172" i="21"/>
  <c r="HN160" i="4"/>
  <c r="O172" i="21"/>
  <c r="G172" i="21"/>
  <c r="E172" i="21"/>
  <c r="J172" i="21"/>
  <c r="H172" i="21"/>
  <c r="T172" i="32"/>
  <c r="FT160" i="4"/>
  <c r="GK160" i="4"/>
  <c r="U172" i="32"/>
  <c r="V172" i="32"/>
  <c r="I172" i="32"/>
  <c r="N172" i="22"/>
  <c r="D172" i="32"/>
  <c r="J172" i="32"/>
  <c r="P172" i="22"/>
  <c r="E172" i="32"/>
  <c r="C172" i="32"/>
  <c r="G156" i="25"/>
  <c r="E157" i="5"/>
  <c r="C156" i="25"/>
  <c r="F156" i="25"/>
  <c r="H157" i="25"/>
  <c r="D158" i="5"/>
  <c r="B157" i="25"/>
  <c r="D157" i="25"/>
  <c r="FK161" i="4"/>
  <c r="DT161" i="4"/>
  <c r="I161" i="4"/>
  <c r="X161" i="4"/>
  <c r="F161" i="4"/>
  <c r="H161" i="4"/>
  <c r="G161" i="4"/>
  <c r="F173" i="21"/>
  <c r="L173" i="21"/>
  <c r="M173" i="21"/>
  <c r="K173" i="21"/>
  <c r="N173" i="21"/>
  <c r="HN161" i="4"/>
  <c r="O173" i="21"/>
  <c r="G173" i="21"/>
  <c r="E173" i="21"/>
  <c r="J173" i="21"/>
  <c r="H173" i="21"/>
  <c r="T173" i="32"/>
  <c r="FT161" i="4"/>
  <c r="GK161" i="4"/>
  <c r="U173" i="32"/>
  <c r="V173" i="32"/>
  <c r="I173" i="32"/>
  <c r="N173" i="22"/>
  <c r="D173" i="32"/>
  <c r="J173" i="32"/>
  <c r="P173" i="22"/>
  <c r="E173" i="32"/>
  <c r="C173" i="32"/>
  <c r="G157" i="25"/>
  <c r="E158" i="5"/>
  <c r="C157" i="25"/>
  <c r="F157" i="25"/>
  <c r="H158" i="25"/>
  <c r="D159" i="5"/>
  <c r="B158" i="25"/>
  <c r="D158" i="25"/>
  <c r="FK162" i="4"/>
  <c r="DT162" i="4"/>
  <c r="I162" i="4"/>
  <c r="X162" i="4"/>
  <c r="F162" i="4"/>
  <c r="H162" i="4"/>
  <c r="G162" i="4"/>
  <c r="F174" i="21"/>
  <c r="L174" i="21"/>
  <c r="M174" i="21"/>
  <c r="K174" i="21"/>
  <c r="N174" i="21"/>
  <c r="HN162" i="4"/>
  <c r="O174" i="21"/>
  <c r="G174" i="21"/>
  <c r="E174" i="21"/>
  <c r="J174" i="21"/>
  <c r="H174" i="21"/>
  <c r="T174" i="32"/>
  <c r="FT162" i="4"/>
  <c r="GK162" i="4"/>
  <c r="U174" i="32"/>
  <c r="V174" i="32"/>
  <c r="I174" i="32"/>
  <c r="N174" i="22"/>
  <c r="D174" i="32"/>
  <c r="J174" i="32"/>
  <c r="P174" i="22"/>
  <c r="E174" i="32"/>
  <c r="C174" i="32"/>
  <c r="G158" i="25"/>
  <c r="E159" i="5"/>
  <c r="C158" i="25"/>
  <c r="F158" i="25"/>
  <c r="H159" i="25"/>
  <c r="D160" i="5"/>
  <c r="B159" i="25"/>
  <c r="D159" i="25"/>
  <c r="FK163" i="4"/>
  <c r="DT163" i="4"/>
  <c r="I163" i="4"/>
  <c r="X163" i="4"/>
  <c r="F163" i="4"/>
  <c r="H163" i="4"/>
  <c r="G163" i="4"/>
  <c r="F175" i="21"/>
  <c r="L175" i="21"/>
  <c r="M175" i="21"/>
  <c r="K175" i="21"/>
  <c r="N175" i="21"/>
  <c r="HN163" i="4"/>
  <c r="O175" i="21"/>
  <c r="G175" i="21"/>
  <c r="E175" i="21"/>
  <c r="J175" i="21"/>
  <c r="H175" i="21"/>
  <c r="T175" i="32"/>
  <c r="FT163" i="4"/>
  <c r="GK163" i="4"/>
  <c r="U175" i="32"/>
  <c r="V175" i="32"/>
  <c r="I175" i="32"/>
  <c r="N175" i="22"/>
  <c r="D175" i="32"/>
  <c r="J175" i="32"/>
  <c r="P175" i="22"/>
  <c r="E175" i="32"/>
  <c r="C175" i="32"/>
  <c r="G159" i="25"/>
  <c r="E160" i="5"/>
  <c r="C159" i="25"/>
  <c r="F159" i="25"/>
  <c r="H160" i="25"/>
  <c r="D161" i="5"/>
  <c r="B160" i="25"/>
  <c r="D160" i="25"/>
  <c r="FK164" i="4"/>
  <c r="DT164" i="4"/>
  <c r="I164" i="4"/>
  <c r="X164" i="4"/>
  <c r="F164" i="4"/>
  <c r="H164" i="4"/>
  <c r="G164" i="4"/>
  <c r="F176" i="21"/>
  <c r="L176" i="21"/>
  <c r="M176" i="21"/>
  <c r="K176" i="21"/>
  <c r="N176" i="21"/>
  <c r="HN164" i="4"/>
  <c r="O176" i="21"/>
  <c r="G176" i="21"/>
  <c r="E176" i="21"/>
  <c r="J176" i="21"/>
  <c r="H176" i="21"/>
  <c r="T176" i="32"/>
  <c r="FT164" i="4"/>
  <c r="GK164" i="4"/>
  <c r="U176" i="32"/>
  <c r="V176" i="32"/>
  <c r="I176" i="32"/>
  <c r="N176" i="22"/>
  <c r="D176" i="32"/>
  <c r="J176" i="32"/>
  <c r="P176" i="22"/>
  <c r="E176" i="32"/>
  <c r="C176" i="32"/>
  <c r="G160" i="25"/>
  <c r="E161" i="5"/>
  <c r="C160" i="25"/>
  <c r="F160" i="25"/>
  <c r="H161" i="25"/>
  <c r="D162" i="5"/>
  <c r="B161" i="25"/>
  <c r="D161" i="25"/>
  <c r="FK165" i="4"/>
  <c r="DT165" i="4"/>
  <c r="I165" i="4"/>
  <c r="X165" i="4"/>
  <c r="F165" i="4"/>
  <c r="H165" i="4"/>
  <c r="G165" i="4"/>
  <c r="F177" i="21"/>
  <c r="L177" i="21"/>
  <c r="M177" i="21"/>
  <c r="K177" i="21"/>
  <c r="N177" i="21"/>
  <c r="HN165" i="4"/>
  <c r="O177" i="21"/>
  <c r="G177" i="21"/>
  <c r="E177" i="21"/>
  <c r="J177" i="21"/>
  <c r="H177" i="21"/>
  <c r="T177" i="32"/>
  <c r="FT165" i="4"/>
  <c r="GK165" i="4"/>
  <c r="U177" i="32"/>
  <c r="V177" i="32"/>
  <c r="I177" i="32"/>
  <c r="N177" i="22"/>
  <c r="D177" i="32"/>
  <c r="J177" i="32"/>
  <c r="P177" i="22"/>
  <c r="E177" i="32"/>
  <c r="C177" i="32"/>
  <c r="G161" i="25"/>
  <c r="E162" i="5"/>
  <c r="C161" i="25"/>
  <c r="F161" i="25"/>
  <c r="H162" i="25"/>
  <c r="D163" i="5"/>
  <c r="B162" i="25"/>
  <c r="D162" i="25"/>
  <c r="FK166" i="4"/>
  <c r="DT166" i="4"/>
  <c r="I166" i="4"/>
  <c r="X166" i="4"/>
  <c r="F166" i="4"/>
  <c r="H166" i="4"/>
  <c r="G166" i="4"/>
  <c r="F178" i="21"/>
  <c r="L178" i="21"/>
  <c r="M178" i="21"/>
  <c r="K178" i="21"/>
  <c r="N178" i="21"/>
  <c r="HN166" i="4"/>
  <c r="O178" i="21"/>
  <c r="G178" i="21"/>
  <c r="E178" i="21"/>
  <c r="J178" i="21"/>
  <c r="H178" i="21"/>
  <c r="T178" i="32"/>
  <c r="FT166" i="4"/>
  <c r="GK166" i="4"/>
  <c r="U178" i="32"/>
  <c r="V178" i="32"/>
  <c r="I178" i="32"/>
  <c r="N178" i="22"/>
  <c r="D178" i="32"/>
  <c r="J178" i="32"/>
  <c r="P178" i="22"/>
  <c r="E178" i="32"/>
  <c r="C178" i="32"/>
  <c r="G162" i="25"/>
  <c r="E163" i="5"/>
  <c r="C162" i="25"/>
  <c r="F162" i="25"/>
  <c r="H163" i="25"/>
  <c r="D164" i="5"/>
  <c r="B163" i="25"/>
  <c r="D163" i="25"/>
  <c r="FK167" i="4"/>
  <c r="DT167" i="4"/>
  <c r="I167" i="4"/>
  <c r="X167" i="4"/>
  <c r="F167" i="4"/>
  <c r="H167" i="4"/>
  <c r="G167" i="4"/>
  <c r="F179" i="21"/>
  <c r="L179" i="21"/>
  <c r="M179" i="21"/>
  <c r="K179" i="21"/>
  <c r="N179" i="21"/>
  <c r="HN167" i="4"/>
  <c r="O179" i="21"/>
  <c r="G179" i="21"/>
  <c r="E179" i="21"/>
  <c r="J179" i="21"/>
  <c r="H179" i="21"/>
  <c r="T179" i="32"/>
  <c r="FT167" i="4"/>
  <c r="GK167" i="4"/>
  <c r="U179" i="32"/>
  <c r="V179" i="32"/>
  <c r="I179" i="32"/>
  <c r="N179" i="22"/>
  <c r="D179" i="32"/>
  <c r="J179" i="32"/>
  <c r="P179" i="22"/>
  <c r="E179" i="32"/>
  <c r="C179" i="32"/>
  <c r="G163" i="25"/>
  <c r="E164" i="5"/>
  <c r="C163" i="25"/>
  <c r="F163" i="25"/>
  <c r="H164" i="25"/>
  <c r="D165" i="5"/>
  <c r="B164" i="25"/>
  <c r="D164" i="25"/>
  <c r="FK168" i="4"/>
  <c r="DT168" i="4"/>
  <c r="I168" i="4"/>
  <c r="X168" i="4"/>
  <c r="F168" i="4"/>
  <c r="H168" i="4"/>
  <c r="G168" i="4"/>
  <c r="F180" i="21"/>
  <c r="L180" i="21"/>
  <c r="M180" i="21"/>
  <c r="K180" i="21"/>
  <c r="N180" i="21"/>
  <c r="HN168" i="4"/>
  <c r="O180" i="21"/>
  <c r="G180" i="21"/>
  <c r="E180" i="21"/>
  <c r="J180" i="21"/>
  <c r="H180" i="21"/>
  <c r="T180" i="32"/>
  <c r="FT168" i="4"/>
  <c r="GK168" i="4"/>
  <c r="U180" i="32"/>
  <c r="V180" i="32"/>
  <c r="I180" i="32"/>
  <c r="N180" i="22"/>
  <c r="D180" i="32"/>
  <c r="J180" i="32"/>
  <c r="P180" i="22"/>
  <c r="E180" i="32"/>
  <c r="C180" i="32"/>
  <c r="G164" i="25"/>
  <c r="E165" i="5"/>
  <c r="C164" i="25"/>
  <c r="F164" i="25"/>
  <c r="H165" i="25"/>
  <c r="D166" i="5"/>
  <c r="B165" i="25"/>
  <c r="D165" i="25"/>
  <c r="E125" i="42"/>
  <c r="I125" i="2"/>
  <c r="I125" i="42"/>
  <c r="J125" i="2"/>
  <c r="L125" i="42"/>
  <c r="K125" i="2"/>
  <c r="H125" i="2"/>
  <c r="B125" i="2"/>
  <c r="M125" i="2"/>
  <c r="F125" i="34"/>
  <c r="K141" i="32"/>
  <c r="Q141" i="22"/>
  <c r="F141" i="32"/>
  <c r="B141" i="32"/>
  <c r="G125" i="34"/>
  <c r="H126" i="34"/>
  <c r="B126" i="34"/>
  <c r="B125" i="34"/>
  <c r="D126" i="34"/>
  <c r="K142" i="32"/>
  <c r="Q142" i="22"/>
  <c r="F142" i="32"/>
  <c r="B142" i="32"/>
  <c r="G126" i="34"/>
  <c r="E126" i="42"/>
  <c r="I126" i="2"/>
  <c r="I126" i="42"/>
  <c r="J126" i="2"/>
  <c r="L126" i="42"/>
  <c r="K126" i="2"/>
  <c r="H126" i="2"/>
  <c r="B126" i="2"/>
  <c r="M126" i="2"/>
  <c r="F126" i="34"/>
  <c r="H127" i="34"/>
  <c r="B127" i="34"/>
  <c r="D127" i="34"/>
  <c r="K143" i="32"/>
  <c r="Q143" i="22"/>
  <c r="F143" i="32"/>
  <c r="B143" i="32"/>
  <c r="G127" i="34"/>
  <c r="E127" i="42"/>
  <c r="I127" i="2"/>
  <c r="I127" i="42"/>
  <c r="J127" i="2"/>
  <c r="L127" i="42"/>
  <c r="K127" i="2"/>
  <c r="H127" i="2"/>
  <c r="B127" i="2"/>
  <c r="M127" i="2"/>
  <c r="F127" i="34"/>
  <c r="H128" i="34"/>
  <c r="B128" i="34"/>
  <c r="D128" i="34"/>
  <c r="K144" i="32"/>
  <c r="Q144" i="22"/>
  <c r="F144" i="32"/>
  <c r="B144" i="32"/>
  <c r="G128" i="34"/>
  <c r="E128" i="42"/>
  <c r="I128" i="2"/>
  <c r="I128" i="42"/>
  <c r="J128" i="2"/>
  <c r="L128" i="42"/>
  <c r="K128" i="2"/>
  <c r="H128" i="2"/>
  <c r="B128" i="2"/>
  <c r="M128" i="2"/>
  <c r="F128" i="34"/>
  <c r="H129" i="34"/>
  <c r="B129" i="34"/>
  <c r="D129" i="34"/>
  <c r="K145" i="32"/>
  <c r="Q145" i="22"/>
  <c r="F145" i="32"/>
  <c r="B145" i="32"/>
  <c r="G129" i="34"/>
  <c r="E129" i="42"/>
  <c r="I129" i="2"/>
  <c r="I129" i="42"/>
  <c r="J129" i="2"/>
  <c r="L129" i="42"/>
  <c r="K129" i="2"/>
  <c r="H129" i="2"/>
  <c r="B129" i="2"/>
  <c r="M129" i="2"/>
  <c r="F129" i="34"/>
  <c r="H130" i="34"/>
  <c r="B130" i="34"/>
  <c r="D130" i="34"/>
  <c r="K146" i="32"/>
  <c r="Q146" i="22"/>
  <c r="F146" i="32"/>
  <c r="B146" i="32"/>
  <c r="G130" i="34"/>
  <c r="E130" i="42"/>
  <c r="I130" i="2"/>
  <c r="I130" i="42"/>
  <c r="J130" i="2"/>
  <c r="L130" i="42"/>
  <c r="K130" i="2"/>
  <c r="H130" i="2"/>
  <c r="B130" i="2"/>
  <c r="M130" i="2"/>
  <c r="F130" i="34"/>
  <c r="H131" i="34"/>
  <c r="B131" i="34"/>
  <c r="D131" i="34"/>
  <c r="K147" i="32"/>
  <c r="Q147" i="22"/>
  <c r="F147" i="32"/>
  <c r="B147" i="32"/>
  <c r="G131" i="34"/>
  <c r="E131" i="42"/>
  <c r="I131" i="2"/>
  <c r="I131" i="42"/>
  <c r="J131" i="2"/>
  <c r="L131" i="42"/>
  <c r="K131" i="2"/>
  <c r="H131" i="2"/>
  <c r="B131" i="2"/>
  <c r="M131" i="2"/>
  <c r="F131" i="34"/>
  <c r="H132" i="34"/>
  <c r="B132" i="34"/>
  <c r="D132" i="34"/>
  <c r="K148" i="32"/>
  <c r="Q148" i="22"/>
  <c r="F148" i="32"/>
  <c r="B148" i="32"/>
  <c r="G132" i="34"/>
  <c r="E132" i="42"/>
  <c r="I132" i="2"/>
  <c r="I132" i="42"/>
  <c r="J132" i="2"/>
  <c r="L132" i="42"/>
  <c r="K132" i="2"/>
  <c r="H132" i="2"/>
  <c r="B132" i="2"/>
  <c r="M132" i="2"/>
  <c r="F132" i="34"/>
  <c r="H133" i="34"/>
  <c r="B133" i="34"/>
  <c r="D133" i="34"/>
  <c r="K149" i="32"/>
  <c r="Q149" i="22"/>
  <c r="F149" i="32"/>
  <c r="B149" i="32"/>
  <c r="G133" i="34"/>
  <c r="E133" i="42"/>
  <c r="I133" i="2"/>
  <c r="I133" i="42"/>
  <c r="J133" i="2"/>
  <c r="L133" i="42"/>
  <c r="K133" i="2"/>
  <c r="H133" i="2"/>
  <c r="B133" i="2"/>
  <c r="M133" i="2"/>
  <c r="F133" i="34"/>
  <c r="H134" i="34"/>
  <c r="B134" i="34"/>
  <c r="D134" i="34"/>
  <c r="K150" i="32"/>
  <c r="Q150" i="22"/>
  <c r="F150" i="32"/>
  <c r="B150" i="32"/>
  <c r="G134" i="34"/>
  <c r="E134" i="42"/>
  <c r="I134" i="2"/>
  <c r="I134" i="42"/>
  <c r="J134" i="2"/>
  <c r="L134" i="42"/>
  <c r="K134" i="2"/>
  <c r="H134" i="2"/>
  <c r="B134" i="2"/>
  <c r="M134" i="2"/>
  <c r="F134" i="34"/>
  <c r="H135" i="34"/>
  <c r="B135" i="34"/>
  <c r="D135" i="34"/>
  <c r="K151" i="32"/>
  <c r="Q151" i="22"/>
  <c r="F151" i="32"/>
  <c r="B151" i="32"/>
  <c r="G135" i="34"/>
  <c r="E135" i="42"/>
  <c r="I135" i="2"/>
  <c r="I135" i="42"/>
  <c r="J135" i="2"/>
  <c r="L135" i="42"/>
  <c r="K135" i="2"/>
  <c r="H135" i="2"/>
  <c r="B135" i="2"/>
  <c r="M135" i="2"/>
  <c r="F135" i="34"/>
  <c r="H136" i="34"/>
  <c r="B136" i="34"/>
  <c r="D136" i="34"/>
  <c r="K152" i="32"/>
  <c r="Q152" i="22"/>
  <c r="F152" i="32"/>
  <c r="B152" i="32"/>
  <c r="G136" i="34"/>
  <c r="E136" i="42"/>
  <c r="I136" i="2"/>
  <c r="I136" i="42"/>
  <c r="J136" i="2"/>
  <c r="L136" i="42"/>
  <c r="K136" i="2"/>
  <c r="H136" i="2"/>
  <c r="B136" i="2"/>
  <c r="M136" i="2"/>
  <c r="F136" i="34"/>
  <c r="H137" i="34"/>
  <c r="B137" i="34"/>
  <c r="D137" i="34"/>
  <c r="K153" i="32"/>
  <c r="Q153" i="22"/>
  <c r="F153" i="32"/>
  <c r="B153" i="32"/>
  <c r="G137" i="34"/>
  <c r="E137" i="42"/>
  <c r="I137" i="2"/>
  <c r="I137" i="42"/>
  <c r="J137" i="2"/>
  <c r="L137" i="42"/>
  <c r="K137" i="2"/>
  <c r="H137" i="2"/>
  <c r="B137" i="2"/>
  <c r="M137" i="2"/>
  <c r="F137" i="34"/>
  <c r="H138" i="34"/>
  <c r="B138" i="34"/>
  <c r="D138" i="34"/>
  <c r="K154" i="32"/>
  <c r="Q154" i="22"/>
  <c r="F154" i="32"/>
  <c r="B154" i="32"/>
  <c r="G138" i="34"/>
  <c r="E138" i="42"/>
  <c r="I138" i="2"/>
  <c r="I138" i="42"/>
  <c r="J138" i="2"/>
  <c r="L138" i="42"/>
  <c r="K138" i="2"/>
  <c r="H138" i="2"/>
  <c r="B138" i="2"/>
  <c r="M138" i="2"/>
  <c r="F138" i="34"/>
  <c r="H139" i="34"/>
  <c r="B139" i="34"/>
  <c r="D139" i="34"/>
  <c r="K155" i="32"/>
  <c r="Q155" i="22"/>
  <c r="F155" i="32"/>
  <c r="B155" i="32"/>
  <c r="G139" i="34"/>
  <c r="E139" i="42"/>
  <c r="I139" i="2"/>
  <c r="I139" i="42"/>
  <c r="J139" i="2"/>
  <c r="L139" i="42"/>
  <c r="K139" i="2"/>
  <c r="H139" i="2"/>
  <c r="B139" i="2"/>
  <c r="M139" i="2"/>
  <c r="F139" i="34"/>
  <c r="H140" i="34"/>
  <c r="B140" i="34"/>
  <c r="D140" i="34"/>
  <c r="K156" i="32"/>
  <c r="Q156" i="22"/>
  <c r="F156" i="32"/>
  <c r="B156" i="32"/>
  <c r="G140" i="34"/>
  <c r="E140" i="42"/>
  <c r="I140" i="2"/>
  <c r="I140" i="42"/>
  <c r="J140" i="2"/>
  <c r="L140" i="42"/>
  <c r="K140" i="2"/>
  <c r="H140" i="2"/>
  <c r="B140" i="2"/>
  <c r="M140" i="2"/>
  <c r="F140" i="34"/>
  <c r="H141" i="34"/>
  <c r="B141" i="34"/>
  <c r="D141" i="34"/>
  <c r="K157" i="32"/>
  <c r="Q157" i="22"/>
  <c r="F157" i="32"/>
  <c r="B157" i="32"/>
  <c r="G141" i="34"/>
  <c r="E141" i="42"/>
  <c r="I141" i="2"/>
  <c r="I141" i="42"/>
  <c r="J141" i="2"/>
  <c r="L141" i="42"/>
  <c r="K141" i="2"/>
  <c r="H141" i="2"/>
  <c r="B141" i="2"/>
  <c r="M141" i="2"/>
  <c r="F141" i="34"/>
  <c r="H142" i="34"/>
  <c r="B142" i="34"/>
  <c r="D142" i="34"/>
  <c r="K158" i="32"/>
  <c r="Q158" i="22"/>
  <c r="F158" i="32"/>
  <c r="B158" i="32"/>
  <c r="G142" i="34"/>
  <c r="E142" i="42"/>
  <c r="I142" i="2"/>
  <c r="I142" i="42"/>
  <c r="J142" i="2"/>
  <c r="L142" i="42"/>
  <c r="K142" i="2"/>
  <c r="H142" i="2"/>
  <c r="B142" i="2"/>
  <c r="M142" i="2"/>
  <c r="F142" i="34"/>
  <c r="H143" i="34"/>
  <c r="B143" i="34"/>
  <c r="D143" i="34"/>
  <c r="K159" i="32"/>
  <c r="Q159" i="22"/>
  <c r="F159" i="32"/>
  <c r="B159" i="32"/>
  <c r="G143" i="34"/>
  <c r="E143" i="42"/>
  <c r="I143" i="2"/>
  <c r="I143" i="42"/>
  <c r="J143" i="2"/>
  <c r="L143" i="42"/>
  <c r="K143" i="2"/>
  <c r="H143" i="2"/>
  <c r="B143" i="2"/>
  <c r="M143" i="2"/>
  <c r="F143" i="34"/>
  <c r="H144" i="34"/>
  <c r="B144" i="34"/>
  <c r="D144" i="34"/>
  <c r="K160" i="32"/>
  <c r="Q160" i="22"/>
  <c r="F160" i="32"/>
  <c r="B160" i="32"/>
  <c r="G144" i="34"/>
  <c r="E144" i="42"/>
  <c r="I144" i="2"/>
  <c r="I144" i="42"/>
  <c r="J144" i="2"/>
  <c r="L144" i="42"/>
  <c r="K144" i="2"/>
  <c r="H144" i="2"/>
  <c r="B144" i="2"/>
  <c r="M144" i="2"/>
  <c r="F144" i="34"/>
  <c r="H145" i="34"/>
  <c r="B145" i="34"/>
  <c r="D145" i="34"/>
  <c r="K161" i="32"/>
  <c r="Q161" i="22"/>
  <c r="F161" i="32"/>
  <c r="B161" i="32"/>
  <c r="G145" i="34"/>
  <c r="E145" i="42"/>
  <c r="I145" i="2"/>
  <c r="I145" i="42"/>
  <c r="J145" i="2"/>
  <c r="L145" i="42"/>
  <c r="K145" i="2"/>
  <c r="H145" i="2"/>
  <c r="B145" i="2"/>
  <c r="M145" i="2"/>
  <c r="F145" i="34"/>
  <c r="H146" i="34"/>
  <c r="B146" i="34"/>
  <c r="D146" i="34"/>
  <c r="K162" i="32"/>
  <c r="Q162" i="22"/>
  <c r="F162" i="32"/>
  <c r="B162" i="32"/>
  <c r="G146" i="34"/>
  <c r="E146" i="42"/>
  <c r="I146" i="2"/>
  <c r="I146" i="42"/>
  <c r="J146" i="2"/>
  <c r="L146" i="42"/>
  <c r="K146" i="2"/>
  <c r="H146" i="2"/>
  <c r="B146" i="2"/>
  <c r="M146" i="2"/>
  <c r="F146" i="34"/>
  <c r="H147" i="34"/>
  <c r="B147" i="34"/>
  <c r="D147" i="34"/>
  <c r="K163" i="32"/>
  <c r="Q163" i="22"/>
  <c r="F163" i="32"/>
  <c r="B163" i="32"/>
  <c r="G147" i="34"/>
  <c r="E147" i="42"/>
  <c r="I147" i="2"/>
  <c r="I147" i="42"/>
  <c r="J147" i="2"/>
  <c r="L147" i="42"/>
  <c r="K147" i="2"/>
  <c r="H147" i="2"/>
  <c r="B147" i="2"/>
  <c r="M147" i="2"/>
  <c r="F147" i="34"/>
  <c r="H148" i="34"/>
  <c r="B148" i="34"/>
  <c r="D148" i="34"/>
  <c r="K164" i="32"/>
  <c r="Q164" i="22"/>
  <c r="F164" i="32"/>
  <c r="B164" i="32"/>
  <c r="G148" i="34"/>
  <c r="E148" i="42"/>
  <c r="I148" i="2"/>
  <c r="I148" i="42"/>
  <c r="J148" i="2"/>
  <c r="L148" i="42"/>
  <c r="K148" i="2"/>
  <c r="H148" i="2"/>
  <c r="B148" i="2"/>
  <c r="M148" i="2"/>
  <c r="F148" i="34"/>
  <c r="H149" i="34"/>
  <c r="B149" i="34"/>
  <c r="D149" i="34"/>
  <c r="K165" i="32"/>
  <c r="Q165" i="22"/>
  <c r="F165" i="32"/>
  <c r="B165" i="32"/>
  <c r="G149" i="34"/>
  <c r="E149" i="42"/>
  <c r="I149" i="2"/>
  <c r="I149" i="42"/>
  <c r="J149" i="2"/>
  <c r="L149" i="42"/>
  <c r="K149" i="2"/>
  <c r="H149" i="2"/>
  <c r="B149" i="2"/>
  <c r="M149" i="2"/>
  <c r="F149" i="34"/>
  <c r="H150" i="34"/>
  <c r="B150" i="34"/>
  <c r="D150" i="34"/>
  <c r="K166" i="32"/>
  <c r="Q166" i="22"/>
  <c r="F166" i="32"/>
  <c r="B166" i="32"/>
  <c r="G150" i="34"/>
  <c r="E150" i="42"/>
  <c r="I150" i="2"/>
  <c r="I150" i="42"/>
  <c r="J150" i="2"/>
  <c r="L150" i="42"/>
  <c r="K150" i="2"/>
  <c r="H150" i="2"/>
  <c r="B150" i="2"/>
  <c r="M150" i="2"/>
  <c r="F150" i="34"/>
  <c r="H151" i="34"/>
  <c r="B151" i="34"/>
  <c r="D151" i="34"/>
  <c r="K167" i="32"/>
  <c r="Q167" i="22"/>
  <c r="F167" i="32"/>
  <c r="B167" i="32"/>
  <c r="G151" i="34"/>
  <c r="E151" i="42"/>
  <c r="I151" i="2"/>
  <c r="I151" i="42"/>
  <c r="J151" i="2"/>
  <c r="L151" i="42"/>
  <c r="K151" i="2"/>
  <c r="H151" i="2"/>
  <c r="B151" i="2"/>
  <c r="M151" i="2"/>
  <c r="F151" i="34"/>
  <c r="H152" i="34"/>
  <c r="B152" i="34"/>
  <c r="D152" i="34"/>
  <c r="K168" i="32"/>
  <c r="Q168" i="22"/>
  <c r="F168" i="32"/>
  <c r="B168" i="32"/>
  <c r="G152" i="34"/>
  <c r="E152" i="42"/>
  <c r="I152" i="2"/>
  <c r="I152" i="42"/>
  <c r="J152" i="2"/>
  <c r="L152" i="42"/>
  <c r="K152" i="2"/>
  <c r="H152" i="2"/>
  <c r="B152" i="2"/>
  <c r="M152" i="2"/>
  <c r="F152" i="34"/>
  <c r="H153" i="34"/>
  <c r="B153" i="34"/>
  <c r="D153" i="34"/>
  <c r="K169" i="32"/>
  <c r="Q169" i="22"/>
  <c r="F169" i="32"/>
  <c r="B169" i="32"/>
  <c r="G153" i="34"/>
  <c r="E153" i="42"/>
  <c r="I153" i="2"/>
  <c r="I153" i="42"/>
  <c r="J153" i="2"/>
  <c r="L153" i="42"/>
  <c r="K153" i="2"/>
  <c r="H153" i="2"/>
  <c r="B153" i="2"/>
  <c r="M153" i="2"/>
  <c r="F153" i="34"/>
  <c r="H154" i="34"/>
  <c r="B154" i="34"/>
  <c r="D154" i="34"/>
  <c r="K170" i="32"/>
  <c r="Q170" i="22"/>
  <c r="F170" i="32"/>
  <c r="B170" i="32"/>
  <c r="G154" i="34"/>
  <c r="E154" i="42"/>
  <c r="I154" i="2"/>
  <c r="I154" i="42"/>
  <c r="J154" i="2"/>
  <c r="L154" i="42"/>
  <c r="K154" i="2"/>
  <c r="H154" i="2"/>
  <c r="B154" i="2"/>
  <c r="M154" i="2"/>
  <c r="F154" i="34"/>
  <c r="H155" i="34"/>
  <c r="B155" i="34"/>
  <c r="D155" i="34"/>
  <c r="K171" i="32"/>
  <c r="Q171" i="22"/>
  <c r="F171" i="32"/>
  <c r="B171" i="32"/>
  <c r="G155" i="34"/>
  <c r="E155" i="42"/>
  <c r="I155" i="2"/>
  <c r="I155" i="42"/>
  <c r="J155" i="2"/>
  <c r="L155" i="42"/>
  <c r="K155" i="2"/>
  <c r="H155" i="2"/>
  <c r="B155" i="2"/>
  <c r="M155" i="2"/>
  <c r="F155" i="34"/>
  <c r="H156" i="34"/>
  <c r="B156" i="34"/>
  <c r="D156" i="34"/>
  <c r="K172" i="32"/>
  <c r="Q172" i="22"/>
  <c r="F172" i="32"/>
  <c r="B172" i="32"/>
  <c r="G156" i="34"/>
  <c r="E156" i="42"/>
  <c r="I156" i="2"/>
  <c r="I156" i="42"/>
  <c r="J156" i="2"/>
  <c r="L156" i="42"/>
  <c r="K156" i="2"/>
  <c r="H156" i="2"/>
  <c r="B156" i="2"/>
  <c r="M156" i="2"/>
  <c r="F156" i="34"/>
  <c r="H157" i="34"/>
  <c r="B157" i="34"/>
  <c r="D157" i="34"/>
  <c r="K173" i="32"/>
  <c r="Q173" i="22"/>
  <c r="F173" i="32"/>
  <c r="B173" i="32"/>
  <c r="G157" i="34"/>
  <c r="E157" i="42"/>
  <c r="I157" i="2"/>
  <c r="I157" i="42"/>
  <c r="J157" i="2"/>
  <c r="L157" i="42"/>
  <c r="K157" i="2"/>
  <c r="H157" i="2"/>
  <c r="B157" i="2"/>
  <c r="M157" i="2"/>
  <c r="F157" i="34"/>
  <c r="H158" i="34"/>
  <c r="B158" i="34"/>
  <c r="D158" i="34"/>
  <c r="K174" i="32"/>
  <c r="Q174" i="22"/>
  <c r="F174" i="32"/>
  <c r="B174" i="32"/>
  <c r="G158" i="34"/>
  <c r="E158" i="42"/>
  <c r="I158" i="2"/>
  <c r="I158" i="42"/>
  <c r="J158" i="2"/>
  <c r="L158" i="42"/>
  <c r="K158" i="2"/>
  <c r="H158" i="2"/>
  <c r="B158" i="2"/>
  <c r="M158" i="2"/>
  <c r="F158" i="34"/>
  <c r="H159" i="34"/>
  <c r="B159" i="34"/>
  <c r="D159" i="34"/>
  <c r="K175" i="32"/>
  <c r="Q175" i="22"/>
  <c r="F175" i="32"/>
  <c r="B175" i="32"/>
  <c r="G159" i="34"/>
  <c r="E159" i="42"/>
  <c r="I159" i="2"/>
  <c r="I159" i="42"/>
  <c r="J159" i="2"/>
  <c r="L159" i="42"/>
  <c r="K159" i="2"/>
  <c r="H159" i="2"/>
  <c r="B159" i="2"/>
  <c r="M159" i="2"/>
  <c r="F159" i="34"/>
  <c r="H160" i="34"/>
  <c r="B160" i="34"/>
  <c r="D160" i="34"/>
  <c r="K176" i="32"/>
  <c r="Q176" i="22"/>
  <c r="F176" i="32"/>
  <c r="B176" i="32"/>
  <c r="G160" i="34"/>
  <c r="E160" i="42"/>
  <c r="I160" i="2"/>
  <c r="I160" i="42"/>
  <c r="J160" i="2"/>
  <c r="L160" i="42"/>
  <c r="K160" i="2"/>
  <c r="H160" i="2"/>
  <c r="B160" i="2"/>
  <c r="M160" i="2"/>
  <c r="F160" i="34"/>
  <c r="H161" i="34"/>
  <c r="B161" i="34"/>
  <c r="D161" i="34"/>
  <c r="K177" i="32"/>
  <c r="Q177" i="22"/>
  <c r="F177" i="32"/>
  <c r="B177" i="32"/>
  <c r="G161" i="34"/>
  <c r="E161" i="42"/>
  <c r="I161" i="2"/>
  <c r="I161" i="42"/>
  <c r="J161" i="2"/>
  <c r="L161" i="42"/>
  <c r="K161" i="2"/>
  <c r="H161" i="2"/>
  <c r="B161" i="2"/>
  <c r="M161" i="2"/>
  <c r="F161" i="34"/>
  <c r="H162" i="34"/>
  <c r="B162" i="34"/>
  <c r="D162" i="34"/>
  <c r="K178" i="32"/>
  <c r="Q178" i="22"/>
  <c r="F178" i="32"/>
  <c r="B178" i="32"/>
  <c r="G162" i="34"/>
  <c r="E162" i="42"/>
  <c r="I162" i="2"/>
  <c r="I162" i="42"/>
  <c r="J162" i="2"/>
  <c r="L162" i="42"/>
  <c r="K162" i="2"/>
  <c r="H162" i="2"/>
  <c r="B162" i="2"/>
  <c r="M162" i="2"/>
  <c r="F162" i="34"/>
  <c r="H163" i="34"/>
  <c r="B163" i="34"/>
  <c r="D163" i="34"/>
  <c r="K179" i="32"/>
  <c r="Q179" i="22"/>
  <c r="F179" i="32"/>
  <c r="B179" i="32"/>
  <c r="G163" i="34"/>
  <c r="E163" i="42"/>
  <c r="I163" i="2"/>
  <c r="I163" i="42"/>
  <c r="J163" i="2"/>
  <c r="L163" i="42"/>
  <c r="K163" i="2"/>
  <c r="H163" i="2"/>
  <c r="B163" i="2"/>
  <c r="M163" i="2"/>
  <c r="F163" i="34"/>
  <c r="H164" i="34"/>
  <c r="B164" i="34"/>
  <c r="D164" i="34"/>
  <c r="K180" i="32"/>
  <c r="Q180" i="22"/>
  <c r="F180" i="32"/>
  <c r="B180" i="32"/>
  <c r="G164" i="34"/>
  <c r="E164" i="42"/>
  <c r="I164" i="2"/>
  <c r="I164" i="42"/>
  <c r="J164" i="2"/>
  <c r="L164" i="42"/>
  <c r="K164" i="2"/>
  <c r="H164" i="2"/>
  <c r="B164" i="2"/>
  <c r="M164" i="2"/>
  <c r="F164" i="34"/>
  <c r="H165" i="34"/>
  <c r="B165" i="34"/>
  <c r="D165" i="34"/>
  <c r="DZ14" i="4"/>
  <c r="DZ15" i="4"/>
  <c r="DZ16" i="4"/>
  <c r="DZ17" i="4"/>
  <c r="DZ18" i="4"/>
  <c r="DZ19" i="4"/>
  <c r="DZ20" i="4"/>
  <c r="DZ21" i="4"/>
  <c r="DZ22" i="4"/>
  <c r="DZ23" i="4"/>
  <c r="DZ24" i="4"/>
  <c r="DZ25" i="4"/>
  <c r="DZ26" i="4"/>
  <c r="DZ27" i="4"/>
  <c r="DZ28" i="4"/>
  <c r="DX28" i="4"/>
  <c r="DW28" i="4"/>
  <c r="CK14" i="4"/>
  <c r="CK15" i="4"/>
  <c r="CK16" i="4"/>
  <c r="CK17" i="4"/>
  <c r="CK18" i="4"/>
  <c r="CK19" i="4"/>
  <c r="CK20" i="4"/>
  <c r="CK21" i="4"/>
  <c r="CK22" i="4"/>
  <c r="CK23" i="4"/>
  <c r="CK24" i="4"/>
  <c r="CK25" i="4"/>
  <c r="CK26" i="4"/>
  <c r="CK27" i="4"/>
  <c r="CK28" i="4"/>
  <c r="CI28" i="4"/>
  <c r="F28" i="4"/>
  <c r="DT28" i="4"/>
  <c r="DU28" i="4"/>
  <c r="I28" i="4"/>
  <c r="H28" i="4"/>
  <c r="HE28" i="4"/>
  <c r="HF28" i="4"/>
  <c r="HD28" i="4"/>
  <c r="HG28" i="4"/>
  <c r="C28" i="4"/>
  <c r="G28" i="4"/>
  <c r="F40" i="21"/>
  <c r="L40" i="21"/>
  <c r="M40" i="21"/>
  <c r="K40" i="21"/>
  <c r="N40" i="21"/>
  <c r="O40" i="21"/>
  <c r="G40" i="21"/>
  <c r="E40" i="21"/>
  <c r="J40" i="21"/>
  <c r="H40" i="21"/>
  <c r="G40" i="32"/>
  <c r="DY28" i="4"/>
  <c r="EC28" i="4"/>
  <c r="EE28" i="4"/>
  <c r="GP28" i="4"/>
  <c r="K40" i="22"/>
  <c r="W181" i="44"/>
  <c r="X181" i="44"/>
  <c r="AH181" i="44"/>
  <c r="GK28" i="4"/>
  <c r="GU28" i="4"/>
  <c r="L40" i="32"/>
  <c r="K40" i="32"/>
  <c r="H40" i="32"/>
  <c r="BJ28" i="4"/>
  <c r="K28" i="4"/>
  <c r="CC28" i="4"/>
  <c r="CD28" i="4"/>
  <c r="CE28" i="4"/>
  <c r="E28" i="4"/>
  <c r="X28" i="4"/>
  <c r="AW47" i="4"/>
  <c r="HG47" i="4"/>
  <c r="BJ47" i="4"/>
  <c r="DT47" i="4"/>
  <c r="DJ47" i="4"/>
  <c r="BA47" i="4"/>
  <c r="BA14" i="4"/>
  <c r="BA15" i="4"/>
  <c r="BA16" i="4"/>
  <c r="BA17" i="4"/>
  <c r="BA18" i="4"/>
  <c r="BA19" i="4"/>
  <c r="BA20" i="4"/>
  <c r="BA21" i="4"/>
  <c r="BA22" i="4"/>
  <c r="BA23" i="4"/>
  <c r="BA24" i="4"/>
  <c r="BA25" i="4"/>
  <c r="BA26" i="4"/>
  <c r="BA27" i="4"/>
  <c r="BA28" i="4"/>
  <c r="DJ28" i="4"/>
  <c r="AU28" i="4"/>
  <c r="AO28" i="4"/>
  <c r="BS33" i="4"/>
  <c r="BS14" i="4"/>
  <c r="BS15" i="4"/>
  <c r="BS16" i="4"/>
  <c r="BS17" i="4"/>
  <c r="BS18" i="4"/>
  <c r="BS19" i="4"/>
  <c r="BS20" i="4"/>
  <c r="BS21" i="4"/>
  <c r="BS22" i="4"/>
  <c r="BS23" i="4"/>
  <c r="BS24" i="4"/>
  <c r="BS25" i="4"/>
  <c r="BS26" i="4"/>
  <c r="BS27" i="4"/>
  <c r="BS28" i="4"/>
  <c r="BM28" i="4"/>
  <c r="AL28" i="4"/>
  <c r="BT28" i="4"/>
  <c r="N40" i="22"/>
  <c r="DK28" i="4"/>
  <c r="CQ28" i="4"/>
  <c r="P40" i="22"/>
  <c r="M40" i="22"/>
  <c r="C40" i="32"/>
  <c r="Q40" i="22"/>
  <c r="F40" i="32"/>
  <c r="B40" i="32"/>
  <c r="DZ29" i="4"/>
  <c r="DX29" i="4"/>
  <c r="DW29" i="4"/>
  <c r="CK29" i="4"/>
  <c r="CI29" i="4"/>
  <c r="F29" i="4"/>
  <c r="DT29" i="4"/>
  <c r="DU29" i="4"/>
  <c r="I29" i="4"/>
  <c r="H29" i="4"/>
  <c r="HE29" i="4"/>
  <c r="HF29" i="4"/>
  <c r="HD29" i="4"/>
  <c r="HG29" i="4"/>
  <c r="C29" i="4"/>
  <c r="G29" i="4"/>
  <c r="F41" i="21"/>
  <c r="L41" i="21"/>
  <c r="M41" i="21"/>
  <c r="K41" i="21"/>
  <c r="N41" i="21"/>
  <c r="O41" i="21"/>
  <c r="G41" i="21"/>
  <c r="E41" i="21"/>
  <c r="J41" i="21"/>
  <c r="H41" i="21"/>
  <c r="G41" i="32"/>
  <c r="DY29" i="4"/>
  <c r="EC29" i="4"/>
  <c r="EE29" i="4"/>
  <c r="GP29" i="4"/>
  <c r="K41" i="22"/>
  <c r="W182" i="44"/>
  <c r="X182" i="44"/>
  <c r="AH182" i="44"/>
  <c r="GK29" i="4"/>
  <c r="GU29" i="4"/>
  <c r="L41" i="32"/>
  <c r="K41" i="32"/>
  <c r="H41" i="32"/>
  <c r="BJ29" i="4"/>
  <c r="K29" i="4"/>
  <c r="CC29" i="4"/>
  <c r="CD29" i="4"/>
  <c r="CE29" i="4"/>
  <c r="E29" i="4"/>
  <c r="X29" i="4"/>
  <c r="BA29" i="4"/>
  <c r="DJ29" i="4"/>
  <c r="AU29" i="4"/>
  <c r="AO29" i="4"/>
  <c r="BS29" i="4"/>
  <c r="BM29" i="4"/>
  <c r="AL29" i="4"/>
  <c r="BT29" i="4"/>
  <c r="N41" i="22"/>
  <c r="DK29" i="4"/>
  <c r="CQ29" i="4"/>
  <c r="P41" i="22"/>
  <c r="M41" i="22"/>
  <c r="C41" i="32"/>
  <c r="Q41" i="22"/>
  <c r="F41" i="32"/>
  <c r="B41" i="32"/>
  <c r="DZ30" i="4"/>
  <c r="DX30" i="4"/>
  <c r="DW30" i="4"/>
  <c r="CK30" i="4"/>
  <c r="CI30" i="4"/>
  <c r="F30" i="4"/>
  <c r="DT30" i="4"/>
  <c r="DU30" i="4"/>
  <c r="I30" i="4"/>
  <c r="H30" i="4"/>
  <c r="HE30" i="4"/>
  <c r="HF30" i="4"/>
  <c r="HD30" i="4"/>
  <c r="HG30" i="4"/>
  <c r="C30" i="4"/>
  <c r="G30" i="4"/>
  <c r="F42" i="21"/>
  <c r="L42" i="21"/>
  <c r="M42" i="21"/>
  <c r="K42" i="21"/>
  <c r="N42" i="21"/>
  <c r="O42" i="21"/>
  <c r="G42" i="21"/>
  <c r="E42" i="21"/>
  <c r="J42" i="21"/>
  <c r="H42" i="21"/>
  <c r="G42" i="32"/>
  <c r="DY30" i="4"/>
  <c r="EC30" i="4"/>
  <c r="EE30" i="4"/>
  <c r="GP30" i="4"/>
  <c r="K42" i="22"/>
  <c r="W183" i="44"/>
  <c r="X183" i="44"/>
  <c r="AH183" i="44"/>
  <c r="GK30" i="4"/>
  <c r="GU30" i="4"/>
  <c r="L42" i="32"/>
  <c r="K42" i="32"/>
  <c r="H42" i="32"/>
  <c r="BJ30" i="4"/>
  <c r="K30" i="4"/>
  <c r="CC30" i="4"/>
  <c r="CD30" i="4"/>
  <c r="CE30" i="4"/>
  <c r="E30" i="4"/>
  <c r="X30" i="4"/>
  <c r="BA30" i="4"/>
  <c r="DJ30" i="4"/>
  <c r="AU30" i="4"/>
  <c r="AO30" i="4"/>
  <c r="BS30" i="4"/>
  <c r="BM30" i="4"/>
  <c r="AL30" i="4"/>
  <c r="BT30" i="4"/>
  <c r="N42" i="22"/>
  <c r="DK30" i="4"/>
  <c r="CQ30" i="4"/>
  <c r="P42" i="22"/>
  <c r="M42" i="22"/>
  <c r="C42" i="32"/>
  <c r="Q42" i="22"/>
  <c r="F42" i="32"/>
  <c r="B42" i="32"/>
  <c r="DZ31" i="4"/>
  <c r="DX31" i="4"/>
  <c r="DW31" i="4"/>
  <c r="CK31" i="4"/>
  <c r="CI31" i="4"/>
  <c r="F31" i="4"/>
  <c r="DT31" i="4"/>
  <c r="DU31" i="4"/>
  <c r="I31" i="4"/>
  <c r="H31" i="4"/>
  <c r="HE31" i="4"/>
  <c r="HF31" i="4"/>
  <c r="HD31" i="4"/>
  <c r="HG31" i="4"/>
  <c r="C31" i="4"/>
  <c r="G31" i="4"/>
  <c r="F43" i="21"/>
  <c r="L43" i="21"/>
  <c r="M43" i="21"/>
  <c r="K43" i="21"/>
  <c r="N43" i="21"/>
  <c r="O43" i="21"/>
  <c r="G43" i="21"/>
  <c r="E43" i="21"/>
  <c r="J43" i="21"/>
  <c r="H43" i="21"/>
  <c r="G43" i="32"/>
  <c r="DY31" i="4"/>
  <c r="EC31" i="4"/>
  <c r="EE31" i="4"/>
  <c r="GP31" i="4"/>
  <c r="K43" i="22"/>
  <c r="W184" i="44"/>
  <c r="X184" i="44"/>
  <c r="AH184" i="44"/>
  <c r="GK31" i="4"/>
  <c r="GU31" i="4"/>
  <c r="L43" i="32"/>
  <c r="K43" i="32"/>
  <c r="H43" i="32"/>
  <c r="BJ31" i="4"/>
  <c r="K31" i="4"/>
  <c r="CC31" i="4"/>
  <c r="CD31" i="4"/>
  <c r="CE31" i="4"/>
  <c r="E31" i="4"/>
  <c r="X31" i="4"/>
  <c r="BA31" i="4"/>
  <c r="DJ31" i="4"/>
  <c r="AU31" i="4"/>
  <c r="AO31" i="4"/>
  <c r="BS31" i="4"/>
  <c r="BM31" i="4"/>
  <c r="AL31" i="4"/>
  <c r="BT31" i="4"/>
  <c r="N43" i="22"/>
  <c r="DK31" i="4"/>
  <c r="CQ31" i="4"/>
  <c r="P43" i="22"/>
  <c r="M43" i="22"/>
  <c r="C43" i="32"/>
  <c r="Q43" i="22"/>
  <c r="F43" i="32"/>
  <c r="B43" i="32"/>
  <c r="DZ32" i="4"/>
  <c r="DX32" i="4"/>
  <c r="DW32" i="4"/>
  <c r="CK32" i="4"/>
  <c r="CI32" i="4"/>
  <c r="F32" i="4"/>
  <c r="DT32" i="4"/>
  <c r="DU32" i="4"/>
  <c r="I32" i="4"/>
  <c r="H32" i="4"/>
  <c r="HE32" i="4"/>
  <c r="HF32" i="4"/>
  <c r="HD32" i="4"/>
  <c r="HG32" i="4"/>
  <c r="C32" i="4"/>
  <c r="G32" i="4"/>
  <c r="F44" i="21"/>
  <c r="L44" i="21"/>
  <c r="M44" i="21"/>
  <c r="K44" i="21"/>
  <c r="N44" i="21"/>
  <c r="O44" i="21"/>
  <c r="G44" i="21"/>
  <c r="E44" i="21"/>
  <c r="J44" i="21"/>
  <c r="H44" i="21"/>
  <c r="G44" i="32"/>
  <c r="DY32" i="4"/>
  <c r="EC32" i="4"/>
  <c r="EE32" i="4"/>
  <c r="GP32" i="4"/>
  <c r="K44" i="22"/>
  <c r="W185" i="44"/>
  <c r="X185" i="44"/>
  <c r="AH185" i="44"/>
  <c r="GK32" i="4"/>
  <c r="GU32" i="4"/>
  <c r="L44" i="32"/>
  <c r="K44" i="32"/>
  <c r="H44" i="32"/>
  <c r="BJ32" i="4"/>
  <c r="K32" i="4"/>
  <c r="CC32" i="4"/>
  <c r="CD32" i="4"/>
  <c r="CE32" i="4"/>
  <c r="E32" i="4"/>
  <c r="X32" i="4"/>
  <c r="BA32" i="4"/>
  <c r="DJ32" i="4"/>
  <c r="AU32" i="4"/>
  <c r="AO32" i="4"/>
  <c r="BS32" i="4"/>
  <c r="BM32" i="4"/>
  <c r="AL32" i="4"/>
  <c r="BT32" i="4"/>
  <c r="N44" i="22"/>
  <c r="DK32" i="4"/>
  <c r="CQ32" i="4"/>
  <c r="P44" i="22"/>
  <c r="M44" i="22"/>
  <c r="C44" i="32"/>
  <c r="Q44" i="22"/>
  <c r="F44" i="32"/>
  <c r="B44" i="32"/>
  <c r="DZ33" i="4"/>
  <c r="DX33" i="4"/>
  <c r="DW33" i="4"/>
  <c r="CK33" i="4"/>
  <c r="CI33" i="4"/>
  <c r="F33" i="4"/>
  <c r="DT33" i="4"/>
  <c r="DU33" i="4"/>
  <c r="I33" i="4"/>
  <c r="H33" i="4"/>
  <c r="HE33" i="4"/>
  <c r="HF33" i="4"/>
  <c r="HD33" i="4"/>
  <c r="HG33" i="4"/>
  <c r="C33" i="4"/>
  <c r="G33" i="4"/>
  <c r="F45" i="21"/>
  <c r="L45" i="21"/>
  <c r="M45" i="21"/>
  <c r="K45" i="21"/>
  <c r="N45" i="21"/>
  <c r="O45" i="21"/>
  <c r="G45" i="21"/>
  <c r="E45" i="21"/>
  <c r="J45" i="21"/>
  <c r="H45" i="21"/>
  <c r="G45" i="32"/>
  <c r="DY33" i="4"/>
  <c r="EC33" i="4"/>
  <c r="EE33" i="4"/>
  <c r="GP33" i="4"/>
  <c r="K45" i="22"/>
  <c r="W186" i="44"/>
  <c r="X186" i="44"/>
  <c r="AH186" i="44"/>
  <c r="GK33" i="4"/>
  <c r="GU33" i="4"/>
  <c r="L45" i="32"/>
  <c r="K45" i="32"/>
  <c r="H45" i="32"/>
  <c r="BJ33" i="4"/>
  <c r="K33" i="4"/>
  <c r="CC33" i="4"/>
  <c r="CD33" i="4"/>
  <c r="CE33" i="4"/>
  <c r="E33" i="4"/>
  <c r="X33" i="4"/>
  <c r="BA33" i="4"/>
  <c r="DJ33" i="4"/>
  <c r="AU33" i="4"/>
  <c r="AO33" i="4"/>
  <c r="BM33" i="4"/>
  <c r="AL33" i="4"/>
  <c r="BT33" i="4"/>
  <c r="N45" i="22"/>
  <c r="DK33" i="4"/>
  <c r="CQ33" i="4"/>
  <c r="P45" i="22"/>
  <c r="M45" i="22"/>
  <c r="C45" i="32"/>
  <c r="Q45" i="22"/>
  <c r="F45" i="32"/>
  <c r="B45" i="32"/>
  <c r="DZ34" i="4"/>
  <c r="DX34" i="4"/>
  <c r="DW34" i="4"/>
  <c r="CK34" i="4"/>
  <c r="CI34" i="4"/>
  <c r="F34" i="4"/>
  <c r="DT34" i="4"/>
  <c r="DU34" i="4"/>
  <c r="I34" i="4"/>
  <c r="H34" i="4"/>
  <c r="HE34" i="4"/>
  <c r="HF34" i="4"/>
  <c r="HD34" i="4"/>
  <c r="HG34" i="4"/>
  <c r="C34" i="4"/>
  <c r="G34" i="4"/>
  <c r="F46" i="21"/>
  <c r="L46" i="21"/>
  <c r="M46" i="21"/>
  <c r="K46" i="21"/>
  <c r="N46" i="21"/>
  <c r="O46" i="21"/>
  <c r="G46" i="21"/>
  <c r="E46" i="21"/>
  <c r="J46" i="21"/>
  <c r="H46" i="21"/>
  <c r="G46" i="32"/>
  <c r="DY34" i="4"/>
  <c r="EC34" i="4"/>
  <c r="EE34" i="4"/>
  <c r="GP34" i="4"/>
  <c r="K46" i="22"/>
  <c r="W187" i="44"/>
  <c r="X187" i="44"/>
  <c r="AH187" i="44"/>
  <c r="GK34" i="4"/>
  <c r="GU34" i="4"/>
  <c r="L46" i="32"/>
  <c r="K46" i="32"/>
  <c r="H46" i="32"/>
  <c r="BJ34" i="4"/>
  <c r="K34" i="4"/>
  <c r="CC34" i="4"/>
  <c r="CD34" i="4"/>
  <c r="CE34" i="4"/>
  <c r="E34" i="4"/>
  <c r="X34" i="4"/>
  <c r="BA34" i="4"/>
  <c r="DJ34" i="4"/>
  <c r="AU34" i="4"/>
  <c r="AO34" i="4"/>
  <c r="BS34" i="4"/>
  <c r="BM34" i="4"/>
  <c r="AL34" i="4"/>
  <c r="BT34" i="4"/>
  <c r="N46" i="22"/>
  <c r="DK34" i="4"/>
  <c r="CQ34" i="4"/>
  <c r="P46" i="22"/>
  <c r="M46" i="22"/>
  <c r="C46" i="32"/>
  <c r="Q46" i="22"/>
  <c r="F46" i="32"/>
  <c r="B46" i="32"/>
  <c r="DZ35" i="4"/>
  <c r="DX35" i="4"/>
  <c r="DW35" i="4"/>
  <c r="CK35" i="4"/>
  <c r="CI35" i="4"/>
  <c r="F35" i="4"/>
  <c r="DT35" i="4"/>
  <c r="DU35" i="4"/>
  <c r="I35" i="4"/>
  <c r="H35" i="4"/>
  <c r="HE35" i="4"/>
  <c r="HF35" i="4"/>
  <c r="HD35" i="4"/>
  <c r="HG35" i="4"/>
  <c r="C35" i="4"/>
  <c r="G35" i="4"/>
  <c r="F47" i="21"/>
  <c r="L47" i="21"/>
  <c r="M47" i="21"/>
  <c r="K47" i="21"/>
  <c r="N47" i="21"/>
  <c r="O47" i="21"/>
  <c r="G47" i="21"/>
  <c r="E47" i="21"/>
  <c r="J47" i="21"/>
  <c r="H47" i="21"/>
  <c r="G47" i="32"/>
  <c r="DY35" i="4"/>
  <c r="EC35" i="4"/>
  <c r="EE35" i="4"/>
  <c r="GP35" i="4"/>
  <c r="K47" i="22"/>
  <c r="W188" i="44"/>
  <c r="X188" i="44"/>
  <c r="AH188" i="44"/>
  <c r="GK35" i="4"/>
  <c r="GU35" i="4"/>
  <c r="L47" i="32"/>
  <c r="K47" i="32"/>
  <c r="H47" i="32"/>
  <c r="BJ35" i="4"/>
  <c r="K35" i="4"/>
  <c r="CC35" i="4"/>
  <c r="CD35" i="4"/>
  <c r="CE35" i="4"/>
  <c r="E35" i="4"/>
  <c r="X35" i="4"/>
  <c r="BA35" i="4"/>
  <c r="DJ35" i="4"/>
  <c r="AU35" i="4"/>
  <c r="AO35" i="4"/>
  <c r="BS35" i="4"/>
  <c r="BM35" i="4"/>
  <c r="AL35" i="4"/>
  <c r="BT35" i="4"/>
  <c r="N47" i="22"/>
  <c r="DK35" i="4"/>
  <c r="CQ35" i="4"/>
  <c r="P47" i="22"/>
  <c r="M47" i="22"/>
  <c r="C47" i="32"/>
  <c r="Q47" i="22"/>
  <c r="F47" i="32"/>
  <c r="B47" i="32"/>
  <c r="DZ36" i="4"/>
  <c r="DX36" i="4"/>
  <c r="DW36" i="4"/>
  <c r="CK36" i="4"/>
  <c r="CI36" i="4"/>
  <c r="F36" i="4"/>
  <c r="DT36" i="4"/>
  <c r="DU36" i="4"/>
  <c r="I36" i="4"/>
  <c r="H36" i="4"/>
  <c r="HE36" i="4"/>
  <c r="HF36" i="4"/>
  <c r="HD36" i="4"/>
  <c r="HG36" i="4"/>
  <c r="C36" i="4"/>
  <c r="G36" i="4"/>
  <c r="F48" i="21"/>
  <c r="L48" i="21"/>
  <c r="M48" i="21"/>
  <c r="K48" i="21"/>
  <c r="N48" i="21"/>
  <c r="O48" i="21"/>
  <c r="G48" i="21"/>
  <c r="E48" i="21"/>
  <c r="J48" i="21"/>
  <c r="H48" i="21"/>
  <c r="G48" i="32"/>
  <c r="DY36" i="4"/>
  <c r="EC36" i="4"/>
  <c r="EE36" i="4"/>
  <c r="GP36" i="4"/>
  <c r="K48" i="22"/>
  <c r="W189" i="44"/>
  <c r="X189" i="44"/>
  <c r="AH189" i="44"/>
  <c r="GK36" i="4"/>
  <c r="GU36" i="4"/>
  <c r="L48" i="32"/>
  <c r="K48" i="32"/>
  <c r="H48" i="32"/>
  <c r="BJ36" i="4"/>
  <c r="K36" i="4"/>
  <c r="CC36" i="4"/>
  <c r="CD36" i="4"/>
  <c r="CE36" i="4"/>
  <c r="E36" i="4"/>
  <c r="X36" i="4"/>
  <c r="BA36" i="4"/>
  <c r="DJ36" i="4"/>
  <c r="AU36" i="4"/>
  <c r="AO36" i="4"/>
  <c r="BS36" i="4"/>
  <c r="BM36" i="4"/>
  <c r="AL36" i="4"/>
  <c r="BT36" i="4"/>
  <c r="N48" i="22"/>
  <c r="DK36" i="4"/>
  <c r="CQ36" i="4"/>
  <c r="P48" i="22"/>
  <c r="M48" i="22"/>
  <c r="C48" i="32"/>
  <c r="Q48" i="22"/>
  <c r="F48" i="32"/>
  <c r="B48" i="32"/>
  <c r="DZ37" i="4"/>
  <c r="DX37" i="4"/>
  <c r="DW37" i="4"/>
  <c r="CK37" i="4"/>
  <c r="CI37" i="4"/>
  <c r="F37" i="4"/>
  <c r="DT37" i="4"/>
  <c r="DU37" i="4"/>
  <c r="I37" i="4"/>
  <c r="H37" i="4"/>
  <c r="HE37" i="4"/>
  <c r="HF37" i="4"/>
  <c r="HD37" i="4"/>
  <c r="HG37" i="4"/>
  <c r="C37" i="4"/>
  <c r="G37" i="4"/>
  <c r="F49" i="21"/>
  <c r="L49" i="21"/>
  <c r="M49" i="21"/>
  <c r="K49" i="21"/>
  <c r="N49" i="21"/>
  <c r="O49" i="21"/>
  <c r="G49" i="21"/>
  <c r="E49" i="21"/>
  <c r="J49" i="21"/>
  <c r="H49" i="21"/>
  <c r="G49" i="32"/>
  <c r="DY37" i="4"/>
  <c r="EC37" i="4"/>
  <c r="EE37" i="4"/>
  <c r="GP37" i="4"/>
  <c r="K49" i="22"/>
  <c r="W190" i="44"/>
  <c r="X190" i="44"/>
  <c r="AH190" i="44"/>
  <c r="GK37" i="4"/>
  <c r="GU37" i="4"/>
  <c r="L49" i="32"/>
  <c r="K49" i="32"/>
  <c r="H49" i="32"/>
  <c r="BJ37" i="4"/>
  <c r="K37" i="4"/>
  <c r="CC37" i="4"/>
  <c r="CD37" i="4"/>
  <c r="CE37" i="4"/>
  <c r="E37" i="4"/>
  <c r="X37" i="4"/>
  <c r="BA37" i="4"/>
  <c r="DJ37" i="4"/>
  <c r="AU37" i="4"/>
  <c r="AO37" i="4"/>
  <c r="BS37" i="4"/>
  <c r="BM37" i="4"/>
  <c r="AL37" i="4"/>
  <c r="BT37" i="4"/>
  <c r="N49" i="22"/>
  <c r="DK37" i="4"/>
  <c r="CQ37" i="4"/>
  <c r="P49" i="22"/>
  <c r="M49" i="22"/>
  <c r="C49" i="32"/>
  <c r="Q49" i="22"/>
  <c r="F49" i="32"/>
  <c r="B49" i="32"/>
  <c r="DZ38" i="4"/>
  <c r="DX38" i="4"/>
  <c r="DW38" i="4"/>
  <c r="CK38" i="4"/>
  <c r="CI38" i="4"/>
  <c r="F38" i="4"/>
  <c r="DT38" i="4"/>
  <c r="DU38" i="4"/>
  <c r="I38" i="4"/>
  <c r="H38" i="4"/>
  <c r="HE38" i="4"/>
  <c r="HF38" i="4"/>
  <c r="HD38" i="4"/>
  <c r="HG38" i="4"/>
  <c r="C38" i="4"/>
  <c r="G38" i="4"/>
  <c r="F50" i="21"/>
  <c r="L50" i="21"/>
  <c r="M50" i="21"/>
  <c r="K50" i="21"/>
  <c r="N50" i="21"/>
  <c r="O50" i="21"/>
  <c r="G50" i="21"/>
  <c r="E50" i="21"/>
  <c r="J50" i="21"/>
  <c r="H50" i="21"/>
  <c r="G50" i="32"/>
  <c r="DY38" i="4"/>
  <c r="EC38" i="4"/>
  <c r="EE38" i="4"/>
  <c r="GP38" i="4"/>
  <c r="K50" i="22"/>
  <c r="W191" i="44"/>
  <c r="X191" i="44"/>
  <c r="AH191" i="44"/>
  <c r="GK38" i="4"/>
  <c r="GU38" i="4"/>
  <c r="L50" i="32"/>
  <c r="K50" i="32"/>
  <c r="H50" i="32"/>
  <c r="BJ38" i="4"/>
  <c r="K38" i="4"/>
  <c r="CC38" i="4"/>
  <c r="CD38" i="4"/>
  <c r="CE38" i="4"/>
  <c r="E38" i="4"/>
  <c r="X38" i="4"/>
  <c r="BA38" i="4"/>
  <c r="DJ38" i="4"/>
  <c r="AU38" i="4"/>
  <c r="AO38" i="4"/>
  <c r="BS38" i="4"/>
  <c r="BM38" i="4"/>
  <c r="AL38" i="4"/>
  <c r="BT38" i="4"/>
  <c r="N50" i="22"/>
  <c r="DK38" i="4"/>
  <c r="CQ38" i="4"/>
  <c r="P50" i="22"/>
  <c r="M50" i="22"/>
  <c r="C50" i="32"/>
  <c r="Q50" i="22"/>
  <c r="F50" i="32"/>
  <c r="B50" i="32"/>
  <c r="DZ39" i="4"/>
  <c r="DX39" i="4"/>
  <c r="DW39" i="4"/>
  <c r="CK39" i="4"/>
  <c r="CI39" i="4"/>
  <c r="F39" i="4"/>
  <c r="DT39" i="4"/>
  <c r="DU39" i="4"/>
  <c r="I39" i="4"/>
  <c r="H39" i="4"/>
  <c r="HE39" i="4"/>
  <c r="HF39" i="4"/>
  <c r="HD39" i="4"/>
  <c r="HG39" i="4"/>
  <c r="C39" i="4"/>
  <c r="G39" i="4"/>
  <c r="F51" i="21"/>
  <c r="L51" i="21"/>
  <c r="M51" i="21"/>
  <c r="K51" i="21"/>
  <c r="N51" i="21"/>
  <c r="O51" i="21"/>
  <c r="G51" i="21"/>
  <c r="E51" i="21"/>
  <c r="J51" i="21"/>
  <c r="H51" i="21"/>
  <c r="G51" i="32"/>
  <c r="DY39" i="4"/>
  <c r="EC39" i="4"/>
  <c r="EE39" i="4"/>
  <c r="GP39" i="4"/>
  <c r="K51" i="22"/>
  <c r="W192" i="44"/>
  <c r="X192" i="44"/>
  <c r="AH192" i="44"/>
  <c r="GK39" i="4"/>
  <c r="GU39" i="4"/>
  <c r="L51" i="32"/>
  <c r="K51" i="32"/>
  <c r="H51" i="32"/>
  <c r="BJ39" i="4"/>
  <c r="K39" i="4"/>
  <c r="CC39" i="4"/>
  <c r="CD39" i="4"/>
  <c r="CE39" i="4"/>
  <c r="E39" i="4"/>
  <c r="X39" i="4"/>
  <c r="BA39" i="4"/>
  <c r="DJ39" i="4"/>
  <c r="AU39" i="4"/>
  <c r="AO39" i="4"/>
  <c r="BS39" i="4"/>
  <c r="BM39" i="4"/>
  <c r="AL39" i="4"/>
  <c r="BT39" i="4"/>
  <c r="N51" i="22"/>
  <c r="DK39" i="4"/>
  <c r="CQ39" i="4"/>
  <c r="P51" i="22"/>
  <c r="M51" i="22"/>
  <c r="C51" i="32"/>
  <c r="Q51" i="22"/>
  <c r="F51" i="32"/>
  <c r="B51" i="32"/>
  <c r="DZ40" i="4"/>
  <c r="DX40" i="4"/>
  <c r="DW40" i="4"/>
  <c r="CK40" i="4"/>
  <c r="CI40" i="4"/>
  <c r="F40" i="4"/>
  <c r="DT40" i="4"/>
  <c r="DU40" i="4"/>
  <c r="I40" i="4"/>
  <c r="H40" i="4"/>
  <c r="HE40" i="4"/>
  <c r="HF40" i="4"/>
  <c r="HD40" i="4"/>
  <c r="HG40" i="4"/>
  <c r="C40" i="4"/>
  <c r="G40" i="4"/>
  <c r="F52" i="21"/>
  <c r="L52" i="21"/>
  <c r="M52" i="21"/>
  <c r="K52" i="21"/>
  <c r="N52" i="21"/>
  <c r="O52" i="21"/>
  <c r="G52" i="21"/>
  <c r="E52" i="21"/>
  <c r="J52" i="21"/>
  <c r="H52" i="21"/>
  <c r="G52" i="32"/>
  <c r="DY40" i="4"/>
  <c r="EC40" i="4"/>
  <c r="EE40" i="4"/>
  <c r="GP40" i="4"/>
  <c r="K52" i="22"/>
  <c r="W193" i="44"/>
  <c r="X193" i="44"/>
  <c r="AH193" i="44"/>
  <c r="GK40" i="4"/>
  <c r="GU40" i="4"/>
  <c r="L52" i="32"/>
  <c r="K52" i="32"/>
  <c r="H52" i="32"/>
  <c r="BJ40" i="4"/>
  <c r="K40" i="4"/>
  <c r="CC40" i="4"/>
  <c r="CD40" i="4"/>
  <c r="CE40" i="4"/>
  <c r="E40" i="4"/>
  <c r="X40" i="4"/>
  <c r="BA40" i="4"/>
  <c r="DJ40" i="4"/>
  <c r="AU40" i="4"/>
  <c r="AO40" i="4"/>
  <c r="BS40" i="4"/>
  <c r="BM40" i="4"/>
  <c r="AL40" i="4"/>
  <c r="BT40" i="4"/>
  <c r="N52" i="22"/>
  <c r="DK40" i="4"/>
  <c r="CQ40" i="4"/>
  <c r="P52" i="22"/>
  <c r="M52" i="22"/>
  <c r="C52" i="32"/>
  <c r="Q52" i="22"/>
  <c r="F52" i="32"/>
  <c r="B52" i="32"/>
  <c r="DZ41" i="4"/>
  <c r="DX41" i="4"/>
  <c r="DW41" i="4"/>
  <c r="CK41" i="4"/>
  <c r="CI41" i="4"/>
  <c r="F41" i="4"/>
  <c r="DT41" i="4"/>
  <c r="DU41" i="4"/>
  <c r="I41" i="4"/>
  <c r="H41" i="4"/>
  <c r="HE41" i="4"/>
  <c r="HF41" i="4"/>
  <c r="HD41" i="4"/>
  <c r="HG41" i="4"/>
  <c r="C41" i="4"/>
  <c r="G41" i="4"/>
  <c r="F53" i="21"/>
  <c r="L53" i="21"/>
  <c r="M53" i="21"/>
  <c r="K53" i="21"/>
  <c r="N53" i="21"/>
  <c r="O53" i="21"/>
  <c r="G53" i="21"/>
  <c r="E53" i="21"/>
  <c r="J53" i="21"/>
  <c r="H53" i="21"/>
  <c r="G53" i="32"/>
  <c r="DY41" i="4"/>
  <c r="EC41" i="4"/>
  <c r="EE41" i="4"/>
  <c r="GP41" i="4"/>
  <c r="K53" i="22"/>
  <c r="W194" i="44"/>
  <c r="X194" i="44"/>
  <c r="AH194" i="44"/>
  <c r="GK41" i="4"/>
  <c r="GU41" i="4"/>
  <c r="L53" i="32"/>
  <c r="K53" i="32"/>
  <c r="H53" i="32"/>
  <c r="BJ41" i="4"/>
  <c r="K41" i="4"/>
  <c r="CC41" i="4"/>
  <c r="CD41" i="4"/>
  <c r="CE41" i="4"/>
  <c r="E41" i="4"/>
  <c r="X41" i="4"/>
  <c r="BA41" i="4"/>
  <c r="DJ41" i="4"/>
  <c r="AU41" i="4"/>
  <c r="AO41" i="4"/>
  <c r="BS41" i="4"/>
  <c r="BM41" i="4"/>
  <c r="AL41" i="4"/>
  <c r="BT41" i="4"/>
  <c r="N53" i="22"/>
  <c r="DK41" i="4"/>
  <c r="CQ41" i="4"/>
  <c r="P53" i="22"/>
  <c r="M53" i="22"/>
  <c r="C53" i="32"/>
  <c r="Q53" i="22"/>
  <c r="F53" i="32"/>
  <c r="B53" i="32"/>
  <c r="DZ42" i="4"/>
  <c r="DX42" i="4"/>
  <c r="DW42" i="4"/>
  <c r="CK42" i="4"/>
  <c r="CI42" i="4"/>
  <c r="F42" i="4"/>
  <c r="DT42" i="4"/>
  <c r="DU42" i="4"/>
  <c r="I42" i="4"/>
  <c r="H42" i="4"/>
  <c r="HE42" i="4"/>
  <c r="HF42" i="4"/>
  <c r="HD42" i="4"/>
  <c r="HG42" i="4"/>
  <c r="C42" i="4"/>
  <c r="G42" i="4"/>
  <c r="F54" i="21"/>
  <c r="L54" i="21"/>
  <c r="M54" i="21"/>
  <c r="K54" i="21"/>
  <c r="N54" i="21"/>
  <c r="O54" i="21"/>
  <c r="G54" i="21"/>
  <c r="E54" i="21"/>
  <c r="J54" i="21"/>
  <c r="H54" i="21"/>
  <c r="G54" i="32"/>
  <c r="DY42" i="4"/>
  <c r="EC42" i="4"/>
  <c r="EE42" i="4"/>
  <c r="GP42" i="4"/>
  <c r="K54" i="22"/>
  <c r="W195" i="44"/>
  <c r="X195" i="44"/>
  <c r="AH195" i="44"/>
  <c r="GK42" i="4"/>
  <c r="GU42" i="4"/>
  <c r="L54" i="32"/>
  <c r="K54" i="32"/>
  <c r="H54" i="32"/>
  <c r="BJ42" i="4"/>
  <c r="K42" i="4"/>
  <c r="CC42" i="4"/>
  <c r="CD42" i="4"/>
  <c r="CE42" i="4"/>
  <c r="E42" i="4"/>
  <c r="X42" i="4"/>
  <c r="BA42" i="4"/>
  <c r="DJ42" i="4"/>
  <c r="AU42" i="4"/>
  <c r="AO42" i="4"/>
  <c r="BS42" i="4"/>
  <c r="BM42" i="4"/>
  <c r="AL42" i="4"/>
  <c r="BT42" i="4"/>
  <c r="N54" i="22"/>
  <c r="DK42" i="4"/>
  <c r="CQ42" i="4"/>
  <c r="P54" i="22"/>
  <c r="M54" i="22"/>
  <c r="C54" i="32"/>
  <c r="Q54" i="22"/>
  <c r="F54" i="32"/>
  <c r="B54" i="32"/>
  <c r="DZ43" i="4"/>
  <c r="DX43" i="4"/>
  <c r="DW43" i="4"/>
  <c r="CK43" i="4"/>
  <c r="CI43" i="4"/>
  <c r="F43" i="4"/>
  <c r="DT43" i="4"/>
  <c r="DU43" i="4"/>
  <c r="I43" i="4"/>
  <c r="H43" i="4"/>
  <c r="HE43" i="4"/>
  <c r="HF43" i="4"/>
  <c r="HD43" i="4"/>
  <c r="HG43" i="4"/>
  <c r="C43" i="4"/>
  <c r="G43" i="4"/>
  <c r="F55" i="21"/>
  <c r="L55" i="21"/>
  <c r="M55" i="21"/>
  <c r="K55" i="21"/>
  <c r="N55" i="21"/>
  <c r="O55" i="21"/>
  <c r="G55" i="21"/>
  <c r="E55" i="21"/>
  <c r="J55" i="21"/>
  <c r="H55" i="21"/>
  <c r="G55" i="32"/>
  <c r="DY43" i="4"/>
  <c r="EC43" i="4"/>
  <c r="EE43" i="4"/>
  <c r="GP43" i="4"/>
  <c r="K55" i="22"/>
  <c r="W196" i="44"/>
  <c r="X196" i="44"/>
  <c r="AH196" i="44"/>
  <c r="GK43" i="4"/>
  <c r="GU43" i="4"/>
  <c r="L55" i="32"/>
  <c r="K55" i="32"/>
  <c r="H55" i="32"/>
  <c r="BJ43" i="4"/>
  <c r="K43" i="4"/>
  <c r="CC43" i="4"/>
  <c r="CD43" i="4"/>
  <c r="CE43" i="4"/>
  <c r="E43" i="4"/>
  <c r="X43" i="4"/>
  <c r="BA43" i="4"/>
  <c r="DJ43" i="4"/>
  <c r="AU43" i="4"/>
  <c r="AO43" i="4"/>
  <c r="BS43" i="4"/>
  <c r="BM43" i="4"/>
  <c r="AL43" i="4"/>
  <c r="BT43" i="4"/>
  <c r="N55" i="22"/>
  <c r="DK43" i="4"/>
  <c r="CQ43" i="4"/>
  <c r="P55" i="22"/>
  <c r="M55" i="22"/>
  <c r="C55" i="32"/>
  <c r="Q55" i="22"/>
  <c r="F55" i="32"/>
  <c r="B55" i="32"/>
  <c r="DZ44" i="4"/>
  <c r="DX44" i="4"/>
  <c r="DW44" i="4"/>
  <c r="CK44" i="4"/>
  <c r="CI44" i="4"/>
  <c r="F44" i="4"/>
  <c r="DT44" i="4"/>
  <c r="DU44" i="4"/>
  <c r="I44" i="4"/>
  <c r="H44" i="4"/>
  <c r="HE44" i="4"/>
  <c r="HF44" i="4"/>
  <c r="HD44" i="4"/>
  <c r="HG44" i="4"/>
  <c r="C44" i="4"/>
  <c r="G44" i="4"/>
  <c r="F56" i="21"/>
  <c r="L56" i="21"/>
  <c r="M56" i="21"/>
  <c r="K56" i="21"/>
  <c r="N56" i="21"/>
  <c r="O56" i="21"/>
  <c r="G56" i="21"/>
  <c r="E56" i="21"/>
  <c r="J56" i="21"/>
  <c r="H56" i="21"/>
  <c r="G56" i="32"/>
  <c r="DY44" i="4"/>
  <c r="EC44" i="4"/>
  <c r="EE44" i="4"/>
  <c r="GP44" i="4"/>
  <c r="K56" i="22"/>
  <c r="W197" i="44"/>
  <c r="X197" i="44"/>
  <c r="AH197" i="44"/>
  <c r="GK44" i="4"/>
  <c r="GU44" i="4"/>
  <c r="L56" i="32"/>
  <c r="K56" i="32"/>
  <c r="H56" i="32"/>
  <c r="BJ44" i="4"/>
  <c r="K44" i="4"/>
  <c r="CC44" i="4"/>
  <c r="CD44" i="4"/>
  <c r="CE44" i="4"/>
  <c r="E44" i="4"/>
  <c r="X44" i="4"/>
  <c r="BA44" i="4"/>
  <c r="DJ44" i="4"/>
  <c r="AU44" i="4"/>
  <c r="AO44" i="4"/>
  <c r="BS44" i="4"/>
  <c r="BM44" i="4"/>
  <c r="AL44" i="4"/>
  <c r="BT44" i="4"/>
  <c r="N56" i="22"/>
  <c r="DK44" i="4"/>
  <c r="CQ44" i="4"/>
  <c r="P56" i="22"/>
  <c r="M56" i="22"/>
  <c r="C56" i="32"/>
  <c r="Q56" i="22"/>
  <c r="F56" i="32"/>
  <c r="B56" i="32"/>
  <c r="DZ45" i="4"/>
  <c r="DX45" i="4"/>
  <c r="DW45" i="4"/>
  <c r="CK45" i="4"/>
  <c r="CI45" i="4"/>
  <c r="F45" i="4"/>
  <c r="DT45" i="4"/>
  <c r="DU45" i="4"/>
  <c r="I45" i="4"/>
  <c r="H45" i="4"/>
  <c r="HE45" i="4"/>
  <c r="HF45" i="4"/>
  <c r="HD45" i="4"/>
  <c r="HG45" i="4"/>
  <c r="C45" i="4"/>
  <c r="G45" i="4"/>
  <c r="F57" i="21"/>
  <c r="L57" i="21"/>
  <c r="M57" i="21"/>
  <c r="K57" i="21"/>
  <c r="N57" i="21"/>
  <c r="O57" i="21"/>
  <c r="G57" i="21"/>
  <c r="E57" i="21"/>
  <c r="J57" i="21"/>
  <c r="H57" i="21"/>
  <c r="G57" i="32"/>
  <c r="DY45" i="4"/>
  <c r="EC45" i="4"/>
  <c r="EE45" i="4"/>
  <c r="GP45" i="4"/>
  <c r="K57" i="22"/>
  <c r="W198" i="44"/>
  <c r="X198" i="44"/>
  <c r="AH198" i="44"/>
  <c r="GK45" i="4"/>
  <c r="GU45" i="4"/>
  <c r="L57" i="32"/>
  <c r="K57" i="32"/>
  <c r="H57" i="32"/>
  <c r="BJ45" i="4"/>
  <c r="K45" i="4"/>
  <c r="CC45" i="4"/>
  <c r="CD45" i="4"/>
  <c r="CE45" i="4"/>
  <c r="E45" i="4"/>
  <c r="X45" i="4"/>
  <c r="BA45" i="4"/>
  <c r="DJ45" i="4"/>
  <c r="AU45" i="4"/>
  <c r="AO45" i="4"/>
  <c r="BS45" i="4"/>
  <c r="BM45" i="4"/>
  <c r="AL45" i="4"/>
  <c r="BT45" i="4"/>
  <c r="N57" i="22"/>
  <c r="DK45" i="4"/>
  <c r="CQ45" i="4"/>
  <c r="P57" i="22"/>
  <c r="M57" i="22"/>
  <c r="C57" i="32"/>
  <c r="Q57" i="22"/>
  <c r="F57" i="32"/>
  <c r="B57" i="32"/>
  <c r="DZ46" i="4"/>
  <c r="DX46" i="4"/>
  <c r="DW46" i="4"/>
  <c r="CK46" i="4"/>
  <c r="CI46" i="4"/>
  <c r="F46" i="4"/>
  <c r="DT46" i="4"/>
  <c r="DU46" i="4"/>
  <c r="I46" i="4"/>
  <c r="H46" i="4"/>
  <c r="HE46" i="4"/>
  <c r="HF46" i="4"/>
  <c r="HD46" i="4"/>
  <c r="HG46" i="4"/>
  <c r="C46" i="4"/>
  <c r="G46" i="4"/>
  <c r="F58" i="21"/>
  <c r="L58" i="21"/>
  <c r="M58" i="21"/>
  <c r="K58" i="21"/>
  <c r="N58" i="21"/>
  <c r="O58" i="21"/>
  <c r="G58" i="21"/>
  <c r="E58" i="21"/>
  <c r="J58" i="21"/>
  <c r="H58" i="21"/>
  <c r="G58" i="32"/>
  <c r="DY46" i="4"/>
  <c r="EC46" i="4"/>
  <c r="EE46" i="4"/>
  <c r="GP46" i="4"/>
  <c r="K58" i="22"/>
  <c r="W199" i="44"/>
  <c r="X199" i="44"/>
  <c r="AH199" i="44"/>
  <c r="GK46" i="4"/>
  <c r="GU46" i="4"/>
  <c r="L58" i="32"/>
  <c r="K58" i="32"/>
  <c r="H58" i="32"/>
  <c r="BJ46" i="4"/>
  <c r="K46" i="4"/>
  <c r="CC46" i="4"/>
  <c r="CD46" i="4"/>
  <c r="CE46" i="4"/>
  <c r="E46" i="4"/>
  <c r="X46" i="4"/>
  <c r="BA46" i="4"/>
  <c r="DJ46" i="4"/>
  <c r="AU46" i="4"/>
  <c r="AO46" i="4"/>
  <c r="BS46" i="4"/>
  <c r="BM46" i="4"/>
  <c r="AL46" i="4"/>
  <c r="BT46" i="4"/>
  <c r="N58" i="22"/>
  <c r="DK46" i="4"/>
  <c r="CQ46" i="4"/>
  <c r="P58" i="22"/>
  <c r="M58" i="22"/>
  <c r="C58" i="32"/>
  <c r="Q58" i="22"/>
  <c r="F58" i="32"/>
  <c r="B58" i="32"/>
  <c r="DZ47" i="4"/>
  <c r="DX47" i="4"/>
  <c r="DW47" i="4"/>
  <c r="CK47" i="4"/>
  <c r="CI47" i="4"/>
  <c r="F47" i="4"/>
  <c r="DU47" i="4"/>
  <c r="I47" i="4"/>
  <c r="H47" i="4"/>
  <c r="HE47" i="4"/>
  <c r="HF47" i="4"/>
  <c r="HD47" i="4"/>
  <c r="C47" i="4"/>
  <c r="G47" i="4"/>
  <c r="F59" i="21"/>
  <c r="L59" i="21"/>
  <c r="M59" i="21"/>
  <c r="K59" i="21"/>
  <c r="N59" i="21"/>
  <c r="O59" i="21"/>
  <c r="G59" i="21"/>
  <c r="E59" i="21"/>
  <c r="J59" i="21"/>
  <c r="H59" i="21"/>
  <c r="G59" i="32"/>
  <c r="DY47" i="4"/>
  <c r="EC47" i="4"/>
  <c r="EE47" i="4"/>
  <c r="GP47" i="4"/>
  <c r="K59" i="22"/>
  <c r="W200" i="44"/>
  <c r="X200" i="44"/>
  <c r="AH200" i="44"/>
  <c r="GK47" i="4"/>
  <c r="GU47" i="4"/>
  <c r="L59" i="32"/>
  <c r="K59" i="32"/>
  <c r="H59" i="32"/>
  <c r="K47" i="4"/>
  <c r="CC47" i="4"/>
  <c r="CD47" i="4"/>
  <c r="CE47" i="4"/>
  <c r="E47" i="4"/>
  <c r="X47" i="4"/>
  <c r="AO47" i="4"/>
  <c r="BS47" i="4"/>
  <c r="BM47" i="4"/>
  <c r="AL47" i="4"/>
  <c r="BT47" i="4"/>
  <c r="N59" i="22"/>
  <c r="DK47" i="4"/>
  <c r="CQ47" i="4"/>
  <c r="P59" i="22"/>
  <c r="M59" i="22"/>
  <c r="C59" i="32"/>
  <c r="Q59" i="22"/>
  <c r="F59" i="32"/>
  <c r="B59" i="32"/>
  <c r="DX48" i="4"/>
  <c r="DW48" i="4"/>
  <c r="CI48" i="4"/>
  <c r="F48" i="4"/>
  <c r="DT48" i="4"/>
  <c r="DU48" i="4"/>
  <c r="I48" i="4"/>
  <c r="H48" i="4"/>
  <c r="HE48" i="4"/>
  <c r="HF48" i="4"/>
  <c r="HD48" i="4"/>
  <c r="HG48" i="4"/>
  <c r="C48" i="4"/>
  <c r="G48" i="4"/>
  <c r="F60" i="21"/>
  <c r="L60" i="21"/>
  <c r="M60" i="21"/>
  <c r="K60" i="21"/>
  <c r="N60" i="21"/>
  <c r="O60" i="21"/>
  <c r="G60" i="21"/>
  <c r="E60" i="21"/>
  <c r="J60" i="21"/>
  <c r="H60" i="21"/>
  <c r="G60" i="32"/>
  <c r="DY48" i="4"/>
  <c r="EC48" i="4"/>
  <c r="EE48" i="4"/>
  <c r="GP48" i="4"/>
  <c r="K60" i="22"/>
  <c r="W201" i="44"/>
  <c r="X201" i="44"/>
  <c r="AH201" i="44"/>
  <c r="GK48" i="4"/>
  <c r="GU48" i="4"/>
  <c r="L60" i="32"/>
  <c r="K60" i="32"/>
  <c r="H60" i="32"/>
  <c r="BJ48" i="4"/>
  <c r="K48" i="4"/>
  <c r="CC48" i="4"/>
  <c r="CD48" i="4"/>
  <c r="CE48" i="4"/>
  <c r="E48" i="4"/>
  <c r="X48" i="4"/>
  <c r="AO48" i="4"/>
  <c r="BS48" i="4"/>
  <c r="BM48" i="4"/>
  <c r="AL48" i="4"/>
  <c r="BT48" i="4"/>
  <c r="N60" i="22"/>
  <c r="DK48" i="4"/>
  <c r="CQ48" i="4"/>
  <c r="P60" i="22"/>
  <c r="M60" i="22"/>
  <c r="C60" i="32"/>
  <c r="Q60" i="22"/>
  <c r="F60" i="32"/>
  <c r="B60" i="32"/>
  <c r="DZ49" i="4"/>
  <c r="DX49" i="4"/>
  <c r="DW49" i="4"/>
  <c r="F49" i="4"/>
  <c r="DT49" i="4"/>
  <c r="DU49" i="4"/>
  <c r="I49" i="4"/>
  <c r="H49" i="4"/>
  <c r="HE49" i="4"/>
  <c r="HF49" i="4"/>
  <c r="HD49" i="4"/>
  <c r="HG49" i="4"/>
  <c r="C49" i="4"/>
  <c r="G49" i="4"/>
  <c r="F61" i="21"/>
  <c r="L61" i="21"/>
  <c r="M61" i="21"/>
  <c r="K61" i="21"/>
  <c r="N61" i="21"/>
  <c r="O61" i="21"/>
  <c r="G61" i="21"/>
  <c r="E61" i="21"/>
  <c r="J61" i="21"/>
  <c r="H61" i="21"/>
  <c r="G61" i="32"/>
  <c r="DY49" i="4"/>
  <c r="EC49" i="4"/>
  <c r="EE49" i="4"/>
  <c r="GP49" i="4"/>
  <c r="K61" i="22"/>
  <c r="W202" i="44"/>
  <c r="X202" i="44"/>
  <c r="AH202" i="44"/>
  <c r="GK49" i="4"/>
  <c r="GU49" i="4"/>
  <c r="L61" i="32"/>
  <c r="K61" i="32"/>
  <c r="H61" i="32"/>
  <c r="BJ49" i="4"/>
  <c r="K49" i="4"/>
  <c r="CC49" i="4"/>
  <c r="CD49" i="4"/>
  <c r="CE49" i="4"/>
  <c r="E49" i="4"/>
  <c r="X49" i="4"/>
  <c r="AO49" i="4"/>
  <c r="BS49" i="4"/>
  <c r="BM49" i="4"/>
  <c r="AL49" i="4"/>
  <c r="BT49" i="4"/>
  <c r="N61" i="22"/>
  <c r="DK49" i="4"/>
  <c r="CQ49" i="4"/>
  <c r="P61" i="22"/>
  <c r="M61" i="22"/>
  <c r="C61" i="32"/>
  <c r="Q61" i="22"/>
  <c r="F61" i="32"/>
  <c r="B61" i="32"/>
  <c r="DZ50" i="4"/>
  <c r="DX50" i="4"/>
  <c r="DW50" i="4"/>
  <c r="F50" i="4"/>
  <c r="DT50" i="4"/>
  <c r="DU50" i="4"/>
  <c r="I50" i="4"/>
  <c r="H50" i="4"/>
  <c r="HE50" i="4"/>
  <c r="HF50" i="4"/>
  <c r="HD50" i="4"/>
  <c r="HG50" i="4"/>
  <c r="C50" i="4"/>
  <c r="G50" i="4"/>
  <c r="F62" i="21"/>
  <c r="L62" i="21"/>
  <c r="M62" i="21"/>
  <c r="K62" i="21"/>
  <c r="N62" i="21"/>
  <c r="O62" i="21"/>
  <c r="G62" i="21"/>
  <c r="E62" i="21"/>
  <c r="J62" i="21"/>
  <c r="H62" i="21"/>
  <c r="G62" i="32"/>
  <c r="DY50" i="4"/>
  <c r="EC50" i="4"/>
  <c r="EE50" i="4"/>
  <c r="GP50" i="4"/>
  <c r="K62" i="22"/>
  <c r="W203" i="44"/>
  <c r="X203" i="44"/>
  <c r="AH203" i="44"/>
  <c r="GK50" i="4"/>
  <c r="GU50" i="4"/>
  <c r="L62" i="32"/>
  <c r="K62" i="32"/>
  <c r="H62" i="32"/>
  <c r="BJ50" i="4"/>
  <c r="K50" i="4"/>
  <c r="CC50" i="4"/>
  <c r="CD50" i="4"/>
  <c r="CE50" i="4"/>
  <c r="E50" i="4"/>
  <c r="X50" i="4"/>
  <c r="AO50" i="4"/>
  <c r="BS50" i="4"/>
  <c r="BM50" i="4"/>
  <c r="AL50" i="4"/>
  <c r="BT50" i="4"/>
  <c r="N62" i="22"/>
  <c r="DK50" i="4"/>
  <c r="CQ50" i="4"/>
  <c r="P62" i="22"/>
  <c r="M62" i="22"/>
  <c r="C62" i="32"/>
  <c r="Q62" i="22"/>
  <c r="F62" i="32"/>
  <c r="B62" i="32"/>
  <c r="DZ51" i="4"/>
  <c r="DX51" i="4"/>
  <c r="DW51" i="4"/>
  <c r="F51" i="4"/>
  <c r="DT51" i="4"/>
  <c r="DU51" i="4"/>
  <c r="I51" i="4"/>
  <c r="H51" i="4"/>
  <c r="HE51" i="4"/>
  <c r="HF51" i="4"/>
  <c r="HD51" i="4"/>
  <c r="HG51" i="4"/>
  <c r="C51" i="4"/>
  <c r="G51" i="4"/>
  <c r="F63" i="21"/>
  <c r="L63" i="21"/>
  <c r="M63" i="21"/>
  <c r="K63" i="21"/>
  <c r="N63" i="21"/>
  <c r="O63" i="21"/>
  <c r="G63" i="21"/>
  <c r="E63" i="21"/>
  <c r="J63" i="21"/>
  <c r="H63" i="21"/>
  <c r="G63" i="32"/>
  <c r="DY51" i="4"/>
  <c r="EC51" i="4"/>
  <c r="EE51" i="4"/>
  <c r="GP51" i="4"/>
  <c r="K63" i="22"/>
  <c r="W204" i="44"/>
  <c r="X204" i="44"/>
  <c r="AH204" i="44"/>
  <c r="GK51" i="4"/>
  <c r="GU51" i="4"/>
  <c r="L63" i="32"/>
  <c r="K63" i="32"/>
  <c r="H63" i="32"/>
  <c r="BJ51" i="4"/>
  <c r="K51" i="4"/>
  <c r="CC51" i="4"/>
  <c r="CD51" i="4"/>
  <c r="CE51" i="4"/>
  <c r="E51" i="4"/>
  <c r="X51" i="4"/>
  <c r="AO51" i="4"/>
  <c r="BS51" i="4"/>
  <c r="BM51" i="4"/>
  <c r="AL51" i="4"/>
  <c r="BT51" i="4"/>
  <c r="N63" i="22"/>
  <c r="DK51" i="4"/>
  <c r="CQ51" i="4"/>
  <c r="P63" i="22"/>
  <c r="M63" i="22"/>
  <c r="C63" i="32"/>
  <c r="Q63" i="22"/>
  <c r="F63" i="32"/>
  <c r="B63" i="32"/>
  <c r="DZ52" i="4"/>
  <c r="DX52" i="4"/>
  <c r="DW52" i="4"/>
  <c r="F52" i="4"/>
  <c r="DT52" i="4"/>
  <c r="DU52" i="4"/>
  <c r="I52" i="4"/>
  <c r="H52" i="4"/>
  <c r="HE52" i="4"/>
  <c r="HF52" i="4"/>
  <c r="HD52" i="4"/>
  <c r="HG52" i="4"/>
  <c r="C52" i="4"/>
  <c r="G52" i="4"/>
  <c r="F64" i="21"/>
  <c r="L64" i="21"/>
  <c r="M64" i="21"/>
  <c r="K64" i="21"/>
  <c r="N64" i="21"/>
  <c r="O64" i="21"/>
  <c r="G64" i="21"/>
  <c r="E64" i="21"/>
  <c r="J64" i="21"/>
  <c r="H64" i="21"/>
  <c r="G64" i="32"/>
  <c r="DY52" i="4"/>
  <c r="EC52" i="4"/>
  <c r="EE52" i="4"/>
  <c r="GP52" i="4"/>
  <c r="K64" i="22"/>
  <c r="W205" i="44"/>
  <c r="X205" i="44"/>
  <c r="AH205" i="44"/>
  <c r="GK52" i="4"/>
  <c r="GU52" i="4"/>
  <c r="L64" i="32"/>
  <c r="K64" i="32"/>
  <c r="H64" i="32"/>
  <c r="BJ52" i="4"/>
  <c r="K52" i="4"/>
  <c r="CC52" i="4"/>
  <c r="CD52" i="4"/>
  <c r="CE52" i="4"/>
  <c r="E52" i="4"/>
  <c r="X52" i="4"/>
  <c r="AO52" i="4"/>
  <c r="BS52" i="4"/>
  <c r="BM52" i="4"/>
  <c r="AL52" i="4"/>
  <c r="BT52" i="4"/>
  <c r="N64" i="22"/>
  <c r="DK52" i="4"/>
  <c r="CQ52" i="4"/>
  <c r="P64" i="22"/>
  <c r="M64" i="22"/>
  <c r="C64" i="32"/>
  <c r="Q64" i="22"/>
  <c r="F64" i="32"/>
  <c r="B64" i="32"/>
  <c r="DZ53" i="4"/>
  <c r="DX53" i="4"/>
  <c r="DW53" i="4"/>
  <c r="F53" i="4"/>
  <c r="DT53" i="4"/>
  <c r="DU53" i="4"/>
  <c r="I53" i="4"/>
  <c r="H53" i="4"/>
  <c r="HE53" i="4"/>
  <c r="HF53" i="4"/>
  <c r="HD53" i="4"/>
  <c r="HG53" i="4"/>
  <c r="C53" i="4"/>
  <c r="G53" i="4"/>
  <c r="F65" i="21"/>
  <c r="L65" i="21"/>
  <c r="M65" i="21"/>
  <c r="K65" i="21"/>
  <c r="N65" i="21"/>
  <c r="O65" i="21"/>
  <c r="G65" i="21"/>
  <c r="E65" i="21"/>
  <c r="J65" i="21"/>
  <c r="H65" i="21"/>
  <c r="G65" i="32"/>
  <c r="DY53" i="4"/>
  <c r="EC53" i="4"/>
  <c r="EE53" i="4"/>
  <c r="GP53" i="4"/>
  <c r="K65" i="22"/>
  <c r="W206" i="44"/>
  <c r="X206" i="44"/>
  <c r="AH206" i="44"/>
  <c r="GK53" i="4"/>
  <c r="GU53" i="4"/>
  <c r="L65" i="32"/>
  <c r="K65" i="32"/>
  <c r="H65" i="32"/>
  <c r="BJ53" i="4"/>
  <c r="K53" i="4"/>
  <c r="CC53" i="4"/>
  <c r="CD53" i="4"/>
  <c r="CE53" i="4"/>
  <c r="E53" i="4"/>
  <c r="X53" i="4"/>
  <c r="AO53" i="4"/>
  <c r="BS53" i="4"/>
  <c r="BM53" i="4"/>
  <c r="AL53" i="4"/>
  <c r="BT53" i="4"/>
  <c r="N65" i="22"/>
  <c r="DK53" i="4"/>
  <c r="CQ53" i="4"/>
  <c r="P65" i="22"/>
  <c r="M65" i="22"/>
  <c r="C65" i="32"/>
  <c r="Q65" i="22"/>
  <c r="F65" i="32"/>
  <c r="B65" i="32"/>
  <c r="DZ54" i="4"/>
  <c r="DX54" i="4"/>
  <c r="DW54" i="4"/>
  <c r="F54" i="4"/>
  <c r="DT54" i="4"/>
  <c r="DU54" i="4"/>
  <c r="I54" i="4"/>
  <c r="H54" i="4"/>
  <c r="HE54" i="4"/>
  <c r="HF54" i="4"/>
  <c r="HD54" i="4"/>
  <c r="HG54" i="4"/>
  <c r="C54" i="4"/>
  <c r="G54" i="4"/>
  <c r="F66" i="21"/>
  <c r="L66" i="21"/>
  <c r="M66" i="21"/>
  <c r="K66" i="21"/>
  <c r="N66" i="21"/>
  <c r="O66" i="21"/>
  <c r="G66" i="21"/>
  <c r="E66" i="21"/>
  <c r="J66" i="21"/>
  <c r="H66" i="21"/>
  <c r="G66" i="32"/>
  <c r="DY54" i="4"/>
  <c r="EC54" i="4"/>
  <c r="EE54" i="4"/>
  <c r="GP54" i="4"/>
  <c r="K66" i="22"/>
  <c r="W207" i="44"/>
  <c r="X207" i="44"/>
  <c r="AH207" i="44"/>
  <c r="GK54" i="4"/>
  <c r="GU54" i="4"/>
  <c r="L66" i="32"/>
  <c r="K66" i="32"/>
  <c r="H66" i="32"/>
  <c r="BJ54" i="4"/>
  <c r="K54" i="4"/>
  <c r="CC54" i="4"/>
  <c r="CD54" i="4"/>
  <c r="CE54" i="4"/>
  <c r="E54" i="4"/>
  <c r="X54" i="4"/>
  <c r="AO54" i="4"/>
  <c r="BS54" i="4"/>
  <c r="BM54" i="4"/>
  <c r="AL54" i="4"/>
  <c r="BT54" i="4"/>
  <c r="N66" i="22"/>
  <c r="DK54" i="4"/>
  <c r="CQ54" i="4"/>
  <c r="P66" i="22"/>
  <c r="M66" i="22"/>
  <c r="C66" i="32"/>
  <c r="Q66" i="22"/>
  <c r="F66" i="32"/>
  <c r="B66" i="32"/>
  <c r="DZ55" i="4"/>
  <c r="DX55" i="4"/>
  <c r="DW55" i="4"/>
  <c r="F55" i="4"/>
  <c r="DT55" i="4"/>
  <c r="DU55" i="4"/>
  <c r="I55" i="4"/>
  <c r="H55" i="4"/>
  <c r="HE55" i="4"/>
  <c r="HF55" i="4"/>
  <c r="HD55" i="4"/>
  <c r="HG55" i="4"/>
  <c r="C55" i="4"/>
  <c r="G55" i="4"/>
  <c r="F67" i="21"/>
  <c r="L67" i="21"/>
  <c r="M67" i="21"/>
  <c r="K67" i="21"/>
  <c r="N67" i="21"/>
  <c r="O67" i="21"/>
  <c r="G67" i="21"/>
  <c r="E67" i="21"/>
  <c r="J67" i="21"/>
  <c r="H67" i="21"/>
  <c r="G67" i="32"/>
  <c r="DY55" i="4"/>
  <c r="EC55" i="4"/>
  <c r="EE55" i="4"/>
  <c r="GP55" i="4"/>
  <c r="K67" i="22"/>
  <c r="W208" i="44"/>
  <c r="X208" i="44"/>
  <c r="AH208" i="44"/>
  <c r="GK55" i="4"/>
  <c r="GU55" i="4"/>
  <c r="L67" i="32"/>
  <c r="K67" i="32"/>
  <c r="H67" i="32"/>
  <c r="BJ55" i="4"/>
  <c r="K55" i="4"/>
  <c r="CC55" i="4"/>
  <c r="CD55" i="4"/>
  <c r="CE55" i="4"/>
  <c r="E55" i="4"/>
  <c r="X55" i="4"/>
  <c r="AO55" i="4"/>
  <c r="BS55" i="4"/>
  <c r="BM55" i="4"/>
  <c r="AL55" i="4"/>
  <c r="BT55" i="4"/>
  <c r="N67" i="22"/>
  <c r="DK55" i="4"/>
  <c r="CQ55" i="4"/>
  <c r="P67" i="22"/>
  <c r="M67" i="22"/>
  <c r="C67" i="32"/>
  <c r="Q67" i="22"/>
  <c r="F67" i="32"/>
  <c r="B67" i="32"/>
  <c r="DZ56" i="4"/>
  <c r="DX56" i="4"/>
  <c r="DW56" i="4"/>
  <c r="F56" i="4"/>
  <c r="DT56" i="4"/>
  <c r="DU56" i="4"/>
  <c r="I56" i="4"/>
  <c r="H56" i="4"/>
  <c r="HE56" i="4"/>
  <c r="HF56" i="4"/>
  <c r="HD56" i="4"/>
  <c r="HG56" i="4"/>
  <c r="C56" i="4"/>
  <c r="G56" i="4"/>
  <c r="F68" i="21"/>
  <c r="L68" i="21"/>
  <c r="M68" i="21"/>
  <c r="K68" i="21"/>
  <c r="N68" i="21"/>
  <c r="O68" i="21"/>
  <c r="G68" i="21"/>
  <c r="E68" i="21"/>
  <c r="J68" i="21"/>
  <c r="H68" i="21"/>
  <c r="G68" i="32"/>
  <c r="DY56" i="4"/>
  <c r="EC56" i="4"/>
  <c r="EE56" i="4"/>
  <c r="GP56" i="4"/>
  <c r="K68" i="22"/>
  <c r="W209" i="44"/>
  <c r="X209" i="44"/>
  <c r="AH209" i="44"/>
  <c r="GK56" i="4"/>
  <c r="GU56" i="4"/>
  <c r="L68" i="32"/>
  <c r="K68" i="32"/>
  <c r="H68" i="32"/>
  <c r="BJ56" i="4"/>
  <c r="K56" i="4"/>
  <c r="CC56" i="4"/>
  <c r="CD56" i="4"/>
  <c r="CE56" i="4"/>
  <c r="E56" i="4"/>
  <c r="X56" i="4"/>
  <c r="AO56" i="4"/>
  <c r="BS56" i="4"/>
  <c r="BM56" i="4"/>
  <c r="AL56" i="4"/>
  <c r="BT56" i="4"/>
  <c r="N68" i="22"/>
  <c r="DK56" i="4"/>
  <c r="CQ56" i="4"/>
  <c r="P68" i="22"/>
  <c r="M68" i="22"/>
  <c r="C68" i="32"/>
  <c r="Q68" i="22"/>
  <c r="F68" i="32"/>
  <c r="B68" i="32"/>
  <c r="DZ57" i="4"/>
  <c r="DX57" i="4"/>
  <c r="DW57" i="4"/>
  <c r="F57" i="4"/>
  <c r="DT57" i="4"/>
  <c r="DU57" i="4"/>
  <c r="I57" i="4"/>
  <c r="H57" i="4"/>
  <c r="HE57" i="4"/>
  <c r="HF57" i="4"/>
  <c r="HD57" i="4"/>
  <c r="HG57" i="4"/>
  <c r="C57" i="4"/>
  <c r="G57" i="4"/>
  <c r="F69" i="21"/>
  <c r="L69" i="21"/>
  <c r="M69" i="21"/>
  <c r="K69" i="21"/>
  <c r="N69" i="21"/>
  <c r="O69" i="21"/>
  <c r="G69" i="21"/>
  <c r="E69" i="21"/>
  <c r="J69" i="21"/>
  <c r="H69" i="21"/>
  <c r="G69" i="32"/>
  <c r="DY57" i="4"/>
  <c r="EC57" i="4"/>
  <c r="EE57" i="4"/>
  <c r="GP57" i="4"/>
  <c r="K69" i="22"/>
  <c r="W210" i="44"/>
  <c r="X210" i="44"/>
  <c r="AH210" i="44"/>
  <c r="GK57" i="4"/>
  <c r="GU57" i="4"/>
  <c r="L69" i="32"/>
  <c r="K69" i="32"/>
  <c r="H69" i="32"/>
  <c r="BJ57" i="4"/>
  <c r="K57" i="4"/>
  <c r="CC57" i="4"/>
  <c r="CD57" i="4"/>
  <c r="CE57" i="4"/>
  <c r="E57" i="4"/>
  <c r="X57" i="4"/>
  <c r="AO57" i="4"/>
  <c r="BS57" i="4"/>
  <c r="BM57" i="4"/>
  <c r="AL57" i="4"/>
  <c r="BT57" i="4"/>
  <c r="N69" i="22"/>
  <c r="DK57" i="4"/>
  <c r="CQ57" i="4"/>
  <c r="P69" i="22"/>
  <c r="M69" i="22"/>
  <c r="C69" i="32"/>
  <c r="Q69" i="22"/>
  <c r="F69" i="32"/>
  <c r="B69" i="32"/>
  <c r="DZ58" i="4"/>
  <c r="DX58" i="4"/>
  <c r="DW58" i="4"/>
  <c r="F58" i="4"/>
  <c r="DT58" i="4"/>
  <c r="DU58" i="4"/>
  <c r="I58" i="4"/>
  <c r="H58" i="4"/>
  <c r="HE58" i="4"/>
  <c r="HF58" i="4"/>
  <c r="HD58" i="4"/>
  <c r="HG58" i="4"/>
  <c r="C58" i="4"/>
  <c r="G58" i="4"/>
  <c r="F70" i="21"/>
  <c r="L70" i="21"/>
  <c r="M70" i="21"/>
  <c r="K70" i="21"/>
  <c r="N70" i="21"/>
  <c r="O70" i="21"/>
  <c r="G70" i="21"/>
  <c r="E70" i="21"/>
  <c r="J70" i="21"/>
  <c r="H70" i="21"/>
  <c r="G70" i="32"/>
  <c r="DY58" i="4"/>
  <c r="EC58" i="4"/>
  <c r="EE58" i="4"/>
  <c r="GP58" i="4"/>
  <c r="K70" i="22"/>
  <c r="W211" i="44"/>
  <c r="X211" i="44"/>
  <c r="AH211" i="44"/>
  <c r="GK58" i="4"/>
  <c r="GU58" i="4"/>
  <c r="L70" i="32"/>
  <c r="K70" i="32"/>
  <c r="H70" i="32"/>
  <c r="BJ58" i="4"/>
  <c r="K58" i="4"/>
  <c r="CC58" i="4"/>
  <c r="CD58" i="4"/>
  <c r="CE58" i="4"/>
  <c r="E58" i="4"/>
  <c r="X58" i="4"/>
  <c r="AO58" i="4"/>
  <c r="BS58" i="4"/>
  <c r="BM58" i="4"/>
  <c r="AL58" i="4"/>
  <c r="BT58" i="4"/>
  <c r="N70" i="22"/>
  <c r="DK58" i="4"/>
  <c r="CQ58" i="4"/>
  <c r="P70" i="22"/>
  <c r="M70" i="22"/>
  <c r="C70" i="32"/>
  <c r="Q70" i="22"/>
  <c r="F70" i="32"/>
  <c r="B70" i="32"/>
  <c r="DZ59" i="4"/>
  <c r="DX59" i="4"/>
  <c r="DW59" i="4"/>
  <c r="F59" i="4"/>
  <c r="DT59" i="4"/>
  <c r="DU59" i="4"/>
  <c r="I59" i="4"/>
  <c r="H59" i="4"/>
  <c r="HE59" i="4"/>
  <c r="HF59" i="4"/>
  <c r="HD59" i="4"/>
  <c r="HG59" i="4"/>
  <c r="C59" i="4"/>
  <c r="G59" i="4"/>
  <c r="F71" i="21"/>
  <c r="L71" i="21"/>
  <c r="M71" i="21"/>
  <c r="K71" i="21"/>
  <c r="N71" i="21"/>
  <c r="O71" i="21"/>
  <c r="G71" i="21"/>
  <c r="E71" i="21"/>
  <c r="J71" i="21"/>
  <c r="H71" i="21"/>
  <c r="G71" i="32"/>
  <c r="DY59" i="4"/>
  <c r="EC59" i="4"/>
  <c r="EE59" i="4"/>
  <c r="GP59" i="4"/>
  <c r="K71" i="22"/>
  <c r="W212" i="44"/>
  <c r="X212" i="44"/>
  <c r="AH212" i="44"/>
  <c r="GK59" i="4"/>
  <c r="GU59" i="4"/>
  <c r="L71" i="32"/>
  <c r="K71" i="32"/>
  <c r="H71" i="32"/>
  <c r="BJ59" i="4"/>
  <c r="K59" i="4"/>
  <c r="CC59" i="4"/>
  <c r="CD59" i="4"/>
  <c r="CE59" i="4"/>
  <c r="E59" i="4"/>
  <c r="X59" i="4"/>
  <c r="AO59" i="4"/>
  <c r="BS59" i="4"/>
  <c r="BM59" i="4"/>
  <c r="AL59" i="4"/>
  <c r="BT59" i="4"/>
  <c r="N71" i="22"/>
  <c r="DK59" i="4"/>
  <c r="CQ59" i="4"/>
  <c r="P71" i="22"/>
  <c r="M71" i="22"/>
  <c r="C71" i="32"/>
  <c r="Q71" i="22"/>
  <c r="F71" i="32"/>
  <c r="B71" i="32"/>
  <c r="DZ60" i="4"/>
  <c r="DX60" i="4"/>
  <c r="DW60" i="4"/>
  <c r="F60" i="4"/>
  <c r="DT60" i="4"/>
  <c r="DU60" i="4"/>
  <c r="I60" i="4"/>
  <c r="H60" i="4"/>
  <c r="HE60" i="4"/>
  <c r="HF60" i="4"/>
  <c r="HD60" i="4"/>
  <c r="HG60" i="4"/>
  <c r="C60" i="4"/>
  <c r="G60" i="4"/>
  <c r="F72" i="21"/>
  <c r="L72" i="21"/>
  <c r="M72" i="21"/>
  <c r="K72" i="21"/>
  <c r="N72" i="21"/>
  <c r="O72" i="21"/>
  <c r="G72" i="21"/>
  <c r="E72" i="21"/>
  <c r="J72" i="21"/>
  <c r="H72" i="21"/>
  <c r="G72" i="32"/>
  <c r="DY60" i="4"/>
  <c r="EC60" i="4"/>
  <c r="EE60" i="4"/>
  <c r="GP60" i="4"/>
  <c r="K72" i="22"/>
  <c r="W213" i="44"/>
  <c r="X213" i="44"/>
  <c r="AH213" i="44"/>
  <c r="GK60" i="4"/>
  <c r="GU60" i="4"/>
  <c r="L72" i="32"/>
  <c r="K72" i="32"/>
  <c r="H72" i="32"/>
  <c r="BJ60" i="4"/>
  <c r="K60" i="4"/>
  <c r="CC60" i="4"/>
  <c r="CD60" i="4"/>
  <c r="CE60" i="4"/>
  <c r="E60" i="4"/>
  <c r="X60" i="4"/>
  <c r="AO60" i="4"/>
  <c r="BS60" i="4"/>
  <c r="BM60" i="4"/>
  <c r="AL60" i="4"/>
  <c r="BT60" i="4"/>
  <c r="N72" i="22"/>
  <c r="DK60" i="4"/>
  <c r="CQ60" i="4"/>
  <c r="P72" i="22"/>
  <c r="M72" i="22"/>
  <c r="C72" i="32"/>
  <c r="Q72" i="22"/>
  <c r="F72" i="32"/>
  <c r="B72" i="32"/>
  <c r="DZ61" i="4"/>
  <c r="DX61" i="4"/>
  <c r="DW61" i="4"/>
  <c r="F61" i="4"/>
  <c r="DT61" i="4"/>
  <c r="DU61" i="4"/>
  <c r="I61" i="4"/>
  <c r="H61" i="4"/>
  <c r="HE61" i="4"/>
  <c r="HF61" i="4"/>
  <c r="HD61" i="4"/>
  <c r="HG61" i="4"/>
  <c r="C61" i="4"/>
  <c r="G61" i="4"/>
  <c r="F73" i="21"/>
  <c r="L73" i="21"/>
  <c r="M73" i="21"/>
  <c r="K73" i="21"/>
  <c r="N73" i="21"/>
  <c r="O73" i="21"/>
  <c r="G73" i="21"/>
  <c r="E73" i="21"/>
  <c r="J73" i="21"/>
  <c r="H73" i="21"/>
  <c r="G73" i="32"/>
  <c r="DY61" i="4"/>
  <c r="EC61" i="4"/>
  <c r="EE61" i="4"/>
  <c r="GP61" i="4"/>
  <c r="K73" i="22"/>
  <c r="W214" i="44"/>
  <c r="X214" i="44"/>
  <c r="AH214" i="44"/>
  <c r="GK61" i="4"/>
  <c r="GU61" i="4"/>
  <c r="L73" i="32"/>
  <c r="K73" i="32"/>
  <c r="H73" i="32"/>
  <c r="BJ61" i="4"/>
  <c r="K61" i="4"/>
  <c r="CC61" i="4"/>
  <c r="CD61" i="4"/>
  <c r="CE61" i="4"/>
  <c r="E61" i="4"/>
  <c r="X61" i="4"/>
  <c r="AO61" i="4"/>
  <c r="BS61" i="4"/>
  <c r="BM61" i="4"/>
  <c r="AL61" i="4"/>
  <c r="BT61" i="4"/>
  <c r="N73" i="22"/>
  <c r="DK61" i="4"/>
  <c r="CQ61" i="4"/>
  <c r="P73" i="22"/>
  <c r="M73" i="22"/>
  <c r="C73" i="32"/>
  <c r="Q73" i="22"/>
  <c r="F73" i="32"/>
  <c r="B73" i="32"/>
  <c r="DZ62" i="4"/>
  <c r="DX62" i="4"/>
  <c r="DW62" i="4"/>
  <c r="F62" i="4"/>
  <c r="DT62" i="4"/>
  <c r="DU62" i="4"/>
  <c r="I62" i="4"/>
  <c r="H62" i="4"/>
  <c r="HE62" i="4"/>
  <c r="HF62" i="4"/>
  <c r="HD62" i="4"/>
  <c r="HG62" i="4"/>
  <c r="C62" i="4"/>
  <c r="G62" i="4"/>
  <c r="F74" i="21"/>
  <c r="L74" i="21"/>
  <c r="M74" i="21"/>
  <c r="K74" i="21"/>
  <c r="N74" i="21"/>
  <c r="O74" i="21"/>
  <c r="G74" i="21"/>
  <c r="E74" i="21"/>
  <c r="J74" i="21"/>
  <c r="H74" i="21"/>
  <c r="G74" i="32"/>
  <c r="DY62" i="4"/>
  <c r="EC62" i="4"/>
  <c r="EE62" i="4"/>
  <c r="GP62" i="4"/>
  <c r="K74" i="22"/>
  <c r="W215" i="44"/>
  <c r="X215" i="44"/>
  <c r="AH215" i="44"/>
  <c r="GK62" i="4"/>
  <c r="GU62" i="4"/>
  <c r="L74" i="32"/>
  <c r="K74" i="32"/>
  <c r="H74" i="32"/>
  <c r="BJ62" i="4"/>
  <c r="K62" i="4"/>
  <c r="CC62" i="4"/>
  <c r="CD62" i="4"/>
  <c r="CE62" i="4"/>
  <c r="E62" i="4"/>
  <c r="X62" i="4"/>
  <c r="AO62" i="4"/>
  <c r="BS62" i="4"/>
  <c r="BM62" i="4"/>
  <c r="AL62" i="4"/>
  <c r="BT62" i="4"/>
  <c r="N74" i="22"/>
  <c r="DK62" i="4"/>
  <c r="CQ62" i="4"/>
  <c r="P74" i="22"/>
  <c r="M74" i="22"/>
  <c r="C74" i="32"/>
  <c r="Q74" i="22"/>
  <c r="F74" i="32"/>
  <c r="B74" i="32"/>
  <c r="DZ63" i="4"/>
  <c r="DX63" i="4"/>
  <c r="DW63" i="4"/>
  <c r="F63" i="4"/>
  <c r="DT63" i="4"/>
  <c r="DU63" i="4"/>
  <c r="I63" i="4"/>
  <c r="H63" i="4"/>
  <c r="HE63" i="4"/>
  <c r="HF63" i="4"/>
  <c r="HD63" i="4"/>
  <c r="HG63" i="4"/>
  <c r="C63" i="4"/>
  <c r="G63" i="4"/>
  <c r="F75" i="21"/>
  <c r="L75" i="21"/>
  <c r="M75" i="21"/>
  <c r="K75" i="21"/>
  <c r="N75" i="21"/>
  <c r="O75" i="21"/>
  <c r="G75" i="21"/>
  <c r="E75" i="21"/>
  <c r="J75" i="21"/>
  <c r="H75" i="21"/>
  <c r="G75" i="32"/>
  <c r="DY63" i="4"/>
  <c r="EC63" i="4"/>
  <c r="EE63" i="4"/>
  <c r="GP63" i="4"/>
  <c r="K75" i="22"/>
  <c r="W216" i="44"/>
  <c r="X216" i="44"/>
  <c r="AH216" i="44"/>
  <c r="GK63" i="4"/>
  <c r="GU63" i="4"/>
  <c r="L75" i="32"/>
  <c r="K75" i="32"/>
  <c r="H75" i="32"/>
  <c r="BJ63" i="4"/>
  <c r="K63" i="4"/>
  <c r="CC63" i="4"/>
  <c r="CD63" i="4"/>
  <c r="CE63" i="4"/>
  <c r="E63" i="4"/>
  <c r="X63" i="4"/>
  <c r="AO63" i="4"/>
  <c r="BS63" i="4"/>
  <c r="BM63" i="4"/>
  <c r="AL63" i="4"/>
  <c r="BT63" i="4"/>
  <c r="N75" i="22"/>
  <c r="DK63" i="4"/>
  <c r="CQ63" i="4"/>
  <c r="P75" i="22"/>
  <c r="M75" i="22"/>
  <c r="C75" i="32"/>
  <c r="Q75" i="22"/>
  <c r="F75" i="32"/>
  <c r="B75" i="32"/>
  <c r="DZ64" i="4"/>
  <c r="DX64" i="4"/>
  <c r="DW64" i="4"/>
  <c r="F64" i="4"/>
  <c r="DT64" i="4"/>
  <c r="DU64" i="4"/>
  <c r="I64" i="4"/>
  <c r="H64" i="4"/>
  <c r="HE64" i="4"/>
  <c r="HF64" i="4"/>
  <c r="HD64" i="4"/>
  <c r="HG64" i="4"/>
  <c r="C64" i="4"/>
  <c r="G64" i="4"/>
  <c r="F76" i="21"/>
  <c r="L76" i="21"/>
  <c r="M76" i="21"/>
  <c r="K76" i="21"/>
  <c r="N76" i="21"/>
  <c r="O76" i="21"/>
  <c r="G76" i="21"/>
  <c r="E76" i="21"/>
  <c r="J76" i="21"/>
  <c r="H76" i="21"/>
  <c r="G76" i="32"/>
  <c r="DY64" i="4"/>
  <c r="EC64" i="4"/>
  <c r="EE64" i="4"/>
  <c r="GP64" i="4"/>
  <c r="K76" i="22"/>
  <c r="W217" i="44"/>
  <c r="X217" i="44"/>
  <c r="AH217" i="44"/>
  <c r="GK64" i="4"/>
  <c r="GU64" i="4"/>
  <c r="L76" i="32"/>
  <c r="K76" i="32"/>
  <c r="H76" i="32"/>
  <c r="BJ64" i="4"/>
  <c r="K64" i="4"/>
  <c r="CC64" i="4"/>
  <c r="CD64" i="4"/>
  <c r="CE64" i="4"/>
  <c r="E64" i="4"/>
  <c r="X64" i="4"/>
  <c r="AO64" i="4"/>
  <c r="BS64" i="4"/>
  <c r="BM64" i="4"/>
  <c r="AL64" i="4"/>
  <c r="BT64" i="4"/>
  <c r="N76" i="22"/>
  <c r="DK64" i="4"/>
  <c r="CQ64" i="4"/>
  <c r="P76" i="22"/>
  <c r="M76" i="22"/>
  <c r="C76" i="32"/>
  <c r="Q76" i="22"/>
  <c r="F76" i="32"/>
  <c r="B76" i="32"/>
  <c r="DZ65" i="4"/>
  <c r="DX65" i="4"/>
  <c r="DW65" i="4"/>
  <c r="F65" i="4"/>
  <c r="DT65" i="4"/>
  <c r="DU65" i="4"/>
  <c r="I65" i="4"/>
  <c r="H65" i="4"/>
  <c r="HE65" i="4"/>
  <c r="HF65" i="4"/>
  <c r="HD65" i="4"/>
  <c r="HG65" i="4"/>
  <c r="C65" i="4"/>
  <c r="G65" i="4"/>
  <c r="F77" i="21"/>
  <c r="L77" i="21"/>
  <c r="M77" i="21"/>
  <c r="K77" i="21"/>
  <c r="N77" i="21"/>
  <c r="O77" i="21"/>
  <c r="G77" i="21"/>
  <c r="E77" i="21"/>
  <c r="J77" i="21"/>
  <c r="H77" i="21"/>
  <c r="G77" i="32"/>
  <c r="DY65" i="4"/>
  <c r="EC65" i="4"/>
  <c r="EE65" i="4"/>
  <c r="GP65" i="4"/>
  <c r="K77" i="22"/>
  <c r="W218" i="44"/>
  <c r="X218" i="44"/>
  <c r="AH218" i="44"/>
  <c r="GK65" i="4"/>
  <c r="GU65" i="4"/>
  <c r="L77" i="32"/>
  <c r="K77" i="32"/>
  <c r="H77" i="32"/>
  <c r="BJ65" i="4"/>
  <c r="K65" i="4"/>
  <c r="CC65" i="4"/>
  <c r="CD65" i="4"/>
  <c r="CE65" i="4"/>
  <c r="E65" i="4"/>
  <c r="X65" i="4"/>
  <c r="AO65" i="4"/>
  <c r="BS65" i="4"/>
  <c r="BM65" i="4"/>
  <c r="AL65" i="4"/>
  <c r="BT65" i="4"/>
  <c r="N77" i="22"/>
  <c r="DK65" i="4"/>
  <c r="CQ65" i="4"/>
  <c r="P77" i="22"/>
  <c r="M77" i="22"/>
  <c r="C77" i="32"/>
  <c r="Q77" i="22"/>
  <c r="F77" i="32"/>
  <c r="B77" i="32"/>
  <c r="DZ66" i="4"/>
  <c r="DX66" i="4"/>
  <c r="DW66" i="4"/>
  <c r="F66" i="4"/>
  <c r="DT66" i="4"/>
  <c r="DU66" i="4"/>
  <c r="I66" i="4"/>
  <c r="H66" i="4"/>
  <c r="HE66" i="4"/>
  <c r="HF66" i="4"/>
  <c r="HD66" i="4"/>
  <c r="HG66" i="4"/>
  <c r="C66" i="4"/>
  <c r="G66" i="4"/>
  <c r="F78" i="21"/>
  <c r="L78" i="21"/>
  <c r="M78" i="21"/>
  <c r="K78" i="21"/>
  <c r="N78" i="21"/>
  <c r="O78" i="21"/>
  <c r="G78" i="21"/>
  <c r="E78" i="21"/>
  <c r="J78" i="21"/>
  <c r="H78" i="21"/>
  <c r="G78" i="32"/>
  <c r="DY66" i="4"/>
  <c r="EC66" i="4"/>
  <c r="EE66" i="4"/>
  <c r="GP66" i="4"/>
  <c r="K78" i="22"/>
  <c r="W219" i="44"/>
  <c r="X219" i="44"/>
  <c r="AH219" i="44"/>
  <c r="GK66" i="4"/>
  <c r="GU66" i="4"/>
  <c r="L78" i="32"/>
  <c r="K78" i="32"/>
  <c r="H78" i="32"/>
  <c r="BJ66" i="4"/>
  <c r="K66" i="4"/>
  <c r="CC66" i="4"/>
  <c r="CD66" i="4"/>
  <c r="CE66" i="4"/>
  <c r="E66" i="4"/>
  <c r="X66" i="4"/>
  <c r="AO66" i="4"/>
  <c r="BS66" i="4"/>
  <c r="BM66" i="4"/>
  <c r="AL66" i="4"/>
  <c r="BT66" i="4"/>
  <c r="N78" i="22"/>
  <c r="DK66" i="4"/>
  <c r="CQ66" i="4"/>
  <c r="P78" i="22"/>
  <c r="M78" i="22"/>
  <c r="C78" i="32"/>
  <c r="Q78" i="22"/>
  <c r="F78" i="32"/>
  <c r="B78" i="32"/>
  <c r="DZ67" i="4"/>
  <c r="DX67" i="4"/>
  <c r="DW67" i="4"/>
  <c r="F67" i="4"/>
  <c r="DT67" i="4"/>
  <c r="DU67" i="4"/>
  <c r="I67" i="4"/>
  <c r="H67" i="4"/>
  <c r="HE67" i="4"/>
  <c r="HF67" i="4"/>
  <c r="HD67" i="4"/>
  <c r="HG67" i="4"/>
  <c r="C67" i="4"/>
  <c r="G67" i="4"/>
  <c r="F79" i="21"/>
  <c r="L79" i="21"/>
  <c r="M79" i="21"/>
  <c r="K79" i="21"/>
  <c r="N79" i="21"/>
  <c r="O79" i="21"/>
  <c r="G79" i="21"/>
  <c r="E79" i="21"/>
  <c r="J79" i="21"/>
  <c r="H79" i="21"/>
  <c r="G79" i="32"/>
  <c r="DY67" i="4"/>
  <c r="EC67" i="4"/>
  <c r="EE67" i="4"/>
  <c r="GP67" i="4"/>
  <c r="K79" i="22"/>
  <c r="W220" i="44"/>
  <c r="X220" i="44"/>
  <c r="AH220" i="44"/>
  <c r="GK67" i="4"/>
  <c r="GU67" i="4"/>
  <c r="L79" i="32"/>
  <c r="K79" i="32"/>
  <c r="H79" i="32"/>
  <c r="BJ67" i="4"/>
  <c r="K67" i="4"/>
  <c r="CC67" i="4"/>
  <c r="CD67" i="4"/>
  <c r="CE67" i="4"/>
  <c r="E67" i="4"/>
  <c r="X67" i="4"/>
  <c r="AO67" i="4"/>
  <c r="BS67" i="4"/>
  <c r="BM67" i="4"/>
  <c r="AL67" i="4"/>
  <c r="BT67" i="4"/>
  <c r="N79" i="22"/>
  <c r="DK67" i="4"/>
  <c r="CQ67" i="4"/>
  <c r="P79" i="22"/>
  <c r="M79" i="22"/>
  <c r="C79" i="32"/>
  <c r="Q79" i="22"/>
  <c r="F79" i="32"/>
  <c r="B79" i="32"/>
  <c r="DZ68" i="4"/>
  <c r="DX68" i="4"/>
  <c r="DW68" i="4"/>
  <c r="F68" i="4"/>
  <c r="DT68" i="4"/>
  <c r="DU68" i="4"/>
  <c r="I68" i="4"/>
  <c r="H68" i="4"/>
  <c r="HE68" i="4"/>
  <c r="HF68" i="4"/>
  <c r="HD68" i="4"/>
  <c r="HG68" i="4"/>
  <c r="C68" i="4"/>
  <c r="G68" i="4"/>
  <c r="F80" i="21"/>
  <c r="L80" i="21"/>
  <c r="M80" i="21"/>
  <c r="K80" i="21"/>
  <c r="N80" i="21"/>
  <c r="O80" i="21"/>
  <c r="G80" i="21"/>
  <c r="E80" i="21"/>
  <c r="J80" i="21"/>
  <c r="H80" i="21"/>
  <c r="G80" i="32"/>
  <c r="DY68" i="4"/>
  <c r="EC68" i="4"/>
  <c r="EE68" i="4"/>
  <c r="GP68" i="4"/>
  <c r="K80" i="22"/>
  <c r="W221" i="44"/>
  <c r="X221" i="44"/>
  <c r="AH221" i="44"/>
  <c r="GK68" i="4"/>
  <c r="GU68" i="4"/>
  <c r="L80" i="32"/>
  <c r="K80" i="32"/>
  <c r="H80" i="32"/>
  <c r="BJ68" i="4"/>
  <c r="K68" i="4"/>
  <c r="CC68" i="4"/>
  <c r="CD68" i="4"/>
  <c r="CE68" i="4"/>
  <c r="E68" i="4"/>
  <c r="X68" i="4"/>
  <c r="AO68" i="4"/>
  <c r="BS68" i="4"/>
  <c r="BM68" i="4"/>
  <c r="AL68" i="4"/>
  <c r="BT68" i="4"/>
  <c r="N80" i="22"/>
  <c r="DK68" i="4"/>
  <c r="CQ68" i="4"/>
  <c r="P80" i="22"/>
  <c r="M80" i="22"/>
  <c r="C80" i="32"/>
  <c r="Q80" i="22"/>
  <c r="F80" i="32"/>
  <c r="B80" i="32"/>
  <c r="DZ69" i="4"/>
  <c r="DX69" i="4"/>
  <c r="DW69" i="4"/>
  <c r="F69" i="4"/>
  <c r="DT69" i="4"/>
  <c r="DU69" i="4"/>
  <c r="I69" i="4"/>
  <c r="H69" i="4"/>
  <c r="HE69" i="4"/>
  <c r="HF69" i="4"/>
  <c r="HD69" i="4"/>
  <c r="HG69" i="4"/>
  <c r="C69" i="4"/>
  <c r="G69" i="4"/>
  <c r="F81" i="21"/>
  <c r="L81" i="21"/>
  <c r="M81" i="21"/>
  <c r="K81" i="21"/>
  <c r="N81" i="21"/>
  <c r="O81" i="21"/>
  <c r="G81" i="21"/>
  <c r="E81" i="21"/>
  <c r="J81" i="21"/>
  <c r="H81" i="21"/>
  <c r="G81" i="32"/>
  <c r="DY69" i="4"/>
  <c r="EC69" i="4"/>
  <c r="EE69" i="4"/>
  <c r="GP69" i="4"/>
  <c r="K81" i="22"/>
  <c r="W222" i="44"/>
  <c r="X222" i="44"/>
  <c r="AH222" i="44"/>
  <c r="GK69" i="4"/>
  <c r="GU69" i="4"/>
  <c r="L81" i="32"/>
  <c r="K81" i="32"/>
  <c r="H81" i="32"/>
  <c r="BJ69" i="4"/>
  <c r="K69" i="4"/>
  <c r="CC69" i="4"/>
  <c r="CD69" i="4"/>
  <c r="CE69" i="4"/>
  <c r="E69" i="4"/>
  <c r="X69" i="4"/>
  <c r="AO69" i="4"/>
  <c r="BS69" i="4"/>
  <c r="BM69" i="4"/>
  <c r="AL69" i="4"/>
  <c r="BT69" i="4"/>
  <c r="N81" i="22"/>
  <c r="DK69" i="4"/>
  <c r="CQ69" i="4"/>
  <c r="P81" i="22"/>
  <c r="M81" i="22"/>
  <c r="C81" i="32"/>
  <c r="Q81" i="22"/>
  <c r="F81" i="32"/>
  <c r="B81" i="32"/>
  <c r="DZ70" i="4"/>
  <c r="DX70" i="4"/>
  <c r="DW70" i="4"/>
  <c r="F70" i="4"/>
  <c r="DT70" i="4"/>
  <c r="DU70" i="4"/>
  <c r="I70" i="4"/>
  <c r="H70" i="4"/>
  <c r="HE70" i="4"/>
  <c r="HF70" i="4"/>
  <c r="HD70" i="4"/>
  <c r="HG70" i="4"/>
  <c r="C70" i="4"/>
  <c r="G70" i="4"/>
  <c r="F82" i="21"/>
  <c r="L82" i="21"/>
  <c r="M82" i="21"/>
  <c r="K82" i="21"/>
  <c r="N82" i="21"/>
  <c r="O82" i="21"/>
  <c r="G82" i="21"/>
  <c r="E82" i="21"/>
  <c r="J82" i="21"/>
  <c r="H82" i="21"/>
  <c r="G82" i="32"/>
  <c r="DY70" i="4"/>
  <c r="EC70" i="4"/>
  <c r="EE70" i="4"/>
  <c r="GP70" i="4"/>
  <c r="K82" i="22"/>
  <c r="W223" i="44"/>
  <c r="X223" i="44"/>
  <c r="AH223" i="44"/>
  <c r="GK70" i="4"/>
  <c r="GU70" i="4"/>
  <c r="L82" i="32"/>
  <c r="K82" i="32"/>
  <c r="H82" i="32"/>
  <c r="BJ70" i="4"/>
  <c r="K70" i="4"/>
  <c r="CC70" i="4"/>
  <c r="CD70" i="4"/>
  <c r="CE70" i="4"/>
  <c r="E70" i="4"/>
  <c r="X70" i="4"/>
  <c r="AO70" i="4"/>
  <c r="BS70" i="4"/>
  <c r="BM70" i="4"/>
  <c r="AL70" i="4"/>
  <c r="BT70" i="4"/>
  <c r="N82" i="22"/>
  <c r="DK70" i="4"/>
  <c r="CQ70" i="4"/>
  <c r="P82" i="22"/>
  <c r="M82" i="22"/>
  <c r="C82" i="32"/>
  <c r="Q82" i="22"/>
  <c r="F82" i="32"/>
  <c r="B82" i="32"/>
  <c r="DZ71" i="4"/>
  <c r="DX71" i="4"/>
  <c r="DW71" i="4"/>
  <c r="F71" i="4"/>
  <c r="DT71" i="4"/>
  <c r="DU71" i="4"/>
  <c r="I71" i="4"/>
  <c r="H71" i="4"/>
  <c r="HE71" i="4"/>
  <c r="HF71" i="4"/>
  <c r="HD71" i="4"/>
  <c r="HG71" i="4"/>
  <c r="C71" i="4"/>
  <c r="G71" i="4"/>
  <c r="F83" i="21"/>
  <c r="L83" i="21"/>
  <c r="M83" i="21"/>
  <c r="K83" i="21"/>
  <c r="N83" i="21"/>
  <c r="O83" i="21"/>
  <c r="G83" i="21"/>
  <c r="E83" i="21"/>
  <c r="J83" i="21"/>
  <c r="H83" i="21"/>
  <c r="G83" i="32"/>
  <c r="DY71" i="4"/>
  <c r="EC71" i="4"/>
  <c r="EE71" i="4"/>
  <c r="GP71" i="4"/>
  <c r="K83" i="22"/>
  <c r="W224" i="44"/>
  <c r="X224" i="44"/>
  <c r="AH224" i="44"/>
  <c r="GK71" i="4"/>
  <c r="GU71" i="4"/>
  <c r="L83" i="32"/>
  <c r="K83" i="32"/>
  <c r="H83" i="32"/>
  <c r="BJ71" i="4"/>
  <c r="K71" i="4"/>
  <c r="CC71" i="4"/>
  <c r="CD71" i="4"/>
  <c r="CE71" i="4"/>
  <c r="E71" i="4"/>
  <c r="X71" i="4"/>
  <c r="AO71" i="4"/>
  <c r="BS71" i="4"/>
  <c r="BM71" i="4"/>
  <c r="AL71" i="4"/>
  <c r="BT71" i="4"/>
  <c r="N83" i="22"/>
  <c r="DK71" i="4"/>
  <c r="CQ71" i="4"/>
  <c r="P83" i="22"/>
  <c r="M83" i="22"/>
  <c r="C83" i="32"/>
  <c r="Q83" i="22"/>
  <c r="F83" i="32"/>
  <c r="B83" i="32"/>
  <c r="DZ72" i="4"/>
  <c r="DX72" i="4"/>
  <c r="DW72" i="4"/>
  <c r="F72" i="4"/>
  <c r="DT72" i="4"/>
  <c r="DU72" i="4"/>
  <c r="I72" i="4"/>
  <c r="H72" i="4"/>
  <c r="HE72" i="4"/>
  <c r="HF72" i="4"/>
  <c r="HD72" i="4"/>
  <c r="HG72" i="4"/>
  <c r="C72" i="4"/>
  <c r="G72" i="4"/>
  <c r="F84" i="21"/>
  <c r="L84" i="21"/>
  <c r="M84" i="21"/>
  <c r="K84" i="21"/>
  <c r="N84" i="21"/>
  <c r="O84" i="21"/>
  <c r="G84" i="21"/>
  <c r="E84" i="21"/>
  <c r="J84" i="21"/>
  <c r="H84" i="21"/>
  <c r="G84" i="32"/>
  <c r="DY72" i="4"/>
  <c r="EC72" i="4"/>
  <c r="EE72" i="4"/>
  <c r="GP72" i="4"/>
  <c r="K84" i="22"/>
  <c r="W225" i="44"/>
  <c r="X225" i="44"/>
  <c r="AH225" i="44"/>
  <c r="GK72" i="4"/>
  <c r="GU72" i="4"/>
  <c r="L84" i="32"/>
  <c r="K84" i="32"/>
  <c r="H84" i="32"/>
  <c r="BJ72" i="4"/>
  <c r="K72" i="4"/>
  <c r="CC72" i="4"/>
  <c r="CD72" i="4"/>
  <c r="CE72" i="4"/>
  <c r="E72" i="4"/>
  <c r="X72" i="4"/>
  <c r="DJ72" i="4"/>
  <c r="AU72" i="4"/>
  <c r="AO72" i="4"/>
  <c r="BS72" i="4"/>
  <c r="BM72" i="4"/>
  <c r="AL72" i="4"/>
  <c r="BT72" i="4"/>
  <c r="N84" i="22"/>
  <c r="DK72" i="4"/>
  <c r="CQ72" i="4"/>
  <c r="P84" i="22"/>
  <c r="M84" i="22"/>
  <c r="C84" i="32"/>
  <c r="Q84" i="22"/>
  <c r="F84" i="32"/>
  <c r="B84" i="32"/>
  <c r="DZ73" i="4"/>
  <c r="DX73" i="4"/>
  <c r="DW73" i="4"/>
  <c r="F73" i="4"/>
  <c r="DT73" i="4"/>
  <c r="DU73" i="4"/>
  <c r="I73" i="4"/>
  <c r="H73" i="4"/>
  <c r="HE73" i="4"/>
  <c r="HF73" i="4"/>
  <c r="HD73" i="4"/>
  <c r="HG73" i="4"/>
  <c r="C73" i="4"/>
  <c r="G73" i="4"/>
  <c r="F85" i="21"/>
  <c r="L85" i="21"/>
  <c r="M85" i="21"/>
  <c r="K85" i="21"/>
  <c r="N85" i="21"/>
  <c r="O85" i="21"/>
  <c r="G85" i="21"/>
  <c r="E85" i="21"/>
  <c r="J85" i="21"/>
  <c r="H85" i="21"/>
  <c r="G85" i="32"/>
  <c r="DY73" i="4"/>
  <c r="EC73" i="4"/>
  <c r="EE73" i="4"/>
  <c r="GP73" i="4"/>
  <c r="K85" i="22"/>
  <c r="W226" i="44"/>
  <c r="X226" i="44"/>
  <c r="AH226" i="44"/>
  <c r="GK73" i="4"/>
  <c r="GU73" i="4"/>
  <c r="L85" i="32"/>
  <c r="K85" i="32"/>
  <c r="H85" i="32"/>
  <c r="BJ73" i="4"/>
  <c r="K73" i="4"/>
  <c r="CC73" i="4"/>
  <c r="CD73" i="4"/>
  <c r="CE73" i="4"/>
  <c r="E73" i="4"/>
  <c r="X73" i="4"/>
  <c r="DJ73" i="4"/>
  <c r="AU73" i="4"/>
  <c r="AO73" i="4"/>
  <c r="BS73" i="4"/>
  <c r="BM73" i="4"/>
  <c r="AL73" i="4"/>
  <c r="BT73" i="4"/>
  <c r="N85" i="22"/>
  <c r="DK73" i="4"/>
  <c r="CQ73" i="4"/>
  <c r="P85" i="22"/>
  <c r="M85" i="22"/>
  <c r="C85" i="32"/>
  <c r="Q85" i="22"/>
  <c r="F85" i="32"/>
  <c r="B85" i="32"/>
  <c r="DZ74" i="4"/>
  <c r="DX74" i="4"/>
  <c r="DW74" i="4"/>
  <c r="F74" i="4"/>
  <c r="DT74" i="4"/>
  <c r="DU74" i="4"/>
  <c r="I74" i="4"/>
  <c r="H74" i="4"/>
  <c r="HE74" i="4"/>
  <c r="HF74" i="4"/>
  <c r="HD74" i="4"/>
  <c r="HG74" i="4"/>
  <c r="C74" i="4"/>
  <c r="G74" i="4"/>
  <c r="F86" i="21"/>
  <c r="L86" i="21"/>
  <c r="M86" i="21"/>
  <c r="K86" i="21"/>
  <c r="N86" i="21"/>
  <c r="O86" i="21"/>
  <c r="G86" i="21"/>
  <c r="E86" i="21"/>
  <c r="J86" i="21"/>
  <c r="H86" i="21"/>
  <c r="G86" i="32"/>
  <c r="DY74" i="4"/>
  <c r="EC74" i="4"/>
  <c r="EE74" i="4"/>
  <c r="GP74" i="4"/>
  <c r="K86" i="22"/>
  <c r="W227" i="44"/>
  <c r="X227" i="44"/>
  <c r="AH227" i="44"/>
  <c r="GK74" i="4"/>
  <c r="GU74" i="4"/>
  <c r="L86" i="32"/>
  <c r="K86" i="32"/>
  <c r="H86" i="32"/>
  <c r="BJ74" i="4"/>
  <c r="K74" i="4"/>
  <c r="CC74" i="4"/>
  <c r="CD74" i="4"/>
  <c r="CE74" i="4"/>
  <c r="E74" i="4"/>
  <c r="X74" i="4"/>
  <c r="DJ74" i="4"/>
  <c r="AU74" i="4"/>
  <c r="AO74" i="4"/>
  <c r="BS74" i="4"/>
  <c r="BM74" i="4"/>
  <c r="AL74" i="4"/>
  <c r="BT74" i="4"/>
  <c r="N86" i="22"/>
  <c r="DK74" i="4"/>
  <c r="CQ74" i="4"/>
  <c r="P86" i="22"/>
  <c r="M86" i="22"/>
  <c r="C86" i="32"/>
  <c r="Q86" i="22"/>
  <c r="F86" i="32"/>
  <c r="B86" i="32"/>
  <c r="DZ75" i="4"/>
  <c r="DX75" i="4"/>
  <c r="DW75" i="4"/>
  <c r="F75" i="4"/>
  <c r="DT75" i="4"/>
  <c r="DU75" i="4"/>
  <c r="I75" i="4"/>
  <c r="H75" i="4"/>
  <c r="HE75" i="4"/>
  <c r="HF75" i="4"/>
  <c r="HD75" i="4"/>
  <c r="HG75" i="4"/>
  <c r="C75" i="4"/>
  <c r="G75" i="4"/>
  <c r="F87" i="21"/>
  <c r="L87" i="21"/>
  <c r="M87" i="21"/>
  <c r="K87" i="21"/>
  <c r="N87" i="21"/>
  <c r="O87" i="21"/>
  <c r="G87" i="21"/>
  <c r="E87" i="21"/>
  <c r="J87" i="21"/>
  <c r="H87" i="21"/>
  <c r="G87" i="32"/>
  <c r="DY75" i="4"/>
  <c r="EC75" i="4"/>
  <c r="EE75" i="4"/>
  <c r="GP75" i="4"/>
  <c r="K87" i="22"/>
  <c r="W228" i="44"/>
  <c r="X228" i="44"/>
  <c r="AH228" i="44"/>
  <c r="GK75" i="4"/>
  <c r="GU75" i="4"/>
  <c r="L87" i="32"/>
  <c r="K87" i="32"/>
  <c r="H87" i="32"/>
  <c r="BJ75" i="4"/>
  <c r="K75" i="4"/>
  <c r="CC75" i="4"/>
  <c r="CD75" i="4"/>
  <c r="CE75" i="4"/>
  <c r="E75" i="4"/>
  <c r="X75" i="4"/>
  <c r="DJ75" i="4"/>
  <c r="AU75" i="4"/>
  <c r="AO75" i="4"/>
  <c r="BS75" i="4"/>
  <c r="BM75" i="4"/>
  <c r="AL75" i="4"/>
  <c r="BT75" i="4"/>
  <c r="N87" i="22"/>
  <c r="DK75" i="4"/>
  <c r="CQ75" i="4"/>
  <c r="P87" i="22"/>
  <c r="M87" i="22"/>
  <c r="C87" i="32"/>
  <c r="Q87" i="22"/>
  <c r="F87" i="32"/>
  <c r="B87" i="32"/>
  <c r="DZ76" i="4"/>
  <c r="DX76" i="4"/>
  <c r="DW76" i="4"/>
  <c r="F76" i="4"/>
  <c r="DT76" i="4"/>
  <c r="DU76" i="4"/>
  <c r="I76" i="4"/>
  <c r="H76" i="4"/>
  <c r="HE76" i="4"/>
  <c r="HF76" i="4"/>
  <c r="HD76" i="4"/>
  <c r="HG76" i="4"/>
  <c r="C76" i="4"/>
  <c r="G76" i="4"/>
  <c r="F88" i="21"/>
  <c r="L88" i="21"/>
  <c r="M88" i="21"/>
  <c r="K88" i="21"/>
  <c r="N88" i="21"/>
  <c r="O88" i="21"/>
  <c r="G88" i="21"/>
  <c r="E88" i="21"/>
  <c r="J88" i="21"/>
  <c r="H88" i="21"/>
  <c r="G88" i="32"/>
  <c r="DY76" i="4"/>
  <c r="EC76" i="4"/>
  <c r="EE76" i="4"/>
  <c r="GP76" i="4"/>
  <c r="K88" i="22"/>
  <c r="W229" i="44"/>
  <c r="X229" i="44"/>
  <c r="AH229" i="44"/>
  <c r="GK76" i="4"/>
  <c r="GU76" i="4"/>
  <c r="L88" i="32"/>
  <c r="K88" i="32"/>
  <c r="H88" i="32"/>
  <c r="HG77" i="4"/>
  <c r="BJ77" i="4"/>
  <c r="HE77" i="4"/>
  <c r="HF77" i="4"/>
  <c r="HD77" i="4"/>
  <c r="C77" i="4"/>
  <c r="K77" i="4"/>
  <c r="CC77" i="4"/>
  <c r="CD77" i="4"/>
  <c r="CE77" i="4"/>
  <c r="F77" i="4"/>
  <c r="E77" i="4"/>
  <c r="X77" i="4"/>
  <c r="DT77" i="4"/>
  <c r="DJ77" i="4"/>
  <c r="AU77" i="4"/>
  <c r="AO77" i="4"/>
  <c r="BS77" i="4"/>
  <c r="BM77" i="4"/>
  <c r="AL77" i="4"/>
  <c r="BT77" i="4"/>
  <c r="DZ77" i="4"/>
  <c r="DX77" i="4"/>
  <c r="DU77" i="4"/>
  <c r="DW77" i="4"/>
  <c r="I77" i="4"/>
  <c r="H77" i="4"/>
  <c r="G77" i="4"/>
  <c r="N89" i="22"/>
  <c r="DK77" i="4"/>
  <c r="CQ77" i="4"/>
  <c r="P89" i="22"/>
  <c r="M89" i="22"/>
  <c r="C88" i="32"/>
  <c r="DK76" i="4"/>
  <c r="Q88" i="22"/>
  <c r="F88" i="32"/>
  <c r="B88" i="32"/>
  <c r="F89" i="21"/>
  <c r="L89" i="21"/>
  <c r="M89" i="21"/>
  <c r="K89" i="21"/>
  <c r="N89" i="21"/>
  <c r="O89" i="21"/>
  <c r="G89" i="21"/>
  <c r="E89" i="21"/>
  <c r="J89" i="21"/>
  <c r="H89" i="21"/>
  <c r="G89" i="32"/>
  <c r="DY77" i="4"/>
  <c r="EC77" i="4"/>
  <c r="EE77" i="4"/>
  <c r="GP77" i="4"/>
  <c r="K89" i="22"/>
  <c r="W230" i="44"/>
  <c r="X230" i="44"/>
  <c r="AH230" i="44"/>
  <c r="GK77" i="4"/>
  <c r="GU77" i="4"/>
  <c r="L89" i="32"/>
  <c r="K89" i="32"/>
  <c r="H89" i="32"/>
  <c r="HG78" i="4"/>
  <c r="BJ78" i="4"/>
  <c r="HE78" i="4"/>
  <c r="HF78" i="4"/>
  <c r="HD78" i="4"/>
  <c r="C78" i="4"/>
  <c r="K78" i="4"/>
  <c r="CC78" i="4"/>
  <c r="CD78" i="4"/>
  <c r="CE78" i="4"/>
  <c r="F78" i="4"/>
  <c r="E78" i="4"/>
  <c r="X78" i="4"/>
  <c r="DT78" i="4"/>
  <c r="DJ78" i="4"/>
  <c r="AU78" i="4"/>
  <c r="AO78" i="4"/>
  <c r="BS78" i="4"/>
  <c r="BM78" i="4"/>
  <c r="AL78" i="4"/>
  <c r="BT78" i="4"/>
  <c r="DZ78" i="4"/>
  <c r="DX78" i="4"/>
  <c r="DU78" i="4"/>
  <c r="DW78" i="4"/>
  <c r="I78" i="4"/>
  <c r="H78" i="4"/>
  <c r="G78" i="4"/>
  <c r="N90" i="22"/>
  <c r="DK78" i="4"/>
  <c r="CQ78" i="4"/>
  <c r="P90" i="22"/>
  <c r="M90" i="22"/>
  <c r="C89" i="32"/>
  <c r="Q89" i="22"/>
  <c r="F89" i="32"/>
  <c r="B89" i="32"/>
  <c r="FK79" i="4"/>
  <c r="DT79" i="4"/>
  <c r="DX79" i="4"/>
  <c r="DU79" i="4"/>
  <c r="DW79" i="4"/>
  <c r="I79" i="4"/>
  <c r="F79" i="4"/>
  <c r="H79" i="4"/>
  <c r="HE79" i="4"/>
  <c r="HF79" i="4"/>
  <c r="HD79" i="4"/>
  <c r="HG79" i="4"/>
  <c r="C79" i="4"/>
  <c r="G79" i="4"/>
  <c r="F91" i="21"/>
  <c r="L91" i="21"/>
  <c r="M91" i="21"/>
  <c r="K91" i="21"/>
  <c r="N91" i="21"/>
  <c r="O91" i="21"/>
  <c r="G91" i="21"/>
  <c r="E91" i="21"/>
  <c r="J91" i="21"/>
  <c r="H91" i="21"/>
  <c r="T91" i="32"/>
  <c r="GK79" i="4"/>
  <c r="U91" i="32"/>
  <c r="V91" i="32"/>
  <c r="I91" i="32"/>
  <c r="BJ79" i="4"/>
  <c r="K79" i="4"/>
  <c r="CC79" i="4"/>
  <c r="CD79" i="4"/>
  <c r="CE79" i="4"/>
  <c r="E79" i="4"/>
  <c r="X79" i="4"/>
  <c r="AO79" i="4"/>
  <c r="BS79" i="4"/>
  <c r="BM79" i="4"/>
  <c r="AL79" i="4"/>
  <c r="BT79" i="4"/>
  <c r="N91" i="22"/>
  <c r="D91" i="32"/>
  <c r="J91" i="32"/>
  <c r="DK79" i="4"/>
  <c r="CQ79" i="4"/>
  <c r="P91" i="22"/>
  <c r="E91" i="32"/>
  <c r="C91" i="32"/>
  <c r="K91" i="32"/>
  <c r="Q91" i="22"/>
  <c r="F91" i="32"/>
  <c r="B91" i="32"/>
  <c r="FK80" i="4"/>
  <c r="DT80" i="4"/>
  <c r="DZ80" i="4"/>
  <c r="DX80" i="4"/>
  <c r="DU80" i="4"/>
  <c r="DW80" i="4"/>
  <c r="I80" i="4"/>
  <c r="F80" i="4"/>
  <c r="H80" i="4"/>
  <c r="HE80" i="4"/>
  <c r="HF80" i="4"/>
  <c r="HD80" i="4"/>
  <c r="HG80" i="4"/>
  <c r="C80" i="4"/>
  <c r="G80" i="4"/>
  <c r="F92" i="21"/>
  <c r="L92" i="21"/>
  <c r="M92" i="21"/>
  <c r="K92" i="21"/>
  <c r="N92" i="21"/>
  <c r="O92" i="21"/>
  <c r="G92" i="21"/>
  <c r="E92" i="21"/>
  <c r="J92" i="21"/>
  <c r="H92" i="21"/>
  <c r="T92" i="32"/>
  <c r="GK80" i="4"/>
  <c r="U92" i="32"/>
  <c r="V92" i="32"/>
  <c r="I92" i="32"/>
  <c r="BJ80" i="4"/>
  <c r="K80" i="4"/>
  <c r="CC80" i="4"/>
  <c r="CD80" i="4"/>
  <c r="CE80" i="4"/>
  <c r="E80" i="4"/>
  <c r="X80" i="4"/>
  <c r="AO80" i="4"/>
  <c r="BS80" i="4"/>
  <c r="BM80" i="4"/>
  <c r="AL80" i="4"/>
  <c r="BT80" i="4"/>
  <c r="N92" i="22"/>
  <c r="D92" i="32"/>
  <c r="J92" i="32"/>
  <c r="DK80" i="4"/>
  <c r="CQ80" i="4"/>
  <c r="P92" i="22"/>
  <c r="E92" i="32"/>
  <c r="C92" i="32"/>
  <c r="K92" i="32"/>
  <c r="Q92" i="22"/>
  <c r="F92" i="32"/>
  <c r="B92" i="32"/>
  <c r="FK81" i="4"/>
  <c r="DT81" i="4"/>
  <c r="DZ81" i="4"/>
  <c r="DX81" i="4"/>
  <c r="DU81" i="4"/>
  <c r="DW81" i="4"/>
  <c r="I81" i="4"/>
  <c r="F81" i="4"/>
  <c r="H81" i="4"/>
  <c r="HE81" i="4"/>
  <c r="HF81" i="4"/>
  <c r="HD81" i="4"/>
  <c r="HG81" i="4"/>
  <c r="C81" i="4"/>
  <c r="G81" i="4"/>
  <c r="F93" i="21"/>
  <c r="L93" i="21"/>
  <c r="M93" i="21"/>
  <c r="K93" i="21"/>
  <c r="N93" i="21"/>
  <c r="O93" i="21"/>
  <c r="G93" i="21"/>
  <c r="E93" i="21"/>
  <c r="J93" i="21"/>
  <c r="H93" i="21"/>
  <c r="T93" i="32"/>
  <c r="GK81" i="4"/>
  <c r="U93" i="32"/>
  <c r="V93" i="32"/>
  <c r="I93" i="32"/>
  <c r="BJ81" i="4"/>
  <c r="K81" i="4"/>
  <c r="CC81" i="4"/>
  <c r="CD81" i="4"/>
  <c r="CE81" i="4"/>
  <c r="E81" i="4"/>
  <c r="X81" i="4"/>
  <c r="AO81" i="4"/>
  <c r="BS81" i="4"/>
  <c r="BM81" i="4"/>
  <c r="AL81" i="4"/>
  <c r="BT81" i="4"/>
  <c r="N93" i="22"/>
  <c r="D93" i="32"/>
  <c r="J93" i="32"/>
  <c r="DK81" i="4"/>
  <c r="CQ81" i="4"/>
  <c r="P93" i="22"/>
  <c r="E93" i="32"/>
  <c r="C93" i="32"/>
  <c r="K93" i="32"/>
  <c r="Q93" i="22"/>
  <c r="F93" i="32"/>
  <c r="B93" i="32"/>
  <c r="FK82" i="4"/>
  <c r="DT82" i="4"/>
  <c r="DZ82" i="4"/>
  <c r="DX82" i="4"/>
  <c r="DU82" i="4"/>
  <c r="DW82" i="4"/>
  <c r="I82" i="4"/>
  <c r="F82" i="4"/>
  <c r="H82" i="4"/>
  <c r="HE82" i="4"/>
  <c r="HF82" i="4"/>
  <c r="HD82" i="4"/>
  <c r="HG82" i="4"/>
  <c r="C82" i="4"/>
  <c r="G82" i="4"/>
  <c r="F94" i="21"/>
  <c r="L94" i="21"/>
  <c r="M94" i="21"/>
  <c r="K94" i="21"/>
  <c r="N94" i="21"/>
  <c r="O94" i="21"/>
  <c r="G94" i="21"/>
  <c r="E94" i="21"/>
  <c r="J94" i="21"/>
  <c r="H94" i="21"/>
  <c r="T94" i="32"/>
  <c r="GK82" i="4"/>
  <c r="U94" i="32"/>
  <c r="V94" i="32"/>
  <c r="I94" i="32"/>
  <c r="BJ82" i="4"/>
  <c r="K82" i="4"/>
  <c r="CC82" i="4"/>
  <c r="CD82" i="4"/>
  <c r="CE82" i="4"/>
  <c r="E82" i="4"/>
  <c r="X82" i="4"/>
  <c r="AO82" i="4"/>
  <c r="BS82" i="4"/>
  <c r="BM82" i="4"/>
  <c r="AL82" i="4"/>
  <c r="BT82" i="4"/>
  <c r="N94" i="22"/>
  <c r="D94" i="32"/>
  <c r="J94" i="32"/>
  <c r="DK82" i="4"/>
  <c r="CQ82" i="4"/>
  <c r="P94" i="22"/>
  <c r="E94" i="32"/>
  <c r="C94" i="32"/>
  <c r="K94" i="32"/>
  <c r="Q94" i="22"/>
  <c r="F94" i="32"/>
  <c r="B94" i="32"/>
  <c r="FK83" i="4"/>
  <c r="DT83" i="4"/>
  <c r="DZ83" i="4"/>
  <c r="DX83" i="4"/>
  <c r="DU83" i="4"/>
  <c r="DW83" i="4"/>
  <c r="I83" i="4"/>
  <c r="F83" i="4"/>
  <c r="H83" i="4"/>
  <c r="HE83" i="4"/>
  <c r="HF83" i="4"/>
  <c r="HD83" i="4"/>
  <c r="HG83" i="4"/>
  <c r="C83" i="4"/>
  <c r="G83" i="4"/>
  <c r="F95" i="21"/>
  <c r="L95" i="21"/>
  <c r="M95" i="21"/>
  <c r="K95" i="21"/>
  <c r="N95" i="21"/>
  <c r="O95" i="21"/>
  <c r="G95" i="21"/>
  <c r="E95" i="21"/>
  <c r="J95" i="21"/>
  <c r="H95" i="21"/>
  <c r="T95" i="32"/>
  <c r="GK83" i="4"/>
  <c r="U95" i="32"/>
  <c r="V95" i="32"/>
  <c r="I95" i="32"/>
  <c r="BJ83" i="4"/>
  <c r="K83" i="4"/>
  <c r="CC83" i="4"/>
  <c r="CD83" i="4"/>
  <c r="CE83" i="4"/>
  <c r="E83" i="4"/>
  <c r="X83" i="4"/>
  <c r="AO83" i="4"/>
  <c r="BS83" i="4"/>
  <c r="BM83" i="4"/>
  <c r="AL83" i="4"/>
  <c r="BT83" i="4"/>
  <c r="N95" i="22"/>
  <c r="D95" i="32"/>
  <c r="J95" i="32"/>
  <c r="DK83" i="4"/>
  <c r="CQ83" i="4"/>
  <c r="P95" i="22"/>
  <c r="E95" i="32"/>
  <c r="C95" i="32"/>
  <c r="K95" i="32"/>
  <c r="Q95" i="22"/>
  <c r="F95" i="32"/>
  <c r="B95" i="32"/>
  <c r="FK84" i="4"/>
  <c r="DT84" i="4"/>
  <c r="DZ84" i="4"/>
  <c r="DX84" i="4"/>
  <c r="DU84" i="4"/>
  <c r="DW84" i="4"/>
  <c r="I84" i="4"/>
  <c r="F84" i="4"/>
  <c r="H84" i="4"/>
  <c r="HE84" i="4"/>
  <c r="HF84" i="4"/>
  <c r="HD84" i="4"/>
  <c r="HG84" i="4"/>
  <c r="C84" i="4"/>
  <c r="G84" i="4"/>
  <c r="F96" i="21"/>
  <c r="L96" i="21"/>
  <c r="M96" i="21"/>
  <c r="K96" i="21"/>
  <c r="N96" i="21"/>
  <c r="O96" i="21"/>
  <c r="G96" i="21"/>
  <c r="E96" i="21"/>
  <c r="J96" i="21"/>
  <c r="H96" i="21"/>
  <c r="T96" i="32"/>
  <c r="GK84" i="4"/>
  <c r="U96" i="32"/>
  <c r="V96" i="32"/>
  <c r="I96" i="32"/>
  <c r="BJ84" i="4"/>
  <c r="K84" i="4"/>
  <c r="CC84" i="4"/>
  <c r="CD84" i="4"/>
  <c r="CE84" i="4"/>
  <c r="E84" i="4"/>
  <c r="X84" i="4"/>
  <c r="AO84" i="4"/>
  <c r="BS84" i="4"/>
  <c r="BM84" i="4"/>
  <c r="AL84" i="4"/>
  <c r="BT84" i="4"/>
  <c r="N96" i="22"/>
  <c r="D96" i="32"/>
  <c r="J96" i="32"/>
  <c r="DK84" i="4"/>
  <c r="CQ84" i="4"/>
  <c r="P96" i="22"/>
  <c r="E96" i="32"/>
  <c r="C96" i="32"/>
  <c r="K96" i="32"/>
  <c r="Q96" i="22"/>
  <c r="F96" i="32"/>
  <c r="B96" i="32"/>
  <c r="FK85" i="4"/>
  <c r="DT85" i="4"/>
  <c r="DZ85" i="4"/>
  <c r="DX85" i="4"/>
  <c r="DU85" i="4"/>
  <c r="DW85" i="4"/>
  <c r="I85" i="4"/>
  <c r="F85" i="4"/>
  <c r="H85" i="4"/>
  <c r="HE85" i="4"/>
  <c r="HF85" i="4"/>
  <c r="HD85" i="4"/>
  <c r="HG85" i="4"/>
  <c r="C85" i="4"/>
  <c r="G85" i="4"/>
  <c r="F97" i="21"/>
  <c r="L97" i="21"/>
  <c r="M97" i="21"/>
  <c r="K97" i="21"/>
  <c r="N97" i="21"/>
  <c r="O97" i="21"/>
  <c r="G97" i="21"/>
  <c r="E97" i="21"/>
  <c r="J97" i="21"/>
  <c r="H97" i="21"/>
  <c r="T97" i="32"/>
  <c r="GK85" i="4"/>
  <c r="U97" i="32"/>
  <c r="V97" i="32"/>
  <c r="I97" i="32"/>
  <c r="BJ85" i="4"/>
  <c r="K85" i="4"/>
  <c r="CC85" i="4"/>
  <c r="CD85" i="4"/>
  <c r="CE85" i="4"/>
  <c r="E85" i="4"/>
  <c r="X85" i="4"/>
  <c r="AO85" i="4"/>
  <c r="BS85" i="4"/>
  <c r="BM85" i="4"/>
  <c r="AL85" i="4"/>
  <c r="BT85" i="4"/>
  <c r="N97" i="22"/>
  <c r="D97" i="32"/>
  <c r="J97" i="32"/>
  <c r="DK85" i="4"/>
  <c r="CQ85" i="4"/>
  <c r="P97" i="22"/>
  <c r="E97" i="32"/>
  <c r="C97" i="32"/>
  <c r="K97" i="32"/>
  <c r="Q97" i="22"/>
  <c r="F97" i="32"/>
  <c r="B97" i="32"/>
  <c r="FK86" i="4"/>
  <c r="DT86" i="4"/>
  <c r="DZ86" i="4"/>
  <c r="DX86" i="4"/>
  <c r="DU86" i="4"/>
  <c r="DW86" i="4"/>
  <c r="I86" i="4"/>
  <c r="F86" i="4"/>
  <c r="H86" i="4"/>
  <c r="HE86" i="4"/>
  <c r="HF86" i="4"/>
  <c r="HD86" i="4"/>
  <c r="HG86" i="4"/>
  <c r="C86" i="4"/>
  <c r="G86" i="4"/>
  <c r="F98" i="21"/>
  <c r="L98" i="21"/>
  <c r="M98" i="21"/>
  <c r="K98" i="21"/>
  <c r="N98" i="21"/>
  <c r="O98" i="21"/>
  <c r="G98" i="21"/>
  <c r="E98" i="21"/>
  <c r="J98" i="21"/>
  <c r="H98" i="21"/>
  <c r="T98" i="32"/>
  <c r="GK86" i="4"/>
  <c r="U98" i="32"/>
  <c r="V98" i="32"/>
  <c r="I98" i="32"/>
  <c r="BJ86" i="4"/>
  <c r="K86" i="4"/>
  <c r="CC86" i="4"/>
  <c r="CD86" i="4"/>
  <c r="CE86" i="4"/>
  <c r="E86" i="4"/>
  <c r="X86" i="4"/>
  <c r="AO86" i="4"/>
  <c r="BS86" i="4"/>
  <c r="BM86" i="4"/>
  <c r="AL86" i="4"/>
  <c r="BT86" i="4"/>
  <c r="N98" i="22"/>
  <c r="D98" i="32"/>
  <c r="J98" i="32"/>
  <c r="DK86" i="4"/>
  <c r="CQ86" i="4"/>
  <c r="P98" i="22"/>
  <c r="E98" i="32"/>
  <c r="C98" i="32"/>
  <c r="K98" i="32"/>
  <c r="Q98" i="22"/>
  <c r="F98" i="32"/>
  <c r="B98" i="32"/>
  <c r="FK87" i="4"/>
  <c r="DT87" i="4"/>
  <c r="DZ87" i="4"/>
  <c r="DX87" i="4"/>
  <c r="DU87" i="4"/>
  <c r="DW87" i="4"/>
  <c r="I87" i="4"/>
  <c r="F87" i="4"/>
  <c r="H87" i="4"/>
  <c r="HE87" i="4"/>
  <c r="HF87" i="4"/>
  <c r="HD87" i="4"/>
  <c r="HG87" i="4"/>
  <c r="C87" i="4"/>
  <c r="G87" i="4"/>
  <c r="F99" i="21"/>
  <c r="L99" i="21"/>
  <c r="M99" i="21"/>
  <c r="K99" i="21"/>
  <c r="N99" i="21"/>
  <c r="O99" i="21"/>
  <c r="G99" i="21"/>
  <c r="E99" i="21"/>
  <c r="J99" i="21"/>
  <c r="H99" i="21"/>
  <c r="T99" i="32"/>
  <c r="GK87" i="4"/>
  <c r="U99" i="32"/>
  <c r="V99" i="32"/>
  <c r="I99" i="32"/>
  <c r="BJ87" i="4"/>
  <c r="K87" i="4"/>
  <c r="CC87" i="4"/>
  <c r="CD87" i="4"/>
  <c r="CE87" i="4"/>
  <c r="E87" i="4"/>
  <c r="X87" i="4"/>
  <c r="AO87" i="4"/>
  <c r="BS87" i="4"/>
  <c r="BM87" i="4"/>
  <c r="AL87" i="4"/>
  <c r="BT87" i="4"/>
  <c r="N99" i="22"/>
  <c r="D99" i="32"/>
  <c r="J99" i="32"/>
  <c r="DK87" i="4"/>
  <c r="CQ87" i="4"/>
  <c r="P99" i="22"/>
  <c r="E99" i="32"/>
  <c r="C99" i="32"/>
  <c r="K99" i="32"/>
  <c r="Q99" i="22"/>
  <c r="F99" i="32"/>
  <c r="B99" i="32"/>
  <c r="FK88" i="4"/>
  <c r="DT88" i="4"/>
  <c r="DZ88" i="4"/>
  <c r="DX88" i="4"/>
  <c r="DU88" i="4"/>
  <c r="DW88" i="4"/>
  <c r="I88" i="4"/>
  <c r="F88" i="4"/>
  <c r="H88" i="4"/>
  <c r="HE88" i="4"/>
  <c r="HF88" i="4"/>
  <c r="HD88" i="4"/>
  <c r="HG88" i="4"/>
  <c r="C88" i="4"/>
  <c r="G88" i="4"/>
  <c r="F100" i="21"/>
  <c r="L100" i="21"/>
  <c r="M100" i="21"/>
  <c r="K100" i="21"/>
  <c r="N100" i="21"/>
  <c r="O100" i="21"/>
  <c r="G100" i="21"/>
  <c r="E100" i="21"/>
  <c r="J100" i="21"/>
  <c r="H100" i="21"/>
  <c r="T100" i="32"/>
  <c r="GK88" i="4"/>
  <c r="U100" i="32"/>
  <c r="V100" i="32"/>
  <c r="I100" i="32"/>
  <c r="BJ88" i="4"/>
  <c r="K88" i="4"/>
  <c r="CC88" i="4"/>
  <c r="CD88" i="4"/>
  <c r="CE88" i="4"/>
  <c r="E88" i="4"/>
  <c r="X88" i="4"/>
  <c r="AO88" i="4"/>
  <c r="BS88" i="4"/>
  <c r="BM88" i="4"/>
  <c r="AL88" i="4"/>
  <c r="BT88" i="4"/>
  <c r="N100" i="22"/>
  <c r="D100" i="32"/>
  <c r="J100" i="32"/>
  <c r="DK88" i="4"/>
  <c r="CQ88" i="4"/>
  <c r="P100" i="22"/>
  <c r="E100" i="32"/>
  <c r="C100" i="32"/>
  <c r="K100" i="32"/>
  <c r="Q100" i="22"/>
  <c r="F100" i="32"/>
  <c r="B100" i="32"/>
  <c r="L90" i="21"/>
  <c r="M90" i="21"/>
  <c r="K90" i="21"/>
  <c r="N90" i="21"/>
  <c r="O90" i="21"/>
  <c r="G90" i="21"/>
  <c r="F90" i="21"/>
  <c r="FK89" i="4"/>
  <c r="DT89" i="4"/>
  <c r="DZ89" i="4"/>
  <c r="DX89" i="4"/>
  <c r="DU89" i="4"/>
  <c r="DW89" i="4"/>
  <c r="I89" i="4"/>
  <c r="F89" i="4"/>
  <c r="H89" i="4"/>
  <c r="HE89" i="4"/>
  <c r="HF89" i="4"/>
  <c r="HD89" i="4"/>
  <c r="HG89" i="4"/>
  <c r="C89" i="4"/>
  <c r="G89" i="4"/>
  <c r="F101" i="21"/>
  <c r="L101" i="21"/>
  <c r="M101" i="21"/>
  <c r="K101" i="21"/>
  <c r="N101" i="21"/>
  <c r="O101" i="21"/>
  <c r="G101" i="21"/>
  <c r="E101" i="21"/>
  <c r="J101" i="21"/>
  <c r="H101" i="21"/>
  <c r="T101" i="32"/>
  <c r="GK89" i="4"/>
  <c r="U101" i="32"/>
  <c r="V101" i="32"/>
  <c r="I101" i="32"/>
  <c r="BJ89" i="4"/>
  <c r="K89" i="4"/>
  <c r="CC89" i="4"/>
  <c r="CD89" i="4"/>
  <c r="CE89" i="4"/>
  <c r="E89" i="4"/>
  <c r="X89" i="4"/>
  <c r="AO89" i="4"/>
  <c r="BS89" i="4"/>
  <c r="BM89" i="4"/>
  <c r="AL89" i="4"/>
  <c r="BT89" i="4"/>
  <c r="N101" i="22"/>
  <c r="D101" i="32"/>
  <c r="J101" i="32"/>
  <c r="DK89" i="4"/>
  <c r="CQ89" i="4"/>
  <c r="P101" i="22"/>
  <c r="E101" i="32"/>
  <c r="C101" i="32"/>
  <c r="K101" i="32"/>
  <c r="Q101" i="22"/>
  <c r="F101" i="32"/>
  <c r="B101" i="32"/>
  <c r="FK90" i="4"/>
  <c r="DT90" i="4"/>
  <c r="DZ90" i="4"/>
  <c r="DX90" i="4"/>
  <c r="DU90" i="4"/>
  <c r="DW90" i="4"/>
  <c r="I90" i="4"/>
  <c r="F90" i="4"/>
  <c r="H90" i="4"/>
  <c r="HE90" i="4"/>
  <c r="HF90" i="4"/>
  <c r="HD90" i="4"/>
  <c r="HG90" i="4"/>
  <c r="C90" i="4"/>
  <c r="G90" i="4"/>
  <c r="F102" i="21"/>
  <c r="L102" i="21"/>
  <c r="M102" i="21"/>
  <c r="K102" i="21"/>
  <c r="N102" i="21"/>
  <c r="O102" i="21"/>
  <c r="G102" i="21"/>
  <c r="E102" i="21"/>
  <c r="J102" i="21"/>
  <c r="H102" i="21"/>
  <c r="T102" i="32"/>
  <c r="GK90" i="4"/>
  <c r="U102" i="32"/>
  <c r="V102" i="32"/>
  <c r="I102" i="32"/>
  <c r="BJ90" i="4"/>
  <c r="K90" i="4"/>
  <c r="CC90" i="4"/>
  <c r="CD90" i="4"/>
  <c r="CE90" i="4"/>
  <c r="E90" i="4"/>
  <c r="X90" i="4"/>
  <c r="AO90" i="4"/>
  <c r="BS90" i="4"/>
  <c r="BM90" i="4"/>
  <c r="AL90" i="4"/>
  <c r="BT90" i="4"/>
  <c r="N102" i="22"/>
  <c r="D102" i="32"/>
  <c r="J102" i="32"/>
  <c r="DK90" i="4"/>
  <c r="CQ90" i="4"/>
  <c r="P102" i="22"/>
  <c r="E102" i="32"/>
  <c r="C102" i="32"/>
  <c r="K102" i="32"/>
  <c r="Q102" i="22"/>
  <c r="F102" i="32"/>
  <c r="B102" i="32"/>
  <c r="FK91" i="4"/>
  <c r="DT91" i="4"/>
  <c r="DZ91" i="4"/>
  <c r="DX91" i="4"/>
  <c r="DU91" i="4"/>
  <c r="DW91" i="4"/>
  <c r="I91" i="4"/>
  <c r="F91" i="4"/>
  <c r="H91" i="4"/>
  <c r="HE91" i="4"/>
  <c r="HF91" i="4"/>
  <c r="HD91" i="4"/>
  <c r="HG91" i="4"/>
  <c r="C91" i="4"/>
  <c r="G91" i="4"/>
  <c r="F103" i="21"/>
  <c r="L103" i="21"/>
  <c r="M103" i="21"/>
  <c r="K103" i="21"/>
  <c r="N103" i="21"/>
  <c r="O103" i="21"/>
  <c r="G103" i="21"/>
  <c r="E103" i="21"/>
  <c r="J103" i="21"/>
  <c r="H103" i="21"/>
  <c r="T103" i="32"/>
  <c r="GK91" i="4"/>
  <c r="U103" i="32"/>
  <c r="V103" i="32"/>
  <c r="I103" i="32"/>
  <c r="BJ91" i="4"/>
  <c r="K91" i="4"/>
  <c r="CC91" i="4"/>
  <c r="CD91" i="4"/>
  <c r="CE91" i="4"/>
  <c r="E91" i="4"/>
  <c r="X91" i="4"/>
  <c r="AO91" i="4"/>
  <c r="BS91" i="4"/>
  <c r="BM91" i="4"/>
  <c r="AL91" i="4"/>
  <c r="BT91" i="4"/>
  <c r="N103" i="22"/>
  <c r="D103" i="32"/>
  <c r="J103" i="32"/>
  <c r="DK91" i="4"/>
  <c r="CQ91" i="4"/>
  <c r="P103" i="22"/>
  <c r="E103" i="32"/>
  <c r="C103" i="32"/>
  <c r="K103" i="32"/>
  <c r="Q103" i="22"/>
  <c r="F103" i="32"/>
  <c r="B103" i="32"/>
  <c r="FK92" i="4"/>
  <c r="DT92" i="4"/>
  <c r="DZ92" i="4"/>
  <c r="DX92" i="4"/>
  <c r="DU92" i="4"/>
  <c r="DW92" i="4"/>
  <c r="I92" i="4"/>
  <c r="F92" i="4"/>
  <c r="H92" i="4"/>
  <c r="HE92" i="4"/>
  <c r="HF92" i="4"/>
  <c r="HD92" i="4"/>
  <c r="HG92" i="4"/>
  <c r="C92" i="4"/>
  <c r="G92" i="4"/>
  <c r="F104" i="21"/>
  <c r="L104" i="21"/>
  <c r="M104" i="21"/>
  <c r="K104" i="21"/>
  <c r="N104" i="21"/>
  <c r="O104" i="21"/>
  <c r="G104" i="21"/>
  <c r="E104" i="21"/>
  <c r="J104" i="21"/>
  <c r="H104" i="21"/>
  <c r="T104" i="32"/>
  <c r="GK92" i="4"/>
  <c r="U104" i="32"/>
  <c r="V104" i="32"/>
  <c r="I104" i="32"/>
  <c r="BJ92" i="4"/>
  <c r="K92" i="4"/>
  <c r="CC92" i="4"/>
  <c r="CD92" i="4"/>
  <c r="CE92" i="4"/>
  <c r="E92" i="4"/>
  <c r="X92" i="4"/>
  <c r="AO92" i="4"/>
  <c r="BS92" i="4"/>
  <c r="BM92" i="4"/>
  <c r="AL92" i="4"/>
  <c r="BT92" i="4"/>
  <c r="N104" i="22"/>
  <c r="D104" i="32"/>
  <c r="J104" i="32"/>
  <c r="DK92" i="4"/>
  <c r="CQ92" i="4"/>
  <c r="P104" i="22"/>
  <c r="E104" i="32"/>
  <c r="C104" i="32"/>
  <c r="K104" i="32"/>
  <c r="Q104" i="22"/>
  <c r="F104" i="32"/>
  <c r="B104" i="32"/>
  <c r="FK93" i="4"/>
  <c r="DT93" i="4"/>
  <c r="DZ93" i="4"/>
  <c r="DX93" i="4"/>
  <c r="DU93" i="4"/>
  <c r="DW93" i="4"/>
  <c r="I93" i="4"/>
  <c r="F93" i="4"/>
  <c r="H93" i="4"/>
  <c r="HE93" i="4"/>
  <c r="HF93" i="4"/>
  <c r="HD93" i="4"/>
  <c r="HG93" i="4"/>
  <c r="C93" i="4"/>
  <c r="G93" i="4"/>
  <c r="F105" i="21"/>
  <c r="L105" i="21"/>
  <c r="M105" i="21"/>
  <c r="K105" i="21"/>
  <c r="N105" i="21"/>
  <c r="O105" i="21"/>
  <c r="G105" i="21"/>
  <c r="E105" i="21"/>
  <c r="J105" i="21"/>
  <c r="H105" i="21"/>
  <c r="T105" i="32"/>
  <c r="GK93" i="4"/>
  <c r="U105" i="32"/>
  <c r="V105" i="32"/>
  <c r="I105" i="32"/>
  <c r="BJ93" i="4"/>
  <c r="K93" i="4"/>
  <c r="CC93" i="4"/>
  <c r="CD93" i="4"/>
  <c r="CE93" i="4"/>
  <c r="E93" i="4"/>
  <c r="X93" i="4"/>
  <c r="AO93" i="4"/>
  <c r="BS93" i="4"/>
  <c r="BM93" i="4"/>
  <c r="AL93" i="4"/>
  <c r="BT93" i="4"/>
  <c r="N105" i="22"/>
  <c r="D105" i="32"/>
  <c r="J105" i="32"/>
  <c r="DK93" i="4"/>
  <c r="CQ93" i="4"/>
  <c r="P105" i="22"/>
  <c r="E105" i="32"/>
  <c r="C105" i="32"/>
  <c r="K105" i="32"/>
  <c r="Q105" i="22"/>
  <c r="F105" i="32"/>
  <c r="B105" i="32"/>
  <c r="FK94" i="4"/>
  <c r="DT94" i="4"/>
  <c r="DZ94" i="4"/>
  <c r="DX94" i="4"/>
  <c r="DU94" i="4"/>
  <c r="DW94" i="4"/>
  <c r="I94" i="4"/>
  <c r="F94" i="4"/>
  <c r="H94" i="4"/>
  <c r="HE94" i="4"/>
  <c r="HF94" i="4"/>
  <c r="HD94" i="4"/>
  <c r="HG94" i="4"/>
  <c r="C94" i="4"/>
  <c r="G94" i="4"/>
  <c r="F106" i="21"/>
  <c r="L106" i="21"/>
  <c r="M106" i="21"/>
  <c r="K106" i="21"/>
  <c r="N106" i="21"/>
  <c r="O106" i="21"/>
  <c r="G106" i="21"/>
  <c r="E106" i="21"/>
  <c r="J106" i="21"/>
  <c r="H106" i="21"/>
  <c r="T106" i="32"/>
  <c r="GK94" i="4"/>
  <c r="U106" i="32"/>
  <c r="V106" i="32"/>
  <c r="I106" i="32"/>
  <c r="BJ94" i="4"/>
  <c r="K94" i="4"/>
  <c r="CC94" i="4"/>
  <c r="CD94" i="4"/>
  <c r="CE94" i="4"/>
  <c r="E94" i="4"/>
  <c r="X94" i="4"/>
  <c r="AO94" i="4"/>
  <c r="BS94" i="4"/>
  <c r="BM94" i="4"/>
  <c r="AL94" i="4"/>
  <c r="BT94" i="4"/>
  <c r="N106" i="22"/>
  <c r="D106" i="32"/>
  <c r="J106" i="32"/>
  <c r="DK94" i="4"/>
  <c r="CQ94" i="4"/>
  <c r="P106" i="22"/>
  <c r="E106" i="32"/>
  <c r="C106" i="32"/>
  <c r="K106" i="32"/>
  <c r="Q106" i="22"/>
  <c r="F106" i="32"/>
  <c r="B106" i="32"/>
  <c r="FK95" i="4"/>
  <c r="DT95" i="4"/>
  <c r="DZ95" i="4"/>
  <c r="DX95" i="4"/>
  <c r="DU95" i="4"/>
  <c r="DW95" i="4"/>
  <c r="I95" i="4"/>
  <c r="F95" i="4"/>
  <c r="H95" i="4"/>
  <c r="HE95" i="4"/>
  <c r="HF95" i="4"/>
  <c r="HD95" i="4"/>
  <c r="HG95" i="4"/>
  <c r="C95" i="4"/>
  <c r="G95" i="4"/>
  <c r="F107" i="21"/>
  <c r="L107" i="21"/>
  <c r="M107" i="21"/>
  <c r="K107" i="21"/>
  <c r="N107" i="21"/>
  <c r="O107" i="21"/>
  <c r="G107" i="21"/>
  <c r="E107" i="21"/>
  <c r="J107" i="21"/>
  <c r="H107" i="21"/>
  <c r="T107" i="32"/>
  <c r="GK95" i="4"/>
  <c r="U107" i="32"/>
  <c r="V107" i="32"/>
  <c r="I107" i="32"/>
  <c r="BJ95" i="4"/>
  <c r="K95" i="4"/>
  <c r="CC95" i="4"/>
  <c r="CD95" i="4"/>
  <c r="CE95" i="4"/>
  <c r="E95" i="4"/>
  <c r="X95" i="4"/>
  <c r="AO95" i="4"/>
  <c r="BS95" i="4"/>
  <c r="BM95" i="4"/>
  <c r="AL95" i="4"/>
  <c r="BT95" i="4"/>
  <c r="N107" i="22"/>
  <c r="D107" i="32"/>
  <c r="J107" i="32"/>
  <c r="DK95" i="4"/>
  <c r="CQ95" i="4"/>
  <c r="P107" i="22"/>
  <c r="E107" i="32"/>
  <c r="C107" i="32"/>
  <c r="K107" i="32"/>
  <c r="Q107" i="22"/>
  <c r="F107" i="32"/>
  <c r="B107" i="32"/>
  <c r="FK96" i="4"/>
  <c r="DT96" i="4"/>
  <c r="DZ96" i="4"/>
  <c r="DX96" i="4"/>
  <c r="DU96" i="4"/>
  <c r="DW96" i="4"/>
  <c r="I96" i="4"/>
  <c r="F96" i="4"/>
  <c r="H96" i="4"/>
  <c r="HE96" i="4"/>
  <c r="HF96" i="4"/>
  <c r="HD96" i="4"/>
  <c r="HG96" i="4"/>
  <c r="C96" i="4"/>
  <c r="G96" i="4"/>
  <c r="F108" i="21"/>
  <c r="L108" i="21"/>
  <c r="M108" i="21"/>
  <c r="K108" i="21"/>
  <c r="N108" i="21"/>
  <c r="O108" i="21"/>
  <c r="G108" i="21"/>
  <c r="E108" i="21"/>
  <c r="J108" i="21"/>
  <c r="H108" i="21"/>
  <c r="T108" i="32"/>
  <c r="GK96" i="4"/>
  <c r="U108" i="32"/>
  <c r="V108" i="32"/>
  <c r="I108" i="32"/>
  <c r="BJ96" i="4"/>
  <c r="K96" i="4"/>
  <c r="CC96" i="4"/>
  <c r="CD96" i="4"/>
  <c r="CE96" i="4"/>
  <c r="E96" i="4"/>
  <c r="X96" i="4"/>
  <c r="AO96" i="4"/>
  <c r="BS96" i="4"/>
  <c r="BM96" i="4"/>
  <c r="AL96" i="4"/>
  <c r="BT96" i="4"/>
  <c r="N108" i="22"/>
  <c r="D108" i="32"/>
  <c r="J108" i="32"/>
  <c r="DK96" i="4"/>
  <c r="CQ96" i="4"/>
  <c r="P108" i="22"/>
  <c r="E108" i="32"/>
  <c r="C108" i="32"/>
  <c r="K108" i="32"/>
  <c r="Q108" i="22"/>
  <c r="F108" i="32"/>
  <c r="B108" i="32"/>
  <c r="FK97" i="4"/>
  <c r="DT97" i="4"/>
  <c r="DZ97" i="4"/>
  <c r="DX97" i="4"/>
  <c r="DU97" i="4"/>
  <c r="DW97" i="4"/>
  <c r="I97" i="4"/>
  <c r="F97" i="4"/>
  <c r="H97" i="4"/>
  <c r="HE97" i="4"/>
  <c r="HF97" i="4"/>
  <c r="HD97" i="4"/>
  <c r="HG97" i="4"/>
  <c r="C97" i="4"/>
  <c r="G97" i="4"/>
  <c r="F109" i="21"/>
  <c r="L109" i="21"/>
  <c r="M109" i="21"/>
  <c r="K109" i="21"/>
  <c r="N109" i="21"/>
  <c r="O109" i="21"/>
  <c r="G109" i="21"/>
  <c r="E109" i="21"/>
  <c r="J109" i="21"/>
  <c r="H109" i="21"/>
  <c r="T109" i="32"/>
  <c r="GK97" i="4"/>
  <c r="U109" i="32"/>
  <c r="V109" i="32"/>
  <c r="I109" i="32"/>
  <c r="BJ97" i="4"/>
  <c r="K97" i="4"/>
  <c r="CC97" i="4"/>
  <c r="CD97" i="4"/>
  <c r="CE97" i="4"/>
  <c r="E97" i="4"/>
  <c r="X97" i="4"/>
  <c r="AO97" i="4"/>
  <c r="BS97" i="4"/>
  <c r="BM97" i="4"/>
  <c r="AL97" i="4"/>
  <c r="BT97" i="4"/>
  <c r="N109" i="22"/>
  <c r="D109" i="32"/>
  <c r="J109" i="32"/>
  <c r="DK97" i="4"/>
  <c r="CQ97" i="4"/>
  <c r="P109" i="22"/>
  <c r="E109" i="32"/>
  <c r="C109" i="32"/>
  <c r="K109" i="32"/>
  <c r="Q109" i="22"/>
  <c r="F109" i="32"/>
  <c r="B109" i="32"/>
  <c r="DZ98" i="4"/>
  <c r="DX98" i="4"/>
  <c r="DW98" i="4"/>
  <c r="F98" i="4"/>
  <c r="DT98" i="4"/>
  <c r="DU98" i="4"/>
  <c r="I98" i="4"/>
  <c r="H98" i="4"/>
  <c r="HE98" i="4"/>
  <c r="HF98" i="4"/>
  <c r="HD98" i="4"/>
  <c r="HG98" i="4"/>
  <c r="C98" i="4"/>
  <c r="G98" i="4"/>
  <c r="F110" i="21"/>
  <c r="L110" i="21"/>
  <c r="M110" i="21"/>
  <c r="K110" i="21"/>
  <c r="N110" i="21"/>
  <c r="O110" i="21"/>
  <c r="G110" i="21"/>
  <c r="E110" i="21"/>
  <c r="J110" i="21"/>
  <c r="H110" i="21"/>
  <c r="G110" i="32"/>
  <c r="W250" i="44"/>
  <c r="X250" i="44"/>
  <c r="AH250" i="44"/>
  <c r="GK98" i="4"/>
  <c r="K110" i="32"/>
  <c r="H110" i="32"/>
  <c r="I110" i="32"/>
  <c r="BJ98" i="4"/>
  <c r="K98" i="4"/>
  <c r="CC98" i="4"/>
  <c r="CD98" i="4"/>
  <c r="CE98" i="4"/>
  <c r="E98" i="4"/>
  <c r="X98" i="4"/>
  <c r="AO106" i="4"/>
  <c r="AO98" i="4"/>
  <c r="BS98" i="4"/>
  <c r="BM98" i="4"/>
  <c r="AL98" i="4"/>
  <c r="BT98" i="4"/>
  <c r="N110" i="22"/>
  <c r="D110" i="32"/>
  <c r="J110" i="32"/>
  <c r="DK98" i="4"/>
  <c r="CQ98" i="4"/>
  <c r="P110" i="22"/>
  <c r="E110" i="32"/>
  <c r="C110" i="32"/>
  <c r="Q110" i="22"/>
  <c r="F110" i="32"/>
  <c r="B110" i="32"/>
  <c r="DZ99" i="4"/>
  <c r="DX99" i="4"/>
  <c r="DW99" i="4"/>
  <c r="F99" i="4"/>
  <c r="DT99" i="4"/>
  <c r="DU99" i="4"/>
  <c r="I99" i="4"/>
  <c r="H99" i="4"/>
  <c r="HE99" i="4"/>
  <c r="HF99" i="4"/>
  <c r="HD99" i="4"/>
  <c r="HG99" i="4"/>
  <c r="C99" i="4"/>
  <c r="G99" i="4"/>
  <c r="F111" i="21"/>
  <c r="L111" i="21"/>
  <c r="M111" i="21"/>
  <c r="K111" i="21"/>
  <c r="N111" i="21"/>
  <c r="O111" i="21"/>
  <c r="G111" i="21"/>
  <c r="E111" i="21"/>
  <c r="J111" i="21"/>
  <c r="H111" i="21"/>
  <c r="G111" i="32"/>
  <c r="W251" i="44"/>
  <c r="X251" i="44"/>
  <c r="AH251" i="44"/>
  <c r="GK99" i="4"/>
  <c r="K111" i="32"/>
  <c r="H111" i="32"/>
  <c r="I111" i="32"/>
  <c r="BJ99" i="4"/>
  <c r="K99" i="4"/>
  <c r="CC99" i="4"/>
  <c r="CD99" i="4"/>
  <c r="CE99" i="4"/>
  <c r="E99" i="4"/>
  <c r="X99" i="4"/>
  <c r="AO99" i="4"/>
  <c r="BS99" i="4"/>
  <c r="BM99" i="4"/>
  <c r="AL99" i="4"/>
  <c r="BT99" i="4"/>
  <c r="N111" i="22"/>
  <c r="D111" i="32"/>
  <c r="J111" i="32"/>
  <c r="DK99" i="4"/>
  <c r="CQ99" i="4"/>
  <c r="P111" i="22"/>
  <c r="E111" i="32"/>
  <c r="C111" i="32"/>
  <c r="Q111" i="22"/>
  <c r="F111" i="32"/>
  <c r="B111" i="32"/>
  <c r="DZ100" i="4"/>
  <c r="DX100" i="4"/>
  <c r="DW100" i="4"/>
  <c r="F100" i="4"/>
  <c r="DT100" i="4"/>
  <c r="DU100" i="4"/>
  <c r="I100" i="4"/>
  <c r="H100" i="4"/>
  <c r="HE100" i="4"/>
  <c r="HF100" i="4"/>
  <c r="HD100" i="4"/>
  <c r="HG100" i="4"/>
  <c r="C100" i="4"/>
  <c r="G100" i="4"/>
  <c r="F112" i="21"/>
  <c r="L112" i="21"/>
  <c r="M112" i="21"/>
  <c r="K112" i="21"/>
  <c r="N112" i="21"/>
  <c r="O112" i="21"/>
  <c r="G112" i="21"/>
  <c r="E112" i="21"/>
  <c r="J112" i="21"/>
  <c r="H112" i="21"/>
  <c r="G112" i="32"/>
  <c r="W252" i="44"/>
  <c r="X252" i="44"/>
  <c r="AH252" i="44"/>
  <c r="GK100" i="4"/>
  <c r="K112" i="32"/>
  <c r="H112" i="32"/>
  <c r="I112" i="32"/>
  <c r="BJ100" i="4"/>
  <c r="K100" i="4"/>
  <c r="CC100" i="4"/>
  <c r="CD100" i="4"/>
  <c r="CE100" i="4"/>
  <c r="E100" i="4"/>
  <c r="X100" i="4"/>
  <c r="AO100" i="4"/>
  <c r="BS100" i="4"/>
  <c r="BM100" i="4"/>
  <c r="AL100" i="4"/>
  <c r="BT100" i="4"/>
  <c r="N112" i="22"/>
  <c r="D112" i="32"/>
  <c r="J112" i="32"/>
  <c r="DK100" i="4"/>
  <c r="CQ100" i="4"/>
  <c r="P112" i="22"/>
  <c r="E112" i="32"/>
  <c r="C112" i="32"/>
  <c r="Q112" i="22"/>
  <c r="F112" i="32"/>
  <c r="B112" i="32"/>
  <c r="DZ101" i="4"/>
  <c r="DX101" i="4"/>
  <c r="DW101" i="4"/>
  <c r="F101" i="4"/>
  <c r="DT101" i="4"/>
  <c r="DU101" i="4"/>
  <c r="I101" i="4"/>
  <c r="H101" i="4"/>
  <c r="HE101" i="4"/>
  <c r="HF101" i="4"/>
  <c r="HD101" i="4"/>
  <c r="HG101" i="4"/>
  <c r="C101" i="4"/>
  <c r="G101" i="4"/>
  <c r="F113" i="21"/>
  <c r="L113" i="21"/>
  <c r="M113" i="21"/>
  <c r="K113" i="21"/>
  <c r="N113" i="21"/>
  <c r="O113" i="21"/>
  <c r="G113" i="21"/>
  <c r="E113" i="21"/>
  <c r="J113" i="21"/>
  <c r="H113" i="21"/>
  <c r="G113" i="32"/>
  <c r="W253" i="44"/>
  <c r="X253" i="44"/>
  <c r="AH253" i="44"/>
  <c r="GK101" i="4"/>
  <c r="K113" i="32"/>
  <c r="H113" i="32"/>
  <c r="I113" i="32"/>
  <c r="BJ101" i="4"/>
  <c r="K101" i="4"/>
  <c r="CC101" i="4"/>
  <c r="CD101" i="4"/>
  <c r="CE101" i="4"/>
  <c r="E101" i="4"/>
  <c r="X101" i="4"/>
  <c r="AO101" i="4"/>
  <c r="BS101" i="4"/>
  <c r="BM101" i="4"/>
  <c r="AL101" i="4"/>
  <c r="BT101" i="4"/>
  <c r="N113" i="22"/>
  <c r="D113" i="32"/>
  <c r="J113" i="32"/>
  <c r="DK101" i="4"/>
  <c r="CQ101" i="4"/>
  <c r="P113" i="22"/>
  <c r="E113" i="32"/>
  <c r="C113" i="32"/>
  <c r="Q113" i="22"/>
  <c r="F113" i="32"/>
  <c r="B113" i="32"/>
  <c r="DZ102" i="4"/>
  <c r="DX102" i="4"/>
  <c r="DW102" i="4"/>
  <c r="F102" i="4"/>
  <c r="DT102" i="4"/>
  <c r="DU102" i="4"/>
  <c r="I102" i="4"/>
  <c r="H102" i="4"/>
  <c r="HE102" i="4"/>
  <c r="HF102" i="4"/>
  <c r="HD102" i="4"/>
  <c r="HG102" i="4"/>
  <c r="C102" i="4"/>
  <c r="G102" i="4"/>
  <c r="F114" i="21"/>
  <c r="L114" i="21"/>
  <c r="M114" i="21"/>
  <c r="K114" i="21"/>
  <c r="N114" i="21"/>
  <c r="O114" i="21"/>
  <c r="G114" i="21"/>
  <c r="E114" i="21"/>
  <c r="J114" i="21"/>
  <c r="H114" i="21"/>
  <c r="G114" i="32"/>
  <c r="W254" i="44"/>
  <c r="X254" i="44"/>
  <c r="AH254" i="44"/>
  <c r="GK102" i="4"/>
  <c r="K114" i="32"/>
  <c r="H114" i="32"/>
  <c r="I114" i="32"/>
  <c r="BJ102" i="4"/>
  <c r="K102" i="4"/>
  <c r="CC102" i="4"/>
  <c r="CD102" i="4"/>
  <c r="CE102" i="4"/>
  <c r="E102" i="4"/>
  <c r="X102" i="4"/>
  <c r="AO102" i="4"/>
  <c r="BS102" i="4"/>
  <c r="BM102" i="4"/>
  <c r="AL102" i="4"/>
  <c r="BT102" i="4"/>
  <c r="N114" i="22"/>
  <c r="D114" i="32"/>
  <c r="J114" i="32"/>
  <c r="DK102" i="4"/>
  <c r="CQ102" i="4"/>
  <c r="P114" i="22"/>
  <c r="E114" i="32"/>
  <c r="C114" i="32"/>
  <c r="Q114" i="22"/>
  <c r="F114" i="32"/>
  <c r="B114" i="32"/>
  <c r="DZ103" i="4"/>
  <c r="DX103" i="4"/>
  <c r="DW103" i="4"/>
  <c r="F103" i="4"/>
  <c r="DT103" i="4"/>
  <c r="DU103" i="4"/>
  <c r="I103" i="4"/>
  <c r="H103" i="4"/>
  <c r="HE103" i="4"/>
  <c r="HF103" i="4"/>
  <c r="HD103" i="4"/>
  <c r="HG103" i="4"/>
  <c r="C103" i="4"/>
  <c r="G103" i="4"/>
  <c r="F115" i="21"/>
  <c r="L115" i="21"/>
  <c r="M115" i="21"/>
  <c r="K115" i="21"/>
  <c r="N115" i="21"/>
  <c r="O115" i="21"/>
  <c r="G115" i="21"/>
  <c r="E115" i="21"/>
  <c r="J115" i="21"/>
  <c r="H115" i="21"/>
  <c r="G115" i="32"/>
  <c r="W255" i="44"/>
  <c r="X255" i="44"/>
  <c r="AH255" i="44"/>
  <c r="GK103" i="4"/>
  <c r="K115" i="32"/>
  <c r="H115" i="32"/>
  <c r="I115" i="32"/>
  <c r="BJ103" i="4"/>
  <c r="K103" i="4"/>
  <c r="CC103" i="4"/>
  <c r="CD103" i="4"/>
  <c r="CE103" i="4"/>
  <c r="E103" i="4"/>
  <c r="X103" i="4"/>
  <c r="AO103" i="4"/>
  <c r="BS103" i="4"/>
  <c r="BM103" i="4"/>
  <c r="AL103" i="4"/>
  <c r="BT103" i="4"/>
  <c r="N115" i="22"/>
  <c r="D115" i="32"/>
  <c r="J115" i="32"/>
  <c r="DK103" i="4"/>
  <c r="CQ103" i="4"/>
  <c r="P115" i="22"/>
  <c r="E115" i="32"/>
  <c r="C115" i="32"/>
  <c r="Q115" i="22"/>
  <c r="F115" i="32"/>
  <c r="B115" i="32"/>
  <c r="DZ104" i="4"/>
  <c r="DX104" i="4"/>
  <c r="DW104" i="4"/>
  <c r="F104" i="4"/>
  <c r="DT104" i="4"/>
  <c r="DU104" i="4"/>
  <c r="I104" i="4"/>
  <c r="H104" i="4"/>
  <c r="HE104" i="4"/>
  <c r="HF104" i="4"/>
  <c r="HD104" i="4"/>
  <c r="HG104" i="4"/>
  <c r="C104" i="4"/>
  <c r="G104" i="4"/>
  <c r="F116" i="21"/>
  <c r="L116" i="21"/>
  <c r="M116" i="21"/>
  <c r="K116" i="21"/>
  <c r="N116" i="21"/>
  <c r="O116" i="21"/>
  <c r="G116" i="21"/>
  <c r="E116" i="21"/>
  <c r="J116" i="21"/>
  <c r="H116" i="21"/>
  <c r="G116" i="32"/>
  <c r="W256" i="44"/>
  <c r="X256" i="44"/>
  <c r="AH256" i="44"/>
  <c r="GK104" i="4"/>
  <c r="K116" i="32"/>
  <c r="H116" i="32"/>
  <c r="I116" i="32"/>
  <c r="BJ104" i="4"/>
  <c r="K104" i="4"/>
  <c r="CC104" i="4"/>
  <c r="CD104" i="4"/>
  <c r="CE104" i="4"/>
  <c r="E104" i="4"/>
  <c r="X104" i="4"/>
  <c r="AO104" i="4"/>
  <c r="BS104" i="4"/>
  <c r="BM104" i="4"/>
  <c r="AL104" i="4"/>
  <c r="BT104" i="4"/>
  <c r="N116" i="22"/>
  <c r="D116" i="32"/>
  <c r="J116" i="32"/>
  <c r="DK104" i="4"/>
  <c r="CQ104" i="4"/>
  <c r="P116" i="22"/>
  <c r="E116" i="32"/>
  <c r="C116" i="32"/>
  <c r="Q116" i="22"/>
  <c r="F116" i="32"/>
  <c r="B116" i="32"/>
  <c r="FK105" i="4"/>
  <c r="DT105" i="4"/>
  <c r="DZ105" i="4"/>
  <c r="DX105" i="4"/>
  <c r="DU105" i="4"/>
  <c r="DW105" i="4"/>
  <c r="I105" i="4"/>
  <c r="F105" i="4"/>
  <c r="H105" i="4"/>
  <c r="HD105" i="4"/>
  <c r="HG105" i="4"/>
  <c r="C105" i="4"/>
  <c r="G105" i="4"/>
  <c r="F117" i="21"/>
  <c r="L117" i="21"/>
  <c r="M117" i="21"/>
  <c r="K117" i="21"/>
  <c r="N117" i="21"/>
  <c r="O117" i="21"/>
  <c r="G117" i="21"/>
  <c r="E117" i="21"/>
  <c r="J117" i="21"/>
  <c r="H117" i="21"/>
  <c r="T117" i="32"/>
  <c r="W257" i="44"/>
  <c r="X257" i="44"/>
  <c r="AH257" i="44"/>
  <c r="GK105" i="4"/>
  <c r="U117" i="32"/>
  <c r="V117" i="32"/>
  <c r="I117" i="32"/>
  <c r="BJ105" i="4"/>
  <c r="K105" i="4"/>
  <c r="CC105" i="4"/>
  <c r="CD105" i="4"/>
  <c r="CE105" i="4"/>
  <c r="E105" i="4"/>
  <c r="X105" i="4"/>
  <c r="AO105" i="4"/>
  <c r="BS105" i="4"/>
  <c r="BM105" i="4"/>
  <c r="AL105" i="4"/>
  <c r="BT105" i="4"/>
  <c r="N117" i="22"/>
  <c r="D117" i="32"/>
  <c r="J117" i="32"/>
  <c r="DK105" i="4"/>
  <c r="CQ105" i="4"/>
  <c r="P117" i="22"/>
  <c r="E117" i="32"/>
  <c r="C117" i="32"/>
  <c r="K117" i="32"/>
  <c r="Q117" i="22"/>
  <c r="F117" i="32"/>
  <c r="B117" i="32"/>
  <c r="FK106" i="4"/>
  <c r="DT106" i="4"/>
  <c r="DX106" i="4"/>
  <c r="DU106" i="4"/>
  <c r="DW106" i="4"/>
  <c r="I106" i="4"/>
  <c r="F106" i="4"/>
  <c r="H106" i="4"/>
  <c r="HD106" i="4"/>
  <c r="HG106" i="4"/>
  <c r="C106" i="4"/>
  <c r="G106" i="4"/>
  <c r="F118" i="21"/>
  <c r="L118" i="21"/>
  <c r="M118" i="21"/>
  <c r="K118" i="21"/>
  <c r="N118" i="21"/>
  <c r="O118" i="21"/>
  <c r="G118" i="21"/>
  <c r="E118" i="21"/>
  <c r="J118" i="21"/>
  <c r="H118" i="21"/>
  <c r="T118" i="32"/>
  <c r="W258" i="44"/>
  <c r="X258" i="44"/>
  <c r="AH258" i="44"/>
  <c r="GK106" i="4"/>
  <c r="U118" i="32"/>
  <c r="V118" i="32"/>
  <c r="I118" i="32"/>
  <c r="BJ106" i="4"/>
  <c r="K106" i="4"/>
  <c r="CC106" i="4"/>
  <c r="CD106" i="4"/>
  <c r="CE106" i="4"/>
  <c r="E106" i="4"/>
  <c r="X106" i="4"/>
  <c r="BS106" i="4"/>
  <c r="BM106" i="4"/>
  <c r="AL106" i="4"/>
  <c r="BT106" i="4"/>
  <c r="N118" i="22"/>
  <c r="D118" i="32"/>
  <c r="J118" i="32"/>
  <c r="DK106" i="4"/>
  <c r="CQ106" i="4"/>
  <c r="P118" i="22"/>
  <c r="E118" i="32"/>
  <c r="C118" i="32"/>
  <c r="K118" i="32"/>
  <c r="Q118" i="22"/>
  <c r="F118" i="32"/>
  <c r="B118" i="32"/>
  <c r="FK107" i="4"/>
  <c r="DT107" i="4"/>
  <c r="I107" i="4"/>
  <c r="X107" i="4"/>
  <c r="BT107" i="4"/>
  <c r="CQ107" i="4"/>
  <c r="F107" i="4"/>
  <c r="H107" i="4"/>
  <c r="HD107" i="4"/>
  <c r="HG107" i="4"/>
  <c r="HO107" i="4"/>
  <c r="HJ107" i="4"/>
  <c r="C107" i="4"/>
  <c r="G107" i="4"/>
  <c r="F119" i="21"/>
  <c r="L119" i="21"/>
  <c r="M119" i="21"/>
  <c r="K119" i="21"/>
  <c r="N119" i="21"/>
  <c r="HN107" i="4"/>
  <c r="O119" i="21"/>
  <c r="G119" i="21"/>
  <c r="E119" i="21"/>
  <c r="J119" i="21"/>
  <c r="H119" i="21"/>
  <c r="T119" i="32"/>
  <c r="FT107" i="4"/>
  <c r="GK107" i="4"/>
  <c r="U119" i="32"/>
  <c r="V119" i="32"/>
  <c r="I119" i="32"/>
  <c r="N119" i="22"/>
  <c r="D119" i="32"/>
  <c r="J119" i="32"/>
  <c r="P119" i="22"/>
  <c r="E119" i="32"/>
  <c r="C119" i="32"/>
  <c r="K119" i="32"/>
  <c r="Q119" i="22"/>
  <c r="F119" i="32"/>
  <c r="B119" i="32"/>
  <c r="FK108" i="4"/>
  <c r="DT108" i="4"/>
  <c r="I108" i="4"/>
  <c r="X108" i="4"/>
  <c r="BT108" i="4"/>
  <c r="CQ108" i="4"/>
  <c r="F108" i="4"/>
  <c r="H108" i="4"/>
  <c r="HD108" i="4"/>
  <c r="HG108" i="4"/>
  <c r="HO108" i="4"/>
  <c r="HJ108" i="4"/>
  <c r="C108" i="4"/>
  <c r="G108" i="4"/>
  <c r="F120" i="21"/>
  <c r="L120" i="21"/>
  <c r="M120" i="21"/>
  <c r="K120" i="21"/>
  <c r="N120" i="21"/>
  <c r="HN108" i="4"/>
  <c r="O120" i="21"/>
  <c r="G120" i="21"/>
  <c r="E120" i="21"/>
  <c r="J120" i="21"/>
  <c r="H120" i="21"/>
  <c r="T120" i="32"/>
  <c r="FT108" i="4"/>
  <c r="GK108" i="4"/>
  <c r="U120" i="32"/>
  <c r="V120" i="32"/>
  <c r="I120" i="32"/>
  <c r="N120" i="22"/>
  <c r="D120" i="32"/>
  <c r="J120" i="32"/>
  <c r="P120" i="22"/>
  <c r="E120" i="32"/>
  <c r="C120" i="32"/>
  <c r="K120" i="32"/>
  <c r="Q120" i="22"/>
  <c r="F120" i="32"/>
  <c r="B120" i="32"/>
  <c r="FK109" i="4"/>
  <c r="I109" i="4"/>
  <c r="F109" i="4"/>
  <c r="H109" i="4"/>
  <c r="G109" i="4"/>
  <c r="F121" i="21"/>
  <c r="L121" i="21"/>
  <c r="M121" i="21"/>
  <c r="K121" i="21"/>
  <c r="N121" i="21"/>
  <c r="HN109" i="4"/>
  <c r="O121" i="21"/>
  <c r="G121" i="21"/>
  <c r="E121" i="21"/>
  <c r="J121" i="21"/>
  <c r="H121" i="21"/>
  <c r="T121" i="32"/>
  <c r="FT109" i="4"/>
  <c r="GK109" i="4"/>
  <c r="U121" i="32"/>
  <c r="V121" i="32"/>
  <c r="I121" i="32"/>
  <c r="N121" i="22"/>
  <c r="D121" i="32"/>
  <c r="J121" i="32"/>
  <c r="P121" i="22"/>
  <c r="E121" i="32"/>
  <c r="C121" i="32"/>
  <c r="K121" i="32"/>
  <c r="Q121" i="22"/>
  <c r="F121" i="32"/>
  <c r="B121" i="32"/>
  <c r="FK110" i="4"/>
  <c r="I110" i="4"/>
  <c r="F110" i="4"/>
  <c r="H110" i="4"/>
  <c r="G110" i="4"/>
  <c r="F122" i="21"/>
  <c r="L122" i="21"/>
  <c r="M122" i="21"/>
  <c r="K122" i="21"/>
  <c r="N122" i="21"/>
  <c r="HN110" i="4"/>
  <c r="O122" i="21"/>
  <c r="G122" i="21"/>
  <c r="E122" i="21"/>
  <c r="J122" i="21"/>
  <c r="H122" i="21"/>
  <c r="T122" i="32"/>
  <c r="FT110" i="4"/>
  <c r="GK110" i="4"/>
  <c r="U122" i="32"/>
  <c r="V122" i="32"/>
  <c r="I122" i="32"/>
  <c r="N122" i="22"/>
  <c r="D122" i="32"/>
  <c r="J122" i="32"/>
  <c r="P122" i="22"/>
  <c r="E122" i="32"/>
  <c r="C122" i="32"/>
  <c r="K122" i="32"/>
  <c r="Q122" i="22"/>
  <c r="F122" i="32"/>
  <c r="B122" i="32"/>
  <c r="FK111" i="4"/>
  <c r="I111" i="4"/>
  <c r="F111" i="4"/>
  <c r="H111" i="4"/>
  <c r="G111" i="4"/>
  <c r="F123" i="21"/>
  <c r="L123" i="21"/>
  <c r="M123" i="21"/>
  <c r="K123" i="21"/>
  <c r="N123" i="21"/>
  <c r="HN111" i="4"/>
  <c r="O123" i="21"/>
  <c r="G123" i="21"/>
  <c r="E123" i="21"/>
  <c r="J123" i="21"/>
  <c r="H123" i="21"/>
  <c r="T123" i="32"/>
  <c r="FT111" i="4"/>
  <c r="GK111" i="4"/>
  <c r="U123" i="32"/>
  <c r="V123" i="32"/>
  <c r="I123" i="32"/>
  <c r="N123" i="22"/>
  <c r="D123" i="32"/>
  <c r="J123" i="32"/>
  <c r="P123" i="22"/>
  <c r="E123" i="32"/>
  <c r="C123" i="32"/>
  <c r="K123" i="32"/>
  <c r="Q123" i="22"/>
  <c r="F123" i="32"/>
  <c r="B123" i="32"/>
  <c r="FK112" i="4"/>
  <c r="I112" i="4"/>
  <c r="F112" i="4"/>
  <c r="H112" i="4"/>
  <c r="G112" i="4"/>
  <c r="F124" i="21"/>
  <c r="L124" i="21"/>
  <c r="M124" i="21"/>
  <c r="K124" i="21"/>
  <c r="N124" i="21"/>
  <c r="HN112" i="4"/>
  <c r="O124" i="21"/>
  <c r="G124" i="21"/>
  <c r="E124" i="21"/>
  <c r="J124" i="21"/>
  <c r="H124" i="21"/>
  <c r="T124" i="32"/>
  <c r="FT112" i="4"/>
  <c r="GK112" i="4"/>
  <c r="U124" i="32"/>
  <c r="V124" i="32"/>
  <c r="I124" i="32"/>
  <c r="N124" i="22"/>
  <c r="D124" i="32"/>
  <c r="J124" i="32"/>
  <c r="P124" i="22"/>
  <c r="E124" i="32"/>
  <c r="C124" i="32"/>
  <c r="K124" i="32"/>
  <c r="Q124" i="22"/>
  <c r="F124" i="32"/>
  <c r="B124" i="32"/>
  <c r="FK113" i="4"/>
  <c r="I113" i="4"/>
  <c r="F113" i="4"/>
  <c r="H113" i="4"/>
  <c r="G113" i="4"/>
  <c r="F125" i="21"/>
  <c r="L125" i="21"/>
  <c r="M125" i="21"/>
  <c r="K125" i="21"/>
  <c r="N125" i="21"/>
  <c r="HN113" i="4"/>
  <c r="O125" i="21"/>
  <c r="G125" i="21"/>
  <c r="E125" i="21"/>
  <c r="J125" i="21"/>
  <c r="H125" i="21"/>
  <c r="T125" i="32"/>
  <c r="FT113" i="4"/>
  <c r="GK113" i="4"/>
  <c r="U125" i="32"/>
  <c r="V125" i="32"/>
  <c r="I125" i="32"/>
  <c r="N125" i="22"/>
  <c r="D125" i="32"/>
  <c r="J125" i="32"/>
  <c r="P125" i="22"/>
  <c r="E125" i="32"/>
  <c r="C125" i="32"/>
  <c r="K125" i="32"/>
  <c r="Q125" i="22"/>
  <c r="F125" i="32"/>
  <c r="B125" i="32"/>
  <c r="FK114" i="4"/>
  <c r="I114" i="4"/>
  <c r="F114" i="4"/>
  <c r="H114" i="4"/>
  <c r="G114" i="4"/>
  <c r="F126" i="21"/>
  <c r="L126" i="21"/>
  <c r="M126" i="21"/>
  <c r="K126" i="21"/>
  <c r="N126" i="21"/>
  <c r="HN114" i="4"/>
  <c r="O126" i="21"/>
  <c r="G126" i="21"/>
  <c r="E126" i="21"/>
  <c r="J126" i="21"/>
  <c r="H126" i="21"/>
  <c r="T126" i="32"/>
  <c r="FT114" i="4"/>
  <c r="GK114" i="4"/>
  <c r="U126" i="32"/>
  <c r="V126" i="32"/>
  <c r="I126" i="32"/>
  <c r="N126" i="22"/>
  <c r="D126" i="32"/>
  <c r="J126" i="32"/>
  <c r="P126" i="22"/>
  <c r="E126" i="32"/>
  <c r="C126" i="32"/>
  <c r="K126" i="32"/>
  <c r="Q126" i="22"/>
  <c r="F126" i="32"/>
  <c r="B126" i="32"/>
  <c r="FK115" i="4"/>
  <c r="I115" i="4"/>
  <c r="F115" i="4"/>
  <c r="H115" i="4"/>
  <c r="G115" i="4"/>
  <c r="F127" i="21"/>
  <c r="L127" i="21"/>
  <c r="M127" i="21"/>
  <c r="K127" i="21"/>
  <c r="N127" i="21"/>
  <c r="HN115" i="4"/>
  <c r="O127" i="21"/>
  <c r="G127" i="21"/>
  <c r="E127" i="21"/>
  <c r="J127" i="21"/>
  <c r="H127" i="21"/>
  <c r="T127" i="32"/>
  <c r="FT115" i="4"/>
  <c r="GK115" i="4"/>
  <c r="U127" i="32"/>
  <c r="V127" i="32"/>
  <c r="I127" i="32"/>
  <c r="N127" i="22"/>
  <c r="D127" i="32"/>
  <c r="J127" i="32"/>
  <c r="P127" i="22"/>
  <c r="E127" i="32"/>
  <c r="C127" i="32"/>
  <c r="K127" i="32"/>
  <c r="Q127" i="22"/>
  <c r="F127" i="32"/>
  <c r="B127" i="32"/>
  <c r="FK116" i="4"/>
  <c r="I116" i="4"/>
  <c r="F116" i="4"/>
  <c r="H116" i="4"/>
  <c r="G116" i="4"/>
  <c r="F128" i="21"/>
  <c r="L128" i="21"/>
  <c r="M128" i="21"/>
  <c r="K128" i="21"/>
  <c r="N128" i="21"/>
  <c r="HN116" i="4"/>
  <c r="O128" i="21"/>
  <c r="G128" i="21"/>
  <c r="E128" i="21"/>
  <c r="J128" i="21"/>
  <c r="H128" i="21"/>
  <c r="T128" i="32"/>
  <c r="FT116" i="4"/>
  <c r="GK116" i="4"/>
  <c r="U128" i="32"/>
  <c r="V128" i="32"/>
  <c r="I128" i="32"/>
  <c r="N128" i="22"/>
  <c r="D128" i="32"/>
  <c r="J128" i="32"/>
  <c r="P128" i="22"/>
  <c r="E128" i="32"/>
  <c r="C128" i="32"/>
  <c r="K128" i="32"/>
  <c r="Q128" i="22"/>
  <c r="F128" i="32"/>
  <c r="B128" i="32"/>
  <c r="FK117" i="4"/>
  <c r="I117" i="4"/>
  <c r="F117" i="4"/>
  <c r="H117" i="4"/>
  <c r="G117" i="4"/>
  <c r="F129" i="21"/>
  <c r="L129" i="21"/>
  <c r="M129" i="21"/>
  <c r="K129" i="21"/>
  <c r="N129" i="21"/>
  <c r="HN117" i="4"/>
  <c r="O129" i="21"/>
  <c r="G129" i="21"/>
  <c r="E129" i="21"/>
  <c r="J129" i="21"/>
  <c r="H129" i="21"/>
  <c r="T129" i="32"/>
  <c r="FT117" i="4"/>
  <c r="GK117" i="4"/>
  <c r="U129" i="32"/>
  <c r="V129" i="32"/>
  <c r="I129" i="32"/>
  <c r="N129" i="22"/>
  <c r="D129" i="32"/>
  <c r="J129" i="32"/>
  <c r="P129" i="22"/>
  <c r="E129" i="32"/>
  <c r="C129" i="32"/>
  <c r="K129" i="32"/>
  <c r="Q129" i="22"/>
  <c r="F129" i="32"/>
  <c r="B129" i="32"/>
  <c r="FK118" i="4"/>
  <c r="I118" i="4"/>
  <c r="F118" i="4"/>
  <c r="H118" i="4"/>
  <c r="G118" i="4"/>
  <c r="F130" i="21"/>
  <c r="L130" i="21"/>
  <c r="M130" i="21"/>
  <c r="K130" i="21"/>
  <c r="N130" i="21"/>
  <c r="HN118" i="4"/>
  <c r="O130" i="21"/>
  <c r="G130" i="21"/>
  <c r="E130" i="21"/>
  <c r="J130" i="21"/>
  <c r="H130" i="21"/>
  <c r="T130" i="32"/>
  <c r="FT118" i="4"/>
  <c r="GK118" i="4"/>
  <c r="U130" i="32"/>
  <c r="V130" i="32"/>
  <c r="I130" i="32"/>
  <c r="N130" i="22"/>
  <c r="D130" i="32"/>
  <c r="J130" i="32"/>
  <c r="P130" i="22"/>
  <c r="E130" i="32"/>
  <c r="C130" i="32"/>
  <c r="K130" i="32"/>
  <c r="Q130" i="22"/>
  <c r="F130" i="32"/>
  <c r="B130" i="32"/>
  <c r="FK119" i="4"/>
  <c r="I119" i="4"/>
  <c r="F119" i="4"/>
  <c r="H119" i="4"/>
  <c r="G119" i="4"/>
  <c r="F131" i="21"/>
  <c r="L131" i="21"/>
  <c r="M131" i="21"/>
  <c r="K131" i="21"/>
  <c r="N131" i="21"/>
  <c r="HN119" i="4"/>
  <c r="O131" i="21"/>
  <c r="G131" i="21"/>
  <c r="E131" i="21"/>
  <c r="J131" i="21"/>
  <c r="H131" i="21"/>
  <c r="T131" i="32"/>
  <c r="FT119" i="4"/>
  <c r="GK119" i="4"/>
  <c r="U131" i="32"/>
  <c r="V131" i="32"/>
  <c r="I131" i="32"/>
  <c r="N131" i="22"/>
  <c r="D131" i="32"/>
  <c r="J131" i="32"/>
  <c r="P131" i="22"/>
  <c r="E131" i="32"/>
  <c r="C131" i="32"/>
  <c r="K131" i="32"/>
  <c r="Q131" i="22"/>
  <c r="F131" i="32"/>
  <c r="B131" i="32"/>
  <c r="FK120" i="4"/>
  <c r="I120" i="4"/>
  <c r="F120" i="4"/>
  <c r="H120" i="4"/>
  <c r="G120" i="4"/>
  <c r="F132" i="21"/>
  <c r="L132" i="21"/>
  <c r="M132" i="21"/>
  <c r="K132" i="21"/>
  <c r="N132" i="21"/>
  <c r="HN120" i="4"/>
  <c r="O132" i="21"/>
  <c r="G132" i="21"/>
  <c r="E132" i="21"/>
  <c r="J132" i="21"/>
  <c r="H132" i="21"/>
  <c r="T132" i="32"/>
  <c r="FT120" i="4"/>
  <c r="GK120" i="4"/>
  <c r="U132" i="32"/>
  <c r="V132" i="32"/>
  <c r="I132" i="32"/>
  <c r="N132" i="22"/>
  <c r="D132" i="32"/>
  <c r="J132" i="32"/>
  <c r="P132" i="22"/>
  <c r="E132" i="32"/>
  <c r="C132" i="32"/>
  <c r="K132" i="32"/>
  <c r="Q132" i="22"/>
  <c r="F132" i="32"/>
  <c r="B132" i="32"/>
  <c r="FK121" i="4"/>
  <c r="I121" i="4"/>
  <c r="F121" i="4"/>
  <c r="H121" i="4"/>
  <c r="G121" i="4"/>
  <c r="F133" i="21"/>
  <c r="L133" i="21"/>
  <c r="M133" i="21"/>
  <c r="K133" i="21"/>
  <c r="N133" i="21"/>
  <c r="HN121" i="4"/>
  <c r="O133" i="21"/>
  <c r="G133" i="21"/>
  <c r="E133" i="21"/>
  <c r="J133" i="21"/>
  <c r="H133" i="21"/>
  <c r="T133" i="32"/>
  <c r="FT121" i="4"/>
  <c r="GK121" i="4"/>
  <c r="U133" i="32"/>
  <c r="V133" i="32"/>
  <c r="I133" i="32"/>
  <c r="N133" i="22"/>
  <c r="D133" i="32"/>
  <c r="J133" i="32"/>
  <c r="P133" i="22"/>
  <c r="E133" i="32"/>
  <c r="C133" i="32"/>
  <c r="K133" i="32"/>
  <c r="Q133" i="22"/>
  <c r="F133" i="32"/>
  <c r="B133" i="32"/>
  <c r="FK122" i="4"/>
  <c r="DT122" i="4"/>
  <c r="I122" i="4"/>
  <c r="F122" i="4"/>
  <c r="H122" i="4"/>
  <c r="G122" i="4"/>
  <c r="F134" i="21"/>
  <c r="L134" i="21"/>
  <c r="M134" i="21"/>
  <c r="K134" i="21"/>
  <c r="N134" i="21"/>
  <c r="HN122" i="4"/>
  <c r="O134" i="21"/>
  <c r="G134" i="21"/>
  <c r="E134" i="21"/>
  <c r="J134" i="21"/>
  <c r="H134" i="21"/>
  <c r="T134" i="32"/>
  <c r="FT122" i="4"/>
  <c r="GK122" i="4"/>
  <c r="U134" i="32"/>
  <c r="V134" i="32"/>
  <c r="I134" i="32"/>
  <c r="N134" i="22"/>
  <c r="D134" i="32"/>
  <c r="J134" i="32"/>
  <c r="P134" i="22"/>
  <c r="E134" i="32"/>
  <c r="C134" i="32"/>
  <c r="K134" i="32"/>
  <c r="Q134" i="22"/>
  <c r="F134" i="32"/>
  <c r="B134" i="32"/>
  <c r="FK123" i="4"/>
  <c r="DT123" i="4"/>
  <c r="I123" i="4"/>
  <c r="F123" i="4"/>
  <c r="H123" i="4"/>
  <c r="G123" i="4"/>
  <c r="F135" i="21"/>
  <c r="L135" i="21"/>
  <c r="M135" i="21"/>
  <c r="K135" i="21"/>
  <c r="N135" i="21"/>
  <c r="HN123" i="4"/>
  <c r="O135" i="21"/>
  <c r="G135" i="21"/>
  <c r="E135" i="21"/>
  <c r="J135" i="21"/>
  <c r="H135" i="21"/>
  <c r="T135" i="32"/>
  <c r="FT123" i="4"/>
  <c r="GK123" i="4"/>
  <c r="U135" i="32"/>
  <c r="V135" i="32"/>
  <c r="I135" i="32"/>
  <c r="N135" i="22"/>
  <c r="D135" i="32"/>
  <c r="J135" i="32"/>
  <c r="P135" i="22"/>
  <c r="E135" i="32"/>
  <c r="C135" i="32"/>
  <c r="K135" i="32"/>
  <c r="Q135" i="22"/>
  <c r="F135" i="32"/>
  <c r="B135" i="32"/>
  <c r="FK124" i="4"/>
  <c r="DT124" i="4"/>
  <c r="I124" i="4"/>
  <c r="F124" i="4"/>
  <c r="H124" i="4"/>
  <c r="G124" i="4"/>
  <c r="F136" i="21"/>
  <c r="L136" i="21"/>
  <c r="M136" i="21"/>
  <c r="K136" i="21"/>
  <c r="N136" i="21"/>
  <c r="HN124" i="4"/>
  <c r="O136" i="21"/>
  <c r="G136" i="21"/>
  <c r="E136" i="21"/>
  <c r="J136" i="21"/>
  <c r="H136" i="21"/>
  <c r="T136" i="32"/>
  <c r="FT124" i="4"/>
  <c r="GK124" i="4"/>
  <c r="U136" i="32"/>
  <c r="V136" i="32"/>
  <c r="I136" i="32"/>
  <c r="N136" i="22"/>
  <c r="D136" i="32"/>
  <c r="J136" i="32"/>
  <c r="P136" i="22"/>
  <c r="E136" i="32"/>
  <c r="C136" i="32"/>
  <c r="K136" i="32"/>
  <c r="Q136" i="22"/>
  <c r="F136" i="32"/>
  <c r="B136" i="32"/>
  <c r="FK125" i="4"/>
  <c r="DT125" i="4"/>
  <c r="I125" i="4"/>
  <c r="F125" i="4"/>
  <c r="H125" i="4"/>
  <c r="G125" i="4"/>
  <c r="F137" i="21"/>
  <c r="L137" i="21"/>
  <c r="M137" i="21"/>
  <c r="K137" i="21"/>
  <c r="N137" i="21"/>
  <c r="HN125" i="4"/>
  <c r="O137" i="21"/>
  <c r="G137" i="21"/>
  <c r="E137" i="21"/>
  <c r="J137" i="21"/>
  <c r="H137" i="21"/>
  <c r="T137" i="32"/>
  <c r="FT125" i="4"/>
  <c r="GK125" i="4"/>
  <c r="U137" i="32"/>
  <c r="V137" i="32"/>
  <c r="I137" i="32"/>
  <c r="N137" i="22"/>
  <c r="D137" i="32"/>
  <c r="J137" i="32"/>
  <c r="P137" i="22"/>
  <c r="E137" i="32"/>
  <c r="C137" i="32"/>
  <c r="K137" i="32"/>
  <c r="Q137" i="22"/>
  <c r="F137" i="32"/>
  <c r="B137" i="32"/>
  <c r="FK126" i="4"/>
  <c r="DT126" i="4"/>
  <c r="I126" i="4"/>
  <c r="F126" i="4"/>
  <c r="H126" i="4"/>
  <c r="G126" i="4"/>
  <c r="F138" i="21"/>
  <c r="L138" i="21"/>
  <c r="M138" i="21"/>
  <c r="K138" i="21"/>
  <c r="N138" i="21"/>
  <c r="HN126" i="4"/>
  <c r="O138" i="21"/>
  <c r="G138" i="21"/>
  <c r="E138" i="21"/>
  <c r="J138" i="21"/>
  <c r="H138" i="21"/>
  <c r="T138" i="32"/>
  <c r="FT126" i="4"/>
  <c r="GK126" i="4"/>
  <c r="U138" i="32"/>
  <c r="V138" i="32"/>
  <c r="I138" i="32"/>
  <c r="N138" i="22"/>
  <c r="D138" i="32"/>
  <c r="J138" i="32"/>
  <c r="P138" i="22"/>
  <c r="E138" i="32"/>
  <c r="C138" i="32"/>
  <c r="K138" i="32"/>
  <c r="Q138" i="22"/>
  <c r="F138" i="32"/>
  <c r="B138" i="32"/>
  <c r="FK127" i="4"/>
  <c r="DT127" i="4"/>
  <c r="I127" i="4"/>
  <c r="F127" i="4"/>
  <c r="H127" i="4"/>
  <c r="G127" i="4"/>
  <c r="F139" i="21"/>
  <c r="L139" i="21"/>
  <c r="M139" i="21"/>
  <c r="K139" i="21"/>
  <c r="N139" i="21"/>
  <c r="HN127" i="4"/>
  <c r="O139" i="21"/>
  <c r="G139" i="21"/>
  <c r="E139" i="21"/>
  <c r="J139" i="21"/>
  <c r="H139" i="21"/>
  <c r="T139" i="32"/>
  <c r="FT127" i="4"/>
  <c r="GK127" i="4"/>
  <c r="U139" i="32"/>
  <c r="V139" i="32"/>
  <c r="I139" i="32"/>
  <c r="N139" i="22"/>
  <c r="D139" i="32"/>
  <c r="J139" i="32"/>
  <c r="P139" i="22"/>
  <c r="E139" i="32"/>
  <c r="C139" i="32"/>
  <c r="K139" i="32"/>
  <c r="Q139" i="22"/>
  <c r="F139" i="32"/>
  <c r="B139" i="32"/>
  <c r="FK128" i="4"/>
  <c r="DT128" i="4"/>
  <c r="I128" i="4"/>
  <c r="F128" i="4"/>
  <c r="H128" i="4"/>
  <c r="G128" i="4"/>
  <c r="F140" i="21"/>
  <c r="L140" i="21"/>
  <c r="M140" i="21"/>
  <c r="K140" i="21"/>
  <c r="N140" i="21"/>
  <c r="HN128" i="4"/>
  <c r="O140" i="21"/>
  <c r="G140" i="21"/>
  <c r="E140" i="21"/>
  <c r="J140" i="21"/>
  <c r="H140" i="21"/>
  <c r="T140" i="32"/>
  <c r="FT128" i="4"/>
  <c r="GK128" i="4"/>
  <c r="U140" i="32"/>
  <c r="V140" i="32"/>
  <c r="I140" i="32"/>
  <c r="N140" i="22"/>
  <c r="D140" i="32"/>
  <c r="J140" i="32"/>
  <c r="P140" i="22"/>
  <c r="E140" i="32"/>
  <c r="C140" i="32"/>
  <c r="K140" i="32"/>
  <c r="Q140" i="22"/>
  <c r="F140" i="32"/>
  <c r="B140" i="32"/>
  <c r="FK169" i="4"/>
  <c r="DT169" i="4"/>
  <c r="I169" i="4"/>
  <c r="X169" i="4"/>
  <c r="F169" i="4"/>
  <c r="H169" i="4"/>
  <c r="G169" i="4"/>
  <c r="F181" i="21"/>
  <c r="L181" i="21"/>
  <c r="M181" i="21"/>
  <c r="K181" i="21"/>
  <c r="N181" i="21"/>
  <c r="HN169" i="4"/>
  <c r="O181" i="21"/>
  <c r="G181" i="21"/>
  <c r="E181" i="21"/>
  <c r="J181" i="21"/>
  <c r="H181" i="21"/>
  <c r="T181" i="32"/>
  <c r="FT169" i="4"/>
  <c r="GK169" i="4"/>
  <c r="U181" i="32"/>
  <c r="V181" i="32"/>
  <c r="I181" i="32"/>
  <c r="N181" i="22"/>
  <c r="D181" i="32"/>
  <c r="J181" i="32"/>
  <c r="P181" i="22"/>
  <c r="E181" i="32"/>
  <c r="C181" i="32"/>
  <c r="K181" i="32"/>
  <c r="Q181" i="22"/>
  <c r="F181" i="32"/>
  <c r="B181" i="32"/>
  <c r="DX18" i="4"/>
  <c r="EG18" i="4"/>
  <c r="DW18" i="4"/>
  <c r="CI18" i="4"/>
  <c r="F18" i="4"/>
  <c r="HG18" i="4"/>
  <c r="BJ18" i="4"/>
  <c r="CB28" i="4"/>
  <c r="S28" i="4"/>
  <c r="S18" i="4"/>
  <c r="HD18" i="4"/>
  <c r="C18" i="4"/>
  <c r="CB18" i="4"/>
  <c r="L18" i="4"/>
  <c r="K18" i="4"/>
  <c r="ER18" i="4"/>
  <c r="EQ18" i="4"/>
  <c r="DQ18" i="4"/>
  <c r="DT18" i="4"/>
  <c r="EM18" i="4"/>
  <c r="EI18" i="4"/>
  <c r="DU18" i="4"/>
  <c r="I18" i="4"/>
  <c r="H18" i="4"/>
  <c r="G18" i="4"/>
  <c r="F30" i="21"/>
  <c r="L30" i="21"/>
  <c r="M30" i="21"/>
  <c r="K30" i="21"/>
  <c r="N30" i="21"/>
  <c r="O30" i="21"/>
  <c r="G30" i="21"/>
  <c r="E30" i="21"/>
  <c r="J30" i="21"/>
  <c r="H30" i="21"/>
  <c r="G30" i="32"/>
  <c r="DY18" i="4"/>
  <c r="EC18" i="4"/>
  <c r="EE18" i="4"/>
  <c r="GP18" i="4"/>
  <c r="K30" i="22"/>
  <c r="W171" i="44"/>
  <c r="X171" i="44"/>
  <c r="AH171" i="44"/>
  <c r="GK18" i="4"/>
  <c r="GU18" i="4"/>
  <c r="L30" i="32"/>
  <c r="K30" i="32"/>
  <c r="H30" i="32"/>
  <c r="CC18" i="4"/>
  <c r="CD18" i="4"/>
  <c r="CE18" i="4"/>
  <c r="E18" i="4"/>
  <c r="X18" i="4"/>
  <c r="DJ18" i="4"/>
  <c r="AU18" i="4"/>
  <c r="AO18" i="4"/>
  <c r="BM18" i="4"/>
  <c r="AL18" i="4"/>
  <c r="BT18" i="4"/>
  <c r="N30" i="22"/>
  <c r="DK18" i="4"/>
  <c r="CQ18" i="4"/>
  <c r="P30" i="22"/>
  <c r="M30" i="22"/>
  <c r="C30" i="32"/>
  <c r="Q30" i="22"/>
  <c r="F30" i="32"/>
  <c r="B30" i="32"/>
  <c r="DX19" i="4"/>
  <c r="EG19" i="4"/>
  <c r="DW19" i="4"/>
  <c r="CI19" i="4"/>
  <c r="F19" i="4"/>
  <c r="HG19" i="4"/>
  <c r="BJ19" i="4"/>
  <c r="S19" i="4"/>
  <c r="HD19" i="4"/>
  <c r="C19" i="4"/>
  <c r="CB19" i="4"/>
  <c r="L19" i="4"/>
  <c r="K19" i="4"/>
  <c r="ER19" i="4"/>
  <c r="EQ19" i="4"/>
  <c r="DQ19" i="4"/>
  <c r="DT19" i="4"/>
  <c r="EM19" i="4"/>
  <c r="EI19" i="4"/>
  <c r="DU19" i="4"/>
  <c r="I19" i="4"/>
  <c r="H19" i="4"/>
  <c r="G19" i="4"/>
  <c r="F31" i="21"/>
  <c r="L31" i="21"/>
  <c r="M31" i="21"/>
  <c r="K31" i="21"/>
  <c r="N31" i="21"/>
  <c r="O31" i="21"/>
  <c r="G31" i="21"/>
  <c r="E31" i="21"/>
  <c r="J31" i="21"/>
  <c r="H31" i="21"/>
  <c r="G31" i="32"/>
  <c r="DY19" i="4"/>
  <c r="EC19" i="4"/>
  <c r="EE19" i="4"/>
  <c r="GP19" i="4"/>
  <c r="K31" i="22"/>
  <c r="W172" i="44"/>
  <c r="X172" i="44"/>
  <c r="AH172" i="44"/>
  <c r="GK19" i="4"/>
  <c r="GU19" i="4"/>
  <c r="L31" i="32"/>
  <c r="K31" i="32"/>
  <c r="H31" i="32"/>
  <c r="CC19" i="4"/>
  <c r="CD19" i="4"/>
  <c r="CE19" i="4"/>
  <c r="E19" i="4"/>
  <c r="X19" i="4"/>
  <c r="DJ19" i="4"/>
  <c r="AU19" i="4"/>
  <c r="AO19" i="4"/>
  <c r="BM19" i="4"/>
  <c r="AL19" i="4"/>
  <c r="BT19" i="4"/>
  <c r="N31" i="22"/>
  <c r="DK19" i="4"/>
  <c r="CQ19" i="4"/>
  <c r="P31" i="22"/>
  <c r="M31" i="22"/>
  <c r="C31" i="32"/>
  <c r="Q31" i="22"/>
  <c r="F31" i="32"/>
  <c r="B31" i="32"/>
  <c r="DX20" i="4"/>
  <c r="EG20" i="4"/>
  <c r="DW20" i="4"/>
  <c r="CI20" i="4"/>
  <c r="F20" i="4"/>
  <c r="HG20" i="4"/>
  <c r="BJ20" i="4"/>
  <c r="S20" i="4"/>
  <c r="HD20" i="4"/>
  <c r="C20" i="4"/>
  <c r="CB20" i="4"/>
  <c r="L20" i="4"/>
  <c r="K20" i="4"/>
  <c r="ER20" i="4"/>
  <c r="EQ20" i="4"/>
  <c r="DQ20" i="4"/>
  <c r="DT20" i="4"/>
  <c r="EM20" i="4"/>
  <c r="EI20" i="4"/>
  <c r="DU20" i="4"/>
  <c r="I20" i="4"/>
  <c r="H20" i="4"/>
  <c r="G20" i="4"/>
  <c r="F32" i="21"/>
  <c r="L32" i="21"/>
  <c r="M32" i="21"/>
  <c r="K32" i="21"/>
  <c r="N32" i="21"/>
  <c r="O32" i="21"/>
  <c r="G32" i="21"/>
  <c r="E32" i="21"/>
  <c r="J32" i="21"/>
  <c r="H32" i="21"/>
  <c r="G32" i="32"/>
  <c r="DY20" i="4"/>
  <c r="EC20" i="4"/>
  <c r="EE20" i="4"/>
  <c r="GP20" i="4"/>
  <c r="K32" i="22"/>
  <c r="W173" i="44"/>
  <c r="X173" i="44"/>
  <c r="AH173" i="44"/>
  <c r="GK20" i="4"/>
  <c r="GU20" i="4"/>
  <c r="L32" i="32"/>
  <c r="K32" i="32"/>
  <c r="H32" i="32"/>
  <c r="CC20" i="4"/>
  <c r="CD20" i="4"/>
  <c r="CE20" i="4"/>
  <c r="E20" i="4"/>
  <c r="X20" i="4"/>
  <c r="DJ20" i="4"/>
  <c r="AU20" i="4"/>
  <c r="AO20" i="4"/>
  <c r="BM20" i="4"/>
  <c r="AL20" i="4"/>
  <c r="BT20" i="4"/>
  <c r="N32" i="22"/>
  <c r="DK20" i="4"/>
  <c r="CQ20" i="4"/>
  <c r="P32" i="22"/>
  <c r="M32" i="22"/>
  <c r="C32" i="32"/>
  <c r="Q32" i="22"/>
  <c r="F32" i="32"/>
  <c r="B32" i="32"/>
  <c r="DX21" i="4"/>
  <c r="EG21" i="4"/>
  <c r="DW21" i="4"/>
  <c r="CI21" i="4"/>
  <c r="F21" i="4"/>
  <c r="HG21" i="4"/>
  <c r="BJ21" i="4"/>
  <c r="S21" i="4"/>
  <c r="HD21" i="4"/>
  <c r="C21" i="4"/>
  <c r="CB21" i="4"/>
  <c r="L21" i="4"/>
  <c r="K21" i="4"/>
  <c r="ER21" i="4"/>
  <c r="EQ21" i="4"/>
  <c r="DQ21" i="4"/>
  <c r="DT21" i="4"/>
  <c r="EM21" i="4"/>
  <c r="EI21" i="4"/>
  <c r="DU21" i="4"/>
  <c r="I21" i="4"/>
  <c r="H21" i="4"/>
  <c r="G21" i="4"/>
  <c r="F33" i="21"/>
  <c r="L33" i="21"/>
  <c r="M33" i="21"/>
  <c r="K33" i="21"/>
  <c r="N33" i="21"/>
  <c r="O33" i="21"/>
  <c r="G33" i="21"/>
  <c r="E33" i="21"/>
  <c r="J33" i="21"/>
  <c r="H33" i="21"/>
  <c r="G33" i="32"/>
  <c r="DY21" i="4"/>
  <c r="EC21" i="4"/>
  <c r="EE21" i="4"/>
  <c r="GP21" i="4"/>
  <c r="K33" i="22"/>
  <c r="W174" i="44"/>
  <c r="X174" i="44"/>
  <c r="AH174" i="44"/>
  <c r="GK21" i="4"/>
  <c r="GU21" i="4"/>
  <c r="L33" i="32"/>
  <c r="K33" i="32"/>
  <c r="H33" i="32"/>
  <c r="CC21" i="4"/>
  <c r="CD21" i="4"/>
  <c r="CE21" i="4"/>
  <c r="E21" i="4"/>
  <c r="X21" i="4"/>
  <c r="DJ21" i="4"/>
  <c r="AU21" i="4"/>
  <c r="AO21" i="4"/>
  <c r="BM21" i="4"/>
  <c r="AL21" i="4"/>
  <c r="BT21" i="4"/>
  <c r="N33" i="22"/>
  <c r="DK21" i="4"/>
  <c r="CQ21" i="4"/>
  <c r="P33" i="22"/>
  <c r="M33" i="22"/>
  <c r="C33" i="32"/>
  <c r="Q33" i="22"/>
  <c r="F33" i="32"/>
  <c r="B33" i="32"/>
  <c r="DX22" i="4"/>
  <c r="EG22" i="4"/>
  <c r="DW22" i="4"/>
  <c r="CI22" i="4"/>
  <c r="F22" i="4"/>
  <c r="HG22" i="4"/>
  <c r="BJ22" i="4"/>
  <c r="S22" i="4"/>
  <c r="HD22" i="4"/>
  <c r="C22" i="4"/>
  <c r="CB22" i="4"/>
  <c r="L22" i="4"/>
  <c r="K22" i="4"/>
  <c r="ER22" i="4"/>
  <c r="EQ22" i="4"/>
  <c r="DQ22" i="4"/>
  <c r="DT22" i="4"/>
  <c r="EM22" i="4"/>
  <c r="EI22" i="4"/>
  <c r="DU22" i="4"/>
  <c r="I22" i="4"/>
  <c r="H22" i="4"/>
  <c r="G22" i="4"/>
  <c r="F34" i="21"/>
  <c r="L34" i="21"/>
  <c r="M34" i="21"/>
  <c r="K34" i="21"/>
  <c r="N34" i="21"/>
  <c r="O34" i="21"/>
  <c r="G34" i="21"/>
  <c r="E34" i="21"/>
  <c r="J34" i="21"/>
  <c r="H34" i="21"/>
  <c r="G34" i="32"/>
  <c r="DY22" i="4"/>
  <c r="EC22" i="4"/>
  <c r="EE22" i="4"/>
  <c r="GP22" i="4"/>
  <c r="K34" i="22"/>
  <c r="W175" i="44"/>
  <c r="X175" i="44"/>
  <c r="AH175" i="44"/>
  <c r="GK22" i="4"/>
  <c r="GU22" i="4"/>
  <c r="L34" i="32"/>
  <c r="K34" i="32"/>
  <c r="H34" i="32"/>
  <c r="CC22" i="4"/>
  <c r="CD22" i="4"/>
  <c r="CE22" i="4"/>
  <c r="E22" i="4"/>
  <c r="X22" i="4"/>
  <c r="DJ22" i="4"/>
  <c r="AU22" i="4"/>
  <c r="AO22" i="4"/>
  <c r="BM22" i="4"/>
  <c r="AL22" i="4"/>
  <c r="BT22" i="4"/>
  <c r="N34" i="22"/>
  <c r="DK22" i="4"/>
  <c r="CQ22" i="4"/>
  <c r="P34" i="22"/>
  <c r="M34" i="22"/>
  <c r="C34" i="32"/>
  <c r="Q34" i="22"/>
  <c r="F34" i="32"/>
  <c r="B34" i="32"/>
  <c r="DX23" i="4"/>
  <c r="EG23" i="4"/>
  <c r="DW23" i="4"/>
  <c r="CI23" i="4"/>
  <c r="F23" i="4"/>
  <c r="HG23" i="4"/>
  <c r="BJ23" i="4"/>
  <c r="S23" i="4"/>
  <c r="HD23" i="4"/>
  <c r="C23" i="4"/>
  <c r="CB23" i="4"/>
  <c r="L23" i="4"/>
  <c r="K23" i="4"/>
  <c r="ER23" i="4"/>
  <c r="EQ23" i="4"/>
  <c r="DQ23" i="4"/>
  <c r="DT23" i="4"/>
  <c r="EM23" i="4"/>
  <c r="EI23" i="4"/>
  <c r="DU23" i="4"/>
  <c r="I23" i="4"/>
  <c r="H23" i="4"/>
  <c r="G23" i="4"/>
  <c r="F35" i="21"/>
  <c r="L35" i="21"/>
  <c r="M35" i="21"/>
  <c r="K35" i="21"/>
  <c r="N35" i="21"/>
  <c r="O35" i="21"/>
  <c r="G35" i="21"/>
  <c r="E35" i="21"/>
  <c r="J35" i="21"/>
  <c r="H35" i="21"/>
  <c r="G35" i="32"/>
  <c r="DY23" i="4"/>
  <c r="EC23" i="4"/>
  <c r="EE23" i="4"/>
  <c r="GP23" i="4"/>
  <c r="K35" i="22"/>
  <c r="W176" i="44"/>
  <c r="X176" i="44"/>
  <c r="AH176" i="44"/>
  <c r="GK23" i="4"/>
  <c r="GU23" i="4"/>
  <c r="L35" i="32"/>
  <c r="K35" i="32"/>
  <c r="H35" i="32"/>
  <c r="CC23" i="4"/>
  <c r="CD23" i="4"/>
  <c r="CE23" i="4"/>
  <c r="E23" i="4"/>
  <c r="X23" i="4"/>
  <c r="DJ23" i="4"/>
  <c r="AU23" i="4"/>
  <c r="AO23" i="4"/>
  <c r="BM23" i="4"/>
  <c r="AL23" i="4"/>
  <c r="BT23" i="4"/>
  <c r="N35" i="22"/>
  <c r="DK23" i="4"/>
  <c r="CQ23" i="4"/>
  <c r="P35" i="22"/>
  <c r="M35" i="22"/>
  <c r="C35" i="32"/>
  <c r="Q35" i="22"/>
  <c r="F35" i="32"/>
  <c r="B35" i="32"/>
  <c r="DX24" i="4"/>
  <c r="EG24" i="4"/>
  <c r="DW24" i="4"/>
  <c r="CI24" i="4"/>
  <c r="F24" i="4"/>
  <c r="HG24" i="4"/>
  <c r="BJ24" i="4"/>
  <c r="S24" i="4"/>
  <c r="HD24" i="4"/>
  <c r="C24" i="4"/>
  <c r="CB24" i="4"/>
  <c r="L24" i="4"/>
  <c r="K24" i="4"/>
  <c r="ER24" i="4"/>
  <c r="EQ24" i="4"/>
  <c r="DQ24" i="4"/>
  <c r="DT24" i="4"/>
  <c r="EM24" i="4"/>
  <c r="EI24" i="4"/>
  <c r="DU24" i="4"/>
  <c r="I24" i="4"/>
  <c r="H24" i="4"/>
  <c r="G24" i="4"/>
  <c r="F36" i="21"/>
  <c r="L36" i="21"/>
  <c r="M36" i="21"/>
  <c r="K36" i="21"/>
  <c r="N36" i="21"/>
  <c r="O36" i="21"/>
  <c r="G36" i="21"/>
  <c r="E36" i="21"/>
  <c r="J36" i="21"/>
  <c r="H36" i="21"/>
  <c r="G36" i="32"/>
  <c r="DY24" i="4"/>
  <c r="EC24" i="4"/>
  <c r="EE24" i="4"/>
  <c r="GP24" i="4"/>
  <c r="K36" i="22"/>
  <c r="W177" i="44"/>
  <c r="X177" i="44"/>
  <c r="AH177" i="44"/>
  <c r="GK24" i="4"/>
  <c r="GU24" i="4"/>
  <c r="L36" i="32"/>
  <c r="K36" i="32"/>
  <c r="H36" i="32"/>
  <c r="CC24" i="4"/>
  <c r="CD24" i="4"/>
  <c r="CE24" i="4"/>
  <c r="E24" i="4"/>
  <c r="X24" i="4"/>
  <c r="DJ24" i="4"/>
  <c r="AU24" i="4"/>
  <c r="AO24" i="4"/>
  <c r="BM24" i="4"/>
  <c r="AL24" i="4"/>
  <c r="BT24" i="4"/>
  <c r="N36" i="22"/>
  <c r="DK24" i="4"/>
  <c r="CQ24" i="4"/>
  <c r="P36" i="22"/>
  <c r="M36" i="22"/>
  <c r="C36" i="32"/>
  <c r="Q36" i="22"/>
  <c r="F36" i="32"/>
  <c r="B36" i="32"/>
  <c r="DX25" i="4"/>
  <c r="EG25" i="4"/>
  <c r="DW25" i="4"/>
  <c r="CI25" i="4"/>
  <c r="F25" i="4"/>
  <c r="HG25" i="4"/>
  <c r="BJ25" i="4"/>
  <c r="S25" i="4"/>
  <c r="HD25" i="4"/>
  <c r="C25" i="4"/>
  <c r="CB25" i="4"/>
  <c r="L25" i="4"/>
  <c r="K25" i="4"/>
  <c r="ER25" i="4"/>
  <c r="EQ25" i="4"/>
  <c r="DQ25" i="4"/>
  <c r="DT25" i="4"/>
  <c r="EM25" i="4"/>
  <c r="EI25" i="4"/>
  <c r="DU25" i="4"/>
  <c r="I25" i="4"/>
  <c r="H25" i="4"/>
  <c r="G25" i="4"/>
  <c r="F37" i="21"/>
  <c r="L37" i="21"/>
  <c r="M37" i="21"/>
  <c r="K37" i="21"/>
  <c r="N37" i="21"/>
  <c r="O37" i="21"/>
  <c r="G37" i="21"/>
  <c r="E37" i="21"/>
  <c r="J37" i="21"/>
  <c r="H37" i="21"/>
  <c r="G37" i="32"/>
  <c r="DY25" i="4"/>
  <c r="EC25" i="4"/>
  <c r="EE25" i="4"/>
  <c r="GP25" i="4"/>
  <c r="K37" i="22"/>
  <c r="W178" i="44"/>
  <c r="X178" i="44"/>
  <c r="AH178" i="44"/>
  <c r="GK25" i="4"/>
  <c r="GU25" i="4"/>
  <c r="L37" i="32"/>
  <c r="K37" i="32"/>
  <c r="H37" i="32"/>
  <c r="CC25" i="4"/>
  <c r="CD25" i="4"/>
  <c r="CE25" i="4"/>
  <c r="E25" i="4"/>
  <c r="X25" i="4"/>
  <c r="DJ25" i="4"/>
  <c r="AU25" i="4"/>
  <c r="AO25" i="4"/>
  <c r="BM25" i="4"/>
  <c r="AL25" i="4"/>
  <c r="BT25" i="4"/>
  <c r="N37" i="22"/>
  <c r="DK25" i="4"/>
  <c r="CQ25" i="4"/>
  <c r="P37" i="22"/>
  <c r="M37" i="22"/>
  <c r="C37" i="32"/>
  <c r="Q37" i="22"/>
  <c r="F37" i="32"/>
  <c r="B37" i="32"/>
  <c r="DX26" i="4"/>
  <c r="EG26" i="4"/>
  <c r="DW26" i="4"/>
  <c r="CI26" i="4"/>
  <c r="F26" i="4"/>
  <c r="HG26" i="4"/>
  <c r="BJ26" i="4"/>
  <c r="S26" i="4"/>
  <c r="HD26" i="4"/>
  <c r="C26" i="4"/>
  <c r="CB26" i="4"/>
  <c r="L26" i="4"/>
  <c r="K26" i="4"/>
  <c r="ER26" i="4"/>
  <c r="EQ26" i="4"/>
  <c r="DQ26" i="4"/>
  <c r="DT26" i="4"/>
  <c r="EM26" i="4"/>
  <c r="EI26" i="4"/>
  <c r="DU26" i="4"/>
  <c r="I26" i="4"/>
  <c r="H26" i="4"/>
  <c r="G26" i="4"/>
  <c r="F38" i="21"/>
  <c r="L38" i="21"/>
  <c r="M38" i="21"/>
  <c r="K38" i="21"/>
  <c r="N38" i="21"/>
  <c r="O38" i="21"/>
  <c r="G38" i="21"/>
  <c r="E38" i="21"/>
  <c r="J38" i="21"/>
  <c r="H38" i="21"/>
  <c r="G38" i="32"/>
  <c r="DY26" i="4"/>
  <c r="EC26" i="4"/>
  <c r="EE26" i="4"/>
  <c r="GP26" i="4"/>
  <c r="K38" i="22"/>
  <c r="W179" i="44"/>
  <c r="X179" i="44"/>
  <c r="AH179" i="44"/>
  <c r="GK26" i="4"/>
  <c r="GU26" i="4"/>
  <c r="L38" i="32"/>
  <c r="K38" i="32"/>
  <c r="H38" i="32"/>
  <c r="CC26" i="4"/>
  <c r="CD26" i="4"/>
  <c r="CE26" i="4"/>
  <c r="E26" i="4"/>
  <c r="X26" i="4"/>
  <c r="DJ26" i="4"/>
  <c r="AU26" i="4"/>
  <c r="AO26" i="4"/>
  <c r="BM26" i="4"/>
  <c r="AL26" i="4"/>
  <c r="BT26" i="4"/>
  <c r="N38" i="22"/>
  <c r="DK26" i="4"/>
  <c r="CQ26" i="4"/>
  <c r="P38" i="22"/>
  <c r="M38" i="22"/>
  <c r="C38" i="32"/>
  <c r="Q38" i="22"/>
  <c r="F38" i="32"/>
  <c r="B38" i="32"/>
  <c r="DX27" i="4"/>
  <c r="EG27" i="4"/>
  <c r="DW27" i="4"/>
  <c r="CI27" i="4"/>
  <c r="F27" i="4"/>
  <c r="HG27" i="4"/>
  <c r="BJ27" i="4"/>
  <c r="S27" i="4"/>
  <c r="HD27" i="4"/>
  <c r="C27" i="4"/>
  <c r="CB27" i="4"/>
  <c r="L27" i="4"/>
  <c r="K27" i="4"/>
  <c r="ER27" i="4"/>
  <c r="EQ27" i="4"/>
  <c r="DQ27" i="4"/>
  <c r="DT27" i="4"/>
  <c r="EM27" i="4"/>
  <c r="EI27" i="4"/>
  <c r="DU27" i="4"/>
  <c r="I27" i="4"/>
  <c r="H27" i="4"/>
  <c r="G27" i="4"/>
  <c r="F39" i="21"/>
  <c r="L39" i="21"/>
  <c r="M39" i="21"/>
  <c r="K39" i="21"/>
  <c r="N39" i="21"/>
  <c r="O39" i="21"/>
  <c r="G39" i="21"/>
  <c r="E39" i="21"/>
  <c r="J39" i="21"/>
  <c r="H39" i="21"/>
  <c r="G39" i="32"/>
  <c r="DY27" i="4"/>
  <c r="EC27" i="4"/>
  <c r="EE27" i="4"/>
  <c r="GP27" i="4"/>
  <c r="K39" i="22"/>
  <c r="W180" i="44"/>
  <c r="X180" i="44"/>
  <c r="AH180" i="44"/>
  <c r="GK27" i="4"/>
  <c r="GU27" i="4"/>
  <c r="L39" i="32"/>
  <c r="K39" i="32"/>
  <c r="H39" i="32"/>
  <c r="CC27" i="4"/>
  <c r="CD27" i="4"/>
  <c r="CE27" i="4"/>
  <c r="E27" i="4"/>
  <c r="X27" i="4"/>
  <c r="DJ27" i="4"/>
  <c r="AU27" i="4"/>
  <c r="AO27" i="4"/>
  <c r="BM27" i="4"/>
  <c r="AL27" i="4"/>
  <c r="BT27" i="4"/>
  <c r="N39" i="22"/>
  <c r="DK27" i="4"/>
  <c r="CQ27" i="4"/>
  <c r="P39" i="22"/>
  <c r="M39" i="22"/>
  <c r="C39" i="32"/>
  <c r="Q39" i="22"/>
  <c r="F39" i="32"/>
  <c r="B39" i="32"/>
  <c r="DX13" i="4"/>
  <c r="EG13" i="4"/>
  <c r="DW13" i="4"/>
  <c r="CI13" i="4"/>
  <c r="F13" i="4"/>
  <c r="HG13" i="4"/>
  <c r="BJ13" i="4"/>
  <c r="S13" i="4"/>
  <c r="HD13" i="4"/>
  <c r="C13" i="4"/>
  <c r="CB13" i="4"/>
  <c r="L13" i="4"/>
  <c r="K13" i="4"/>
  <c r="ER13" i="4"/>
  <c r="EQ13" i="4"/>
  <c r="DQ13" i="4"/>
  <c r="DT13" i="4"/>
  <c r="EM13" i="4"/>
  <c r="EI13" i="4"/>
  <c r="DU13" i="4"/>
  <c r="I13" i="4"/>
  <c r="H13" i="4"/>
  <c r="G13" i="4"/>
  <c r="F25" i="21"/>
  <c r="L25" i="21"/>
  <c r="M25" i="21"/>
  <c r="K25" i="21"/>
  <c r="N25" i="21"/>
  <c r="O25" i="21"/>
  <c r="G25" i="21"/>
  <c r="E25" i="21"/>
  <c r="J25" i="21"/>
  <c r="H25" i="21"/>
  <c r="G25" i="32"/>
  <c r="DY13" i="4"/>
  <c r="EC13" i="4"/>
  <c r="EE13" i="4"/>
  <c r="GP13" i="4"/>
  <c r="K25" i="22"/>
  <c r="W166" i="44"/>
  <c r="X166" i="44"/>
  <c r="AH166" i="44"/>
  <c r="GK13" i="4"/>
  <c r="GU13" i="4"/>
  <c r="L25" i="32"/>
  <c r="K25" i="32"/>
  <c r="H25" i="32"/>
  <c r="CC13" i="4"/>
  <c r="CD13" i="4"/>
  <c r="CE13" i="4"/>
  <c r="E13" i="4"/>
  <c r="X13" i="4"/>
  <c r="DJ13" i="4"/>
  <c r="AU13" i="4"/>
  <c r="AO13" i="4"/>
  <c r="BM13" i="4"/>
  <c r="AL13" i="4"/>
  <c r="BT13" i="4"/>
  <c r="N25" i="22"/>
  <c r="DK13" i="4"/>
  <c r="CQ13" i="4"/>
  <c r="P25" i="22"/>
  <c r="M25" i="22"/>
  <c r="C25" i="32"/>
  <c r="Q25" i="22"/>
  <c r="F25" i="32"/>
  <c r="B25" i="32"/>
  <c r="DX14" i="4"/>
  <c r="EG14" i="4"/>
  <c r="DW14" i="4"/>
  <c r="CI14" i="4"/>
  <c r="F14" i="4"/>
  <c r="HG14" i="4"/>
  <c r="BJ14" i="4"/>
  <c r="S14" i="4"/>
  <c r="HD14" i="4"/>
  <c r="C14" i="4"/>
  <c r="CB14" i="4"/>
  <c r="L14" i="4"/>
  <c r="K14" i="4"/>
  <c r="ER14" i="4"/>
  <c r="EQ14" i="4"/>
  <c r="DQ14" i="4"/>
  <c r="DT14" i="4"/>
  <c r="EM14" i="4"/>
  <c r="EI14" i="4"/>
  <c r="DU14" i="4"/>
  <c r="I14" i="4"/>
  <c r="H14" i="4"/>
  <c r="G14" i="4"/>
  <c r="F26" i="21"/>
  <c r="L26" i="21"/>
  <c r="M26" i="21"/>
  <c r="K26" i="21"/>
  <c r="N26" i="21"/>
  <c r="O26" i="21"/>
  <c r="G26" i="21"/>
  <c r="E26" i="21"/>
  <c r="J26" i="21"/>
  <c r="H26" i="21"/>
  <c r="G26" i="32"/>
  <c r="DY14" i="4"/>
  <c r="EC14" i="4"/>
  <c r="EE14" i="4"/>
  <c r="GP14" i="4"/>
  <c r="K26" i="22"/>
  <c r="W167" i="44"/>
  <c r="X167" i="44"/>
  <c r="AH167" i="44"/>
  <c r="GK14" i="4"/>
  <c r="GU14" i="4"/>
  <c r="L26" i="32"/>
  <c r="K26" i="32"/>
  <c r="H26" i="32"/>
  <c r="CC14" i="4"/>
  <c r="CD14" i="4"/>
  <c r="CE14" i="4"/>
  <c r="E14" i="4"/>
  <c r="X14" i="4"/>
  <c r="DJ14" i="4"/>
  <c r="AU14" i="4"/>
  <c r="AO14" i="4"/>
  <c r="BM14" i="4"/>
  <c r="AL14" i="4"/>
  <c r="BT14" i="4"/>
  <c r="N26" i="22"/>
  <c r="DK14" i="4"/>
  <c r="CQ14" i="4"/>
  <c r="P26" i="22"/>
  <c r="M26" i="22"/>
  <c r="C26" i="32"/>
  <c r="Q26" i="22"/>
  <c r="F26" i="32"/>
  <c r="B26" i="32"/>
  <c r="DX15" i="4"/>
  <c r="EG15" i="4"/>
  <c r="DW15" i="4"/>
  <c r="CI15" i="4"/>
  <c r="F15" i="4"/>
  <c r="HG15" i="4"/>
  <c r="BJ15" i="4"/>
  <c r="S15" i="4"/>
  <c r="HD15" i="4"/>
  <c r="C15" i="4"/>
  <c r="CB15" i="4"/>
  <c r="L15" i="4"/>
  <c r="K15" i="4"/>
  <c r="ER15" i="4"/>
  <c r="EQ15" i="4"/>
  <c r="DQ15" i="4"/>
  <c r="DT15" i="4"/>
  <c r="EM15" i="4"/>
  <c r="EI15" i="4"/>
  <c r="DU15" i="4"/>
  <c r="I15" i="4"/>
  <c r="H15" i="4"/>
  <c r="G15" i="4"/>
  <c r="F27" i="21"/>
  <c r="L27" i="21"/>
  <c r="M27" i="21"/>
  <c r="K27" i="21"/>
  <c r="N27" i="21"/>
  <c r="O27" i="21"/>
  <c r="G27" i="21"/>
  <c r="E27" i="21"/>
  <c r="J27" i="21"/>
  <c r="H27" i="21"/>
  <c r="G27" i="32"/>
  <c r="DY15" i="4"/>
  <c r="EC15" i="4"/>
  <c r="EE15" i="4"/>
  <c r="GP15" i="4"/>
  <c r="K27" i="22"/>
  <c r="W168" i="44"/>
  <c r="X168" i="44"/>
  <c r="AH168" i="44"/>
  <c r="GK15" i="4"/>
  <c r="GU15" i="4"/>
  <c r="L27" i="32"/>
  <c r="K27" i="32"/>
  <c r="H27" i="32"/>
  <c r="CC15" i="4"/>
  <c r="CD15" i="4"/>
  <c r="CE15" i="4"/>
  <c r="E15" i="4"/>
  <c r="X15" i="4"/>
  <c r="DJ15" i="4"/>
  <c r="AU15" i="4"/>
  <c r="AO15" i="4"/>
  <c r="BM15" i="4"/>
  <c r="AL15" i="4"/>
  <c r="BT15" i="4"/>
  <c r="N27" i="22"/>
  <c r="DK15" i="4"/>
  <c r="CQ15" i="4"/>
  <c r="P27" i="22"/>
  <c r="M27" i="22"/>
  <c r="C27" i="32"/>
  <c r="Q27" i="22"/>
  <c r="F27" i="32"/>
  <c r="B27" i="32"/>
  <c r="DX16" i="4"/>
  <c r="EG16" i="4"/>
  <c r="DW16" i="4"/>
  <c r="CI16" i="4"/>
  <c r="F16" i="4"/>
  <c r="HG16" i="4"/>
  <c r="BJ16" i="4"/>
  <c r="S16" i="4"/>
  <c r="HD16" i="4"/>
  <c r="C16" i="4"/>
  <c r="CB16" i="4"/>
  <c r="L16" i="4"/>
  <c r="K16" i="4"/>
  <c r="ER16" i="4"/>
  <c r="EQ16" i="4"/>
  <c r="DQ16" i="4"/>
  <c r="DT16" i="4"/>
  <c r="EM16" i="4"/>
  <c r="EI16" i="4"/>
  <c r="DU16" i="4"/>
  <c r="I16" i="4"/>
  <c r="H16" i="4"/>
  <c r="G16" i="4"/>
  <c r="F28" i="21"/>
  <c r="L28" i="21"/>
  <c r="M28" i="21"/>
  <c r="K28" i="21"/>
  <c r="N28" i="21"/>
  <c r="O28" i="21"/>
  <c r="G28" i="21"/>
  <c r="E28" i="21"/>
  <c r="J28" i="21"/>
  <c r="H28" i="21"/>
  <c r="G28" i="32"/>
  <c r="DY16" i="4"/>
  <c r="EC16" i="4"/>
  <c r="EE16" i="4"/>
  <c r="GP16" i="4"/>
  <c r="K28" i="22"/>
  <c r="W169" i="44"/>
  <c r="X169" i="44"/>
  <c r="AH169" i="44"/>
  <c r="GK16" i="4"/>
  <c r="GU16" i="4"/>
  <c r="L28" i="32"/>
  <c r="K28" i="32"/>
  <c r="H28" i="32"/>
  <c r="CC16" i="4"/>
  <c r="CD16" i="4"/>
  <c r="CE16" i="4"/>
  <c r="E16" i="4"/>
  <c r="X16" i="4"/>
  <c r="DJ16" i="4"/>
  <c r="AU16" i="4"/>
  <c r="AO16" i="4"/>
  <c r="BM16" i="4"/>
  <c r="AL16" i="4"/>
  <c r="BT16" i="4"/>
  <c r="N28" i="22"/>
  <c r="DK16" i="4"/>
  <c r="CQ16" i="4"/>
  <c r="P28" i="22"/>
  <c r="M28" i="22"/>
  <c r="C28" i="32"/>
  <c r="Q28" i="22"/>
  <c r="F28" i="32"/>
  <c r="B28" i="32"/>
  <c r="DX17" i="4"/>
  <c r="EG17" i="4"/>
  <c r="DW17" i="4"/>
  <c r="CI17" i="4"/>
  <c r="F17" i="4"/>
  <c r="HG17" i="4"/>
  <c r="BJ17" i="4"/>
  <c r="S17" i="4"/>
  <c r="HD17" i="4"/>
  <c r="C17" i="4"/>
  <c r="CB17" i="4"/>
  <c r="L17" i="4"/>
  <c r="K17" i="4"/>
  <c r="ER17" i="4"/>
  <c r="EQ17" i="4"/>
  <c r="DQ17" i="4"/>
  <c r="DT17" i="4"/>
  <c r="EM17" i="4"/>
  <c r="EI17" i="4"/>
  <c r="DU17" i="4"/>
  <c r="I17" i="4"/>
  <c r="H17" i="4"/>
  <c r="G17" i="4"/>
  <c r="F29" i="21"/>
  <c r="L29" i="21"/>
  <c r="M29" i="21"/>
  <c r="K29" i="21"/>
  <c r="N29" i="21"/>
  <c r="O29" i="21"/>
  <c r="G29" i="21"/>
  <c r="E29" i="21"/>
  <c r="J29" i="21"/>
  <c r="H29" i="21"/>
  <c r="G29" i="32"/>
  <c r="DY17" i="4"/>
  <c r="EC17" i="4"/>
  <c r="EE17" i="4"/>
  <c r="GP17" i="4"/>
  <c r="K29" i="22"/>
  <c r="W170" i="44"/>
  <c r="X170" i="44"/>
  <c r="AH170" i="44"/>
  <c r="GK17" i="4"/>
  <c r="GU17" i="4"/>
  <c r="L29" i="32"/>
  <c r="K29" i="32"/>
  <c r="H29" i="32"/>
  <c r="CC17" i="4"/>
  <c r="CD17" i="4"/>
  <c r="CE17" i="4"/>
  <c r="E17" i="4"/>
  <c r="X17" i="4"/>
  <c r="DJ17" i="4"/>
  <c r="AU17" i="4"/>
  <c r="AO17" i="4"/>
  <c r="BM17" i="4"/>
  <c r="AL17" i="4"/>
  <c r="BT17" i="4"/>
  <c r="N29" i="22"/>
  <c r="DK17" i="4"/>
  <c r="CQ17" i="4"/>
  <c r="P29" i="22"/>
  <c r="M29" i="22"/>
  <c r="C29" i="32"/>
  <c r="Q29" i="22"/>
  <c r="F29" i="32"/>
  <c r="B29" i="32"/>
  <c r="L25" i="22"/>
  <c r="L24" i="22"/>
  <c r="B24" i="22"/>
  <c r="F24" i="21"/>
  <c r="BA151" i="44"/>
  <c r="BA152" i="44"/>
  <c r="BA153" i="44"/>
  <c r="BA154" i="44"/>
  <c r="BA155" i="44"/>
  <c r="BA156" i="44"/>
  <c r="BA157" i="44"/>
  <c r="BA158" i="44"/>
  <c r="BA159" i="44"/>
  <c r="BA160" i="44"/>
  <c r="BA161" i="44"/>
  <c r="BA162" i="44"/>
  <c r="BA163" i="44"/>
  <c r="BA164" i="44"/>
  <c r="AR13" i="4"/>
  <c r="W13" i="4"/>
  <c r="V13" i="4"/>
  <c r="T13" i="4"/>
  <c r="AJ13" i="4"/>
  <c r="AW13" i="4"/>
  <c r="CO13" i="4"/>
  <c r="CN13" i="4"/>
  <c r="CP13" i="4"/>
  <c r="CM13" i="4"/>
  <c r="CL13" i="4"/>
  <c r="DI13" i="4"/>
  <c r="DH13" i="4"/>
  <c r="D13" i="4"/>
  <c r="B13" i="4"/>
  <c r="B10" i="5"/>
  <c r="HU13" i="4"/>
  <c r="D10" i="5"/>
  <c r="D25" i="6"/>
  <c r="D24" i="6"/>
  <c r="AW223" i="44"/>
  <c r="AW222" i="44"/>
  <c r="AW221" i="44"/>
  <c r="AW220" i="44"/>
  <c r="AW219" i="44"/>
  <c r="AW218" i="44"/>
  <c r="AW217" i="44"/>
  <c r="AW216" i="44"/>
  <c r="AW215" i="44"/>
  <c r="AW214" i="44"/>
  <c r="AW213" i="44"/>
  <c r="AW212" i="44"/>
  <c r="AW211" i="44"/>
  <c r="AW210" i="44"/>
  <c r="AW209" i="44"/>
  <c r="AW208" i="44"/>
  <c r="AW207" i="44"/>
  <c r="AW206" i="44"/>
  <c r="AW205" i="44"/>
  <c r="AW204" i="44"/>
  <c r="AW203" i="44"/>
  <c r="AW202" i="44"/>
  <c r="AW201" i="44"/>
  <c r="AW200" i="44"/>
  <c r="AW199" i="44"/>
  <c r="AW198" i="44"/>
  <c r="AW197" i="44"/>
  <c r="AW196" i="44"/>
  <c r="AW195" i="44"/>
  <c r="AW194" i="44"/>
  <c r="AW193" i="44"/>
  <c r="AW192" i="44"/>
  <c r="AW191" i="44"/>
  <c r="AW190" i="44"/>
  <c r="AW189" i="44"/>
  <c r="AW188" i="44"/>
  <c r="AW187" i="44"/>
  <c r="AW186" i="44"/>
  <c r="AW185" i="44"/>
  <c r="AW184" i="44"/>
  <c r="AW183" i="44"/>
  <c r="AW182" i="44"/>
  <c r="AW181" i="44"/>
  <c r="AW180" i="44"/>
  <c r="AW179" i="44"/>
  <c r="AW178" i="44"/>
  <c r="AW177" i="44"/>
  <c r="AW176" i="44"/>
  <c r="AW175" i="44"/>
  <c r="AW174" i="44"/>
  <c r="AW173" i="44"/>
  <c r="AW172" i="44"/>
  <c r="AW171" i="44"/>
  <c r="AW170" i="44"/>
  <c r="AW169" i="44"/>
  <c r="AW168" i="44"/>
  <c r="AW167" i="44"/>
  <c r="AW166" i="44"/>
  <c r="AW165" i="44"/>
  <c r="AW164" i="44"/>
  <c r="AW163" i="44"/>
  <c r="AW162" i="44"/>
  <c r="AW161" i="44"/>
  <c r="AW160" i="44"/>
  <c r="AW159" i="44"/>
  <c r="AW158" i="44"/>
  <c r="AW157" i="44"/>
  <c r="AW156" i="44"/>
  <c r="AW155" i="44"/>
  <c r="AW154" i="44"/>
  <c r="AW153" i="44"/>
  <c r="AW152" i="44"/>
  <c r="AW151" i="44"/>
  <c r="P24" i="26"/>
  <c r="B24" i="6"/>
  <c r="B151" i="44"/>
  <c r="B166" i="44"/>
  <c r="B152" i="44"/>
  <c r="B153" i="44"/>
  <c r="B154" i="44"/>
  <c r="B155" i="44"/>
  <c r="B156" i="44"/>
  <c r="B157" i="44"/>
  <c r="B158" i="44"/>
  <c r="B159" i="44"/>
  <c r="B160" i="44"/>
  <c r="B161" i="44"/>
  <c r="B162" i="44"/>
  <c r="B163" i="44"/>
  <c r="B164" i="44"/>
  <c r="K24" i="21"/>
  <c r="N24" i="21"/>
  <c r="G24" i="21"/>
  <c r="E24" i="21"/>
  <c r="B24" i="32"/>
  <c r="W151" i="44"/>
  <c r="X151" i="44"/>
  <c r="Y151" i="44"/>
  <c r="Z151" i="44"/>
  <c r="AB151" i="44"/>
  <c r="AA151" i="44"/>
  <c r="AD151" i="44"/>
  <c r="W152" i="44"/>
  <c r="X152" i="44"/>
  <c r="Y152" i="44"/>
  <c r="Z152" i="44"/>
  <c r="AB152" i="44"/>
  <c r="AA152" i="44"/>
  <c r="AD152" i="44"/>
  <c r="W153" i="44"/>
  <c r="X153" i="44"/>
  <c r="Y153" i="44"/>
  <c r="Z153" i="44"/>
  <c r="AB153" i="44"/>
  <c r="AA153" i="44"/>
  <c r="AD153" i="44"/>
  <c r="W154" i="44"/>
  <c r="X154" i="44"/>
  <c r="Y154" i="44"/>
  <c r="Z154" i="44"/>
  <c r="AB154" i="44"/>
  <c r="AA154" i="44"/>
  <c r="AD154" i="44"/>
  <c r="W155" i="44"/>
  <c r="X155" i="44"/>
  <c r="Y155" i="44"/>
  <c r="Z155" i="44"/>
  <c r="AB155" i="44"/>
  <c r="AA155" i="44"/>
  <c r="AD155" i="44"/>
  <c r="W156" i="44"/>
  <c r="X156" i="44"/>
  <c r="Y156" i="44"/>
  <c r="Z156" i="44"/>
  <c r="AB156" i="44"/>
  <c r="AA156" i="44"/>
  <c r="AD156" i="44"/>
  <c r="W157" i="44"/>
  <c r="X157" i="44"/>
  <c r="Y157" i="44"/>
  <c r="Z157" i="44"/>
  <c r="AB157" i="44"/>
  <c r="AA157" i="44"/>
  <c r="AD157" i="44"/>
  <c r="W158" i="44"/>
  <c r="X158" i="44"/>
  <c r="Y158" i="44"/>
  <c r="Z158" i="44"/>
  <c r="AB158" i="44"/>
  <c r="AA158" i="44"/>
  <c r="AD158" i="44"/>
  <c r="W159" i="44"/>
  <c r="X159" i="44"/>
  <c r="Y159" i="44"/>
  <c r="Z159" i="44"/>
  <c r="AB159" i="44"/>
  <c r="AA159" i="44"/>
  <c r="AD159" i="44"/>
  <c r="W160" i="44"/>
  <c r="X160" i="44"/>
  <c r="Y160" i="44"/>
  <c r="Z160" i="44"/>
  <c r="AB160" i="44"/>
  <c r="AA160" i="44"/>
  <c r="AD160" i="44"/>
  <c r="W161" i="44"/>
  <c r="X161" i="44"/>
  <c r="Y161" i="44"/>
  <c r="Z161" i="44"/>
  <c r="AB161" i="44"/>
  <c r="AA161" i="44"/>
  <c r="AD161" i="44"/>
  <c r="W162" i="44"/>
  <c r="X162" i="44"/>
  <c r="Y162" i="44"/>
  <c r="Z162" i="44"/>
  <c r="AB162" i="44"/>
  <c r="AA162" i="44"/>
  <c r="AD162" i="44"/>
  <c r="W163" i="44"/>
  <c r="X163" i="44"/>
  <c r="Y163" i="44"/>
  <c r="Z163" i="44"/>
  <c r="AB163" i="44"/>
  <c r="AA163" i="44"/>
  <c r="AD163" i="44"/>
  <c r="W164" i="44"/>
  <c r="X164" i="44"/>
  <c r="Y164" i="44"/>
  <c r="Z164" i="44"/>
  <c r="AB164" i="44"/>
  <c r="AA164" i="44"/>
  <c r="AD164" i="44"/>
  <c r="W165" i="44"/>
  <c r="X165" i="44"/>
  <c r="B165" i="44"/>
  <c r="Y165" i="44"/>
  <c r="Z165" i="44"/>
  <c r="AB165" i="44"/>
  <c r="AA165" i="44"/>
  <c r="AD165" i="44"/>
  <c r="L24" i="32"/>
  <c r="F24" i="50"/>
  <c r="F24" i="22"/>
  <c r="F24" i="32"/>
  <c r="C24" i="32"/>
  <c r="M24" i="26"/>
  <c r="E24" i="50"/>
  <c r="G24" i="26"/>
  <c r="L23" i="22"/>
  <c r="B23" i="22"/>
  <c r="F23" i="21"/>
  <c r="BA141" i="44"/>
  <c r="BA142" i="44"/>
  <c r="BA143" i="44"/>
  <c r="BA144" i="44"/>
  <c r="BA145" i="44"/>
  <c r="BA146" i="44"/>
  <c r="BA147" i="44"/>
  <c r="BA148" i="44"/>
  <c r="BA149" i="44"/>
  <c r="BA150" i="44"/>
  <c r="D23" i="6"/>
  <c r="AW150" i="44"/>
  <c r="AW149" i="44"/>
  <c r="AW148" i="44"/>
  <c r="AW147" i="44"/>
  <c r="AW146" i="44"/>
  <c r="AW145" i="44"/>
  <c r="AW144" i="44"/>
  <c r="AW143" i="44"/>
  <c r="AW142" i="44"/>
  <c r="AW141" i="44"/>
  <c r="P23" i="26"/>
  <c r="B23" i="6"/>
  <c r="B141" i="44"/>
  <c r="B142" i="44"/>
  <c r="B143" i="44"/>
  <c r="B144" i="44"/>
  <c r="B145" i="44"/>
  <c r="B146" i="44"/>
  <c r="B147" i="44"/>
  <c r="B148" i="44"/>
  <c r="B149" i="44"/>
  <c r="B150" i="44"/>
  <c r="K23" i="21"/>
  <c r="N23" i="21"/>
  <c r="G23" i="21"/>
  <c r="E23" i="21"/>
  <c r="B23" i="32"/>
  <c r="M23" i="26"/>
  <c r="W141" i="44"/>
  <c r="X141" i="44"/>
  <c r="Y141" i="44"/>
  <c r="Z141" i="44"/>
  <c r="I147" i="44"/>
  <c r="I141" i="44"/>
  <c r="H141" i="44"/>
  <c r="I142" i="44"/>
  <c r="H142" i="44"/>
  <c r="AB141" i="44"/>
  <c r="AA141" i="44"/>
  <c r="AD141" i="44"/>
  <c r="W142" i="44"/>
  <c r="X142" i="44"/>
  <c r="Y142" i="44"/>
  <c r="Z142" i="44"/>
  <c r="I143" i="44"/>
  <c r="H143" i="44"/>
  <c r="AB142" i="44"/>
  <c r="AA142" i="44"/>
  <c r="AD142" i="44"/>
  <c r="W143" i="44"/>
  <c r="X143" i="44"/>
  <c r="Y143" i="44"/>
  <c r="Z143" i="44"/>
  <c r="I144" i="44"/>
  <c r="H144" i="44"/>
  <c r="AB143" i="44"/>
  <c r="AA143" i="44"/>
  <c r="AD143" i="44"/>
  <c r="W144" i="44"/>
  <c r="X144" i="44"/>
  <c r="Y144" i="44"/>
  <c r="Z144" i="44"/>
  <c r="I145" i="44"/>
  <c r="H145" i="44"/>
  <c r="AB144" i="44"/>
  <c r="AA144" i="44"/>
  <c r="AD144" i="44"/>
  <c r="W145" i="44"/>
  <c r="X145" i="44"/>
  <c r="Y145" i="44"/>
  <c r="Z145" i="44"/>
  <c r="I146" i="44"/>
  <c r="H146" i="44"/>
  <c r="AB145" i="44"/>
  <c r="AA145" i="44"/>
  <c r="AD145" i="44"/>
  <c r="W146" i="44"/>
  <c r="X146" i="44"/>
  <c r="Y146" i="44"/>
  <c r="Z146" i="44"/>
  <c r="AB146" i="44"/>
  <c r="AA146" i="44"/>
  <c r="AD146" i="44"/>
  <c r="W147" i="44"/>
  <c r="X147" i="44"/>
  <c r="Y147" i="44"/>
  <c r="Z147" i="44"/>
  <c r="AB147" i="44"/>
  <c r="AA147" i="44"/>
  <c r="AD147" i="44"/>
  <c r="W148" i="44"/>
  <c r="X148" i="44"/>
  <c r="Y148" i="44"/>
  <c r="Z148" i="44"/>
  <c r="AB148" i="44"/>
  <c r="AA148" i="44"/>
  <c r="AD148" i="44"/>
  <c r="W149" i="44"/>
  <c r="X149" i="44"/>
  <c r="Y149" i="44"/>
  <c r="Z149" i="44"/>
  <c r="AB149" i="44"/>
  <c r="AA149" i="44"/>
  <c r="AD149" i="44"/>
  <c r="W150" i="44"/>
  <c r="X150" i="44"/>
  <c r="Y150" i="44"/>
  <c r="Z150" i="44"/>
  <c r="AB150" i="44"/>
  <c r="AA150" i="44"/>
  <c r="AD150" i="44"/>
  <c r="L23" i="32"/>
  <c r="F23" i="50"/>
  <c r="F23" i="22"/>
  <c r="F23" i="32"/>
  <c r="E23" i="50"/>
  <c r="G23" i="26"/>
  <c r="L22" i="22"/>
  <c r="B22" i="22"/>
  <c r="F22" i="21"/>
  <c r="BA131" i="44"/>
  <c r="BA132" i="44"/>
  <c r="BA133" i="44"/>
  <c r="BA134" i="44"/>
  <c r="BA135" i="44"/>
  <c r="BA136" i="44"/>
  <c r="BA137" i="44"/>
  <c r="BA138" i="44"/>
  <c r="BA139" i="44"/>
  <c r="BA140" i="44"/>
  <c r="D22" i="6"/>
  <c r="AW140" i="44"/>
  <c r="AW139" i="44"/>
  <c r="AW138" i="44"/>
  <c r="AW137" i="44"/>
  <c r="AW136" i="44"/>
  <c r="AW135" i="44"/>
  <c r="AW134" i="44"/>
  <c r="AW133" i="44"/>
  <c r="AW132" i="44"/>
  <c r="AW131" i="44"/>
  <c r="P22" i="26"/>
  <c r="B22" i="6"/>
  <c r="B131" i="44"/>
  <c r="B132" i="44"/>
  <c r="B133" i="44"/>
  <c r="B134" i="44"/>
  <c r="B135" i="44"/>
  <c r="B136" i="44"/>
  <c r="B137" i="44"/>
  <c r="B138" i="44"/>
  <c r="B139" i="44"/>
  <c r="B140" i="44"/>
  <c r="K22" i="21"/>
  <c r="N22" i="21"/>
  <c r="G22" i="21"/>
  <c r="E22" i="21"/>
  <c r="B22" i="32"/>
  <c r="M22" i="26"/>
  <c r="W131" i="44"/>
  <c r="X131" i="44"/>
  <c r="Y131" i="44"/>
  <c r="Z131" i="44"/>
  <c r="I131" i="44"/>
  <c r="H131" i="44"/>
  <c r="I132" i="44"/>
  <c r="H132" i="44"/>
  <c r="AB131" i="44"/>
  <c r="AA131" i="44"/>
  <c r="AD131" i="44"/>
  <c r="W132" i="44"/>
  <c r="X132" i="44"/>
  <c r="Y132" i="44"/>
  <c r="Z132" i="44"/>
  <c r="I133" i="44"/>
  <c r="H133" i="44"/>
  <c r="AB132" i="44"/>
  <c r="AA132" i="44"/>
  <c r="AD132" i="44"/>
  <c r="W133" i="44"/>
  <c r="X133" i="44"/>
  <c r="Y133" i="44"/>
  <c r="Z133" i="44"/>
  <c r="I134" i="44"/>
  <c r="H134" i="44"/>
  <c r="AB133" i="44"/>
  <c r="AA133" i="44"/>
  <c r="AD133" i="44"/>
  <c r="W134" i="44"/>
  <c r="X134" i="44"/>
  <c r="Y134" i="44"/>
  <c r="Z134" i="44"/>
  <c r="I135" i="44"/>
  <c r="H135" i="44"/>
  <c r="AB134" i="44"/>
  <c r="AA134" i="44"/>
  <c r="AD134" i="44"/>
  <c r="W135" i="44"/>
  <c r="X135" i="44"/>
  <c r="Y135" i="44"/>
  <c r="Z135" i="44"/>
  <c r="I136" i="44"/>
  <c r="H136" i="44"/>
  <c r="AB135" i="44"/>
  <c r="AA135" i="44"/>
  <c r="AD135" i="44"/>
  <c r="W136" i="44"/>
  <c r="X136" i="44"/>
  <c r="Y136" i="44"/>
  <c r="Z136" i="44"/>
  <c r="I137" i="44"/>
  <c r="H137" i="44"/>
  <c r="AB136" i="44"/>
  <c r="AA136" i="44"/>
  <c r="AD136" i="44"/>
  <c r="W137" i="44"/>
  <c r="X137" i="44"/>
  <c r="Y137" i="44"/>
  <c r="Z137" i="44"/>
  <c r="I138" i="44"/>
  <c r="H138" i="44"/>
  <c r="AB137" i="44"/>
  <c r="AA137" i="44"/>
  <c r="AD137" i="44"/>
  <c r="W138" i="44"/>
  <c r="X138" i="44"/>
  <c r="Y138" i="44"/>
  <c r="Z138" i="44"/>
  <c r="I139" i="44"/>
  <c r="H139" i="44"/>
  <c r="AB138" i="44"/>
  <c r="AA138" i="44"/>
  <c r="AD138" i="44"/>
  <c r="W139" i="44"/>
  <c r="X139" i="44"/>
  <c r="Y139" i="44"/>
  <c r="Z139" i="44"/>
  <c r="I140" i="44"/>
  <c r="H140" i="44"/>
  <c r="AB139" i="44"/>
  <c r="AA139" i="44"/>
  <c r="AD139" i="44"/>
  <c r="W140" i="44"/>
  <c r="X140" i="44"/>
  <c r="Y140" i="44"/>
  <c r="Z140" i="44"/>
  <c r="AB140" i="44"/>
  <c r="AA140" i="44"/>
  <c r="AD140" i="44"/>
  <c r="L22" i="32"/>
  <c r="F22" i="50"/>
  <c r="F22" i="22"/>
  <c r="F22" i="32"/>
  <c r="E22" i="50"/>
  <c r="G22" i="26"/>
  <c r="L21" i="22"/>
  <c r="B21" i="22"/>
  <c r="F21" i="21"/>
  <c r="D21" i="6"/>
  <c r="AW130" i="44"/>
  <c r="AW129" i="44"/>
  <c r="AW128" i="44"/>
  <c r="AW127" i="44"/>
  <c r="AW126" i="44"/>
  <c r="AW125" i="44"/>
  <c r="AW124" i="44"/>
  <c r="AW123" i="44"/>
  <c r="AW122" i="44"/>
  <c r="AW121" i="44"/>
  <c r="AW120" i="44"/>
  <c r="AW119" i="44"/>
  <c r="AW118" i="44"/>
  <c r="P21" i="26"/>
  <c r="B21" i="6"/>
  <c r="B121" i="44"/>
  <c r="B122" i="44"/>
  <c r="B123" i="44"/>
  <c r="B124" i="44"/>
  <c r="B125" i="44"/>
  <c r="B126" i="44"/>
  <c r="B127" i="44"/>
  <c r="B128" i="44"/>
  <c r="B129" i="44"/>
  <c r="B130" i="44"/>
  <c r="G21" i="21"/>
  <c r="E21" i="21"/>
  <c r="B21" i="32"/>
  <c r="M21" i="26"/>
  <c r="W121" i="44"/>
  <c r="X121" i="44"/>
  <c r="Y121" i="44"/>
  <c r="Z121" i="44"/>
  <c r="I121" i="44"/>
  <c r="H121" i="44"/>
  <c r="I122" i="44"/>
  <c r="H122" i="44"/>
  <c r="AB121" i="44"/>
  <c r="AA121" i="44"/>
  <c r="AD121" i="44"/>
  <c r="W122" i="44"/>
  <c r="X122" i="44"/>
  <c r="Y122" i="44"/>
  <c r="Z122" i="44"/>
  <c r="I123" i="44"/>
  <c r="H123" i="44"/>
  <c r="AB122" i="44"/>
  <c r="AA122" i="44"/>
  <c r="AD122" i="44"/>
  <c r="W123" i="44"/>
  <c r="X123" i="44"/>
  <c r="Y123" i="44"/>
  <c r="Z123" i="44"/>
  <c r="I124" i="44"/>
  <c r="H124" i="44"/>
  <c r="AB123" i="44"/>
  <c r="AA123" i="44"/>
  <c r="AD123" i="44"/>
  <c r="W124" i="44"/>
  <c r="X124" i="44"/>
  <c r="Y124" i="44"/>
  <c r="Z124" i="44"/>
  <c r="I125" i="44"/>
  <c r="H125" i="44"/>
  <c r="AB124" i="44"/>
  <c r="AA124" i="44"/>
  <c r="AD124" i="44"/>
  <c r="W125" i="44"/>
  <c r="X125" i="44"/>
  <c r="Y125" i="44"/>
  <c r="Z125" i="44"/>
  <c r="I126" i="44"/>
  <c r="H126" i="44"/>
  <c r="AB125" i="44"/>
  <c r="AA125" i="44"/>
  <c r="AD125" i="44"/>
  <c r="W126" i="44"/>
  <c r="X126" i="44"/>
  <c r="Y126" i="44"/>
  <c r="Z126" i="44"/>
  <c r="I127" i="44"/>
  <c r="H127" i="44"/>
  <c r="AB126" i="44"/>
  <c r="AA126" i="44"/>
  <c r="AD126" i="44"/>
  <c r="W127" i="44"/>
  <c r="X127" i="44"/>
  <c r="Y127" i="44"/>
  <c r="Z127" i="44"/>
  <c r="I128" i="44"/>
  <c r="H128" i="44"/>
  <c r="AB127" i="44"/>
  <c r="AA127" i="44"/>
  <c r="AD127" i="44"/>
  <c r="W128" i="44"/>
  <c r="X128" i="44"/>
  <c r="Y128" i="44"/>
  <c r="Z128" i="44"/>
  <c r="I129" i="44"/>
  <c r="H129" i="44"/>
  <c r="AB128" i="44"/>
  <c r="AA128" i="44"/>
  <c r="AD128" i="44"/>
  <c r="W129" i="44"/>
  <c r="X129" i="44"/>
  <c r="Y129" i="44"/>
  <c r="Z129" i="44"/>
  <c r="I130" i="44"/>
  <c r="H130" i="44"/>
  <c r="AB129" i="44"/>
  <c r="AA129" i="44"/>
  <c r="AD129" i="44"/>
  <c r="W130" i="44"/>
  <c r="X130" i="44"/>
  <c r="Y130" i="44"/>
  <c r="Z130" i="44"/>
  <c r="AB130" i="44"/>
  <c r="AA130" i="44"/>
  <c r="AD130" i="44"/>
  <c r="L21" i="32"/>
  <c r="F21" i="22"/>
  <c r="F21" i="32"/>
  <c r="E21" i="50"/>
  <c r="G21" i="26"/>
  <c r="H106" i="29"/>
  <c r="AR106" i="4"/>
  <c r="W106" i="4"/>
  <c r="V106" i="4"/>
  <c r="T106" i="4"/>
  <c r="AJ106" i="4"/>
  <c r="AU106" i="4"/>
  <c r="AW106" i="4"/>
  <c r="CO106" i="4"/>
  <c r="CN106" i="4"/>
  <c r="DJ106" i="4"/>
  <c r="CP106" i="4"/>
  <c r="CM106" i="4"/>
  <c r="CL106" i="4"/>
  <c r="DI106" i="4"/>
  <c r="DH106" i="4"/>
  <c r="D106" i="4"/>
  <c r="B106" i="4"/>
  <c r="I106" i="29"/>
  <c r="I147"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G10" i="45"/>
  <c r="I131" i="29"/>
  <c r="G11" i="45"/>
  <c r="I132" i="29"/>
  <c r="G12" i="45"/>
  <c r="I133" i="29"/>
  <c r="G13" i="45"/>
  <c r="I134" i="29"/>
  <c r="G14" i="45"/>
  <c r="I135" i="29"/>
  <c r="G15" i="45"/>
  <c r="I136" i="29"/>
  <c r="G16" i="45"/>
  <c r="I137" i="29"/>
  <c r="G17" i="45"/>
  <c r="I138" i="29"/>
  <c r="G18" i="45"/>
  <c r="I139" i="29"/>
  <c r="G19" i="45"/>
  <c r="I140" i="29"/>
  <c r="G20" i="45"/>
  <c r="I141" i="29"/>
  <c r="G21" i="45"/>
  <c r="I142" i="29"/>
  <c r="G22" i="45"/>
  <c r="I143" i="29"/>
  <c r="G23" i="45"/>
  <c r="I144" i="29"/>
  <c r="G24" i="45"/>
  <c r="I145" i="29"/>
  <c r="G25" i="45"/>
  <c r="I146" i="29"/>
  <c r="G26" i="45"/>
  <c r="G27" i="45"/>
  <c r="I148" i="29"/>
  <c r="G28" i="45"/>
  <c r="I149" i="29"/>
  <c r="G29" i="45"/>
  <c r="I150" i="29"/>
  <c r="G30" i="45"/>
  <c r="I151" i="29"/>
  <c r="G31" i="45"/>
  <c r="I152" i="29"/>
  <c r="G32" i="45"/>
  <c r="I153" i="29"/>
  <c r="G33" i="45"/>
  <c r="I154" i="29"/>
  <c r="G34" i="45"/>
  <c r="I155" i="29"/>
  <c r="G35" i="45"/>
  <c r="I156" i="29"/>
  <c r="G36" i="45"/>
  <c r="I157" i="29"/>
  <c r="G37" i="45"/>
  <c r="I158" i="29"/>
  <c r="G38" i="45"/>
  <c r="I159" i="29"/>
  <c r="G39" i="45"/>
  <c r="I160" i="29"/>
  <c r="G40" i="45"/>
  <c r="I161" i="29"/>
  <c r="G41" i="45"/>
  <c r="I162" i="29"/>
  <c r="G42" i="45"/>
  <c r="I163" i="29"/>
  <c r="G43" i="45"/>
  <c r="I164" i="29"/>
  <c r="G44" i="45"/>
  <c r="I165" i="29"/>
  <c r="G45" i="45"/>
  <c r="I166" i="29"/>
  <c r="G46" i="45"/>
  <c r="I167" i="29"/>
  <c r="G47" i="45"/>
  <c r="I168" i="29"/>
  <c r="G48" i="45"/>
  <c r="I169" i="29"/>
  <c r="G49" i="45"/>
  <c r="G9" i="45"/>
  <c r="L50" i="3"/>
  <c r="N50" i="3"/>
  <c r="K50" i="3"/>
  <c r="G166" i="39"/>
  <c r="L40" i="3"/>
  <c r="N40" i="3"/>
  <c r="K40" i="3"/>
  <c r="L41" i="3"/>
  <c r="N41" i="3"/>
  <c r="K41" i="3"/>
  <c r="L42" i="3"/>
  <c r="N42" i="3"/>
  <c r="K42" i="3"/>
  <c r="L43" i="3"/>
  <c r="N43" i="3"/>
  <c r="K43" i="3"/>
  <c r="L44" i="3"/>
  <c r="N44" i="3"/>
  <c r="K44" i="3"/>
  <c r="L45" i="3"/>
  <c r="N45" i="3"/>
  <c r="K45" i="3"/>
  <c r="L46" i="3"/>
  <c r="N46" i="3"/>
  <c r="K46" i="3"/>
  <c r="L47" i="3"/>
  <c r="N47" i="3"/>
  <c r="K47" i="3"/>
  <c r="L48" i="3"/>
  <c r="N48" i="3"/>
  <c r="K48" i="3"/>
  <c r="L49" i="3"/>
  <c r="N49" i="3"/>
  <c r="K49" i="3"/>
  <c r="G156" i="39"/>
  <c r="L30" i="3"/>
  <c r="N30" i="3"/>
  <c r="K30" i="3"/>
  <c r="L31" i="3"/>
  <c r="N31" i="3"/>
  <c r="K31" i="3"/>
  <c r="L32" i="3"/>
  <c r="N32" i="3"/>
  <c r="K32" i="3"/>
  <c r="L33" i="3"/>
  <c r="N33" i="3"/>
  <c r="K33" i="3"/>
  <c r="L34" i="3"/>
  <c r="N34" i="3"/>
  <c r="K34" i="3"/>
  <c r="L35" i="3"/>
  <c r="N35" i="3"/>
  <c r="K35" i="3"/>
  <c r="L36" i="3"/>
  <c r="N36" i="3"/>
  <c r="K36" i="3"/>
  <c r="L37" i="3"/>
  <c r="N37" i="3"/>
  <c r="K37" i="3"/>
  <c r="L38" i="3"/>
  <c r="N38" i="3"/>
  <c r="K38" i="3"/>
  <c r="L39" i="3"/>
  <c r="N39" i="3"/>
  <c r="K39" i="3"/>
  <c r="G146" i="39"/>
  <c r="BT132" i="29"/>
  <c r="BR132" i="29"/>
  <c r="BR133" i="29"/>
  <c r="BR134" i="29"/>
  <c r="BR135" i="29"/>
  <c r="BR136" i="29"/>
  <c r="BR137" i="29"/>
  <c r="BR138" i="29"/>
  <c r="BR139" i="29"/>
  <c r="BR140" i="29"/>
  <c r="K20" i="3"/>
  <c r="BR141" i="29"/>
  <c r="K21" i="3"/>
  <c r="BR142" i="29"/>
  <c r="K22" i="3"/>
  <c r="BR143" i="29"/>
  <c r="K23" i="3"/>
  <c r="BR144" i="29"/>
  <c r="K24" i="3"/>
  <c r="BR145" i="29"/>
  <c r="K25" i="3"/>
  <c r="BR146" i="29"/>
  <c r="K26" i="3"/>
  <c r="BR147" i="29"/>
  <c r="K27" i="3"/>
  <c r="L28" i="3"/>
  <c r="N28" i="3"/>
  <c r="K28" i="3"/>
  <c r="L29" i="3"/>
  <c r="N29" i="3"/>
  <c r="K29" i="3"/>
  <c r="G136" i="39"/>
  <c r="BT124" i="29"/>
  <c r="BR124" i="29"/>
  <c r="BR125" i="29"/>
  <c r="BR126" i="29"/>
  <c r="BR127" i="29"/>
  <c r="BR128" i="29"/>
  <c r="BR129" i="29"/>
  <c r="BR130" i="29"/>
  <c r="K10" i="3"/>
  <c r="BR131" i="29"/>
  <c r="K11" i="3"/>
  <c r="K12" i="3"/>
  <c r="K13" i="3"/>
  <c r="K14" i="3"/>
  <c r="K15" i="3"/>
  <c r="K16" i="3"/>
  <c r="K17" i="3"/>
  <c r="K18" i="3"/>
  <c r="K19" i="3"/>
  <c r="G126" i="39"/>
  <c r="FJ38" i="4"/>
  <c r="FI38" i="4"/>
  <c r="BR39" i="29"/>
  <c r="FJ39" i="4"/>
  <c r="FI39" i="4"/>
  <c r="BR40" i="29"/>
  <c r="FJ40" i="4"/>
  <c r="FI40" i="4"/>
  <c r="BR41" i="29"/>
  <c r="FJ41" i="4"/>
  <c r="FI41" i="4"/>
  <c r="BR42" i="29"/>
  <c r="FJ42" i="4"/>
  <c r="FI42" i="4"/>
  <c r="BR43" i="29"/>
  <c r="G18" i="33"/>
  <c r="AR43" i="4"/>
  <c r="W43" i="4"/>
  <c r="V43" i="4"/>
  <c r="T43" i="4"/>
  <c r="AJ43" i="4"/>
  <c r="AW43" i="4"/>
  <c r="CO43" i="4"/>
  <c r="CN43" i="4"/>
  <c r="CP43" i="4"/>
  <c r="CM43" i="4"/>
  <c r="CL43" i="4"/>
  <c r="DI43" i="4"/>
  <c r="DH43" i="4"/>
  <c r="D43" i="4"/>
  <c r="B43" i="4"/>
  <c r="B40" i="5"/>
  <c r="G37" i="33"/>
  <c r="AR48" i="4"/>
  <c r="W48" i="4"/>
  <c r="V48" i="4"/>
  <c r="T48" i="4"/>
  <c r="AJ48" i="4"/>
  <c r="AW48" i="4"/>
  <c r="CO48" i="4"/>
  <c r="CN48" i="4"/>
  <c r="DJ48" i="4"/>
  <c r="CP48" i="4"/>
  <c r="CM48" i="4"/>
  <c r="CL48" i="4"/>
  <c r="DI48" i="4"/>
  <c r="DH48" i="4"/>
  <c r="D48" i="4"/>
  <c r="B48" i="4"/>
  <c r="B45" i="5"/>
  <c r="B18" i="33"/>
  <c r="C18" i="33"/>
  <c r="C17" i="33"/>
  <c r="BS13" i="29"/>
  <c r="BG166" i="44"/>
  <c r="BF131" i="44"/>
  <c r="G22" i="39"/>
  <c r="C14" i="33"/>
  <c r="B14" i="33"/>
  <c r="I14" i="33"/>
  <c r="J14" i="33"/>
  <c r="H14" i="33"/>
  <c r="K14" i="33"/>
  <c r="K33" i="33"/>
  <c r="E21" i="26"/>
  <c r="H22" i="26"/>
  <c r="I22" i="26"/>
  <c r="F22" i="26"/>
  <c r="P27" i="26"/>
  <c r="B22" i="26"/>
  <c r="B21" i="26"/>
  <c r="C22" i="26"/>
  <c r="E22" i="26"/>
  <c r="I33" i="33"/>
  <c r="G21" i="50"/>
  <c r="H22" i="50"/>
  <c r="B22" i="50"/>
  <c r="B21" i="50"/>
  <c r="C22" i="50"/>
  <c r="G22" i="50"/>
  <c r="J22" i="50"/>
  <c r="I22" i="50"/>
  <c r="K22" i="26"/>
  <c r="B22" i="39"/>
  <c r="I22" i="39"/>
  <c r="BE132" i="44"/>
  <c r="BE133" i="44"/>
  <c r="BE134" i="44"/>
  <c r="BE135" i="44"/>
  <c r="BE136" i="44"/>
  <c r="BE137" i="44"/>
  <c r="BE138" i="44"/>
  <c r="BE139" i="44"/>
  <c r="BE140" i="44"/>
  <c r="BE141" i="44"/>
  <c r="BF141" i="44"/>
  <c r="G23" i="39"/>
  <c r="H23" i="26"/>
  <c r="I23" i="26"/>
  <c r="F23" i="26"/>
  <c r="B23" i="26"/>
  <c r="C23" i="26"/>
  <c r="E23" i="26"/>
  <c r="H23" i="50"/>
  <c r="B23" i="50"/>
  <c r="C23" i="50"/>
  <c r="G23" i="50"/>
  <c r="J23" i="50"/>
  <c r="I23" i="50"/>
  <c r="K23" i="26"/>
  <c r="B23" i="39"/>
  <c r="I23" i="39"/>
  <c r="BE142" i="44"/>
  <c r="BE143" i="44"/>
  <c r="BE144" i="44"/>
  <c r="BE145" i="44"/>
  <c r="BE146" i="44"/>
  <c r="BE147" i="44"/>
  <c r="BE148" i="44"/>
  <c r="BE149" i="44"/>
  <c r="BE150" i="44"/>
  <c r="BE151" i="44"/>
  <c r="BF151" i="44"/>
  <c r="G24" i="39"/>
  <c r="H24" i="26"/>
  <c r="I24" i="26"/>
  <c r="F24" i="26"/>
  <c r="B24" i="26"/>
  <c r="C24" i="26"/>
  <c r="E24" i="26"/>
  <c r="H24" i="50"/>
  <c r="B24" i="50"/>
  <c r="C24" i="50"/>
  <c r="G24" i="50"/>
  <c r="J24" i="50"/>
  <c r="I24" i="50"/>
  <c r="K24" i="26"/>
  <c r="B24" i="39"/>
  <c r="I24" i="39"/>
  <c r="AR23" i="4"/>
  <c r="W23" i="4"/>
  <c r="V23" i="4"/>
  <c r="T23" i="4"/>
  <c r="AJ23" i="4"/>
  <c r="AW23" i="4"/>
  <c r="CO23" i="4"/>
  <c r="CN23" i="4"/>
  <c r="CP23" i="4"/>
  <c r="CM23" i="4"/>
  <c r="CL23" i="4"/>
  <c r="DI23" i="4"/>
  <c r="DH23" i="4"/>
  <c r="D23" i="4"/>
  <c r="B23" i="4"/>
  <c r="B20" i="5"/>
  <c r="E20" i="42"/>
  <c r="H21" i="42"/>
  <c r="F35" i="22"/>
  <c r="F20" i="42"/>
  <c r="G21" i="42"/>
  <c r="AR24" i="4"/>
  <c r="W24" i="4"/>
  <c r="V24" i="4"/>
  <c r="T24" i="4"/>
  <c r="AJ24" i="4"/>
  <c r="AW24" i="4"/>
  <c r="CO24" i="4"/>
  <c r="CN24" i="4"/>
  <c r="CP24" i="4"/>
  <c r="CM24" i="4"/>
  <c r="CL24" i="4"/>
  <c r="DI24" i="4"/>
  <c r="DH24" i="4"/>
  <c r="D24" i="4"/>
  <c r="B24" i="4"/>
  <c r="B21" i="5"/>
  <c r="HU24" i="4"/>
  <c r="D21" i="5"/>
  <c r="B21" i="42"/>
  <c r="HU23" i="4"/>
  <c r="D20" i="5"/>
  <c r="B20" i="42"/>
  <c r="C21" i="42"/>
  <c r="E21" i="42"/>
  <c r="H22" i="42"/>
  <c r="F36" i="22"/>
  <c r="F21" i="42"/>
  <c r="G22" i="42"/>
  <c r="AR25" i="4"/>
  <c r="W25" i="4"/>
  <c r="V25" i="4"/>
  <c r="T25" i="4"/>
  <c r="AJ25" i="4"/>
  <c r="AW25" i="4"/>
  <c r="CO25" i="4"/>
  <c r="CN25" i="4"/>
  <c r="CP25" i="4"/>
  <c r="CM25" i="4"/>
  <c r="CL25" i="4"/>
  <c r="DI25" i="4"/>
  <c r="DH25" i="4"/>
  <c r="D25" i="4"/>
  <c r="B25" i="4"/>
  <c r="B22" i="5"/>
  <c r="HU25" i="4"/>
  <c r="D22" i="5"/>
  <c r="B22" i="42"/>
  <c r="C22" i="42"/>
  <c r="E22" i="42"/>
  <c r="H23" i="42"/>
  <c r="F37" i="22"/>
  <c r="F22" i="42"/>
  <c r="G23" i="42"/>
  <c r="AR26" i="4"/>
  <c r="W26" i="4"/>
  <c r="V26" i="4"/>
  <c r="T26" i="4"/>
  <c r="AJ26" i="4"/>
  <c r="AW26" i="4"/>
  <c r="CO26" i="4"/>
  <c r="CN26" i="4"/>
  <c r="CP26" i="4"/>
  <c r="CM26" i="4"/>
  <c r="CL26" i="4"/>
  <c r="DI26" i="4"/>
  <c r="DH26" i="4"/>
  <c r="D26" i="4"/>
  <c r="B26" i="4"/>
  <c r="B23" i="5"/>
  <c r="HU26" i="4"/>
  <c r="D23" i="5"/>
  <c r="B23" i="42"/>
  <c r="C23" i="42"/>
  <c r="E23" i="42"/>
  <c r="H24" i="42"/>
  <c r="F38" i="22"/>
  <c r="F23" i="42"/>
  <c r="G24" i="42"/>
  <c r="AR27" i="4"/>
  <c r="W27" i="4"/>
  <c r="V27" i="4"/>
  <c r="T27" i="4"/>
  <c r="AJ27" i="4"/>
  <c r="AW27" i="4"/>
  <c r="CO27" i="4"/>
  <c r="CN27" i="4"/>
  <c r="CP27" i="4"/>
  <c r="CM27" i="4"/>
  <c r="CL27" i="4"/>
  <c r="DI27" i="4"/>
  <c r="DH27" i="4"/>
  <c r="D27" i="4"/>
  <c r="B27" i="4"/>
  <c r="B24" i="5"/>
  <c r="HU27" i="4"/>
  <c r="D24" i="5"/>
  <c r="B24" i="42"/>
  <c r="C24" i="42"/>
  <c r="E24" i="42"/>
  <c r="H25" i="42"/>
  <c r="F39" i="22"/>
  <c r="F24" i="42"/>
  <c r="G25" i="42"/>
  <c r="AR28" i="4"/>
  <c r="W28" i="4"/>
  <c r="V28" i="4"/>
  <c r="T28" i="4"/>
  <c r="AJ28" i="4"/>
  <c r="AW28" i="4"/>
  <c r="CO28" i="4"/>
  <c r="CN28" i="4"/>
  <c r="CP28" i="4"/>
  <c r="CM28" i="4"/>
  <c r="CL28" i="4"/>
  <c r="DI28" i="4"/>
  <c r="DH28" i="4"/>
  <c r="D28" i="4"/>
  <c r="B28" i="4"/>
  <c r="B25" i="5"/>
  <c r="HU28" i="4"/>
  <c r="D25" i="5"/>
  <c r="B25" i="42"/>
  <c r="C25" i="42"/>
  <c r="E25" i="42"/>
  <c r="H26" i="42"/>
  <c r="F40" i="22"/>
  <c r="F25" i="42"/>
  <c r="G26" i="42"/>
  <c r="AR29" i="4"/>
  <c r="W29" i="4"/>
  <c r="V29" i="4"/>
  <c r="T29" i="4"/>
  <c r="AJ29" i="4"/>
  <c r="AW29" i="4"/>
  <c r="CO29" i="4"/>
  <c r="CN29" i="4"/>
  <c r="CP29" i="4"/>
  <c r="CM29" i="4"/>
  <c r="CL29" i="4"/>
  <c r="DI29" i="4"/>
  <c r="DH29" i="4"/>
  <c r="D29" i="4"/>
  <c r="B29" i="4"/>
  <c r="B26" i="5"/>
  <c r="HU29" i="4"/>
  <c r="D26" i="5"/>
  <c r="B26" i="42"/>
  <c r="C26" i="42"/>
  <c r="E26" i="42"/>
  <c r="H27" i="42"/>
  <c r="F41" i="22"/>
  <c r="F26" i="42"/>
  <c r="G27" i="42"/>
  <c r="AR30" i="4"/>
  <c r="W30" i="4"/>
  <c r="V30" i="4"/>
  <c r="T30" i="4"/>
  <c r="AJ30" i="4"/>
  <c r="AW30" i="4"/>
  <c r="CO30" i="4"/>
  <c r="CN30" i="4"/>
  <c r="CP30" i="4"/>
  <c r="CM30" i="4"/>
  <c r="CL30" i="4"/>
  <c r="DI30" i="4"/>
  <c r="DH30" i="4"/>
  <c r="D30" i="4"/>
  <c r="B30" i="4"/>
  <c r="B27" i="5"/>
  <c r="HU30" i="4"/>
  <c r="D27" i="5"/>
  <c r="B27" i="42"/>
  <c r="C27" i="42"/>
  <c r="E27" i="42"/>
  <c r="H28" i="42"/>
  <c r="F42" i="22"/>
  <c r="F27" i="42"/>
  <c r="G28" i="42"/>
  <c r="AR31" i="4"/>
  <c r="W31" i="4"/>
  <c r="V31" i="4"/>
  <c r="T31" i="4"/>
  <c r="AJ31" i="4"/>
  <c r="AW31" i="4"/>
  <c r="CO31" i="4"/>
  <c r="CN31" i="4"/>
  <c r="CP31" i="4"/>
  <c r="CM31" i="4"/>
  <c r="CL31" i="4"/>
  <c r="DI31" i="4"/>
  <c r="DH31" i="4"/>
  <c r="D31" i="4"/>
  <c r="B31" i="4"/>
  <c r="B28" i="5"/>
  <c r="HU31" i="4"/>
  <c r="D28" i="5"/>
  <c r="B28" i="42"/>
  <c r="C28" i="42"/>
  <c r="E28" i="42"/>
  <c r="H29" i="42"/>
  <c r="F43" i="22"/>
  <c r="F28" i="42"/>
  <c r="G29" i="42"/>
  <c r="AR32" i="4"/>
  <c r="W32" i="4"/>
  <c r="V32" i="4"/>
  <c r="T32" i="4"/>
  <c r="AJ32" i="4"/>
  <c r="AW32" i="4"/>
  <c r="CO32" i="4"/>
  <c r="CN32" i="4"/>
  <c r="CP32" i="4"/>
  <c r="CM32" i="4"/>
  <c r="CL32" i="4"/>
  <c r="DI32" i="4"/>
  <c r="DH32" i="4"/>
  <c r="D32" i="4"/>
  <c r="B32" i="4"/>
  <c r="B29" i="5"/>
  <c r="HU32" i="4"/>
  <c r="D29" i="5"/>
  <c r="B29" i="42"/>
  <c r="C29" i="42"/>
  <c r="E29" i="42"/>
  <c r="H30" i="42"/>
  <c r="F44" i="22"/>
  <c r="F29" i="42"/>
  <c r="G30" i="42"/>
  <c r="AR33" i="4"/>
  <c r="W33" i="4"/>
  <c r="V33" i="4"/>
  <c r="T33" i="4"/>
  <c r="AJ33" i="4"/>
  <c r="AW33" i="4"/>
  <c r="CO33" i="4"/>
  <c r="CN33" i="4"/>
  <c r="CP33" i="4"/>
  <c r="CM33" i="4"/>
  <c r="CL33" i="4"/>
  <c r="DI33" i="4"/>
  <c r="DH33" i="4"/>
  <c r="D33" i="4"/>
  <c r="B33" i="4"/>
  <c r="B30" i="5"/>
  <c r="HU33" i="4"/>
  <c r="D30" i="5"/>
  <c r="B30" i="42"/>
  <c r="C30" i="42"/>
  <c r="E30" i="42"/>
  <c r="C33" i="48"/>
  <c r="J30" i="42"/>
  <c r="I30" i="42"/>
  <c r="I36" i="33"/>
  <c r="B17" i="33"/>
  <c r="I17" i="33"/>
  <c r="M30" i="42"/>
  <c r="L30" i="42"/>
  <c r="J36" i="33"/>
  <c r="J17" i="33"/>
  <c r="H17" i="33"/>
  <c r="K17" i="33"/>
  <c r="K36" i="33"/>
  <c r="F30" i="25"/>
  <c r="B30" i="2"/>
  <c r="I30" i="2"/>
  <c r="J30" i="2"/>
  <c r="H30" i="2"/>
  <c r="F30" i="2"/>
  <c r="L30" i="2"/>
  <c r="G30" i="25"/>
  <c r="H31" i="25"/>
  <c r="J31" i="25"/>
  <c r="E31" i="25"/>
  <c r="AR34" i="4"/>
  <c r="W34" i="4"/>
  <c r="V34" i="4"/>
  <c r="T34" i="4"/>
  <c r="AJ34" i="4"/>
  <c r="AW34" i="4"/>
  <c r="CO34" i="4"/>
  <c r="CN34" i="4"/>
  <c r="CP34" i="4"/>
  <c r="CM34" i="4"/>
  <c r="CL34" i="4"/>
  <c r="DI34" i="4"/>
  <c r="DH34" i="4"/>
  <c r="D34" i="4"/>
  <c r="B34" i="4"/>
  <c r="B31" i="5"/>
  <c r="HU34" i="4"/>
  <c r="D31" i="5"/>
  <c r="B31" i="25"/>
  <c r="B30" i="25"/>
  <c r="D31" i="25"/>
  <c r="F31" i="25"/>
  <c r="B31" i="2"/>
  <c r="H31" i="42"/>
  <c r="F45" i="22"/>
  <c r="F30" i="42"/>
  <c r="G31" i="42"/>
  <c r="B31" i="42"/>
  <c r="C31" i="42"/>
  <c r="E31" i="42"/>
  <c r="I31" i="2"/>
  <c r="C34" i="48"/>
  <c r="J31" i="42"/>
  <c r="I31" i="42"/>
  <c r="M31" i="42"/>
  <c r="L31" i="42"/>
  <c r="J31" i="2"/>
  <c r="H31" i="2"/>
  <c r="F31" i="2"/>
  <c r="L31" i="2"/>
  <c r="G31" i="25"/>
  <c r="H32" i="25"/>
  <c r="J32" i="25"/>
  <c r="E32" i="25"/>
  <c r="AR35" i="4"/>
  <c r="W35" i="4"/>
  <c r="V35" i="4"/>
  <c r="T35" i="4"/>
  <c r="AJ35" i="4"/>
  <c r="AW35" i="4"/>
  <c r="CO35" i="4"/>
  <c r="CN35" i="4"/>
  <c r="CP35" i="4"/>
  <c r="CM35" i="4"/>
  <c r="CL35" i="4"/>
  <c r="DI35" i="4"/>
  <c r="DH35" i="4"/>
  <c r="D35" i="4"/>
  <c r="B35" i="4"/>
  <c r="B32" i="5"/>
  <c r="HU35" i="4"/>
  <c r="D32" i="5"/>
  <c r="B32" i="25"/>
  <c r="D32" i="25"/>
  <c r="F32" i="25"/>
  <c r="B32" i="2"/>
  <c r="H32" i="42"/>
  <c r="F46" i="22"/>
  <c r="F31" i="42"/>
  <c r="G32" i="42"/>
  <c r="B32" i="42"/>
  <c r="C32" i="42"/>
  <c r="E32" i="42"/>
  <c r="I32" i="2"/>
  <c r="C35" i="48"/>
  <c r="J32" i="42"/>
  <c r="I32" i="42"/>
  <c r="M32" i="42"/>
  <c r="L32" i="42"/>
  <c r="J32" i="2"/>
  <c r="H32" i="2"/>
  <c r="F32" i="2"/>
  <c r="L32" i="2"/>
  <c r="G32" i="25"/>
  <c r="H33" i="25"/>
  <c r="J33" i="25"/>
  <c r="E33" i="25"/>
  <c r="AR36" i="4"/>
  <c r="W36" i="4"/>
  <c r="V36" i="4"/>
  <c r="T36" i="4"/>
  <c r="AJ36" i="4"/>
  <c r="AW36" i="4"/>
  <c r="CO36" i="4"/>
  <c r="CN36" i="4"/>
  <c r="CP36" i="4"/>
  <c r="CM36" i="4"/>
  <c r="CL36" i="4"/>
  <c r="DI36" i="4"/>
  <c r="DH36" i="4"/>
  <c r="D36" i="4"/>
  <c r="B36" i="4"/>
  <c r="B33" i="5"/>
  <c r="HU36" i="4"/>
  <c r="D33" i="5"/>
  <c r="B33" i="25"/>
  <c r="D33" i="25"/>
  <c r="F33" i="25"/>
  <c r="B33" i="2"/>
  <c r="H33" i="42"/>
  <c r="F47" i="22"/>
  <c r="F32" i="42"/>
  <c r="G33" i="42"/>
  <c r="B33" i="42"/>
  <c r="C33" i="42"/>
  <c r="E33" i="42"/>
  <c r="I33" i="2"/>
  <c r="C36" i="48"/>
  <c r="J33" i="42"/>
  <c r="I33" i="42"/>
  <c r="M33" i="42"/>
  <c r="L33" i="42"/>
  <c r="J33" i="2"/>
  <c r="H33" i="2"/>
  <c r="F33" i="2"/>
  <c r="L33" i="2"/>
  <c r="G33" i="25"/>
  <c r="H34" i="25"/>
  <c r="J34" i="25"/>
  <c r="E34" i="25"/>
  <c r="AR37" i="4"/>
  <c r="W37" i="4"/>
  <c r="V37" i="4"/>
  <c r="T37" i="4"/>
  <c r="AJ37" i="4"/>
  <c r="AW37" i="4"/>
  <c r="CO37" i="4"/>
  <c r="CN37" i="4"/>
  <c r="CP37" i="4"/>
  <c r="CM37" i="4"/>
  <c r="CL37" i="4"/>
  <c r="DI37" i="4"/>
  <c r="DH37" i="4"/>
  <c r="D37" i="4"/>
  <c r="B37" i="4"/>
  <c r="B34" i="5"/>
  <c r="HU37" i="4"/>
  <c r="D34" i="5"/>
  <c r="B34" i="25"/>
  <c r="D34" i="25"/>
  <c r="F34" i="25"/>
  <c r="B34" i="2"/>
  <c r="H34" i="42"/>
  <c r="F48" i="22"/>
  <c r="F33" i="42"/>
  <c r="G34" i="42"/>
  <c r="B34" i="42"/>
  <c r="C34" i="42"/>
  <c r="E34" i="42"/>
  <c r="I34" i="2"/>
  <c r="C37" i="48"/>
  <c r="J34" i="42"/>
  <c r="I34" i="42"/>
  <c r="M34" i="42"/>
  <c r="L34" i="42"/>
  <c r="J34" i="2"/>
  <c r="H34" i="2"/>
  <c r="F34" i="2"/>
  <c r="L34" i="2"/>
  <c r="I25" i="2"/>
  <c r="C28" i="48"/>
  <c r="J25" i="42"/>
  <c r="I25" i="42"/>
  <c r="M25" i="42"/>
  <c r="L25" i="42"/>
  <c r="J25" i="2"/>
  <c r="H25" i="2"/>
  <c r="F25" i="2"/>
  <c r="C15" i="33"/>
  <c r="C13" i="48"/>
  <c r="J10" i="42"/>
  <c r="I10" i="42"/>
  <c r="I34" i="33"/>
  <c r="B15" i="33"/>
  <c r="I15" i="33"/>
  <c r="M10" i="42"/>
  <c r="L10" i="42"/>
  <c r="J34" i="33"/>
  <c r="J15" i="33"/>
  <c r="H15" i="33"/>
  <c r="K15" i="33"/>
  <c r="K34" i="33"/>
  <c r="F10" i="25"/>
  <c r="G10" i="25"/>
  <c r="H11" i="25"/>
  <c r="J11" i="25"/>
  <c r="E11" i="25"/>
  <c r="AR14" i="4"/>
  <c r="W14" i="4"/>
  <c r="V14" i="4"/>
  <c r="T14" i="4"/>
  <c r="AJ14" i="4"/>
  <c r="AW14" i="4"/>
  <c r="CO14" i="4"/>
  <c r="CN14" i="4"/>
  <c r="CP14" i="4"/>
  <c r="CM14" i="4"/>
  <c r="CL14" i="4"/>
  <c r="DI14" i="4"/>
  <c r="DH14" i="4"/>
  <c r="D14" i="4"/>
  <c r="B14" i="4"/>
  <c r="B11" i="5"/>
  <c r="HU14" i="4"/>
  <c r="D11" i="5"/>
  <c r="B11" i="25"/>
  <c r="B10" i="25"/>
  <c r="D11" i="25"/>
  <c r="F11" i="25"/>
  <c r="G11" i="25"/>
  <c r="H12" i="25"/>
  <c r="J12" i="25"/>
  <c r="E12" i="25"/>
  <c r="AR15" i="4"/>
  <c r="W15" i="4"/>
  <c r="V15" i="4"/>
  <c r="T15" i="4"/>
  <c r="AJ15" i="4"/>
  <c r="AW15" i="4"/>
  <c r="CO15" i="4"/>
  <c r="CN15" i="4"/>
  <c r="CP15" i="4"/>
  <c r="CM15" i="4"/>
  <c r="CL15" i="4"/>
  <c r="DI15" i="4"/>
  <c r="DH15" i="4"/>
  <c r="D15" i="4"/>
  <c r="B15" i="4"/>
  <c r="B12" i="5"/>
  <c r="HU15" i="4"/>
  <c r="D12" i="5"/>
  <c r="B12" i="25"/>
  <c r="D12" i="25"/>
  <c r="F12" i="25"/>
  <c r="G12" i="25"/>
  <c r="H13" i="25"/>
  <c r="J13" i="25"/>
  <c r="E13" i="25"/>
  <c r="AR16" i="4"/>
  <c r="W16" i="4"/>
  <c r="V16" i="4"/>
  <c r="T16" i="4"/>
  <c r="AJ16" i="4"/>
  <c r="AW16" i="4"/>
  <c r="CO16" i="4"/>
  <c r="CN16" i="4"/>
  <c r="CP16" i="4"/>
  <c r="CM16" i="4"/>
  <c r="CL16" i="4"/>
  <c r="DI16" i="4"/>
  <c r="DH16" i="4"/>
  <c r="D16" i="4"/>
  <c r="B16" i="4"/>
  <c r="B13" i="5"/>
  <c r="HU16" i="4"/>
  <c r="D13" i="5"/>
  <c r="B13" i="25"/>
  <c r="D13" i="25"/>
  <c r="F13" i="25"/>
  <c r="G13" i="25"/>
  <c r="H14" i="25"/>
  <c r="J14" i="25"/>
  <c r="E14" i="25"/>
  <c r="AR17" i="4"/>
  <c r="W17" i="4"/>
  <c r="V17" i="4"/>
  <c r="T17" i="4"/>
  <c r="AJ17" i="4"/>
  <c r="AW17" i="4"/>
  <c r="CO17" i="4"/>
  <c r="CN17" i="4"/>
  <c r="CP17" i="4"/>
  <c r="CM17" i="4"/>
  <c r="CL17" i="4"/>
  <c r="DI17" i="4"/>
  <c r="DH17" i="4"/>
  <c r="D17" i="4"/>
  <c r="B17" i="4"/>
  <c r="B14" i="5"/>
  <c r="HU17" i="4"/>
  <c r="D14" i="5"/>
  <c r="B14" i="25"/>
  <c r="D14" i="25"/>
  <c r="F14" i="25"/>
  <c r="G14" i="25"/>
  <c r="H15" i="25"/>
  <c r="J15" i="25"/>
  <c r="E15" i="25"/>
  <c r="AR18" i="4"/>
  <c r="W18" i="4"/>
  <c r="V18" i="4"/>
  <c r="T18" i="4"/>
  <c r="AJ18" i="4"/>
  <c r="AW18" i="4"/>
  <c r="CO18" i="4"/>
  <c r="CN18" i="4"/>
  <c r="CP18" i="4"/>
  <c r="CM18" i="4"/>
  <c r="CL18" i="4"/>
  <c r="DI18" i="4"/>
  <c r="DH18" i="4"/>
  <c r="D18" i="4"/>
  <c r="B18" i="4"/>
  <c r="B15" i="5"/>
  <c r="HU18" i="4"/>
  <c r="D15" i="5"/>
  <c r="B15" i="25"/>
  <c r="D15" i="25"/>
  <c r="F15" i="25"/>
  <c r="G15" i="25"/>
  <c r="H16" i="25"/>
  <c r="J16" i="25"/>
  <c r="E16" i="25"/>
  <c r="AR19" i="4"/>
  <c r="W19" i="4"/>
  <c r="V19" i="4"/>
  <c r="T19" i="4"/>
  <c r="AJ19" i="4"/>
  <c r="AW19" i="4"/>
  <c r="CO19" i="4"/>
  <c r="CN19" i="4"/>
  <c r="CP19" i="4"/>
  <c r="CM19" i="4"/>
  <c r="CL19" i="4"/>
  <c r="DI19" i="4"/>
  <c r="DH19" i="4"/>
  <c r="D19" i="4"/>
  <c r="B19" i="4"/>
  <c r="B16" i="5"/>
  <c r="HU19" i="4"/>
  <c r="D16" i="5"/>
  <c r="B16" i="25"/>
  <c r="D16" i="25"/>
  <c r="F16" i="25"/>
  <c r="G16" i="25"/>
  <c r="H17" i="25"/>
  <c r="J17" i="25"/>
  <c r="E17" i="25"/>
  <c r="AR20" i="4"/>
  <c r="W20" i="4"/>
  <c r="V20" i="4"/>
  <c r="T20" i="4"/>
  <c r="AJ20" i="4"/>
  <c r="AW20" i="4"/>
  <c r="CO20" i="4"/>
  <c r="CN20" i="4"/>
  <c r="CP20" i="4"/>
  <c r="CM20" i="4"/>
  <c r="CL20" i="4"/>
  <c r="DI20" i="4"/>
  <c r="DH20" i="4"/>
  <c r="D20" i="4"/>
  <c r="B20" i="4"/>
  <c r="B17" i="5"/>
  <c r="HU20" i="4"/>
  <c r="D17" i="5"/>
  <c r="B17" i="25"/>
  <c r="D17" i="25"/>
  <c r="F17" i="25"/>
  <c r="G17" i="25"/>
  <c r="H18" i="25"/>
  <c r="J18" i="25"/>
  <c r="E18" i="25"/>
  <c r="AR21" i="4"/>
  <c r="W21" i="4"/>
  <c r="V21" i="4"/>
  <c r="T21" i="4"/>
  <c r="AJ21" i="4"/>
  <c r="AW21" i="4"/>
  <c r="CO21" i="4"/>
  <c r="CN21" i="4"/>
  <c r="CP21" i="4"/>
  <c r="CM21" i="4"/>
  <c r="CL21" i="4"/>
  <c r="DI21" i="4"/>
  <c r="DH21" i="4"/>
  <c r="D21" i="4"/>
  <c r="B21" i="4"/>
  <c r="B18" i="5"/>
  <c r="HU21" i="4"/>
  <c r="D18" i="5"/>
  <c r="B18" i="25"/>
  <c r="D18" i="25"/>
  <c r="F18" i="25"/>
  <c r="G18" i="25"/>
  <c r="H19" i="25"/>
  <c r="J19" i="25"/>
  <c r="E19" i="25"/>
  <c r="AR22" i="4"/>
  <c r="W22" i="4"/>
  <c r="V22" i="4"/>
  <c r="T22" i="4"/>
  <c r="AJ22" i="4"/>
  <c r="AW22" i="4"/>
  <c r="CO22" i="4"/>
  <c r="CN22" i="4"/>
  <c r="CP22" i="4"/>
  <c r="CM22" i="4"/>
  <c r="CL22" i="4"/>
  <c r="DI22" i="4"/>
  <c r="DH22" i="4"/>
  <c r="D22" i="4"/>
  <c r="B22" i="4"/>
  <c r="B19" i="5"/>
  <c r="HU22" i="4"/>
  <c r="D19" i="5"/>
  <c r="B19" i="25"/>
  <c r="D19" i="25"/>
  <c r="F19" i="25"/>
  <c r="G19" i="25"/>
  <c r="H20" i="25"/>
  <c r="J20" i="25"/>
  <c r="E20" i="25"/>
  <c r="B20" i="25"/>
  <c r="D20" i="25"/>
  <c r="F20" i="25"/>
  <c r="G20" i="25"/>
  <c r="H21" i="25"/>
  <c r="J21" i="25"/>
  <c r="E21" i="25"/>
  <c r="B21" i="25"/>
  <c r="D21" i="25"/>
  <c r="F21" i="25"/>
  <c r="G21" i="25"/>
  <c r="H22" i="25"/>
  <c r="J22" i="25"/>
  <c r="E22" i="25"/>
  <c r="B22" i="25"/>
  <c r="D22" i="25"/>
  <c r="F22" i="25"/>
  <c r="G22" i="25"/>
  <c r="H23" i="25"/>
  <c r="J23" i="25"/>
  <c r="E23" i="25"/>
  <c r="B23" i="25"/>
  <c r="D23" i="25"/>
  <c r="F23" i="25"/>
  <c r="G23" i="25"/>
  <c r="H24" i="25"/>
  <c r="J24" i="25"/>
  <c r="E24" i="25"/>
  <c r="B24" i="25"/>
  <c r="D24" i="25"/>
  <c r="F24" i="25"/>
  <c r="G24" i="25"/>
  <c r="H25" i="25"/>
  <c r="J25" i="25"/>
  <c r="E25" i="25"/>
  <c r="B25" i="25"/>
  <c r="D25" i="25"/>
  <c r="F25" i="25"/>
  <c r="B25" i="2"/>
  <c r="L25" i="2"/>
  <c r="I26" i="2"/>
  <c r="C29" i="48"/>
  <c r="J26" i="42"/>
  <c r="I26" i="42"/>
  <c r="M26" i="42"/>
  <c r="L26" i="42"/>
  <c r="J26" i="2"/>
  <c r="H26" i="2"/>
  <c r="F26" i="2"/>
  <c r="G25" i="25"/>
  <c r="H26" i="25"/>
  <c r="J26" i="25"/>
  <c r="E26" i="25"/>
  <c r="B26" i="25"/>
  <c r="D26" i="25"/>
  <c r="F26" i="25"/>
  <c r="B26" i="2"/>
  <c r="L26" i="2"/>
  <c r="I27" i="2"/>
  <c r="C30" i="48"/>
  <c r="J27" i="42"/>
  <c r="I27" i="42"/>
  <c r="M27" i="42"/>
  <c r="L27" i="42"/>
  <c r="J27" i="2"/>
  <c r="H27" i="2"/>
  <c r="F27" i="2"/>
  <c r="G26" i="25"/>
  <c r="H27" i="25"/>
  <c r="J27" i="25"/>
  <c r="E27" i="25"/>
  <c r="B27" i="25"/>
  <c r="D27" i="25"/>
  <c r="F27" i="25"/>
  <c r="B27" i="2"/>
  <c r="L27" i="2"/>
  <c r="I28" i="2"/>
  <c r="C31" i="48"/>
  <c r="J28" i="42"/>
  <c r="I28" i="42"/>
  <c r="M28" i="42"/>
  <c r="L28" i="42"/>
  <c r="J28" i="2"/>
  <c r="H28" i="2"/>
  <c r="F28" i="2"/>
  <c r="G27" i="25"/>
  <c r="H28" i="25"/>
  <c r="J28" i="25"/>
  <c r="E28" i="25"/>
  <c r="B28" i="25"/>
  <c r="D28" i="25"/>
  <c r="F28" i="25"/>
  <c r="B28" i="2"/>
  <c r="L28" i="2"/>
  <c r="I29" i="2"/>
  <c r="C32" i="48"/>
  <c r="J29" i="42"/>
  <c r="I29" i="42"/>
  <c r="M29" i="42"/>
  <c r="L29" i="42"/>
  <c r="J29" i="2"/>
  <c r="H29" i="2"/>
  <c r="F29" i="2"/>
  <c r="G28" i="25"/>
  <c r="H29" i="25"/>
  <c r="J29" i="25"/>
  <c r="E29" i="25"/>
  <c r="B29" i="25"/>
  <c r="D29" i="25"/>
  <c r="F29" i="25"/>
  <c r="B29" i="2"/>
  <c r="L29" i="2"/>
  <c r="B26" i="39"/>
  <c r="H35" i="42"/>
  <c r="F49" i="22"/>
  <c r="F34" i="42"/>
  <c r="G35" i="42"/>
  <c r="AR38" i="4"/>
  <c r="W38" i="4"/>
  <c r="V38" i="4"/>
  <c r="T38" i="4"/>
  <c r="AJ38" i="4"/>
  <c r="AW38" i="4"/>
  <c r="CO38" i="4"/>
  <c r="CN38" i="4"/>
  <c r="CP38" i="4"/>
  <c r="CM38" i="4"/>
  <c r="CL38" i="4"/>
  <c r="DI38" i="4"/>
  <c r="DH38" i="4"/>
  <c r="D38" i="4"/>
  <c r="B38" i="4"/>
  <c r="B35" i="5"/>
  <c r="HU38" i="4"/>
  <c r="D35" i="5"/>
  <c r="B35" i="42"/>
  <c r="C35" i="42"/>
  <c r="E35" i="42"/>
  <c r="H36" i="42"/>
  <c r="F50" i="22"/>
  <c r="F35" i="42"/>
  <c r="G36" i="42"/>
  <c r="AR39" i="4"/>
  <c r="W39" i="4"/>
  <c r="V39" i="4"/>
  <c r="T39" i="4"/>
  <c r="AJ39" i="4"/>
  <c r="AW39" i="4"/>
  <c r="CO39" i="4"/>
  <c r="CN39" i="4"/>
  <c r="CP39" i="4"/>
  <c r="CM39" i="4"/>
  <c r="CL39" i="4"/>
  <c r="DI39" i="4"/>
  <c r="DH39" i="4"/>
  <c r="D39" i="4"/>
  <c r="B39" i="4"/>
  <c r="B36" i="5"/>
  <c r="HU39" i="4"/>
  <c r="D36" i="5"/>
  <c r="B36" i="42"/>
  <c r="C36" i="42"/>
  <c r="E36" i="42"/>
  <c r="H37" i="42"/>
  <c r="F51" i="22"/>
  <c r="F36" i="42"/>
  <c r="G37" i="42"/>
  <c r="AR40" i="4"/>
  <c r="W40" i="4"/>
  <c r="V40" i="4"/>
  <c r="T40" i="4"/>
  <c r="AJ40" i="4"/>
  <c r="AW40" i="4"/>
  <c r="CO40" i="4"/>
  <c r="CN40" i="4"/>
  <c r="CP40" i="4"/>
  <c r="CM40" i="4"/>
  <c r="CL40" i="4"/>
  <c r="DI40" i="4"/>
  <c r="DH40" i="4"/>
  <c r="D40" i="4"/>
  <c r="B40" i="4"/>
  <c r="B37" i="5"/>
  <c r="HU40" i="4"/>
  <c r="D37" i="5"/>
  <c r="B37" i="42"/>
  <c r="C37" i="42"/>
  <c r="E37" i="42"/>
  <c r="H38" i="42"/>
  <c r="F52" i="22"/>
  <c r="F37" i="42"/>
  <c r="G38" i="42"/>
  <c r="AR41" i="4"/>
  <c r="W41" i="4"/>
  <c r="V41" i="4"/>
  <c r="T41" i="4"/>
  <c r="AJ41" i="4"/>
  <c r="AW41" i="4"/>
  <c r="CO41" i="4"/>
  <c r="CN41" i="4"/>
  <c r="CP41" i="4"/>
  <c r="CM41" i="4"/>
  <c r="CL41" i="4"/>
  <c r="DI41" i="4"/>
  <c r="DH41" i="4"/>
  <c r="D41" i="4"/>
  <c r="B41" i="4"/>
  <c r="B38" i="5"/>
  <c r="HU41" i="4"/>
  <c r="D38" i="5"/>
  <c r="B38" i="42"/>
  <c r="C38" i="42"/>
  <c r="E38" i="42"/>
  <c r="H39" i="42"/>
  <c r="F53" i="22"/>
  <c r="F38" i="42"/>
  <c r="G39" i="42"/>
  <c r="AR42" i="4"/>
  <c r="W42" i="4"/>
  <c r="V42" i="4"/>
  <c r="T42" i="4"/>
  <c r="AJ42" i="4"/>
  <c r="AW42" i="4"/>
  <c r="CO42" i="4"/>
  <c r="CN42" i="4"/>
  <c r="CP42" i="4"/>
  <c r="CM42" i="4"/>
  <c r="CL42" i="4"/>
  <c r="DI42" i="4"/>
  <c r="DH42" i="4"/>
  <c r="D42" i="4"/>
  <c r="B42" i="4"/>
  <c r="B39" i="5"/>
  <c r="HU42" i="4"/>
  <c r="D39" i="5"/>
  <c r="B39" i="42"/>
  <c r="C39" i="42"/>
  <c r="E39" i="42"/>
  <c r="H40" i="42"/>
  <c r="F54" i="22"/>
  <c r="F39" i="42"/>
  <c r="G40" i="42"/>
  <c r="HU43" i="4"/>
  <c r="D40" i="5"/>
  <c r="B40" i="42"/>
  <c r="C40" i="42"/>
  <c r="E40" i="42"/>
  <c r="C43" i="48"/>
  <c r="J40" i="42"/>
  <c r="I40" i="42"/>
  <c r="I37" i="33"/>
  <c r="I18" i="33"/>
  <c r="M40" i="42"/>
  <c r="L40" i="42"/>
  <c r="J37" i="33"/>
  <c r="J18" i="33"/>
  <c r="H18" i="33"/>
  <c r="K18" i="33"/>
  <c r="K37" i="33"/>
  <c r="F40" i="25"/>
  <c r="B40" i="2"/>
  <c r="I40" i="2"/>
  <c r="J40" i="2"/>
  <c r="H40" i="2"/>
  <c r="F40" i="2"/>
  <c r="L40" i="2"/>
  <c r="G40" i="25"/>
  <c r="H41" i="25"/>
  <c r="J41" i="25"/>
  <c r="E41" i="25"/>
  <c r="AR44" i="4"/>
  <c r="W44" i="4"/>
  <c r="V44" i="4"/>
  <c r="T44" i="4"/>
  <c r="AJ44" i="4"/>
  <c r="AW44" i="4"/>
  <c r="CO44" i="4"/>
  <c r="CN44" i="4"/>
  <c r="CP44" i="4"/>
  <c r="CM44" i="4"/>
  <c r="CL44" i="4"/>
  <c r="DI44" i="4"/>
  <c r="DH44" i="4"/>
  <c r="D44" i="4"/>
  <c r="B44" i="4"/>
  <c r="B41" i="5"/>
  <c r="HU44" i="4"/>
  <c r="D41" i="5"/>
  <c r="B41" i="25"/>
  <c r="B40" i="25"/>
  <c r="D41" i="25"/>
  <c r="F41" i="25"/>
  <c r="B41" i="2"/>
  <c r="H41" i="42"/>
  <c r="F55" i="22"/>
  <c r="F40" i="42"/>
  <c r="G41" i="42"/>
  <c r="B41" i="42"/>
  <c r="C41" i="42"/>
  <c r="E41" i="42"/>
  <c r="I41" i="2"/>
  <c r="C44" i="48"/>
  <c r="J41" i="42"/>
  <c r="I41" i="42"/>
  <c r="M41" i="42"/>
  <c r="L41" i="42"/>
  <c r="J41" i="2"/>
  <c r="H41" i="2"/>
  <c r="F41" i="2"/>
  <c r="L41" i="2"/>
  <c r="G41" i="25"/>
  <c r="H42" i="25"/>
  <c r="J42" i="25"/>
  <c r="E42" i="25"/>
  <c r="AR45" i="4"/>
  <c r="W45" i="4"/>
  <c r="V45" i="4"/>
  <c r="T45" i="4"/>
  <c r="AJ45" i="4"/>
  <c r="AW45" i="4"/>
  <c r="CO45" i="4"/>
  <c r="CN45" i="4"/>
  <c r="CP45" i="4"/>
  <c r="CM45" i="4"/>
  <c r="CL45" i="4"/>
  <c r="DI45" i="4"/>
  <c r="DH45" i="4"/>
  <c r="D45" i="4"/>
  <c r="B45" i="4"/>
  <c r="B42" i="5"/>
  <c r="HU45" i="4"/>
  <c r="D42" i="5"/>
  <c r="B42" i="25"/>
  <c r="D42" i="25"/>
  <c r="F42" i="25"/>
  <c r="B42" i="2"/>
  <c r="H42" i="42"/>
  <c r="F56" i="22"/>
  <c r="F41" i="42"/>
  <c r="G42" i="42"/>
  <c r="B42" i="42"/>
  <c r="C42" i="42"/>
  <c r="E42" i="42"/>
  <c r="I42" i="2"/>
  <c r="C45" i="48"/>
  <c r="J42" i="42"/>
  <c r="I42" i="42"/>
  <c r="M42" i="42"/>
  <c r="L42" i="42"/>
  <c r="J42" i="2"/>
  <c r="H42" i="2"/>
  <c r="F42" i="2"/>
  <c r="L42" i="2"/>
  <c r="G42" i="25"/>
  <c r="H43" i="25"/>
  <c r="J43" i="25"/>
  <c r="E43" i="25"/>
  <c r="AR46" i="4"/>
  <c r="W46" i="4"/>
  <c r="V46" i="4"/>
  <c r="T46" i="4"/>
  <c r="AJ46" i="4"/>
  <c r="AW46" i="4"/>
  <c r="CO46" i="4"/>
  <c r="CN46" i="4"/>
  <c r="CP46" i="4"/>
  <c r="CM46" i="4"/>
  <c r="CL46" i="4"/>
  <c r="DI46" i="4"/>
  <c r="DH46" i="4"/>
  <c r="D46" i="4"/>
  <c r="B46" i="4"/>
  <c r="B43" i="5"/>
  <c r="HU46" i="4"/>
  <c r="D43" i="5"/>
  <c r="B43" i="25"/>
  <c r="D43" i="25"/>
  <c r="F43" i="25"/>
  <c r="B43" i="2"/>
  <c r="H43" i="42"/>
  <c r="F57" i="22"/>
  <c r="F42" i="42"/>
  <c r="G43" i="42"/>
  <c r="B43" i="42"/>
  <c r="C43" i="42"/>
  <c r="E43" i="42"/>
  <c r="I43" i="2"/>
  <c r="C46" i="48"/>
  <c r="J43" i="42"/>
  <c r="I43" i="42"/>
  <c r="M43" i="42"/>
  <c r="L43" i="42"/>
  <c r="J43" i="2"/>
  <c r="H43" i="2"/>
  <c r="F43" i="2"/>
  <c r="L43" i="2"/>
  <c r="G43" i="25"/>
  <c r="H44" i="25"/>
  <c r="J44" i="25"/>
  <c r="E44" i="25"/>
  <c r="AR47" i="4"/>
  <c r="W47" i="4"/>
  <c r="V47" i="4"/>
  <c r="T47" i="4"/>
  <c r="AJ47" i="4"/>
  <c r="CO47" i="4"/>
  <c r="CN47" i="4"/>
  <c r="CP47" i="4"/>
  <c r="CM47" i="4"/>
  <c r="CL47" i="4"/>
  <c r="DI47" i="4"/>
  <c r="DH47" i="4"/>
  <c r="D47" i="4"/>
  <c r="B47" i="4"/>
  <c r="B44" i="5"/>
  <c r="HU47" i="4"/>
  <c r="D44" i="5"/>
  <c r="B44" i="25"/>
  <c r="D44" i="25"/>
  <c r="F44" i="25"/>
  <c r="B44" i="2"/>
  <c r="H44" i="42"/>
  <c r="F58" i="22"/>
  <c r="F43" i="42"/>
  <c r="G44" i="42"/>
  <c r="B44" i="42"/>
  <c r="C44" i="42"/>
  <c r="E44" i="42"/>
  <c r="I44" i="2"/>
  <c r="C47" i="48"/>
  <c r="J44" i="42"/>
  <c r="I44" i="42"/>
  <c r="M44" i="42"/>
  <c r="L44" i="42"/>
  <c r="J44" i="2"/>
  <c r="H44" i="2"/>
  <c r="F44" i="2"/>
  <c r="L44" i="2"/>
  <c r="G34" i="25"/>
  <c r="H35" i="25"/>
  <c r="J35" i="25"/>
  <c r="E35" i="25"/>
  <c r="B35" i="25"/>
  <c r="D35" i="25"/>
  <c r="F35" i="25"/>
  <c r="B35" i="2"/>
  <c r="I35" i="2"/>
  <c r="C38" i="48"/>
  <c r="J35" i="42"/>
  <c r="I35" i="42"/>
  <c r="M35" i="42"/>
  <c r="L35" i="42"/>
  <c r="J35" i="2"/>
  <c r="H35" i="2"/>
  <c r="F35" i="2"/>
  <c r="L35" i="2"/>
  <c r="G35" i="25"/>
  <c r="H36" i="25"/>
  <c r="J36" i="25"/>
  <c r="E36" i="25"/>
  <c r="B36" i="25"/>
  <c r="D36" i="25"/>
  <c r="F36" i="25"/>
  <c r="B36" i="2"/>
  <c r="I36" i="2"/>
  <c r="C39" i="48"/>
  <c r="J36" i="42"/>
  <c r="I36" i="42"/>
  <c r="M36" i="42"/>
  <c r="L36" i="42"/>
  <c r="J36" i="2"/>
  <c r="H36" i="2"/>
  <c r="F36" i="2"/>
  <c r="L36" i="2"/>
  <c r="G36" i="25"/>
  <c r="H37" i="25"/>
  <c r="J37" i="25"/>
  <c r="E37" i="25"/>
  <c r="B37" i="25"/>
  <c r="D37" i="25"/>
  <c r="F37" i="25"/>
  <c r="B37" i="2"/>
  <c r="I37" i="2"/>
  <c r="C40" i="48"/>
  <c r="J37" i="42"/>
  <c r="I37" i="42"/>
  <c r="M37" i="42"/>
  <c r="L37" i="42"/>
  <c r="J37" i="2"/>
  <c r="H37" i="2"/>
  <c r="F37" i="2"/>
  <c r="L37" i="2"/>
  <c r="G37" i="25"/>
  <c r="H38" i="25"/>
  <c r="J38" i="25"/>
  <c r="E38" i="25"/>
  <c r="B38" i="25"/>
  <c r="D38" i="25"/>
  <c r="F38" i="25"/>
  <c r="B38" i="2"/>
  <c r="I38" i="2"/>
  <c r="C41" i="48"/>
  <c r="J38" i="42"/>
  <c r="I38" i="42"/>
  <c r="M38" i="42"/>
  <c r="L38" i="42"/>
  <c r="J38" i="2"/>
  <c r="H38" i="2"/>
  <c r="F38" i="2"/>
  <c r="L38" i="2"/>
  <c r="G38" i="25"/>
  <c r="H39" i="25"/>
  <c r="J39" i="25"/>
  <c r="E39" i="25"/>
  <c r="B39" i="25"/>
  <c r="D39" i="25"/>
  <c r="F39" i="25"/>
  <c r="B39" i="2"/>
  <c r="I39" i="2"/>
  <c r="C42" i="48"/>
  <c r="J39" i="42"/>
  <c r="I39" i="42"/>
  <c r="M39" i="42"/>
  <c r="L39" i="42"/>
  <c r="J39" i="2"/>
  <c r="H39" i="2"/>
  <c r="F39" i="2"/>
  <c r="L39" i="2"/>
  <c r="B36" i="39"/>
  <c r="E37" i="33"/>
  <c r="D37" i="33"/>
  <c r="G44" i="25"/>
  <c r="H45" i="25"/>
  <c r="J45" i="25"/>
  <c r="E45" i="25"/>
  <c r="HU48" i="4"/>
  <c r="D45" i="5"/>
  <c r="B45" i="25"/>
  <c r="D45" i="25"/>
  <c r="F45" i="25"/>
  <c r="B45" i="2"/>
  <c r="H45" i="42"/>
  <c r="F59" i="22"/>
  <c r="F44" i="42"/>
  <c r="G45" i="42"/>
  <c r="B45" i="42"/>
  <c r="C45" i="42"/>
  <c r="E45" i="42"/>
  <c r="I45" i="2"/>
  <c r="C48" i="48"/>
  <c r="J45" i="42"/>
  <c r="I45" i="42"/>
  <c r="M45" i="42"/>
  <c r="L45" i="42"/>
  <c r="J45" i="2"/>
  <c r="H45" i="2"/>
  <c r="F45" i="2"/>
  <c r="L45" i="2"/>
  <c r="G45" i="25"/>
  <c r="H46" i="25"/>
  <c r="J46" i="25"/>
  <c r="E46" i="25"/>
  <c r="AR49" i="4"/>
  <c r="W49" i="4"/>
  <c r="V49" i="4"/>
  <c r="T49" i="4"/>
  <c r="AJ49" i="4"/>
  <c r="AW49" i="4"/>
  <c r="CO49" i="4"/>
  <c r="CN49" i="4"/>
  <c r="DJ49" i="4"/>
  <c r="CP49" i="4"/>
  <c r="CM49" i="4"/>
  <c r="CL49" i="4"/>
  <c r="DI49" i="4"/>
  <c r="DH49" i="4"/>
  <c r="D49" i="4"/>
  <c r="B49" i="4"/>
  <c r="B46" i="5"/>
  <c r="HU49" i="4"/>
  <c r="D46" i="5"/>
  <c r="B46" i="25"/>
  <c r="D46" i="25"/>
  <c r="F46" i="25"/>
  <c r="B46" i="2"/>
  <c r="H46" i="42"/>
  <c r="F60" i="22"/>
  <c r="F45" i="42"/>
  <c r="G46" i="42"/>
  <c r="B46" i="42"/>
  <c r="C46" i="42"/>
  <c r="E46" i="42"/>
  <c r="I46" i="2"/>
  <c r="C49" i="48"/>
  <c r="J46" i="42"/>
  <c r="I46" i="42"/>
  <c r="M46" i="42"/>
  <c r="L46" i="42"/>
  <c r="J46" i="2"/>
  <c r="H46" i="2"/>
  <c r="F46" i="2"/>
  <c r="L46" i="2"/>
  <c r="G46" i="25"/>
  <c r="H47" i="25"/>
  <c r="J47" i="25"/>
  <c r="E47" i="25"/>
  <c r="AR50" i="4"/>
  <c r="W50" i="4"/>
  <c r="V50" i="4"/>
  <c r="T50" i="4"/>
  <c r="AJ50" i="4"/>
  <c r="AW50" i="4"/>
  <c r="CO50" i="4"/>
  <c r="CN50" i="4"/>
  <c r="DJ50" i="4"/>
  <c r="CP50" i="4"/>
  <c r="CM50" i="4"/>
  <c r="CL50" i="4"/>
  <c r="DI50" i="4"/>
  <c r="DH50" i="4"/>
  <c r="D50" i="4"/>
  <c r="B50" i="4"/>
  <c r="B47" i="5"/>
  <c r="HU50" i="4"/>
  <c r="D47" i="5"/>
  <c r="B47" i="25"/>
  <c r="D47" i="25"/>
  <c r="F47" i="25"/>
  <c r="B47" i="2"/>
  <c r="H47" i="42"/>
  <c r="F61" i="22"/>
  <c r="F46" i="42"/>
  <c r="G47" i="42"/>
  <c r="B47" i="42"/>
  <c r="C47" i="42"/>
  <c r="E47" i="42"/>
  <c r="I47" i="2"/>
  <c r="C50" i="48"/>
  <c r="J47" i="42"/>
  <c r="I47" i="42"/>
  <c r="M47" i="42"/>
  <c r="L47" i="42"/>
  <c r="J47" i="2"/>
  <c r="H47" i="2"/>
  <c r="F47" i="2"/>
  <c r="L47" i="2"/>
  <c r="G47" i="25"/>
  <c r="H48" i="25"/>
  <c r="J48" i="25"/>
  <c r="E48" i="25"/>
  <c r="AR51" i="4"/>
  <c r="W51" i="4"/>
  <c r="V51" i="4"/>
  <c r="T51" i="4"/>
  <c r="AJ51" i="4"/>
  <c r="AW51" i="4"/>
  <c r="CO51" i="4"/>
  <c r="CN51" i="4"/>
  <c r="DJ51" i="4"/>
  <c r="CP51" i="4"/>
  <c r="CM51" i="4"/>
  <c r="CL51" i="4"/>
  <c r="DI51" i="4"/>
  <c r="DH51" i="4"/>
  <c r="D51" i="4"/>
  <c r="B51" i="4"/>
  <c r="B48" i="5"/>
  <c r="HU51" i="4"/>
  <c r="D48" i="5"/>
  <c r="B48" i="25"/>
  <c r="D48" i="25"/>
  <c r="F48" i="25"/>
  <c r="B48" i="2"/>
  <c r="H48" i="42"/>
  <c r="F62" i="22"/>
  <c r="F47" i="42"/>
  <c r="G48" i="42"/>
  <c r="B48" i="42"/>
  <c r="C48" i="42"/>
  <c r="E48" i="42"/>
  <c r="I48" i="2"/>
  <c r="C51" i="48"/>
  <c r="J48" i="42"/>
  <c r="I48" i="42"/>
  <c r="M48" i="42"/>
  <c r="L48" i="42"/>
  <c r="J48" i="2"/>
  <c r="H48" i="2"/>
  <c r="F48" i="2"/>
  <c r="L48" i="2"/>
  <c r="G48" i="25"/>
  <c r="H49" i="25"/>
  <c r="J49" i="25"/>
  <c r="E49" i="25"/>
  <c r="AR52" i="4"/>
  <c r="W52" i="4"/>
  <c r="V52" i="4"/>
  <c r="T52" i="4"/>
  <c r="AJ52" i="4"/>
  <c r="AW52" i="4"/>
  <c r="CO52" i="4"/>
  <c r="CN52" i="4"/>
  <c r="DJ52" i="4"/>
  <c r="CP52" i="4"/>
  <c r="CM52" i="4"/>
  <c r="CL52" i="4"/>
  <c r="DI52" i="4"/>
  <c r="DH52" i="4"/>
  <c r="D52" i="4"/>
  <c r="B52" i="4"/>
  <c r="B49" i="5"/>
  <c r="HU52" i="4"/>
  <c r="D49" i="5"/>
  <c r="B49" i="25"/>
  <c r="D49" i="25"/>
  <c r="F49" i="25"/>
  <c r="B49" i="2"/>
  <c r="H49" i="42"/>
  <c r="F63" i="22"/>
  <c r="F48" i="42"/>
  <c r="G49" i="42"/>
  <c r="B49" i="42"/>
  <c r="C49" i="42"/>
  <c r="E49" i="42"/>
  <c r="I49" i="2"/>
  <c r="C52" i="48"/>
  <c r="J49" i="42"/>
  <c r="I49" i="42"/>
  <c r="M49" i="42"/>
  <c r="L49" i="42"/>
  <c r="J49" i="2"/>
  <c r="H49" i="2"/>
  <c r="F49" i="2"/>
  <c r="L49" i="2"/>
  <c r="G49" i="25"/>
  <c r="H50" i="25"/>
  <c r="J50" i="25"/>
  <c r="E50" i="25"/>
  <c r="AR53" i="4"/>
  <c r="W53" i="4"/>
  <c r="V53" i="4"/>
  <c r="T53" i="4"/>
  <c r="AJ53" i="4"/>
  <c r="AW53" i="4"/>
  <c r="CO53" i="4"/>
  <c r="CN53" i="4"/>
  <c r="DJ53" i="4"/>
  <c r="CP53" i="4"/>
  <c r="CM53" i="4"/>
  <c r="CL53" i="4"/>
  <c r="DI53" i="4"/>
  <c r="DH53" i="4"/>
  <c r="D53" i="4"/>
  <c r="B53" i="4"/>
  <c r="B50" i="5"/>
  <c r="HU53" i="4"/>
  <c r="D50" i="5"/>
  <c r="B50" i="25"/>
  <c r="D50" i="25"/>
  <c r="F50" i="25"/>
  <c r="B50" i="2"/>
  <c r="H50" i="42"/>
  <c r="F64" i="22"/>
  <c r="F49" i="42"/>
  <c r="G50" i="42"/>
  <c r="B50" i="42"/>
  <c r="C50" i="42"/>
  <c r="E50" i="42"/>
  <c r="I50" i="2"/>
  <c r="C53" i="48"/>
  <c r="J50" i="42"/>
  <c r="I50" i="42"/>
  <c r="M50" i="42"/>
  <c r="L50" i="42"/>
  <c r="J50" i="2"/>
  <c r="H50" i="2"/>
  <c r="F50" i="2"/>
  <c r="L50" i="2"/>
  <c r="G50" i="25"/>
  <c r="H51" i="25"/>
  <c r="J51" i="25"/>
  <c r="E51" i="25"/>
  <c r="AR54" i="4"/>
  <c r="W54" i="4"/>
  <c r="V54" i="4"/>
  <c r="T54" i="4"/>
  <c r="AJ54" i="4"/>
  <c r="AW54" i="4"/>
  <c r="CO54" i="4"/>
  <c r="CN54" i="4"/>
  <c r="DJ54" i="4"/>
  <c r="CP54" i="4"/>
  <c r="CM54" i="4"/>
  <c r="CL54" i="4"/>
  <c r="DI54" i="4"/>
  <c r="DH54" i="4"/>
  <c r="D54" i="4"/>
  <c r="B54" i="4"/>
  <c r="B51" i="5"/>
  <c r="HU54" i="4"/>
  <c r="D51" i="5"/>
  <c r="B51" i="25"/>
  <c r="D51" i="25"/>
  <c r="F51" i="25"/>
  <c r="B51" i="2"/>
  <c r="H51" i="42"/>
  <c r="F65" i="22"/>
  <c r="F50" i="42"/>
  <c r="G51" i="42"/>
  <c r="B51" i="42"/>
  <c r="C51" i="42"/>
  <c r="E51" i="42"/>
  <c r="I51" i="2"/>
  <c r="C54" i="48"/>
  <c r="J51" i="42"/>
  <c r="I51" i="42"/>
  <c r="M51" i="42"/>
  <c r="L51" i="42"/>
  <c r="J51" i="2"/>
  <c r="H51" i="2"/>
  <c r="F51" i="2"/>
  <c r="L51" i="2"/>
  <c r="G51" i="25"/>
  <c r="H52" i="25"/>
  <c r="J52" i="25"/>
  <c r="E52" i="25"/>
  <c r="AR55" i="4"/>
  <c r="W55" i="4"/>
  <c r="V55" i="4"/>
  <c r="T55" i="4"/>
  <c r="AJ55" i="4"/>
  <c r="AW55" i="4"/>
  <c r="CO55" i="4"/>
  <c r="CN55" i="4"/>
  <c r="DJ55" i="4"/>
  <c r="CP55" i="4"/>
  <c r="CM55" i="4"/>
  <c r="CL55" i="4"/>
  <c r="DI55" i="4"/>
  <c r="DH55" i="4"/>
  <c r="D55" i="4"/>
  <c r="B55" i="4"/>
  <c r="B52" i="5"/>
  <c r="HU55" i="4"/>
  <c r="D52" i="5"/>
  <c r="B52" i="25"/>
  <c r="D52" i="25"/>
  <c r="F52" i="25"/>
  <c r="B52" i="2"/>
  <c r="H52" i="42"/>
  <c r="F66" i="22"/>
  <c r="F51" i="42"/>
  <c r="G52" i="42"/>
  <c r="B52" i="42"/>
  <c r="C52" i="42"/>
  <c r="E52" i="42"/>
  <c r="I52" i="2"/>
  <c r="C55" i="48"/>
  <c r="J52" i="42"/>
  <c r="I52" i="42"/>
  <c r="M52" i="42"/>
  <c r="L52" i="42"/>
  <c r="J52" i="2"/>
  <c r="H52" i="2"/>
  <c r="F52" i="2"/>
  <c r="L52" i="2"/>
  <c r="G52" i="25"/>
  <c r="H53" i="25"/>
  <c r="J53" i="25"/>
  <c r="E53" i="25"/>
  <c r="AR56" i="4"/>
  <c r="W56" i="4"/>
  <c r="V56" i="4"/>
  <c r="T56" i="4"/>
  <c r="AJ56" i="4"/>
  <c r="AW56" i="4"/>
  <c r="CO56" i="4"/>
  <c r="CN56" i="4"/>
  <c r="DJ56" i="4"/>
  <c r="CP56" i="4"/>
  <c r="CM56" i="4"/>
  <c r="CL56" i="4"/>
  <c r="DI56" i="4"/>
  <c r="DH56" i="4"/>
  <c r="D56" i="4"/>
  <c r="B56" i="4"/>
  <c r="B53" i="5"/>
  <c r="HU56" i="4"/>
  <c r="D53" i="5"/>
  <c r="B53" i="25"/>
  <c r="D53" i="25"/>
  <c r="F53" i="25"/>
  <c r="B53" i="2"/>
  <c r="H53" i="42"/>
  <c r="F67" i="22"/>
  <c r="F52" i="42"/>
  <c r="G53" i="42"/>
  <c r="B53" i="42"/>
  <c r="C53" i="42"/>
  <c r="E53" i="42"/>
  <c r="I53" i="2"/>
  <c r="C56" i="48"/>
  <c r="J53" i="42"/>
  <c r="I53" i="42"/>
  <c r="M53" i="42"/>
  <c r="L53" i="42"/>
  <c r="J53" i="2"/>
  <c r="H53" i="2"/>
  <c r="F53" i="2"/>
  <c r="L53" i="2"/>
  <c r="G53" i="25"/>
  <c r="H54" i="25"/>
  <c r="J54" i="25"/>
  <c r="E54" i="25"/>
  <c r="AR57" i="4"/>
  <c r="W57" i="4"/>
  <c r="V57" i="4"/>
  <c r="T57" i="4"/>
  <c r="AJ57" i="4"/>
  <c r="AW57" i="4"/>
  <c r="CO57" i="4"/>
  <c r="CN57" i="4"/>
  <c r="DJ57" i="4"/>
  <c r="CP57" i="4"/>
  <c r="CM57" i="4"/>
  <c r="CL57" i="4"/>
  <c r="DI57" i="4"/>
  <c r="DH57" i="4"/>
  <c r="D57" i="4"/>
  <c r="B57" i="4"/>
  <c r="B54" i="5"/>
  <c r="HU57" i="4"/>
  <c r="D54" i="5"/>
  <c r="B54" i="25"/>
  <c r="D54" i="25"/>
  <c r="F54" i="25"/>
  <c r="B54" i="2"/>
  <c r="H54" i="42"/>
  <c r="F68" i="22"/>
  <c r="F53" i="42"/>
  <c r="G54" i="42"/>
  <c r="B54" i="42"/>
  <c r="C54" i="42"/>
  <c r="E54" i="42"/>
  <c r="I54" i="2"/>
  <c r="C57" i="48"/>
  <c r="J54" i="42"/>
  <c r="I54" i="42"/>
  <c r="M54" i="42"/>
  <c r="L54" i="42"/>
  <c r="J54" i="2"/>
  <c r="H54" i="2"/>
  <c r="F54" i="2"/>
  <c r="L54" i="2"/>
  <c r="B46" i="39"/>
  <c r="G54" i="25"/>
  <c r="H55" i="25"/>
  <c r="J55" i="25"/>
  <c r="E55" i="25"/>
  <c r="AR58" i="4"/>
  <c r="W58" i="4"/>
  <c r="V58" i="4"/>
  <c r="T58" i="4"/>
  <c r="AJ58" i="4"/>
  <c r="AW58" i="4"/>
  <c r="CO58" i="4"/>
  <c r="CN58" i="4"/>
  <c r="DJ58" i="4"/>
  <c r="CP58" i="4"/>
  <c r="CM58" i="4"/>
  <c r="CL58" i="4"/>
  <c r="DI58" i="4"/>
  <c r="DH58" i="4"/>
  <c r="D58" i="4"/>
  <c r="B58" i="4"/>
  <c r="B55" i="5"/>
  <c r="HU58" i="4"/>
  <c r="D55" i="5"/>
  <c r="B55" i="25"/>
  <c r="D55" i="25"/>
  <c r="F55" i="25"/>
  <c r="B55" i="2"/>
  <c r="H55" i="42"/>
  <c r="F69" i="22"/>
  <c r="F54" i="42"/>
  <c r="G55" i="42"/>
  <c r="B55" i="42"/>
  <c r="C55" i="42"/>
  <c r="E55" i="42"/>
  <c r="I55" i="2"/>
  <c r="C58" i="48"/>
  <c r="J55" i="42"/>
  <c r="I55" i="42"/>
  <c r="M55" i="42"/>
  <c r="L55" i="42"/>
  <c r="J55" i="2"/>
  <c r="H55" i="2"/>
  <c r="F55" i="2"/>
  <c r="L55" i="2"/>
  <c r="G55" i="25"/>
  <c r="H56" i="25"/>
  <c r="J56" i="25"/>
  <c r="E56" i="25"/>
  <c r="AR59" i="4"/>
  <c r="W59" i="4"/>
  <c r="V59" i="4"/>
  <c r="T59" i="4"/>
  <c r="AJ59" i="4"/>
  <c r="AW59" i="4"/>
  <c r="CO59" i="4"/>
  <c r="CN59" i="4"/>
  <c r="DJ59" i="4"/>
  <c r="CP59" i="4"/>
  <c r="CM59" i="4"/>
  <c r="CL59" i="4"/>
  <c r="DI59" i="4"/>
  <c r="DH59" i="4"/>
  <c r="D59" i="4"/>
  <c r="B59" i="4"/>
  <c r="B56" i="5"/>
  <c r="HU59" i="4"/>
  <c r="D56" i="5"/>
  <c r="B56" i="25"/>
  <c r="D56" i="25"/>
  <c r="F56" i="25"/>
  <c r="B56" i="2"/>
  <c r="H56" i="42"/>
  <c r="F70" i="22"/>
  <c r="F55" i="42"/>
  <c r="G56" i="42"/>
  <c r="B56" i="42"/>
  <c r="C56" i="42"/>
  <c r="E56" i="42"/>
  <c r="I56" i="2"/>
  <c r="C59" i="48"/>
  <c r="J56" i="42"/>
  <c r="I56" i="42"/>
  <c r="M56" i="42"/>
  <c r="L56" i="42"/>
  <c r="J56" i="2"/>
  <c r="H56" i="2"/>
  <c r="F56" i="2"/>
  <c r="L56" i="2"/>
  <c r="G56" i="25"/>
  <c r="H57" i="25"/>
  <c r="J57" i="25"/>
  <c r="E57" i="25"/>
  <c r="AR60" i="4"/>
  <c r="W60" i="4"/>
  <c r="V60" i="4"/>
  <c r="T60" i="4"/>
  <c r="AJ60" i="4"/>
  <c r="AW60" i="4"/>
  <c r="CO60" i="4"/>
  <c r="CN60" i="4"/>
  <c r="DJ60" i="4"/>
  <c r="CP60" i="4"/>
  <c r="CM60" i="4"/>
  <c r="CL60" i="4"/>
  <c r="DI60" i="4"/>
  <c r="DH60" i="4"/>
  <c r="D60" i="4"/>
  <c r="B60" i="4"/>
  <c r="B57" i="5"/>
  <c r="HU60" i="4"/>
  <c r="D57" i="5"/>
  <c r="B57" i="25"/>
  <c r="D57" i="25"/>
  <c r="F57" i="25"/>
  <c r="B57" i="2"/>
  <c r="H57" i="42"/>
  <c r="F71" i="22"/>
  <c r="F56" i="42"/>
  <c r="G57" i="42"/>
  <c r="B57" i="42"/>
  <c r="C57" i="42"/>
  <c r="E57" i="42"/>
  <c r="I57" i="2"/>
  <c r="C60" i="48"/>
  <c r="J57" i="42"/>
  <c r="I57" i="42"/>
  <c r="M57" i="42"/>
  <c r="L57" i="42"/>
  <c r="J57" i="2"/>
  <c r="H57" i="2"/>
  <c r="F57" i="2"/>
  <c r="L57" i="2"/>
  <c r="G57" i="25"/>
  <c r="H58" i="25"/>
  <c r="J58" i="25"/>
  <c r="E58" i="25"/>
  <c r="AR61" i="4"/>
  <c r="W61" i="4"/>
  <c r="V61" i="4"/>
  <c r="T61" i="4"/>
  <c r="AJ61" i="4"/>
  <c r="AW61" i="4"/>
  <c r="CO61" i="4"/>
  <c r="CN61" i="4"/>
  <c r="DJ61" i="4"/>
  <c r="CP61" i="4"/>
  <c r="CM61" i="4"/>
  <c r="CL61" i="4"/>
  <c r="DI61" i="4"/>
  <c r="DH61" i="4"/>
  <c r="D61" i="4"/>
  <c r="B61" i="4"/>
  <c r="B58" i="5"/>
  <c r="HU61" i="4"/>
  <c r="D58" i="5"/>
  <c r="B58" i="25"/>
  <c r="D58" i="25"/>
  <c r="F58" i="25"/>
  <c r="B58" i="2"/>
  <c r="H58" i="42"/>
  <c r="F72" i="22"/>
  <c r="F57" i="42"/>
  <c r="G58" i="42"/>
  <c r="B58" i="42"/>
  <c r="C58" i="42"/>
  <c r="E58" i="42"/>
  <c r="I58" i="2"/>
  <c r="C61" i="48"/>
  <c r="J58" i="42"/>
  <c r="I58" i="42"/>
  <c r="M58" i="42"/>
  <c r="L58" i="42"/>
  <c r="J58" i="2"/>
  <c r="H58" i="2"/>
  <c r="F58" i="2"/>
  <c r="L58" i="2"/>
  <c r="G58" i="25"/>
  <c r="H59" i="25"/>
  <c r="J59" i="25"/>
  <c r="E59" i="25"/>
  <c r="AR62" i="4"/>
  <c r="W62" i="4"/>
  <c r="V62" i="4"/>
  <c r="T62" i="4"/>
  <c r="AJ62" i="4"/>
  <c r="AW62" i="4"/>
  <c r="CO62" i="4"/>
  <c r="CN62" i="4"/>
  <c r="DJ62" i="4"/>
  <c r="CP62" i="4"/>
  <c r="CM62" i="4"/>
  <c r="CL62" i="4"/>
  <c r="DI62" i="4"/>
  <c r="DH62" i="4"/>
  <c r="D62" i="4"/>
  <c r="B62" i="4"/>
  <c r="B59" i="5"/>
  <c r="HU62" i="4"/>
  <c r="D59" i="5"/>
  <c r="B59" i="25"/>
  <c r="D59" i="25"/>
  <c r="F59" i="25"/>
  <c r="B59" i="2"/>
  <c r="H59" i="42"/>
  <c r="F73" i="22"/>
  <c r="F58" i="42"/>
  <c r="G59" i="42"/>
  <c r="B59" i="42"/>
  <c r="C59" i="42"/>
  <c r="E59" i="42"/>
  <c r="I59" i="2"/>
  <c r="C62" i="48"/>
  <c r="J59" i="42"/>
  <c r="I59" i="42"/>
  <c r="M59" i="42"/>
  <c r="L59" i="42"/>
  <c r="J59" i="2"/>
  <c r="H59" i="2"/>
  <c r="F59" i="2"/>
  <c r="L59" i="2"/>
  <c r="G59" i="25"/>
  <c r="H60" i="25"/>
  <c r="J60" i="25"/>
  <c r="E60" i="25"/>
  <c r="AR63" i="4"/>
  <c r="W63" i="4"/>
  <c r="V63" i="4"/>
  <c r="T63" i="4"/>
  <c r="AJ63" i="4"/>
  <c r="AW63" i="4"/>
  <c r="CO63" i="4"/>
  <c r="CN63" i="4"/>
  <c r="DJ63" i="4"/>
  <c r="CP63" i="4"/>
  <c r="CM63" i="4"/>
  <c r="CL63" i="4"/>
  <c r="DI63" i="4"/>
  <c r="DH63" i="4"/>
  <c r="D63" i="4"/>
  <c r="B63" i="4"/>
  <c r="B60" i="5"/>
  <c r="HU63" i="4"/>
  <c r="D60" i="5"/>
  <c r="B60" i="25"/>
  <c r="D60" i="25"/>
  <c r="F60" i="25"/>
  <c r="B60" i="2"/>
  <c r="H60" i="42"/>
  <c r="F74" i="22"/>
  <c r="F59" i="42"/>
  <c r="G60" i="42"/>
  <c r="B60" i="42"/>
  <c r="C60" i="42"/>
  <c r="E60" i="42"/>
  <c r="I60" i="2"/>
  <c r="C63" i="48"/>
  <c r="J60" i="42"/>
  <c r="I60" i="42"/>
  <c r="M60" i="42"/>
  <c r="L60" i="42"/>
  <c r="J60" i="2"/>
  <c r="H60" i="2"/>
  <c r="F60" i="2"/>
  <c r="L60" i="2"/>
  <c r="G60" i="25"/>
  <c r="H61" i="25"/>
  <c r="J61" i="25"/>
  <c r="E61" i="25"/>
  <c r="AR64" i="4"/>
  <c r="W64" i="4"/>
  <c r="V64" i="4"/>
  <c r="T64" i="4"/>
  <c r="AJ64" i="4"/>
  <c r="AW64" i="4"/>
  <c r="CO64" i="4"/>
  <c r="CN64" i="4"/>
  <c r="DJ64" i="4"/>
  <c r="CP64" i="4"/>
  <c r="CM64" i="4"/>
  <c r="CL64" i="4"/>
  <c r="DI64" i="4"/>
  <c r="DH64" i="4"/>
  <c r="D64" i="4"/>
  <c r="B64" i="4"/>
  <c r="B61" i="5"/>
  <c r="HU64" i="4"/>
  <c r="D61" i="5"/>
  <c r="B61" i="25"/>
  <c r="D61" i="25"/>
  <c r="F61" i="25"/>
  <c r="B61" i="2"/>
  <c r="H61" i="42"/>
  <c r="F75" i="22"/>
  <c r="F60" i="42"/>
  <c r="G61" i="42"/>
  <c r="B61" i="42"/>
  <c r="C61" i="42"/>
  <c r="E61" i="42"/>
  <c r="I61" i="2"/>
  <c r="C64" i="48"/>
  <c r="J61" i="42"/>
  <c r="I61" i="42"/>
  <c r="M61" i="42"/>
  <c r="L61" i="42"/>
  <c r="J61" i="2"/>
  <c r="H61" i="2"/>
  <c r="F61" i="2"/>
  <c r="L61" i="2"/>
  <c r="G61" i="25"/>
  <c r="H62" i="25"/>
  <c r="J62" i="25"/>
  <c r="E62" i="25"/>
  <c r="AR65" i="4"/>
  <c r="W65" i="4"/>
  <c r="V65" i="4"/>
  <c r="T65" i="4"/>
  <c r="AJ65" i="4"/>
  <c r="AW65" i="4"/>
  <c r="CO65" i="4"/>
  <c r="CN65" i="4"/>
  <c r="DJ65" i="4"/>
  <c r="CP65" i="4"/>
  <c r="CM65" i="4"/>
  <c r="CL65" i="4"/>
  <c r="DI65" i="4"/>
  <c r="DH65" i="4"/>
  <c r="D65" i="4"/>
  <c r="B65" i="4"/>
  <c r="B62" i="5"/>
  <c r="HU65" i="4"/>
  <c r="D62" i="5"/>
  <c r="B62" i="25"/>
  <c r="D62" i="25"/>
  <c r="F62" i="25"/>
  <c r="B62" i="2"/>
  <c r="H62" i="42"/>
  <c r="F76" i="22"/>
  <c r="F61" i="42"/>
  <c r="G62" i="42"/>
  <c r="B62" i="42"/>
  <c r="C62" i="42"/>
  <c r="E62" i="42"/>
  <c r="I62" i="2"/>
  <c r="C65" i="48"/>
  <c r="J62" i="42"/>
  <c r="I62" i="42"/>
  <c r="M62" i="42"/>
  <c r="L62" i="42"/>
  <c r="J62" i="2"/>
  <c r="H62" i="2"/>
  <c r="F62" i="2"/>
  <c r="L62" i="2"/>
  <c r="G62" i="25"/>
  <c r="H63" i="25"/>
  <c r="J63" i="25"/>
  <c r="E63" i="25"/>
  <c r="AR66" i="4"/>
  <c r="W66" i="4"/>
  <c r="V66" i="4"/>
  <c r="T66" i="4"/>
  <c r="AJ66" i="4"/>
  <c r="AW66" i="4"/>
  <c r="CO66" i="4"/>
  <c r="CN66" i="4"/>
  <c r="DJ66" i="4"/>
  <c r="CP66" i="4"/>
  <c r="CM66" i="4"/>
  <c r="CL66" i="4"/>
  <c r="DI66" i="4"/>
  <c r="DH66" i="4"/>
  <c r="D66" i="4"/>
  <c r="B66" i="4"/>
  <c r="B63" i="5"/>
  <c r="HU66" i="4"/>
  <c r="D63" i="5"/>
  <c r="B63" i="25"/>
  <c r="D63" i="25"/>
  <c r="F63" i="25"/>
  <c r="B63" i="2"/>
  <c r="H63" i="42"/>
  <c r="F77" i="22"/>
  <c r="F62" i="42"/>
  <c r="G63" i="42"/>
  <c r="B63" i="42"/>
  <c r="C63" i="42"/>
  <c r="E63" i="42"/>
  <c r="I63" i="2"/>
  <c r="C66" i="48"/>
  <c r="J63" i="42"/>
  <c r="I63" i="42"/>
  <c r="M63" i="42"/>
  <c r="L63" i="42"/>
  <c r="J63" i="2"/>
  <c r="H63" i="2"/>
  <c r="F63" i="2"/>
  <c r="L63" i="2"/>
  <c r="G63" i="25"/>
  <c r="H64" i="25"/>
  <c r="J64" i="25"/>
  <c r="E64" i="25"/>
  <c r="AR67" i="4"/>
  <c r="W67" i="4"/>
  <c r="V67" i="4"/>
  <c r="T67" i="4"/>
  <c r="AJ67" i="4"/>
  <c r="AW67" i="4"/>
  <c r="CO67" i="4"/>
  <c r="CN67" i="4"/>
  <c r="DJ67" i="4"/>
  <c r="CP67" i="4"/>
  <c r="CM67" i="4"/>
  <c r="CL67" i="4"/>
  <c r="DI67" i="4"/>
  <c r="DH67" i="4"/>
  <c r="D67" i="4"/>
  <c r="B67" i="4"/>
  <c r="B64" i="5"/>
  <c r="HU67" i="4"/>
  <c r="D64" i="5"/>
  <c r="B64" i="25"/>
  <c r="D64" i="25"/>
  <c r="F64" i="25"/>
  <c r="B64" i="2"/>
  <c r="H64" i="42"/>
  <c r="F78" i="22"/>
  <c r="F63" i="42"/>
  <c r="G64" i="42"/>
  <c r="B64" i="42"/>
  <c r="C64" i="42"/>
  <c r="E64" i="42"/>
  <c r="I64" i="2"/>
  <c r="C67" i="48"/>
  <c r="J64" i="42"/>
  <c r="I64" i="42"/>
  <c r="M64" i="42"/>
  <c r="L64" i="42"/>
  <c r="J64" i="2"/>
  <c r="H64" i="2"/>
  <c r="F64" i="2"/>
  <c r="L64" i="2"/>
  <c r="B56" i="39"/>
  <c r="G64" i="25"/>
  <c r="H65" i="25"/>
  <c r="J65" i="25"/>
  <c r="E65" i="25"/>
  <c r="AR68" i="4"/>
  <c r="W68" i="4"/>
  <c r="V68" i="4"/>
  <c r="T68" i="4"/>
  <c r="AJ68" i="4"/>
  <c r="AW68" i="4"/>
  <c r="CO68" i="4"/>
  <c r="CN68" i="4"/>
  <c r="DJ68" i="4"/>
  <c r="CP68" i="4"/>
  <c r="CM68" i="4"/>
  <c r="CL68" i="4"/>
  <c r="DI68" i="4"/>
  <c r="DH68" i="4"/>
  <c r="D68" i="4"/>
  <c r="B68" i="4"/>
  <c r="B65" i="5"/>
  <c r="HU68" i="4"/>
  <c r="D65" i="5"/>
  <c r="B65" i="25"/>
  <c r="D65" i="25"/>
  <c r="F65" i="25"/>
  <c r="B65" i="2"/>
  <c r="H65" i="42"/>
  <c r="F79" i="22"/>
  <c r="F64" i="42"/>
  <c r="G65" i="42"/>
  <c r="B65" i="42"/>
  <c r="C65" i="42"/>
  <c r="E65" i="42"/>
  <c r="I65" i="2"/>
  <c r="C68" i="48"/>
  <c r="J65" i="42"/>
  <c r="I65" i="42"/>
  <c r="M65" i="42"/>
  <c r="L65" i="42"/>
  <c r="J65" i="2"/>
  <c r="H65" i="2"/>
  <c r="M65" i="2"/>
  <c r="F65" i="34"/>
  <c r="G65" i="25"/>
  <c r="H66" i="25"/>
  <c r="J66" i="25"/>
  <c r="E66" i="25"/>
  <c r="AR69" i="4"/>
  <c r="W69" i="4"/>
  <c r="V69" i="4"/>
  <c r="T69" i="4"/>
  <c r="AJ69" i="4"/>
  <c r="AW69" i="4"/>
  <c r="CO69" i="4"/>
  <c r="CN69" i="4"/>
  <c r="DJ69" i="4"/>
  <c r="CP69" i="4"/>
  <c r="CM69" i="4"/>
  <c r="CL69" i="4"/>
  <c r="DI69" i="4"/>
  <c r="DH69" i="4"/>
  <c r="D69" i="4"/>
  <c r="B69" i="4"/>
  <c r="B66" i="5"/>
  <c r="HU69" i="4"/>
  <c r="D66" i="5"/>
  <c r="B66" i="25"/>
  <c r="D66" i="25"/>
  <c r="F66" i="25"/>
  <c r="B66" i="2"/>
  <c r="H66" i="42"/>
  <c r="F80" i="22"/>
  <c r="F65" i="42"/>
  <c r="G66" i="42"/>
  <c r="B66" i="42"/>
  <c r="C66" i="42"/>
  <c r="E66" i="42"/>
  <c r="I66" i="2"/>
  <c r="C69" i="48"/>
  <c r="J66" i="42"/>
  <c r="I66" i="42"/>
  <c r="M66" i="42"/>
  <c r="L66" i="42"/>
  <c r="J66" i="2"/>
  <c r="H66" i="2"/>
  <c r="M66" i="2"/>
  <c r="F66" i="34"/>
  <c r="G66" i="25"/>
  <c r="H67" i="25"/>
  <c r="J67" i="25"/>
  <c r="E67" i="25"/>
  <c r="AR70" i="4"/>
  <c r="W70" i="4"/>
  <c r="V70" i="4"/>
  <c r="T70" i="4"/>
  <c r="AJ70" i="4"/>
  <c r="AW70" i="4"/>
  <c r="CO70" i="4"/>
  <c r="CN70" i="4"/>
  <c r="DJ70" i="4"/>
  <c r="CP70" i="4"/>
  <c r="CM70" i="4"/>
  <c r="CL70" i="4"/>
  <c r="DI70" i="4"/>
  <c r="DH70" i="4"/>
  <c r="D70" i="4"/>
  <c r="B70" i="4"/>
  <c r="B67" i="5"/>
  <c r="HU70" i="4"/>
  <c r="D67" i="5"/>
  <c r="B67" i="25"/>
  <c r="D67" i="25"/>
  <c r="F67" i="25"/>
  <c r="B67" i="2"/>
  <c r="H67" i="42"/>
  <c r="F81" i="22"/>
  <c r="F66" i="42"/>
  <c r="G67" i="42"/>
  <c r="B67" i="42"/>
  <c r="C67" i="42"/>
  <c r="E67" i="42"/>
  <c r="I67" i="2"/>
  <c r="C70" i="48"/>
  <c r="J67" i="42"/>
  <c r="I67" i="42"/>
  <c r="M67" i="42"/>
  <c r="L67" i="42"/>
  <c r="J67" i="2"/>
  <c r="H67" i="2"/>
  <c r="M67" i="2"/>
  <c r="F67" i="34"/>
  <c r="D27" i="33"/>
  <c r="B27" i="33"/>
  <c r="D46" i="33"/>
  <c r="D26" i="33"/>
  <c r="B166" i="6"/>
  <c r="B26" i="33"/>
  <c r="D45" i="33"/>
  <c r="D25" i="33"/>
  <c r="B156" i="6"/>
  <c r="B25" i="33"/>
  <c r="D44" i="33"/>
  <c r="H139" i="29"/>
  <c r="H140" i="29"/>
  <c r="H141" i="29"/>
  <c r="H142" i="29"/>
  <c r="H143" i="29"/>
  <c r="H144" i="29"/>
  <c r="H145" i="29"/>
  <c r="H146" i="29"/>
  <c r="D24" i="33"/>
  <c r="B146" i="6"/>
  <c r="B24" i="33"/>
  <c r="D43" i="33"/>
  <c r="H129" i="29"/>
  <c r="H130" i="29"/>
  <c r="H131" i="29"/>
  <c r="H132" i="29"/>
  <c r="H133" i="29"/>
  <c r="H134" i="29"/>
  <c r="H135" i="29"/>
  <c r="H136" i="29"/>
  <c r="H137" i="29"/>
  <c r="H138" i="29"/>
  <c r="D23" i="33"/>
  <c r="B136" i="6"/>
  <c r="B23" i="33"/>
  <c r="D42" i="33"/>
  <c r="H109" i="29"/>
  <c r="D22" i="33"/>
  <c r="B22" i="33"/>
  <c r="D41" i="33"/>
  <c r="H79" i="29"/>
  <c r="D21" i="33"/>
  <c r="AR79" i="4"/>
  <c r="W79" i="4"/>
  <c r="V79" i="4"/>
  <c r="T79" i="4"/>
  <c r="AJ79" i="4"/>
  <c r="AW79" i="4"/>
  <c r="CO79" i="4"/>
  <c r="CN79" i="4"/>
  <c r="DJ79" i="4"/>
  <c r="CP79" i="4"/>
  <c r="CM79" i="4"/>
  <c r="CL79" i="4"/>
  <c r="DI79" i="4"/>
  <c r="DH79" i="4"/>
  <c r="D79" i="4"/>
  <c r="B79" i="4"/>
  <c r="B76" i="5"/>
  <c r="B21" i="33"/>
  <c r="D40" i="33"/>
  <c r="AR71" i="4"/>
  <c r="W71" i="4"/>
  <c r="V71" i="4"/>
  <c r="T71" i="4"/>
  <c r="AJ71" i="4"/>
  <c r="AW71" i="4"/>
  <c r="CO71" i="4"/>
  <c r="CN71" i="4"/>
  <c r="DJ71" i="4"/>
  <c r="CP71" i="4"/>
  <c r="CM71" i="4"/>
  <c r="CL71" i="4"/>
  <c r="DI71" i="4"/>
  <c r="DH71" i="4"/>
  <c r="D71" i="4"/>
  <c r="B71" i="4"/>
  <c r="B68" i="5"/>
  <c r="B20" i="33"/>
  <c r="D39" i="33"/>
  <c r="B19" i="33"/>
  <c r="D38" i="33"/>
  <c r="D36" i="33"/>
  <c r="B16" i="33"/>
  <c r="D35" i="33"/>
  <c r="D15" i="33"/>
  <c r="D34" i="33"/>
  <c r="D33" i="33"/>
  <c r="E33" i="33"/>
  <c r="E15" i="33"/>
  <c r="E34" i="33"/>
  <c r="E35" i="33"/>
  <c r="E36" i="33"/>
  <c r="E22" i="33"/>
  <c r="E41" i="33"/>
  <c r="D79" i="29"/>
  <c r="E21" i="33"/>
  <c r="E40" i="33"/>
  <c r="E20" i="33"/>
  <c r="E39" i="33"/>
  <c r="E38" i="33"/>
  <c r="E43" i="33"/>
  <c r="E24" i="33"/>
  <c r="E44" i="33"/>
  <c r="E25" i="33"/>
  <c r="E45" i="33"/>
  <c r="E26" i="33"/>
  <c r="E46" i="33"/>
  <c r="E27" i="33"/>
  <c r="E42" i="33"/>
  <c r="E23" i="33"/>
  <c r="I165" i="42"/>
  <c r="E165" i="42"/>
  <c r="C92" i="23"/>
  <c r="E92" i="23"/>
  <c r="F92" i="23"/>
  <c r="B92" i="23"/>
  <c r="G92" i="23"/>
  <c r="H92" i="23"/>
  <c r="G165" i="2"/>
  <c r="E166" i="39"/>
  <c r="L165" i="42"/>
  <c r="F166" i="39"/>
  <c r="D166" i="39"/>
  <c r="I165" i="2"/>
  <c r="J165" i="2"/>
  <c r="K165" i="2"/>
  <c r="H165" i="2"/>
  <c r="F165" i="2"/>
  <c r="C82" i="23"/>
  <c r="E82" i="23"/>
  <c r="F82" i="23"/>
  <c r="B82" i="23"/>
  <c r="G82" i="23"/>
  <c r="H82" i="23"/>
  <c r="G155" i="2"/>
  <c r="C83" i="23"/>
  <c r="E83" i="23"/>
  <c r="F83" i="23"/>
  <c r="B83" i="23"/>
  <c r="G83" i="23"/>
  <c r="H83" i="23"/>
  <c r="G156" i="2"/>
  <c r="C84" i="23"/>
  <c r="E84" i="23"/>
  <c r="F84" i="23"/>
  <c r="B84" i="23"/>
  <c r="G84" i="23"/>
  <c r="H84" i="23"/>
  <c r="G157" i="2"/>
  <c r="C85" i="23"/>
  <c r="E85" i="23"/>
  <c r="F85" i="23"/>
  <c r="B85" i="23"/>
  <c r="G85" i="23"/>
  <c r="H85" i="23"/>
  <c r="G158" i="2"/>
  <c r="C86" i="23"/>
  <c r="E86" i="23"/>
  <c r="F86" i="23"/>
  <c r="B86" i="23"/>
  <c r="G86" i="23"/>
  <c r="H86" i="23"/>
  <c r="G159" i="2"/>
  <c r="C87" i="23"/>
  <c r="E87" i="23"/>
  <c r="F87" i="23"/>
  <c r="B87" i="23"/>
  <c r="G87" i="23"/>
  <c r="H87" i="23"/>
  <c r="G160" i="2"/>
  <c r="C88" i="23"/>
  <c r="E88" i="23"/>
  <c r="F88" i="23"/>
  <c r="B88" i="23"/>
  <c r="G88" i="23"/>
  <c r="H88" i="23"/>
  <c r="G161" i="2"/>
  <c r="C89" i="23"/>
  <c r="E89" i="23"/>
  <c r="F89" i="23"/>
  <c r="B89" i="23"/>
  <c r="G89" i="23"/>
  <c r="H89" i="23"/>
  <c r="G162" i="2"/>
  <c r="C90" i="23"/>
  <c r="E90" i="23"/>
  <c r="F90" i="23"/>
  <c r="B90" i="23"/>
  <c r="G90" i="23"/>
  <c r="H90" i="23"/>
  <c r="G163" i="2"/>
  <c r="C91" i="23"/>
  <c r="E91" i="23"/>
  <c r="F91" i="23"/>
  <c r="B91" i="23"/>
  <c r="G91" i="23"/>
  <c r="H91" i="23"/>
  <c r="G164" i="2"/>
  <c r="E156" i="39"/>
  <c r="F156" i="39"/>
  <c r="D156" i="39"/>
  <c r="F155" i="2"/>
  <c r="F156" i="2"/>
  <c r="F157" i="2"/>
  <c r="F158" i="2"/>
  <c r="F159" i="2"/>
  <c r="F160" i="2"/>
  <c r="F161" i="2"/>
  <c r="F162" i="2"/>
  <c r="F163" i="2"/>
  <c r="F164" i="2"/>
  <c r="C72" i="23"/>
  <c r="E72" i="23"/>
  <c r="F72" i="23"/>
  <c r="B72" i="23"/>
  <c r="G72" i="23"/>
  <c r="H72" i="23"/>
  <c r="G145" i="2"/>
  <c r="C73" i="23"/>
  <c r="E73" i="23"/>
  <c r="F73" i="23"/>
  <c r="B73" i="23"/>
  <c r="G73" i="23"/>
  <c r="H73" i="23"/>
  <c r="G146" i="2"/>
  <c r="C74" i="23"/>
  <c r="E74" i="23"/>
  <c r="F74" i="23"/>
  <c r="B74" i="23"/>
  <c r="G74" i="23"/>
  <c r="H74" i="23"/>
  <c r="G147" i="2"/>
  <c r="C75" i="23"/>
  <c r="E75" i="23"/>
  <c r="F75" i="23"/>
  <c r="B75" i="23"/>
  <c r="G75" i="23"/>
  <c r="H75" i="23"/>
  <c r="G148" i="2"/>
  <c r="C76" i="23"/>
  <c r="E76" i="23"/>
  <c r="F76" i="23"/>
  <c r="B76" i="23"/>
  <c r="G76" i="23"/>
  <c r="H76" i="23"/>
  <c r="G149" i="2"/>
  <c r="C77" i="23"/>
  <c r="E77" i="23"/>
  <c r="F77" i="23"/>
  <c r="B77" i="23"/>
  <c r="G77" i="23"/>
  <c r="H77" i="23"/>
  <c r="G150" i="2"/>
  <c r="C78" i="23"/>
  <c r="E78" i="23"/>
  <c r="F78" i="23"/>
  <c r="B78" i="23"/>
  <c r="G78" i="23"/>
  <c r="H78" i="23"/>
  <c r="G151" i="2"/>
  <c r="C79" i="23"/>
  <c r="E79" i="23"/>
  <c r="F79" i="23"/>
  <c r="B79" i="23"/>
  <c r="G79" i="23"/>
  <c r="H79" i="23"/>
  <c r="G152" i="2"/>
  <c r="C80" i="23"/>
  <c r="E80" i="23"/>
  <c r="F80" i="23"/>
  <c r="B80" i="23"/>
  <c r="G80" i="23"/>
  <c r="H80" i="23"/>
  <c r="G153" i="2"/>
  <c r="C81" i="23"/>
  <c r="E81" i="23"/>
  <c r="F81" i="23"/>
  <c r="B81" i="23"/>
  <c r="G81" i="23"/>
  <c r="H81" i="23"/>
  <c r="G154" i="2"/>
  <c r="E146" i="39"/>
  <c r="F146" i="39"/>
  <c r="D146" i="39"/>
  <c r="F145" i="2"/>
  <c r="F146" i="2"/>
  <c r="F147" i="2"/>
  <c r="F148" i="2"/>
  <c r="F149" i="2"/>
  <c r="F150" i="2"/>
  <c r="F151" i="2"/>
  <c r="F152" i="2"/>
  <c r="F153" i="2"/>
  <c r="F154" i="2"/>
  <c r="C62" i="23"/>
  <c r="E62" i="23"/>
  <c r="F62" i="23"/>
  <c r="B62" i="23"/>
  <c r="G62" i="23"/>
  <c r="H62" i="23"/>
  <c r="G135" i="2"/>
  <c r="C63" i="23"/>
  <c r="E63" i="23"/>
  <c r="F63" i="23"/>
  <c r="B63" i="23"/>
  <c r="G63" i="23"/>
  <c r="H63" i="23"/>
  <c r="G136" i="2"/>
  <c r="C64" i="23"/>
  <c r="E64" i="23"/>
  <c r="F64" i="23"/>
  <c r="B64" i="23"/>
  <c r="G64" i="23"/>
  <c r="H64" i="23"/>
  <c r="G137" i="2"/>
  <c r="C65" i="23"/>
  <c r="E65" i="23"/>
  <c r="F65" i="23"/>
  <c r="B65" i="23"/>
  <c r="G65" i="23"/>
  <c r="H65" i="23"/>
  <c r="G138" i="2"/>
  <c r="C66" i="23"/>
  <c r="E66" i="23"/>
  <c r="F66" i="23"/>
  <c r="B66" i="23"/>
  <c r="G66" i="23"/>
  <c r="H66" i="23"/>
  <c r="G139" i="2"/>
  <c r="C67" i="23"/>
  <c r="E67" i="23"/>
  <c r="F67" i="23"/>
  <c r="B67" i="23"/>
  <c r="G67" i="23"/>
  <c r="H67" i="23"/>
  <c r="G140" i="2"/>
  <c r="C68" i="23"/>
  <c r="E68" i="23"/>
  <c r="F68" i="23"/>
  <c r="B68" i="23"/>
  <c r="G68" i="23"/>
  <c r="H68" i="23"/>
  <c r="G141" i="2"/>
  <c r="C69" i="23"/>
  <c r="E69" i="23"/>
  <c r="F69" i="23"/>
  <c r="B69" i="23"/>
  <c r="G69" i="23"/>
  <c r="H69" i="23"/>
  <c r="G142" i="2"/>
  <c r="C70" i="23"/>
  <c r="E70" i="23"/>
  <c r="F70" i="23"/>
  <c r="B70" i="23"/>
  <c r="G70" i="23"/>
  <c r="H70" i="23"/>
  <c r="G143" i="2"/>
  <c r="C71" i="23"/>
  <c r="E71" i="23"/>
  <c r="F71" i="23"/>
  <c r="B71" i="23"/>
  <c r="G71" i="23"/>
  <c r="H71" i="23"/>
  <c r="G144" i="2"/>
  <c r="E136" i="39"/>
  <c r="F136" i="39"/>
  <c r="D136" i="39"/>
  <c r="F135" i="2"/>
  <c r="F136" i="2"/>
  <c r="F137" i="2"/>
  <c r="F138" i="2"/>
  <c r="F139" i="2"/>
  <c r="F140" i="2"/>
  <c r="F141" i="2"/>
  <c r="F142" i="2"/>
  <c r="F143" i="2"/>
  <c r="F144" i="2"/>
  <c r="C52" i="23"/>
  <c r="E52" i="23"/>
  <c r="F52" i="23"/>
  <c r="B52" i="23"/>
  <c r="G52" i="23"/>
  <c r="H52" i="23"/>
  <c r="G125" i="2"/>
  <c r="C53" i="23"/>
  <c r="E53" i="23"/>
  <c r="F53" i="23"/>
  <c r="B53" i="23"/>
  <c r="G53" i="23"/>
  <c r="H53" i="23"/>
  <c r="G126" i="2"/>
  <c r="C54" i="23"/>
  <c r="E54" i="23"/>
  <c r="F54" i="23"/>
  <c r="B54" i="23"/>
  <c r="G54" i="23"/>
  <c r="H54" i="23"/>
  <c r="G127" i="2"/>
  <c r="C55" i="23"/>
  <c r="E55" i="23"/>
  <c r="F55" i="23"/>
  <c r="B55" i="23"/>
  <c r="G55" i="23"/>
  <c r="H55" i="23"/>
  <c r="G128" i="2"/>
  <c r="C56" i="23"/>
  <c r="E56" i="23"/>
  <c r="F56" i="23"/>
  <c r="B56" i="23"/>
  <c r="G56" i="23"/>
  <c r="H56" i="23"/>
  <c r="G129" i="2"/>
  <c r="C57" i="23"/>
  <c r="E57" i="23"/>
  <c r="F57" i="23"/>
  <c r="B57" i="23"/>
  <c r="G57" i="23"/>
  <c r="H57" i="23"/>
  <c r="G130" i="2"/>
  <c r="C58" i="23"/>
  <c r="E58" i="23"/>
  <c r="F58" i="23"/>
  <c r="B58" i="23"/>
  <c r="G58" i="23"/>
  <c r="H58" i="23"/>
  <c r="G131" i="2"/>
  <c r="C59" i="23"/>
  <c r="E59" i="23"/>
  <c r="F59" i="23"/>
  <c r="B59" i="23"/>
  <c r="G59" i="23"/>
  <c r="H59" i="23"/>
  <c r="G132" i="2"/>
  <c r="C60" i="23"/>
  <c r="E60" i="23"/>
  <c r="F60" i="23"/>
  <c r="B60" i="23"/>
  <c r="G60" i="23"/>
  <c r="H60" i="23"/>
  <c r="G133" i="2"/>
  <c r="C61" i="23"/>
  <c r="E61" i="23"/>
  <c r="F61" i="23"/>
  <c r="B61" i="23"/>
  <c r="G61" i="23"/>
  <c r="H61" i="23"/>
  <c r="G134" i="2"/>
  <c r="E126" i="39"/>
  <c r="F126" i="39"/>
  <c r="D126" i="39"/>
  <c r="F125" i="2"/>
  <c r="F126" i="2"/>
  <c r="F127" i="2"/>
  <c r="F128" i="2"/>
  <c r="F129" i="2"/>
  <c r="F130" i="2"/>
  <c r="F131" i="2"/>
  <c r="F132" i="2"/>
  <c r="F133" i="2"/>
  <c r="F134" i="2"/>
  <c r="CR111" i="29"/>
  <c r="CR112" i="29"/>
  <c r="CR113" i="29"/>
  <c r="CR114" i="29"/>
  <c r="CR115" i="29"/>
  <c r="CR116" i="29"/>
  <c r="CR117" i="29"/>
  <c r="CR118" i="29"/>
  <c r="CR119" i="29"/>
  <c r="C118" i="48"/>
  <c r="J115" i="42"/>
  <c r="I115" i="42"/>
  <c r="C119" i="48"/>
  <c r="J116" i="42"/>
  <c r="I116" i="42"/>
  <c r="CR121" i="29"/>
  <c r="C120" i="48"/>
  <c r="J117" i="42"/>
  <c r="I117" i="42"/>
  <c r="C121" i="48"/>
  <c r="J118" i="42"/>
  <c r="I118" i="42"/>
  <c r="C122" i="48"/>
  <c r="J119" i="42"/>
  <c r="I119" i="42"/>
  <c r="CR124" i="29"/>
  <c r="C123" i="48"/>
  <c r="J120" i="42"/>
  <c r="I120" i="42"/>
  <c r="CR125" i="29"/>
  <c r="C124" i="48"/>
  <c r="J121" i="42"/>
  <c r="I121" i="42"/>
  <c r="I122" i="42"/>
  <c r="I123" i="42"/>
  <c r="I124" i="42"/>
  <c r="E115" i="42"/>
  <c r="E116" i="42"/>
  <c r="E117" i="42"/>
  <c r="E118" i="42"/>
  <c r="E119" i="42"/>
  <c r="E120" i="42"/>
  <c r="E121" i="42"/>
  <c r="E122" i="42"/>
  <c r="E123" i="42"/>
  <c r="E124" i="42"/>
  <c r="C49" i="23"/>
  <c r="E49" i="23"/>
  <c r="F49" i="23"/>
  <c r="B49" i="23"/>
  <c r="C48" i="23"/>
  <c r="B48" i="23"/>
  <c r="C47" i="23"/>
  <c r="B47" i="23"/>
  <c r="C46" i="23"/>
  <c r="B46" i="23"/>
  <c r="C45" i="23"/>
  <c r="B45" i="23"/>
  <c r="C44" i="23"/>
  <c r="B44" i="23"/>
  <c r="C43" i="23"/>
  <c r="B43" i="23"/>
  <c r="C42" i="23"/>
  <c r="B42" i="23"/>
  <c r="G49" i="23"/>
  <c r="G42" i="23"/>
  <c r="H42" i="23"/>
  <c r="G115" i="2"/>
  <c r="G43" i="23"/>
  <c r="H43" i="23"/>
  <c r="G116" i="2"/>
  <c r="G44" i="23"/>
  <c r="H44" i="23"/>
  <c r="G117" i="2"/>
  <c r="G45" i="23"/>
  <c r="H45" i="23"/>
  <c r="G118" i="2"/>
  <c r="G46" i="23"/>
  <c r="H46" i="23"/>
  <c r="G119" i="2"/>
  <c r="G47" i="23"/>
  <c r="H47" i="23"/>
  <c r="G120" i="2"/>
  <c r="G48" i="23"/>
  <c r="H48" i="23"/>
  <c r="G121" i="2"/>
  <c r="H49" i="23"/>
  <c r="G122" i="2"/>
  <c r="C50" i="23"/>
  <c r="E50" i="23"/>
  <c r="F50" i="23"/>
  <c r="B50" i="23"/>
  <c r="G50" i="23"/>
  <c r="H50" i="23"/>
  <c r="G123" i="2"/>
  <c r="C51" i="23"/>
  <c r="E51" i="23"/>
  <c r="F51" i="23"/>
  <c r="B51" i="23"/>
  <c r="G51" i="23"/>
  <c r="H51" i="23"/>
  <c r="G124" i="2"/>
  <c r="E116" i="39"/>
  <c r="M115" i="42"/>
  <c r="L115" i="42"/>
  <c r="M116" i="42"/>
  <c r="L116" i="42"/>
  <c r="M117" i="42"/>
  <c r="L117" i="42"/>
  <c r="M118" i="42"/>
  <c r="L118" i="42"/>
  <c r="M119" i="42"/>
  <c r="L119" i="42"/>
  <c r="M120" i="42"/>
  <c r="L120" i="42"/>
  <c r="M121" i="42"/>
  <c r="L121" i="42"/>
  <c r="L122" i="42"/>
  <c r="L123" i="42"/>
  <c r="L124" i="42"/>
  <c r="F116" i="39"/>
  <c r="D116" i="39"/>
  <c r="I115" i="2"/>
  <c r="J115" i="2"/>
  <c r="H115" i="2"/>
  <c r="F115" i="2"/>
  <c r="I116" i="2"/>
  <c r="J116" i="2"/>
  <c r="H116" i="2"/>
  <c r="F116" i="2"/>
  <c r="I117" i="2"/>
  <c r="J117" i="2"/>
  <c r="H117" i="2"/>
  <c r="F117" i="2"/>
  <c r="I118" i="2"/>
  <c r="J118" i="2"/>
  <c r="H118" i="2"/>
  <c r="F118" i="2"/>
  <c r="I119" i="2"/>
  <c r="J119" i="2"/>
  <c r="H119" i="2"/>
  <c r="F119" i="2"/>
  <c r="I120" i="2"/>
  <c r="J120" i="2"/>
  <c r="H120" i="2"/>
  <c r="F120" i="2"/>
  <c r="I121" i="2"/>
  <c r="J121" i="2"/>
  <c r="H121" i="2"/>
  <c r="F121" i="2"/>
  <c r="I122" i="2"/>
  <c r="J122" i="2"/>
  <c r="K122" i="2"/>
  <c r="H122" i="2"/>
  <c r="F122" i="2"/>
  <c r="I123" i="2"/>
  <c r="J123" i="2"/>
  <c r="K123" i="2"/>
  <c r="H123" i="2"/>
  <c r="F123" i="2"/>
  <c r="I124" i="2"/>
  <c r="J124" i="2"/>
  <c r="K124" i="2"/>
  <c r="H124" i="2"/>
  <c r="F124" i="2"/>
  <c r="C108" i="48"/>
  <c r="J105" i="42"/>
  <c r="I105" i="42"/>
  <c r="C109" i="48"/>
  <c r="J106" i="42"/>
  <c r="I106" i="42"/>
  <c r="C110" i="48"/>
  <c r="J107" i="42"/>
  <c r="I107" i="42"/>
  <c r="C111" i="48"/>
  <c r="J108" i="42"/>
  <c r="I108" i="42"/>
  <c r="C112" i="48"/>
  <c r="J109" i="42"/>
  <c r="I109" i="42"/>
  <c r="C113" i="48"/>
  <c r="J110" i="42"/>
  <c r="I110" i="42"/>
  <c r="C114" i="48"/>
  <c r="J111" i="42"/>
  <c r="I111" i="42"/>
  <c r="C115" i="48"/>
  <c r="J112" i="42"/>
  <c r="I112" i="42"/>
  <c r="C116" i="48"/>
  <c r="J113" i="42"/>
  <c r="I113" i="42"/>
  <c r="C117" i="48"/>
  <c r="J114" i="42"/>
  <c r="I114" i="42"/>
  <c r="E68" i="42"/>
  <c r="H69" i="42"/>
  <c r="F83" i="22"/>
  <c r="F68" i="42"/>
  <c r="G69" i="42"/>
  <c r="AR72" i="4"/>
  <c r="W72" i="4"/>
  <c r="V72" i="4"/>
  <c r="T72" i="4"/>
  <c r="AJ72" i="4"/>
  <c r="AW72" i="4"/>
  <c r="CO72" i="4"/>
  <c r="CN72" i="4"/>
  <c r="CP72" i="4"/>
  <c r="CM72" i="4"/>
  <c r="CL72" i="4"/>
  <c r="DI72" i="4"/>
  <c r="DH72" i="4"/>
  <c r="D72" i="4"/>
  <c r="B72" i="4"/>
  <c r="B69" i="5"/>
  <c r="HU72" i="4"/>
  <c r="D69" i="5"/>
  <c r="B69" i="42"/>
  <c r="HU71" i="4"/>
  <c r="D68" i="5"/>
  <c r="B68" i="42"/>
  <c r="C69" i="42"/>
  <c r="E69" i="42"/>
  <c r="H70" i="42"/>
  <c r="F84" i="22"/>
  <c r="F69" i="42"/>
  <c r="G70" i="42"/>
  <c r="AR73" i="4"/>
  <c r="W73" i="4"/>
  <c r="V73" i="4"/>
  <c r="T73" i="4"/>
  <c r="AJ73" i="4"/>
  <c r="AW73" i="4"/>
  <c r="CO73" i="4"/>
  <c r="CN73" i="4"/>
  <c r="CP73" i="4"/>
  <c r="CM73" i="4"/>
  <c r="CL73" i="4"/>
  <c r="DI73" i="4"/>
  <c r="DH73" i="4"/>
  <c r="D73" i="4"/>
  <c r="B73" i="4"/>
  <c r="B70" i="5"/>
  <c r="HU73" i="4"/>
  <c r="D70" i="5"/>
  <c r="B70" i="42"/>
  <c r="C70" i="42"/>
  <c r="E70" i="42"/>
  <c r="H71" i="42"/>
  <c r="F85" i="22"/>
  <c r="F70" i="42"/>
  <c r="G71" i="42"/>
  <c r="AR74" i="4"/>
  <c r="W74" i="4"/>
  <c r="V74" i="4"/>
  <c r="T74" i="4"/>
  <c r="AJ74" i="4"/>
  <c r="AW74" i="4"/>
  <c r="CO74" i="4"/>
  <c r="CN74" i="4"/>
  <c r="CP74" i="4"/>
  <c r="CM74" i="4"/>
  <c r="CL74" i="4"/>
  <c r="DI74" i="4"/>
  <c r="DH74" i="4"/>
  <c r="D74" i="4"/>
  <c r="B74" i="4"/>
  <c r="B71" i="5"/>
  <c r="HU74" i="4"/>
  <c r="D71" i="5"/>
  <c r="B71" i="42"/>
  <c r="C71" i="42"/>
  <c r="E71" i="42"/>
  <c r="H72" i="42"/>
  <c r="F86" i="22"/>
  <c r="F71" i="42"/>
  <c r="G72" i="42"/>
  <c r="AR75" i="4"/>
  <c r="W75" i="4"/>
  <c r="V75" i="4"/>
  <c r="T75" i="4"/>
  <c r="AJ75" i="4"/>
  <c r="AW75" i="4"/>
  <c r="CO75" i="4"/>
  <c r="CN75" i="4"/>
  <c r="CP75" i="4"/>
  <c r="CM75" i="4"/>
  <c r="CL75" i="4"/>
  <c r="DI75" i="4"/>
  <c r="DH75" i="4"/>
  <c r="D75" i="4"/>
  <c r="B75" i="4"/>
  <c r="B72" i="5"/>
  <c r="HU75" i="4"/>
  <c r="D72" i="5"/>
  <c r="B72" i="42"/>
  <c r="C72" i="42"/>
  <c r="E72" i="42"/>
  <c r="H73" i="42"/>
  <c r="F87" i="22"/>
  <c r="F72" i="42"/>
  <c r="G73" i="42"/>
  <c r="K76" i="4"/>
  <c r="AR76" i="4"/>
  <c r="W76" i="4"/>
  <c r="V76" i="4"/>
  <c r="BJ76" i="4"/>
  <c r="CC76" i="4"/>
  <c r="CD76" i="4"/>
  <c r="CE76" i="4"/>
  <c r="E76" i="4"/>
  <c r="X76" i="4"/>
  <c r="T76" i="4"/>
  <c r="DJ76" i="4"/>
  <c r="AU76" i="4"/>
  <c r="AO76" i="4"/>
  <c r="BS76" i="4"/>
  <c r="BM76" i="4"/>
  <c r="AL76" i="4"/>
  <c r="BT76" i="4"/>
  <c r="AJ76" i="4"/>
  <c r="AW76" i="4"/>
  <c r="CO76" i="4"/>
  <c r="CN76" i="4"/>
  <c r="CP76" i="4"/>
  <c r="CM76" i="4"/>
  <c r="CQ76" i="4"/>
  <c r="CL76" i="4"/>
  <c r="DI76" i="4"/>
  <c r="DH76" i="4"/>
  <c r="D76" i="4"/>
  <c r="B76" i="4"/>
  <c r="B73" i="5"/>
  <c r="HU76" i="4"/>
  <c r="D73" i="5"/>
  <c r="B73" i="42"/>
  <c r="C73" i="42"/>
  <c r="E73" i="42"/>
  <c r="H74" i="42"/>
  <c r="F88" i="22"/>
  <c r="F73" i="42"/>
  <c r="G74" i="42"/>
  <c r="AR77" i="4"/>
  <c r="W77" i="4"/>
  <c r="V77" i="4"/>
  <c r="T77" i="4"/>
  <c r="AJ77" i="4"/>
  <c r="AW77" i="4"/>
  <c r="CO77" i="4"/>
  <c r="CN77" i="4"/>
  <c r="CP77" i="4"/>
  <c r="CM77" i="4"/>
  <c r="CL77" i="4"/>
  <c r="DI77" i="4"/>
  <c r="DH77" i="4"/>
  <c r="D77" i="4"/>
  <c r="B77" i="4"/>
  <c r="B74" i="5"/>
  <c r="HU77" i="4"/>
  <c r="D74" i="5"/>
  <c r="B74" i="42"/>
  <c r="C74" i="42"/>
  <c r="E74" i="42"/>
  <c r="H75" i="42"/>
  <c r="F89" i="22"/>
  <c r="F74" i="42"/>
  <c r="G75" i="42"/>
  <c r="HU79" i="4"/>
  <c r="D76" i="5"/>
  <c r="B75" i="42"/>
  <c r="C75" i="42"/>
  <c r="E75" i="42"/>
  <c r="H76" i="42"/>
  <c r="EB78" i="4"/>
  <c r="DY78" i="4"/>
  <c r="EC78" i="4"/>
  <c r="EE78" i="4"/>
  <c r="GP78" i="4"/>
  <c r="K90" i="22"/>
  <c r="Q90" i="22"/>
  <c r="F90" i="22"/>
  <c r="F75" i="42"/>
  <c r="G76" i="42"/>
  <c r="AR80" i="4"/>
  <c r="W80" i="4"/>
  <c r="V80" i="4"/>
  <c r="T80" i="4"/>
  <c r="AJ80" i="4"/>
  <c r="AW80" i="4"/>
  <c r="CO80" i="4"/>
  <c r="CN80" i="4"/>
  <c r="DJ80" i="4"/>
  <c r="CP80" i="4"/>
  <c r="CM80" i="4"/>
  <c r="CL80" i="4"/>
  <c r="DI80" i="4"/>
  <c r="DH80" i="4"/>
  <c r="D80" i="4"/>
  <c r="B80" i="4"/>
  <c r="B77" i="5"/>
  <c r="HU80" i="4"/>
  <c r="D77" i="5"/>
  <c r="B76" i="42"/>
  <c r="C76" i="42"/>
  <c r="E76" i="42"/>
  <c r="H77" i="42"/>
  <c r="DY79" i="4"/>
  <c r="EC79" i="4"/>
  <c r="EE79" i="4"/>
  <c r="GP79" i="4"/>
  <c r="K91" i="22"/>
  <c r="F91" i="22"/>
  <c r="F76" i="42"/>
  <c r="G77" i="42"/>
  <c r="AR81" i="4"/>
  <c r="W81" i="4"/>
  <c r="V81" i="4"/>
  <c r="T81" i="4"/>
  <c r="AJ81" i="4"/>
  <c r="AW81" i="4"/>
  <c r="CO81" i="4"/>
  <c r="CN81" i="4"/>
  <c r="DJ81" i="4"/>
  <c r="CP81" i="4"/>
  <c r="CM81" i="4"/>
  <c r="CL81" i="4"/>
  <c r="DI81" i="4"/>
  <c r="DH81" i="4"/>
  <c r="D81" i="4"/>
  <c r="B81" i="4"/>
  <c r="B78" i="5"/>
  <c r="HU81" i="4"/>
  <c r="D78" i="5"/>
  <c r="B77" i="42"/>
  <c r="C77" i="42"/>
  <c r="E77" i="42"/>
  <c r="H78" i="42"/>
  <c r="DY80" i="4"/>
  <c r="EC80" i="4"/>
  <c r="EE80" i="4"/>
  <c r="GP80" i="4"/>
  <c r="K92" i="22"/>
  <c r="F92" i="22"/>
  <c r="F77" i="42"/>
  <c r="G78" i="42"/>
  <c r="AR82" i="4"/>
  <c r="W82" i="4"/>
  <c r="V82" i="4"/>
  <c r="T82" i="4"/>
  <c r="AJ82" i="4"/>
  <c r="AW82" i="4"/>
  <c r="CO82" i="4"/>
  <c r="CN82" i="4"/>
  <c r="DJ82" i="4"/>
  <c r="CP82" i="4"/>
  <c r="CM82" i="4"/>
  <c r="CL82" i="4"/>
  <c r="DI82" i="4"/>
  <c r="DH82" i="4"/>
  <c r="D82" i="4"/>
  <c r="B82" i="4"/>
  <c r="B79" i="5"/>
  <c r="HU82" i="4"/>
  <c r="D79" i="5"/>
  <c r="B78" i="42"/>
  <c r="C78" i="42"/>
  <c r="E78" i="42"/>
  <c r="H79" i="42"/>
  <c r="DY81" i="4"/>
  <c r="EC81" i="4"/>
  <c r="EE81" i="4"/>
  <c r="GP81" i="4"/>
  <c r="K93" i="22"/>
  <c r="F93" i="22"/>
  <c r="F78" i="42"/>
  <c r="G79" i="42"/>
  <c r="AR83" i="4"/>
  <c r="W83" i="4"/>
  <c r="V83" i="4"/>
  <c r="T83" i="4"/>
  <c r="AJ83" i="4"/>
  <c r="AW83" i="4"/>
  <c r="CO83" i="4"/>
  <c r="CN83" i="4"/>
  <c r="DJ83" i="4"/>
  <c r="CP83" i="4"/>
  <c r="CM83" i="4"/>
  <c r="CL83" i="4"/>
  <c r="DI83" i="4"/>
  <c r="DH83" i="4"/>
  <c r="D83" i="4"/>
  <c r="B83" i="4"/>
  <c r="B80" i="5"/>
  <c r="HU83" i="4"/>
  <c r="D80" i="5"/>
  <c r="B79" i="42"/>
  <c r="C79" i="42"/>
  <c r="E79" i="42"/>
  <c r="H80" i="42"/>
  <c r="DY82" i="4"/>
  <c r="EC82" i="4"/>
  <c r="EE82" i="4"/>
  <c r="GP82" i="4"/>
  <c r="K94" i="22"/>
  <c r="F94" i="22"/>
  <c r="F79" i="42"/>
  <c r="G80" i="42"/>
  <c r="AR84" i="4"/>
  <c r="W84" i="4"/>
  <c r="V84" i="4"/>
  <c r="T84" i="4"/>
  <c r="AJ84" i="4"/>
  <c r="AW84" i="4"/>
  <c r="CO84" i="4"/>
  <c r="CN84" i="4"/>
  <c r="DJ84" i="4"/>
  <c r="CP84" i="4"/>
  <c r="CM84" i="4"/>
  <c r="CL84" i="4"/>
  <c r="DI84" i="4"/>
  <c r="DH84" i="4"/>
  <c r="D84" i="4"/>
  <c r="B84" i="4"/>
  <c r="B81" i="5"/>
  <c r="HU84" i="4"/>
  <c r="D81" i="5"/>
  <c r="B80" i="42"/>
  <c r="C80" i="42"/>
  <c r="E80" i="42"/>
  <c r="H81" i="42"/>
  <c r="DY83" i="4"/>
  <c r="EC83" i="4"/>
  <c r="EE83" i="4"/>
  <c r="GP83" i="4"/>
  <c r="K95" i="22"/>
  <c r="F95" i="22"/>
  <c r="F80" i="42"/>
  <c r="G81" i="42"/>
  <c r="AR85" i="4"/>
  <c r="W85" i="4"/>
  <c r="V85" i="4"/>
  <c r="T85" i="4"/>
  <c r="AJ85" i="4"/>
  <c r="AW85" i="4"/>
  <c r="CO85" i="4"/>
  <c r="CN85" i="4"/>
  <c r="DJ85" i="4"/>
  <c r="CP85" i="4"/>
  <c r="CM85" i="4"/>
  <c r="CL85" i="4"/>
  <c r="DI85" i="4"/>
  <c r="DH85" i="4"/>
  <c r="D85" i="4"/>
  <c r="B85" i="4"/>
  <c r="B82" i="5"/>
  <c r="HU85" i="4"/>
  <c r="D82" i="5"/>
  <c r="B81" i="42"/>
  <c r="C81" i="42"/>
  <c r="E81" i="42"/>
  <c r="H82" i="42"/>
  <c r="DY84" i="4"/>
  <c r="EC84" i="4"/>
  <c r="EE84" i="4"/>
  <c r="GP84" i="4"/>
  <c r="K96" i="22"/>
  <c r="F96" i="22"/>
  <c r="F81" i="42"/>
  <c r="G82" i="42"/>
  <c r="AR86" i="4"/>
  <c r="W86" i="4"/>
  <c r="V86" i="4"/>
  <c r="T86" i="4"/>
  <c r="AJ86" i="4"/>
  <c r="AW86" i="4"/>
  <c r="CO86" i="4"/>
  <c r="CN86" i="4"/>
  <c r="DJ86" i="4"/>
  <c r="CP86" i="4"/>
  <c r="CM86" i="4"/>
  <c r="CL86" i="4"/>
  <c r="DI86" i="4"/>
  <c r="DH86" i="4"/>
  <c r="D86" i="4"/>
  <c r="B86" i="4"/>
  <c r="B83" i="5"/>
  <c r="HU86" i="4"/>
  <c r="D83" i="5"/>
  <c r="B82" i="42"/>
  <c r="C82" i="42"/>
  <c r="E82" i="42"/>
  <c r="H83" i="42"/>
  <c r="DY85" i="4"/>
  <c r="EC85" i="4"/>
  <c r="EE85" i="4"/>
  <c r="GP85" i="4"/>
  <c r="K97" i="22"/>
  <c r="F97" i="22"/>
  <c r="F82" i="42"/>
  <c r="G83" i="42"/>
  <c r="AR87" i="4"/>
  <c r="W87" i="4"/>
  <c r="V87" i="4"/>
  <c r="T87" i="4"/>
  <c r="AJ87" i="4"/>
  <c r="AW87" i="4"/>
  <c r="CO87" i="4"/>
  <c r="CN87" i="4"/>
  <c r="DJ87" i="4"/>
  <c r="CP87" i="4"/>
  <c r="CM87" i="4"/>
  <c r="CL87" i="4"/>
  <c r="DI87" i="4"/>
  <c r="DH87" i="4"/>
  <c r="D87" i="4"/>
  <c r="B87" i="4"/>
  <c r="B84" i="5"/>
  <c r="HU87" i="4"/>
  <c r="D84" i="5"/>
  <c r="B83" i="42"/>
  <c r="C83" i="42"/>
  <c r="E83" i="42"/>
  <c r="H84" i="42"/>
  <c r="DY86" i="4"/>
  <c r="EC86" i="4"/>
  <c r="EE86" i="4"/>
  <c r="GP86" i="4"/>
  <c r="K98" i="22"/>
  <c r="F98" i="22"/>
  <c r="F83" i="42"/>
  <c r="G84" i="42"/>
  <c r="AR88" i="4"/>
  <c r="W88" i="4"/>
  <c r="V88" i="4"/>
  <c r="T88" i="4"/>
  <c r="AJ88" i="4"/>
  <c r="AW88" i="4"/>
  <c r="CO88" i="4"/>
  <c r="CN88" i="4"/>
  <c r="DJ88" i="4"/>
  <c r="CP88" i="4"/>
  <c r="CM88" i="4"/>
  <c r="CL88" i="4"/>
  <c r="DI88" i="4"/>
  <c r="DH88" i="4"/>
  <c r="D88" i="4"/>
  <c r="B88" i="4"/>
  <c r="B85" i="5"/>
  <c r="HU88" i="4"/>
  <c r="D85" i="5"/>
  <c r="B84" i="42"/>
  <c r="C84" i="42"/>
  <c r="E84" i="42"/>
  <c r="H85" i="42"/>
  <c r="DY87" i="4"/>
  <c r="EC87" i="4"/>
  <c r="EE87" i="4"/>
  <c r="GP87" i="4"/>
  <c r="K99" i="22"/>
  <c r="F99" i="22"/>
  <c r="F84" i="42"/>
  <c r="G85" i="42"/>
  <c r="AR89" i="4"/>
  <c r="W89" i="4"/>
  <c r="V89" i="4"/>
  <c r="T89" i="4"/>
  <c r="AJ89" i="4"/>
  <c r="AW89" i="4"/>
  <c r="CO89" i="4"/>
  <c r="CN89" i="4"/>
  <c r="DJ89" i="4"/>
  <c r="CP89" i="4"/>
  <c r="CM89" i="4"/>
  <c r="CL89" i="4"/>
  <c r="DI89" i="4"/>
  <c r="DH89" i="4"/>
  <c r="D89" i="4"/>
  <c r="B89" i="4"/>
  <c r="B86" i="5"/>
  <c r="HU89" i="4"/>
  <c r="D86" i="5"/>
  <c r="B85" i="42"/>
  <c r="C85" i="42"/>
  <c r="E85" i="42"/>
  <c r="H86" i="42"/>
  <c r="DY88" i="4"/>
  <c r="EC88" i="4"/>
  <c r="EE88" i="4"/>
  <c r="GP88" i="4"/>
  <c r="K100" i="22"/>
  <c r="F100" i="22"/>
  <c r="F85" i="42"/>
  <c r="G86" i="42"/>
  <c r="AR90" i="4"/>
  <c r="W90" i="4"/>
  <c r="V90" i="4"/>
  <c r="T90" i="4"/>
  <c r="AJ90" i="4"/>
  <c r="AW90" i="4"/>
  <c r="CO90" i="4"/>
  <c r="CN90" i="4"/>
  <c r="DJ90" i="4"/>
  <c r="CP90" i="4"/>
  <c r="CM90" i="4"/>
  <c r="CL90" i="4"/>
  <c r="DI90" i="4"/>
  <c r="DH90" i="4"/>
  <c r="D90" i="4"/>
  <c r="B90" i="4"/>
  <c r="B87" i="5"/>
  <c r="HU90" i="4"/>
  <c r="D87" i="5"/>
  <c r="B86" i="42"/>
  <c r="C86" i="42"/>
  <c r="E86" i="42"/>
  <c r="H87" i="42"/>
  <c r="DY89" i="4"/>
  <c r="EC89" i="4"/>
  <c r="EE89" i="4"/>
  <c r="GP89" i="4"/>
  <c r="K101" i="22"/>
  <c r="F101" i="22"/>
  <c r="F86" i="42"/>
  <c r="G87" i="42"/>
  <c r="AR91" i="4"/>
  <c r="W91" i="4"/>
  <c r="V91" i="4"/>
  <c r="T91" i="4"/>
  <c r="AJ91" i="4"/>
  <c r="AW91" i="4"/>
  <c r="CO91" i="4"/>
  <c r="CN91" i="4"/>
  <c r="DJ91" i="4"/>
  <c r="CP91" i="4"/>
  <c r="CM91" i="4"/>
  <c r="CL91" i="4"/>
  <c r="DI91" i="4"/>
  <c r="DH91" i="4"/>
  <c r="D91" i="4"/>
  <c r="B91" i="4"/>
  <c r="B88" i="5"/>
  <c r="HU91" i="4"/>
  <c r="D88" i="5"/>
  <c r="B87" i="42"/>
  <c r="C87" i="42"/>
  <c r="E87" i="42"/>
  <c r="H88" i="42"/>
  <c r="DY90" i="4"/>
  <c r="EC90" i="4"/>
  <c r="EE90" i="4"/>
  <c r="GP90" i="4"/>
  <c r="K102" i="22"/>
  <c r="F102" i="22"/>
  <c r="F87" i="42"/>
  <c r="G88" i="42"/>
  <c r="AR92" i="4"/>
  <c r="W92" i="4"/>
  <c r="V92" i="4"/>
  <c r="T92" i="4"/>
  <c r="AJ92" i="4"/>
  <c r="AW92" i="4"/>
  <c r="CO92" i="4"/>
  <c r="CN92" i="4"/>
  <c r="DJ92" i="4"/>
  <c r="CP92" i="4"/>
  <c r="CM92" i="4"/>
  <c r="CL92" i="4"/>
  <c r="DI92" i="4"/>
  <c r="DH92" i="4"/>
  <c r="D92" i="4"/>
  <c r="B92" i="4"/>
  <c r="B89" i="5"/>
  <c r="HU92" i="4"/>
  <c r="D89" i="5"/>
  <c r="B88" i="42"/>
  <c r="C88" i="42"/>
  <c r="E88" i="42"/>
  <c r="H89" i="42"/>
  <c r="DY91" i="4"/>
  <c r="EC91" i="4"/>
  <c r="EE91" i="4"/>
  <c r="GP91" i="4"/>
  <c r="K103" i="22"/>
  <c r="F103" i="22"/>
  <c r="F88" i="42"/>
  <c r="G89" i="42"/>
  <c r="AR93" i="4"/>
  <c r="W93" i="4"/>
  <c r="V93" i="4"/>
  <c r="T93" i="4"/>
  <c r="AJ93" i="4"/>
  <c r="AW93" i="4"/>
  <c r="CO93" i="4"/>
  <c r="CN93" i="4"/>
  <c r="DJ93" i="4"/>
  <c r="CP93" i="4"/>
  <c r="CM93" i="4"/>
  <c r="CL93" i="4"/>
  <c r="DI93" i="4"/>
  <c r="DH93" i="4"/>
  <c r="D93" i="4"/>
  <c r="B93" i="4"/>
  <c r="B90" i="5"/>
  <c r="HU93" i="4"/>
  <c r="D90" i="5"/>
  <c r="B89" i="42"/>
  <c r="C89" i="42"/>
  <c r="E89" i="42"/>
  <c r="H90" i="42"/>
  <c r="DY92" i="4"/>
  <c r="EC92" i="4"/>
  <c r="EE92" i="4"/>
  <c r="GP92" i="4"/>
  <c r="K104" i="22"/>
  <c r="F104" i="22"/>
  <c r="F89" i="42"/>
  <c r="G90" i="42"/>
  <c r="AR94" i="4"/>
  <c r="W94" i="4"/>
  <c r="V94" i="4"/>
  <c r="T94" i="4"/>
  <c r="AJ94" i="4"/>
  <c r="AW94" i="4"/>
  <c r="CO94" i="4"/>
  <c r="CN94" i="4"/>
  <c r="DJ94" i="4"/>
  <c r="CP94" i="4"/>
  <c r="CM94" i="4"/>
  <c r="CL94" i="4"/>
  <c r="DI94" i="4"/>
  <c r="DH94" i="4"/>
  <c r="D94" i="4"/>
  <c r="B94" i="4"/>
  <c r="B91" i="5"/>
  <c r="HU94" i="4"/>
  <c r="D91" i="5"/>
  <c r="B90" i="42"/>
  <c r="C90" i="42"/>
  <c r="E90" i="42"/>
  <c r="H91" i="42"/>
  <c r="DY93" i="4"/>
  <c r="EC93" i="4"/>
  <c r="EE93" i="4"/>
  <c r="GP93" i="4"/>
  <c r="K105" i="22"/>
  <c r="F105" i="22"/>
  <c r="F90" i="42"/>
  <c r="G91" i="42"/>
  <c r="AR95" i="4"/>
  <c r="W95" i="4"/>
  <c r="V95" i="4"/>
  <c r="T95" i="4"/>
  <c r="AJ95" i="4"/>
  <c r="AW95" i="4"/>
  <c r="CO95" i="4"/>
  <c r="CN95" i="4"/>
  <c r="DJ95" i="4"/>
  <c r="CP95" i="4"/>
  <c r="CM95" i="4"/>
  <c r="CL95" i="4"/>
  <c r="DI95" i="4"/>
  <c r="DH95" i="4"/>
  <c r="D95" i="4"/>
  <c r="B95" i="4"/>
  <c r="B92" i="5"/>
  <c r="HU95" i="4"/>
  <c r="D92" i="5"/>
  <c r="B91" i="42"/>
  <c r="C91" i="42"/>
  <c r="E91" i="42"/>
  <c r="H92" i="42"/>
  <c r="DY94" i="4"/>
  <c r="EC94" i="4"/>
  <c r="EE94" i="4"/>
  <c r="GP94" i="4"/>
  <c r="K106" i="22"/>
  <c r="F106" i="22"/>
  <c r="F91" i="42"/>
  <c r="G92" i="42"/>
  <c r="AR96" i="4"/>
  <c r="W96" i="4"/>
  <c r="V96" i="4"/>
  <c r="T96" i="4"/>
  <c r="AJ96" i="4"/>
  <c r="AW96" i="4"/>
  <c r="CO96" i="4"/>
  <c r="CN96" i="4"/>
  <c r="DJ96" i="4"/>
  <c r="CP96" i="4"/>
  <c r="CM96" i="4"/>
  <c r="CL96" i="4"/>
  <c r="DI96" i="4"/>
  <c r="DH96" i="4"/>
  <c r="D96" i="4"/>
  <c r="B96" i="4"/>
  <c r="B93" i="5"/>
  <c r="HU96" i="4"/>
  <c r="D93" i="5"/>
  <c r="B92" i="42"/>
  <c r="C92" i="42"/>
  <c r="E92" i="42"/>
  <c r="H93" i="42"/>
  <c r="DY95" i="4"/>
  <c r="EC95" i="4"/>
  <c r="EE95" i="4"/>
  <c r="GP95" i="4"/>
  <c r="K107" i="22"/>
  <c r="F107" i="22"/>
  <c r="F92" i="42"/>
  <c r="G93" i="42"/>
  <c r="AR97" i="4"/>
  <c r="W97" i="4"/>
  <c r="V97" i="4"/>
  <c r="T97" i="4"/>
  <c r="AJ97" i="4"/>
  <c r="AW97" i="4"/>
  <c r="CO97" i="4"/>
  <c r="CN97" i="4"/>
  <c r="DJ97" i="4"/>
  <c r="CP97" i="4"/>
  <c r="CM97" i="4"/>
  <c r="CL97" i="4"/>
  <c r="DI97" i="4"/>
  <c r="DH97" i="4"/>
  <c r="D97" i="4"/>
  <c r="B97" i="4"/>
  <c r="B94" i="5"/>
  <c r="HU97" i="4"/>
  <c r="D94" i="5"/>
  <c r="B93" i="42"/>
  <c r="C93" i="42"/>
  <c r="E93" i="42"/>
  <c r="H94" i="42"/>
  <c r="DY96" i="4"/>
  <c r="EC96" i="4"/>
  <c r="EE96" i="4"/>
  <c r="GP96" i="4"/>
  <c r="K108" i="22"/>
  <c r="F108" i="22"/>
  <c r="F93" i="42"/>
  <c r="G94" i="42"/>
  <c r="AR98" i="4"/>
  <c r="W98" i="4"/>
  <c r="V98" i="4"/>
  <c r="T98" i="4"/>
  <c r="AJ98" i="4"/>
  <c r="AU98" i="4"/>
  <c r="AW98" i="4"/>
  <c r="CO98" i="4"/>
  <c r="CN98" i="4"/>
  <c r="DJ98" i="4"/>
  <c r="CP98" i="4"/>
  <c r="CM98" i="4"/>
  <c r="CL98" i="4"/>
  <c r="DI98" i="4"/>
  <c r="DH98" i="4"/>
  <c r="D98" i="4"/>
  <c r="B98" i="4"/>
  <c r="B95" i="5"/>
  <c r="HU98" i="4"/>
  <c r="D95" i="5"/>
  <c r="B94" i="42"/>
  <c r="C94" i="42"/>
  <c r="E94" i="42"/>
  <c r="H95" i="42"/>
  <c r="DY97" i="4"/>
  <c r="EC97" i="4"/>
  <c r="EE97" i="4"/>
  <c r="GP97" i="4"/>
  <c r="K109" i="22"/>
  <c r="F109" i="22"/>
  <c r="F94" i="42"/>
  <c r="G95" i="42"/>
  <c r="AR99" i="4"/>
  <c r="W99" i="4"/>
  <c r="V99" i="4"/>
  <c r="T99" i="4"/>
  <c r="AJ99" i="4"/>
  <c r="AU99" i="4"/>
  <c r="AW99" i="4"/>
  <c r="CO99" i="4"/>
  <c r="CN99" i="4"/>
  <c r="DJ99" i="4"/>
  <c r="CP99" i="4"/>
  <c r="CM99" i="4"/>
  <c r="CL99" i="4"/>
  <c r="DI99" i="4"/>
  <c r="DH99" i="4"/>
  <c r="D99" i="4"/>
  <c r="B99" i="4"/>
  <c r="B96" i="5"/>
  <c r="HU99" i="4"/>
  <c r="D96" i="5"/>
  <c r="B95" i="42"/>
  <c r="C95" i="42"/>
  <c r="E95" i="42"/>
  <c r="H96" i="42"/>
  <c r="EB98" i="4"/>
  <c r="DY98" i="4"/>
  <c r="EC98" i="4"/>
  <c r="ED98" i="4"/>
  <c r="EE98" i="4"/>
  <c r="GP98" i="4"/>
  <c r="K110" i="22"/>
  <c r="F110" i="22"/>
  <c r="F95" i="42"/>
  <c r="G96" i="42"/>
  <c r="AR100" i="4"/>
  <c r="W100" i="4"/>
  <c r="V100" i="4"/>
  <c r="T100" i="4"/>
  <c r="AJ100" i="4"/>
  <c r="AU100" i="4"/>
  <c r="AW100" i="4"/>
  <c r="CO100" i="4"/>
  <c r="CN100" i="4"/>
  <c r="DJ100" i="4"/>
  <c r="CP100" i="4"/>
  <c r="CM100" i="4"/>
  <c r="CL100" i="4"/>
  <c r="DI100" i="4"/>
  <c r="DH100" i="4"/>
  <c r="D100" i="4"/>
  <c r="B100" i="4"/>
  <c r="B97" i="5"/>
  <c r="HU100" i="4"/>
  <c r="D97" i="5"/>
  <c r="B96" i="42"/>
  <c r="C96" i="42"/>
  <c r="E96" i="42"/>
  <c r="H97" i="42"/>
  <c r="EB99" i="4"/>
  <c r="DY99" i="4"/>
  <c r="EC99" i="4"/>
  <c r="ED99" i="4"/>
  <c r="EE99" i="4"/>
  <c r="GP99" i="4"/>
  <c r="K111" i="22"/>
  <c r="F111" i="22"/>
  <c r="F96" i="42"/>
  <c r="G97" i="42"/>
  <c r="AR101" i="4"/>
  <c r="W101" i="4"/>
  <c r="V101" i="4"/>
  <c r="T101" i="4"/>
  <c r="AJ101" i="4"/>
  <c r="AU101" i="4"/>
  <c r="AW101" i="4"/>
  <c r="CO101" i="4"/>
  <c r="CN101" i="4"/>
  <c r="DJ101" i="4"/>
  <c r="CP101" i="4"/>
  <c r="CM101" i="4"/>
  <c r="CL101" i="4"/>
  <c r="DI101" i="4"/>
  <c r="DH101" i="4"/>
  <c r="D101" i="4"/>
  <c r="B101" i="4"/>
  <c r="B98" i="5"/>
  <c r="HU101" i="4"/>
  <c r="D98" i="5"/>
  <c r="B97" i="42"/>
  <c r="C97" i="42"/>
  <c r="E97" i="42"/>
  <c r="H98" i="42"/>
  <c r="EB100" i="4"/>
  <c r="DY100" i="4"/>
  <c r="EC100" i="4"/>
  <c r="ED100" i="4"/>
  <c r="EE100" i="4"/>
  <c r="GP100" i="4"/>
  <c r="K112" i="22"/>
  <c r="F112" i="22"/>
  <c r="F97" i="42"/>
  <c r="G98" i="42"/>
  <c r="AR102" i="4"/>
  <c r="W102" i="4"/>
  <c r="V102" i="4"/>
  <c r="T102" i="4"/>
  <c r="AJ102" i="4"/>
  <c r="AU102" i="4"/>
  <c r="AW102" i="4"/>
  <c r="CO102" i="4"/>
  <c r="CN102" i="4"/>
  <c r="DJ102" i="4"/>
  <c r="CP102" i="4"/>
  <c r="CM102" i="4"/>
  <c r="CL102" i="4"/>
  <c r="DI102" i="4"/>
  <c r="DH102" i="4"/>
  <c r="D102" i="4"/>
  <c r="B102" i="4"/>
  <c r="B99" i="5"/>
  <c r="HU102" i="4"/>
  <c r="D99" i="5"/>
  <c r="B98" i="42"/>
  <c r="C98" i="42"/>
  <c r="E98" i="42"/>
  <c r="H99" i="42"/>
  <c r="EB101" i="4"/>
  <c r="DY101" i="4"/>
  <c r="EC101" i="4"/>
  <c r="ED101" i="4"/>
  <c r="EE101" i="4"/>
  <c r="GP101" i="4"/>
  <c r="K113" i="22"/>
  <c r="F113" i="22"/>
  <c r="F98" i="42"/>
  <c r="G99" i="42"/>
  <c r="AR103" i="4"/>
  <c r="W103" i="4"/>
  <c r="V103" i="4"/>
  <c r="T103" i="4"/>
  <c r="AJ103" i="4"/>
  <c r="AU103" i="4"/>
  <c r="AW103" i="4"/>
  <c r="CO103" i="4"/>
  <c r="CN103" i="4"/>
  <c r="DJ103" i="4"/>
  <c r="CP103" i="4"/>
  <c r="CM103" i="4"/>
  <c r="CL103" i="4"/>
  <c r="DI103" i="4"/>
  <c r="DH103" i="4"/>
  <c r="D103" i="4"/>
  <c r="B103" i="4"/>
  <c r="B100" i="5"/>
  <c r="HU103" i="4"/>
  <c r="D100" i="5"/>
  <c r="B99" i="42"/>
  <c r="C99" i="42"/>
  <c r="E99" i="42"/>
  <c r="H100" i="42"/>
  <c r="EB102" i="4"/>
  <c r="DY102" i="4"/>
  <c r="EC102" i="4"/>
  <c r="ED102" i="4"/>
  <c r="EE102" i="4"/>
  <c r="GP102" i="4"/>
  <c r="K114" i="22"/>
  <c r="F114" i="22"/>
  <c r="F99" i="42"/>
  <c r="G100" i="42"/>
  <c r="AR104" i="4"/>
  <c r="W104" i="4"/>
  <c r="V104" i="4"/>
  <c r="T104" i="4"/>
  <c r="AJ104" i="4"/>
  <c r="AU104" i="4"/>
  <c r="AW104" i="4"/>
  <c r="CO104" i="4"/>
  <c r="CN104" i="4"/>
  <c r="DJ104" i="4"/>
  <c r="CP104" i="4"/>
  <c r="CM104" i="4"/>
  <c r="CL104" i="4"/>
  <c r="DI104" i="4"/>
  <c r="DH104" i="4"/>
  <c r="D104" i="4"/>
  <c r="B104" i="4"/>
  <c r="B101" i="5"/>
  <c r="HU104" i="4"/>
  <c r="D101" i="5"/>
  <c r="B100" i="42"/>
  <c r="C100" i="42"/>
  <c r="E100" i="42"/>
  <c r="H101" i="42"/>
  <c r="EB103" i="4"/>
  <c r="DY103" i="4"/>
  <c r="EC103" i="4"/>
  <c r="ED103" i="4"/>
  <c r="EE103" i="4"/>
  <c r="GP103" i="4"/>
  <c r="K115" i="22"/>
  <c r="F115" i="22"/>
  <c r="F100" i="42"/>
  <c r="G101" i="42"/>
  <c r="AR105" i="4"/>
  <c r="W105" i="4"/>
  <c r="V105" i="4"/>
  <c r="T105" i="4"/>
  <c r="AJ105" i="4"/>
  <c r="AU105" i="4"/>
  <c r="AW105" i="4"/>
  <c r="CO105" i="4"/>
  <c r="CN105" i="4"/>
  <c r="DJ105" i="4"/>
  <c r="CP105" i="4"/>
  <c r="CM105" i="4"/>
  <c r="CL105" i="4"/>
  <c r="DI105" i="4"/>
  <c r="DH105" i="4"/>
  <c r="D105" i="4"/>
  <c r="B105" i="4"/>
  <c r="B102" i="5"/>
  <c r="HU105" i="4"/>
  <c r="D102" i="5"/>
  <c r="B101" i="42"/>
  <c r="C101" i="42"/>
  <c r="E101" i="42"/>
  <c r="H102" i="42"/>
  <c r="EB104" i="4"/>
  <c r="DY104" i="4"/>
  <c r="EC104" i="4"/>
  <c r="ED104" i="4"/>
  <c r="EE104" i="4"/>
  <c r="GP104" i="4"/>
  <c r="K116" i="22"/>
  <c r="F116" i="22"/>
  <c r="F101" i="42"/>
  <c r="G102" i="42"/>
  <c r="B103" i="5"/>
  <c r="HU106" i="4"/>
  <c r="D103" i="5"/>
  <c r="B102" i="42"/>
  <c r="C102" i="42"/>
  <c r="E102" i="42"/>
  <c r="H103" i="42"/>
  <c r="GP105" i="4"/>
  <c r="K117" i="22"/>
  <c r="F117" i="22"/>
  <c r="F102" i="42"/>
  <c r="G103" i="42"/>
  <c r="K107" i="4"/>
  <c r="BG107" i="29"/>
  <c r="AI107" i="4"/>
  <c r="T107" i="4"/>
  <c r="AO107" i="4"/>
  <c r="BS107" i="4"/>
  <c r="BM107" i="4"/>
  <c r="AL107" i="4"/>
  <c r="AJ107" i="4"/>
  <c r="DB107" i="4"/>
  <c r="CN107" i="4"/>
  <c r="BJ107" i="4"/>
  <c r="DJ107" i="4"/>
  <c r="CV107" i="4"/>
  <c r="CP107" i="4"/>
  <c r="CM107" i="4"/>
  <c r="CL107" i="4"/>
  <c r="DI107" i="4"/>
  <c r="DH107" i="4"/>
  <c r="D107" i="4"/>
  <c r="B107" i="4"/>
  <c r="B104" i="5"/>
  <c r="D104" i="5"/>
  <c r="B103" i="42"/>
  <c r="C103" i="42"/>
  <c r="E103" i="42"/>
  <c r="H104" i="42"/>
  <c r="GP106" i="4"/>
  <c r="K118" i="22"/>
  <c r="F118" i="22"/>
  <c r="F103" i="42"/>
  <c r="G104" i="42"/>
  <c r="K108" i="4"/>
  <c r="BG108" i="29"/>
  <c r="AI108" i="4"/>
  <c r="T108" i="4"/>
  <c r="AO108" i="4"/>
  <c r="BS108" i="4"/>
  <c r="BM108" i="4"/>
  <c r="AL108" i="4"/>
  <c r="AJ108" i="4"/>
  <c r="DB108" i="4"/>
  <c r="CN108" i="4"/>
  <c r="BJ108" i="4"/>
  <c r="DJ108" i="4"/>
  <c r="CV108" i="4"/>
  <c r="CP108" i="4"/>
  <c r="CM108" i="4"/>
  <c r="CL108" i="4"/>
  <c r="DI108" i="4"/>
  <c r="DH108" i="4"/>
  <c r="D108" i="4"/>
  <c r="B108" i="4"/>
  <c r="B105" i="5"/>
  <c r="D105" i="5"/>
  <c r="B104" i="42"/>
  <c r="C104" i="42"/>
  <c r="E104" i="42"/>
  <c r="H105" i="42"/>
  <c r="GP107" i="4"/>
  <c r="K119" i="22"/>
  <c r="F119" i="22"/>
  <c r="F104" i="42"/>
  <c r="G105" i="42"/>
  <c r="D106" i="5"/>
  <c r="B105" i="42"/>
  <c r="C105" i="42"/>
  <c r="E105" i="42"/>
  <c r="H106" i="42"/>
  <c r="GP108" i="4"/>
  <c r="K120" i="22"/>
  <c r="F120" i="22"/>
  <c r="F105" i="42"/>
  <c r="G106" i="42"/>
  <c r="D107" i="5"/>
  <c r="B106" i="42"/>
  <c r="C106" i="42"/>
  <c r="E106" i="42"/>
  <c r="H107" i="42"/>
  <c r="GP109" i="4"/>
  <c r="K121" i="22"/>
  <c r="F121" i="22"/>
  <c r="F106" i="42"/>
  <c r="G107" i="42"/>
  <c r="D108" i="5"/>
  <c r="B107" i="42"/>
  <c r="C107" i="42"/>
  <c r="E107" i="42"/>
  <c r="H108" i="42"/>
  <c r="GP110" i="4"/>
  <c r="K122" i="22"/>
  <c r="F122" i="22"/>
  <c r="F107" i="42"/>
  <c r="G108" i="42"/>
  <c r="D109" i="5"/>
  <c r="B108" i="42"/>
  <c r="C108" i="42"/>
  <c r="E108" i="42"/>
  <c r="H109" i="42"/>
  <c r="GP111" i="4"/>
  <c r="K123" i="22"/>
  <c r="F123" i="22"/>
  <c r="F108" i="42"/>
  <c r="G109" i="42"/>
  <c r="D110" i="5"/>
  <c r="B109" i="42"/>
  <c r="C109" i="42"/>
  <c r="E109" i="42"/>
  <c r="H110" i="42"/>
  <c r="GP112" i="4"/>
  <c r="K124" i="22"/>
  <c r="F124" i="22"/>
  <c r="F109" i="42"/>
  <c r="G110" i="42"/>
  <c r="D111" i="5"/>
  <c r="B110" i="42"/>
  <c r="C110" i="42"/>
  <c r="E110" i="42"/>
  <c r="H111" i="42"/>
  <c r="GP113" i="4"/>
  <c r="K125" i="22"/>
  <c r="F125" i="22"/>
  <c r="F110" i="42"/>
  <c r="G111" i="42"/>
  <c r="D112" i="5"/>
  <c r="B111" i="42"/>
  <c r="C111" i="42"/>
  <c r="E111" i="42"/>
  <c r="H112" i="42"/>
  <c r="GP114" i="4"/>
  <c r="K126" i="22"/>
  <c r="F126" i="22"/>
  <c r="F111" i="42"/>
  <c r="G112" i="42"/>
  <c r="D113" i="5"/>
  <c r="B112" i="42"/>
  <c r="C112" i="42"/>
  <c r="E112" i="42"/>
  <c r="E113" i="42"/>
  <c r="E114" i="42"/>
  <c r="C41" i="23"/>
  <c r="B41" i="23"/>
  <c r="C40" i="23"/>
  <c r="B40" i="23"/>
  <c r="D114" i="5"/>
  <c r="B113" i="25"/>
  <c r="B112" i="25"/>
  <c r="D113" i="25"/>
  <c r="D39" i="23"/>
  <c r="C39" i="23"/>
  <c r="B39" i="23"/>
  <c r="B111" i="25"/>
  <c r="D112" i="25"/>
  <c r="D38" i="23"/>
  <c r="C38" i="23"/>
  <c r="B38" i="23"/>
  <c r="B110" i="25"/>
  <c r="D111" i="25"/>
  <c r="D37" i="23"/>
  <c r="C37" i="23"/>
  <c r="B37" i="23"/>
  <c r="B109" i="25"/>
  <c r="D110" i="25"/>
  <c r="D36" i="23"/>
  <c r="C36" i="23"/>
  <c r="B36" i="23"/>
  <c r="B108" i="25"/>
  <c r="D109" i="25"/>
  <c r="D35" i="23"/>
  <c r="C35" i="23"/>
  <c r="B35" i="23"/>
  <c r="B107" i="25"/>
  <c r="D108" i="25"/>
  <c r="D34" i="23"/>
  <c r="C34" i="23"/>
  <c r="B34" i="23"/>
  <c r="B106" i="25"/>
  <c r="D107" i="25"/>
  <c r="D33" i="23"/>
  <c r="C33" i="23"/>
  <c r="B33" i="23"/>
  <c r="B105" i="25"/>
  <c r="D106" i="25"/>
  <c r="D32" i="23"/>
  <c r="C32" i="23"/>
  <c r="B32" i="23"/>
  <c r="G32" i="23"/>
  <c r="H32" i="23"/>
  <c r="G105" i="2"/>
  <c r="G33" i="23"/>
  <c r="H33" i="23"/>
  <c r="G106" i="2"/>
  <c r="G34" i="23"/>
  <c r="H34" i="23"/>
  <c r="G107" i="2"/>
  <c r="G35" i="23"/>
  <c r="H35" i="23"/>
  <c r="G108" i="2"/>
  <c r="G36" i="23"/>
  <c r="H36" i="23"/>
  <c r="G109" i="2"/>
  <c r="G37" i="23"/>
  <c r="H37" i="23"/>
  <c r="G110" i="2"/>
  <c r="G38" i="23"/>
  <c r="H38" i="23"/>
  <c r="G111" i="2"/>
  <c r="G39" i="23"/>
  <c r="H39" i="23"/>
  <c r="G112" i="2"/>
  <c r="G40" i="23"/>
  <c r="H40" i="23"/>
  <c r="G113" i="2"/>
  <c r="G41" i="23"/>
  <c r="H41" i="23"/>
  <c r="G114" i="2"/>
  <c r="E106" i="39"/>
  <c r="M105" i="42"/>
  <c r="L105" i="42"/>
  <c r="M106" i="42"/>
  <c r="L106" i="42"/>
  <c r="M107" i="42"/>
  <c r="L107" i="42"/>
  <c r="M108" i="42"/>
  <c r="L108" i="42"/>
  <c r="M109" i="42"/>
  <c r="L109" i="42"/>
  <c r="M110" i="42"/>
  <c r="L110" i="42"/>
  <c r="M111" i="42"/>
  <c r="L111" i="42"/>
  <c r="M112" i="42"/>
  <c r="L112" i="42"/>
  <c r="M113" i="42"/>
  <c r="L113" i="42"/>
  <c r="M114" i="42"/>
  <c r="L114" i="42"/>
  <c r="F106" i="39"/>
  <c r="D106" i="39"/>
  <c r="I105" i="2"/>
  <c r="J105" i="2"/>
  <c r="H105" i="2"/>
  <c r="F105" i="2"/>
  <c r="I106" i="2"/>
  <c r="J106" i="2"/>
  <c r="H106" i="2"/>
  <c r="F106" i="2"/>
  <c r="I107" i="2"/>
  <c r="J107" i="2"/>
  <c r="H107" i="2"/>
  <c r="F107" i="2"/>
  <c r="I108" i="2"/>
  <c r="J108" i="2"/>
  <c r="H108" i="2"/>
  <c r="F108" i="2"/>
  <c r="I109" i="2"/>
  <c r="J109" i="2"/>
  <c r="H109" i="2"/>
  <c r="F109" i="2"/>
  <c r="I110" i="2"/>
  <c r="J110" i="2"/>
  <c r="H110" i="2"/>
  <c r="F110" i="2"/>
  <c r="I111" i="2"/>
  <c r="J111" i="2"/>
  <c r="H111" i="2"/>
  <c r="F111" i="2"/>
  <c r="I112" i="2"/>
  <c r="J112" i="2"/>
  <c r="H112" i="2"/>
  <c r="F112" i="2"/>
  <c r="I113" i="2"/>
  <c r="J113" i="2"/>
  <c r="H113" i="2"/>
  <c r="F113" i="2"/>
  <c r="I114" i="2"/>
  <c r="J114" i="2"/>
  <c r="H114" i="2"/>
  <c r="F114" i="2"/>
  <c r="CR99" i="29"/>
  <c r="C98" i="48"/>
  <c r="J95" i="42"/>
  <c r="I95" i="42"/>
  <c r="CR100" i="29"/>
  <c r="C99" i="48"/>
  <c r="J96" i="42"/>
  <c r="I96" i="42"/>
  <c r="CR101" i="29"/>
  <c r="C100" i="48"/>
  <c r="J97" i="42"/>
  <c r="I97" i="42"/>
  <c r="CR102" i="29"/>
  <c r="C101" i="48"/>
  <c r="J98" i="42"/>
  <c r="I98" i="42"/>
  <c r="CR103" i="29"/>
  <c r="C102" i="48"/>
  <c r="J99" i="42"/>
  <c r="I99" i="42"/>
  <c r="C103" i="48"/>
  <c r="J100" i="42"/>
  <c r="I100" i="42"/>
  <c r="C104" i="48"/>
  <c r="J101" i="42"/>
  <c r="I101" i="42"/>
  <c r="C105" i="48"/>
  <c r="J102" i="42"/>
  <c r="I102" i="42"/>
  <c r="C106" i="48"/>
  <c r="J103" i="42"/>
  <c r="I103" i="42"/>
  <c r="C107" i="48"/>
  <c r="J104" i="42"/>
  <c r="I104" i="42"/>
  <c r="B104" i="25"/>
  <c r="D105" i="25"/>
  <c r="D31" i="23"/>
  <c r="C31" i="23"/>
  <c r="B31" i="23"/>
  <c r="B103" i="25"/>
  <c r="D104" i="25"/>
  <c r="D30" i="23"/>
  <c r="C30" i="23"/>
  <c r="B30" i="23"/>
  <c r="B102" i="25"/>
  <c r="D103" i="25"/>
  <c r="ED105" i="4"/>
  <c r="ED106" i="4"/>
  <c r="D29" i="23"/>
  <c r="C29" i="23"/>
  <c r="B29" i="23"/>
  <c r="B101" i="25"/>
  <c r="D102" i="25"/>
  <c r="D28" i="23"/>
  <c r="C28" i="23"/>
  <c r="B28" i="23"/>
  <c r="B100" i="25"/>
  <c r="D101" i="25"/>
  <c r="D27" i="23"/>
  <c r="C27" i="23"/>
  <c r="B27" i="23"/>
  <c r="D26" i="23"/>
  <c r="D25" i="23"/>
  <c r="D24" i="23"/>
  <c r="D23" i="23"/>
  <c r="D22" i="23"/>
  <c r="D21" i="23"/>
  <c r="D20" i="23"/>
  <c r="D19" i="23"/>
  <c r="D18" i="23"/>
  <c r="D17" i="23"/>
  <c r="D16" i="23"/>
  <c r="D15" i="23"/>
  <c r="D14" i="23"/>
  <c r="D13" i="23"/>
  <c r="D12" i="23"/>
  <c r="D11" i="23"/>
  <c r="D10" i="23"/>
  <c r="B84" i="25"/>
  <c r="B83" i="25"/>
  <c r="D84" i="25"/>
  <c r="C11" i="23"/>
  <c r="B85" i="25"/>
  <c r="D85" i="25"/>
  <c r="C12" i="23"/>
  <c r="B86" i="25"/>
  <c r="D86" i="25"/>
  <c r="C13" i="23"/>
  <c r="B87" i="25"/>
  <c r="D87" i="25"/>
  <c r="C14" i="23"/>
  <c r="B88" i="25"/>
  <c r="D88" i="25"/>
  <c r="C15" i="23"/>
  <c r="B89" i="25"/>
  <c r="D89" i="25"/>
  <c r="C16" i="23"/>
  <c r="B90" i="25"/>
  <c r="D90" i="25"/>
  <c r="C17" i="23"/>
  <c r="B91" i="25"/>
  <c r="D91" i="25"/>
  <c r="C18" i="23"/>
  <c r="B92" i="25"/>
  <c r="D92" i="25"/>
  <c r="C19" i="23"/>
  <c r="B93" i="25"/>
  <c r="D93" i="25"/>
  <c r="C20" i="23"/>
  <c r="B94" i="25"/>
  <c r="D94" i="25"/>
  <c r="C21" i="23"/>
  <c r="C22" i="23"/>
  <c r="C23" i="23"/>
  <c r="C24" i="23"/>
  <c r="C25" i="23"/>
  <c r="C26" i="23"/>
  <c r="B26" i="23"/>
  <c r="B25" i="23"/>
  <c r="B24" i="23"/>
  <c r="B23" i="23"/>
  <c r="B22" i="23"/>
  <c r="G22" i="23"/>
  <c r="H22" i="23"/>
  <c r="G95" i="2"/>
  <c r="G23" i="23"/>
  <c r="H23" i="23"/>
  <c r="G96" i="2"/>
  <c r="G24" i="23"/>
  <c r="H24" i="23"/>
  <c r="G97" i="2"/>
  <c r="G25" i="23"/>
  <c r="H25" i="23"/>
  <c r="G98" i="2"/>
  <c r="G26" i="23"/>
  <c r="H26" i="23"/>
  <c r="G99" i="2"/>
  <c r="G27" i="23"/>
  <c r="H27" i="23"/>
  <c r="G100" i="2"/>
  <c r="G28" i="23"/>
  <c r="H28" i="23"/>
  <c r="G101" i="2"/>
  <c r="G29" i="23"/>
  <c r="H29" i="23"/>
  <c r="G102" i="2"/>
  <c r="G30" i="23"/>
  <c r="H30" i="23"/>
  <c r="G103" i="2"/>
  <c r="G31" i="23"/>
  <c r="H31" i="23"/>
  <c r="G104" i="2"/>
  <c r="E96" i="39"/>
  <c r="M95" i="42"/>
  <c r="L95" i="42"/>
  <c r="M96" i="42"/>
  <c r="L96" i="42"/>
  <c r="M97" i="42"/>
  <c r="L97" i="42"/>
  <c r="M98" i="42"/>
  <c r="L98" i="42"/>
  <c r="M99" i="42"/>
  <c r="L99" i="42"/>
  <c r="M100" i="42"/>
  <c r="L100" i="42"/>
  <c r="M101" i="42"/>
  <c r="L101" i="42"/>
  <c r="M102" i="42"/>
  <c r="L102" i="42"/>
  <c r="M103" i="42"/>
  <c r="L103" i="42"/>
  <c r="M104" i="42"/>
  <c r="L104" i="42"/>
  <c r="F96" i="39"/>
  <c r="D96" i="39"/>
  <c r="I95" i="2"/>
  <c r="J95" i="2"/>
  <c r="H95" i="2"/>
  <c r="F95" i="2"/>
  <c r="I96" i="2"/>
  <c r="J96" i="2"/>
  <c r="H96" i="2"/>
  <c r="F96" i="2"/>
  <c r="I97" i="2"/>
  <c r="J97" i="2"/>
  <c r="H97" i="2"/>
  <c r="F97" i="2"/>
  <c r="I98" i="2"/>
  <c r="J98" i="2"/>
  <c r="H98" i="2"/>
  <c r="F98" i="2"/>
  <c r="I99" i="2"/>
  <c r="J99" i="2"/>
  <c r="H99" i="2"/>
  <c r="F99" i="2"/>
  <c r="I100" i="2"/>
  <c r="J100" i="2"/>
  <c r="H100" i="2"/>
  <c r="F100" i="2"/>
  <c r="I101" i="2"/>
  <c r="J101" i="2"/>
  <c r="H101" i="2"/>
  <c r="F101" i="2"/>
  <c r="I102" i="2"/>
  <c r="J102" i="2"/>
  <c r="H102" i="2"/>
  <c r="F102" i="2"/>
  <c r="I103" i="2"/>
  <c r="J103" i="2"/>
  <c r="H103" i="2"/>
  <c r="F103" i="2"/>
  <c r="I104" i="2"/>
  <c r="J104" i="2"/>
  <c r="H104" i="2"/>
  <c r="F104" i="2"/>
  <c r="C88" i="48"/>
  <c r="J85" i="42"/>
  <c r="I85" i="42"/>
  <c r="C89" i="48"/>
  <c r="J86" i="42"/>
  <c r="I86" i="42"/>
  <c r="C90" i="48"/>
  <c r="J87" i="42"/>
  <c r="I87" i="42"/>
  <c r="C91" i="48"/>
  <c r="J88" i="42"/>
  <c r="I88" i="42"/>
  <c r="C92" i="48"/>
  <c r="J89" i="42"/>
  <c r="I89" i="42"/>
  <c r="C93" i="48"/>
  <c r="J90" i="42"/>
  <c r="I90" i="42"/>
  <c r="C94" i="48"/>
  <c r="J91" i="42"/>
  <c r="I91" i="42"/>
  <c r="C95" i="48"/>
  <c r="J92" i="42"/>
  <c r="I92" i="42"/>
  <c r="C96" i="48"/>
  <c r="J93" i="42"/>
  <c r="I93" i="42"/>
  <c r="C97" i="48"/>
  <c r="J94" i="42"/>
  <c r="I94" i="42"/>
  <c r="B21" i="23"/>
  <c r="B20" i="23"/>
  <c r="B19" i="23"/>
  <c r="B18" i="23"/>
  <c r="B17" i="23"/>
  <c r="B16" i="23"/>
  <c r="B15" i="23"/>
  <c r="B14" i="23"/>
  <c r="B13" i="23"/>
  <c r="B12" i="23"/>
  <c r="G12" i="23"/>
  <c r="H12" i="23"/>
  <c r="G85" i="2"/>
  <c r="G13" i="23"/>
  <c r="H13" i="23"/>
  <c r="G86" i="2"/>
  <c r="G14" i="23"/>
  <c r="H14" i="23"/>
  <c r="G87" i="2"/>
  <c r="G15" i="23"/>
  <c r="H15" i="23"/>
  <c r="G88" i="2"/>
  <c r="G16" i="23"/>
  <c r="H16" i="23"/>
  <c r="G89" i="2"/>
  <c r="G17" i="23"/>
  <c r="H17" i="23"/>
  <c r="G90" i="2"/>
  <c r="G18" i="23"/>
  <c r="H18" i="23"/>
  <c r="G91" i="2"/>
  <c r="G19" i="23"/>
  <c r="H19" i="23"/>
  <c r="G92" i="2"/>
  <c r="G20" i="23"/>
  <c r="H20" i="23"/>
  <c r="G93" i="2"/>
  <c r="G21" i="23"/>
  <c r="H21" i="23"/>
  <c r="G94" i="2"/>
  <c r="E86" i="39"/>
  <c r="M85" i="42"/>
  <c r="L85" i="42"/>
  <c r="M86" i="42"/>
  <c r="L86" i="42"/>
  <c r="M87" i="42"/>
  <c r="L87" i="42"/>
  <c r="M88" i="42"/>
  <c r="L88" i="42"/>
  <c r="M89" i="42"/>
  <c r="L89" i="42"/>
  <c r="M90" i="42"/>
  <c r="L90" i="42"/>
  <c r="M91" i="42"/>
  <c r="L91" i="42"/>
  <c r="M92" i="42"/>
  <c r="L92" i="42"/>
  <c r="M93" i="42"/>
  <c r="L93" i="42"/>
  <c r="M94" i="42"/>
  <c r="L94" i="42"/>
  <c r="F86" i="39"/>
  <c r="D86" i="39"/>
  <c r="I85" i="2"/>
  <c r="J85" i="2"/>
  <c r="H85" i="2"/>
  <c r="F85" i="2"/>
  <c r="I86" i="2"/>
  <c r="J86" i="2"/>
  <c r="H86" i="2"/>
  <c r="F86" i="2"/>
  <c r="I87" i="2"/>
  <c r="J87" i="2"/>
  <c r="H87" i="2"/>
  <c r="F87" i="2"/>
  <c r="I88" i="2"/>
  <c r="J88" i="2"/>
  <c r="H88" i="2"/>
  <c r="F88" i="2"/>
  <c r="I89" i="2"/>
  <c r="J89" i="2"/>
  <c r="H89" i="2"/>
  <c r="F89" i="2"/>
  <c r="I90" i="2"/>
  <c r="J90" i="2"/>
  <c r="H90" i="2"/>
  <c r="F90" i="2"/>
  <c r="I91" i="2"/>
  <c r="J91" i="2"/>
  <c r="H91" i="2"/>
  <c r="F91" i="2"/>
  <c r="I92" i="2"/>
  <c r="J92" i="2"/>
  <c r="H92" i="2"/>
  <c r="F92" i="2"/>
  <c r="I93" i="2"/>
  <c r="J93" i="2"/>
  <c r="H93" i="2"/>
  <c r="F93" i="2"/>
  <c r="I94" i="2"/>
  <c r="J94" i="2"/>
  <c r="H94" i="2"/>
  <c r="F94" i="2"/>
  <c r="C78" i="48"/>
  <c r="J75" i="42"/>
  <c r="I75" i="42"/>
  <c r="C79" i="48"/>
  <c r="J76" i="42"/>
  <c r="I76" i="42"/>
  <c r="C80" i="48"/>
  <c r="J77" i="42"/>
  <c r="I77" i="42"/>
  <c r="C81" i="48"/>
  <c r="J78" i="42"/>
  <c r="I78" i="42"/>
  <c r="C82" i="48"/>
  <c r="J79" i="42"/>
  <c r="I79" i="42"/>
  <c r="C83" i="48"/>
  <c r="J80" i="42"/>
  <c r="I80" i="42"/>
  <c r="C84" i="48"/>
  <c r="J81" i="42"/>
  <c r="I81" i="42"/>
  <c r="C85" i="48"/>
  <c r="J82" i="42"/>
  <c r="I82" i="42"/>
  <c r="C86" i="48"/>
  <c r="J83" i="42"/>
  <c r="I83" i="42"/>
  <c r="C87" i="48"/>
  <c r="J84" i="42"/>
  <c r="I84" i="42"/>
  <c r="B11" i="23"/>
  <c r="G11" i="23"/>
  <c r="H11" i="23"/>
  <c r="G84" i="2"/>
  <c r="E76" i="39"/>
  <c r="AR78" i="4"/>
  <c r="W78" i="4"/>
  <c r="V78" i="4"/>
  <c r="T78" i="4"/>
  <c r="AJ78" i="4"/>
  <c r="AW78" i="4"/>
  <c r="CO78" i="4"/>
  <c r="CN78" i="4"/>
  <c r="CP78" i="4"/>
  <c r="CM78" i="4"/>
  <c r="CL78" i="4"/>
  <c r="DI78" i="4"/>
  <c r="DH78" i="4"/>
  <c r="D78" i="4"/>
  <c r="B78" i="4"/>
  <c r="M75" i="42"/>
  <c r="L75" i="42"/>
  <c r="M76" i="42"/>
  <c r="L76" i="42"/>
  <c r="M77" i="42"/>
  <c r="L77" i="42"/>
  <c r="M78" i="42"/>
  <c r="L78" i="42"/>
  <c r="M79" i="42"/>
  <c r="L79" i="42"/>
  <c r="M80" i="42"/>
  <c r="L80" i="42"/>
  <c r="M81" i="42"/>
  <c r="L81" i="42"/>
  <c r="M82" i="42"/>
  <c r="L82" i="42"/>
  <c r="M83" i="42"/>
  <c r="L83" i="42"/>
  <c r="M84" i="42"/>
  <c r="L84" i="42"/>
  <c r="F76" i="39"/>
  <c r="D76" i="39"/>
  <c r="I75" i="2"/>
  <c r="J75" i="2"/>
  <c r="H75" i="2"/>
  <c r="F75" i="2"/>
  <c r="I76" i="2"/>
  <c r="J76" i="2"/>
  <c r="H76" i="2"/>
  <c r="F76" i="2"/>
  <c r="I77" i="2"/>
  <c r="J77" i="2"/>
  <c r="H77" i="2"/>
  <c r="F77" i="2"/>
  <c r="I78" i="2"/>
  <c r="J78" i="2"/>
  <c r="H78" i="2"/>
  <c r="F78" i="2"/>
  <c r="I79" i="2"/>
  <c r="J79" i="2"/>
  <c r="H79" i="2"/>
  <c r="F79" i="2"/>
  <c r="I80" i="2"/>
  <c r="J80" i="2"/>
  <c r="H80" i="2"/>
  <c r="F80" i="2"/>
  <c r="I81" i="2"/>
  <c r="J81" i="2"/>
  <c r="H81" i="2"/>
  <c r="F81" i="2"/>
  <c r="I82" i="2"/>
  <c r="J82" i="2"/>
  <c r="H82" i="2"/>
  <c r="F82" i="2"/>
  <c r="I83" i="2"/>
  <c r="J83" i="2"/>
  <c r="H83" i="2"/>
  <c r="F83" i="2"/>
  <c r="I84" i="2"/>
  <c r="J84" i="2"/>
  <c r="H84" i="2"/>
  <c r="F84" i="2"/>
  <c r="F65" i="2"/>
  <c r="F66" i="2"/>
  <c r="F67" i="2"/>
  <c r="I68" i="2"/>
  <c r="C71" i="48"/>
  <c r="J68" i="42"/>
  <c r="I68" i="42"/>
  <c r="M68" i="42"/>
  <c r="L68" i="42"/>
  <c r="J68" i="2"/>
  <c r="H68" i="2"/>
  <c r="F68" i="2"/>
  <c r="E56" i="39"/>
  <c r="F56" i="39"/>
  <c r="D56" i="39"/>
  <c r="E46" i="39"/>
  <c r="F46" i="39"/>
  <c r="D46" i="39"/>
  <c r="E36" i="39"/>
  <c r="F36" i="39"/>
  <c r="D36" i="39"/>
  <c r="E26" i="39"/>
  <c r="F26" i="39"/>
  <c r="D26" i="39"/>
  <c r="G25" i="50"/>
  <c r="E25" i="39"/>
  <c r="J25" i="50"/>
  <c r="I25" i="50"/>
  <c r="F25" i="39"/>
  <c r="D25" i="39"/>
  <c r="E23" i="39"/>
  <c r="F23" i="39"/>
  <c r="D23" i="39"/>
  <c r="E24" i="39"/>
  <c r="F24" i="39"/>
  <c r="D24" i="39"/>
  <c r="E22" i="39"/>
  <c r="F22" i="39"/>
  <c r="D22" i="39"/>
  <c r="E21" i="39"/>
  <c r="J21" i="50"/>
  <c r="I21" i="50"/>
  <c r="F21" i="39"/>
  <c r="D21" i="39"/>
  <c r="R164" i="5"/>
  <c r="C223" i="53"/>
  <c r="C270" i="53"/>
  <c r="R68" i="5"/>
  <c r="C180" i="53"/>
  <c r="R25" i="5"/>
  <c r="R166" i="5"/>
  <c r="R116" i="5"/>
  <c r="C220" i="53"/>
  <c r="R65" i="5"/>
  <c r="R165"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C269" i="53"/>
  <c r="R115" i="5"/>
  <c r="C268" i="53"/>
  <c r="R114" i="5"/>
  <c r="C267" i="53"/>
  <c r="R113" i="5"/>
  <c r="C266" i="53"/>
  <c r="R112" i="5"/>
  <c r="C265" i="53"/>
  <c r="R111" i="5"/>
  <c r="C264" i="53"/>
  <c r="R110" i="5"/>
  <c r="C263" i="53"/>
  <c r="R109" i="5"/>
  <c r="C262" i="53"/>
  <c r="R108" i="5"/>
  <c r="C261" i="53"/>
  <c r="R107" i="5"/>
  <c r="C260" i="53"/>
  <c r="R106" i="5"/>
  <c r="C259" i="53"/>
  <c r="R105" i="5"/>
  <c r="C258" i="53"/>
  <c r="R104" i="5"/>
  <c r="C257" i="53"/>
  <c r="R103" i="5"/>
  <c r="C256" i="53"/>
  <c r="R102" i="5"/>
  <c r="C255" i="53"/>
  <c r="R101" i="5"/>
  <c r="C254" i="53"/>
  <c r="R100" i="5"/>
  <c r="C253" i="53"/>
  <c r="R99" i="5"/>
  <c r="C252" i="53"/>
  <c r="R98" i="5"/>
  <c r="C251" i="53"/>
  <c r="R97" i="5"/>
  <c r="C250" i="53"/>
  <c r="R96" i="5"/>
  <c r="C249" i="53"/>
  <c r="R95" i="5"/>
  <c r="C248" i="53"/>
  <c r="R94" i="5"/>
  <c r="C247" i="53"/>
  <c r="R93" i="5"/>
  <c r="C246" i="53"/>
  <c r="R92" i="5"/>
  <c r="C245" i="53"/>
  <c r="R91" i="5"/>
  <c r="C244" i="53"/>
  <c r="R90" i="5"/>
  <c r="C243" i="53"/>
  <c r="R89" i="5"/>
  <c r="C242" i="53"/>
  <c r="R88" i="5"/>
  <c r="C241" i="53"/>
  <c r="R87" i="5"/>
  <c r="C240" i="53"/>
  <c r="R86" i="5"/>
  <c r="C239" i="53"/>
  <c r="R85" i="5"/>
  <c r="C238" i="53"/>
  <c r="R84" i="5"/>
  <c r="C237" i="53"/>
  <c r="R83" i="5"/>
  <c r="C236" i="53"/>
  <c r="R82" i="5"/>
  <c r="C235" i="53"/>
  <c r="R81" i="5"/>
  <c r="C234" i="53"/>
  <c r="R80" i="5"/>
  <c r="C233" i="53"/>
  <c r="R79" i="5"/>
  <c r="C232" i="53"/>
  <c r="R78" i="5"/>
  <c r="C231" i="53"/>
  <c r="R77" i="5"/>
  <c r="B75" i="5"/>
  <c r="C230" i="53"/>
  <c r="R75" i="5"/>
  <c r="C229" i="53"/>
  <c r="R74" i="5"/>
  <c r="C228" i="53"/>
  <c r="R73" i="5"/>
  <c r="C227" i="53"/>
  <c r="R72" i="5"/>
  <c r="C226" i="53"/>
  <c r="R71" i="5"/>
  <c r="C225" i="53"/>
  <c r="R70" i="5"/>
  <c r="C224" i="53"/>
  <c r="R69" i="5"/>
  <c r="C222" i="53"/>
  <c r="R67" i="5"/>
  <c r="C221" i="53"/>
  <c r="R66" i="5"/>
  <c r="C219" i="53"/>
  <c r="R64" i="5"/>
  <c r="C218" i="53"/>
  <c r="R63" i="5"/>
  <c r="C217" i="53"/>
  <c r="R62" i="5"/>
  <c r="C216" i="53"/>
  <c r="R61" i="5"/>
  <c r="C215" i="53"/>
  <c r="R60" i="5"/>
  <c r="C214" i="53"/>
  <c r="R59" i="5"/>
  <c r="C213" i="53"/>
  <c r="R58" i="5"/>
  <c r="C212" i="53"/>
  <c r="R57" i="5"/>
  <c r="C211" i="53"/>
  <c r="R56" i="5"/>
  <c r="C210" i="53"/>
  <c r="R55" i="5"/>
  <c r="C209" i="53"/>
  <c r="R54" i="5"/>
  <c r="C208" i="53"/>
  <c r="R53" i="5"/>
  <c r="C207" i="53"/>
  <c r="R52" i="5"/>
  <c r="C206" i="53"/>
  <c r="R51" i="5"/>
  <c r="C205" i="53"/>
  <c r="R50" i="5"/>
  <c r="C204" i="53"/>
  <c r="R49" i="5"/>
  <c r="C203" i="53"/>
  <c r="R48" i="5"/>
  <c r="C202" i="53"/>
  <c r="R47" i="5"/>
  <c r="C201" i="53"/>
  <c r="R46" i="5"/>
  <c r="C200" i="53"/>
  <c r="R45" i="5"/>
  <c r="C199" i="53"/>
  <c r="R44" i="5"/>
  <c r="C198" i="53"/>
  <c r="R43" i="5"/>
  <c r="C197" i="53"/>
  <c r="R42" i="5"/>
  <c r="C196" i="53"/>
  <c r="R41" i="5"/>
  <c r="C195" i="53"/>
  <c r="R40" i="5"/>
  <c r="C194" i="53"/>
  <c r="R39" i="5"/>
  <c r="C193" i="53"/>
  <c r="R38" i="5"/>
  <c r="C192" i="53"/>
  <c r="R37" i="5"/>
  <c r="C191" i="53"/>
  <c r="R36" i="5"/>
  <c r="C190" i="53"/>
  <c r="R35" i="5"/>
  <c r="C189" i="53"/>
  <c r="R34" i="5"/>
  <c r="C188" i="53"/>
  <c r="R33" i="5"/>
  <c r="C187" i="53"/>
  <c r="R32" i="5"/>
  <c r="C186" i="53"/>
  <c r="R31" i="5"/>
  <c r="C185" i="53"/>
  <c r="R30" i="5"/>
  <c r="C184" i="53"/>
  <c r="R29" i="5"/>
  <c r="C183" i="53"/>
  <c r="R28" i="5"/>
  <c r="C182" i="53"/>
  <c r="R27" i="5"/>
  <c r="C181" i="53"/>
  <c r="R26" i="5"/>
  <c r="R24" i="5"/>
  <c r="L126" i="25"/>
  <c r="L125" i="25"/>
  <c r="K126" i="25"/>
  <c r="M125" i="25"/>
  <c r="N126" i="25"/>
  <c r="O125" i="25"/>
  <c r="P126" i="25"/>
  <c r="AI126" i="25"/>
  <c r="L127" i="25"/>
  <c r="K127" i="25"/>
  <c r="M126" i="25"/>
  <c r="N127" i="25"/>
  <c r="O126" i="25"/>
  <c r="P127" i="25"/>
  <c r="AI127" i="25"/>
  <c r="L128" i="25"/>
  <c r="K128" i="25"/>
  <c r="M127" i="25"/>
  <c r="N128" i="25"/>
  <c r="O127" i="25"/>
  <c r="P128" i="25"/>
  <c r="AI128" i="25"/>
  <c r="L129" i="25"/>
  <c r="K129" i="25"/>
  <c r="M128" i="25"/>
  <c r="N129" i="25"/>
  <c r="O128" i="25"/>
  <c r="P129" i="25"/>
  <c r="AI129" i="25"/>
  <c r="L130" i="25"/>
  <c r="K130" i="25"/>
  <c r="M129" i="25"/>
  <c r="N130" i="25"/>
  <c r="O129" i="25"/>
  <c r="P130" i="25"/>
  <c r="AI130" i="25"/>
  <c r="L131" i="25"/>
  <c r="K131" i="25"/>
  <c r="M130" i="25"/>
  <c r="N131" i="25"/>
  <c r="O130" i="25"/>
  <c r="P131" i="25"/>
  <c r="AI131" i="25"/>
  <c r="L132" i="25"/>
  <c r="K132" i="25"/>
  <c r="M131" i="25"/>
  <c r="N132" i="25"/>
  <c r="O131" i="25"/>
  <c r="P132" i="25"/>
  <c r="AI132" i="25"/>
  <c r="L133" i="25"/>
  <c r="K133" i="25"/>
  <c r="M132" i="25"/>
  <c r="N133" i="25"/>
  <c r="O132" i="25"/>
  <c r="P133" i="25"/>
  <c r="AI133" i="25"/>
  <c r="L134" i="25"/>
  <c r="K134" i="25"/>
  <c r="M133" i="25"/>
  <c r="N134" i="25"/>
  <c r="O133" i="25"/>
  <c r="P134" i="25"/>
  <c r="AI134" i="25"/>
  <c r="L135" i="25"/>
  <c r="K135" i="25"/>
  <c r="M134" i="25"/>
  <c r="N135" i="25"/>
  <c r="O134" i="25"/>
  <c r="P135" i="25"/>
  <c r="AI135" i="25"/>
  <c r="L136" i="25"/>
  <c r="K136" i="25"/>
  <c r="M135" i="25"/>
  <c r="N136" i="25"/>
  <c r="O135" i="25"/>
  <c r="P136" i="25"/>
  <c r="AI136" i="25"/>
  <c r="L137" i="25"/>
  <c r="K137" i="25"/>
  <c r="M136" i="25"/>
  <c r="N137" i="25"/>
  <c r="O136" i="25"/>
  <c r="P137" i="25"/>
  <c r="AI137" i="25"/>
  <c r="L138" i="25"/>
  <c r="K138" i="25"/>
  <c r="M137" i="25"/>
  <c r="N138" i="25"/>
  <c r="O137" i="25"/>
  <c r="P138" i="25"/>
  <c r="AI138" i="25"/>
  <c r="L139" i="25"/>
  <c r="K139" i="25"/>
  <c r="M138" i="25"/>
  <c r="N139" i="25"/>
  <c r="O138" i="25"/>
  <c r="P139" i="25"/>
  <c r="AI139" i="25"/>
  <c r="L140" i="25"/>
  <c r="K140" i="25"/>
  <c r="M139" i="25"/>
  <c r="N140" i="25"/>
  <c r="O139" i="25"/>
  <c r="P140" i="25"/>
  <c r="AI140" i="25"/>
  <c r="L141" i="25"/>
  <c r="K141" i="25"/>
  <c r="M140" i="25"/>
  <c r="N141" i="25"/>
  <c r="O140" i="25"/>
  <c r="P141" i="25"/>
  <c r="AI141" i="25"/>
  <c r="L142" i="25"/>
  <c r="K142" i="25"/>
  <c r="M141" i="25"/>
  <c r="N142" i="25"/>
  <c r="O141" i="25"/>
  <c r="P142" i="25"/>
  <c r="AI142" i="25"/>
  <c r="L143" i="25"/>
  <c r="K143" i="25"/>
  <c r="M142" i="25"/>
  <c r="N143" i="25"/>
  <c r="O142" i="25"/>
  <c r="P143" i="25"/>
  <c r="AI143" i="25"/>
  <c r="L144" i="25"/>
  <c r="K144" i="25"/>
  <c r="M143" i="25"/>
  <c r="N144" i="25"/>
  <c r="O143" i="25"/>
  <c r="P144" i="25"/>
  <c r="AI144" i="25"/>
  <c r="L145" i="25"/>
  <c r="K145" i="25"/>
  <c r="M144" i="25"/>
  <c r="N145" i="25"/>
  <c r="O144" i="25"/>
  <c r="P145" i="25"/>
  <c r="AI145" i="25"/>
  <c r="L146" i="25"/>
  <c r="K146" i="25"/>
  <c r="M145" i="25"/>
  <c r="N146" i="25"/>
  <c r="O145" i="25"/>
  <c r="P146" i="25"/>
  <c r="AI146" i="25"/>
  <c r="L147" i="25"/>
  <c r="K147" i="25"/>
  <c r="M146" i="25"/>
  <c r="N147" i="25"/>
  <c r="O146" i="25"/>
  <c r="P147" i="25"/>
  <c r="AI147" i="25"/>
  <c r="L148" i="25"/>
  <c r="K148" i="25"/>
  <c r="M147" i="25"/>
  <c r="N148" i="25"/>
  <c r="O147" i="25"/>
  <c r="P148" i="25"/>
  <c r="AI148" i="25"/>
  <c r="L149" i="25"/>
  <c r="K149" i="25"/>
  <c r="M148" i="25"/>
  <c r="N149" i="25"/>
  <c r="O148" i="25"/>
  <c r="P149" i="25"/>
  <c r="AI149" i="25"/>
  <c r="L150" i="25"/>
  <c r="K150" i="25"/>
  <c r="M149" i="25"/>
  <c r="N150" i="25"/>
  <c r="O149" i="25"/>
  <c r="P150" i="25"/>
  <c r="AI150" i="25"/>
  <c r="L151" i="25"/>
  <c r="K151" i="25"/>
  <c r="M150" i="25"/>
  <c r="N151" i="25"/>
  <c r="O150" i="25"/>
  <c r="P151" i="25"/>
  <c r="AI151" i="25"/>
  <c r="L152" i="25"/>
  <c r="K152" i="25"/>
  <c r="M151" i="25"/>
  <c r="N152" i="25"/>
  <c r="O151" i="25"/>
  <c r="P152" i="25"/>
  <c r="AI152" i="25"/>
  <c r="L153" i="25"/>
  <c r="K153" i="25"/>
  <c r="M152" i="25"/>
  <c r="N153" i="25"/>
  <c r="O152" i="25"/>
  <c r="P153" i="25"/>
  <c r="AI153" i="25"/>
  <c r="L154" i="25"/>
  <c r="K154" i="25"/>
  <c r="M153" i="25"/>
  <c r="N154" i="25"/>
  <c r="O153" i="25"/>
  <c r="P154" i="25"/>
  <c r="AI154" i="25"/>
  <c r="L155" i="25"/>
  <c r="K155" i="25"/>
  <c r="M154" i="25"/>
  <c r="N155" i="25"/>
  <c r="O154" i="25"/>
  <c r="P155" i="25"/>
  <c r="AI155" i="25"/>
  <c r="L156" i="25"/>
  <c r="K156" i="25"/>
  <c r="M155" i="25"/>
  <c r="N156" i="25"/>
  <c r="O155" i="25"/>
  <c r="P156" i="25"/>
  <c r="AI156" i="25"/>
  <c r="L157" i="25"/>
  <c r="K157" i="25"/>
  <c r="M156" i="25"/>
  <c r="N157" i="25"/>
  <c r="O156" i="25"/>
  <c r="P157" i="25"/>
  <c r="AI157" i="25"/>
  <c r="L158" i="25"/>
  <c r="K158" i="25"/>
  <c r="M157" i="25"/>
  <c r="N158" i="25"/>
  <c r="O157" i="25"/>
  <c r="P158" i="25"/>
  <c r="AI158" i="25"/>
  <c r="L159" i="25"/>
  <c r="K159" i="25"/>
  <c r="M158" i="25"/>
  <c r="N159" i="25"/>
  <c r="O158" i="25"/>
  <c r="P159" i="25"/>
  <c r="AI159" i="25"/>
  <c r="L160" i="25"/>
  <c r="K160" i="25"/>
  <c r="M159" i="25"/>
  <c r="N160" i="25"/>
  <c r="O159" i="25"/>
  <c r="P160" i="25"/>
  <c r="AI160" i="25"/>
  <c r="L161" i="25"/>
  <c r="K161" i="25"/>
  <c r="M160" i="25"/>
  <c r="N161" i="25"/>
  <c r="O160" i="25"/>
  <c r="P161" i="25"/>
  <c r="AI161" i="25"/>
  <c r="L162" i="25"/>
  <c r="K162" i="25"/>
  <c r="M161" i="25"/>
  <c r="N162" i="25"/>
  <c r="O161" i="25"/>
  <c r="P162" i="25"/>
  <c r="AI162" i="25"/>
  <c r="L163" i="25"/>
  <c r="K163" i="25"/>
  <c r="M162" i="25"/>
  <c r="N163" i="25"/>
  <c r="O162" i="25"/>
  <c r="P163" i="25"/>
  <c r="AI163" i="25"/>
  <c r="L164" i="25"/>
  <c r="K164" i="25"/>
  <c r="M163" i="25"/>
  <c r="N164" i="25"/>
  <c r="O163" i="25"/>
  <c r="P164" i="25"/>
  <c r="AI164" i="25"/>
  <c r="E166" i="5"/>
  <c r="C165" i="25"/>
  <c r="L165" i="25"/>
  <c r="K165" i="25"/>
  <c r="M164" i="25"/>
  <c r="N165" i="25"/>
  <c r="O164" i="25"/>
  <c r="P165" i="25"/>
  <c r="AI165" i="25"/>
  <c r="P222" i="25"/>
  <c r="K55" i="27"/>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N222" i="25"/>
  <c r="J55" i="27"/>
  <c r="F165" i="25"/>
  <c r="C54" i="35"/>
  <c r="B54" i="35"/>
  <c r="B222" i="25"/>
  <c r="B55" i="27"/>
  <c r="H54" i="35"/>
  <c r="I54" i="35"/>
  <c r="K54" i="35"/>
  <c r="GY122" i="4"/>
  <c r="F273" i="44"/>
  <c r="GW121" i="4"/>
  <c r="GY121" i="4"/>
  <c r="F272" i="44"/>
  <c r="GW120" i="4"/>
  <c r="GY120" i="4"/>
  <c r="F271" i="44"/>
  <c r="GW119" i="4"/>
  <c r="GY119" i="4"/>
  <c r="F270" i="44"/>
  <c r="GW118" i="4"/>
  <c r="GY118" i="4"/>
  <c r="F269" i="44"/>
  <c r="GW117" i="4"/>
  <c r="GY117" i="4"/>
  <c r="F268" i="44"/>
  <c r="GW116" i="4"/>
  <c r="GY116" i="4"/>
  <c r="F267" i="44"/>
  <c r="GW115" i="4"/>
  <c r="GY115" i="4"/>
  <c r="F266" i="44"/>
  <c r="GW114" i="4"/>
  <c r="GY114" i="4"/>
  <c r="F265" i="44"/>
  <c r="GW113" i="4"/>
  <c r="GY113" i="4"/>
  <c r="F264" i="44"/>
  <c r="GW112" i="4"/>
  <c r="GY112" i="4"/>
  <c r="F263" i="44"/>
  <c r="GW111" i="4"/>
  <c r="GY111" i="4"/>
  <c r="F262" i="44"/>
  <c r="GW110" i="4"/>
  <c r="GY110" i="4"/>
  <c r="F261" i="44"/>
  <c r="GW109" i="4"/>
  <c r="GY109" i="4"/>
  <c r="F260" i="44"/>
  <c r="GW108" i="4"/>
  <c r="GY108" i="4"/>
  <c r="EZ108" i="4"/>
  <c r="EY108" i="4"/>
  <c r="O105" i="5"/>
  <c r="EZ109" i="4"/>
  <c r="EY109" i="4"/>
  <c r="O106" i="5"/>
  <c r="EZ110" i="4"/>
  <c r="EY110" i="4"/>
  <c r="O107" i="5"/>
  <c r="EZ111" i="4"/>
  <c r="EY111" i="4"/>
  <c r="O108" i="5"/>
  <c r="EZ112" i="4"/>
  <c r="EY112" i="4"/>
  <c r="O109" i="5"/>
  <c r="EZ113" i="4"/>
  <c r="EY113" i="4"/>
  <c r="O110" i="5"/>
  <c r="EZ114" i="4"/>
  <c r="EY114" i="4"/>
  <c r="O111" i="5"/>
  <c r="EZ115" i="4"/>
  <c r="EY115" i="4"/>
  <c r="O112" i="5"/>
  <c r="EZ116" i="4"/>
  <c r="EY116" i="4"/>
  <c r="O113" i="5"/>
  <c r="EZ117" i="4"/>
  <c r="EY117" i="4"/>
  <c r="O114" i="5"/>
  <c r="EZ118" i="4"/>
  <c r="EY118" i="4"/>
  <c r="O115" i="5"/>
  <c r="FD119" i="4"/>
  <c r="EZ119" i="4"/>
  <c r="FE119" i="4"/>
  <c r="EY119" i="4"/>
  <c r="O116" i="5"/>
  <c r="FD120" i="4"/>
  <c r="EZ120" i="4"/>
  <c r="FE120" i="4"/>
  <c r="EY120" i="4"/>
  <c r="O117" i="5"/>
  <c r="FD121" i="4"/>
  <c r="EZ121" i="4"/>
  <c r="FE121" i="4"/>
  <c r="EY121" i="4"/>
  <c r="O118" i="5"/>
  <c r="EZ122" i="4"/>
  <c r="EY122" i="4"/>
  <c r="O119" i="5"/>
  <c r="GY123" i="4"/>
  <c r="EZ123" i="4"/>
  <c r="EY123" i="4"/>
  <c r="O120" i="5"/>
  <c r="GY124" i="4"/>
  <c r="EZ124" i="4"/>
  <c r="EY124" i="4"/>
  <c r="O121" i="5"/>
  <c r="GY125" i="4"/>
  <c r="EZ125" i="4"/>
  <c r="EY125" i="4"/>
  <c r="O122" i="5"/>
  <c r="GY126" i="4"/>
  <c r="EZ126" i="4"/>
  <c r="EY126" i="4"/>
  <c r="O123" i="5"/>
  <c r="GY127" i="4"/>
  <c r="EZ127" i="4"/>
  <c r="EY127" i="4"/>
  <c r="O124" i="5"/>
  <c r="EZ128" i="4"/>
  <c r="EY128" i="4"/>
  <c r="O125" i="5"/>
  <c r="EZ129" i="4"/>
  <c r="EY129" i="4"/>
  <c r="O126" i="5"/>
  <c r="EZ130" i="4"/>
  <c r="EY130" i="4"/>
  <c r="O127" i="5"/>
  <c r="EZ131" i="4"/>
  <c r="EY131" i="4"/>
  <c r="O128" i="5"/>
  <c r="EZ132" i="4"/>
  <c r="EY132" i="4"/>
  <c r="O129" i="5"/>
  <c r="EZ133" i="4"/>
  <c r="EY133" i="4"/>
  <c r="O130" i="5"/>
  <c r="EZ134" i="4"/>
  <c r="EY134" i="4"/>
  <c r="O131" i="5"/>
  <c r="EZ135" i="4"/>
  <c r="EY135" i="4"/>
  <c r="O132" i="5"/>
  <c r="EZ136" i="4"/>
  <c r="EY136" i="4"/>
  <c r="O133" i="5"/>
  <c r="EZ137" i="4"/>
  <c r="EY137" i="4"/>
  <c r="O134" i="5"/>
  <c r="EZ138" i="4"/>
  <c r="EY138" i="4"/>
  <c r="O135" i="5"/>
  <c r="EZ139" i="4"/>
  <c r="EY139" i="4"/>
  <c r="O136" i="5"/>
  <c r="EZ140" i="4"/>
  <c r="EY140" i="4"/>
  <c r="O137" i="5"/>
  <c r="EZ141" i="4"/>
  <c r="EY141" i="4"/>
  <c r="O138" i="5"/>
  <c r="EZ142" i="4"/>
  <c r="EY142" i="4"/>
  <c r="O139" i="5"/>
  <c r="EZ143" i="4"/>
  <c r="EY143" i="4"/>
  <c r="O140" i="5"/>
  <c r="EZ144" i="4"/>
  <c r="EY144" i="4"/>
  <c r="O141" i="5"/>
  <c r="EZ145" i="4"/>
  <c r="EY145" i="4"/>
  <c r="O142" i="5"/>
  <c r="EZ146" i="4"/>
  <c r="EY146" i="4"/>
  <c r="O143" i="5"/>
  <c r="EZ147" i="4"/>
  <c r="EY147" i="4"/>
  <c r="O144" i="5"/>
  <c r="EZ148" i="4"/>
  <c r="EY148" i="4"/>
  <c r="O145" i="5"/>
  <c r="EZ149" i="4"/>
  <c r="EY149" i="4"/>
  <c r="O146" i="5"/>
  <c r="EZ150" i="4"/>
  <c r="EY150" i="4"/>
  <c r="O147" i="5"/>
  <c r="EZ151" i="4"/>
  <c r="EY151" i="4"/>
  <c r="O148" i="5"/>
  <c r="EZ152" i="4"/>
  <c r="EY152" i="4"/>
  <c r="O149" i="5"/>
  <c r="EZ153" i="4"/>
  <c r="EY153" i="4"/>
  <c r="O150" i="5"/>
  <c r="EZ154" i="4"/>
  <c r="EY154" i="4"/>
  <c r="O151" i="5"/>
  <c r="EZ155" i="4"/>
  <c r="EY155" i="4"/>
  <c r="O152" i="5"/>
  <c r="EZ156" i="4"/>
  <c r="EY156" i="4"/>
  <c r="O153" i="5"/>
  <c r="EZ157" i="4"/>
  <c r="EY157" i="4"/>
  <c r="O154" i="5"/>
  <c r="EZ158" i="4"/>
  <c r="EY158" i="4"/>
  <c r="O155" i="5"/>
  <c r="EZ159" i="4"/>
  <c r="EY159" i="4"/>
  <c r="O156" i="5"/>
  <c r="EZ160" i="4"/>
  <c r="EY160" i="4"/>
  <c r="O157" i="5"/>
  <c r="EZ161" i="4"/>
  <c r="EY161" i="4"/>
  <c r="O158" i="5"/>
  <c r="EZ162" i="4"/>
  <c r="EY162" i="4"/>
  <c r="O159" i="5"/>
  <c r="EZ163" i="4"/>
  <c r="EY163" i="4"/>
  <c r="O160" i="5"/>
  <c r="EZ164" i="4"/>
  <c r="EY164" i="4"/>
  <c r="O161" i="5"/>
  <c r="EZ165" i="4"/>
  <c r="EY165" i="4"/>
  <c r="O162" i="5"/>
  <c r="EZ166" i="4"/>
  <c r="EY166" i="4"/>
  <c r="O163" i="5"/>
  <c r="EZ167" i="4"/>
  <c r="EY167" i="4"/>
  <c r="O164" i="5"/>
  <c r="EZ168" i="4"/>
  <c r="EY168" i="4"/>
  <c r="O165" i="5"/>
  <c r="GY169" i="4"/>
  <c r="EZ169" i="4"/>
  <c r="EY169" i="4"/>
  <c r="O166" i="5"/>
  <c r="F259" i="44"/>
  <c r="GW107" i="4"/>
  <c r="GY107" i="4"/>
  <c r="EZ107" i="4"/>
  <c r="EY107" i="4"/>
  <c r="O104" i="5"/>
  <c r="K108" i="29"/>
  <c r="D108" i="29"/>
  <c r="E108" i="29"/>
  <c r="C108" i="29"/>
  <c r="BD108" i="29"/>
  <c r="AU108" i="29"/>
  <c r="BB108" i="29"/>
  <c r="AT108" i="29"/>
  <c r="AS108" i="29"/>
  <c r="B108" i="29"/>
  <c r="C105" i="5"/>
  <c r="N105" i="5"/>
  <c r="K107" i="29"/>
  <c r="D107" i="29"/>
  <c r="E107" i="29"/>
  <c r="C107" i="29"/>
  <c r="BD107" i="29"/>
  <c r="AU107" i="29"/>
  <c r="BB107" i="29"/>
  <c r="AT107" i="29"/>
  <c r="AS107" i="29"/>
  <c r="B107" i="29"/>
  <c r="C104" i="5"/>
  <c r="N104" i="5"/>
  <c r="U106" i="29"/>
  <c r="U107" i="29"/>
  <c r="V107" i="29"/>
  <c r="V100" i="29"/>
  <c r="V101" i="29"/>
  <c r="V102" i="29"/>
  <c r="V103" i="29"/>
  <c r="V104" i="29"/>
  <c r="V105" i="29"/>
  <c r="V106" i="29"/>
  <c r="C106" i="29"/>
  <c r="AB106" i="29"/>
  <c r="AB107" i="29"/>
  <c r="AD107" i="29"/>
  <c r="AD103" i="29"/>
  <c r="AD104" i="29"/>
  <c r="AD105" i="29"/>
  <c r="AD106" i="29"/>
  <c r="AS106" i="29"/>
  <c r="AG106" i="29"/>
  <c r="AG107" i="29"/>
  <c r="AH107" i="29"/>
  <c r="AH100" i="29"/>
  <c r="AH101" i="29"/>
  <c r="AH102" i="29"/>
  <c r="AH103" i="29"/>
  <c r="AH104" i="29"/>
  <c r="AH105" i="29"/>
  <c r="AH106" i="29"/>
  <c r="BE106" i="29"/>
  <c r="B106" i="29"/>
  <c r="C103" i="5"/>
  <c r="N103" i="5"/>
  <c r="U105" i="29"/>
  <c r="C105" i="29"/>
  <c r="AB105" i="29"/>
  <c r="AS105" i="29"/>
  <c r="AG105" i="29"/>
  <c r="BE105" i="29"/>
  <c r="B105" i="29"/>
  <c r="C102" i="5"/>
  <c r="N102" i="5"/>
  <c r="U104" i="29"/>
  <c r="C104" i="29"/>
  <c r="AB104" i="29"/>
  <c r="AS104" i="29"/>
  <c r="AG104" i="29"/>
  <c r="BE104" i="29"/>
  <c r="B104" i="29"/>
  <c r="C101" i="5"/>
  <c r="N101" i="5"/>
  <c r="U103" i="29"/>
  <c r="C103" i="29"/>
  <c r="AB103" i="29"/>
  <c r="AS103" i="29"/>
  <c r="AG103" i="29"/>
  <c r="BE103" i="29"/>
  <c r="B103" i="29"/>
  <c r="C100" i="5"/>
  <c r="N100" i="5"/>
  <c r="U102" i="29"/>
  <c r="C102" i="29"/>
  <c r="AB102" i="29"/>
  <c r="AS102" i="29"/>
  <c r="AG102" i="29"/>
  <c r="BE102" i="29"/>
  <c r="B102" i="29"/>
  <c r="C99" i="5"/>
  <c r="N99" i="5"/>
  <c r="U101" i="29"/>
  <c r="C101" i="29"/>
  <c r="AB101" i="29"/>
  <c r="AS101" i="29"/>
  <c r="AG101" i="29"/>
  <c r="BE101" i="29"/>
  <c r="B101" i="29"/>
  <c r="C98" i="5"/>
  <c r="N98" i="5"/>
  <c r="U100" i="29"/>
  <c r="C100" i="29"/>
  <c r="AB100" i="29"/>
  <c r="AS100" i="29"/>
  <c r="AG100" i="29"/>
  <c r="BE100" i="29"/>
  <c r="B100" i="29"/>
  <c r="C97" i="5"/>
  <c r="N97" i="5"/>
  <c r="U99" i="29"/>
  <c r="C99" i="29"/>
  <c r="AB99" i="29"/>
  <c r="AS99" i="29"/>
  <c r="AG99" i="29"/>
  <c r="BE99" i="29"/>
  <c r="B99" i="29"/>
  <c r="C96" i="5"/>
  <c r="N96" i="5"/>
  <c r="U98" i="29"/>
  <c r="C98" i="29"/>
  <c r="AB98" i="29"/>
  <c r="AS98" i="29"/>
  <c r="AG98" i="29"/>
  <c r="BE98" i="29"/>
  <c r="B98" i="29"/>
  <c r="C95" i="5"/>
  <c r="N95" i="5"/>
  <c r="U97" i="29"/>
  <c r="C97" i="29"/>
  <c r="AB97" i="29"/>
  <c r="AS97" i="29"/>
  <c r="AG97" i="29"/>
  <c r="BE97" i="29"/>
  <c r="B97" i="29"/>
  <c r="C94" i="5"/>
  <c r="N94" i="5"/>
  <c r="U96" i="29"/>
  <c r="C96" i="29"/>
  <c r="AB96" i="29"/>
  <c r="AS96" i="29"/>
  <c r="AG96" i="29"/>
  <c r="BE96" i="29"/>
  <c r="B96" i="29"/>
  <c r="C93" i="5"/>
  <c r="N93" i="5"/>
  <c r="U95" i="29"/>
  <c r="C95" i="29"/>
  <c r="AB95" i="29"/>
  <c r="AS95" i="29"/>
  <c r="AG95" i="29"/>
  <c r="BE95" i="29"/>
  <c r="B95" i="29"/>
  <c r="C92" i="5"/>
  <c r="N92" i="5"/>
  <c r="U94" i="29"/>
  <c r="C94" i="29"/>
  <c r="AB94" i="29"/>
  <c r="AS94" i="29"/>
  <c r="AG94" i="29"/>
  <c r="BE94" i="29"/>
  <c r="B94" i="29"/>
  <c r="C91" i="5"/>
  <c r="N91" i="5"/>
  <c r="U93" i="29"/>
  <c r="C93" i="29"/>
  <c r="AB93" i="29"/>
  <c r="AS93" i="29"/>
  <c r="AG93" i="29"/>
  <c r="BE93" i="29"/>
  <c r="B93" i="29"/>
  <c r="C90" i="5"/>
  <c r="N90" i="5"/>
  <c r="U92" i="29"/>
  <c r="C92" i="29"/>
  <c r="AB92" i="29"/>
  <c r="AS92" i="29"/>
  <c r="AG92" i="29"/>
  <c r="BE92" i="29"/>
  <c r="B92" i="29"/>
  <c r="C89" i="5"/>
  <c r="N89" i="5"/>
  <c r="U91" i="29"/>
  <c r="C91" i="29"/>
  <c r="AB91" i="29"/>
  <c r="AS91" i="29"/>
  <c r="AG91" i="29"/>
  <c r="BE91" i="29"/>
  <c r="B91" i="29"/>
  <c r="C88" i="5"/>
  <c r="N88" i="5"/>
  <c r="U90" i="29"/>
  <c r="C90" i="29"/>
  <c r="AB90" i="29"/>
  <c r="AS90" i="29"/>
  <c r="AG90" i="29"/>
  <c r="BE90" i="29"/>
  <c r="B90" i="29"/>
  <c r="C87" i="5"/>
  <c r="N87" i="5"/>
  <c r="U89" i="29"/>
  <c r="C89" i="29"/>
  <c r="AB89" i="29"/>
  <c r="AS89" i="29"/>
  <c r="AG89" i="29"/>
  <c r="BE89" i="29"/>
  <c r="B89" i="29"/>
  <c r="C86" i="5"/>
  <c r="N86" i="5"/>
  <c r="U88" i="29"/>
  <c r="C88" i="29"/>
  <c r="AB88" i="29"/>
  <c r="AS88" i="29"/>
  <c r="AG88" i="29"/>
  <c r="BE88" i="29"/>
  <c r="B88" i="29"/>
  <c r="C85" i="5"/>
  <c r="N85" i="5"/>
  <c r="U87" i="29"/>
  <c r="C87" i="29"/>
  <c r="AB87" i="29"/>
  <c r="AS87" i="29"/>
  <c r="AG87" i="29"/>
  <c r="BE87" i="29"/>
  <c r="B87" i="29"/>
  <c r="C84" i="5"/>
  <c r="N84" i="5"/>
  <c r="U86" i="29"/>
  <c r="C86" i="29"/>
  <c r="AB86" i="29"/>
  <c r="AS86" i="29"/>
  <c r="AG86" i="29"/>
  <c r="BE86" i="29"/>
  <c r="B86" i="29"/>
  <c r="C83" i="5"/>
  <c r="N83" i="5"/>
  <c r="U85" i="29"/>
  <c r="C85" i="29"/>
  <c r="AB85" i="29"/>
  <c r="AS85" i="29"/>
  <c r="AG85" i="29"/>
  <c r="BE85" i="29"/>
  <c r="B85" i="29"/>
  <c r="C82" i="5"/>
  <c r="N82" i="5"/>
  <c r="U84" i="29"/>
  <c r="C84" i="29"/>
  <c r="AB84" i="29"/>
  <c r="AS84" i="29"/>
  <c r="AG84" i="29"/>
  <c r="BE84" i="29"/>
  <c r="B84" i="29"/>
  <c r="C81" i="5"/>
  <c r="N81" i="5"/>
  <c r="U83" i="29"/>
  <c r="C83" i="29"/>
  <c r="AB83" i="29"/>
  <c r="AS83" i="29"/>
  <c r="AG83" i="29"/>
  <c r="BE83" i="29"/>
  <c r="B83" i="29"/>
  <c r="C80" i="5"/>
  <c r="N80" i="5"/>
  <c r="U82" i="29"/>
  <c r="C82" i="29"/>
  <c r="AB82" i="29"/>
  <c r="AS82" i="29"/>
  <c r="AG82" i="29"/>
  <c r="BE82" i="29"/>
  <c r="B82" i="29"/>
  <c r="C79" i="5"/>
  <c r="N79" i="5"/>
  <c r="U81" i="29"/>
  <c r="C81" i="29"/>
  <c r="AB81" i="29"/>
  <c r="AS81" i="29"/>
  <c r="AG81" i="29"/>
  <c r="BE81" i="29"/>
  <c r="B81" i="29"/>
  <c r="C78" i="5"/>
  <c r="N78" i="5"/>
  <c r="U80" i="29"/>
  <c r="C80" i="29"/>
  <c r="AB80" i="29"/>
  <c r="AS80" i="29"/>
  <c r="AG80" i="29"/>
  <c r="BE80" i="29"/>
  <c r="B80" i="29"/>
  <c r="C77" i="5"/>
  <c r="N77" i="5"/>
  <c r="U79" i="29"/>
  <c r="C79" i="29"/>
  <c r="AB79" i="29"/>
  <c r="AS79" i="29"/>
  <c r="AG79" i="29"/>
  <c r="BE79" i="29"/>
  <c r="B79" i="29"/>
  <c r="C76" i="5"/>
  <c r="N76" i="5"/>
  <c r="C20" i="33"/>
  <c r="I39" i="33"/>
  <c r="I20" i="33"/>
  <c r="J39" i="33"/>
  <c r="J20" i="33"/>
  <c r="H20" i="33"/>
  <c r="K20" i="33"/>
  <c r="K39" i="33"/>
  <c r="F68" i="25"/>
  <c r="G68" i="25"/>
  <c r="H69" i="25"/>
  <c r="J69" i="25"/>
  <c r="E69" i="25"/>
  <c r="B69" i="25"/>
  <c r="B68" i="25"/>
  <c r="D69" i="25"/>
  <c r="F69" i="25"/>
  <c r="G69" i="25"/>
  <c r="H70" i="25"/>
  <c r="J70" i="25"/>
  <c r="E70" i="25"/>
  <c r="B70" i="25"/>
  <c r="D70" i="25"/>
  <c r="F70" i="25"/>
  <c r="G70" i="25"/>
  <c r="H71" i="25"/>
  <c r="J71" i="25"/>
  <c r="E71" i="25"/>
  <c r="B71" i="25"/>
  <c r="D71" i="25"/>
  <c r="F71" i="25"/>
  <c r="G71" i="25"/>
  <c r="H72" i="25"/>
  <c r="J72" i="25"/>
  <c r="E72" i="25"/>
  <c r="B72" i="25"/>
  <c r="D72" i="25"/>
  <c r="F72" i="25"/>
  <c r="G72" i="25"/>
  <c r="H73" i="25"/>
  <c r="J73" i="25"/>
  <c r="E73" i="25"/>
  <c r="B73" i="25"/>
  <c r="D73" i="25"/>
  <c r="F73" i="25"/>
  <c r="G73" i="25"/>
  <c r="H74" i="25"/>
  <c r="J74" i="25"/>
  <c r="E74" i="25"/>
  <c r="B74" i="25"/>
  <c r="D74" i="25"/>
  <c r="F74" i="25"/>
  <c r="N74" i="5"/>
  <c r="I74" i="2"/>
  <c r="C77" i="48"/>
  <c r="J74" i="42"/>
  <c r="I74" i="42"/>
  <c r="M74" i="42"/>
  <c r="L74" i="42"/>
  <c r="J74" i="2"/>
  <c r="H74" i="2"/>
  <c r="F74" i="2"/>
  <c r="N73" i="5"/>
  <c r="I73" i="2"/>
  <c r="C76" i="48"/>
  <c r="J73" i="42"/>
  <c r="I73" i="42"/>
  <c r="M73" i="42"/>
  <c r="L73" i="42"/>
  <c r="J73" i="2"/>
  <c r="H73" i="2"/>
  <c r="F73" i="2"/>
  <c r="N72" i="5"/>
  <c r="I72" i="2"/>
  <c r="C75" i="48"/>
  <c r="J72" i="42"/>
  <c r="I72" i="42"/>
  <c r="M72" i="42"/>
  <c r="L72" i="42"/>
  <c r="J72" i="2"/>
  <c r="H72" i="2"/>
  <c r="F72" i="2"/>
  <c r="N71" i="5"/>
  <c r="I71" i="2"/>
  <c r="C74" i="48"/>
  <c r="J71" i="42"/>
  <c r="I71" i="42"/>
  <c r="M71" i="42"/>
  <c r="L71" i="42"/>
  <c r="J71" i="2"/>
  <c r="H71" i="2"/>
  <c r="F71" i="2"/>
  <c r="N70" i="5"/>
  <c r="I70" i="2"/>
  <c r="C73" i="48"/>
  <c r="J70" i="42"/>
  <c r="I70" i="42"/>
  <c r="M70" i="42"/>
  <c r="L70" i="42"/>
  <c r="J70" i="2"/>
  <c r="H70" i="2"/>
  <c r="F70" i="2"/>
  <c r="N69" i="5"/>
  <c r="I69" i="2"/>
  <c r="C72" i="48"/>
  <c r="J69" i="42"/>
  <c r="I69" i="42"/>
  <c r="M69" i="42"/>
  <c r="L69" i="42"/>
  <c r="J69" i="2"/>
  <c r="H69" i="2"/>
  <c r="F69" i="2"/>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L92" i="23"/>
  <c r="M92" i="23"/>
  <c r="K92" i="23"/>
  <c r="B165" i="2"/>
  <c r="N92" i="23"/>
  <c r="O92" i="23"/>
  <c r="L165" i="34"/>
  <c r="I54" i="36"/>
  <c r="L52" i="23"/>
  <c r="M52" i="23"/>
  <c r="K52" i="23"/>
  <c r="N52" i="23"/>
  <c r="O52" i="23"/>
  <c r="L125" i="34"/>
  <c r="H54" i="36"/>
  <c r="J54" i="36"/>
  <c r="G30" i="52"/>
  <c r="G36" i="52"/>
  <c r="G48" i="52"/>
  <c r="G54" i="52"/>
  <c r="F54" i="52"/>
  <c r="H54" i="52"/>
  <c r="L53" i="23"/>
  <c r="M53" i="23"/>
  <c r="K53" i="23"/>
  <c r="N53" i="23"/>
  <c r="O53" i="23"/>
  <c r="L126" i="34"/>
  <c r="K126" i="34"/>
  <c r="AJ126" i="34"/>
  <c r="L54" i="23"/>
  <c r="M54" i="23"/>
  <c r="K54" i="23"/>
  <c r="N54" i="23"/>
  <c r="O54" i="23"/>
  <c r="L127" i="34"/>
  <c r="K127" i="34"/>
  <c r="AJ127" i="34"/>
  <c r="L55" i="23"/>
  <c r="M55" i="23"/>
  <c r="K55" i="23"/>
  <c r="N55" i="23"/>
  <c r="O55" i="23"/>
  <c r="L128" i="34"/>
  <c r="K128" i="34"/>
  <c r="AJ128" i="34"/>
  <c r="L56" i="23"/>
  <c r="M56" i="23"/>
  <c r="K56" i="23"/>
  <c r="N56" i="23"/>
  <c r="O56" i="23"/>
  <c r="L129" i="34"/>
  <c r="K129" i="34"/>
  <c r="AJ129" i="34"/>
  <c r="L57" i="23"/>
  <c r="M57" i="23"/>
  <c r="K57" i="23"/>
  <c r="N57" i="23"/>
  <c r="O57" i="23"/>
  <c r="L130" i="34"/>
  <c r="K130" i="34"/>
  <c r="AJ130" i="34"/>
  <c r="L58" i="23"/>
  <c r="M58" i="23"/>
  <c r="K58" i="23"/>
  <c r="N58" i="23"/>
  <c r="O58" i="23"/>
  <c r="L131" i="34"/>
  <c r="K131" i="34"/>
  <c r="AJ131" i="34"/>
  <c r="L59" i="23"/>
  <c r="M59" i="23"/>
  <c r="K59" i="23"/>
  <c r="N59" i="23"/>
  <c r="O59" i="23"/>
  <c r="L132" i="34"/>
  <c r="K132" i="34"/>
  <c r="AJ132" i="34"/>
  <c r="L60" i="23"/>
  <c r="M60" i="23"/>
  <c r="K60" i="23"/>
  <c r="N60" i="23"/>
  <c r="O60" i="23"/>
  <c r="L133" i="34"/>
  <c r="K133" i="34"/>
  <c r="AJ133" i="34"/>
  <c r="L61" i="23"/>
  <c r="M61" i="23"/>
  <c r="K61" i="23"/>
  <c r="N61" i="23"/>
  <c r="O61" i="23"/>
  <c r="L134" i="34"/>
  <c r="K134" i="34"/>
  <c r="AJ134" i="34"/>
  <c r="L62" i="23"/>
  <c r="M62" i="23"/>
  <c r="K62" i="23"/>
  <c r="N62" i="23"/>
  <c r="O62" i="23"/>
  <c r="L135" i="34"/>
  <c r="K135" i="34"/>
  <c r="AJ135" i="34"/>
  <c r="L63" i="23"/>
  <c r="M63" i="23"/>
  <c r="K63" i="23"/>
  <c r="N63" i="23"/>
  <c r="O63" i="23"/>
  <c r="L136" i="34"/>
  <c r="K136" i="34"/>
  <c r="AJ136" i="34"/>
  <c r="L64" i="23"/>
  <c r="M64" i="23"/>
  <c r="K64" i="23"/>
  <c r="N64" i="23"/>
  <c r="O64" i="23"/>
  <c r="L137" i="34"/>
  <c r="K137" i="34"/>
  <c r="AJ137" i="34"/>
  <c r="L65" i="23"/>
  <c r="M65" i="23"/>
  <c r="K65" i="23"/>
  <c r="N65" i="23"/>
  <c r="O65" i="23"/>
  <c r="L138" i="34"/>
  <c r="K138" i="34"/>
  <c r="AJ138" i="34"/>
  <c r="L66" i="23"/>
  <c r="M66" i="23"/>
  <c r="K66" i="23"/>
  <c r="N66" i="23"/>
  <c r="O66" i="23"/>
  <c r="L139" i="34"/>
  <c r="K139" i="34"/>
  <c r="AJ139" i="34"/>
  <c r="L67" i="23"/>
  <c r="M67" i="23"/>
  <c r="K67" i="23"/>
  <c r="N67" i="23"/>
  <c r="O67" i="23"/>
  <c r="L140" i="34"/>
  <c r="K140" i="34"/>
  <c r="AJ140" i="34"/>
  <c r="L68" i="23"/>
  <c r="M68" i="23"/>
  <c r="K68" i="23"/>
  <c r="N68" i="23"/>
  <c r="O68" i="23"/>
  <c r="L141" i="34"/>
  <c r="K141" i="34"/>
  <c r="AJ141" i="34"/>
  <c r="L69" i="23"/>
  <c r="M69" i="23"/>
  <c r="K69" i="23"/>
  <c r="N69" i="23"/>
  <c r="O69" i="23"/>
  <c r="L142" i="34"/>
  <c r="K142" i="34"/>
  <c r="AJ142" i="34"/>
  <c r="L70" i="23"/>
  <c r="M70" i="23"/>
  <c r="K70" i="23"/>
  <c r="N70" i="23"/>
  <c r="O70" i="23"/>
  <c r="L143" i="34"/>
  <c r="K143" i="34"/>
  <c r="AJ143" i="34"/>
  <c r="L71" i="23"/>
  <c r="M71" i="23"/>
  <c r="K71" i="23"/>
  <c r="N71" i="23"/>
  <c r="O71" i="23"/>
  <c r="L144" i="34"/>
  <c r="K144" i="34"/>
  <c r="AJ144" i="34"/>
  <c r="L72" i="23"/>
  <c r="M72" i="23"/>
  <c r="K72" i="23"/>
  <c r="N72" i="23"/>
  <c r="O72" i="23"/>
  <c r="L145" i="34"/>
  <c r="K145" i="34"/>
  <c r="AJ145" i="34"/>
  <c r="L73" i="23"/>
  <c r="M73" i="23"/>
  <c r="K73" i="23"/>
  <c r="N73" i="23"/>
  <c r="O73" i="23"/>
  <c r="L146" i="34"/>
  <c r="K146" i="34"/>
  <c r="AJ146" i="34"/>
  <c r="L74" i="23"/>
  <c r="M74" i="23"/>
  <c r="K74" i="23"/>
  <c r="N74" i="23"/>
  <c r="O74" i="23"/>
  <c r="L147" i="34"/>
  <c r="K147" i="34"/>
  <c r="AJ147" i="34"/>
  <c r="L75" i="23"/>
  <c r="M75" i="23"/>
  <c r="K75" i="23"/>
  <c r="N75" i="23"/>
  <c r="O75" i="23"/>
  <c r="L148" i="34"/>
  <c r="K148" i="34"/>
  <c r="AJ148" i="34"/>
  <c r="L76" i="23"/>
  <c r="M76" i="23"/>
  <c r="K76" i="23"/>
  <c r="N76" i="23"/>
  <c r="O76" i="23"/>
  <c r="L149" i="34"/>
  <c r="K149" i="34"/>
  <c r="AJ149" i="34"/>
  <c r="L77" i="23"/>
  <c r="M77" i="23"/>
  <c r="K77" i="23"/>
  <c r="N77" i="23"/>
  <c r="O77" i="23"/>
  <c r="L150" i="34"/>
  <c r="K150" i="34"/>
  <c r="AJ150" i="34"/>
  <c r="L78" i="23"/>
  <c r="M78" i="23"/>
  <c r="K78" i="23"/>
  <c r="N78" i="23"/>
  <c r="O78" i="23"/>
  <c r="L151" i="34"/>
  <c r="K151" i="34"/>
  <c r="AJ151" i="34"/>
  <c r="L79" i="23"/>
  <c r="M79" i="23"/>
  <c r="K79" i="23"/>
  <c r="N79" i="23"/>
  <c r="O79" i="23"/>
  <c r="L152" i="34"/>
  <c r="K152" i="34"/>
  <c r="AJ152" i="34"/>
  <c r="L80" i="23"/>
  <c r="M80" i="23"/>
  <c r="K80" i="23"/>
  <c r="N80" i="23"/>
  <c r="O80" i="23"/>
  <c r="L153" i="34"/>
  <c r="K153" i="34"/>
  <c r="AJ153" i="34"/>
  <c r="L81" i="23"/>
  <c r="M81" i="23"/>
  <c r="K81" i="23"/>
  <c r="N81" i="23"/>
  <c r="O81" i="23"/>
  <c r="L154" i="34"/>
  <c r="K154" i="34"/>
  <c r="AJ154" i="34"/>
  <c r="L82" i="23"/>
  <c r="M82" i="23"/>
  <c r="K82" i="23"/>
  <c r="N82" i="23"/>
  <c r="O82" i="23"/>
  <c r="L155" i="34"/>
  <c r="K155" i="34"/>
  <c r="AJ155" i="34"/>
  <c r="L83" i="23"/>
  <c r="M83" i="23"/>
  <c r="K83" i="23"/>
  <c r="N83" i="23"/>
  <c r="O83" i="23"/>
  <c r="L156" i="34"/>
  <c r="K156" i="34"/>
  <c r="AJ156" i="34"/>
  <c r="L84" i="23"/>
  <c r="M84" i="23"/>
  <c r="K84" i="23"/>
  <c r="N84" i="23"/>
  <c r="O84" i="23"/>
  <c r="L157" i="34"/>
  <c r="K157" i="34"/>
  <c r="AJ157" i="34"/>
  <c r="L85" i="23"/>
  <c r="M85" i="23"/>
  <c r="K85" i="23"/>
  <c r="N85" i="23"/>
  <c r="O85" i="23"/>
  <c r="L158" i="34"/>
  <c r="K158" i="34"/>
  <c r="AJ158" i="34"/>
  <c r="L86" i="23"/>
  <c r="M86" i="23"/>
  <c r="K86" i="23"/>
  <c r="N86" i="23"/>
  <c r="O86" i="23"/>
  <c r="L159" i="34"/>
  <c r="K159" i="34"/>
  <c r="AJ159" i="34"/>
  <c r="L87" i="23"/>
  <c r="M87" i="23"/>
  <c r="K87" i="23"/>
  <c r="N87" i="23"/>
  <c r="O87" i="23"/>
  <c r="L160" i="34"/>
  <c r="K160" i="34"/>
  <c r="AJ160" i="34"/>
  <c r="L88" i="23"/>
  <c r="M88" i="23"/>
  <c r="K88" i="23"/>
  <c r="N88" i="23"/>
  <c r="O88" i="23"/>
  <c r="L161" i="34"/>
  <c r="K161" i="34"/>
  <c r="AJ161" i="34"/>
  <c r="L89" i="23"/>
  <c r="M89" i="23"/>
  <c r="K89" i="23"/>
  <c r="N89" i="23"/>
  <c r="O89" i="23"/>
  <c r="L162" i="34"/>
  <c r="K162" i="34"/>
  <c r="AJ162" i="34"/>
  <c r="L90" i="23"/>
  <c r="M90" i="23"/>
  <c r="K90" i="23"/>
  <c r="N90" i="23"/>
  <c r="O90" i="23"/>
  <c r="L163" i="34"/>
  <c r="K163" i="34"/>
  <c r="AJ163" i="34"/>
  <c r="L91" i="23"/>
  <c r="M91" i="23"/>
  <c r="K91" i="23"/>
  <c r="N91" i="23"/>
  <c r="O91" i="23"/>
  <c r="L164" i="34"/>
  <c r="K164" i="34"/>
  <c r="AJ164" i="34"/>
  <c r="K165" i="34"/>
  <c r="AJ165" i="34"/>
  <c r="K222" i="34"/>
  <c r="I54" i="37"/>
  <c r="B53" i="38"/>
  <c r="L165" i="2"/>
  <c r="L125" i="2"/>
  <c r="C165" i="53"/>
  <c r="B165" i="53"/>
  <c r="B164" i="53"/>
  <c r="C164" i="53"/>
  <c r="B163" i="53"/>
  <c r="C163" i="53"/>
  <c r="B162" i="53"/>
  <c r="C162" i="53"/>
  <c r="B161" i="53"/>
  <c r="C161" i="53"/>
  <c r="B160" i="53"/>
  <c r="C160" i="53"/>
  <c r="B159" i="53"/>
  <c r="C159" i="53"/>
  <c r="B158" i="53"/>
  <c r="C158" i="53"/>
  <c r="B157" i="53"/>
  <c r="C157" i="53"/>
  <c r="B156" i="53"/>
  <c r="C156" i="53"/>
  <c r="B155" i="53"/>
  <c r="C155" i="53"/>
  <c r="B154" i="53"/>
  <c r="C154" i="53"/>
  <c r="B153" i="53"/>
  <c r="C153" i="53"/>
  <c r="B152" i="53"/>
  <c r="C152" i="53"/>
  <c r="B151" i="53"/>
  <c r="C151" i="53"/>
  <c r="B150" i="53"/>
  <c r="C150" i="53"/>
  <c r="B149" i="53"/>
  <c r="C149" i="53"/>
  <c r="B148" i="53"/>
  <c r="C148" i="53"/>
  <c r="B147" i="53"/>
  <c r="C147" i="53"/>
  <c r="B146" i="53"/>
  <c r="C146" i="53"/>
  <c r="B145" i="53"/>
  <c r="C145" i="53"/>
  <c r="B144" i="53"/>
  <c r="C144" i="53"/>
  <c r="B143" i="53"/>
  <c r="C143" i="53"/>
  <c r="B142" i="53"/>
  <c r="C142" i="53"/>
  <c r="B141" i="53"/>
  <c r="C141" i="53"/>
  <c r="B140" i="53"/>
  <c r="C140" i="53"/>
  <c r="B139" i="53"/>
  <c r="C139" i="53"/>
  <c r="B138" i="53"/>
  <c r="C138" i="53"/>
  <c r="B137" i="53"/>
  <c r="C137" i="53"/>
  <c r="B136" i="53"/>
  <c r="C136" i="53"/>
  <c r="B135" i="53"/>
  <c r="C135" i="53"/>
  <c r="B134" i="53"/>
  <c r="C134" i="53"/>
  <c r="B133" i="53"/>
  <c r="C133" i="53"/>
  <c r="B132" i="53"/>
  <c r="C132" i="53"/>
  <c r="B131" i="53"/>
  <c r="C131" i="53"/>
  <c r="B130" i="53"/>
  <c r="C130" i="53"/>
  <c r="B129" i="53"/>
  <c r="C129" i="53"/>
  <c r="B128" i="53"/>
  <c r="C128" i="53"/>
  <c r="B127" i="53"/>
  <c r="C127" i="53"/>
  <c r="B126" i="53"/>
  <c r="C126" i="53"/>
  <c r="B125" i="53"/>
  <c r="C125" i="53"/>
  <c r="B124" i="53"/>
  <c r="C124" i="53"/>
  <c r="B123" i="53"/>
  <c r="C123" i="53"/>
  <c r="B122" i="53"/>
  <c r="C122" i="53"/>
  <c r="B121" i="53"/>
  <c r="C121" i="53"/>
  <c r="B120" i="53"/>
  <c r="C120" i="53"/>
  <c r="B119" i="53"/>
  <c r="C119" i="53"/>
  <c r="B118" i="53"/>
  <c r="C118" i="53"/>
  <c r="B117" i="53"/>
  <c r="C117" i="53"/>
  <c r="AW117" i="44"/>
  <c r="B116" i="53"/>
  <c r="C116" i="53"/>
  <c r="AW116" i="44"/>
  <c r="B115" i="53"/>
  <c r="C115" i="53"/>
  <c r="AW115" i="44"/>
  <c r="B114" i="53"/>
  <c r="C114" i="53"/>
  <c r="AW114" i="44"/>
  <c r="B113" i="53"/>
  <c r="C113" i="53"/>
  <c r="AW113" i="44"/>
  <c r="B112" i="53"/>
  <c r="C112" i="53"/>
  <c r="AW112" i="44"/>
  <c r="B111" i="53"/>
  <c r="C111" i="53"/>
  <c r="AW111" i="44"/>
  <c r="B110" i="53"/>
  <c r="C110" i="53"/>
  <c r="AW110" i="44"/>
  <c r="B109" i="53"/>
  <c r="C109" i="53"/>
  <c r="AW109" i="44"/>
  <c r="B108" i="53"/>
  <c r="C108" i="53"/>
  <c r="AW108" i="44"/>
  <c r="B107" i="53"/>
  <c r="C107" i="53"/>
  <c r="AW107" i="44"/>
  <c r="B106" i="53"/>
  <c r="C106" i="53"/>
  <c r="AW106" i="44"/>
  <c r="B105" i="53"/>
  <c r="C105" i="53"/>
  <c r="AW105" i="44"/>
  <c r="B104" i="53"/>
  <c r="C104" i="53"/>
  <c r="AW104" i="44"/>
  <c r="B103" i="53"/>
  <c r="C103" i="53"/>
  <c r="AW103" i="44"/>
  <c r="B102" i="53"/>
  <c r="C102" i="53"/>
  <c r="C166" i="53"/>
  <c r="C167" i="53"/>
  <c r="C168" i="53"/>
  <c r="C169" i="53"/>
  <c r="C170" i="53"/>
  <c r="C171" i="53"/>
  <c r="C172" i="53"/>
  <c r="C173" i="53"/>
  <c r="C174" i="53"/>
  <c r="C175" i="53"/>
  <c r="C176" i="53"/>
  <c r="C177" i="53"/>
  <c r="C178" i="53"/>
  <c r="C179"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301" i="53"/>
  <c r="C302" i="53"/>
  <c r="C303" i="53"/>
  <c r="C304" i="53"/>
  <c r="C305" i="53"/>
  <c r="C306" i="53"/>
  <c r="C307" i="53"/>
  <c r="C308" i="53"/>
  <c r="C309" i="53"/>
  <c r="C310" i="53"/>
  <c r="C311" i="53"/>
  <c r="C312" i="53"/>
  <c r="C313" i="53"/>
  <c r="C314" i="53"/>
  <c r="C315" i="53"/>
  <c r="C316" i="53"/>
  <c r="C317" i="53"/>
  <c r="C318" i="53"/>
  <c r="C319" i="53"/>
  <c r="C320" i="53"/>
  <c r="AW102" i="44"/>
  <c r="B101" i="53"/>
  <c r="C101" i="53"/>
  <c r="M125" i="34"/>
  <c r="N126" i="34"/>
  <c r="V125" i="34"/>
  <c r="O125" i="34"/>
  <c r="P126" i="34"/>
  <c r="AM126" i="34"/>
  <c r="M126" i="34"/>
  <c r="N127" i="34"/>
  <c r="V126" i="34"/>
  <c r="O126" i="34"/>
  <c r="P127" i="34"/>
  <c r="AM127" i="34"/>
  <c r="M127" i="34"/>
  <c r="N128" i="34"/>
  <c r="V127" i="34"/>
  <c r="O127" i="34"/>
  <c r="P128" i="34"/>
  <c r="AM128" i="34"/>
  <c r="M128" i="34"/>
  <c r="N129" i="34"/>
  <c r="V128" i="34"/>
  <c r="O128" i="34"/>
  <c r="P129" i="34"/>
  <c r="AM129" i="34"/>
  <c r="M129" i="34"/>
  <c r="N130" i="34"/>
  <c r="V129" i="34"/>
  <c r="O129" i="34"/>
  <c r="P130" i="34"/>
  <c r="AM130" i="34"/>
  <c r="M130" i="34"/>
  <c r="N131" i="34"/>
  <c r="V130" i="34"/>
  <c r="O130" i="34"/>
  <c r="P131" i="34"/>
  <c r="AM131" i="34"/>
  <c r="M131" i="34"/>
  <c r="N132" i="34"/>
  <c r="V131" i="34"/>
  <c r="O131" i="34"/>
  <c r="P132" i="34"/>
  <c r="AM132" i="34"/>
  <c r="M132" i="34"/>
  <c r="N133" i="34"/>
  <c r="V132" i="34"/>
  <c r="O132" i="34"/>
  <c r="P133" i="34"/>
  <c r="AM133" i="34"/>
  <c r="M133" i="34"/>
  <c r="N134" i="34"/>
  <c r="V133" i="34"/>
  <c r="O133" i="34"/>
  <c r="P134" i="34"/>
  <c r="AM134" i="34"/>
  <c r="M134" i="34"/>
  <c r="N135" i="34"/>
  <c r="V134" i="34"/>
  <c r="O134" i="34"/>
  <c r="P135" i="34"/>
  <c r="AM135" i="34"/>
  <c r="M135" i="34"/>
  <c r="N136" i="34"/>
  <c r="V135" i="34"/>
  <c r="O135" i="34"/>
  <c r="P136" i="34"/>
  <c r="AM136" i="34"/>
  <c r="M136" i="34"/>
  <c r="N137" i="34"/>
  <c r="V136" i="34"/>
  <c r="O136" i="34"/>
  <c r="P137" i="34"/>
  <c r="AM137" i="34"/>
  <c r="M137" i="34"/>
  <c r="N138" i="34"/>
  <c r="V137" i="34"/>
  <c r="O137" i="34"/>
  <c r="P138" i="34"/>
  <c r="AM138" i="34"/>
  <c r="M138" i="34"/>
  <c r="N139" i="34"/>
  <c r="V138" i="34"/>
  <c r="O138" i="34"/>
  <c r="P139" i="34"/>
  <c r="AM139" i="34"/>
  <c r="M139" i="34"/>
  <c r="N140" i="34"/>
  <c r="V139" i="34"/>
  <c r="O139" i="34"/>
  <c r="P140" i="34"/>
  <c r="AM140" i="34"/>
  <c r="M140" i="34"/>
  <c r="N141" i="34"/>
  <c r="V140" i="34"/>
  <c r="O140" i="34"/>
  <c r="P141" i="34"/>
  <c r="AM141" i="34"/>
  <c r="M141" i="34"/>
  <c r="N142" i="34"/>
  <c r="V141" i="34"/>
  <c r="O141" i="34"/>
  <c r="P142" i="34"/>
  <c r="AM142" i="34"/>
  <c r="M142" i="34"/>
  <c r="N143" i="34"/>
  <c r="V142" i="34"/>
  <c r="O142" i="34"/>
  <c r="P143" i="34"/>
  <c r="AM143" i="34"/>
  <c r="M143" i="34"/>
  <c r="N144" i="34"/>
  <c r="V143" i="34"/>
  <c r="O143" i="34"/>
  <c r="P144" i="34"/>
  <c r="AM144" i="34"/>
  <c r="M144" i="34"/>
  <c r="N145" i="34"/>
  <c r="V144" i="34"/>
  <c r="O144" i="34"/>
  <c r="P145" i="34"/>
  <c r="AM145" i="34"/>
  <c r="M145" i="34"/>
  <c r="N146" i="34"/>
  <c r="V145" i="34"/>
  <c r="O145" i="34"/>
  <c r="P146" i="34"/>
  <c r="AM146" i="34"/>
  <c r="M146" i="34"/>
  <c r="N147" i="34"/>
  <c r="V146" i="34"/>
  <c r="O146" i="34"/>
  <c r="P147" i="34"/>
  <c r="AM147" i="34"/>
  <c r="M147" i="34"/>
  <c r="N148" i="34"/>
  <c r="V147" i="34"/>
  <c r="O147" i="34"/>
  <c r="P148" i="34"/>
  <c r="AM148" i="34"/>
  <c r="M148" i="34"/>
  <c r="N149" i="34"/>
  <c r="V148" i="34"/>
  <c r="O148" i="34"/>
  <c r="P149" i="34"/>
  <c r="AM149" i="34"/>
  <c r="M149" i="34"/>
  <c r="N150" i="34"/>
  <c r="V149" i="34"/>
  <c r="O149" i="34"/>
  <c r="P150" i="34"/>
  <c r="AM150" i="34"/>
  <c r="M150" i="34"/>
  <c r="N151" i="34"/>
  <c r="V150" i="34"/>
  <c r="O150" i="34"/>
  <c r="P151" i="34"/>
  <c r="AM151" i="34"/>
  <c r="M151" i="34"/>
  <c r="N152" i="34"/>
  <c r="V151" i="34"/>
  <c r="O151" i="34"/>
  <c r="P152" i="34"/>
  <c r="AM152" i="34"/>
  <c r="M152" i="34"/>
  <c r="N153" i="34"/>
  <c r="V152" i="34"/>
  <c r="O152" i="34"/>
  <c r="P153" i="34"/>
  <c r="AM153" i="34"/>
  <c r="M153" i="34"/>
  <c r="N154" i="34"/>
  <c r="V153" i="34"/>
  <c r="O153" i="34"/>
  <c r="P154" i="34"/>
  <c r="AM154" i="34"/>
  <c r="M154" i="34"/>
  <c r="N155" i="34"/>
  <c r="V154" i="34"/>
  <c r="O154" i="34"/>
  <c r="P155" i="34"/>
  <c r="AM155" i="34"/>
  <c r="M155" i="34"/>
  <c r="N156" i="34"/>
  <c r="V155" i="34"/>
  <c r="O155" i="34"/>
  <c r="P156" i="34"/>
  <c r="AM156" i="34"/>
  <c r="M156" i="34"/>
  <c r="N157" i="34"/>
  <c r="V156" i="34"/>
  <c r="O156" i="34"/>
  <c r="P157" i="34"/>
  <c r="AM157" i="34"/>
  <c r="M157" i="34"/>
  <c r="N158" i="34"/>
  <c r="V157" i="34"/>
  <c r="O157" i="34"/>
  <c r="P158" i="34"/>
  <c r="AM158" i="34"/>
  <c r="M158" i="34"/>
  <c r="N159" i="34"/>
  <c r="V158" i="34"/>
  <c r="O158" i="34"/>
  <c r="P159" i="34"/>
  <c r="AM159" i="34"/>
  <c r="M159" i="34"/>
  <c r="N160" i="34"/>
  <c r="V159" i="34"/>
  <c r="O159" i="34"/>
  <c r="P160" i="34"/>
  <c r="AM160" i="34"/>
  <c r="M160" i="34"/>
  <c r="N161" i="34"/>
  <c r="V160" i="34"/>
  <c r="O160" i="34"/>
  <c r="P161" i="34"/>
  <c r="AM161" i="34"/>
  <c r="M161" i="34"/>
  <c r="N162" i="34"/>
  <c r="V161" i="34"/>
  <c r="O161" i="34"/>
  <c r="P162" i="34"/>
  <c r="AM162" i="34"/>
  <c r="M162" i="34"/>
  <c r="N163" i="34"/>
  <c r="V162" i="34"/>
  <c r="O162" i="34"/>
  <c r="P163" i="34"/>
  <c r="AM163" i="34"/>
  <c r="M163" i="34"/>
  <c r="N164" i="34"/>
  <c r="V163" i="34"/>
  <c r="O163" i="34"/>
  <c r="P164" i="34"/>
  <c r="AM164" i="34"/>
  <c r="M164" i="34"/>
  <c r="N165" i="34"/>
  <c r="V164" i="34"/>
  <c r="O164" i="34"/>
  <c r="P165" i="34"/>
  <c r="AM165" i="34"/>
  <c r="P222" i="34"/>
  <c r="M54" i="37"/>
  <c r="B195" i="25"/>
  <c r="B29" i="38"/>
  <c r="C222" i="25"/>
  <c r="C55" i="27"/>
  <c r="E126" i="25"/>
  <c r="I125" i="25"/>
  <c r="J126" i="25"/>
  <c r="AE126" i="25"/>
  <c r="E127" i="25"/>
  <c r="I126" i="25"/>
  <c r="J127" i="25"/>
  <c r="AE127" i="25"/>
  <c r="E128" i="25"/>
  <c r="I127" i="25"/>
  <c r="J128" i="25"/>
  <c r="AE128" i="25"/>
  <c r="E129" i="25"/>
  <c r="I128" i="25"/>
  <c r="J129" i="25"/>
  <c r="AE129" i="25"/>
  <c r="E130" i="25"/>
  <c r="I129" i="25"/>
  <c r="J130" i="25"/>
  <c r="AE130" i="25"/>
  <c r="E131" i="25"/>
  <c r="I130" i="25"/>
  <c r="J131" i="25"/>
  <c r="AE131" i="25"/>
  <c r="E132" i="25"/>
  <c r="I131" i="25"/>
  <c r="J132" i="25"/>
  <c r="AE132" i="25"/>
  <c r="E133" i="25"/>
  <c r="I132" i="25"/>
  <c r="J133" i="25"/>
  <c r="AE133" i="25"/>
  <c r="E134" i="25"/>
  <c r="I133" i="25"/>
  <c r="J134" i="25"/>
  <c r="AE134" i="25"/>
  <c r="E135" i="25"/>
  <c r="I134" i="25"/>
  <c r="J135" i="25"/>
  <c r="AE135" i="25"/>
  <c r="E136" i="25"/>
  <c r="I135" i="25"/>
  <c r="J136" i="25"/>
  <c r="AE136" i="25"/>
  <c r="E137" i="25"/>
  <c r="I136" i="25"/>
  <c r="J137" i="25"/>
  <c r="AE137" i="25"/>
  <c r="E138" i="25"/>
  <c r="I137" i="25"/>
  <c r="J138" i="25"/>
  <c r="AE138" i="25"/>
  <c r="E139" i="25"/>
  <c r="I138" i="25"/>
  <c r="J139" i="25"/>
  <c r="AE139" i="25"/>
  <c r="E140" i="25"/>
  <c r="I139" i="25"/>
  <c r="J140" i="25"/>
  <c r="AE140" i="25"/>
  <c r="E141" i="25"/>
  <c r="I140" i="25"/>
  <c r="J141" i="25"/>
  <c r="AE141" i="25"/>
  <c r="E142" i="25"/>
  <c r="I141" i="25"/>
  <c r="J142" i="25"/>
  <c r="AE142" i="25"/>
  <c r="E143" i="25"/>
  <c r="I142" i="25"/>
  <c r="J143" i="25"/>
  <c r="AE143" i="25"/>
  <c r="E144" i="25"/>
  <c r="I143" i="25"/>
  <c r="J144" i="25"/>
  <c r="AE144" i="25"/>
  <c r="E145" i="25"/>
  <c r="I144" i="25"/>
  <c r="J145" i="25"/>
  <c r="AE145" i="25"/>
  <c r="E146" i="25"/>
  <c r="I145" i="25"/>
  <c r="J146" i="25"/>
  <c r="AE146" i="25"/>
  <c r="E147" i="25"/>
  <c r="I146" i="25"/>
  <c r="J147" i="25"/>
  <c r="AE147" i="25"/>
  <c r="E148" i="25"/>
  <c r="I147" i="25"/>
  <c r="J148" i="25"/>
  <c r="AE148" i="25"/>
  <c r="E149" i="25"/>
  <c r="I148" i="25"/>
  <c r="J149" i="25"/>
  <c r="AE149" i="25"/>
  <c r="E150" i="25"/>
  <c r="I149" i="25"/>
  <c r="J150" i="25"/>
  <c r="AE150" i="25"/>
  <c r="E151" i="25"/>
  <c r="I150" i="25"/>
  <c r="J151" i="25"/>
  <c r="AE151" i="25"/>
  <c r="E152" i="25"/>
  <c r="I151" i="25"/>
  <c r="J152" i="25"/>
  <c r="AE152" i="25"/>
  <c r="E153" i="25"/>
  <c r="I152" i="25"/>
  <c r="J153" i="25"/>
  <c r="AE153" i="25"/>
  <c r="E154" i="25"/>
  <c r="I153" i="25"/>
  <c r="J154" i="25"/>
  <c r="AE154" i="25"/>
  <c r="E155" i="25"/>
  <c r="I154" i="25"/>
  <c r="J155" i="25"/>
  <c r="AE155" i="25"/>
  <c r="E156" i="25"/>
  <c r="I155" i="25"/>
  <c r="J156" i="25"/>
  <c r="AE156" i="25"/>
  <c r="E157" i="25"/>
  <c r="I156" i="25"/>
  <c r="J157" i="25"/>
  <c r="AE157" i="25"/>
  <c r="E158" i="25"/>
  <c r="I157" i="25"/>
  <c r="J158" i="25"/>
  <c r="AE158" i="25"/>
  <c r="E159" i="25"/>
  <c r="I158" i="25"/>
  <c r="J159" i="25"/>
  <c r="AE159" i="25"/>
  <c r="E160" i="25"/>
  <c r="I159" i="25"/>
  <c r="J160" i="25"/>
  <c r="AE160" i="25"/>
  <c r="E161" i="25"/>
  <c r="I160" i="25"/>
  <c r="J161" i="25"/>
  <c r="AE161" i="25"/>
  <c r="E162" i="25"/>
  <c r="I161" i="25"/>
  <c r="J162" i="25"/>
  <c r="AE162" i="25"/>
  <c r="E163" i="25"/>
  <c r="I162" i="25"/>
  <c r="J163" i="25"/>
  <c r="AE163" i="25"/>
  <c r="E164" i="25"/>
  <c r="I163" i="25"/>
  <c r="J164" i="25"/>
  <c r="AE164" i="25"/>
  <c r="E165" i="25"/>
  <c r="I164" i="25"/>
  <c r="J165" i="25"/>
  <c r="AE165" i="25"/>
  <c r="J222" i="25"/>
  <c r="H55" i="27"/>
  <c r="D54" i="35"/>
  <c r="E54" i="35"/>
  <c r="G54" i="35"/>
  <c r="C45" i="15"/>
  <c r="E45" i="14"/>
  <c r="G45" i="15"/>
  <c r="C48" i="16"/>
  <c r="B45" i="14"/>
  <c r="D48" i="16"/>
  <c r="AN48" i="4"/>
  <c r="Q39" i="30"/>
  <c r="P39" i="30"/>
  <c r="Z39" i="30"/>
  <c r="Q69" i="30"/>
  <c r="P69" i="30"/>
  <c r="Z69" i="30"/>
  <c r="Z40" i="30"/>
  <c r="Z41" i="30"/>
  <c r="Z42" i="30"/>
  <c r="Z43" i="30"/>
  <c r="Z44" i="30"/>
  <c r="Z45" i="30"/>
  <c r="Z46" i="30"/>
  <c r="Z47" i="30"/>
  <c r="Z48"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X48" i="30"/>
  <c r="S48" i="30"/>
  <c r="AG48" i="30"/>
  <c r="M48" i="16"/>
  <c r="AW44" i="30"/>
  <c r="AW45" i="30"/>
  <c r="AW46" i="30"/>
  <c r="AW47" i="30"/>
  <c r="AW48" i="30"/>
  <c r="G69" i="30"/>
  <c r="M69" i="30"/>
  <c r="W69" i="30"/>
  <c r="X69" i="30"/>
  <c r="Y69" i="30"/>
  <c r="Y40" i="30"/>
  <c r="Y41" i="30"/>
  <c r="Y42" i="30"/>
  <c r="Y43" i="30"/>
  <c r="Y44" i="30"/>
  <c r="Y45" i="30"/>
  <c r="Y46" i="30"/>
  <c r="Y47" i="30"/>
  <c r="Y48" i="30"/>
  <c r="W48" i="30"/>
  <c r="R48" i="30"/>
  <c r="AE48" i="30"/>
  <c r="N48" i="16"/>
  <c r="L48" i="16"/>
  <c r="E48" i="16"/>
  <c r="B45" i="13"/>
  <c r="F45" i="13"/>
  <c r="F48" i="16"/>
  <c r="F258" i="44"/>
  <c r="GW106" i="4"/>
  <c r="GY106" i="4"/>
  <c r="F257" i="44"/>
  <c r="GW105" i="4"/>
  <c r="GY105" i="4"/>
  <c r="F256" i="44"/>
  <c r="GW104" i="4"/>
  <c r="GY104" i="4"/>
  <c r="F255" i="44"/>
  <c r="GW103" i="4"/>
  <c r="GY103" i="4"/>
  <c r="F254" i="44"/>
  <c r="GW102" i="4"/>
  <c r="GY102" i="4"/>
  <c r="F253" i="44"/>
  <c r="GW101" i="4"/>
  <c r="GY101" i="4"/>
  <c r="F252" i="44"/>
  <c r="GW100" i="4"/>
  <c r="GY100" i="4"/>
  <c r="F251" i="44"/>
  <c r="GW99" i="4"/>
  <c r="GY99" i="4"/>
  <c r="F250" i="44"/>
  <c r="GW98" i="4"/>
  <c r="GY98" i="4"/>
  <c r="F249" i="44"/>
  <c r="GW97" i="4"/>
  <c r="GY97" i="4"/>
  <c r="F248" i="44"/>
  <c r="GW96" i="4"/>
  <c r="GY96" i="4"/>
  <c r="F247" i="44"/>
  <c r="GW95" i="4"/>
  <c r="GY95" i="4"/>
  <c r="F246" i="44"/>
  <c r="GW94" i="4"/>
  <c r="GY94" i="4"/>
  <c r="F245" i="44"/>
  <c r="GW93" i="4"/>
  <c r="GY93" i="4"/>
  <c r="F244" i="44"/>
  <c r="GW92" i="4"/>
  <c r="GY92" i="4"/>
  <c r="F243" i="44"/>
  <c r="GW91" i="4"/>
  <c r="GY91" i="4"/>
  <c r="F242" i="44"/>
  <c r="GW90" i="4"/>
  <c r="GY90" i="4"/>
  <c r="F241" i="44"/>
  <c r="GW89" i="4"/>
  <c r="GY89" i="4"/>
  <c r="F240" i="44"/>
  <c r="GW88" i="4"/>
  <c r="GY88" i="4"/>
  <c r="F239" i="44"/>
  <c r="GW87" i="4"/>
  <c r="GY87" i="4"/>
  <c r="F238" i="44"/>
  <c r="GW86" i="4"/>
  <c r="GY86" i="4"/>
  <c r="F237" i="44"/>
  <c r="GW85" i="4"/>
  <c r="GY85" i="4"/>
  <c r="F236" i="44"/>
  <c r="GW84" i="4"/>
  <c r="GY84" i="4"/>
  <c r="F235" i="44"/>
  <c r="GW83" i="4"/>
  <c r="GY83" i="4"/>
  <c r="F234" i="44"/>
  <c r="GW82" i="4"/>
  <c r="GY82" i="4"/>
  <c r="F233" i="44"/>
  <c r="GW81" i="4"/>
  <c r="GY81" i="4"/>
  <c r="F232" i="44"/>
  <c r="GW80" i="4"/>
  <c r="GY80" i="4"/>
  <c r="F231" i="44"/>
  <c r="GW79" i="4"/>
  <c r="GY79" i="4"/>
  <c r="F230" i="44"/>
  <c r="GW77" i="4"/>
  <c r="GW78" i="4"/>
  <c r="GY78" i="4"/>
  <c r="GY77" i="4"/>
  <c r="F229" i="44"/>
  <c r="GW76" i="4"/>
  <c r="GY76" i="4"/>
  <c r="F228" i="44"/>
  <c r="GW75" i="4"/>
  <c r="GY75" i="4"/>
  <c r="F227" i="44"/>
  <c r="GW74" i="4"/>
  <c r="GY74" i="4"/>
  <c r="F226" i="44"/>
  <c r="GW73" i="4"/>
  <c r="GY73" i="4"/>
  <c r="F225" i="44"/>
  <c r="GW72" i="4"/>
  <c r="GY72" i="4"/>
  <c r="F224" i="44"/>
  <c r="GW71" i="4"/>
  <c r="GY71" i="4"/>
  <c r="F223" i="44"/>
  <c r="GW70" i="4"/>
  <c r="GY70" i="4"/>
  <c r="F222" i="44"/>
  <c r="GW69" i="4"/>
  <c r="GY69" i="4"/>
  <c r="F221" i="44"/>
  <c r="GW68" i="4"/>
  <c r="GY68" i="4"/>
  <c r="F220" i="44"/>
  <c r="GW67" i="4"/>
  <c r="GY67" i="4"/>
  <c r="F219" i="44"/>
  <c r="GW66" i="4"/>
  <c r="GY66" i="4"/>
  <c r="F218" i="44"/>
  <c r="GW65" i="4"/>
  <c r="GY65" i="4"/>
  <c r="F217" i="44"/>
  <c r="GW64" i="4"/>
  <c r="GY64" i="4"/>
  <c r="F216" i="44"/>
  <c r="GW63" i="4"/>
  <c r="GY63" i="4"/>
  <c r="F215" i="44"/>
  <c r="GW62" i="4"/>
  <c r="GY62" i="4"/>
  <c r="F214" i="44"/>
  <c r="GW61" i="4"/>
  <c r="GY61" i="4"/>
  <c r="F213" i="44"/>
  <c r="GW60" i="4"/>
  <c r="GY60" i="4"/>
  <c r="F212" i="44"/>
  <c r="GW59" i="4"/>
  <c r="GY59" i="4"/>
  <c r="F211" i="44"/>
  <c r="GW58" i="4"/>
  <c r="GY58" i="4"/>
  <c r="F210" i="44"/>
  <c r="GW57" i="4"/>
  <c r="GY57" i="4"/>
  <c r="F209" i="44"/>
  <c r="GW56" i="4"/>
  <c r="GY56" i="4"/>
  <c r="F208" i="44"/>
  <c r="GW55" i="4"/>
  <c r="GY55" i="4"/>
  <c r="F207" i="44"/>
  <c r="GW54" i="4"/>
  <c r="GY54" i="4"/>
  <c r="F206" i="44"/>
  <c r="GW53" i="4"/>
  <c r="GY53" i="4"/>
  <c r="F205" i="44"/>
  <c r="GW52" i="4"/>
  <c r="GY52" i="4"/>
  <c r="F204" i="44"/>
  <c r="GW51" i="4"/>
  <c r="GY51" i="4"/>
  <c r="F203" i="44"/>
  <c r="GW50" i="4"/>
  <c r="GY50" i="4"/>
  <c r="F202" i="44"/>
  <c r="GW49" i="4"/>
  <c r="GY49" i="4"/>
  <c r="F201" i="44"/>
  <c r="GW48" i="4"/>
  <c r="GY48" i="4"/>
  <c r="G48" i="16"/>
  <c r="B48" i="16"/>
  <c r="H45" i="14"/>
  <c r="J45" i="13"/>
  <c r="R48" i="16"/>
  <c r="C46" i="15"/>
  <c r="E46" i="14"/>
  <c r="G46" i="15"/>
  <c r="C49" i="16"/>
  <c r="B46" i="14"/>
  <c r="D49" i="16"/>
  <c r="AN49" i="4"/>
  <c r="Z49" i="30"/>
  <c r="AA49" i="30"/>
  <c r="X49" i="30"/>
  <c r="S49" i="30"/>
  <c r="AG49" i="30"/>
  <c r="M49" i="16"/>
  <c r="AW49" i="30"/>
  <c r="Y49" i="30"/>
  <c r="W49" i="30"/>
  <c r="R49" i="30"/>
  <c r="AE49" i="30"/>
  <c r="N49" i="16"/>
  <c r="L49" i="16"/>
  <c r="E49" i="16"/>
  <c r="B46" i="13"/>
  <c r="F46" i="13"/>
  <c r="F49" i="16"/>
  <c r="G49" i="16"/>
  <c r="B49" i="16"/>
  <c r="H46" i="14"/>
  <c r="J46" i="13"/>
  <c r="R49" i="16"/>
  <c r="C47" i="15"/>
  <c r="E47" i="14"/>
  <c r="G47" i="15"/>
  <c r="C50" i="16"/>
  <c r="B47" i="14"/>
  <c r="D50" i="16"/>
  <c r="AN50" i="4"/>
  <c r="Z50" i="30"/>
  <c r="AA50" i="30"/>
  <c r="X50" i="30"/>
  <c r="S50" i="30"/>
  <c r="AG50" i="30"/>
  <c r="M50" i="16"/>
  <c r="AW50" i="30"/>
  <c r="Y50" i="30"/>
  <c r="W50" i="30"/>
  <c r="R50" i="30"/>
  <c r="AE50" i="30"/>
  <c r="N50" i="16"/>
  <c r="L50" i="16"/>
  <c r="E50" i="16"/>
  <c r="B47" i="13"/>
  <c r="F47" i="13"/>
  <c r="F50" i="16"/>
  <c r="G50" i="16"/>
  <c r="B50" i="16"/>
  <c r="H47" i="14"/>
  <c r="J47" i="13"/>
  <c r="R50" i="16"/>
  <c r="C48" i="15"/>
  <c r="E48" i="14"/>
  <c r="G48" i="15"/>
  <c r="C51" i="16"/>
  <c r="B48" i="14"/>
  <c r="D51" i="16"/>
  <c r="AN51" i="4"/>
  <c r="Z51" i="30"/>
  <c r="AA51" i="30"/>
  <c r="X51" i="30"/>
  <c r="S51" i="30"/>
  <c r="AG51" i="30"/>
  <c r="M51" i="16"/>
  <c r="AW51" i="30"/>
  <c r="Y51" i="30"/>
  <c r="W51" i="30"/>
  <c r="R51" i="30"/>
  <c r="AE51" i="30"/>
  <c r="N51" i="16"/>
  <c r="L51" i="16"/>
  <c r="E51" i="16"/>
  <c r="B48" i="13"/>
  <c r="F48" i="13"/>
  <c r="F51" i="16"/>
  <c r="G51" i="16"/>
  <c r="B51" i="16"/>
  <c r="H48" i="14"/>
  <c r="J48" i="13"/>
  <c r="R51" i="16"/>
  <c r="C49" i="15"/>
  <c r="E49" i="14"/>
  <c r="G49" i="15"/>
  <c r="C52" i="16"/>
  <c r="B49" i="14"/>
  <c r="D52" i="16"/>
  <c r="AN52" i="4"/>
  <c r="Z52" i="30"/>
  <c r="AA52" i="30"/>
  <c r="X52" i="30"/>
  <c r="S52" i="30"/>
  <c r="AG52" i="30"/>
  <c r="M52" i="16"/>
  <c r="AW52" i="30"/>
  <c r="Y52" i="30"/>
  <c r="W52" i="30"/>
  <c r="R52" i="30"/>
  <c r="AE52" i="30"/>
  <c r="N52" i="16"/>
  <c r="L52" i="16"/>
  <c r="E52" i="16"/>
  <c r="B49" i="13"/>
  <c r="F49" i="13"/>
  <c r="F52" i="16"/>
  <c r="G52" i="16"/>
  <c r="B52" i="16"/>
  <c r="H49" i="14"/>
  <c r="J49" i="13"/>
  <c r="R52" i="16"/>
  <c r="C50" i="15"/>
  <c r="E50" i="14"/>
  <c r="G50" i="15"/>
  <c r="C53" i="16"/>
  <c r="B50" i="14"/>
  <c r="D53" i="16"/>
  <c r="AN53" i="4"/>
  <c r="Z53" i="30"/>
  <c r="AA53" i="30"/>
  <c r="X53" i="30"/>
  <c r="S53" i="30"/>
  <c r="AG53" i="30"/>
  <c r="M53" i="16"/>
  <c r="AW53" i="30"/>
  <c r="Y53" i="30"/>
  <c r="W53" i="30"/>
  <c r="R53" i="30"/>
  <c r="AE53" i="30"/>
  <c r="N53" i="16"/>
  <c r="L53" i="16"/>
  <c r="E53" i="16"/>
  <c r="B50" i="13"/>
  <c r="F50" i="13"/>
  <c r="F53" i="16"/>
  <c r="G53" i="16"/>
  <c r="B53" i="16"/>
  <c r="H50" i="14"/>
  <c r="J50" i="13"/>
  <c r="R53" i="16"/>
  <c r="C51" i="15"/>
  <c r="E51" i="14"/>
  <c r="G51" i="15"/>
  <c r="C54" i="16"/>
  <c r="B51" i="14"/>
  <c r="D54" i="16"/>
  <c r="AN54" i="4"/>
  <c r="Z54" i="30"/>
  <c r="AA54" i="30"/>
  <c r="X54" i="30"/>
  <c r="S54" i="30"/>
  <c r="AG54" i="30"/>
  <c r="M54" i="16"/>
  <c r="AW54" i="30"/>
  <c r="Y54" i="30"/>
  <c r="W54" i="30"/>
  <c r="R54" i="30"/>
  <c r="AE54" i="30"/>
  <c r="N54" i="16"/>
  <c r="L54" i="16"/>
  <c r="E54" i="16"/>
  <c r="B51" i="13"/>
  <c r="F51" i="13"/>
  <c r="F54" i="16"/>
  <c r="G54" i="16"/>
  <c r="B54" i="16"/>
  <c r="H51" i="14"/>
  <c r="J51" i="13"/>
  <c r="R54" i="16"/>
  <c r="C52" i="15"/>
  <c r="E52" i="14"/>
  <c r="G52" i="15"/>
  <c r="C55" i="16"/>
  <c r="B52" i="14"/>
  <c r="D55" i="16"/>
  <c r="AN55" i="4"/>
  <c r="Z55" i="30"/>
  <c r="AA55" i="30"/>
  <c r="X55" i="30"/>
  <c r="S55" i="30"/>
  <c r="AG55" i="30"/>
  <c r="M55" i="16"/>
  <c r="AW55" i="30"/>
  <c r="Y55" i="30"/>
  <c r="W55" i="30"/>
  <c r="R55" i="30"/>
  <c r="AE55" i="30"/>
  <c r="N55" i="16"/>
  <c r="L55" i="16"/>
  <c r="E55" i="16"/>
  <c r="B52" i="13"/>
  <c r="F52" i="13"/>
  <c r="F55" i="16"/>
  <c r="G55" i="16"/>
  <c r="B55" i="16"/>
  <c r="H52" i="14"/>
  <c r="J52" i="13"/>
  <c r="R55" i="16"/>
  <c r="C53" i="15"/>
  <c r="E53" i="14"/>
  <c r="G53" i="15"/>
  <c r="C56" i="16"/>
  <c r="B53" i="14"/>
  <c r="D56" i="16"/>
  <c r="AN56" i="4"/>
  <c r="Z56" i="30"/>
  <c r="AA56" i="30"/>
  <c r="X56" i="30"/>
  <c r="S56" i="30"/>
  <c r="AG56" i="30"/>
  <c r="M56" i="16"/>
  <c r="AW56" i="30"/>
  <c r="Y56" i="30"/>
  <c r="W56" i="30"/>
  <c r="R56" i="30"/>
  <c r="AE56" i="30"/>
  <c r="N56" i="16"/>
  <c r="L56" i="16"/>
  <c r="E56" i="16"/>
  <c r="B53" i="13"/>
  <c r="F53" i="13"/>
  <c r="F56" i="16"/>
  <c r="G56" i="16"/>
  <c r="B56" i="16"/>
  <c r="H53" i="14"/>
  <c r="J53" i="13"/>
  <c r="R56" i="16"/>
  <c r="C54" i="15"/>
  <c r="E54" i="14"/>
  <c r="G54" i="15"/>
  <c r="C57" i="16"/>
  <c r="B54" i="14"/>
  <c r="D57" i="16"/>
  <c r="AN57" i="4"/>
  <c r="Z57" i="30"/>
  <c r="AA57" i="30"/>
  <c r="X57" i="30"/>
  <c r="S57" i="30"/>
  <c r="AG57" i="30"/>
  <c r="M57" i="16"/>
  <c r="AW57" i="30"/>
  <c r="Y57" i="30"/>
  <c r="W57" i="30"/>
  <c r="R57" i="30"/>
  <c r="AE57" i="30"/>
  <c r="N57" i="16"/>
  <c r="L57" i="16"/>
  <c r="E57" i="16"/>
  <c r="B54" i="13"/>
  <c r="F54" i="13"/>
  <c r="F57" i="16"/>
  <c r="G57" i="16"/>
  <c r="B57" i="16"/>
  <c r="H54" i="14"/>
  <c r="J54" i="13"/>
  <c r="R57" i="16"/>
  <c r="C55" i="15"/>
  <c r="E55" i="14"/>
  <c r="G55" i="15"/>
  <c r="C58" i="16"/>
  <c r="B55" i="14"/>
  <c r="D58" i="16"/>
  <c r="AN58" i="4"/>
  <c r="Z58" i="30"/>
  <c r="AA58" i="30"/>
  <c r="X58" i="30"/>
  <c r="S58" i="30"/>
  <c r="AG58" i="30"/>
  <c r="M58" i="16"/>
  <c r="AW58" i="30"/>
  <c r="Y58" i="30"/>
  <c r="W58" i="30"/>
  <c r="R58" i="30"/>
  <c r="AE58" i="30"/>
  <c r="N58" i="16"/>
  <c r="L58" i="16"/>
  <c r="E58" i="16"/>
  <c r="B55" i="13"/>
  <c r="F55" i="13"/>
  <c r="F58" i="16"/>
  <c r="G58" i="16"/>
  <c r="B58" i="16"/>
  <c r="H55" i="14"/>
  <c r="J55" i="13"/>
  <c r="R58" i="16"/>
  <c r="C56" i="15"/>
  <c r="E56" i="14"/>
  <c r="G56" i="15"/>
  <c r="C59" i="16"/>
  <c r="B56" i="14"/>
  <c r="D59" i="16"/>
  <c r="AN59" i="4"/>
  <c r="Z59" i="30"/>
  <c r="AA59" i="30"/>
  <c r="X59" i="30"/>
  <c r="S59" i="30"/>
  <c r="AG59" i="30"/>
  <c r="M59" i="16"/>
  <c r="AW59" i="30"/>
  <c r="Y59" i="30"/>
  <c r="W59" i="30"/>
  <c r="R59" i="30"/>
  <c r="AE59" i="30"/>
  <c r="N59" i="16"/>
  <c r="L59" i="16"/>
  <c r="E59" i="16"/>
  <c r="B56" i="13"/>
  <c r="F56" i="13"/>
  <c r="F59" i="16"/>
  <c r="G59" i="16"/>
  <c r="B59" i="16"/>
  <c r="H56" i="14"/>
  <c r="J56" i="13"/>
  <c r="R59" i="16"/>
  <c r="C57" i="15"/>
  <c r="E57" i="14"/>
  <c r="G57" i="15"/>
  <c r="C60" i="16"/>
  <c r="B57" i="14"/>
  <c r="D60" i="16"/>
  <c r="AN60" i="4"/>
  <c r="Z60" i="30"/>
  <c r="AA60" i="30"/>
  <c r="X60" i="30"/>
  <c r="S60" i="30"/>
  <c r="AG60" i="30"/>
  <c r="M60" i="16"/>
  <c r="AW60" i="30"/>
  <c r="Y60" i="30"/>
  <c r="W60" i="30"/>
  <c r="R60" i="30"/>
  <c r="AE60" i="30"/>
  <c r="N60" i="16"/>
  <c r="L60" i="16"/>
  <c r="E60" i="16"/>
  <c r="B57" i="13"/>
  <c r="F57" i="13"/>
  <c r="F60" i="16"/>
  <c r="G60" i="16"/>
  <c r="B60" i="16"/>
  <c r="H57" i="14"/>
  <c r="J57" i="13"/>
  <c r="R60" i="16"/>
  <c r="C58" i="15"/>
  <c r="E58" i="14"/>
  <c r="G58" i="15"/>
  <c r="C61" i="16"/>
  <c r="B58" i="14"/>
  <c r="D61" i="16"/>
  <c r="AN61" i="4"/>
  <c r="Z61" i="30"/>
  <c r="AA61" i="30"/>
  <c r="X61" i="30"/>
  <c r="S61" i="30"/>
  <c r="AG61" i="30"/>
  <c r="M61" i="16"/>
  <c r="AW61" i="30"/>
  <c r="Y61" i="30"/>
  <c r="W61" i="30"/>
  <c r="R61" i="30"/>
  <c r="AE61" i="30"/>
  <c r="N61" i="16"/>
  <c r="L61" i="16"/>
  <c r="E61" i="16"/>
  <c r="B58" i="13"/>
  <c r="F58" i="13"/>
  <c r="F61" i="16"/>
  <c r="G61" i="16"/>
  <c r="B61" i="16"/>
  <c r="H58" i="14"/>
  <c r="J58" i="13"/>
  <c r="R61" i="16"/>
  <c r="C59" i="15"/>
  <c r="E59" i="14"/>
  <c r="G59" i="15"/>
  <c r="C62" i="16"/>
  <c r="B59" i="14"/>
  <c r="D62" i="16"/>
  <c r="AN62" i="4"/>
  <c r="Z62" i="30"/>
  <c r="AA62" i="30"/>
  <c r="X62" i="30"/>
  <c r="S62" i="30"/>
  <c r="AG62" i="30"/>
  <c r="M62" i="16"/>
  <c r="AW62" i="30"/>
  <c r="Y62" i="30"/>
  <c r="W62" i="30"/>
  <c r="R62" i="30"/>
  <c r="AE62" i="30"/>
  <c r="N62" i="16"/>
  <c r="L62" i="16"/>
  <c r="E62" i="16"/>
  <c r="B59" i="13"/>
  <c r="F59" i="13"/>
  <c r="F62" i="16"/>
  <c r="G62" i="16"/>
  <c r="B62" i="16"/>
  <c r="H59" i="14"/>
  <c r="J59" i="13"/>
  <c r="R62" i="16"/>
  <c r="C60" i="15"/>
  <c r="E60" i="14"/>
  <c r="G60" i="15"/>
  <c r="C63" i="16"/>
  <c r="B60" i="14"/>
  <c r="D63" i="16"/>
  <c r="AN63" i="4"/>
  <c r="Z63" i="30"/>
  <c r="AA63" i="30"/>
  <c r="X63" i="30"/>
  <c r="S63" i="30"/>
  <c r="AG63" i="30"/>
  <c r="M63" i="16"/>
  <c r="AW63" i="30"/>
  <c r="Y63" i="30"/>
  <c r="W63" i="30"/>
  <c r="R63" i="30"/>
  <c r="AE63" i="30"/>
  <c r="N63" i="16"/>
  <c r="L63" i="16"/>
  <c r="E63" i="16"/>
  <c r="B60" i="13"/>
  <c r="F60" i="13"/>
  <c r="F63" i="16"/>
  <c r="G63" i="16"/>
  <c r="B63" i="16"/>
  <c r="H60" i="14"/>
  <c r="J60" i="13"/>
  <c r="R63" i="16"/>
  <c r="C61" i="15"/>
  <c r="E61" i="14"/>
  <c r="G61" i="15"/>
  <c r="C64" i="16"/>
  <c r="B61" i="14"/>
  <c r="D64" i="16"/>
  <c r="AN64" i="4"/>
  <c r="Z64" i="30"/>
  <c r="AA64" i="30"/>
  <c r="X64" i="30"/>
  <c r="S64" i="30"/>
  <c r="AG64" i="30"/>
  <c r="M64" i="16"/>
  <c r="AW64" i="30"/>
  <c r="Y64" i="30"/>
  <c r="W64" i="30"/>
  <c r="R64" i="30"/>
  <c r="AE64" i="30"/>
  <c r="N64" i="16"/>
  <c r="L64" i="16"/>
  <c r="E64" i="16"/>
  <c r="B61" i="13"/>
  <c r="F61" i="13"/>
  <c r="F64" i="16"/>
  <c r="G64" i="16"/>
  <c r="B64" i="16"/>
  <c r="H61" i="14"/>
  <c r="J61" i="13"/>
  <c r="R64" i="16"/>
  <c r="C62" i="15"/>
  <c r="E62" i="14"/>
  <c r="G62" i="15"/>
  <c r="C65" i="16"/>
  <c r="B62" i="14"/>
  <c r="D65" i="16"/>
  <c r="AN65" i="4"/>
  <c r="Z65" i="30"/>
  <c r="AA65" i="30"/>
  <c r="X65" i="30"/>
  <c r="S65" i="30"/>
  <c r="AG65" i="30"/>
  <c r="M65" i="16"/>
  <c r="AW65" i="30"/>
  <c r="Y65" i="30"/>
  <c r="W65" i="30"/>
  <c r="R65" i="30"/>
  <c r="AE65" i="30"/>
  <c r="N65" i="16"/>
  <c r="L65" i="16"/>
  <c r="E65" i="16"/>
  <c r="B62" i="13"/>
  <c r="F62" i="13"/>
  <c r="F65" i="16"/>
  <c r="G65" i="16"/>
  <c r="B65" i="16"/>
  <c r="H62" i="14"/>
  <c r="J62" i="13"/>
  <c r="R65" i="16"/>
  <c r="C63" i="15"/>
  <c r="E63" i="14"/>
  <c r="G63" i="15"/>
  <c r="C66" i="16"/>
  <c r="B63" i="14"/>
  <c r="D66" i="16"/>
  <c r="AN66" i="4"/>
  <c r="Z66" i="30"/>
  <c r="AA66" i="30"/>
  <c r="X66" i="30"/>
  <c r="S66" i="30"/>
  <c r="AG66" i="30"/>
  <c r="M66" i="16"/>
  <c r="AW66" i="30"/>
  <c r="Y66" i="30"/>
  <c r="W66" i="30"/>
  <c r="R66" i="30"/>
  <c r="AE66" i="30"/>
  <c r="N66" i="16"/>
  <c r="L66" i="16"/>
  <c r="E66" i="16"/>
  <c r="B63" i="13"/>
  <c r="F63" i="13"/>
  <c r="F66" i="16"/>
  <c r="G66" i="16"/>
  <c r="B66" i="16"/>
  <c r="H63" i="14"/>
  <c r="J63" i="13"/>
  <c r="R66" i="16"/>
  <c r="C64" i="15"/>
  <c r="E64" i="14"/>
  <c r="G64" i="15"/>
  <c r="C67" i="16"/>
  <c r="B64" i="14"/>
  <c r="D67" i="16"/>
  <c r="AN67" i="4"/>
  <c r="Z67" i="30"/>
  <c r="AA67" i="30"/>
  <c r="X67" i="30"/>
  <c r="S67" i="30"/>
  <c r="AG67" i="30"/>
  <c r="M67" i="16"/>
  <c r="AW67" i="30"/>
  <c r="Y67" i="30"/>
  <c r="W67" i="30"/>
  <c r="R67" i="30"/>
  <c r="AE67" i="30"/>
  <c r="N67" i="16"/>
  <c r="L67" i="16"/>
  <c r="E67" i="16"/>
  <c r="B64" i="13"/>
  <c r="F64" i="13"/>
  <c r="F67" i="16"/>
  <c r="G67" i="16"/>
  <c r="B67" i="16"/>
  <c r="H64" i="14"/>
  <c r="J64" i="13"/>
  <c r="R67" i="16"/>
  <c r="C65" i="15"/>
  <c r="E65" i="14"/>
  <c r="G65" i="15"/>
  <c r="C68" i="16"/>
  <c r="B65" i="14"/>
  <c r="D68" i="16"/>
  <c r="AN68" i="4"/>
  <c r="Z68" i="30"/>
  <c r="AA68" i="30"/>
  <c r="X68" i="30"/>
  <c r="S68" i="30"/>
  <c r="AG68" i="30"/>
  <c r="M68" i="16"/>
  <c r="AW68" i="30"/>
  <c r="Y68" i="30"/>
  <c r="W68" i="30"/>
  <c r="R68" i="30"/>
  <c r="AE68" i="30"/>
  <c r="N68" i="16"/>
  <c r="L68" i="16"/>
  <c r="E68" i="16"/>
  <c r="B65" i="13"/>
  <c r="F65" i="13"/>
  <c r="F68" i="16"/>
  <c r="G68" i="16"/>
  <c r="B68" i="16"/>
  <c r="H65" i="14"/>
  <c r="J65" i="13"/>
  <c r="R68" i="16"/>
  <c r="C66" i="15"/>
  <c r="E66" i="14"/>
  <c r="G66" i="15"/>
  <c r="C69" i="16"/>
  <c r="B66" i="14"/>
  <c r="D69" i="16"/>
  <c r="AN69" i="4"/>
  <c r="S69" i="30"/>
  <c r="AG69" i="30"/>
  <c r="M69" i="16"/>
  <c r="AW69" i="30"/>
  <c r="R69" i="30"/>
  <c r="AE69" i="30"/>
  <c r="N69" i="16"/>
  <c r="L69" i="16"/>
  <c r="E69" i="16"/>
  <c r="B66" i="13"/>
  <c r="F66" i="13"/>
  <c r="F69" i="16"/>
  <c r="G69" i="16"/>
  <c r="B69" i="16"/>
  <c r="H66" i="14"/>
  <c r="J66" i="13"/>
  <c r="R69" i="16"/>
  <c r="C67" i="15"/>
  <c r="E67" i="14"/>
  <c r="G67" i="15"/>
  <c r="C70" i="16"/>
  <c r="B67" i="14"/>
  <c r="D70" i="16"/>
  <c r="AN70" i="4"/>
  <c r="Q80" i="30"/>
  <c r="P80" i="30"/>
  <c r="Z80" i="30"/>
  <c r="Z70" i="30"/>
  <c r="AA70" i="30"/>
  <c r="X70" i="30"/>
  <c r="S70" i="30"/>
  <c r="AG70" i="30"/>
  <c r="M70" i="16"/>
  <c r="AW70" i="30"/>
  <c r="G80" i="30"/>
  <c r="M80" i="30"/>
  <c r="W80" i="30"/>
  <c r="W70" i="30"/>
  <c r="R70" i="30"/>
  <c r="AE70" i="30"/>
  <c r="Y70" i="30"/>
  <c r="N70" i="16"/>
  <c r="L70" i="16"/>
  <c r="E70" i="16"/>
  <c r="B67" i="13"/>
  <c r="F67" i="13"/>
  <c r="F70" i="16"/>
  <c r="G70" i="16"/>
  <c r="B70" i="16"/>
  <c r="H67" i="14"/>
  <c r="J67" i="13"/>
  <c r="R70" i="16"/>
  <c r="C68" i="15"/>
  <c r="E68" i="14"/>
  <c r="G68" i="15"/>
  <c r="C71" i="16"/>
  <c r="B68" i="14"/>
  <c r="D71" i="16"/>
  <c r="AN71" i="4"/>
  <c r="Z71" i="30"/>
  <c r="AA71" i="30"/>
  <c r="X71" i="30"/>
  <c r="S71" i="30"/>
  <c r="AG71" i="30"/>
  <c r="M71" i="16"/>
  <c r="AW71" i="30"/>
  <c r="W71" i="30"/>
  <c r="R71" i="30"/>
  <c r="AE71" i="30"/>
  <c r="Y71" i="30"/>
  <c r="N71" i="16"/>
  <c r="L71" i="16"/>
  <c r="E71" i="16"/>
  <c r="B68" i="13"/>
  <c r="F68" i="13"/>
  <c r="F71" i="16"/>
  <c r="G71" i="16"/>
  <c r="B71" i="16"/>
  <c r="H68" i="14"/>
  <c r="J68" i="13"/>
  <c r="R71" i="16"/>
  <c r="C75" i="15"/>
  <c r="E75" i="14"/>
  <c r="G75" i="15"/>
  <c r="C78" i="16"/>
  <c r="B75" i="14"/>
  <c r="D78" i="16"/>
  <c r="AN78" i="4"/>
  <c r="Z72" i="30"/>
  <c r="Z73" i="30"/>
  <c r="Z74" i="30"/>
  <c r="Z75" i="30"/>
  <c r="Z76" i="30"/>
  <c r="Z77" i="30"/>
  <c r="Z78" i="30"/>
  <c r="AA72" i="30"/>
  <c r="AA73" i="30"/>
  <c r="AA74" i="30"/>
  <c r="AA75" i="30"/>
  <c r="AA76" i="30"/>
  <c r="AA77" i="30"/>
  <c r="AA78" i="30"/>
  <c r="X78" i="30"/>
  <c r="S78" i="30"/>
  <c r="AG78" i="30"/>
  <c r="M78" i="16"/>
  <c r="AW72" i="30"/>
  <c r="AW73" i="30"/>
  <c r="AW74" i="30"/>
  <c r="AW75" i="30"/>
  <c r="AW76" i="30"/>
  <c r="AW77" i="30"/>
  <c r="AW78" i="30"/>
  <c r="W72" i="30"/>
  <c r="W73" i="30"/>
  <c r="W74" i="30"/>
  <c r="W75" i="30"/>
  <c r="W76" i="30"/>
  <c r="W77" i="30"/>
  <c r="W78" i="30"/>
  <c r="R78" i="30"/>
  <c r="AE78" i="30"/>
  <c r="Y78" i="30"/>
  <c r="N78" i="16"/>
  <c r="L78" i="16"/>
  <c r="E78" i="16"/>
  <c r="B75" i="13"/>
  <c r="F75" i="13"/>
  <c r="F78" i="16"/>
  <c r="G78" i="16"/>
  <c r="B78" i="16"/>
  <c r="H75" i="14"/>
  <c r="J75" i="13"/>
  <c r="R78" i="16"/>
  <c r="C76" i="15"/>
  <c r="E76" i="14"/>
  <c r="G76" i="15"/>
  <c r="C79" i="16"/>
  <c r="B76" i="14"/>
  <c r="D79" i="16"/>
  <c r="AN79" i="4"/>
  <c r="Z79" i="30"/>
  <c r="AA79" i="30"/>
  <c r="X79" i="30"/>
  <c r="S79" i="30"/>
  <c r="AG79" i="30"/>
  <c r="M79" i="16"/>
  <c r="AW79" i="30"/>
  <c r="W79" i="30"/>
  <c r="R79" i="30"/>
  <c r="AE79" i="30"/>
  <c r="Y79" i="30"/>
  <c r="N79" i="16"/>
  <c r="L79" i="16"/>
  <c r="E79" i="16"/>
  <c r="B76" i="13"/>
  <c r="F76" i="13"/>
  <c r="F79" i="16"/>
  <c r="G79" i="16"/>
  <c r="B79" i="16"/>
  <c r="H76" i="14"/>
  <c r="J76" i="13"/>
  <c r="R79" i="16"/>
  <c r="C77" i="15"/>
  <c r="E77" i="14"/>
  <c r="G77" i="15"/>
  <c r="C80" i="16"/>
  <c r="B77" i="14"/>
  <c r="D80" i="16"/>
  <c r="AN80" i="4"/>
  <c r="AA80" i="30"/>
  <c r="X80" i="30"/>
  <c r="S80" i="30"/>
  <c r="AG80" i="30"/>
  <c r="M80" i="16"/>
  <c r="AW80" i="30"/>
  <c r="R80" i="30"/>
  <c r="AE80" i="30"/>
  <c r="Y80" i="30"/>
  <c r="N80" i="16"/>
  <c r="L80" i="16"/>
  <c r="E80" i="16"/>
  <c r="B77" i="13"/>
  <c r="F77" i="13"/>
  <c r="F80" i="16"/>
  <c r="G80" i="16"/>
  <c r="B80" i="16"/>
  <c r="H77" i="14"/>
  <c r="J77" i="13"/>
  <c r="R80" i="16"/>
  <c r="C78" i="15"/>
  <c r="E78" i="14"/>
  <c r="G78" i="15"/>
  <c r="C81" i="16"/>
  <c r="B78" i="14"/>
  <c r="D81" i="16"/>
  <c r="AN81" i="4"/>
  <c r="Q110" i="30"/>
  <c r="P110" i="30"/>
  <c r="Z110" i="30"/>
  <c r="Z81" i="30"/>
  <c r="AA81" i="30"/>
  <c r="X81" i="30"/>
  <c r="S81" i="30"/>
  <c r="AG81" i="30"/>
  <c r="M81" i="16"/>
  <c r="AW81" i="30"/>
  <c r="G90" i="30"/>
  <c r="M90" i="30"/>
  <c r="W90" i="30"/>
  <c r="W81" i="30"/>
  <c r="R81" i="30"/>
  <c r="AE81" i="30"/>
  <c r="Y81" i="30"/>
  <c r="N81" i="16"/>
  <c r="L81" i="16"/>
  <c r="E81" i="16"/>
  <c r="B78" i="13"/>
  <c r="F78" i="13"/>
  <c r="F81" i="16"/>
  <c r="G81" i="16"/>
  <c r="B81" i="16"/>
  <c r="H78" i="14"/>
  <c r="J78" i="13"/>
  <c r="R81" i="16"/>
  <c r="C79" i="15"/>
  <c r="E79" i="14"/>
  <c r="G79" i="15"/>
  <c r="C82" i="16"/>
  <c r="B79" i="14"/>
  <c r="D82" i="16"/>
  <c r="AN82" i="4"/>
  <c r="Z82" i="30"/>
  <c r="AA82" i="30"/>
  <c r="X82" i="30"/>
  <c r="S82" i="30"/>
  <c r="AG82" i="30"/>
  <c r="M82" i="16"/>
  <c r="AW82" i="30"/>
  <c r="W82" i="30"/>
  <c r="R82" i="30"/>
  <c r="AE82" i="30"/>
  <c r="Y82" i="30"/>
  <c r="N82" i="16"/>
  <c r="L82" i="16"/>
  <c r="E82" i="16"/>
  <c r="B79" i="13"/>
  <c r="F79" i="13"/>
  <c r="F82" i="16"/>
  <c r="G82" i="16"/>
  <c r="B82" i="16"/>
  <c r="H79" i="14"/>
  <c r="J79" i="13"/>
  <c r="R82" i="16"/>
  <c r="C80" i="15"/>
  <c r="E80" i="14"/>
  <c r="G80" i="15"/>
  <c r="C83" i="16"/>
  <c r="B80" i="14"/>
  <c r="D83" i="16"/>
  <c r="AN83" i="4"/>
  <c r="Z83" i="30"/>
  <c r="X83" i="30"/>
  <c r="S83" i="30"/>
  <c r="AG83" i="30"/>
  <c r="M83" i="16"/>
  <c r="AW83" i="30"/>
  <c r="W83" i="30"/>
  <c r="R83" i="30"/>
  <c r="AE83" i="30"/>
  <c r="Y83" i="30"/>
  <c r="N83" i="16"/>
  <c r="L83" i="16"/>
  <c r="E83" i="16"/>
  <c r="B80" i="13"/>
  <c r="F80" i="13"/>
  <c r="F83" i="16"/>
  <c r="G83" i="16"/>
  <c r="B83" i="16"/>
  <c r="H80" i="14"/>
  <c r="J80" i="13"/>
  <c r="R83" i="16"/>
  <c r="C81" i="15"/>
  <c r="E81" i="14"/>
  <c r="G81" i="15"/>
  <c r="C84" i="16"/>
  <c r="B81" i="14"/>
  <c r="D84" i="16"/>
  <c r="AN84" i="4"/>
  <c r="Z84" i="30"/>
  <c r="AA84" i="30"/>
  <c r="X84" i="30"/>
  <c r="S84" i="30"/>
  <c r="AG84" i="30"/>
  <c r="M84" i="16"/>
  <c r="AW84" i="30"/>
  <c r="W84" i="30"/>
  <c r="R84" i="30"/>
  <c r="AE84" i="30"/>
  <c r="Y84" i="30"/>
  <c r="N84" i="16"/>
  <c r="L84" i="16"/>
  <c r="E84" i="16"/>
  <c r="B81" i="13"/>
  <c r="F81" i="13"/>
  <c r="F84" i="16"/>
  <c r="G84" i="16"/>
  <c r="B84" i="16"/>
  <c r="H81" i="14"/>
  <c r="J81" i="13"/>
  <c r="R84" i="16"/>
  <c r="C82" i="15"/>
  <c r="E82" i="14"/>
  <c r="G82" i="15"/>
  <c r="C85" i="16"/>
  <c r="B82" i="14"/>
  <c r="D85" i="16"/>
  <c r="AN85" i="4"/>
  <c r="Z85" i="30"/>
  <c r="AA85" i="30"/>
  <c r="X85" i="30"/>
  <c r="S85" i="30"/>
  <c r="AG85" i="30"/>
  <c r="M85" i="16"/>
  <c r="AW85" i="30"/>
  <c r="W85" i="30"/>
  <c r="R85" i="30"/>
  <c r="AE85" i="30"/>
  <c r="Y85" i="30"/>
  <c r="N85" i="16"/>
  <c r="L85" i="16"/>
  <c r="E85" i="16"/>
  <c r="B82" i="13"/>
  <c r="F82" i="13"/>
  <c r="F85" i="16"/>
  <c r="G85" i="16"/>
  <c r="B85" i="16"/>
  <c r="H82" i="14"/>
  <c r="J82" i="13"/>
  <c r="R85" i="16"/>
  <c r="C83" i="15"/>
  <c r="E83" i="14"/>
  <c r="G83" i="15"/>
  <c r="C86" i="16"/>
  <c r="B83" i="14"/>
  <c r="D86" i="16"/>
  <c r="AN86" i="4"/>
  <c r="Z86" i="30"/>
  <c r="AA86" i="30"/>
  <c r="X86" i="30"/>
  <c r="S86" i="30"/>
  <c r="AG86" i="30"/>
  <c r="M86" i="16"/>
  <c r="AW86" i="30"/>
  <c r="W86" i="30"/>
  <c r="R86" i="30"/>
  <c r="AE86" i="30"/>
  <c r="Y86" i="30"/>
  <c r="N86" i="16"/>
  <c r="L86" i="16"/>
  <c r="E86" i="16"/>
  <c r="B83" i="13"/>
  <c r="F83" i="13"/>
  <c r="F86" i="16"/>
  <c r="G86" i="16"/>
  <c r="B86" i="16"/>
  <c r="H83" i="14"/>
  <c r="J83" i="13"/>
  <c r="R86" i="16"/>
  <c r="C84" i="15"/>
  <c r="E84" i="14"/>
  <c r="G84" i="15"/>
  <c r="C87" i="16"/>
  <c r="B84" i="14"/>
  <c r="D87" i="16"/>
  <c r="AN87" i="4"/>
  <c r="Z87" i="30"/>
  <c r="AA87" i="30"/>
  <c r="X87" i="30"/>
  <c r="S87" i="30"/>
  <c r="AG87" i="30"/>
  <c r="M87" i="16"/>
  <c r="AW87" i="30"/>
  <c r="W87" i="30"/>
  <c r="R87" i="30"/>
  <c r="AE87" i="30"/>
  <c r="Y87" i="30"/>
  <c r="N87" i="16"/>
  <c r="L87" i="16"/>
  <c r="E87" i="16"/>
  <c r="B84" i="13"/>
  <c r="F84" i="13"/>
  <c r="F87" i="16"/>
  <c r="G87" i="16"/>
  <c r="B87" i="16"/>
  <c r="H84" i="14"/>
  <c r="J84" i="13"/>
  <c r="R87" i="16"/>
  <c r="C85" i="15"/>
  <c r="E85" i="14"/>
  <c r="G85" i="15"/>
  <c r="C88" i="16"/>
  <c r="B85" i="14"/>
  <c r="D88" i="16"/>
  <c r="AN88" i="4"/>
  <c r="Z88" i="30"/>
  <c r="AA88" i="30"/>
  <c r="X88" i="30"/>
  <c r="S88" i="30"/>
  <c r="AG88" i="30"/>
  <c r="M88" i="16"/>
  <c r="AW88" i="30"/>
  <c r="W88" i="30"/>
  <c r="R88" i="30"/>
  <c r="AE88" i="30"/>
  <c r="Y88" i="30"/>
  <c r="N88" i="16"/>
  <c r="L88" i="16"/>
  <c r="E88" i="16"/>
  <c r="B85" i="13"/>
  <c r="F85" i="13"/>
  <c r="F88" i="16"/>
  <c r="G88" i="16"/>
  <c r="B88" i="16"/>
  <c r="H85" i="14"/>
  <c r="J85" i="13"/>
  <c r="R88" i="16"/>
  <c r="C86" i="15"/>
  <c r="E86" i="14"/>
  <c r="G86" i="15"/>
  <c r="C89" i="16"/>
  <c r="B86" i="14"/>
  <c r="D89" i="16"/>
  <c r="AN89" i="4"/>
  <c r="Z89" i="30"/>
  <c r="AA89" i="30"/>
  <c r="X89" i="30"/>
  <c r="S89" i="30"/>
  <c r="AG89" i="30"/>
  <c r="M89" i="16"/>
  <c r="AW89" i="30"/>
  <c r="W89" i="30"/>
  <c r="R89" i="30"/>
  <c r="AE89" i="30"/>
  <c r="Y89" i="30"/>
  <c r="N89" i="16"/>
  <c r="L89" i="16"/>
  <c r="E89" i="16"/>
  <c r="B86" i="13"/>
  <c r="F86" i="13"/>
  <c r="F89" i="16"/>
  <c r="G89" i="16"/>
  <c r="B89" i="16"/>
  <c r="H86" i="14"/>
  <c r="J86" i="13"/>
  <c r="R89" i="16"/>
  <c r="C87" i="15"/>
  <c r="E87" i="14"/>
  <c r="G87" i="15"/>
  <c r="C90" i="16"/>
  <c r="B87" i="14"/>
  <c r="D90" i="16"/>
  <c r="AN90" i="4"/>
  <c r="Z90" i="30"/>
  <c r="AA90" i="30"/>
  <c r="X90" i="30"/>
  <c r="S90" i="30"/>
  <c r="AG90" i="30"/>
  <c r="M90" i="16"/>
  <c r="AW90" i="30"/>
  <c r="R90" i="30"/>
  <c r="AE90" i="30"/>
  <c r="Y90" i="30"/>
  <c r="N90" i="16"/>
  <c r="L90" i="16"/>
  <c r="E90" i="16"/>
  <c r="B87" i="13"/>
  <c r="F87" i="13"/>
  <c r="F90" i="16"/>
  <c r="G90" i="16"/>
  <c r="B90" i="16"/>
  <c r="H87" i="14"/>
  <c r="J87" i="13"/>
  <c r="R90" i="16"/>
  <c r="C88" i="15"/>
  <c r="E88" i="14"/>
  <c r="G88" i="15"/>
  <c r="C91" i="16"/>
  <c r="B88" i="14"/>
  <c r="D91" i="16"/>
  <c r="AN91" i="4"/>
  <c r="Z91" i="30"/>
  <c r="AA91" i="30"/>
  <c r="X91" i="30"/>
  <c r="S91" i="30"/>
  <c r="AG91" i="30"/>
  <c r="M91" i="16"/>
  <c r="AW91" i="30"/>
  <c r="G97" i="30"/>
  <c r="M97" i="30"/>
  <c r="W97" i="30"/>
  <c r="W91" i="30"/>
  <c r="R91" i="30"/>
  <c r="AE91" i="30"/>
  <c r="Y91" i="30"/>
  <c r="N91" i="16"/>
  <c r="L91" i="16"/>
  <c r="E91" i="16"/>
  <c r="B88" i="13"/>
  <c r="F88" i="13"/>
  <c r="F91" i="16"/>
  <c r="G91" i="16"/>
  <c r="B91" i="16"/>
  <c r="H88" i="14"/>
  <c r="J88" i="13"/>
  <c r="R91" i="16"/>
  <c r="C89" i="15"/>
  <c r="E89" i="14"/>
  <c r="G89" i="15"/>
  <c r="C92" i="16"/>
  <c r="B89" i="14"/>
  <c r="D92" i="16"/>
  <c r="AN92" i="4"/>
  <c r="Z92" i="30"/>
  <c r="AA92" i="30"/>
  <c r="X92" i="30"/>
  <c r="S92" i="30"/>
  <c r="AG92" i="30"/>
  <c r="M92" i="16"/>
  <c r="AW92" i="30"/>
  <c r="W92" i="30"/>
  <c r="R92" i="30"/>
  <c r="AE92" i="30"/>
  <c r="Y92" i="30"/>
  <c r="N92" i="16"/>
  <c r="L92" i="16"/>
  <c r="E92" i="16"/>
  <c r="B89" i="13"/>
  <c r="F89" i="13"/>
  <c r="F92" i="16"/>
  <c r="G92" i="16"/>
  <c r="B92" i="16"/>
  <c r="H89" i="14"/>
  <c r="J89" i="13"/>
  <c r="R92" i="16"/>
  <c r="C90" i="15"/>
  <c r="E90" i="14"/>
  <c r="G90" i="15"/>
  <c r="C93" i="16"/>
  <c r="B90" i="14"/>
  <c r="D93" i="16"/>
  <c r="AN93" i="4"/>
  <c r="Z93" i="30"/>
  <c r="AA93" i="30"/>
  <c r="X93" i="30"/>
  <c r="S93" i="30"/>
  <c r="AG93" i="30"/>
  <c r="M93" i="16"/>
  <c r="AW93" i="30"/>
  <c r="W93" i="30"/>
  <c r="R93" i="30"/>
  <c r="AE93" i="30"/>
  <c r="Y93" i="30"/>
  <c r="N93" i="16"/>
  <c r="L93" i="16"/>
  <c r="E93" i="16"/>
  <c r="B90" i="13"/>
  <c r="F90" i="13"/>
  <c r="F93" i="16"/>
  <c r="G93" i="16"/>
  <c r="B93" i="16"/>
  <c r="H90" i="14"/>
  <c r="J90" i="13"/>
  <c r="R93" i="16"/>
  <c r="C91" i="15"/>
  <c r="E91" i="14"/>
  <c r="G91" i="15"/>
  <c r="C94" i="16"/>
  <c r="B91" i="14"/>
  <c r="D94" i="16"/>
  <c r="AN94" i="4"/>
  <c r="Z94" i="30"/>
  <c r="AA94" i="30"/>
  <c r="X94" i="30"/>
  <c r="S94" i="30"/>
  <c r="AG94" i="30"/>
  <c r="M94" i="16"/>
  <c r="AW94" i="30"/>
  <c r="W94" i="30"/>
  <c r="R94" i="30"/>
  <c r="AE94" i="30"/>
  <c r="Y94" i="30"/>
  <c r="N94" i="16"/>
  <c r="L94" i="16"/>
  <c r="E94" i="16"/>
  <c r="B91" i="13"/>
  <c r="F91" i="13"/>
  <c r="F94" i="16"/>
  <c r="G94" i="16"/>
  <c r="B94" i="16"/>
  <c r="H91" i="14"/>
  <c r="J91" i="13"/>
  <c r="R94" i="16"/>
  <c r="C92" i="15"/>
  <c r="E92" i="14"/>
  <c r="G92" i="15"/>
  <c r="C95" i="16"/>
  <c r="B92" i="14"/>
  <c r="D95" i="16"/>
  <c r="AN95" i="4"/>
  <c r="Z95" i="30"/>
  <c r="AA95" i="30"/>
  <c r="X95" i="30"/>
  <c r="S95" i="30"/>
  <c r="AG95" i="30"/>
  <c r="M95" i="16"/>
  <c r="AW95" i="30"/>
  <c r="W95" i="30"/>
  <c r="R95" i="30"/>
  <c r="AE95" i="30"/>
  <c r="Y95" i="30"/>
  <c r="N95" i="16"/>
  <c r="L95" i="16"/>
  <c r="E95" i="16"/>
  <c r="B92" i="13"/>
  <c r="F92" i="13"/>
  <c r="F95" i="16"/>
  <c r="G95" i="16"/>
  <c r="B95" i="16"/>
  <c r="H92" i="14"/>
  <c r="J92" i="13"/>
  <c r="R95" i="16"/>
  <c r="C93" i="15"/>
  <c r="E93" i="14"/>
  <c r="G93" i="15"/>
  <c r="C96" i="16"/>
  <c r="B93" i="14"/>
  <c r="D96" i="16"/>
  <c r="AN96" i="4"/>
  <c r="Z96" i="30"/>
  <c r="X96" i="30"/>
  <c r="S96" i="30"/>
  <c r="AG96" i="30"/>
  <c r="M96" i="16"/>
  <c r="AW96" i="30"/>
  <c r="W96" i="30"/>
  <c r="R96" i="30"/>
  <c r="AE96" i="30"/>
  <c r="Y96" i="30"/>
  <c r="N96" i="16"/>
  <c r="L96" i="16"/>
  <c r="E96" i="16"/>
  <c r="B93" i="13"/>
  <c r="F93" i="13"/>
  <c r="F96" i="16"/>
  <c r="G96" i="16"/>
  <c r="B96" i="16"/>
  <c r="H93" i="14"/>
  <c r="J93" i="13"/>
  <c r="R96" i="16"/>
  <c r="C94" i="15"/>
  <c r="E94" i="14"/>
  <c r="G94" i="15"/>
  <c r="C97" i="16"/>
  <c r="B94" i="14"/>
  <c r="D97" i="16"/>
  <c r="AN97" i="4"/>
  <c r="Z97" i="30"/>
  <c r="AA97" i="30"/>
  <c r="X97" i="30"/>
  <c r="S97" i="30"/>
  <c r="AG97" i="30"/>
  <c r="M97" i="16"/>
  <c r="AW97" i="30"/>
  <c r="R97" i="30"/>
  <c r="AE97" i="30"/>
  <c r="Y97" i="30"/>
  <c r="N97" i="16"/>
  <c r="L97" i="16"/>
  <c r="E97" i="16"/>
  <c r="B94" i="13"/>
  <c r="F94" i="13"/>
  <c r="F97" i="16"/>
  <c r="G97" i="16"/>
  <c r="B97" i="16"/>
  <c r="H94" i="14"/>
  <c r="J94" i="13"/>
  <c r="R97" i="16"/>
  <c r="C95" i="15"/>
  <c r="E95" i="14"/>
  <c r="G95" i="15"/>
  <c r="C98" i="16"/>
  <c r="B95" i="14"/>
  <c r="D98" i="16"/>
  <c r="AN98" i="4"/>
  <c r="Z98" i="30"/>
  <c r="AA98" i="30"/>
  <c r="X98" i="30"/>
  <c r="S98" i="30"/>
  <c r="AG98" i="30"/>
  <c r="M98" i="16"/>
  <c r="AW98" i="30"/>
  <c r="G110" i="30"/>
  <c r="M110" i="30"/>
  <c r="W110" i="30"/>
  <c r="W98" i="30"/>
  <c r="R98" i="30"/>
  <c r="AE98" i="30"/>
  <c r="Y98" i="30"/>
  <c r="N98" i="16"/>
  <c r="L98" i="16"/>
  <c r="E98" i="16"/>
  <c r="B95" i="13"/>
  <c r="F95" i="13"/>
  <c r="F98" i="16"/>
  <c r="G98" i="16"/>
  <c r="B98" i="16"/>
  <c r="H95" i="14"/>
  <c r="J95" i="13"/>
  <c r="R98" i="16"/>
  <c r="C96" i="15"/>
  <c r="E96" i="14"/>
  <c r="G96" i="15"/>
  <c r="C99" i="16"/>
  <c r="B96" i="14"/>
  <c r="D99" i="16"/>
  <c r="AN99" i="4"/>
  <c r="Z99" i="30"/>
  <c r="AA99" i="30"/>
  <c r="X99" i="30"/>
  <c r="S99" i="30"/>
  <c r="AG99" i="30"/>
  <c r="M99" i="16"/>
  <c r="AW99" i="30"/>
  <c r="W99" i="30"/>
  <c r="R99" i="30"/>
  <c r="AE99" i="30"/>
  <c r="Y99" i="30"/>
  <c r="N99" i="16"/>
  <c r="L99" i="16"/>
  <c r="E99" i="16"/>
  <c r="B96" i="13"/>
  <c r="F96" i="13"/>
  <c r="F99" i="16"/>
  <c r="G99" i="16"/>
  <c r="B99" i="16"/>
  <c r="H96" i="14"/>
  <c r="J96" i="13"/>
  <c r="R99" i="16"/>
  <c r="C97" i="15"/>
  <c r="E97" i="14"/>
  <c r="G97" i="15"/>
  <c r="C100" i="16"/>
  <c r="B97" i="14"/>
  <c r="D100" i="16"/>
  <c r="AN100" i="4"/>
  <c r="Z100" i="30"/>
  <c r="AA100" i="30"/>
  <c r="X100" i="30"/>
  <c r="S100" i="30"/>
  <c r="AG100" i="30"/>
  <c r="M100" i="16"/>
  <c r="AW100" i="30"/>
  <c r="W100" i="30"/>
  <c r="R100" i="30"/>
  <c r="AE100" i="30"/>
  <c r="Y100" i="30"/>
  <c r="N100" i="16"/>
  <c r="L100" i="16"/>
  <c r="E100" i="16"/>
  <c r="B97" i="13"/>
  <c r="F97" i="13"/>
  <c r="F100" i="16"/>
  <c r="G100" i="16"/>
  <c r="B100" i="16"/>
  <c r="H97" i="14"/>
  <c r="J97" i="13"/>
  <c r="R100" i="16"/>
  <c r="C98" i="15"/>
  <c r="E98" i="14"/>
  <c r="G98" i="15"/>
  <c r="C101" i="16"/>
  <c r="B98" i="14"/>
  <c r="D101" i="16"/>
  <c r="AN101" i="4"/>
  <c r="Z101" i="30"/>
  <c r="AA101" i="30"/>
  <c r="X101" i="30"/>
  <c r="S101" i="30"/>
  <c r="AG101" i="30"/>
  <c r="M101" i="16"/>
  <c r="AW101" i="30"/>
  <c r="W101" i="30"/>
  <c r="R101" i="30"/>
  <c r="AE101" i="30"/>
  <c r="Y101" i="30"/>
  <c r="N101" i="16"/>
  <c r="L101" i="16"/>
  <c r="E101" i="16"/>
  <c r="B98" i="13"/>
  <c r="F98" i="13"/>
  <c r="F101" i="16"/>
  <c r="G101" i="16"/>
  <c r="B101" i="16"/>
  <c r="H98" i="14"/>
  <c r="J98" i="13"/>
  <c r="R101" i="16"/>
  <c r="C99" i="15"/>
  <c r="E99" i="14"/>
  <c r="G99" i="15"/>
  <c r="C102" i="16"/>
  <c r="B99" i="14"/>
  <c r="D102" i="16"/>
  <c r="AN102" i="4"/>
  <c r="Z102" i="30"/>
  <c r="AA102" i="30"/>
  <c r="X102" i="30"/>
  <c r="S102" i="30"/>
  <c r="AG102" i="30"/>
  <c r="M102" i="16"/>
  <c r="AW102" i="30"/>
  <c r="W102" i="30"/>
  <c r="R102" i="30"/>
  <c r="AE102" i="30"/>
  <c r="Y102" i="30"/>
  <c r="N102" i="16"/>
  <c r="L102" i="16"/>
  <c r="E102" i="16"/>
  <c r="B99" i="13"/>
  <c r="F99" i="13"/>
  <c r="F102" i="16"/>
  <c r="G102" i="16"/>
  <c r="B102" i="16"/>
  <c r="H99" i="14"/>
  <c r="J99" i="13"/>
  <c r="R102" i="16"/>
  <c r="C100" i="15"/>
  <c r="E100" i="14"/>
  <c r="G100" i="15"/>
  <c r="C103" i="16"/>
  <c r="B100" i="14"/>
  <c r="D103" i="16"/>
  <c r="AN103" i="4"/>
  <c r="Z103" i="30"/>
  <c r="AA103" i="30"/>
  <c r="X103" i="30"/>
  <c r="S103" i="30"/>
  <c r="AG103" i="30"/>
  <c r="M103" i="16"/>
  <c r="AW103" i="30"/>
  <c r="W103" i="30"/>
  <c r="R103" i="30"/>
  <c r="AE103" i="30"/>
  <c r="Y103" i="30"/>
  <c r="N103" i="16"/>
  <c r="L103" i="16"/>
  <c r="E103" i="16"/>
  <c r="B100" i="13"/>
  <c r="F100" i="13"/>
  <c r="F103" i="16"/>
  <c r="G103" i="16"/>
  <c r="B103" i="16"/>
  <c r="H100" i="14"/>
  <c r="J100" i="13"/>
  <c r="R103" i="16"/>
  <c r="C101" i="15"/>
  <c r="E101" i="14"/>
  <c r="G101" i="15"/>
  <c r="C104" i="16"/>
  <c r="B101" i="14"/>
  <c r="D104" i="16"/>
  <c r="AN104" i="4"/>
  <c r="Z104" i="30"/>
  <c r="AA104" i="30"/>
  <c r="X104" i="30"/>
  <c r="S104" i="30"/>
  <c r="AG104" i="30"/>
  <c r="M104" i="16"/>
  <c r="AW104" i="30"/>
  <c r="W104" i="30"/>
  <c r="R104" i="30"/>
  <c r="AE104" i="30"/>
  <c r="Y104" i="30"/>
  <c r="N104" i="16"/>
  <c r="L104" i="16"/>
  <c r="E104" i="16"/>
  <c r="B101" i="13"/>
  <c r="F101" i="13"/>
  <c r="F104" i="16"/>
  <c r="G104" i="16"/>
  <c r="B104" i="16"/>
  <c r="H101" i="14"/>
  <c r="J101" i="13"/>
  <c r="R104" i="16"/>
  <c r="C102" i="15"/>
  <c r="E102" i="14"/>
  <c r="G102" i="15"/>
  <c r="C105" i="16"/>
  <c r="B102" i="14"/>
  <c r="D105" i="16"/>
  <c r="AN105" i="4"/>
  <c r="Z105" i="30"/>
  <c r="AA105" i="30"/>
  <c r="X105" i="30"/>
  <c r="S105" i="30"/>
  <c r="AG105" i="30"/>
  <c r="M105" i="16"/>
  <c r="AW105" i="30"/>
  <c r="W105" i="30"/>
  <c r="R105" i="30"/>
  <c r="AE105" i="30"/>
  <c r="Y105" i="30"/>
  <c r="N105" i="16"/>
  <c r="L105" i="16"/>
  <c r="E105" i="16"/>
  <c r="B102" i="13"/>
  <c r="F102" i="13"/>
  <c r="F105" i="16"/>
  <c r="G105" i="16"/>
  <c r="B105" i="16"/>
  <c r="H102" i="14"/>
  <c r="J102" i="13"/>
  <c r="R105" i="16"/>
  <c r="C103" i="15"/>
  <c r="E103" i="14"/>
  <c r="G103" i="15"/>
  <c r="C106" i="16"/>
  <c r="B103" i="14"/>
  <c r="D106" i="16"/>
  <c r="C103" i="14"/>
  <c r="E106" i="16"/>
  <c r="B103" i="13"/>
  <c r="F103" i="13"/>
  <c r="F106" i="16"/>
  <c r="G106" i="16"/>
  <c r="B106" i="16"/>
  <c r="H103" i="14"/>
  <c r="J103" i="13"/>
  <c r="R106" i="16"/>
  <c r="C104" i="15"/>
  <c r="E104" i="14"/>
  <c r="G104" i="15"/>
  <c r="C107" i="16"/>
  <c r="B104" i="14"/>
  <c r="D107" i="16"/>
  <c r="C104" i="14"/>
  <c r="E107" i="16"/>
  <c r="B104" i="13"/>
  <c r="F104" i="13"/>
  <c r="F107" i="16"/>
  <c r="G107" i="16"/>
  <c r="B107" i="16"/>
  <c r="H104" i="14"/>
  <c r="J104" i="13"/>
  <c r="R107" i="16"/>
  <c r="C105" i="15"/>
  <c r="E105" i="14"/>
  <c r="G105" i="15"/>
  <c r="C108" i="16"/>
  <c r="B105" i="14"/>
  <c r="D108" i="16"/>
  <c r="C105" i="14"/>
  <c r="E108" i="16"/>
  <c r="B105" i="13"/>
  <c r="F105" i="13"/>
  <c r="F108" i="16"/>
  <c r="G108" i="16"/>
  <c r="B108" i="16"/>
  <c r="H105" i="14"/>
  <c r="J105" i="13"/>
  <c r="R108" i="16"/>
  <c r="C106" i="15"/>
  <c r="E106" i="14"/>
  <c r="G106" i="15"/>
  <c r="C109" i="16"/>
  <c r="B106" i="14"/>
  <c r="D109" i="16"/>
  <c r="C106" i="14"/>
  <c r="E109" i="16"/>
  <c r="B106" i="13"/>
  <c r="F106" i="13"/>
  <c r="F109" i="16"/>
  <c r="G109" i="16"/>
  <c r="B109" i="16"/>
  <c r="H106" i="14"/>
  <c r="J106" i="13"/>
  <c r="R109" i="16"/>
  <c r="C107" i="15"/>
  <c r="E107" i="14"/>
  <c r="G107" i="15"/>
  <c r="C110" i="16"/>
  <c r="B107" i="14"/>
  <c r="D110" i="16"/>
  <c r="C107" i="14"/>
  <c r="E110" i="16"/>
  <c r="B107" i="13"/>
  <c r="F107" i="13"/>
  <c r="F110" i="16"/>
  <c r="G110" i="16"/>
  <c r="B110" i="16"/>
  <c r="H107" i="14"/>
  <c r="J107" i="13"/>
  <c r="R110" i="16"/>
  <c r="C108" i="15"/>
  <c r="E108" i="14"/>
  <c r="G108" i="15"/>
  <c r="C111" i="16"/>
  <c r="B108" i="14"/>
  <c r="D111" i="16"/>
  <c r="C108" i="14"/>
  <c r="E111" i="16"/>
  <c r="B108" i="13"/>
  <c r="F108" i="13"/>
  <c r="F111" i="16"/>
  <c r="G111" i="16"/>
  <c r="B111" i="16"/>
  <c r="H108" i="14"/>
  <c r="J108" i="13"/>
  <c r="R111" i="16"/>
  <c r="C109" i="15"/>
  <c r="E109" i="14"/>
  <c r="G109" i="15"/>
  <c r="C112" i="16"/>
  <c r="B109" i="14"/>
  <c r="D112" i="16"/>
  <c r="C109" i="14"/>
  <c r="E112" i="16"/>
  <c r="B109" i="13"/>
  <c r="F109" i="13"/>
  <c r="F112" i="16"/>
  <c r="G112" i="16"/>
  <c r="B112" i="16"/>
  <c r="H109" i="14"/>
  <c r="J109" i="13"/>
  <c r="R112" i="16"/>
  <c r="C110" i="15"/>
  <c r="E110" i="14"/>
  <c r="G110" i="15"/>
  <c r="C113" i="16"/>
  <c r="B110" i="14"/>
  <c r="D113" i="16"/>
  <c r="C110" i="14"/>
  <c r="E113" i="16"/>
  <c r="B110" i="13"/>
  <c r="F110" i="13"/>
  <c r="F113" i="16"/>
  <c r="G113" i="16"/>
  <c r="B113" i="16"/>
  <c r="H110" i="14"/>
  <c r="J110" i="13"/>
  <c r="R113" i="16"/>
  <c r="C111" i="15"/>
  <c r="E111" i="14"/>
  <c r="G111" i="15"/>
  <c r="C114" i="16"/>
  <c r="B111" i="14"/>
  <c r="D114" i="16"/>
  <c r="C111" i="14"/>
  <c r="E114" i="16"/>
  <c r="B111" i="13"/>
  <c r="F111" i="13"/>
  <c r="F114" i="16"/>
  <c r="G114" i="16"/>
  <c r="B114" i="16"/>
  <c r="H111" i="14"/>
  <c r="J111" i="13"/>
  <c r="R114" i="16"/>
  <c r="C112" i="15"/>
  <c r="E112" i="14"/>
  <c r="G112" i="15"/>
  <c r="C115" i="16"/>
  <c r="B112" i="14"/>
  <c r="D115" i="16"/>
  <c r="C112" i="14"/>
  <c r="E115" i="16"/>
  <c r="B112" i="13"/>
  <c r="F112" i="13"/>
  <c r="F115" i="16"/>
  <c r="G115" i="16"/>
  <c r="B115" i="16"/>
  <c r="H112" i="14"/>
  <c r="J112" i="13"/>
  <c r="R115" i="16"/>
  <c r="C113" i="15"/>
  <c r="E113" i="14"/>
  <c r="G113" i="15"/>
  <c r="C116" i="16"/>
  <c r="B113" i="14"/>
  <c r="D116" i="16"/>
  <c r="C113" i="14"/>
  <c r="E116" i="16"/>
  <c r="B113" i="13"/>
  <c r="F113" i="13"/>
  <c r="F116" i="16"/>
  <c r="G116" i="16"/>
  <c r="B116" i="16"/>
  <c r="H113" i="14"/>
  <c r="J113" i="13"/>
  <c r="R116" i="16"/>
  <c r="C114" i="15"/>
  <c r="E114" i="14"/>
  <c r="G114" i="15"/>
  <c r="C117" i="16"/>
  <c r="B114" i="14"/>
  <c r="D117" i="16"/>
  <c r="C114" i="14"/>
  <c r="E117" i="16"/>
  <c r="B114" i="13"/>
  <c r="F114" i="13"/>
  <c r="F117" i="16"/>
  <c r="G117" i="16"/>
  <c r="B117" i="16"/>
  <c r="H114" i="14"/>
  <c r="J114" i="13"/>
  <c r="R117" i="16"/>
  <c r="C115" i="15"/>
  <c r="E115" i="14"/>
  <c r="G115" i="15"/>
  <c r="C118" i="16"/>
  <c r="B115" i="14"/>
  <c r="D118" i="16"/>
  <c r="C115" i="14"/>
  <c r="E118" i="16"/>
  <c r="B115" i="13"/>
  <c r="F115" i="13"/>
  <c r="F118" i="16"/>
  <c r="G118" i="16"/>
  <c r="B118" i="16"/>
  <c r="H115" i="14"/>
  <c r="J115" i="13"/>
  <c r="R118" i="16"/>
  <c r="C116" i="15"/>
  <c r="E116" i="14"/>
  <c r="G116" i="15"/>
  <c r="C119" i="16"/>
  <c r="B116" i="14"/>
  <c r="D119" i="16"/>
  <c r="C116" i="14"/>
  <c r="E119" i="16"/>
  <c r="B116" i="13"/>
  <c r="F116" i="13"/>
  <c r="F119" i="16"/>
  <c r="G119" i="16"/>
  <c r="B119" i="16"/>
  <c r="H116" i="14"/>
  <c r="J116" i="13"/>
  <c r="R119" i="16"/>
  <c r="C117" i="15"/>
  <c r="E117" i="14"/>
  <c r="G117" i="15"/>
  <c r="C120" i="16"/>
  <c r="B117" i="14"/>
  <c r="D120" i="16"/>
  <c r="C117" i="14"/>
  <c r="E120" i="16"/>
  <c r="B117" i="13"/>
  <c r="F117" i="13"/>
  <c r="F120" i="16"/>
  <c r="G120" i="16"/>
  <c r="B120" i="16"/>
  <c r="H117" i="14"/>
  <c r="J117" i="13"/>
  <c r="R120" i="16"/>
  <c r="C118" i="15"/>
  <c r="E118" i="14"/>
  <c r="G118" i="15"/>
  <c r="C121" i="16"/>
  <c r="B118" i="14"/>
  <c r="D121" i="16"/>
  <c r="C118" i="14"/>
  <c r="E121" i="16"/>
  <c r="B118" i="13"/>
  <c r="F118" i="13"/>
  <c r="F121" i="16"/>
  <c r="G121" i="16"/>
  <c r="B121" i="16"/>
  <c r="H118" i="14"/>
  <c r="J118" i="13"/>
  <c r="R121" i="16"/>
  <c r="C119" i="15"/>
  <c r="E119" i="14"/>
  <c r="G119" i="15"/>
  <c r="C122" i="16"/>
  <c r="B119" i="14"/>
  <c r="D122" i="16"/>
  <c r="C119" i="14"/>
  <c r="E122" i="16"/>
  <c r="B119" i="13"/>
  <c r="F119" i="13"/>
  <c r="F122" i="16"/>
  <c r="G122" i="16"/>
  <c r="B122" i="16"/>
  <c r="H119" i="14"/>
  <c r="J119" i="13"/>
  <c r="R122" i="16"/>
  <c r="C120" i="15"/>
  <c r="E120" i="14"/>
  <c r="G120" i="15"/>
  <c r="C123" i="16"/>
  <c r="B120" i="14"/>
  <c r="D123" i="16"/>
  <c r="C120" i="14"/>
  <c r="E123" i="16"/>
  <c r="B120" i="13"/>
  <c r="F120" i="13"/>
  <c r="F123" i="16"/>
  <c r="G123" i="16"/>
  <c r="B123" i="16"/>
  <c r="H120" i="14"/>
  <c r="J120" i="13"/>
  <c r="R123" i="16"/>
  <c r="C121" i="15"/>
  <c r="E121" i="14"/>
  <c r="G121" i="15"/>
  <c r="C124" i="16"/>
  <c r="B121" i="14"/>
  <c r="D124" i="16"/>
  <c r="C121" i="14"/>
  <c r="E124" i="16"/>
  <c r="B121" i="13"/>
  <c r="F121" i="13"/>
  <c r="F124" i="16"/>
  <c r="G124" i="16"/>
  <c r="B124" i="16"/>
  <c r="H121" i="14"/>
  <c r="J121" i="13"/>
  <c r="R124" i="16"/>
  <c r="C122" i="15"/>
  <c r="E122" i="14"/>
  <c r="G122" i="15"/>
  <c r="C125" i="16"/>
  <c r="B122" i="14"/>
  <c r="D125" i="16"/>
  <c r="C122" i="14"/>
  <c r="E125" i="16"/>
  <c r="B122" i="13"/>
  <c r="F122" i="13"/>
  <c r="F125" i="16"/>
  <c r="G125" i="16"/>
  <c r="B125" i="16"/>
  <c r="H122" i="14"/>
  <c r="J122" i="13"/>
  <c r="R125" i="16"/>
  <c r="C123" i="15"/>
  <c r="E123" i="14"/>
  <c r="G123" i="15"/>
  <c r="C126" i="16"/>
  <c r="B123" i="14"/>
  <c r="D126" i="16"/>
  <c r="C123" i="14"/>
  <c r="E126" i="16"/>
  <c r="B123" i="13"/>
  <c r="F123" i="13"/>
  <c r="F126" i="16"/>
  <c r="G126" i="16"/>
  <c r="B126" i="16"/>
  <c r="H123" i="14"/>
  <c r="J123" i="13"/>
  <c r="R126" i="16"/>
  <c r="C124" i="15"/>
  <c r="E124" i="14"/>
  <c r="G124" i="15"/>
  <c r="C127" i="16"/>
  <c r="B124" i="14"/>
  <c r="D127" i="16"/>
  <c r="C124" i="14"/>
  <c r="E127" i="16"/>
  <c r="B124" i="13"/>
  <c r="F124" i="13"/>
  <c r="F127" i="16"/>
  <c r="G127" i="16"/>
  <c r="B127" i="16"/>
  <c r="H124" i="14"/>
  <c r="J124" i="13"/>
  <c r="R127" i="16"/>
  <c r="G15" i="33"/>
  <c r="G34" i="33"/>
  <c r="G25" i="39"/>
  <c r="BS28" i="29"/>
  <c r="FJ28" i="4"/>
  <c r="FI28" i="4"/>
  <c r="BR29" i="29"/>
  <c r="BS29" i="29"/>
  <c r="FJ29" i="4"/>
  <c r="FI29" i="4"/>
  <c r="BR30" i="29"/>
  <c r="BS30" i="29"/>
  <c r="BR31" i="29"/>
  <c r="BS31" i="29"/>
  <c r="FJ31" i="4"/>
  <c r="FI31" i="4"/>
  <c r="BR32" i="29"/>
  <c r="BS32" i="29"/>
  <c r="FJ32" i="4"/>
  <c r="FI32" i="4"/>
  <c r="BR33" i="29"/>
  <c r="BS33" i="29"/>
  <c r="FJ33" i="4"/>
  <c r="FI33" i="4"/>
  <c r="BR34" i="29"/>
  <c r="BS34" i="29"/>
  <c r="FJ34" i="4"/>
  <c r="FI34" i="4"/>
  <c r="BR35" i="29"/>
  <c r="BS35" i="29"/>
  <c r="FJ35" i="4"/>
  <c r="FI35" i="4"/>
  <c r="BR36" i="29"/>
  <c r="BS36" i="29"/>
  <c r="FJ36" i="4"/>
  <c r="FI36" i="4"/>
  <c r="BR37" i="29"/>
  <c r="BS37" i="29"/>
  <c r="G26" i="39"/>
  <c r="G33" i="33"/>
  <c r="G21" i="39"/>
  <c r="BR71" i="29"/>
  <c r="G20" i="33"/>
  <c r="G39" i="33"/>
  <c r="BR169" i="29"/>
  <c r="BS169" i="29"/>
  <c r="BR159" i="29"/>
  <c r="BS159" i="29"/>
  <c r="BR160" i="29"/>
  <c r="BS160" i="29"/>
  <c r="BR161" i="29"/>
  <c r="BS161" i="29"/>
  <c r="BR162" i="29"/>
  <c r="BS162" i="29"/>
  <c r="BR163" i="29"/>
  <c r="BS163" i="29"/>
  <c r="BR164" i="29"/>
  <c r="BS164" i="29"/>
  <c r="BR165" i="29"/>
  <c r="BS165" i="29"/>
  <c r="BR166" i="29"/>
  <c r="BS166" i="29"/>
  <c r="BR167" i="29"/>
  <c r="BS167" i="29"/>
  <c r="BR168" i="29"/>
  <c r="BS168" i="29"/>
  <c r="BR149" i="29"/>
  <c r="BS149" i="29"/>
  <c r="BR150" i="29"/>
  <c r="BS150" i="29"/>
  <c r="BR151" i="29"/>
  <c r="BS151" i="29"/>
  <c r="BR152" i="29"/>
  <c r="BS152" i="29"/>
  <c r="BR153" i="29"/>
  <c r="BS153" i="29"/>
  <c r="BR154" i="29"/>
  <c r="BS154" i="29"/>
  <c r="BR155" i="29"/>
  <c r="BS155" i="29"/>
  <c r="BR156" i="29"/>
  <c r="BS156" i="29"/>
  <c r="BR157" i="29"/>
  <c r="BS157" i="29"/>
  <c r="BR158" i="29"/>
  <c r="BS158" i="29"/>
  <c r="BS139" i="29"/>
  <c r="BS140" i="29"/>
  <c r="BS141" i="29"/>
  <c r="BS142" i="29"/>
  <c r="BS143" i="29"/>
  <c r="BS144" i="29"/>
  <c r="BS145" i="29"/>
  <c r="BS146" i="29"/>
  <c r="BS147" i="29"/>
  <c r="BR148" i="29"/>
  <c r="BS148" i="29"/>
  <c r="BS129" i="29"/>
  <c r="BS130" i="29"/>
  <c r="BS131" i="29"/>
  <c r="BS132" i="29"/>
  <c r="BS133" i="29"/>
  <c r="BS134" i="29"/>
  <c r="BS135" i="29"/>
  <c r="BS136" i="29"/>
  <c r="BS137" i="29"/>
  <c r="BS138" i="29"/>
  <c r="BS119" i="29"/>
  <c r="BR120" i="29"/>
  <c r="BS120" i="29"/>
  <c r="BR121" i="29"/>
  <c r="BS121" i="29"/>
  <c r="BR122" i="29"/>
  <c r="BS122" i="29"/>
  <c r="BR123" i="29"/>
  <c r="BS123" i="29"/>
  <c r="BS124" i="29"/>
  <c r="BS125" i="29"/>
  <c r="BS126" i="29"/>
  <c r="BS127" i="29"/>
  <c r="BS128" i="29"/>
  <c r="G116" i="39"/>
  <c r="BR109" i="29"/>
  <c r="BS109" i="29"/>
  <c r="BR110" i="29"/>
  <c r="BS110" i="29"/>
  <c r="BR111" i="29"/>
  <c r="BS111" i="29"/>
  <c r="BR112" i="29"/>
  <c r="BS112" i="29"/>
  <c r="BR113" i="29"/>
  <c r="BS113" i="29"/>
  <c r="BS114" i="29"/>
  <c r="BR115" i="29"/>
  <c r="BS115" i="29"/>
  <c r="BR116" i="29"/>
  <c r="BS116" i="29"/>
  <c r="BR117" i="29"/>
  <c r="BS117" i="29"/>
  <c r="BR118" i="29"/>
  <c r="BS118" i="29"/>
  <c r="G106" i="39"/>
  <c r="BR97" i="29"/>
  <c r="FJ97" i="4"/>
  <c r="FI97" i="4"/>
  <c r="BR98" i="29"/>
  <c r="FJ98" i="4"/>
  <c r="FI98" i="4"/>
  <c r="BR99" i="29"/>
  <c r="BS99" i="29"/>
  <c r="FJ99" i="4"/>
  <c r="FI99" i="4"/>
  <c r="BR100" i="29"/>
  <c r="BS100" i="29"/>
  <c r="FJ100" i="4"/>
  <c r="FI100" i="4"/>
  <c r="BR101" i="29"/>
  <c r="BS101" i="29"/>
  <c r="FJ101" i="4"/>
  <c r="FI101" i="4"/>
  <c r="BR102" i="29"/>
  <c r="BS102" i="29"/>
  <c r="FJ102" i="4"/>
  <c r="FI102" i="4"/>
  <c r="BR103" i="29"/>
  <c r="BS103" i="29"/>
  <c r="FJ103" i="4"/>
  <c r="FI103" i="4"/>
  <c r="BR104" i="29"/>
  <c r="BS104" i="29"/>
  <c r="FJ104" i="4"/>
  <c r="FI104" i="4"/>
  <c r="BR105" i="29"/>
  <c r="BS105" i="29"/>
  <c r="BR106" i="29"/>
  <c r="BS106" i="29"/>
  <c r="BR107" i="29"/>
  <c r="BS107" i="29"/>
  <c r="BR108" i="29"/>
  <c r="BS108" i="29"/>
  <c r="G96" i="39"/>
  <c r="BS89" i="29"/>
  <c r="FJ89" i="4"/>
  <c r="FI89" i="4"/>
  <c r="BR90" i="29"/>
  <c r="BS90" i="29"/>
  <c r="FJ90" i="4"/>
  <c r="FI90" i="4"/>
  <c r="BR91" i="29"/>
  <c r="BS91" i="29"/>
  <c r="FJ91" i="4"/>
  <c r="FI91" i="4"/>
  <c r="BR92" i="29"/>
  <c r="BS92" i="29"/>
  <c r="FJ92" i="4"/>
  <c r="FI92" i="4"/>
  <c r="BR93" i="29"/>
  <c r="BS93" i="29"/>
  <c r="FJ93" i="4"/>
  <c r="FI93" i="4"/>
  <c r="BR94" i="29"/>
  <c r="BS94" i="29"/>
  <c r="FJ94" i="4"/>
  <c r="FI94" i="4"/>
  <c r="BR95" i="29"/>
  <c r="BS95" i="29"/>
  <c r="FJ95" i="4"/>
  <c r="FI95" i="4"/>
  <c r="BR96" i="29"/>
  <c r="BS96" i="29"/>
  <c r="BS97" i="29"/>
  <c r="BS98" i="29"/>
  <c r="G86" i="39"/>
  <c r="BS79" i="29"/>
  <c r="FJ79" i="4"/>
  <c r="FI79" i="4"/>
  <c r="BR80" i="29"/>
  <c r="BS80" i="29"/>
  <c r="FJ80" i="4"/>
  <c r="FI80" i="4"/>
  <c r="BR81" i="29"/>
  <c r="BS81" i="29"/>
  <c r="FJ81" i="4"/>
  <c r="FI81" i="4"/>
  <c r="BR82" i="29"/>
  <c r="BS82" i="29"/>
  <c r="BR83" i="29"/>
  <c r="BS83" i="29"/>
  <c r="FJ83" i="4"/>
  <c r="FI83" i="4"/>
  <c r="BR84" i="29"/>
  <c r="BS84" i="29"/>
  <c r="FJ84" i="4"/>
  <c r="FI84" i="4"/>
  <c r="BR85" i="29"/>
  <c r="BS85" i="29"/>
  <c r="FJ85" i="4"/>
  <c r="FI85" i="4"/>
  <c r="BR86" i="29"/>
  <c r="BS86" i="29"/>
  <c r="FJ86" i="4"/>
  <c r="FI86" i="4"/>
  <c r="BR87" i="29"/>
  <c r="BS87" i="29"/>
  <c r="FJ87" i="4"/>
  <c r="FI87" i="4"/>
  <c r="BR88" i="29"/>
  <c r="BS88" i="29"/>
  <c r="G76" i="39"/>
  <c r="BS58" i="29"/>
  <c r="FJ58" i="4"/>
  <c r="FI58" i="4"/>
  <c r="BR59" i="29"/>
  <c r="BS59" i="29"/>
  <c r="FJ59" i="4"/>
  <c r="FI59" i="4"/>
  <c r="BR60" i="29"/>
  <c r="BS60" i="29"/>
  <c r="FJ60" i="4"/>
  <c r="FI60" i="4"/>
  <c r="BR61" i="29"/>
  <c r="BS61" i="29"/>
  <c r="FJ61" i="4"/>
  <c r="FI61" i="4"/>
  <c r="BR62" i="29"/>
  <c r="BS62" i="29"/>
  <c r="FJ62" i="4"/>
  <c r="FI62" i="4"/>
  <c r="BR63" i="29"/>
  <c r="BS63" i="29"/>
  <c r="FJ63" i="4"/>
  <c r="FI63" i="4"/>
  <c r="BR64" i="29"/>
  <c r="BS64" i="29"/>
  <c r="FJ64" i="4"/>
  <c r="FI64" i="4"/>
  <c r="BR65" i="29"/>
  <c r="BS65" i="29"/>
  <c r="FJ65" i="4"/>
  <c r="FI65" i="4"/>
  <c r="BR66" i="29"/>
  <c r="BS66" i="29"/>
  <c r="FJ66" i="4"/>
  <c r="FI66" i="4"/>
  <c r="BR67" i="29"/>
  <c r="BS67" i="29"/>
  <c r="G56" i="39"/>
  <c r="BS48" i="29"/>
  <c r="FJ48" i="4"/>
  <c r="FI48" i="4"/>
  <c r="BR49" i="29"/>
  <c r="BS49" i="29"/>
  <c r="FJ49" i="4"/>
  <c r="FI49" i="4"/>
  <c r="BR50" i="29"/>
  <c r="BS50" i="29"/>
  <c r="FJ50" i="4"/>
  <c r="FI50" i="4"/>
  <c r="BR51" i="29"/>
  <c r="BS51" i="29"/>
  <c r="FJ51" i="4"/>
  <c r="FI51" i="4"/>
  <c r="BR52" i="29"/>
  <c r="BS52" i="29"/>
  <c r="FJ52" i="4"/>
  <c r="FI52" i="4"/>
  <c r="BR53" i="29"/>
  <c r="BS53" i="29"/>
  <c r="FJ53" i="4"/>
  <c r="FI53" i="4"/>
  <c r="BR54" i="29"/>
  <c r="BS54" i="29"/>
  <c r="FJ54" i="4"/>
  <c r="FI54" i="4"/>
  <c r="BR55" i="29"/>
  <c r="BS55" i="29"/>
  <c r="FJ55" i="4"/>
  <c r="FI55" i="4"/>
  <c r="BR56" i="29"/>
  <c r="BS56" i="29"/>
  <c r="FJ56" i="4"/>
  <c r="FI56" i="4"/>
  <c r="BR57" i="29"/>
  <c r="BS57" i="29"/>
  <c r="G46" i="39"/>
  <c r="BS38" i="29"/>
  <c r="BS39" i="29"/>
  <c r="BS40" i="29"/>
  <c r="BS41" i="29"/>
  <c r="BS42" i="29"/>
  <c r="BS43" i="29"/>
  <c r="FJ43" i="4"/>
  <c r="FI43" i="4"/>
  <c r="BR44" i="29"/>
  <c r="BS44" i="29"/>
  <c r="FJ44" i="4"/>
  <c r="FI44" i="4"/>
  <c r="BR45" i="29"/>
  <c r="BS45" i="29"/>
  <c r="FJ45" i="4"/>
  <c r="FI45" i="4"/>
  <c r="BR46" i="29"/>
  <c r="BS46" i="29"/>
  <c r="FJ46" i="4"/>
  <c r="FI46" i="4"/>
  <c r="BR47" i="29"/>
  <c r="BS47" i="29"/>
  <c r="G36" i="39"/>
  <c r="CC139" i="29"/>
  <c r="BH139" i="29"/>
  <c r="CC140" i="29"/>
  <c r="BH140" i="29"/>
  <c r="G20" i="3"/>
  <c r="L135" i="2"/>
  <c r="J20" i="3"/>
  <c r="R135" i="34"/>
  <c r="N48" i="36"/>
  <c r="C50" i="3"/>
  <c r="D50" i="3"/>
  <c r="E50" i="3"/>
  <c r="B50" i="3"/>
  <c r="F50" i="3"/>
  <c r="G50" i="3"/>
  <c r="J50" i="3"/>
  <c r="R165" i="34"/>
  <c r="O48" i="36"/>
  <c r="S125" i="34"/>
  <c r="CC129" i="29"/>
  <c r="BH129" i="29"/>
  <c r="BI130" i="29"/>
  <c r="CC130" i="29"/>
  <c r="BH130" i="29"/>
  <c r="G10" i="3"/>
  <c r="J10" i="3"/>
  <c r="R125" i="34"/>
  <c r="T126" i="34"/>
  <c r="AO126" i="34"/>
  <c r="S126" i="34"/>
  <c r="BI131" i="29"/>
  <c r="CC131" i="29"/>
  <c r="BH131" i="29"/>
  <c r="G11" i="3"/>
  <c r="L126" i="2"/>
  <c r="J11" i="3"/>
  <c r="R126" i="34"/>
  <c r="T127" i="34"/>
  <c r="AO127" i="34"/>
  <c r="S127" i="34"/>
  <c r="CC132" i="29"/>
  <c r="BH132" i="29"/>
  <c r="G12" i="3"/>
  <c r="L127" i="2"/>
  <c r="J12" i="3"/>
  <c r="R127" i="34"/>
  <c r="T128" i="34"/>
  <c r="AO128" i="34"/>
  <c r="S128" i="34"/>
  <c r="BI133" i="29"/>
  <c r="CC133" i="29"/>
  <c r="BH133" i="29"/>
  <c r="G13" i="3"/>
  <c r="L128" i="2"/>
  <c r="J13" i="3"/>
  <c r="R128" i="34"/>
  <c r="T129" i="34"/>
  <c r="AO129" i="34"/>
  <c r="S129" i="34"/>
  <c r="BI134" i="29"/>
  <c r="CC134" i="29"/>
  <c r="BH134" i="29"/>
  <c r="G14" i="3"/>
  <c r="L129" i="2"/>
  <c r="J14" i="3"/>
  <c r="R129" i="34"/>
  <c r="T130" i="34"/>
  <c r="AO130" i="34"/>
  <c r="S130" i="34"/>
  <c r="CC135" i="29"/>
  <c r="BH135" i="29"/>
  <c r="G15" i="3"/>
  <c r="L130" i="2"/>
  <c r="J15" i="3"/>
  <c r="R130" i="34"/>
  <c r="T131" i="34"/>
  <c r="AO131" i="34"/>
  <c r="S131" i="34"/>
  <c r="CC136" i="29"/>
  <c r="BH136" i="29"/>
  <c r="G16" i="3"/>
  <c r="L131" i="2"/>
  <c r="J16" i="3"/>
  <c r="R131" i="34"/>
  <c r="T132" i="34"/>
  <c r="AO132" i="34"/>
  <c r="S132" i="34"/>
  <c r="CC137" i="29"/>
  <c r="BH137" i="29"/>
  <c r="G17" i="3"/>
  <c r="L132" i="2"/>
  <c r="J17" i="3"/>
  <c r="R132" i="34"/>
  <c r="T133" i="34"/>
  <c r="AO133" i="34"/>
  <c r="S133" i="34"/>
  <c r="CC138" i="29"/>
  <c r="BH138" i="29"/>
  <c r="G18" i="3"/>
  <c r="L133" i="2"/>
  <c r="J18" i="3"/>
  <c r="R133" i="34"/>
  <c r="T134" i="34"/>
  <c r="AO134" i="34"/>
  <c r="S134" i="34"/>
  <c r="G19" i="3"/>
  <c r="L134" i="2"/>
  <c r="J19" i="3"/>
  <c r="R134" i="34"/>
  <c r="T135" i="34"/>
  <c r="AO135" i="34"/>
  <c r="S135" i="34"/>
  <c r="T136" i="34"/>
  <c r="AO136" i="34"/>
  <c r="S136" i="34"/>
  <c r="CC141" i="29"/>
  <c r="BH141" i="29"/>
  <c r="G21" i="3"/>
  <c r="L136" i="2"/>
  <c r="J21" i="3"/>
  <c r="R136" i="34"/>
  <c r="T137" i="34"/>
  <c r="AO137" i="34"/>
  <c r="S137" i="34"/>
  <c r="CC142" i="29"/>
  <c r="BH142" i="29"/>
  <c r="G22" i="3"/>
  <c r="L137" i="2"/>
  <c r="J22" i="3"/>
  <c r="R137" i="34"/>
  <c r="T138" i="34"/>
  <c r="AO138" i="34"/>
  <c r="S138" i="34"/>
  <c r="CC143" i="29"/>
  <c r="BH143" i="29"/>
  <c r="G23" i="3"/>
  <c r="L138" i="2"/>
  <c r="J23" i="3"/>
  <c r="R138" i="34"/>
  <c r="T139" i="34"/>
  <c r="AO139" i="34"/>
  <c r="S139" i="34"/>
  <c r="CC144" i="29"/>
  <c r="BH144" i="29"/>
  <c r="G24" i="3"/>
  <c r="L139" i="2"/>
  <c r="J24" i="3"/>
  <c r="R139" i="34"/>
  <c r="T140" i="34"/>
  <c r="AO140" i="34"/>
  <c r="S140" i="34"/>
  <c r="CC145" i="29"/>
  <c r="BH145" i="29"/>
  <c r="G25" i="3"/>
  <c r="L140" i="2"/>
  <c r="J25" i="3"/>
  <c r="R140" i="34"/>
  <c r="T141" i="34"/>
  <c r="AO141" i="34"/>
  <c r="S141" i="34"/>
  <c r="CC146" i="29"/>
  <c r="BH146" i="29"/>
  <c r="G26" i="3"/>
  <c r="L141" i="2"/>
  <c r="J26" i="3"/>
  <c r="R141" i="34"/>
  <c r="T142" i="34"/>
  <c r="AO142" i="34"/>
  <c r="S142" i="34"/>
  <c r="BH147" i="29"/>
  <c r="G27" i="3"/>
  <c r="L142" i="2"/>
  <c r="J27" i="3"/>
  <c r="R142" i="34"/>
  <c r="T143" i="34"/>
  <c r="AO143" i="34"/>
  <c r="S143" i="34"/>
  <c r="C28" i="3"/>
  <c r="D28" i="3"/>
  <c r="E28" i="3"/>
  <c r="B28" i="3"/>
  <c r="F28" i="3"/>
  <c r="G28" i="3"/>
  <c r="L143" i="2"/>
  <c r="J28" i="3"/>
  <c r="R143" i="34"/>
  <c r="T144" i="34"/>
  <c r="AO144" i="34"/>
  <c r="S144" i="34"/>
  <c r="C29" i="3"/>
  <c r="D29" i="3"/>
  <c r="E29" i="3"/>
  <c r="B29" i="3"/>
  <c r="F29" i="3"/>
  <c r="G29" i="3"/>
  <c r="L144" i="2"/>
  <c r="J29" i="3"/>
  <c r="R144" i="34"/>
  <c r="T145" i="34"/>
  <c r="AO145" i="34"/>
  <c r="S145" i="34"/>
  <c r="C30" i="3"/>
  <c r="D30" i="3"/>
  <c r="E30" i="3"/>
  <c r="B30" i="3"/>
  <c r="F30" i="3"/>
  <c r="G30" i="3"/>
  <c r="L145" i="2"/>
  <c r="J30" i="3"/>
  <c r="R145" i="34"/>
  <c r="T146" i="34"/>
  <c r="AO146" i="34"/>
  <c r="S146" i="34"/>
  <c r="C31" i="3"/>
  <c r="D31" i="3"/>
  <c r="E31" i="3"/>
  <c r="B31" i="3"/>
  <c r="F31" i="3"/>
  <c r="G31" i="3"/>
  <c r="L146" i="2"/>
  <c r="J31" i="3"/>
  <c r="R146" i="34"/>
  <c r="T147" i="34"/>
  <c r="AO147" i="34"/>
  <c r="S147" i="34"/>
  <c r="C32" i="3"/>
  <c r="D32" i="3"/>
  <c r="E32" i="3"/>
  <c r="B32" i="3"/>
  <c r="F32" i="3"/>
  <c r="G32" i="3"/>
  <c r="L147" i="2"/>
  <c r="J32" i="3"/>
  <c r="R147" i="34"/>
  <c r="T148" i="34"/>
  <c r="AO148" i="34"/>
  <c r="S148" i="34"/>
  <c r="C33" i="3"/>
  <c r="D33" i="3"/>
  <c r="E33" i="3"/>
  <c r="B33" i="3"/>
  <c r="F33" i="3"/>
  <c r="G33" i="3"/>
  <c r="L148" i="2"/>
  <c r="J33" i="3"/>
  <c r="R148" i="34"/>
  <c r="T149" i="34"/>
  <c r="AO149" i="34"/>
  <c r="S149" i="34"/>
  <c r="C34" i="3"/>
  <c r="D34" i="3"/>
  <c r="E34" i="3"/>
  <c r="B34" i="3"/>
  <c r="F34" i="3"/>
  <c r="G34" i="3"/>
  <c r="L149" i="2"/>
  <c r="J34" i="3"/>
  <c r="R149" i="34"/>
  <c r="T150" i="34"/>
  <c r="AO150" i="34"/>
  <c r="S150" i="34"/>
  <c r="C35" i="3"/>
  <c r="D35" i="3"/>
  <c r="E35" i="3"/>
  <c r="B35" i="3"/>
  <c r="F35" i="3"/>
  <c r="G35" i="3"/>
  <c r="L150" i="2"/>
  <c r="J35" i="3"/>
  <c r="R150" i="34"/>
  <c r="T151" i="34"/>
  <c r="AO151" i="34"/>
  <c r="S151" i="34"/>
  <c r="C36" i="3"/>
  <c r="D36" i="3"/>
  <c r="E36" i="3"/>
  <c r="B36" i="3"/>
  <c r="F36" i="3"/>
  <c r="G36" i="3"/>
  <c r="L151" i="2"/>
  <c r="J36" i="3"/>
  <c r="R151" i="34"/>
  <c r="T152" i="34"/>
  <c r="AO152" i="34"/>
  <c r="S152" i="34"/>
  <c r="C37" i="3"/>
  <c r="D37" i="3"/>
  <c r="E37" i="3"/>
  <c r="B37" i="3"/>
  <c r="F37" i="3"/>
  <c r="G37" i="3"/>
  <c r="L152" i="2"/>
  <c r="J37" i="3"/>
  <c r="R152" i="34"/>
  <c r="T153" i="34"/>
  <c r="AO153" i="34"/>
  <c r="S153" i="34"/>
  <c r="C38" i="3"/>
  <c r="D38" i="3"/>
  <c r="E38" i="3"/>
  <c r="B38" i="3"/>
  <c r="F38" i="3"/>
  <c r="G38" i="3"/>
  <c r="L153" i="2"/>
  <c r="J38" i="3"/>
  <c r="R153" i="34"/>
  <c r="T154" i="34"/>
  <c r="AO154" i="34"/>
  <c r="S154" i="34"/>
  <c r="C39" i="3"/>
  <c r="D39" i="3"/>
  <c r="E39" i="3"/>
  <c r="B39" i="3"/>
  <c r="F39" i="3"/>
  <c r="G39" i="3"/>
  <c r="L154" i="2"/>
  <c r="J39" i="3"/>
  <c r="R154" i="34"/>
  <c r="T155" i="34"/>
  <c r="AO155" i="34"/>
  <c r="S155" i="34"/>
  <c r="C40" i="3"/>
  <c r="D40" i="3"/>
  <c r="E40" i="3"/>
  <c r="B40" i="3"/>
  <c r="F40" i="3"/>
  <c r="G40" i="3"/>
  <c r="L155" i="2"/>
  <c r="J40" i="3"/>
  <c r="R155" i="34"/>
  <c r="T156" i="34"/>
  <c r="AO156" i="34"/>
  <c r="S156" i="34"/>
  <c r="C41" i="3"/>
  <c r="D41" i="3"/>
  <c r="E41" i="3"/>
  <c r="B41" i="3"/>
  <c r="F41" i="3"/>
  <c r="G41" i="3"/>
  <c r="L156" i="2"/>
  <c r="J41" i="3"/>
  <c r="R156" i="34"/>
  <c r="T157" i="34"/>
  <c r="AO157" i="34"/>
  <c r="S157" i="34"/>
  <c r="C42" i="3"/>
  <c r="D42" i="3"/>
  <c r="E42" i="3"/>
  <c r="B42" i="3"/>
  <c r="F42" i="3"/>
  <c r="G42" i="3"/>
  <c r="L157" i="2"/>
  <c r="J42" i="3"/>
  <c r="R157" i="34"/>
  <c r="T158" i="34"/>
  <c r="AO158" i="34"/>
  <c r="S158" i="34"/>
  <c r="C43" i="3"/>
  <c r="D43" i="3"/>
  <c r="E43" i="3"/>
  <c r="B43" i="3"/>
  <c r="F43" i="3"/>
  <c r="G43" i="3"/>
  <c r="L158" i="2"/>
  <c r="J43" i="3"/>
  <c r="R158" i="34"/>
  <c r="T159" i="34"/>
  <c r="AO159" i="34"/>
  <c r="S159" i="34"/>
  <c r="C44" i="3"/>
  <c r="D44" i="3"/>
  <c r="E44" i="3"/>
  <c r="B44" i="3"/>
  <c r="F44" i="3"/>
  <c r="G44" i="3"/>
  <c r="L159" i="2"/>
  <c r="J44" i="3"/>
  <c r="R159" i="34"/>
  <c r="T160" i="34"/>
  <c r="AO160" i="34"/>
  <c r="S160" i="34"/>
  <c r="C45" i="3"/>
  <c r="D45" i="3"/>
  <c r="E45" i="3"/>
  <c r="B45" i="3"/>
  <c r="F45" i="3"/>
  <c r="G45" i="3"/>
  <c r="L160" i="2"/>
  <c r="J45" i="3"/>
  <c r="R160" i="34"/>
  <c r="T161" i="34"/>
  <c r="AO161" i="34"/>
  <c r="S161" i="34"/>
  <c r="C46" i="3"/>
  <c r="D46" i="3"/>
  <c r="E46" i="3"/>
  <c r="B46" i="3"/>
  <c r="F46" i="3"/>
  <c r="G46" i="3"/>
  <c r="L161" i="2"/>
  <c r="J46" i="3"/>
  <c r="R161" i="34"/>
  <c r="T162" i="34"/>
  <c r="AO162" i="34"/>
  <c r="S162" i="34"/>
  <c r="C47" i="3"/>
  <c r="D47" i="3"/>
  <c r="E47" i="3"/>
  <c r="B47" i="3"/>
  <c r="F47" i="3"/>
  <c r="G47" i="3"/>
  <c r="L162" i="2"/>
  <c r="J47" i="3"/>
  <c r="R162" i="34"/>
  <c r="T163" i="34"/>
  <c r="AO163" i="34"/>
  <c r="S163" i="34"/>
  <c r="C48" i="3"/>
  <c r="D48" i="3"/>
  <c r="E48" i="3"/>
  <c r="B48" i="3"/>
  <c r="F48" i="3"/>
  <c r="G48" i="3"/>
  <c r="L163" i="2"/>
  <c r="J48" i="3"/>
  <c r="R163" i="34"/>
  <c r="T164" i="34"/>
  <c r="AO164" i="34"/>
  <c r="S164" i="34"/>
  <c r="C49" i="3"/>
  <c r="D49" i="3"/>
  <c r="E49" i="3"/>
  <c r="B49" i="3"/>
  <c r="F49" i="3"/>
  <c r="G49" i="3"/>
  <c r="L164" i="2"/>
  <c r="J49" i="3"/>
  <c r="R164" i="34"/>
  <c r="T165" i="34"/>
  <c r="AO165" i="34"/>
  <c r="T222" i="34"/>
  <c r="P54" i="37"/>
  <c r="B216" i="25"/>
  <c r="B49" i="27"/>
  <c r="P48" i="36"/>
  <c r="E25" i="26"/>
  <c r="K25" i="26"/>
  <c r="B25" i="39"/>
  <c r="K21" i="26"/>
  <c r="B21" i="39"/>
  <c r="B198" i="25"/>
  <c r="B32" i="38"/>
  <c r="B204" i="25"/>
  <c r="B38" i="38"/>
  <c r="B219" i="25"/>
  <c r="B50" i="38"/>
  <c r="B225" i="25"/>
  <c r="B56" i="38"/>
  <c r="B228" i="25"/>
  <c r="B59" i="38"/>
  <c r="L65" i="2"/>
  <c r="L66" i="2"/>
  <c r="L67" i="2"/>
  <c r="B68" i="2"/>
  <c r="L68" i="2"/>
  <c r="C75" i="2"/>
  <c r="D75" i="2"/>
  <c r="E75" i="2"/>
  <c r="B75" i="2"/>
  <c r="L75" i="2"/>
  <c r="C76" i="2"/>
  <c r="D76" i="2"/>
  <c r="E76" i="2"/>
  <c r="B76" i="2"/>
  <c r="L76" i="2"/>
  <c r="C77" i="2"/>
  <c r="D77" i="2"/>
  <c r="E77" i="2"/>
  <c r="B77" i="2"/>
  <c r="L77" i="2"/>
  <c r="C78" i="2"/>
  <c r="D78" i="2"/>
  <c r="E78" i="2"/>
  <c r="B78" i="2"/>
  <c r="L78" i="2"/>
  <c r="C79" i="2"/>
  <c r="D79" i="2"/>
  <c r="E79" i="2"/>
  <c r="B79" i="2"/>
  <c r="L79" i="2"/>
  <c r="C80" i="2"/>
  <c r="D80" i="2"/>
  <c r="E80" i="2"/>
  <c r="B80" i="2"/>
  <c r="L80" i="2"/>
  <c r="C81" i="2"/>
  <c r="D81" i="2"/>
  <c r="E81" i="2"/>
  <c r="B81" i="2"/>
  <c r="L81" i="2"/>
  <c r="C82" i="2"/>
  <c r="D82" i="2"/>
  <c r="E82" i="2"/>
  <c r="B82" i="2"/>
  <c r="L82" i="2"/>
  <c r="C83" i="2"/>
  <c r="D83" i="2"/>
  <c r="E83" i="2"/>
  <c r="B83" i="2"/>
  <c r="L83" i="2"/>
  <c r="C84" i="2"/>
  <c r="D84" i="2"/>
  <c r="E84" i="2"/>
  <c r="B84" i="2"/>
  <c r="L84" i="2"/>
  <c r="C85" i="2"/>
  <c r="D85" i="2"/>
  <c r="E85" i="2"/>
  <c r="B85" i="2"/>
  <c r="L85" i="2"/>
  <c r="C86" i="2"/>
  <c r="D86" i="2"/>
  <c r="E86" i="2"/>
  <c r="B86" i="2"/>
  <c r="L86" i="2"/>
  <c r="C87" i="2"/>
  <c r="D87" i="2"/>
  <c r="E87" i="2"/>
  <c r="B87" i="2"/>
  <c r="L87" i="2"/>
  <c r="C88" i="2"/>
  <c r="D88" i="2"/>
  <c r="E88" i="2"/>
  <c r="B88" i="2"/>
  <c r="L88" i="2"/>
  <c r="C89" i="2"/>
  <c r="D89" i="2"/>
  <c r="E89" i="2"/>
  <c r="B89" i="2"/>
  <c r="L89" i="2"/>
  <c r="C90" i="2"/>
  <c r="D90" i="2"/>
  <c r="E90" i="2"/>
  <c r="B90" i="2"/>
  <c r="L90" i="2"/>
  <c r="C91" i="2"/>
  <c r="D91" i="2"/>
  <c r="E91" i="2"/>
  <c r="B91" i="2"/>
  <c r="L91" i="2"/>
  <c r="C92" i="2"/>
  <c r="D92" i="2"/>
  <c r="E92" i="2"/>
  <c r="B92" i="2"/>
  <c r="L92" i="2"/>
  <c r="C93" i="2"/>
  <c r="D93" i="2"/>
  <c r="E93" i="2"/>
  <c r="B93" i="2"/>
  <c r="L93" i="2"/>
  <c r="C94" i="2"/>
  <c r="D94" i="2"/>
  <c r="E94" i="2"/>
  <c r="B94" i="2"/>
  <c r="L94" i="2"/>
  <c r="C95" i="2"/>
  <c r="D95" i="2"/>
  <c r="E95" i="2"/>
  <c r="B95" i="2"/>
  <c r="L95" i="2"/>
  <c r="C96" i="2"/>
  <c r="D96" i="2"/>
  <c r="E96" i="2"/>
  <c r="B96" i="2"/>
  <c r="L96" i="2"/>
  <c r="C97" i="2"/>
  <c r="D97" i="2"/>
  <c r="E97" i="2"/>
  <c r="B97" i="2"/>
  <c r="L97" i="2"/>
  <c r="C98" i="2"/>
  <c r="D98" i="2"/>
  <c r="E98" i="2"/>
  <c r="B98" i="2"/>
  <c r="L98" i="2"/>
  <c r="C99" i="2"/>
  <c r="D99" i="2"/>
  <c r="E99" i="2"/>
  <c r="B99" i="2"/>
  <c r="L99" i="2"/>
  <c r="C100" i="2"/>
  <c r="D100" i="2"/>
  <c r="E100" i="2"/>
  <c r="B100" i="2"/>
  <c r="L100" i="2"/>
  <c r="C101" i="2"/>
  <c r="D101" i="2"/>
  <c r="E101" i="2"/>
  <c r="B101" i="2"/>
  <c r="L101" i="2"/>
  <c r="C102" i="2"/>
  <c r="D102" i="2"/>
  <c r="E102" i="2"/>
  <c r="B102" i="2"/>
  <c r="L102" i="2"/>
  <c r="C103" i="2"/>
  <c r="D103" i="2"/>
  <c r="E103" i="2"/>
  <c r="B103" i="2"/>
  <c r="L103" i="2"/>
  <c r="C104" i="2"/>
  <c r="D104" i="2"/>
  <c r="E104" i="2"/>
  <c r="B104" i="2"/>
  <c r="L104" i="2"/>
  <c r="B105" i="2"/>
  <c r="L105" i="2"/>
  <c r="B106" i="2"/>
  <c r="L106" i="2"/>
  <c r="B107" i="2"/>
  <c r="L107" i="2"/>
  <c r="B108" i="2"/>
  <c r="L108" i="2"/>
  <c r="B109" i="2"/>
  <c r="L109" i="2"/>
  <c r="B110" i="2"/>
  <c r="L110" i="2"/>
  <c r="B111" i="2"/>
  <c r="L111" i="2"/>
  <c r="B112" i="2"/>
  <c r="L112" i="2"/>
  <c r="B113" i="2"/>
  <c r="L113" i="2"/>
  <c r="B114" i="2"/>
  <c r="L114" i="2"/>
  <c r="B115" i="2"/>
  <c r="L115" i="2"/>
  <c r="B116" i="2"/>
  <c r="L116" i="2"/>
  <c r="B117" i="2"/>
  <c r="L117" i="2"/>
  <c r="B118" i="2"/>
  <c r="L118" i="2"/>
  <c r="B119" i="2"/>
  <c r="L119" i="2"/>
  <c r="B120" i="2"/>
  <c r="L120" i="2"/>
  <c r="B121" i="2"/>
  <c r="L121" i="2"/>
  <c r="B122" i="2"/>
  <c r="L122" i="2"/>
  <c r="B123" i="2"/>
  <c r="L123" i="2"/>
  <c r="B124" i="2"/>
  <c r="L124" i="2"/>
  <c r="N176" i="6"/>
  <c r="N166" i="6"/>
  <c r="N156" i="6"/>
  <c r="N146" i="6"/>
  <c r="N136" i="6"/>
  <c r="N126" i="6"/>
  <c r="N116" i="6"/>
  <c r="N106" i="6"/>
  <c r="N96" i="6"/>
  <c r="N86" i="6"/>
  <c r="N66" i="6"/>
  <c r="N56" i="6"/>
  <c r="N46" i="6"/>
  <c r="N36" i="6"/>
  <c r="C25" i="39"/>
  <c r="C23" i="39"/>
  <c r="C24" i="39"/>
  <c r="C22" i="39"/>
  <c r="C21" i="39"/>
  <c r="B69" i="2"/>
  <c r="L69" i="2"/>
  <c r="B70" i="2"/>
  <c r="L70" i="2"/>
  <c r="B71" i="2"/>
  <c r="L71" i="2"/>
  <c r="B72" i="2"/>
  <c r="L72" i="2"/>
  <c r="B73" i="2"/>
  <c r="L73" i="2"/>
  <c r="B74" i="2"/>
  <c r="L74" i="2"/>
  <c r="F30" i="52"/>
  <c r="B31" i="27"/>
  <c r="H30" i="52"/>
  <c r="HU78" i="4"/>
  <c r="D75" i="5"/>
  <c r="D115" i="5"/>
  <c r="D116" i="5"/>
  <c r="D117" i="5"/>
  <c r="D118" i="5"/>
  <c r="D119" i="5"/>
  <c r="D120" i="5"/>
  <c r="D121" i="5"/>
  <c r="D122" i="5"/>
  <c r="D123" i="5"/>
  <c r="D124" i="5"/>
  <c r="D125" i="5"/>
  <c r="B30" i="52"/>
  <c r="B113" i="42"/>
  <c r="B114" i="42"/>
  <c r="B115" i="42"/>
  <c r="B116" i="42"/>
  <c r="B117" i="42"/>
  <c r="B118" i="42"/>
  <c r="B119" i="42"/>
  <c r="B120" i="42"/>
  <c r="B121" i="42"/>
  <c r="B122" i="42"/>
  <c r="B123" i="42"/>
  <c r="B124" i="42"/>
  <c r="B125" i="42"/>
  <c r="B126" i="42"/>
  <c r="B127" i="42"/>
  <c r="B128" i="42"/>
  <c r="B129" i="42"/>
  <c r="B130" i="42"/>
  <c r="B131" i="42"/>
  <c r="B132" i="42"/>
  <c r="B133" i="42"/>
  <c r="B134" i="42"/>
  <c r="B135" i="42"/>
  <c r="B136" i="42"/>
  <c r="B137" i="42"/>
  <c r="B138" i="42"/>
  <c r="B139" i="42"/>
  <c r="B140" i="42"/>
  <c r="B141" i="42"/>
  <c r="B142" i="42"/>
  <c r="B143" i="42"/>
  <c r="B144" i="42"/>
  <c r="B145" i="42"/>
  <c r="B146" i="42"/>
  <c r="B147" i="42"/>
  <c r="B148" i="42"/>
  <c r="B149" i="42"/>
  <c r="B150" i="42"/>
  <c r="B151" i="42"/>
  <c r="B152" i="42"/>
  <c r="B153" i="42"/>
  <c r="B154" i="42"/>
  <c r="B155" i="42"/>
  <c r="B156" i="42"/>
  <c r="B157" i="42"/>
  <c r="B158" i="42"/>
  <c r="B159" i="42"/>
  <c r="B160" i="42"/>
  <c r="B161" i="42"/>
  <c r="B162" i="42"/>
  <c r="B163" i="42"/>
  <c r="B164" i="42"/>
  <c r="B165" i="42"/>
  <c r="I30" i="52"/>
  <c r="M30" i="52"/>
  <c r="G30" i="41"/>
  <c r="I30" i="41"/>
  <c r="H30" i="41"/>
  <c r="V65" i="34"/>
  <c r="I65" i="34"/>
  <c r="AH66" i="34"/>
  <c r="V66" i="34"/>
  <c r="I66" i="34"/>
  <c r="AH67" i="34"/>
  <c r="V67" i="34"/>
  <c r="I67" i="34"/>
  <c r="AH68" i="34"/>
  <c r="V68" i="34"/>
  <c r="M68" i="2"/>
  <c r="F68" i="34"/>
  <c r="I68" i="34"/>
  <c r="AH69" i="34"/>
  <c r="V69" i="34"/>
  <c r="M69" i="2"/>
  <c r="F69" i="34"/>
  <c r="I69" i="34"/>
  <c r="AH70" i="34"/>
  <c r="V70" i="34"/>
  <c r="M70" i="2"/>
  <c r="F70" i="34"/>
  <c r="I70" i="34"/>
  <c r="AH71" i="34"/>
  <c r="V71" i="34"/>
  <c r="M71" i="2"/>
  <c r="F71" i="34"/>
  <c r="I71" i="34"/>
  <c r="AH72" i="34"/>
  <c r="V72" i="34"/>
  <c r="M72" i="2"/>
  <c r="F72" i="34"/>
  <c r="I72" i="34"/>
  <c r="AH73" i="34"/>
  <c r="V73" i="34"/>
  <c r="M73" i="2"/>
  <c r="F73" i="34"/>
  <c r="I73" i="34"/>
  <c r="AH74" i="34"/>
  <c r="V74" i="34"/>
  <c r="M74" i="2"/>
  <c r="F74" i="34"/>
  <c r="I74" i="34"/>
  <c r="AH75" i="34"/>
  <c r="V75" i="34"/>
  <c r="M75" i="2"/>
  <c r="F75" i="34"/>
  <c r="I75" i="34"/>
  <c r="AH76" i="34"/>
  <c r="V76" i="34"/>
  <c r="M76" i="2"/>
  <c r="F76" i="34"/>
  <c r="I76" i="34"/>
  <c r="AH77" i="34"/>
  <c r="V77" i="34"/>
  <c r="M77" i="2"/>
  <c r="F77" i="34"/>
  <c r="I77" i="34"/>
  <c r="AH78" i="34"/>
  <c r="V78" i="34"/>
  <c r="M78" i="2"/>
  <c r="F78" i="34"/>
  <c r="I78" i="34"/>
  <c r="AH79" i="34"/>
  <c r="V79" i="34"/>
  <c r="M79" i="2"/>
  <c r="F79" i="34"/>
  <c r="I79" i="34"/>
  <c r="AH80" i="34"/>
  <c r="V80" i="34"/>
  <c r="M80" i="2"/>
  <c r="F80" i="34"/>
  <c r="I80" i="34"/>
  <c r="AH81" i="34"/>
  <c r="V81" i="34"/>
  <c r="M81" i="2"/>
  <c r="F81" i="34"/>
  <c r="I81" i="34"/>
  <c r="AH82" i="34"/>
  <c r="V82" i="34"/>
  <c r="M82" i="2"/>
  <c r="F82" i="34"/>
  <c r="I82" i="34"/>
  <c r="AH83" i="34"/>
  <c r="V83" i="34"/>
  <c r="M83" i="2"/>
  <c r="F83" i="34"/>
  <c r="I83" i="34"/>
  <c r="AH84" i="34"/>
  <c r="V84" i="34"/>
  <c r="M84" i="2"/>
  <c r="F84" i="34"/>
  <c r="I84" i="34"/>
  <c r="AH85" i="34"/>
  <c r="V85" i="34"/>
  <c r="M85" i="2"/>
  <c r="F85" i="34"/>
  <c r="I85" i="34"/>
  <c r="AH86" i="34"/>
  <c r="V86" i="34"/>
  <c r="M86" i="2"/>
  <c r="F86" i="34"/>
  <c r="I86" i="34"/>
  <c r="AH87" i="34"/>
  <c r="V87" i="34"/>
  <c r="M87" i="2"/>
  <c r="F87" i="34"/>
  <c r="I87" i="34"/>
  <c r="AH88" i="34"/>
  <c r="V88" i="34"/>
  <c r="M88" i="2"/>
  <c r="F88" i="34"/>
  <c r="I88" i="34"/>
  <c r="AH89" i="34"/>
  <c r="V89" i="34"/>
  <c r="M89" i="2"/>
  <c r="F89" i="34"/>
  <c r="I89" i="34"/>
  <c r="AH90" i="34"/>
  <c r="V90" i="34"/>
  <c r="M90" i="2"/>
  <c r="F90" i="34"/>
  <c r="I90" i="34"/>
  <c r="AH91" i="34"/>
  <c r="V91" i="34"/>
  <c r="M91" i="2"/>
  <c r="F91" i="34"/>
  <c r="I91" i="34"/>
  <c r="AH92" i="34"/>
  <c r="V92" i="34"/>
  <c r="M92" i="2"/>
  <c r="F92" i="34"/>
  <c r="I92" i="34"/>
  <c r="AH93" i="34"/>
  <c r="V93" i="34"/>
  <c r="M93" i="2"/>
  <c r="F93" i="34"/>
  <c r="I93" i="34"/>
  <c r="AH94" i="34"/>
  <c r="V94" i="34"/>
  <c r="M94" i="2"/>
  <c r="F94" i="34"/>
  <c r="I94" i="34"/>
  <c r="AH95" i="34"/>
  <c r="E95" i="5"/>
  <c r="C94" i="25"/>
  <c r="B95" i="25"/>
  <c r="Q95" i="25"/>
  <c r="V95" i="34"/>
  <c r="M95" i="2"/>
  <c r="F95" i="34"/>
  <c r="I95" i="34"/>
  <c r="AH96" i="34"/>
  <c r="B96" i="25"/>
  <c r="Q96" i="25"/>
  <c r="V96" i="34"/>
  <c r="M96" i="2"/>
  <c r="F96" i="34"/>
  <c r="I96" i="34"/>
  <c r="AH97" i="34"/>
  <c r="B97" i="25"/>
  <c r="Q97" i="25"/>
  <c r="V97" i="34"/>
  <c r="M97" i="2"/>
  <c r="F97" i="34"/>
  <c r="I97" i="34"/>
  <c r="AH98" i="34"/>
  <c r="B98" i="25"/>
  <c r="Q98" i="25"/>
  <c r="V98" i="34"/>
  <c r="M98" i="2"/>
  <c r="F98" i="34"/>
  <c r="I98" i="34"/>
  <c r="AH99" i="34"/>
  <c r="B99" i="25"/>
  <c r="Q99" i="25"/>
  <c r="V99" i="34"/>
  <c r="M99" i="2"/>
  <c r="F99" i="34"/>
  <c r="I99" i="34"/>
  <c r="AH100" i="34"/>
  <c r="V100" i="34"/>
  <c r="M100" i="2"/>
  <c r="F100" i="34"/>
  <c r="I100" i="34"/>
  <c r="AH101" i="34"/>
  <c r="V101" i="34"/>
  <c r="M101" i="2"/>
  <c r="F101" i="34"/>
  <c r="I101" i="34"/>
  <c r="AH102" i="34"/>
  <c r="V102" i="34"/>
  <c r="M102" i="2"/>
  <c r="F102" i="34"/>
  <c r="I102" i="34"/>
  <c r="AH103" i="34"/>
  <c r="V103" i="34"/>
  <c r="M103" i="2"/>
  <c r="F103" i="34"/>
  <c r="I103" i="34"/>
  <c r="AH104" i="34"/>
  <c r="V104" i="34"/>
  <c r="M104" i="2"/>
  <c r="F104" i="34"/>
  <c r="I104" i="34"/>
  <c r="AH105" i="34"/>
  <c r="I204" i="34"/>
  <c r="G39" i="37"/>
  <c r="B124" i="25"/>
  <c r="D125" i="25"/>
  <c r="E125" i="5"/>
  <c r="C124" i="25"/>
  <c r="F124" i="25"/>
  <c r="E125" i="25"/>
  <c r="G124" i="25"/>
  <c r="H125" i="25"/>
  <c r="I124" i="25"/>
  <c r="J125" i="25"/>
  <c r="B115" i="25"/>
  <c r="B114" i="25"/>
  <c r="D115" i="25"/>
  <c r="E116" i="5"/>
  <c r="C115" i="25"/>
  <c r="F115" i="25"/>
  <c r="E115" i="5"/>
  <c r="C114" i="25"/>
  <c r="F114" i="25"/>
  <c r="E115" i="25"/>
  <c r="G114" i="25"/>
  <c r="H115" i="25"/>
  <c r="I114" i="25"/>
  <c r="J115" i="25"/>
  <c r="B116" i="25"/>
  <c r="D116" i="25"/>
  <c r="E117" i="5"/>
  <c r="C116" i="25"/>
  <c r="F116" i="25"/>
  <c r="E116" i="25"/>
  <c r="G115" i="25"/>
  <c r="H116" i="25"/>
  <c r="I115" i="25"/>
  <c r="J116" i="25"/>
  <c r="B117" i="25"/>
  <c r="D117" i="25"/>
  <c r="E118" i="5"/>
  <c r="C117" i="25"/>
  <c r="F117" i="25"/>
  <c r="E117" i="25"/>
  <c r="G116" i="25"/>
  <c r="H117" i="25"/>
  <c r="I116" i="25"/>
  <c r="J117" i="25"/>
  <c r="B118" i="25"/>
  <c r="D118" i="25"/>
  <c r="E119" i="5"/>
  <c r="C118" i="25"/>
  <c r="F118" i="25"/>
  <c r="E118" i="25"/>
  <c r="G117" i="25"/>
  <c r="H118" i="25"/>
  <c r="I117" i="25"/>
  <c r="J118" i="25"/>
  <c r="B119" i="25"/>
  <c r="D119" i="25"/>
  <c r="E120" i="5"/>
  <c r="C119" i="25"/>
  <c r="F119" i="25"/>
  <c r="E119" i="25"/>
  <c r="G118" i="25"/>
  <c r="H119" i="25"/>
  <c r="I118" i="25"/>
  <c r="J119" i="25"/>
  <c r="B120" i="25"/>
  <c r="D120" i="25"/>
  <c r="E121" i="5"/>
  <c r="C120" i="25"/>
  <c r="F120" i="25"/>
  <c r="E120" i="25"/>
  <c r="G119" i="25"/>
  <c r="H120" i="25"/>
  <c r="I119" i="25"/>
  <c r="J120" i="25"/>
  <c r="B121" i="25"/>
  <c r="D121" i="25"/>
  <c r="E122" i="5"/>
  <c r="C121" i="25"/>
  <c r="F121" i="25"/>
  <c r="E121" i="25"/>
  <c r="G120" i="25"/>
  <c r="H121" i="25"/>
  <c r="I120" i="25"/>
  <c r="J121" i="25"/>
  <c r="B122" i="25"/>
  <c r="D122" i="25"/>
  <c r="E123" i="5"/>
  <c r="C122" i="25"/>
  <c r="F122" i="25"/>
  <c r="E122" i="25"/>
  <c r="G121" i="25"/>
  <c r="H122" i="25"/>
  <c r="I121" i="25"/>
  <c r="J122" i="25"/>
  <c r="B123" i="25"/>
  <c r="D123" i="25"/>
  <c r="E124" i="5"/>
  <c r="C123" i="25"/>
  <c r="F123" i="25"/>
  <c r="E123" i="25"/>
  <c r="G122" i="25"/>
  <c r="H123" i="25"/>
  <c r="I122" i="25"/>
  <c r="J123" i="25"/>
  <c r="D124" i="25"/>
  <c r="E124" i="25"/>
  <c r="G123" i="25"/>
  <c r="H124" i="25"/>
  <c r="I123" i="25"/>
  <c r="J124" i="25"/>
  <c r="E106" i="5"/>
  <c r="C105" i="25"/>
  <c r="F105" i="25"/>
  <c r="E105" i="5"/>
  <c r="C104" i="25"/>
  <c r="F104" i="25"/>
  <c r="E105" i="25"/>
  <c r="G104" i="25"/>
  <c r="H105" i="25"/>
  <c r="I104" i="25"/>
  <c r="J105" i="25"/>
  <c r="E107" i="5"/>
  <c r="C106" i="25"/>
  <c r="F106" i="25"/>
  <c r="E106" i="25"/>
  <c r="G105" i="25"/>
  <c r="H106" i="25"/>
  <c r="I105" i="25"/>
  <c r="J106" i="25"/>
  <c r="E108" i="5"/>
  <c r="C107" i="25"/>
  <c r="F107" i="25"/>
  <c r="E107" i="25"/>
  <c r="G106" i="25"/>
  <c r="H107" i="25"/>
  <c r="I106" i="25"/>
  <c r="J107" i="25"/>
  <c r="E109" i="5"/>
  <c r="C108" i="25"/>
  <c r="F108" i="25"/>
  <c r="E108" i="25"/>
  <c r="G107" i="25"/>
  <c r="H108" i="25"/>
  <c r="I107" i="25"/>
  <c r="J108" i="25"/>
  <c r="E110" i="5"/>
  <c r="C109" i="25"/>
  <c r="F109" i="25"/>
  <c r="E109" i="25"/>
  <c r="G108" i="25"/>
  <c r="H109" i="25"/>
  <c r="I108" i="25"/>
  <c r="J109" i="25"/>
  <c r="E111" i="5"/>
  <c r="C110" i="25"/>
  <c r="F110" i="25"/>
  <c r="E110" i="25"/>
  <c r="G109" i="25"/>
  <c r="H110" i="25"/>
  <c r="I109" i="25"/>
  <c r="J110" i="25"/>
  <c r="E112" i="5"/>
  <c r="C111" i="25"/>
  <c r="F111" i="25"/>
  <c r="E111" i="25"/>
  <c r="G110" i="25"/>
  <c r="H111" i="25"/>
  <c r="I110" i="25"/>
  <c r="J111" i="25"/>
  <c r="E113" i="5"/>
  <c r="C112" i="25"/>
  <c r="F112" i="25"/>
  <c r="E112" i="25"/>
  <c r="G111" i="25"/>
  <c r="H112" i="25"/>
  <c r="I111" i="25"/>
  <c r="J112" i="25"/>
  <c r="E114" i="5"/>
  <c r="C113" i="25"/>
  <c r="F113" i="25"/>
  <c r="E113" i="25"/>
  <c r="G112" i="25"/>
  <c r="H113" i="25"/>
  <c r="I112" i="25"/>
  <c r="J113" i="25"/>
  <c r="D114" i="25"/>
  <c r="E114" i="25"/>
  <c r="G113" i="25"/>
  <c r="H114" i="25"/>
  <c r="I113" i="25"/>
  <c r="J114" i="25"/>
  <c r="D95" i="25"/>
  <c r="E96" i="5"/>
  <c r="C95" i="25"/>
  <c r="F95" i="25"/>
  <c r="F94" i="25"/>
  <c r="E95" i="25"/>
  <c r="G94" i="25"/>
  <c r="H95" i="25"/>
  <c r="I94" i="25"/>
  <c r="J95" i="25"/>
  <c r="D96" i="25"/>
  <c r="E97" i="5"/>
  <c r="C96" i="25"/>
  <c r="F96" i="25"/>
  <c r="E96" i="25"/>
  <c r="G95" i="25"/>
  <c r="H96" i="25"/>
  <c r="I95" i="25"/>
  <c r="J96" i="25"/>
  <c r="D97" i="25"/>
  <c r="E98" i="5"/>
  <c r="C97" i="25"/>
  <c r="F97" i="25"/>
  <c r="E97" i="25"/>
  <c r="G96" i="25"/>
  <c r="H97" i="25"/>
  <c r="I96" i="25"/>
  <c r="J97" i="25"/>
  <c r="D98" i="25"/>
  <c r="E99" i="5"/>
  <c r="C98" i="25"/>
  <c r="F98" i="25"/>
  <c r="E98" i="25"/>
  <c r="G97" i="25"/>
  <c r="H98" i="25"/>
  <c r="I97" i="25"/>
  <c r="J98" i="25"/>
  <c r="D99" i="25"/>
  <c r="E100" i="5"/>
  <c r="C99" i="25"/>
  <c r="F99" i="25"/>
  <c r="E99" i="25"/>
  <c r="G98" i="25"/>
  <c r="H99" i="25"/>
  <c r="I98" i="25"/>
  <c r="J99" i="25"/>
  <c r="D100" i="25"/>
  <c r="E101" i="5"/>
  <c r="C100" i="25"/>
  <c r="F100" i="25"/>
  <c r="E100" i="25"/>
  <c r="G99" i="25"/>
  <c r="H100" i="25"/>
  <c r="I99" i="25"/>
  <c r="J100" i="25"/>
  <c r="E102" i="5"/>
  <c r="C101" i="25"/>
  <c r="F101" i="25"/>
  <c r="E101" i="25"/>
  <c r="G100" i="25"/>
  <c r="H101" i="25"/>
  <c r="I100" i="25"/>
  <c r="J101" i="25"/>
  <c r="E103" i="5"/>
  <c r="C102" i="25"/>
  <c r="F102" i="25"/>
  <c r="E102" i="25"/>
  <c r="G101" i="25"/>
  <c r="H102" i="25"/>
  <c r="I101" i="25"/>
  <c r="J102" i="25"/>
  <c r="E104" i="5"/>
  <c r="C103" i="25"/>
  <c r="F103" i="25"/>
  <c r="E103" i="25"/>
  <c r="G102" i="25"/>
  <c r="H103" i="25"/>
  <c r="I102" i="25"/>
  <c r="J103" i="25"/>
  <c r="E104" i="25"/>
  <c r="G103" i="25"/>
  <c r="H104" i="25"/>
  <c r="I103" i="25"/>
  <c r="J104" i="25"/>
  <c r="E86" i="5"/>
  <c r="C85" i="25"/>
  <c r="F85" i="25"/>
  <c r="E85" i="5"/>
  <c r="C84" i="25"/>
  <c r="F84" i="25"/>
  <c r="E85" i="25"/>
  <c r="G84" i="25"/>
  <c r="H85" i="25"/>
  <c r="I84" i="25"/>
  <c r="J85" i="25"/>
  <c r="E87" i="5"/>
  <c r="C86" i="25"/>
  <c r="F86" i="25"/>
  <c r="E86" i="25"/>
  <c r="G85" i="25"/>
  <c r="H86" i="25"/>
  <c r="I85" i="25"/>
  <c r="J86" i="25"/>
  <c r="E88" i="5"/>
  <c r="C87" i="25"/>
  <c r="F87" i="25"/>
  <c r="E87" i="25"/>
  <c r="G86" i="25"/>
  <c r="H87" i="25"/>
  <c r="I86" i="25"/>
  <c r="J87" i="25"/>
  <c r="E89" i="5"/>
  <c r="C88" i="25"/>
  <c r="F88" i="25"/>
  <c r="E88" i="25"/>
  <c r="G87" i="25"/>
  <c r="H88" i="25"/>
  <c r="I87" i="25"/>
  <c r="J88" i="25"/>
  <c r="E90" i="5"/>
  <c r="C89" i="25"/>
  <c r="F89" i="25"/>
  <c r="E89" i="25"/>
  <c r="G88" i="25"/>
  <c r="H89" i="25"/>
  <c r="I88" i="25"/>
  <c r="J89" i="25"/>
  <c r="E91" i="5"/>
  <c r="C90" i="25"/>
  <c r="F90" i="25"/>
  <c r="E90" i="25"/>
  <c r="G89" i="25"/>
  <c r="H90" i="25"/>
  <c r="I89" i="25"/>
  <c r="J90" i="25"/>
  <c r="E92" i="5"/>
  <c r="C91" i="25"/>
  <c r="F91" i="25"/>
  <c r="E91" i="25"/>
  <c r="G90" i="25"/>
  <c r="H91" i="25"/>
  <c r="I90" i="25"/>
  <c r="J91" i="25"/>
  <c r="E93" i="5"/>
  <c r="C92" i="25"/>
  <c r="F92" i="25"/>
  <c r="E92" i="25"/>
  <c r="G91" i="25"/>
  <c r="H92" i="25"/>
  <c r="I91" i="25"/>
  <c r="J92" i="25"/>
  <c r="E94" i="5"/>
  <c r="C93" i="25"/>
  <c r="F93" i="25"/>
  <c r="E93" i="25"/>
  <c r="G92" i="25"/>
  <c r="H93" i="25"/>
  <c r="I92" i="25"/>
  <c r="J93" i="25"/>
  <c r="E94" i="25"/>
  <c r="G93" i="25"/>
  <c r="H94" i="25"/>
  <c r="I93" i="25"/>
  <c r="J94" i="25"/>
  <c r="J75" i="25"/>
  <c r="B76" i="25"/>
  <c r="B75" i="25"/>
  <c r="D76" i="25"/>
  <c r="E77" i="5"/>
  <c r="C76" i="25"/>
  <c r="F76" i="25"/>
  <c r="E76" i="5"/>
  <c r="C75" i="25"/>
  <c r="F75" i="25"/>
  <c r="E76" i="25"/>
  <c r="G75" i="25"/>
  <c r="H76" i="25"/>
  <c r="I75" i="25"/>
  <c r="J76" i="25"/>
  <c r="B77" i="25"/>
  <c r="D77" i="25"/>
  <c r="E78" i="5"/>
  <c r="C77" i="25"/>
  <c r="F77" i="25"/>
  <c r="E77" i="25"/>
  <c r="G76" i="25"/>
  <c r="H77" i="25"/>
  <c r="I76" i="25"/>
  <c r="J77" i="25"/>
  <c r="B78" i="25"/>
  <c r="D78" i="25"/>
  <c r="E79" i="5"/>
  <c r="C78" i="25"/>
  <c r="F78" i="25"/>
  <c r="E78" i="25"/>
  <c r="G77" i="25"/>
  <c r="H78" i="25"/>
  <c r="I77" i="25"/>
  <c r="J78" i="25"/>
  <c r="B79" i="25"/>
  <c r="D79" i="25"/>
  <c r="E80" i="5"/>
  <c r="C79" i="25"/>
  <c r="F79" i="25"/>
  <c r="E79" i="25"/>
  <c r="G78" i="25"/>
  <c r="H79" i="25"/>
  <c r="I78" i="25"/>
  <c r="J79" i="25"/>
  <c r="B80" i="25"/>
  <c r="D80" i="25"/>
  <c r="E81" i="5"/>
  <c r="C80" i="25"/>
  <c r="F80" i="25"/>
  <c r="E80" i="25"/>
  <c r="G79" i="25"/>
  <c r="H80" i="25"/>
  <c r="I79" i="25"/>
  <c r="J80" i="25"/>
  <c r="B81" i="25"/>
  <c r="D81" i="25"/>
  <c r="E82" i="5"/>
  <c r="C81" i="25"/>
  <c r="F81" i="25"/>
  <c r="E81" i="25"/>
  <c r="G80" i="25"/>
  <c r="H81" i="25"/>
  <c r="I80" i="25"/>
  <c r="J81" i="25"/>
  <c r="B82" i="25"/>
  <c r="D82" i="25"/>
  <c r="E83" i="5"/>
  <c r="C82" i="25"/>
  <c r="F82" i="25"/>
  <c r="E82" i="25"/>
  <c r="G81" i="25"/>
  <c r="H82" i="25"/>
  <c r="I81" i="25"/>
  <c r="J82" i="25"/>
  <c r="D83" i="25"/>
  <c r="E84" i="5"/>
  <c r="C83" i="25"/>
  <c r="F83" i="25"/>
  <c r="E83" i="25"/>
  <c r="G82" i="25"/>
  <c r="H83" i="25"/>
  <c r="I82" i="25"/>
  <c r="J83" i="25"/>
  <c r="E84" i="25"/>
  <c r="G83" i="25"/>
  <c r="H84" i="25"/>
  <c r="I83" i="25"/>
  <c r="J84" i="25"/>
  <c r="J68" i="25"/>
  <c r="J40" i="25"/>
  <c r="J30" i="25"/>
  <c r="M165" i="2"/>
  <c r="F165" i="34"/>
  <c r="E165" i="34"/>
  <c r="I164" i="34"/>
  <c r="J165" i="34"/>
  <c r="E155" i="34"/>
  <c r="I154" i="34"/>
  <c r="J155" i="34"/>
  <c r="E156" i="34"/>
  <c r="I155" i="34"/>
  <c r="J156" i="34"/>
  <c r="E157" i="34"/>
  <c r="I156" i="34"/>
  <c r="J157" i="34"/>
  <c r="E158" i="34"/>
  <c r="I157" i="34"/>
  <c r="J158" i="34"/>
  <c r="E159" i="34"/>
  <c r="I158" i="34"/>
  <c r="J159" i="34"/>
  <c r="E160" i="34"/>
  <c r="I159" i="34"/>
  <c r="J160" i="34"/>
  <c r="E161" i="34"/>
  <c r="I160" i="34"/>
  <c r="J161" i="34"/>
  <c r="E162" i="34"/>
  <c r="I161" i="34"/>
  <c r="J162" i="34"/>
  <c r="E163" i="34"/>
  <c r="I162" i="34"/>
  <c r="J163" i="34"/>
  <c r="E164" i="34"/>
  <c r="I163" i="34"/>
  <c r="J164" i="34"/>
  <c r="E145" i="34"/>
  <c r="I144" i="34"/>
  <c r="J145" i="34"/>
  <c r="E146" i="34"/>
  <c r="I145" i="34"/>
  <c r="J146" i="34"/>
  <c r="E147" i="34"/>
  <c r="I146" i="34"/>
  <c r="J147" i="34"/>
  <c r="E148" i="34"/>
  <c r="I147" i="34"/>
  <c r="J148" i="34"/>
  <c r="E149" i="34"/>
  <c r="I148" i="34"/>
  <c r="J149" i="34"/>
  <c r="E150" i="34"/>
  <c r="I149" i="34"/>
  <c r="J150" i="34"/>
  <c r="E151" i="34"/>
  <c r="I150" i="34"/>
  <c r="J151" i="34"/>
  <c r="E152" i="34"/>
  <c r="I151" i="34"/>
  <c r="J152" i="34"/>
  <c r="E153" i="34"/>
  <c r="I152" i="34"/>
  <c r="J153" i="34"/>
  <c r="E154" i="34"/>
  <c r="I153" i="34"/>
  <c r="J154" i="34"/>
  <c r="E135" i="34"/>
  <c r="I134" i="34"/>
  <c r="J135" i="34"/>
  <c r="E136" i="34"/>
  <c r="I135" i="34"/>
  <c r="J136" i="34"/>
  <c r="E137" i="34"/>
  <c r="I136" i="34"/>
  <c r="J137" i="34"/>
  <c r="E138" i="34"/>
  <c r="I137" i="34"/>
  <c r="J138" i="34"/>
  <c r="E139" i="34"/>
  <c r="I138" i="34"/>
  <c r="J139" i="34"/>
  <c r="E140" i="34"/>
  <c r="I139" i="34"/>
  <c r="J140" i="34"/>
  <c r="E141" i="34"/>
  <c r="I140" i="34"/>
  <c r="J141" i="34"/>
  <c r="E142" i="34"/>
  <c r="I141" i="34"/>
  <c r="J142" i="34"/>
  <c r="E143" i="34"/>
  <c r="I142" i="34"/>
  <c r="J143" i="34"/>
  <c r="E144" i="34"/>
  <c r="I143" i="34"/>
  <c r="J144" i="34"/>
  <c r="M124" i="2"/>
  <c r="F124" i="34"/>
  <c r="B124" i="34"/>
  <c r="D125" i="34"/>
  <c r="E125" i="34"/>
  <c r="G124" i="34"/>
  <c r="H125" i="34"/>
  <c r="V124" i="34"/>
  <c r="I124" i="34"/>
  <c r="J125" i="34"/>
  <c r="E126" i="34"/>
  <c r="I125" i="34"/>
  <c r="J126" i="34"/>
  <c r="E127" i="34"/>
  <c r="I126" i="34"/>
  <c r="J127" i="34"/>
  <c r="E128" i="34"/>
  <c r="I127" i="34"/>
  <c r="J128" i="34"/>
  <c r="E129" i="34"/>
  <c r="I128" i="34"/>
  <c r="J129" i="34"/>
  <c r="E130" i="34"/>
  <c r="I129" i="34"/>
  <c r="J130" i="34"/>
  <c r="E131" i="34"/>
  <c r="I130" i="34"/>
  <c r="J131" i="34"/>
  <c r="E132" i="34"/>
  <c r="I131" i="34"/>
  <c r="J132" i="34"/>
  <c r="E133" i="34"/>
  <c r="I132" i="34"/>
  <c r="J133" i="34"/>
  <c r="E134" i="34"/>
  <c r="I133" i="34"/>
  <c r="J134" i="34"/>
  <c r="M115" i="2"/>
  <c r="F115" i="34"/>
  <c r="M114" i="2"/>
  <c r="F114" i="34"/>
  <c r="B115" i="34"/>
  <c r="B114" i="34"/>
  <c r="D115" i="34"/>
  <c r="E115" i="34"/>
  <c r="G114" i="34"/>
  <c r="H115" i="34"/>
  <c r="V114" i="34"/>
  <c r="I114" i="34"/>
  <c r="J115" i="34"/>
  <c r="M116" i="2"/>
  <c r="F116" i="34"/>
  <c r="B116" i="34"/>
  <c r="D116" i="34"/>
  <c r="E116" i="34"/>
  <c r="G115" i="34"/>
  <c r="H116" i="34"/>
  <c r="V115" i="34"/>
  <c r="I115" i="34"/>
  <c r="J116" i="34"/>
  <c r="M117" i="2"/>
  <c r="F117" i="34"/>
  <c r="B117" i="34"/>
  <c r="D117" i="34"/>
  <c r="E117" i="34"/>
  <c r="G116" i="34"/>
  <c r="H117" i="34"/>
  <c r="V116" i="34"/>
  <c r="I116" i="34"/>
  <c r="J117" i="34"/>
  <c r="M118" i="2"/>
  <c r="F118" i="34"/>
  <c r="B118" i="34"/>
  <c r="D118" i="34"/>
  <c r="E118" i="34"/>
  <c r="G117" i="34"/>
  <c r="H118" i="34"/>
  <c r="V117" i="34"/>
  <c r="I117" i="34"/>
  <c r="J118" i="34"/>
  <c r="M119" i="2"/>
  <c r="F119" i="34"/>
  <c r="B119" i="34"/>
  <c r="D119" i="34"/>
  <c r="E119" i="34"/>
  <c r="G118" i="34"/>
  <c r="H119" i="34"/>
  <c r="V118" i="34"/>
  <c r="I118" i="34"/>
  <c r="J119" i="34"/>
  <c r="M120" i="2"/>
  <c r="F120" i="34"/>
  <c r="B120" i="34"/>
  <c r="D120" i="34"/>
  <c r="E120" i="34"/>
  <c r="G119" i="34"/>
  <c r="H120" i="34"/>
  <c r="V119" i="34"/>
  <c r="I119" i="34"/>
  <c r="J120" i="34"/>
  <c r="M121" i="2"/>
  <c r="F121" i="34"/>
  <c r="B121" i="34"/>
  <c r="D121" i="34"/>
  <c r="E121" i="34"/>
  <c r="G120" i="34"/>
  <c r="H121" i="34"/>
  <c r="V120" i="34"/>
  <c r="I120" i="34"/>
  <c r="J121" i="34"/>
  <c r="M122" i="2"/>
  <c r="F122" i="34"/>
  <c r="B122" i="34"/>
  <c r="D122" i="34"/>
  <c r="E122" i="34"/>
  <c r="G121" i="34"/>
  <c r="H122" i="34"/>
  <c r="V121" i="34"/>
  <c r="I121" i="34"/>
  <c r="J122" i="34"/>
  <c r="M123" i="2"/>
  <c r="F123" i="34"/>
  <c r="B123" i="34"/>
  <c r="D123" i="34"/>
  <c r="E123" i="34"/>
  <c r="G122" i="34"/>
  <c r="H123" i="34"/>
  <c r="V122" i="34"/>
  <c r="I122" i="34"/>
  <c r="J123" i="34"/>
  <c r="D124" i="34"/>
  <c r="E124" i="34"/>
  <c r="G123" i="34"/>
  <c r="H124" i="34"/>
  <c r="V123" i="34"/>
  <c r="I123" i="34"/>
  <c r="J124" i="34"/>
  <c r="M105" i="2"/>
  <c r="F105" i="34"/>
  <c r="B105" i="34"/>
  <c r="B104" i="34"/>
  <c r="D105" i="34"/>
  <c r="E105" i="34"/>
  <c r="G104" i="34"/>
  <c r="H105" i="34"/>
  <c r="J105" i="34"/>
  <c r="M106" i="2"/>
  <c r="F106" i="34"/>
  <c r="B106" i="34"/>
  <c r="D106" i="34"/>
  <c r="E106" i="34"/>
  <c r="G105" i="34"/>
  <c r="H106" i="34"/>
  <c r="V105" i="34"/>
  <c r="I105" i="34"/>
  <c r="J106" i="34"/>
  <c r="M107" i="2"/>
  <c r="F107" i="34"/>
  <c r="B107" i="34"/>
  <c r="D107" i="34"/>
  <c r="E107" i="34"/>
  <c r="G106" i="34"/>
  <c r="H107" i="34"/>
  <c r="V106" i="34"/>
  <c r="I106" i="34"/>
  <c r="J107" i="34"/>
  <c r="M108" i="2"/>
  <c r="F108" i="34"/>
  <c r="B108" i="34"/>
  <c r="D108" i="34"/>
  <c r="E108" i="34"/>
  <c r="G107" i="34"/>
  <c r="H108" i="34"/>
  <c r="V107" i="34"/>
  <c r="I107" i="34"/>
  <c r="J108" i="34"/>
  <c r="M109" i="2"/>
  <c r="F109" i="34"/>
  <c r="B109" i="34"/>
  <c r="D109" i="34"/>
  <c r="E109" i="34"/>
  <c r="G108" i="34"/>
  <c r="H109" i="34"/>
  <c r="V108" i="34"/>
  <c r="I108" i="34"/>
  <c r="J109" i="34"/>
  <c r="M110" i="2"/>
  <c r="F110" i="34"/>
  <c r="B110" i="34"/>
  <c r="D110" i="34"/>
  <c r="E110" i="34"/>
  <c r="G109" i="34"/>
  <c r="H110" i="34"/>
  <c r="V109" i="34"/>
  <c r="I109" i="34"/>
  <c r="J110" i="34"/>
  <c r="M111" i="2"/>
  <c r="F111" i="34"/>
  <c r="B111" i="34"/>
  <c r="D111" i="34"/>
  <c r="E111" i="34"/>
  <c r="G110" i="34"/>
  <c r="H111" i="34"/>
  <c r="V110" i="34"/>
  <c r="I110" i="34"/>
  <c r="J111" i="34"/>
  <c r="M112" i="2"/>
  <c r="F112" i="34"/>
  <c r="B112" i="34"/>
  <c r="D112" i="34"/>
  <c r="E112" i="34"/>
  <c r="G111" i="34"/>
  <c r="H112" i="34"/>
  <c r="V111" i="34"/>
  <c r="I111" i="34"/>
  <c r="J112" i="34"/>
  <c r="M113" i="2"/>
  <c r="F113" i="34"/>
  <c r="B113" i="34"/>
  <c r="D113" i="34"/>
  <c r="E113" i="34"/>
  <c r="G112" i="34"/>
  <c r="H113" i="34"/>
  <c r="V112" i="34"/>
  <c r="I112" i="34"/>
  <c r="J113" i="34"/>
  <c r="D114" i="34"/>
  <c r="E114" i="34"/>
  <c r="G113" i="34"/>
  <c r="H114" i="34"/>
  <c r="V113" i="34"/>
  <c r="I113" i="34"/>
  <c r="J114" i="34"/>
  <c r="B95" i="34"/>
  <c r="B94" i="34"/>
  <c r="D95" i="34"/>
  <c r="E95" i="34"/>
  <c r="G94" i="34"/>
  <c r="H95" i="34"/>
  <c r="J95" i="34"/>
  <c r="B96" i="34"/>
  <c r="D96" i="34"/>
  <c r="E96" i="34"/>
  <c r="G95" i="34"/>
  <c r="H96" i="34"/>
  <c r="J96" i="34"/>
  <c r="B97" i="34"/>
  <c r="D97" i="34"/>
  <c r="E97" i="34"/>
  <c r="G96" i="34"/>
  <c r="H97" i="34"/>
  <c r="J97" i="34"/>
  <c r="B98" i="34"/>
  <c r="D98" i="34"/>
  <c r="E98" i="34"/>
  <c r="G97" i="34"/>
  <c r="H98" i="34"/>
  <c r="J98" i="34"/>
  <c r="B99" i="34"/>
  <c r="D99" i="34"/>
  <c r="E99" i="34"/>
  <c r="G98" i="34"/>
  <c r="H99" i="34"/>
  <c r="J99" i="34"/>
  <c r="B100" i="34"/>
  <c r="D100" i="34"/>
  <c r="E100" i="34"/>
  <c r="G99" i="34"/>
  <c r="H100" i="34"/>
  <c r="J100" i="34"/>
  <c r="B101" i="34"/>
  <c r="D101" i="34"/>
  <c r="E101" i="34"/>
  <c r="G100" i="34"/>
  <c r="H101" i="34"/>
  <c r="J101" i="34"/>
  <c r="B102" i="34"/>
  <c r="D102" i="34"/>
  <c r="E102" i="34"/>
  <c r="G101" i="34"/>
  <c r="H102" i="34"/>
  <c r="J102" i="34"/>
  <c r="B103" i="34"/>
  <c r="D103" i="34"/>
  <c r="E103" i="34"/>
  <c r="G102" i="34"/>
  <c r="H103" i="34"/>
  <c r="J103" i="34"/>
  <c r="D104" i="34"/>
  <c r="E104" i="34"/>
  <c r="G103" i="34"/>
  <c r="H104" i="34"/>
  <c r="J104" i="34"/>
  <c r="B85" i="34"/>
  <c r="B84" i="34"/>
  <c r="D85" i="34"/>
  <c r="E85" i="34"/>
  <c r="G84" i="34"/>
  <c r="H85" i="34"/>
  <c r="J85" i="34"/>
  <c r="B86" i="34"/>
  <c r="D86" i="34"/>
  <c r="E86" i="34"/>
  <c r="G85" i="34"/>
  <c r="H86" i="34"/>
  <c r="J86" i="34"/>
  <c r="B87" i="34"/>
  <c r="D87" i="34"/>
  <c r="E87" i="34"/>
  <c r="G86" i="34"/>
  <c r="H87" i="34"/>
  <c r="J87" i="34"/>
  <c r="B88" i="34"/>
  <c r="D88" i="34"/>
  <c r="E88" i="34"/>
  <c r="G87" i="34"/>
  <c r="H88" i="34"/>
  <c r="J88" i="34"/>
  <c r="B89" i="34"/>
  <c r="D89" i="34"/>
  <c r="E89" i="34"/>
  <c r="G88" i="34"/>
  <c r="H89" i="34"/>
  <c r="J89" i="34"/>
  <c r="B90" i="34"/>
  <c r="D90" i="34"/>
  <c r="E90" i="34"/>
  <c r="G89" i="34"/>
  <c r="H90" i="34"/>
  <c r="J90" i="34"/>
  <c r="B91" i="34"/>
  <c r="D91" i="34"/>
  <c r="E91" i="34"/>
  <c r="G90" i="34"/>
  <c r="H91" i="34"/>
  <c r="J91" i="34"/>
  <c r="B92" i="34"/>
  <c r="D92" i="34"/>
  <c r="E92" i="34"/>
  <c r="G91" i="34"/>
  <c r="H92" i="34"/>
  <c r="J92" i="34"/>
  <c r="B93" i="34"/>
  <c r="D93" i="34"/>
  <c r="E93" i="34"/>
  <c r="G92" i="34"/>
  <c r="H93" i="34"/>
  <c r="J93" i="34"/>
  <c r="D94" i="34"/>
  <c r="E94" i="34"/>
  <c r="G93" i="34"/>
  <c r="H94" i="34"/>
  <c r="J94" i="34"/>
  <c r="B75" i="34"/>
  <c r="B74" i="34"/>
  <c r="D75" i="34"/>
  <c r="E75" i="34"/>
  <c r="G74" i="34"/>
  <c r="H75" i="34"/>
  <c r="J75" i="34"/>
  <c r="B76" i="34"/>
  <c r="D76" i="34"/>
  <c r="E76" i="34"/>
  <c r="G75" i="34"/>
  <c r="H76" i="34"/>
  <c r="J76" i="34"/>
  <c r="B77" i="34"/>
  <c r="D77" i="34"/>
  <c r="E77" i="34"/>
  <c r="G76" i="34"/>
  <c r="H77" i="34"/>
  <c r="J77" i="34"/>
  <c r="B78" i="34"/>
  <c r="D78" i="34"/>
  <c r="E78" i="34"/>
  <c r="G77" i="34"/>
  <c r="H78" i="34"/>
  <c r="J78" i="34"/>
  <c r="B79" i="34"/>
  <c r="D79" i="34"/>
  <c r="E79" i="34"/>
  <c r="G78" i="34"/>
  <c r="H79" i="34"/>
  <c r="J79" i="34"/>
  <c r="B80" i="34"/>
  <c r="D80" i="34"/>
  <c r="E80" i="34"/>
  <c r="G79" i="34"/>
  <c r="H80" i="34"/>
  <c r="J80" i="34"/>
  <c r="B81" i="34"/>
  <c r="D81" i="34"/>
  <c r="E81" i="34"/>
  <c r="G80" i="34"/>
  <c r="H81" i="34"/>
  <c r="J81" i="34"/>
  <c r="B82" i="34"/>
  <c r="D82" i="34"/>
  <c r="E82" i="34"/>
  <c r="G81" i="34"/>
  <c r="H82" i="34"/>
  <c r="J82" i="34"/>
  <c r="B83" i="34"/>
  <c r="D83" i="34"/>
  <c r="E83" i="34"/>
  <c r="G82" i="34"/>
  <c r="H83" i="34"/>
  <c r="J83" i="34"/>
  <c r="D84" i="34"/>
  <c r="E84" i="34"/>
  <c r="G83" i="34"/>
  <c r="H84" i="34"/>
  <c r="J84" i="34"/>
  <c r="M64" i="2"/>
  <c r="F64" i="34"/>
  <c r="B65" i="34"/>
  <c r="B64" i="34"/>
  <c r="D65" i="34"/>
  <c r="E65" i="34"/>
  <c r="G64" i="34"/>
  <c r="H65" i="34"/>
  <c r="V64" i="34"/>
  <c r="I64" i="34"/>
  <c r="J65" i="34"/>
  <c r="B66" i="34"/>
  <c r="D66" i="34"/>
  <c r="E66" i="34"/>
  <c r="G65" i="34"/>
  <c r="H66" i="34"/>
  <c r="J66" i="34"/>
  <c r="B67" i="34"/>
  <c r="D67" i="34"/>
  <c r="E67" i="34"/>
  <c r="G66" i="34"/>
  <c r="H67" i="34"/>
  <c r="J67" i="34"/>
  <c r="B68" i="34"/>
  <c r="D68" i="34"/>
  <c r="E68" i="34"/>
  <c r="G67" i="34"/>
  <c r="H68" i="34"/>
  <c r="J68" i="34"/>
  <c r="B69" i="34"/>
  <c r="D69" i="34"/>
  <c r="E69" i="34"/>
  <c r="G68" i="34"/>
  <c r="H69" i="34"/>
  <c r="J69" i="34"/>
  <c r="B70" i="34"/>
  <c r="D70" i="34"/>
  <c r="E70" i="34"/>
  <c r="G69" i="34"/>
  <c r="H70" i="34"/>
  <c r="J70" i="34"/>
  <c r="B71" i="34"/>
  <c r="D71" i="34"/>
  <c r="E71" i="34"/>
  <c r="G70" i="34"/>
  <c r="H71" i="34"/>
  <c r="J71" i="34"/>
  <c r="B72" i="34"/>
  <c r="D72" i="34"/>
  <c r="E72" i="34"/>
  <c r="G71" i="34"/>
  <c r="H72" i="34"/>
  <c r="J72" i="34"/>
  <c r="B73" i="34"/>
  <c r="D73" i="34"/>
  <c r="E73" i="34"/>
  <c r="G72" i="34"/>
  <c r="H73" i="34"/>
  <c r="J73" i="34"/>
  <c r="D74" i="34"/>
  <c r="E74" i="34"/>
  <c r="G73" i="34"/>
  <c r="H74" i="34"/>
  <c r="J74" i="34"/>
  <c r="M55" i="2"/>
  <c r="F55" i="34"/>
  <c r="M54" i="2"/>
  <c r="F54" i="34"/>
  <c r="B55" i="34"/>
  <c r="B54" i="34"/>
  <c r="D55" i="34"/>
  <c r="E55" i="34"/>
  <c r="G54" i="34"/>
  <c r="H55" i="34"/>
  <c r="V54" i="34"/>
  <c r="I54" i="34"/>
  <c r="J55" i="34"/>
  <c r="M56" i="2"/>
  <c r="F56" i="34"/>
  <c r="B56" i="34"/>
  <c r="D56" i="34"/>
  <c r="E56" i="34"/>
  <c r="G55" i="34"/>
  <c r="H56" i="34"/>
  <c r="V55" i="34"/>
  <c r="I55" i="34"/>
  <c r="J56" i="34"/>
  <c r="M57" i="2"/>
  <c r="F57" i="34"/>
  <c r="B57" i="34"/>
  <c r="D57" i="34"/>
  <c r="E57" i="34"/>
  <c r="G56" i="34"/>
  <c r="H57" i="34"/>
  <c r="V56" i="34"/>
  <c r="I56" i="34"/>
  <c r="J57" i="34"/>
  <c r="M58" i="2"/>
  <c r="F58" i="34"/>
  <c r="B58" i="34"/>
  <c r="D58" i="34"/>
  <c r="E58" i="34"/>
  <c r="G57" i="34"/>
  <c r="H58" i="34"/>
  <c r="V57" i="34"/>
  <c r="I57" i="34"/>
  <c r="J58" i="34"/>
  <c r="M59" i="2"/>
  <c r="F59" i="34"/>
  <c r="B59" i="34"/>
  <c r="D59" i="34"/>
  <c r="E59" i="34"/>
  <c r="G58" i="34"/>
  <c r="H59" i="34"/>
  <c r="V58" i="34"/>
  <c r="I58" i="34"/>
  <c r="J59" i="34"/>
  <c r="M60" i="2"/>
  <c r="F60" i="34"/>
  <c r="B60" i="34"/>
  <c r="D60" i="34"/>
  <c r="E60" i="34"/>
  <c r="G59" i="34"/>
  <c r="H60" i="34"/>
  <c r="V59" i="34"/>
  <c r="I59" i="34"/>
  <c r="J60" i="34"/>
  <c r="M61" i="2"/>
  <c r="F61" i="34"/>
  <c r="B61" i="34"/>
  <c r="D61" i="34"/>
  <c r="E61" i="34"/>
  <c r="G60" i="34"/>
  <c r="H61" i="34"/>
  <c r="V60" i="34"/>
  <c r="I60" i="34"/>
  <c r="J61" i="34"/>
  <c r="M62" i="2"/>
  <c r="F62" i="34"/>
  <c r="B62" i="34"/>
  <c r="D62" i="34"/>
  <c r="E62" i="34"/>
  <c r="G61" i="34"/>
  <c r="H62" i="34"/>
  <c r="V61" i="34"/>
  <c r="I61" i="34"/>
  <c r="J62" i="34"/>
  <c r="M63" i="2"/>
  <c r="F63" i="34"/>
  <c r="B63" i="34"/>
  <c r="D63" i="34"/>
  <c r="E63" i="34"/>
  <c r="G62" i="34"/>
  <c r="H63" i="34"/>
  <c r="V62" i="34"/>
  <c r="I62" i="34"/>
  <c r="J63" i="34"/>
  <c r="D64" i="34"/>
  <c r="E64" i="34"/>
  <c r="G63" i="34"/>
  <c r="H64" i="34"/>
  <c r="V63" i="34"/>
  <c r="I63" i="34"/>
  <c r="J64" i="34"/>
  <c r="M45" i="2"/>
  <c r="F45" i="34"/>
  <c r="M44" i="2"/>
  <c r="F44" i="34"/>
  <c r="B45" i="34"/>
  <c r="B44" i="34"/>
  <c r="D45" i="34"/>
  <c r="E45" i="34"/>
  <c r="G44" i="34"/>
  <c r="H45" i="34"/>
  <c r="V44" i="34"/>
  <c r="I44" i="34"/>
  <c r="J45" i="34"/>
  <c r="M46" i="2"/>
  <c r="F46" i="34"/>
  <c r="B46" i="34"/>
  <c r="D46" i="34"/>
  <c r="E46" i="34"/>
  <c r="G45" i="34"/>
  <c r="H46" i="34"/>
  <c r="V45" i="34"/>
  <c r="I45" i="34"/>
  <c r="J46" i="34"/>
  <c r="M47" i="2"/>
  <c r="F47" i="34"/>
  <c r="B47" i="34"/>
  <c r="D47" i="34"/>
  <c r="E47" i="34"/>
  <c r="G46" i="34"/>
  <c r="H47" i="34"/>
  <c r="V46" i="34"/>
  <c r="I46" i="34"/>
  <c r="J47" i="34"/>
  <c r="M48" i="2"/>
  <c r="F48" i="34"/>
  <c r="B48" i="34"/>
  <c r="D48" i="34"/>
  <c r="E48" i="34"/>
  <c r="G47" i="34"/>
  <c r="H48" i="34"/>
  <c r="V47" i="34"/>
  <c r="I47" i="34"/>
  <c r="J48" i="34"/>
  <c r="M49" i="2"/>
  <c r="F49" i="34"/>
  <c r="B49" i="34"/>
  <c r="D49" i="34"/>
  <c r="E49" i="34"/>
  <c r="G48" i="34"/>
  <c r="H49" i="34"/>
  <c r="V48" i="34"/>
  <c r="I48" i="34"/>
  <c r="J49" i="34"/>
  <c r="M50" i="2"/>
  <c r="F50" i="34"/>
  <c r="B50" i="34"/>
  <c r="D50" i="34"/>
  <c r="E50" i="34"/>
  <c r="G49" i="34"/>
  <c r="H50" i="34"/>
  <c r="V49" i="34"/>
  <c r="I49" i="34"/>
  <c r="J50" i="34"/>
  <c r="M51" i="2"/>
  <c r="F51" i="34"/>
  <c r="B51" i="34"/>
  <c r="D51" i="34"/>
  <c r="E51" i="34"/>
  <c r="G50" i="34"/>
  <c r="H51" i="34"/>
  <c r="V50" i="34"/>
  <c r="I50" i="34"/>
  <c r="J51" i="34"/>
  <c r="M52" i="2"/>
  <c r="F52" i="34"/>
  <c r="B52" i="34"/>
  <c r="D52" i="34"/>
  <c r="E52" i="34"/>
  <c r="G51" i="34"/>
  <c r="H52" i="34"/>
  <c r="V51" i="34"/>
  <c r="I51" i="34"/>
  <c r="J52" i="34"/>
  <c r="M53" i="2"/>
  <c r="F53" i="34"/>
  <c r="B53" i="34"/>
  <c r="D53" i="34"/>
  <c r="E53" i="34"/>
  <c r="G52" i="34"/>
  <c r="H53" i="34"/>
  <c r="V52" i="34"/>
  <c r="I52" i="34"/>
  <c r="J53" i="34"/>
  <c r="D54" i="34"/>
  <c r="E54" i="34"/>
  <c r="G53" i="34"/>
  <c r="H54" i="34"/>
  <c r="V53" i="34"/>
  <c r="I53" i="34"/>
  <c r="J54" i="34"/>
  <c r="M35" i="2"/>
  <c r="F35" i="34"/>
  <c r="M34" i="2"/>
  <c r="F34" i="34"/>
  <c r="B35" i="34"/>
  <c r="B34" i="34"/>
  <c r="D35" i="34"/>
  <c r="E35" i="34"/>
  <c r="G34" i="34"/>
  <c r="H35" i="34"/>
  <c r="V34" i="34"/>
  <c r="I34" i="34"/>
  <c r="J35" i="34"/>
  <c r="M36" i="2"/>
  <c r="F36" i="34"/>
  <c r="B36" i="34"/>
  <c r="D36" i="34"/>
  <c r="E36" i="34"/>
  <c r="G35" i="34"/>
  <c r="H36" i="34"/>
  <c r="V35" i="34"/>
  <c r="I35" i="34"/>
  <c r="J36" i="34"/>
  <c r="M37" i="2"/>
  <c r="F37" i="34"/>
  <c r="B37" i="34"/>
  <c r="D37" i="34"/>
  <c r="E37" i="34"/>
  <c r="G36" i="34"/>
  <c r="H37" i="34"/>
  <c r="V36" i="34"/>
  <c r="I36" i="34"/>
  <c r="J37" i="34"/>
  <c r="M38" i="2"/>
  <c r="F38" i="34"/>
  <c r="B38" i="34"/>
  <c r="D38" i="34"/>
  <c r="E38" i="34"/>
  <c r="G37" i="34"/>
  <c r="H38" i="34"/>
  <c r="V37" i="34"/>
  <c r="I37" i="34"/>
  <c r="J38" i="34"/>
  <c r="M39" i="2"/>
  <c r="F39" i="34"/>
  <c r="B39" i="34"/>
  <c r="D39" i="34"/>
  <c r="E39" i="34"/>
  <c r="G38" i="34"/>
  <c r="H39" i="34"/>
  <c r="V38" i="34"/>
  <c r="I38" i="34"/>
  <c r="J39" i="34"/>
  <c r="M40" i="2"/>
  <c r="F40" i="34"/>
  <c r="B40" i="34"/>
  <c r="D40" i="34"/>
  <c r="E40" i="34"/>
  <c r="G39" i="34"/>
  <c r="H40" i="34"/>
  <c r="V39" i="34"/>
  <c r="I39" i="34"/>
  <c r="J40" i="34"/>
  <c r="M41" i="2"/>
  <c r="F41" i="34"/>
  <c r="B41" i="34"/>
  <c r="D41" i="34"/>
  <c r="E41" i="34"/>
  <c r="G40" i="34"/>
  <c r="H41" i="34"/>
  <c r="V40" i="34"/>
  <c r="I40" i="34"/>
  <c r="J41" i="34"/>
  <c r="M42" i="2"/>
  <c r="F42" i="34"/>
  <c r="B42" i="34"/>
  <c r="D42" i="34"/>
  <c r="E42" i="34"/>
  <c r="G41" i="34"/>
  <c r="H42" i="34"/>
  <c r="V41" i="34"/>
  <c r="I41" i="34"/>
  <c r="J42" i="34"/>
  <c r="M43" i="2"/>
  <c r="F43" i="34"/>
  <c r="B43" i="34"/>
  <c r="D43" i="34"/>
  <c r="E43" i="34"/>
  <c r="G42" i="34"/>
  <c r="H43" i="34"/>
  <c r="V42" i="34"/>
  <c r="I42" i="34"/>
  <c r="J43" i="34"/>
  <c r="D44" i="34"/>
  <c r="E44" i="34"/>
  <c r="G43" i="34"/>
  <c r="H44" i="34"/>
  <c r="V43" i="34"/>
  <c r="I43" i="34"/>
  <c r="J44" i="34"/>
  <c r="M25" i="2"/>
  <c r="F25" i="34"/>
  <c r="I24" i="2"/>
  <c r="C27" i="48"/>
  <c r="J24" i="42"/>
  <c r="I24" i="42"/>
  <c r="M24" i="42"/>
  <c r="L24" i="42"/>
  <c r="J24" i="2"/>
  <c r="H24" i="2"/>
  <c r="B24" i="2"/>
  <c r="M24" i="2"/>
  <c r="F24" i="34"/>
  <c r="B25" i="34"/>
  <c r="B24" i="34"/>
  <c r="D25" i="34"/>
  <c r="E25" i="34"/>
  <c r="G24" i="34"/>
  <c r="H25" i="34"/>
  <c r="V24" i="34"/>
  <c r="I24" i="34"/>
  <c r="J25" i="34"/>
  <c r="M26" i="2"/>
  <c r="F26" i="34"/>
  <c r="B26" i="34"/>
  <c r="D26" i="34"/>
  <c r="E26" i="34"/>
  <c r="G25" i="34"/>
  <c r="H26" i="34"/>
  <c r="V25" i="34"/>
  <c r="I25" i="34"/>
  <c r="J26" i="34"/>
  <c r="M27" i="2"/>
  <c r="F27" i="34"/>
  <c r="B27" i="34"/>
  <c r="D27" i="34"/>
  <c r="E27" i="34"/>
  <c r="G26" i="34"/>
  <c r="H27" i="34"/>
  <c r="V26" i="34"/>
  <c r="I26" i="34"/>
  <c r="J27" i="34"/>
  <c r="M28" i="2"/>
  <c r="F28" i="34"/>
  <c r="B28" i="34"/>
  <c r="D28" i="34"/>
  <c r="E28" i="34"/>
  <c r="G27" i="34"/>
  <c r="H28" i="34"/>
  <c r="V27" i="34"/>
  <c r="I27" i="34"/>
  <c r="J28" i="34"/>
  <c r="M29" i="2"/>
  <c r="F29" i="34"/>
  <c r="B29" i="34"/>
  <c r="D29" i="34"/>
  <c r="E29" i="34"/>
  <c r="G28" i="34"/>
  <c r="H29" i="34"/>
  <c r="V28" i="34"/>
  <c r="I28" i="34"/>
  <c r="J29" i="34"/>
  <c r="M30" i="2"/>
  <c r="F30" i="34"/>
  <c r="B30" i="34"/>
  <c r="D30" i="34"/>
  <c r="E30" i="34"/>
  <c r="G29" i="34"/>
  <c r="H30" i="34"/>
  <c r="V29" i="34"/>
  <c r="I29" i="34"/>
  <c r="J30" i="34"/>
  <c r="M31" i="2"/>
  <c r="F31" i="34"/>
  <c r="B31" i="34"/>
  <c r="D31" i="34"/>
  <c r="E31" i="34"/>
  <c r="G30" i="34"/>
  <c r="H31" i="34"/>
  <c r="V30" i="34"/>
  <c r="I30" i="34"/>
  <c r="J31" i="34"/>
  <c r="M32" i="2"/>
  <c r="F32" i="34"/>
  <c r="B32" i="34"/>
  <c r="D32" i="34"/>
  <c r="E32" i="34"/>
  <c r="G31" i="34"/>
  <c r="H32" i="34"/>
  <c r="V31" i="34"/>
  <c r="I31" i="34"/>
  <c r="J32" i="34"/>
  <c r="M33" i="2"/>
  <c r="F33" i="34"/>
  <c r="B33" i="34"/>
  <c r="D33" i="34"/>
  <c r="E33" i="34"/>
  <c r="G32" i="34"/>
  <c r="H33" i="34"/>
  <c r="V32" i="34"/>
  <c r="I32" i="34"/>
  <c r="J33" i="34"/>
  <c r="D34" i="34"/>
  <c r="E34" i="34"/>
  <c r="G33" i="34"/>
  <c r="H34" i="34"/>
  <c r="V33" i="34"/>
  <c r="I33" i="34"/>
  <c r="J34" i="34"/>
  <c r="F25" i="22"/>
  <c r="F10" i="42"/>
  <c r="G11" i="42"/>
  <c r="B11" i="42"/>
  <c r="B10" i="42"/>
  <c r="C11" i="42"/>
  <c r="E11" i="42"/>
  <c r="F26" i="22"/>
  <c r="F11" i="42"/>
  <c r="G12" i="42"/>
  <c r="B12" i="42"/>
  <c r="C12" i="42"/>
  <c r="E12" i="42"/>
  <c r="F27" i="22"/>
  <c r="F12" i="42"/>
  <c r="G13" i="42"/>
  <c r="B13" i="42"/>
  <c r="C13" i="42"/>
  <c r="E13" i="42"/>
  <c r="F28" i="22"/>
  <c r="F13" i="42"/>
  <c r="G14" i="42"/>
  <c r="B14" i="42"/>
  <c r="C14" i="42"/>
  <c r="E14" i="42"/>
  <c r="F29" i="22"/>
  <c r="F14" i="42"/>
  <c r="G15" i="42"/>
  <c r="B15" i="42"/>
  <c r="C15" i="42"/>
  <c r="E15" i="42"/>
  <c r="I15" i="2"/>
  <c r="C18" i="48"/>
  <c r="J15" i="42"/>
  <c r="I15" i="42"/>
  <c r="M15" i="42"/>
  <c r="L15" i="42"/>
  <c r="J15" i="2"/>
  <c r="H15" i="2"/>
  <c r="B15" i="2"/>
  <c r="M15" i="2"/>
  <c r="F15" i="34"/>
  <c r="I14" i="2"/>
  <c r="C17" i="48"/>
  <c r="J14" i="42"/>
  <c r="I14" i="42"/>
  <c r="M14" i="42"/>
  <c r="L14" i="42"/>
  <c r="J14" i="2"/>
  <c r="H14" i="2"/>
  <c r="B14" i="2"/>
  <c r="M14" i="2"/>
  <c r="F14" i="34"/>
  <c r="B15" i="34"/>
  <c r="B14" i="34"/>
  <c r="D15" i="34"/>
  <c r="E15" i="34"/>
  <c r="G14" i="34"/>
  <c r="H15" i="34"/>
  <c r="V14" i="34"/>
  <c r="I14" i="34"/>
  <c r="J15" i="34"/>
  <c r="F30" i="22"/>
  <c r="F15" i="42"/>
  <c r="G16" i="42"/>
  <c r="B16" i="42"/>
  <c r="C16" i="42"/>
  <c r="E16" i="42"/>
  <c r="I16" i="2"/>
  <c r="C19" i="48"/>
  <c r="J16" i="42"/>
  <c r="I16" i="42"/>
  <c r="M16" i="42"/>
  <c r="L16" i="42"/>
  <c r="J16" i="2"/>
  <c r="H16" i="2"/>
  <c r="B16" i="2"/>
  <c r="M16" i="2"/>
  <c r="F16" i="34"/>
  <c r="B16" i="34"/>
  <c r="D16" i="34"/>
  <c r="E16" i="34"/>
  <c r="G15" i="34"/>
  <c r="H16" i="34"/>
  <c r="V15" i="34"/>
  <c r="I15" i="34"/>
  <c r="J16" i="34"/>
  <c r="F31" i="22"/>
  <c r="F16" i="42"/>
  <c r="G17" i="42"/>
  <c r="B17" i="42"/>
  <c r="C17" i="42"/>
  <c r="E17" i="42"/>
  <c r="I17" i="2"/>
  <c r="C20" i="48"/>
  <c r="J17" i="42"/>
  <c r="I17" i="42"/>
  <c r="M17" i="42"/>
  <c r="L17" i="42"/>
  <c r="J17" i="2"/>
  <c r="H17" i="2"/>
  <c r="B17" i="2"/>
  <c r="M17" i="2"/>
  <c r="F17" i="34"/>
  <c r="B17" i="34"/>
  <c r="D17" i="34"/>
  <c r="E17" i="34"/>
  <c r="G16" i="34"/>
  <c r="H17" i="34"/>
  <c r="V16" i="34"/>
  <c r="I16" i="34"/>
  <c r="J17" i="34"/>
  <c r="F32" i="22"/>
  <c r="F17" i="42"/>
  <c r="G18" i="42"/>
  <c r="B18" i="42"/>
  <c r="C18" i="42"/>
  <c r="E18" i="42"/>
  <c r="I18" i="2"/>
  <c r="C21" i="48"/>
  <c r="J18" i="42"/>
  <c r="I18" i="42"/>
  <c r="M18" i="42"/>
  <c r="L18" i="42"/>
  <c r="J18" i="2"/>
  <c r="H18" i="2"/>
  <c r="B18" i="2"/>
  <c r="M18" i="2"/>
  <c r="F18" i="34"/>
  <c r="B18" i="34"/>
  <c r="D18" i="34"/>
  <c r="E18" i="34"/>
  <c r="G17" i="34"/>
  <c r="H18" i="34"/>
  <c r="V17" i="34"/>
  <c r="I17" i="34"/>
  <c r="J18" i="34"/>
  <c r="F33" i="22"/>
  <c r="F18" i="42"/>
  <c r="G19" i="42"/>
  <c r="B19" i="42"/>
  <c r="C19" i="42"/>
  <c r="E19" i="42"/>
  <c r="I19" i="2"/>
  <c r="C22" i="48"/>
  <c r="J19" i="42"/>
  <c r="I19" i="42"/>
  <c r="M19" i="42"/>
  <c r="L19" i="42"/>
  <c r="J19" i="2"/>
  <c r="H19" i="2"/>
  <c r="B19" i="2"/>
  <c r="M19" i="2"/>
  <c r="F19" i="34"/>
  <c r="B19" i="34"/>
  <c r="D19" i="34"/>
  <c r="E19" i="34"/>
  <c r="G18" i="34"/>
  <c r="H19" i="34"/>
  <c r="V18" i="34"/>
  <c r="I18" i="34"/>
  <c r="J19" i="34"/>
  <c r="I20" i="2"/>
  <c r="C23" i="48"/>
  <c r="J20" i="42"/>
  <c r="I20" i="42"/>
  <c r="M20" i="42"/>
  <c r="L20" i="42"/>
  <c r="J20" i="2"/>
  <c r="H20" i="2"/>
  <c r="B20" i="2"/>
  <c r="M20" i="2"/>
  <c r="F20" i="34"/>
  <c r="B20" i="34"/>
  <c r="D20" i="34"/>
  <c r="E20" i="34"/>
  <c r="G19" i="34"/>
  <c r="H20" i="34"/>
  <c r="V19" i="34"/>
  <c r="I19" i="34"/>
  <c r="J20" i="34"/>
  <c r="I21" i="2"/>
  <c r="C24" i="48"/>
  <c r="J21" i="42"/>
  <c r="I21" i="42"/>
  <c r="M21" i="42"/>
  <c r="L21" i="42"/>
  <c r="J21" i="2"/>
  <c r="H21" i="2"/>
  <c r="B21" i="2"/>
  <c r="M21" i="2"/>
  <c r="F21" i="34"/>
  <c r="B21" i="34"/>
  <c r="D21" i="34"/>
  <c r="E21" i="34"/>
  <c r="G20" i="34"/>
  <c r="H21" i="34"/>
  <c r="V20" i="34"/>
  <c r="I20" i="34"/>
  <c r="J21" i="34"/>
  <c r="I22" i="2"/>
  <c r="C25" i="48"/>
  <c r="J22" i="42"/>
  <c r="I22" i="42"/>
  <c r="M22" i="42"/>
  <c r="L22" i="42"/>
  <c r="J22" i="2"/>
  <c r="H22" i="2"/>
  <c r="B22" i="2"/>
  <c r="M22" i="2"/>
  <c r="F22" i="34"/>
  <c r="B22" i="34"/>
  <c r="D22" i="34"/>
  <c r="E22" i="34"/>
  <c r="G21" i="34"/>
  <c r="H22" i="34"/>
  <c r="V21" i="34"/>
  <c r="I21" i="34"/>
  <c r="J22" i="34"/>
  <c r="I23" i="2"/>
  <c r="C26" i="48"/>
  <c r="J23" i="42"/>
  <c r="I23" i="42"/>
  <c r="M23" i="42"/>
  <c r="L23" i="42"/>
  <c r="J23" i="2"/>
  <c r="H23" i="2"/>
  <c r="B23" i="2"/>
  <c r="M23" i="2"/>
  <c r="F23" i="34"/>
  <c r="B23" i="34"/>
  <c r="D23" i="34"/>
  <c r="E23" i="34"/>
  <c r="G22" i="34"/>
  <c r="H23" i="34"/>
  <c r="V22" i="34"/>
  <c r="I22" i="34"/>
  <c r="J23" i="34"/>
  <c r="D24" i="34"/>
  <c r="E24" i="34"/>
  <c r="G23" i="34"/>
  <c r="H24" i="34"/>
  <c r="V23" i="34"/>
  <c r="I23" i="34"/>
  <c r="J24" i="34"/>
  <c r="E45" i="3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H213" i="25"/>
  <c r="F46" i="27"/>
  <c r="AD106" i="25"/>
  <c r="AD107" i="25"/>
  <c r="AD108" i="25"/>
  <c r="AD109" i="25"/>
  <c r="AD110" i="25"/>
  <c r="AD111" i="25"/>
  <c r="AD112" i="25"/>
  <c r="AD113" i="25"/>
  <c r="AD114" i="25"/>
  <c r="AD115" i="25"/>
  <c r="AD116" i="25"/>
  <c r="AD117" i="25"/>
  <c r="AD118" i="25"/>
  <c r="AD119" i="25"/>
  <c r="AD120" i="25"/>
  <c r="AD121" i="25"/>
  <c r="AD122" i="25"/>
  <c r="AD123" i="25"/>
  <c r="AD124" i="25"/>
  <c r="AD125" i="25"/>
  <c r="AD126" i="25"/>
  <c r="AD127" i="25"/>
  <c r="AD128" i="25"/>
  <c r="AD129" i="25"/>
  <c r="AD130" i="25"/>
  <c r="AD131" i="25"/>
  <c r="AD132" i="25"/>
  <c r="AD133" i="25"/>
  <c r="AD134" i="25"/>
  <c r="AD135" i="25"/>
  <c r="I213" i="25"/>
  <c r="G46" i="27"/>
  <c r="K45" i="36"/>
  <c r="C11" i="3"/>
  <c r="E11" i="3"/>
  <c r="D11" i="3"/>
  <c r="B11" i="3"/>
  <c r="F11" i="3"/>
  <c r="C12" i="3"/>
  <c r="E12" i="3"/>
  <c r="D12" i="3"/>
  <c r="B12" i="3"/>
  <c r="F12" i="3"/>
  <c r="C13" i="3"/>
  <c r="E13" i="3"/>
  <c r="D13" i="3"/>
  <c r="B13" i="3"/>
  <c r="F13" i="3"/>
  <c r="C14" i="3"/>
  <c r="E14" i="3"/>
  <c r="D14" i="3"/>
  <c r="B14" i="3"/>
  <c r="F14" i="3"/>
  <c r="C15" i="3"/>
  <c r="E15" i="3"/>
  <c r="D15" i="3"/>
  <c r="B15" i="3"/>
  <c r="F15" i="3"/>
  <c r="C16" i="3"/>
  <c r="E16" i="3"/>
  <c r="D16" i="3"/>
  <c r="B16" i="3"/>
  <c r="F16" i="3"/>
  <c r="C17" i="3"/>
  <c r="E17" i="3"/>
  <c r="D17" i="3"/>
  <c r="B17" i="3"/>
  <c r="F17" i="3"/>
  <c r="C18" i="3"/>
  <c r="E18" i="3"/>
  <c r="D18" i="3"/>
  <c r="B18" i="3"/>
  <c r="F18" i="3"/>
  <c r="C19" i="3"/>
  <c r="E19" i="3"/>
  <c r="D19" i="3"/>
  <c r="B19" i="3"/>
  <c r="F19" i="3"/>
  <c r="C20" i="3"/>
  <c r="E20" i="3"/>
  <c r="D20" i="3"/>
  <c r="B20" i="3"/>
  <c r="F20" i="3"/>
  <c r="C21" i="3"/>
  <c r="E21" i="3"/>
  <c r="D21" i="3"/>
  <c r="B21" i="3"/>
  <c r="F21" i="3"/>
  <c r="C22" i="3"/>
  <c r="E22" i="3"/>
  <c r="D22" i="3"/>
  <c r="B22" i="3"/>
  <c r="F22" i="3"/>
  <c r="C23" i="3"/>
  <c r="E23" i="3"/>
  <c r="D23" i="3"/>
  <c r="B23" i="3"/>
  <c r="F23" i="3"/>
  <c r="C24" i="3"/>
  <c r="E24" i="3"/>
  <c r="D24" i="3"/>
  <c r="B24" i="3"/>
  <c r="F24" i="3"/>
  <c r="C10" i="3"/>
  <c r="E10" i="3"/>
  <c r="D10" i="3"/>
  <c r="B10" i="3"/>
  <c r="F10" i="3"/>
  <c r="H25" i="39"/>
  <c r="H23" i="39"/>
  <c r="H24" i="39"/>
  <c r="H22" i="39"/>
  <c r="H21" i="39"/>
  <c r="N13" i="3"/>
  <c r="N12" i="3"/>
  <c r="N11" i="3"/>
  <c r="N14" i="3"/>
  <c r="N15" i="3"/>
  <c r="N16" i="3"/>
  <c r="N17" i="3"/>
  <c r="N18" i="3"/>
  <c r="N19" i="3"/>
  <c r="N20" i="3"/>
  <c r="N21" i="3"/>
  <c r="N22" i="3"/>
  <c r="N23" i="3"/>
  <c r="N24" i="3"/>
  <c r="N25" i="3"/>
  <c r="N26" i="3"/>
  <c r="N27" i="3"/>
  <c r="N10" i="3"/>
  <c r="L10" i="3"/>
  <c r="L12" i="3"/>
  <c r="L13" i="3"/>
  <c r="L14" i="3"/>
  <c r="L15" i="3"/>
  <c r="L16" i="3"/>
  <c r="L17" i="3"/>
  <c r="L18" i="3"/>
  <c r="L19" i="3"/>
  <c r="L20" i="3"/>
  <c r="L21" i="3"/>
  <c r="L22" i="3"/>
  <c r="L23" i="3"/>
  <c r="L24" i="3"/>
  <c r="L25" i="3"/>
  <c r="L11" i="3"/>
  <c r="L106" i="14"/>
  <c r="G166" i="14"/>
  <c r="H166" i="14"/>
  <c r="N166" i="14"/>
  <c r="B166" i="13"/>
  <c r="C166" i="13"/>
  <c r="G165" i="14"/>
  <c r="N165" i="14"/>
  <c r="C165" i="13"/>
  <c r="G164" i="14"/>
  <c r="N164" i="14"/>
  <c r="C164" i="13"/>
  <c r="G163" i="14"/>
  <c r="N163" i="14"/>
  <c r="C163" i="13"/>
  <c r="G162" i="14"/>
  <c r="N162" i="14"/>
  <c r="C162" i="13"/>
  <c r="G161" i="14"/>
  <c r="N161" i="14"/>
  <c r="C161" i="13"/>
  <c r="G160" i="14"/>
  <c r="N160" i="14"/>
  <c r="C160" i="13"/>
  <c r="G159" i="14"/>
  <c r="N159" i="14"/>
  <c r="C159" i="13"/>
  <c r="G158" i="14"/>
  <c r="N158" i="14"/>
  <c r="C158" i="13"/>
  <c r="G157" i="14"/>
  <c r="N157" i="14"/>
  <c r="C157" i="13"/>
  <c r="G156" i="14"/>
  <c r="N156" i="14"/>
  <c r="C156" i="13"/>
  <c r="G155" i="14"/>
  <c r="N155" i="14"/>
  <c r="C155" i="13"/>
  <c r="G154" i="14"/>
  <c r="N154" i="14"/>
  <c r="C154" i="13"/>
  <c r="G153" i="14"/>
  <c r="N153" i="14"/>
  <c r="C153" i="13"/>
  <c r="G152" i="14"/>
  <c r="N152" i="14"/>
  <c r="C152" i="13"/>
  <c r="G151" i="14"/>
  <c r="N151" i="14"/>
  <c r="C151" i="13"/>
  <c r="G150" i="14"/>
  <c r="N150" i="14"/>
  <c r="C150" i="13"/>
  <c r="G149" i="14"/>
  <c r="N149" i="14"/>
  <c r="C149" i="13"/>
  <c r="G148" i="14"/>
  <c r="N148" i="14"/>
  <c r="C148" i="13"/>
  <c r="G147" i="14"/>
  <c r="N147" i="14"/>
  <c r="C147" i="13"/>
  <c r="G146" i="14"/>
  <c r="N146" i="14"/>
  <c r="C146" i="13"/>
  <c r="G145" i="14"/>
  <c r="N145" i="14"/>
  <c r="C145" i="13"/>
  <c r="G144" i="14"/>
  <c r="N144" i="14"/>
  <c r="C144" i="13"/>
  <c r="G22" i="33"/>
  <c r="G41" i="33"/>
  <c r="G21" i="33"/>
  <c r="G40" i="33"/>
  <c r="G19" i="33"/>
  <c r="G38" i="33"/>
  <c r="B210" i="25"/>
  <c r="B41" i="38"/>
  <c r="B35" i="38"/>
  <c r="G35" i="38"/>
  <c r="D35" i="38"/>
  <c r="B20" i="38"/>
  <c r="R21" i="6"/>
  <c r="G20" i="38"/>
  <c r="D20" i="38"/>
  <c r="B17" i="38"/>
  <c r="G17" i="38"/>
  <c r="D17" i="38"/>
  <c r="B12" i="33"/>
  <c r="B10" i="6"/>
  <c r="AW101" i="44"/>
  <c r="AR100" i="44"/>
  <c r="AR101" i="44"/>
  <c r="AW100" i="44"/>
  <c r="AR99" i="44"/>
  <c r="AW99" i="44"/>
  <c r="AR98" i="44"/>
  <c r="AW98" i="44"/>
  <c r="AR97" i="44"/>
  <c r="AW97" i="44"/>
  <c r="AR96" i="44"/>
  <c r="AW96" i="44"/>
  <c r="AR95" i="44"/>
  <c r="AW95" i="44"/>
  <c r="AR94" i="44"/>
  <c r="AW94" i="44"/>
  <c r="AR93" i="44"/>
  <c r="AW93" i="44"/>
  <c r="AR92" i="44"/>
  <c r="AW92" i="44"/>
  <c r="AR91" i="44"/>
  <c r="AW91" i="44"/>
  <c r="AR90" i="44"/>
  <c r="AW90" i="44"/>
  <c r="AR89" i="44"/>
  <c r="AW89" i="44"/>
  <c r="AR88" i="44"/>
  <c r="AW88" i="44"/>
  <c r="AR87" i="44"/>
  <c r="AW87" i="44"/>
  <c r="AR86" i="44"/>
  <c r="AW86" i="44"/>
  <c r="AR85" i="44"/>
  <c r="AW85" i="44"/>
  <c r="AR84" i="44"/>
  <c r="AW84" i="44"/>
  <c r="AR83" i="44"/>
  <c r="AW83" i="44"/>
  <c r="AR82" i="44"/>
  <c r="AW82" i="44"/>
  <c r="AR81" i="44"/>
  <c r="AW81" i="44"/>
  <c r="AR80" i="44"/>
  <c r="AW80" i="44"/>
  <c r="AR79" i="44"/>
  <c r="AW79" i="44"/>
  <c r="AR78" i="44"/>
  <c r="AW78" i="44"/>
  <c r="AR77" i="44"/>
  <c r="AW77" i="44"/>
  <c r="AR76" i="44"/>
  <c r="AW76" i="44"/>
  <c r="AR75" i="44"/>
  <c r="AW75" i="44"/>
  <c r="AR74" i="44"/>
  <c r="AW74" i="44"/>
  <c r="AR73" i="44"/>
  <c r="AW73" i="44"/>
  <c r="AR72" i="44"/>
  <c r="AW72" i="44"/>
  <c r="AR71" i="44"/>
  <c r="AW71" i="44"/>
  <c r="P16" i="26"/>
  <c r="P10" i="26"/>
  <c r="D10" i="6"/>
  <c r="B14" i="38"/>
  <c r="G14" i="38"/>
  <c r="D14" i="38"/>
  <c r="B11" i="38"/>
  <c r="B8" i="38"/>
  <c r="G11" i="38"/>
  <c r="G8" i="38"/>
  <c r="D8" i="38"/>
  <c r="R155" i="2"/>
  <c r="C126" i="13"/>
  <c r="C127" i="13"/>
  <c r="C128" i="13"/>
  <c r="C129" i="13"/>
  <c r="C130" i="13"/>
  <c r="C131" i="13"/>
  <c r="C132" i="13"/>
  <c r="C133" i="13"/>
  <c r="C134" i="13"/>
  <c r="C135" i="13"/>
  <c r="C136" i="13"/>
  <c r="C137" i="13"/>
  <c r="C138" i="13"/>
  <c r="C139" i="13"/>
  <c r="C140" i="13"/>
  <c r="C141" i="13"/>
  <c r="R150" i="2"/>
  <c r="B116" i="39"/>
  <c r="B126" i="39"/>
  <c r="B146" i="39"/>
  <c r="B156" i="39"/>
  <c r="B166" i="39"/>
  <c r="CR126" i="29"/>
  <c r="C125" i="48"/>
  <c r="J122" i="42"/>
  <c r="K122" i="42"/>
  <c r="CR127" i="29"/>
  <c r="C126" i="48"/>
  <c r="J123" i="42"/>
  <c r="K123" i="42"/>
  <c r="CR128" i="29"/>
  <c r="C127" i="48"/>
  <c r="J124" i="42"/>
  <c r="K124" i="42"/>
  <c r="C128" i="48"/>
  <c r="J125" i="42"/>
  <c r="K125" i="42"/>
  <c r="CR130" i="29"/>
  <c r="C129" i="48"/>
  <c r="J126" i="42"/>
  <c r="K126" i="42"/>
  <c r="C130" i="48"/>
  <c r="J127" i="42"/>
  <c r="K127" i="42"/>
  <c r="CR133" i="29"/>
  <c r="C131" i="48"/>
  <c r="J128" i="42"/>
  <c r="K128" i="42"/>
  <c r="C132" i="48"/>
  <c r="J129" i="42"/>
  <c r="K129" i="42"/>
  <c r="CR135" i="29"/>
  <c r="C133" i="48"/>
  <c r="J130" i="42"/>
  <c r="K130" i="42"/>
  <c r="C134" i="48"/>
  <c r="J131" i="42"/>
  <c r="K131" i="42"/>
  <c r="C135" i="48"/>
  <c r="J132" i="42"/>
  <c r="K132" i="42"/>
  <c r="C136" i="48"/>
  <c r="J133" i="42"/>
  <c r="K133" i="42"/>
  <c r="C137" i="48"/>
  <c r="J134" i="42"/>
  <c r="K134" i="42"/>
  <c r="C138" i="48"/>
  <c r="J135" i="42"/>
  <c r="K135" i="42"/>
  <c r="C139" i="48"/>
  <c r="J136" i="42"/>
  <c r="K136" i="42"/>
  <c r="C140" i="48"/>
  <c r="J137" i="42"/>
  <c r="K137" i="42"/>
  <c r="C141" i="48"/>
  <c r="J138" i="42"/>
  <c r="K138" i="42"/>
  <c r="C142" i="48"/>
  <c r="J139" i="42"/>
  <c r="K139" i="42"/>
  <c r="C143" i="48"/>
  <c r="J140" i="42"/>
  <c r="K140" i="42"/>
  <c r="CR148" i="29"/>
  <c r="C146" i="48"/>
  <c r="J143" i="42"/>
  <c r="K143" i="42"/>
  <c r="C147" i="48"/>
  <c r="J144" i="42"/>
  <c r="K144" i="42"/>
  <c r="C148" i="48"/>
  <c r="J145" i="42"/>
  <c r="K145" i="42"/>
  <c r="C149" i="48"/>
  <c r="J146" i="42"/>
  <c r="K146" i="42"/>
  <c r="C150" i="48"/>
  <c r="J147" i="42"/>
  <c r="K147" i="42"/>
  <c r="C151" i="48"/>
  <c r="J148" i="42"/>
  <c r="K148" i="42"/>
  <c r="C152" i="48"/>
  <c r="J149" i="42"/>
  <c r="K149" i="42"/>
  <c r="C153" i="48"/>
  <c r="J150" i="42"/>
  <c r="K150" i="42"/>
  <c r="C154" i="48"/>
  <c r="J151" i="42"/>
  <c r="K151" i="42"/>
  <c r="C155" i="48"/>
  <c r="J152" i="42"/>
  <c r="K152" i="42"/>
  <c r="C156" i="48"/>
  <c r="J153" i="42"/>
  <c r="K153" i="42"/>
  <c r="C157" i="48"/>
  <c r="J154" i="42"/>
  <c r="K154" i="42"/>
  <c r="C158" i="48"/>
  <c r="J155" i="42"/>
  <c r="K155" i="42"/>
  <c r="C159" i="48"/>
  <c r="J156" i="42"/>
  <c r="K156" i="42"/>
  <c r="C160" i="48"/>
  <c r="J157" i="42"/>
  <c r="K157" i="42"/>
  <c r="C161" i="48"/>
  <c r="J158" i="42"/>
  <c r="K158" i="42"/>
  <c r="C162" i="48"/>
  <c r="J159" i="42"/>
  <c r="K159" i="42"/>
  <c r="C163" i="48"/>
  <c r="J160" i="42"/>
  <c r="K160" i="42"/>
  <c r="C164" i="48"/>
  <c r="J161" i="42"/>
  <c r="K161" i="42"/>
  <c r="CR167" i="29"/>
  <c r="C165" i="48"/>
  <c r="J162" i="42"/>
  <c r="K162" i="42"/>
  <c r="CR168" i="29"/>
  <c r="C166" i="48"/>
  <c r="J163" i="42"/>
  <c r="K163" i="42"/>
  <c r="CR169" i="29"/>
  <c r="C167" i="48"/>
  <c r="J164" i="42"/>
  <c r="K164" i="42"/>
  <c r="CR170" i="29"/>
  <c r="C168" i="48"/>
  <c r="J165" i="42"/>
  <c r="K165" i="42"/>
  <c r="G29" i="38"/>
  <c r="G48" i="41"/>
  <c r="I48" i="41"/>
  <c r="H48" i="41"/>
  <c r="H45" i="41"/>
  <c r="H60" i="41"/>
  <c r="H78" i="41"/>
  <c r="H18" i="41"/>
  <c r="H36" i="41"/>
  <c r="F48" i="52"/>
  <c r="H48" i="52"/>
  <c r="G39" i="52"/>
  <c r="F42" i="52"/>
  <c r="F45" i="52"/>
  <c r="B213" i="25"/>
  <c r="B46" i="27"/>
  <c r="H45" i="52"/>
  <c r="G45" i="52"/>
  <c r="FJ67" i="4"/>
  <c r="FI67" i="4"/>
  <c r="BR68" i="29"/>
  <c r="FJ68" i="4"/>
  <c r="FI68" i="4"/>
  <c r="BR69" i="29"/>
  <c r="G12" i="52"/>
  <c r="G21" i="52"/>
  <c r="G33" i="52"/>
  <c r="F36" i="52"/>
  <c r="F39" i="52"/>
  <c r="B40" i="27"/>
  <c r="H39" i="52"/>
  <c r="B43" i="27"/>
  <c r="B37" i="27"/>
  <c r="H36" i="52"/>
  <c r="I48" i="36"/>
  <c r="H48" i="36"/>
  <c r="I45" i="36"/>
  <c r="I42" i="36"/>
  <c r="I36" i="36"/>
  <c r="I10" i="2"/>
  <c r="J10" i="2"/>
  <c r="H10" i="2"/>
  <c r="B10" i="2"/>
  <c r="M10" i="2"/>
  <c r="F10" i="34"/>
  <c r="B27" i="36"/>
  <c r="C33" i="36"/>
  <c r="I33" i="36"/>
  <c r="I30" i="36"/>
  <c r="J48" i="36"/>
  <c r="B48" i="35"/>
  <c r="D48" i="35"/>
  <c r="C48" i="35"/>
  <c r="B45" i="35"/>
  <c r="D45" i="35"/>
  <c r="C45" i="35"/>
  <c r="C39" i="35"/>
  <c r="C36" i="35"/>
  <c r="C30" i="35"/>
  <c r="Q117" i="5"/>
  <c r="Q118" i="5"/>
  <c r="Q119" i="5"/>
  <c r="Q120" i="5"/>
  <c r="Q121" i="5"/>
  <c r="Q122" i="5"/>
  <c r="Q123" i="5"/>
  <c r="Q124" i="5"/>
  <c r="Q125" i="5"/>
  <c r="Q126" i="5"/>
  <c r="Q127" i="5"/>
  <c r="Q128" i="5"/>
  <c r="Q129" i="5"/>
  <c r="Q130" i="5"/>
  <c r="Q131" i="5"/>
  <c r="Q132" i="5"/>
  <c r="Q133" i="5"/>
  <c r="Q134" i="5"/>
  <c r="Q135" i="5"/>
  <c r="Q136" i="5"/>
  <c r="Q137" i="5"/>
  <c r="Q138" i="5"/>
  <c r="Q139" i="5"/>
  <c r="Q140" i="5"/>
  <c r="Q144" i="5"/>
  <c r="Q145" i="5"/>
  <c r="Q146" i="5"/>
  <c r="Q147" i="5"/>
  <c r="Q148" i="5"/>
  <c r="Q149" i="5"/>
  <c r="Q150" i="5"/>
  <c r="Q151" i="5"/>
  <c r="Q152" i="5"/>
  <c r="Q153" i="5"/>
  <c r="Q154" i="5"/>
  <c r="Q155" i="5"/>
  <c r="Q156" i="5"/>
  <c r="Q157" i="5"/>
  <c r="Q158" i="5"/>
  <c r="Q159" i="5"/>
  <c r="Q160" i="5"/>
  <c r="Q161" i="5"/>
  <c r="Q162" i="5"/>
  <c r="Q163" i="5"/>
  <c r="Q164" i="5"/>
  <c r="Q165" i="5"/>
  <c r="Q166" i="5"/>
  <c r="Q116" i="5"/>
  <c r="C36" i="36"/>
  <c r="C30" i="36"/>
  <c r="C10" i="47"/>
  <c r="C11" i="47"/>
  <c r="C12" i="47"/>
  <c r="C13" i="47"/>
  <c r="C14" i="47"/>
  <c r="C15" i="47"/>
  <c r="C16" i="47"/>
  <c r="C17" i="47"/>
  <c r="C18" i="47"/>
  <c r="C19" i="47"/>
  <c r="C20" i="47"/>
  <c r="C21" i="47"/>
  <c r="C22" i="47"/>
  <c r="C23" i="47"/>
  <c r="C27" i="47"/>
  <c r="C28" i="47"/>
  <c r="C29" i="47"/>
  <c r="C30" i="47"/>
  <c r="C31" i="47"/>
  <c r="C32" i="47"/>
  <c r="C33" i="47"/>
  <c r="C34" i="47"/>
  <c r="C35" i="47"/>
  <c r="C36" i="47"/>
  <c r="C37" i="47"/>
  <c r="C38" i="47"/>
  <c r="C39" i="47"/>
  <c r="C40" i="47"/>
  <c r="C41" i="47"/>
  <c r="C42" i="47"/>
  <c r="C43" i="47"/>
  <c r="C44" i="47"/>
  <c r="C45" i="47"/>
  <c r="C46" i="47"/>
  <c r="C47" i="47"/>
  <c r="C48" i="47"/>
  <c r="C49" i="47"/>
  <c r="C9" i="47"/>
  <c r="C216" i="25"/>
  <c r="C49" i="27"/>
  <c r="AE106" i="25"/>
  <c r="AE107" i="25"/>
  <c r="AE108" i="25"/>
  <c r="AE109" i="25"/>
  <c r="AE110" i="25"/>
  <c r="AE111" i="25"/>
  <c r="AE112" i="25"/>
  <c r="AE113" i="25"/>
  <c r="AE114" i="25"/>
  <c r="AE115" i="25"/>
  <c r="AE116" i="25"/>
  <c r="AE117" i="25"/>
  <c r="AE118" i="25"/>
  <c r="AE119" i="25"/>
  <c r="AE120" i="25"/>
  <c r="AE121" i="25"/>
  <c r="AE122" i="25"/>
  <c r="AE123" i="25"/>
  <c r="AE124" i="25"/>
  <c r="AE125" i="25"/>
  <c r="J213" i="25"/>
  <c r="H46" i="27"/>
  <c r="C213" i="25"/>
  <c r="C46" i="27"/>
  <c r="AE26" i="25"/>
  <c r="AE27" i="25"/>
  <c r="AE28" i="25"/>
  <c r="AE29" i="25"/>
  <c r="AE30" i="25"/>
  <c r="AE31" i="25"/>
  <c r="AE32" i="25"/>
  <c r="AE33" i="25"/>
  <c r="AE34" i="25"/>
  <c r="AE35" i="25"/>
  <c r="AE36" i="25"/>
  <c r="AE37" i="25"/>
  <c r="AE38" i="25"/>
  <c r="AE39" i="25"/>
  <c r="AE40" i="25"/>
  <c r="AE41" i="25"/>
  <c r="AE42" i="25"/>
  <c r="AE43" i="25"/>
  <c r="AE44" i="25"/>
  <c r="AE45" i="25"/>
  <c r="AE46" i="25"/>
  <c r="AE47" i="25"/>
  <c r="AE48" i="25"/>
  <c r="AE49" i="25"/>
  <c r="AE50" i="25"/>
  <c r="AE51" i="25"/>
  <c r="AE52" i="25"/>
  <c r="AE53" i="25"/>
  <c r="AE54" i="25"/>
  <c r="AE55" i="25"/>
  <c r="AE56" i="25"/>
  <c r="AE57" i="25"/>
  <c r="AE58" i="25"/>
  <c r="AE59" i="25"/>
  <c r="AE60" i="25"/>
  <c r="AE61" i="25"/>
  <c r="AE62" i="25"/>
  <c r="AE63" i="25"/>
  <c r="AE64" i="25"/>
  <c r="AE65" i="25"/>
  <c r="J198" i="25"/>
  <c r="H34" i="27"/>
  <c r="F107" i="14"/>
  <c r="M107" i="14"/>
  <c r="G107" i="14"/>
  <c r="N107" i="14"/>
  <c r="F108" i="14"/>
  <c r="M108" i="14"/>
  <c r="G108" i="14"/>
  <c r="N108" i="14"/>
  <c r="F109" i="14"/>
  <c r="M109" i="14"/>
  <c r="G109" i="14"/>
  <c r="N109" i="14"/>
  <c r="F110" i="14"/>
  <c r="M110" i="14"/>
  <c r="G110" i="14"/>
  <c r="N110" i="14"/>
  <c r="F111" i="14"/>
  <c r="M111" i="14"/>
  <c r="G111" i="14"/>
  <c r="N111" i="14"/>
  <c r="F112" i="14"/>
  <c r="M112" i="14"/>
  <c r="G112" i="14"/>
  <c r="N112" i="14"/>
  <c r="F113" i="14"/>
  <c r="M113" i="14"/>
  <c r="G113" i="14"/>
  <c r="N113" i="14"/>
  <c r="F114" i="14"/>
  <c r="M114" i="14"/>
  <c r="G114" i="14"/>
  <c r="N114" i="14"/>
  <c r="F115" i="14"/>
  <c r="M115" i="14"/>
  <c r="G115" i="14"/>
  <c r="N115" i="14"/>
  <c r="F116" i="14"/>
  <c r="M116" i="14"/>
  <c r="G116" i="14"/>
  <c r="N116" i="14"/>
  <c r="F117" i="14"/>
  <c r="M117" i="14"/>
  <c r="G117" i="14"/>
  <c r="N117" i="14"/>
  <c r="F118" i="14"/>
  <c r="M118" i="14"/>
  <c r="G118" i="14"/>
  <c r="N118" i="14"/>
  <c r="F119" i="14"/>
  <c r="M119" i="14"/>
  <c r="G119" i="14"/>
  <c r="N119" i="14"/>
  <c r="F120" i="14"/>
  <c r="M120" i="14"/>
  <c r="G120" i="14"/>
  <c r="N120" i="14"/>
  <c r="F121" i="14"/>
  <c r="M121" i="14"/>
  <c r="G121" i="14"/>
  <c r="N121" i="14"/>
  <c r="F122" i="14"/>
  <c r="M122" i="14"/>
  <c r="G122" i="14"/>
  <c r="N122" i="14"/>
  <c r="F123" i="14"/>
  <c r="M123" i="14"/>
  <c r="G123" i="14"/>
  <c r="N123" i="14"/>
  <c r="F124" i="14"/>
  <c r="M124" i="14"/>
  <c r="G124" i="14"/>
  <c r="N124" i="14"/>
  <c r="F125" i="14"/>
  <c r="M125" i="14"/>
  <c r="G125" i="14"/>
  <c r="N125" i="14"/>
  <c r="F126" i="14"/>
  <c r="M126" i="14"/>
  <c r="G126" i="14"/>
  <c r="N126" i="14"/>
  <c r="F127" i="14"/>
  <c r="M127" i="14"/>
  <c r="G127" i="14"/>
  <c r="N127" i="14"/>
  <c r="F128" i="14"/>
  <c r="M128" i="14"/>
  <c r="G128" i="14"/>
  <c r="N128" i="14"/>
  <c r="F129" i="14"/>
  <c r="M129" i="14"/>
  <c r="G129" i="14"/>
  <c r="N129" i="14"/>
  <c r="F130" i="14"/>
  <c r="M130" i="14"/>
  <c r="G130" i="14"/>
  <c r="N130" i="14"/>
  <c r="F131" i="14"/>
  <c r="M131" i="14"/>
  <c r="G131" i="14"/>
  <c r="N131" i="14"/>
  <c r="F132" i="14"/>
  <c r="M132" i="14"/>
  <c r="G132" i="14"/>
  <c r="N132" i="14"/>
  <c r="F133" i="14"/>
  <c r="M133" i="14"/>
  <c r="G133" i="14"/>
  <c r="N133" i="14"/>
  <c r="F134" i="14"/>
  <c r="M134" i="14"/>
  <c r="G134" i="14"/>
  <c r="N134" i="14"/>
  <c r="F135" i="14"/>
  <c r="M135" i="14"/>
  <c r="G135" i="14"/>
  <c r="N135" i="14"/>
  <c r="F136" i="14"/>
  <c r="M136" i="14"/>
  <c r="G136" i="14"/>
  <c r="N136" i="14"/>
  <c r="F137" i="14"/>
  <c r="M137" i="14"/>
  <c r="G137" i="14"/>
  <c r="N137" i="14"/>
  <c r="F138" i="14"/>
  <c r="M138" i="14"/>
  <c r="G138" i="14"/>
  <c r="N138" i="14"/>
  <c r="F139" i="14"/>
  <c r="M139" i="14"/>
  <c r="G139" i="14"/>
  <c r="N139" i="14"/>
  <c r="F140" i="14"/>
  <c r="M140" i="14"/>
  <c r="G140" i="14"/>
  <c r="N140" i="14"/>
  <c r="F141" i="14"/>
  <c r="M141" i="14"/>
  <c r="G141" i="14"/>
  <c r="N141" i="14"/>
  <c r="F144" i="14"/>
  <c r="M144" i="14"/>
  <c r="F145" i="14"/>
  <c r="M145" i="14"/>
  <c r="F146" i="14"/>
  <c r="M146" i="14"/>
  <c r="F147" i="14"/>
  <c r="M147" i="14"/>
  <c r="F148" i="14"/>
  <c r="M148" i="14"/>
  <c r="F149" i="14"/>
  <c r="M149" i="14"/>
  <c r="F150" i="14"/>
  <c r="M150" i="14"/>
  <c r="F151" i="14"/>
  <c r="M151" i="14"/>
  <c r="F152" i="14"/>
  <c r="M152" i="14"/>
  <c r="F153" i="14"/>
  <c r="M153" i="14"/>
  <c r="F154" i="14"/>
  <c r="M154" i="14"/>
  <c r="F155" i="14"/>
  <c r="M155" i="14"/>
  <c r="F156" i="14"/>
  <c r="M156" i="14"/>
  <c r="F157" i="14"/>
  <c r="M157" i="14"/>
  <c r="F158" i="14"/>
  <c r="M158" i="14"/>
  <c r="F159" i="14"/>
  <c r="M159" i="14"/>
  <c r="F160" i="14"/>
  <c r="M160" i="14"/>
  <c r="F161" i="14"/>
  <c r="M161" i="14"/>
  <c r="F162" i="14"/>
  <c r="M162" i="14"/>
  <c r="F163" i="14"/>
  <c r="M163" i="14"/>
  <c r="F164" i="14"/>
  <c r="M164" i="14"/>
  <c r="F165" i="14"/>
  <c r="M165" i="14"/>
  <c r="F166" i="14"/>
  <c r="M166" i="14"/>
  <c r="F106" i="14"/>
  <c r="M106" i="14"/>
  <c r="G106" i="14"/>
  <c r="N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4" i="14"/>
  <c r="J145" i="14"/>
  <c r="J146" i="14"/>
  <c r="J147" i="14"/>
  <c r="J148" i="14"/>
  <c r="J149" i="14"/>
  <c r="J150" i="14"/>
  <c r="J151" i="14"/>
  <c r="J152" i="14"/>
  <c r="J153" i="14"/>
  <c r="J154" i="14"/>
  <c r="J155" i="14"/>
  <c r="J156" i="14"/>
  <c r="J157" i="14"/>
  <c r="J158" i="14"/>
  <c r="J159" i="14"/>
  <c r="J160" i="14"/>
  <c r="J161" i="14"/>
  <c r="J162" i="14"/>
  <c r="J163" i="14"/>
  <c r="J164" i="14"/>
  <c r="J165" i="14"/>
  <c r="C166" i="14"/>
  <c r="J166" i="14"/>
  <c r="J106" i="14"/>
  <c r="B166"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C125" i="13"/>
  <c r="C124" i="13"/>
  <c r="C123" i="13"/>
  <c r="C122" i="13"/>
  <c r="C121" i="13"/>
  <c r="C120" i="13"/>
  <c r="C119" i="13"/>
  <c r="C118" i="13"/>
  <c r="C117" i="13"/>
  <c r="C116" i="13"/>
  <c r="C115" i="13"/>
  <c r="C114" i="13"/>
  <c r="C113" i="13"/>
  <c r="C112" i="13"/>
  <c r="C111" i="13"/>
  <c r="C110" i="13"/>
  <c r="C109" i="13"/>
  <c r="C108" i="13"/>
  <c r="C107" i="13"/>
  <c r="C106" i="13"/>
  <c r="H50" i="3"/>
  <c r="H49" i="3"/>
  <c r="H48" i="3"/>
  <c r="H47" i="3"/>
  <c r="H46" i="3"/>
  <c r="H45" i="3"/>
  <c r="H44" i="3"/>
  <c r="H43" i="3"/>
  <c r="H42" i="3"/>
  <c r="H41" i="3"/>
  <c r="H40" i="3"/>
  <c r="H39" i="3"/>
  <c r="H38" i="3"/>
  <c r="H37" i="3"/>
  <c r="H36" i="3"/>
  <c r="H35" i="3"/>
  <c r="H34" i="3"/>
  <c r="H33" i="3"/>
  <c r="H32" i="3"/>
  <c r="H31" i="3"/>
  <c r="H30" i="3"/>
  <c r="H29" i="3"/>
  <c r="H28" i="3"/>
  <c r="H24" i="3"/>
  <c r="H23" i="3"/>
  <c r="H22" i="3"/>
  <c r="H21" i="3"/>
  <c r="H20" i="3"/>
  <c r="H19" i="3"/>
  <c r="H18" i="3"/>
  <c r="H17" i="3"/>
  <c r="H16" i="3"/>
  <c r="H15" i="3"/>
  <c r="H14" i="3"/>
  <c r="H13" i="3"/>
  <c r="H12" i="3"/>
  <c r="H11" i="3"/>
  <c r="H10" i="3"/>
  <c r="G53" i="38"/>
  <c r="D53" i="38"/>
  <c r="T166" i="5"/>
  <c r="T126" i="5"/>
  <c r="I53" i="38"/>
  <c r="F53" i="38"/>
  <c r="J53" i="38"/>
  <c r="K53" i="38"/>
  <c r="E53" i="38"/>
  <c r="G45" i="35"/>
  <c r="B45" i="52"/>
  <c r="I45" i="52"/>
  <c r="M45" i="52"/>
  <c r="G213" i="34"/>
  <c r="D45" i="37"/>
  <c r="G213" i="25"/>
  <c r="D46" i="27"/>
  <c r="B45" i="41"/>
  <c r="J45" i="41"/>
  <c r="B76" i="39"/>
  <c r="B86" i="39"/>
  <c r="B96" i="39"/>
  <c r="B106" i="39"/>
  <c r="G67" i="25"/>
  <c r="G74" i="25"/>
  <c r="G204" i="25"/>
  <c r="D40" i="27"/>
  <c r="F82" i="22"/>
  <c r="G45" i="41"/>
  <c r="I45" i="41"/>
  <c r="L45" i="41"/>
  <c r="H39" i="41"/>
  <c r="B39" i="52"/>
  <c r="I39" i="52"/>
  <c r="M39" i="52"/>
  <c r="L32" i="23"/>
  <c r="M32" i="23"/>
  <c r="K32" i="23"/>
  <c r="N32" i="23"/>
  <c r="O32" i="23"/>
  <c r="L105" i="34"/>
  <c r="H42" i="36"/>
  <c r="H45" i="36"/>
  <c r="J45" i="36"/>
  <c r="M45" i="36"/>
  <c r="K39" i="36"/>
  <c r="L39" i="36"/>
  <c r="I39" i="36"/>
  <c r="AE66" i="25"/>
  <c r="AE67" i="25"/>
  <c r="AE68" i="25"/>
  <c r="AE69" i="25"/>
  <c r="AE70" i="25"/>
  <c r="AE71" i="25"/>
  <c r="AE72" i="25"/>
  <c r="AE73" i="25"/>
  <c r="AE74" i="25"/>
  <c r="AE75" i="25"/>
  <c r="AE76" i="25"/>
  <c r="AE77" i="25"/>
  <c r="AE78" i="25"/>
  <c r="AE79" i="25"/>
  <c r="AE80" i="25"/>
  <c r="AE81" i="25"/>
  <c r="AE82" i="25"/>
  <c r="AE83" i="25"/>
  <c r="AE84" i="25"/>
  <c r="AE85" i="25"/>
  <c r="AE86" i="25"/>
  <c r="AE87" i="25"/>
  <c r="AE88" i="25"/>
  <c r="AE89" i="25"/>
  <c r="AE90" i="25"/>
  <c r="AE91" i="25"/>
  <c r="AE92" i="25"/>
  <c r="AE93" i="25"/>
  <c r="AE94" i="25"/>
  <c r="AE95" i="25"/>
  <c r="AE96" i="25"/>
  <c r="AE97" i="25"/>
  <c r="AE98" i="25"/>
  <c r="AE99" i="25"/>
  <c r="AE100" i="25"/>
  <c r="AE101" i="25"/>
  <c r="AE102" i="25"/>
  <c r="AE103" i="25"/>
  <c r="AE104" i="25"/>
  <c r="AE105" i="25"/>
  <c r="J204" i="25"/>
  <c r="H40" i="27"/>
  <c r="C39" i="36"/>
  <c r="E39" i="35"/>
  <c r="F39" i="35"/>
  <c r="L33" i="23"/>
  <c r="M33" i="23"/>
  <c r="K33" i="23"/>
  <c r="N33" i="23"/>
  <c r="O33" i="23"/>
  <c r="L106" i="34"/>
  <c r="K106" i="34"/>
  <c r="M105" i="34"/>
  <c r="N106" i="34"/>
  <c r="O105" i="34"/>
  <c r="P106" i="34"/>
  <c r="AM106" i="34"/>
  <c r="L34" i="23"/>
  <c r="M34" i="23"/>
  <c r="K34" i="23"/>
  <c r="N34" i="23"/>
  <c r="O34" i="23"/>
  <c r="L107" i="34"/>
  <c r="K107" i="34"/>
  <c r="M106" i="34"/>
  <c r="N107" i="34"/>
  <c r="O106" i="34"/>
  <c r="P107" i="34"/>
  <c r="AM107" i="34"/>
  <c r="L35" i="23"/>
  <c r="M35" i="23"/>
  <c r="K35" i="23"/>
  <c r="N35" i="23"/>
  <c r="O35" i="23"/>
  <c r="L108" i="34"/>
  <c r="K108" i="34"/>
  <c r="M107" i="34"/>
  <c r="N108" i="34"/>
  <c r="O107" i="34"/>
  <c r="P108" i="34"/>
  <c r="AM108" i="34"/>
  <c r="L36" i="23"/>
  <c r="M36" i="23"/>
  <c r="K36" i="23"/>
  <c r="N36" i="23"/>
  <c r="O36" i="23"/>
  <c r="L109" i="34"/>
  <c r="K109" i="34"/>
  <c r="M108" i="34"/>
  <c r="N109" i="34"/>
  <c r="O108" i="34"/>
  <c r="P109" i="34"/>
  <c r="AM109" i="34"/>
  <c r="L37" i="23"/>
  <c r="M37" i="23"/>
  <c r="K37" i="23"/>
  <c r="N37" i="23"/>
  <c r="O37" i="23"/>
  <c r="L110" i="34"/>
  <c r="K110" i="34"/>
  <c r="M109" i="34"/>
  <c r="N110" i="34"/>
  <c r="O109" i="34"/>
  <c r="P110" i="34"/>
  <c r="AM110" i="34"/>
  <c r="L38" i="23"/>
  <c r="M38" i="23"/>
  <c r="K38" i="23"/>
  <c r="N38" i="23"/>
  <c r="O38" i="23"/>
  <c r="L111" i="34"/>
  <c r="K111" i="34"/>
  <c r="M110" i="34"/>
  <c r="N111" i="34"/>
  <c r="O110" i="34"/>
  <c r="P111" i="34"/>
  <c r="AM111" i="34"/>
  <c r="L39" i="23"/>
  <c r="M39" i="23"/>
  <c r="K39" i="23"/>
  <c r="N39" i="23"/>
  <c r="O39" i="23"/>
  <c r="L112" i="34"/>
  <c r="K112" i="34"/>
  <c r="M111" i="34"/>
  <c r="N112" i="34"/>
  <c r="O111" i="34"/>
  <c r="P112" i="34"/>
  <c r="AM112" i="34"/>
  <c r="L40" i="23"/>
  <c r="M40" i="23"/>
  <c r="K40" i="23"/>
  <c r="N40" i="23"/>
  <c r="O40" i="23"/>
  <c r="L113" i="34"/>
  <c r="K113" i="34"/>
  <c r="M112" i="34"/>
  <c r="N113" i="34"/>
  <c r="O112" i="34"/>
  <c r="P113" i="34"/>
  <c r="AM113" i="34"/>
  <c r="L41" i="23"/>
  <c r="M41" i="23"/>
  <c r="K41" i="23"/>
  <c r="N41" i="23"/>
  <c r="O41" i="23"/>
  <c r="L114" i="34"/>
  <c r="K114" i="34"/>
  <c r="M113" i="34"/>
  <c r="N114" i="34"/>
  <c r="O113" i="34"/>
  <c r="P114" i="34"/>
  <c r="AM114" i="34"/>
  <c r="L42" i="23"/>
  <c r="M42" i="23"/>
  <c r="K42" i="23"/>
  <c r="N42" i="23"/>
  <c r="O42" i="23"/>
  <c r="L115" i="34"/>
  <c r="K115" i="34"/>
  <c r="M114" i="34"/>
  <c r="N115" i="34"/>
  <c r="O114" i="34"/>
  <c r="P115" i="34"/>
  <c r="AM115" i="34"/>
  <c r="L43" i="23"/>
  <c r="M43" i="23"/>
  <c r="K43" i="23"/>
  <c r="N43" i="23"/>
  <c r="O43" i="23"/>
  <c r="L116" i="34"/>
  <c r="K116" i="34"/>
  <c r="M115" i="34"/>
  <c r="N116" i="34"/>
  <c r="O115" i="34"/>
  <c r="P116" i="34"/>
  <c r="AM116" i="34"/>
  <c r="L44" i="23"/>
  <c r="M44" i="23"/>
  <c r="K44" i="23"/>
  <c r="N44" i="23"/>
  <c r="O44" i="23"/>
  <c r="L117" i="34"/>
  <c r="K117" i="34"/>
  <c r="M116" i="34"/>
  <c r="N117" i="34"/>
  <c r="O116" i="34"/>
  <c r="P117" i="34"/>
  <c r="AM117" i="34"/>
  <c r="L45" i="23"/>
  <c r="M45" i="23"/>
  <c r="K45" i="23"/>
  <c r="N45" i="23"/>
  <c r="O45" i="23"/>
  <c r="L118" i="34"/>
  <c r="K118" i="34"/>
  <c r="M117" i="34"/>
  <c r="N118" i="34"/>
  <c r="O117" i="34"/>
  <c r="P118" i="34"/>
  <c r="AM118" i="34"/>
  <c r="L46" i="23"/>
  <c r="M46" i="23"/>
  <c r="K46" i="23"/>
  <c r="N46" i="23"/>
  <c r="O46" i="23"/>
  <c r="L119" i="34"/>
  <c r="K119" i="34"/>
  <c r="M118" i="34"/>
  <c r="N119" i="34"/>
  <c r="O118" i="34"/>
  <c r="P119" i="34"/>
  <c r="AM119" i="34"/>
  <c r="L47" i="23"/>
  <c r="M47" i="23"/>
  <c r="K47" i="23"/>
  <c r="N47" i="23"/>
  <c r="O47" i="23"/>
  <c r="L120" i="34"/>
  <c r="K120" i="34"/>
  <c r="M119" i="34"/>
  <c r="N120" i="34"/>
  <c r="O119" i="34"/>
  <c r="P120" i="34"/>
  <c r="AM120" i="34"/>
  <c r="L48" i="23"/>
  <c r="M48" i="23"/>
  <c r="K48" i="23"/>
  <c r="N48" i="23"/>
  <c r="O48" i="23"/>
  <c r="L121" i="34"/>
  <c r="K121" i="34"/>
  <c r="M120" i="34"/>
  <c r="N121" i="34"/>
  <c r="O120" i="34"/>
  <c r="P121" i="34"/>
  <c r="AM121" i="34"/>
  <c r="L49" i="23"/>
  <c r="M49" i="23"/>
  <c r="K49" i="23"/>
  <c r="N49" i="23"/>
  <c r="O49" i="23"/>
  <c r="L122" i="34"/>
  <c r="K122" i="34"/>
  <c r="M121" i="34"/>
  <c r="N122" i="34"/>
  <c r="O121" i="34"/>
  <c r="P122" i="34"/>
  <c r="AM122" i="34"/>
  <c r="L50" i="23"/>
  <c r="M50" i="23"/>
  <c r="K50" i="23"/>
  <c r="N50" i="23"/>
  <c r="O50" i="23"/>
  <c r="L123" i="34"/>
  <c r="K123" i="34"/>
  <c r="M122" i="34"/>
  <c r="N123" i="34"/>
  <c r="O122" i="34"/>
  <c r="P123" i="34"/>
  <c r="AM123" i="34"/>
  <c r="L51" i="23"/>
  <c r="M51" i="23"/>
  <c r="K51" i="23"/>
  <c r="N51" i="23"/>
  <c r="O51" i="23"/>
  <c r="L124" i="34"/>
  <c r="K124" i="34"/>
  <c r="M123" i="34"/>
  <c r="N124" i="34"/>
  <c r="O123" i="34"/>
  <c r="P124" i="34"/>
  <c r="AM124" i="34"/>
  <c r="K125" i="34"/>
  <c r="M124" i="34"/>
  <c r="N125" i="34"/>
  <c r="O124" i="34"/>
  <c r="P125" i="34"/>
  <c r="AM125" i="34"/>
  <c r="P213" i="34"/>
  <c r="M45" i="37"/>
  <c r="AK106" i="34"/>
  <c r="AK107" i="34"/>
  <c r="AK108" i="34"/>
  <c r="AK109" i="34"/>
  <c r="AK110" i="34"/>
  <c r="AK111" i="34"/>
  <c r="AK112" i="34"/>
  <c r="AK113" i="34"/>
  <c r="AK114" i="34"/>
  <c r="AK115" i="34"/>
  <c r="AK116" i="34"/>
  <c r="AK117" i="34"/>
  <c r="AK118" i="34"/>
  <c r="AK119" i="34"/>
  <c r="AK120" i="34"/>
  <c r="AK121" i="34"/>
  <c r="AK122" i="34"/>
  <c r="AK123" i="34"/>
  <c r="AK124" i="34"/>
  <c r="AK125" i="34"/>
  <c r="AK126" i="34"/>
  <c r="AK127" i="34"/>
  <c r="AK128" i="34"/>
  <c r="AK129" i="34"/>
  <c r="AK130" i="34"/>
  <c r="AK131" i="34"/>
  <c r="AK132" i="34"/>
  <c r="AK133" i="34"/>
  <c r="AK134" i="34"/>
  <c r="AK135" i="34"/>
  <c r="N213" i="34"/>
  <c r="K45" i="37"/>
  <c r="AL106" i="34"/>
  <c r="AL107" i="34"/>
  <c r="AL108" i="34"/>
  <c r="AL109" i="34"/>
  <c r="AL110" i="34"/>
  <c r="AL111" i="34"/>
  <c r="AL112" i="34"/>
  <c r="AL113" i="34"/>
  <c r="AL114" i="34"/>
  <c r="AL115" i="34"/>
  <c r="AL116" i="34"/>
  <c r="AL117" i="34"/>
  <c r="AL118" i="34"/>
  <c r="AL119" i="34"/>
  <c r="AL120" i="34"/>
  <c r="AL121" i="34"/>
  <c r="AL122" i="34"/>
  <c r="AL123" i="34"/>
  <c r="AL124" i="34"/>
  <c r="AL125" i="34"/>
  <c r="AL126" i="34"/>
  <c r="AL127" i="34"/>
  <c r="AL128" i="34"/>
  <c r="AL129" i="34"/>
  <c r="AL130" i="34"/>
  <c r="AL131" i="34"/>
  <c r="AL132" i="34"/>
  <c r="AL133" i="34"/>
  <c r="AL134" i="34"/>
  <c r="AL135" i="34"/>
  <c r="O213" i="34"/>
  <c r="L45" i="37"/>
  <c r="AJ106" i="34"/>
  <c r="AJ107" i="34"/>
  <c r="AJ108" i="34"/>
  <c r="AJ109" i="34"/>
  <c r="AJ110" i="34"/>
  <c r="AJ111" i="34"/>
  <c r="AJ112" i="34"/>
  <c r="AJ113" i="34"/>
  <c r="AJ114" i="34"/>
  <c r="AJ115" i="34"/>
  <c r="AJ116" i="34"/>
  <c r="AJ117" i="34"/>
  <c r="AJ118" i="34"/>
  <c r="AJ119" i="34"/>
  <c r="AJ120" i="34"/>
  <c r="AJ121" i="34"/>
  <c r="AJ122" i="34"/>
  <c r="AJ123" i="34"/>
  <c r="AJ124" i="34"/>
  <c r="AJ125" i="34"/>
  <c r="K213" i="34"/>
  <c r="I45" i="37"/>
  <c r="J142" i="14"/>
  <c r="G142" i="14"/>
  <c r="N142" i="14"/>
  <c r="I142" i="14"/>
  <c r="C142" i="13"/>
  <c r="C25" i="3"/>
  <c r="E25" i="3"/>
  <c r="D25" i="3"/>
  <c r="B25" i="3"/>
  <c r="F25" i="3"/>
  <c r="H25" i="3"/>
  <c r="F142" i="14"/>
  <c r="M142" i="14"/>
  <c r="C24" i="47"/>
  <c r="Q141" i="5"/>
  <c r="C144" i="48"/>
  <c r="J141" i="42"/>
  <c r="K141" i="42"/>
  <c r="L26" i="3"/>
  <c r="C26" i="3"/>
  <c r="E26" i="3"/>
  <c r="D26" i="3"/>
  <c r="B26" i="3"/>
  <c r="F26" i="3"/>
  <c r="C145" i="48"/>
  <c r="J142" i="42"/>
  <c r="K142" i="42"/>
  <c r="P216" i="34"/>
  <c r="M48" i="37"/>
  <c r="AK136" i="34"/>
  <c r="AK137" i="34"/>
  <c r="AK138" i="34"/>
  <c r="AK139" i="34"/>
  <c r="AK140" i="34"/>
  <c r="AK141" i="34"/>
  <c r="AK142" i="34"/>
  <c r="AK143" i="34"/>
  <c r="AK144" i="34"/>
  <c r="AK145" i="34"/>
  <c r="AK146" i="34"/>
  <c r="AK147" i="34"/>
  <c r="AK148" i="34"/>
  <c r="AK149" i="34"/>
  <c r="AK150" i="34"/>
  <c r="AK151" i="34"/>
  <c r="AK152" i="34"/>
  <c r="AK153" i="34"/>
  <c r="AK154" i="34"/>
  <c r="AK155" i="34"/>
  <c r="AK156" i="34"/>
  <c r="AK157" i="34"/>
  <c r="AK158" i="34"/>
  <c r="AK159" i="34"/>
  <c r="AK160" i="34"/>
  <c r="AK161" i="34"/>
  <c r="AK162" i="34"/>
  <c r="AK163" i="34"/>
  <c r="AK164" i="34"/>
  <c r="AK165" i="34"/>
  <c r="N216" i="34"/>
  <c r="K48" i="37"/>
  <c r="AL136" i="34"/>
  <c r="AL137" i="34"/>
  <c r="AL138" i="34"/>
  <c r="AL139" i="34"/>
  <c r="AL140" i="34"/>
  <c r="AL141" i="34"/>
  <c r="AL142" i="34"/>
  <c r="AL143" i="34"/>
  <c r="AL144" i="34"/>
  <c r="AL145" i="34"/>
  <c r="AL146" i="34"/>
  <c r="AL147" i="34"/>
  <c r="AL148" i="34"/>
  <c r="AL149" i="34"/>
  <c r="AL150" i="34"/>
  <c r="AL151" i="34"/>
  <c r="AL152" i="34"/>
  <c r="AL153" i="34"/>
  <c r="AL154" i="34"/>
  <c r="AL155" i="34"/>
  <c r="AL156" i="34"/>
  <c r="AL157" i="34"/>
  <c r="AL158" i="34"/>
  <c r="AL159" i="34"/>
  <c r="AL160" i="34"/>
  <c r="AL161" i="34"/>
  <c r="AL162" i="34"/>
  <c r="AL163" i="34"/>
  <c r="AL164" i="34"/>
  <c r="AL165" i="34"/>
  <c r="O216" i="34"/>
  <c r="L48" i="37"/>
  <c r="K216" i="34"/>
  <c r="I48" i="37"/>
  <c r="Q142" i="5"/>
  <c r="C25" i="47"/>
  <c r="J216" i="25"/>
  <c r="H49" i="27"/>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H216" i="25"/>
  <c r="F49" i="27"/>
  <c r="AD136" i="25"/>
  <c r="AD137" i="25"/>
  <c r="AD138" i="25"/>
  <c r="AD139" i="25"/>
  <c r="AD140" i="25"/>
  <c r="AD141" i="25"/>
  <c r="AD142" i="25"/>
  <c r="AD143" i="25"/>
  <c r="AD144" i="25"/>
  <c r="AD145" i="25"/>
  <c r="AD146" i="25"/>
  <c r="AD147" i="25"/>
  <c r="AD148" i="25"/>
  <c r="AD149" i="25"/>
  <c r="AD150" i="25"/>
  <c r="AD151" i="25"/>
  <c r="AD152" i="25"/>
  <c r="AD153" i="25"/>
  <c r="AD154" i="25"/>
  <c r="AD155" i="25"/>
  <c r="AD156" i="25"/>
  <c r="AD157" i="25"/>
  <c r="AD158" i="25"/>
  <c r="AD159" i="25"/>
  <c r="AD160" i="25"/>
  <c r="AD161" i="25"/>
  <c r="AD162" i="25"/>
  <c r="AD163" i="25"/>
  <c r="AD164" i="25"/>
  <c r="AD165" i="25"/>
  <c r="I216" i="25"/>
  <c r="G49" i="27"/>
  <c r="H26" i="3"/>
  <c r="K48" i="36"/>
  <c r="M48" i="36"/>
  <c r="E48" i="35"/>
  <c r="G48" i="35"/>
  <c r="B48" i="52"/>
  <c r="I48" i="52"/>
  <c r="M48" i="52"/>
  <c r="G216" i="34"/>
  <c r="D48" i="37"/>
  <c r="G216" i="25"/>
  <c r="D49" i="27"/>
  <c r="B48" i="41"/>
  <c r="J48" i="41"/>
  <c r="L48" i="41"/>
  <c r="B136" i="39"/>
  <c r="G201" i="34"/>
  <c r="D36" i="37"/>
  <c r="G201" i="25"/>
  <c r="D37" i="27"/>
  <c r="B36" i="41"/>
  <c r="J36" i="41"/>
  <c r="B36" i="52"/>
  <c r="I36" i="52"/>
  <c r="M36" i="52"/>
  <c r="K36" i="36"/>
  <c r="L36" i="36"/>
  <c r="J195" i="25"/>
  <c r="H31" i="27"/>
  <c r="J201" i="25"/>
  <c r="H37" i="27"/>
  <c r="E36" i="35"/>
  <c r="F36" i="35"/>
  <c r="J143" i="14"/>
  <c r="G143" i="14"/>
  <c r="N143" i="14"/>
  <c r="I143" i="14"/>
  <c r="C143" i="13"/>
  <c r="C27" i="3"/>
  <c r="E27" i="3"/>
  <c r="D27" i="3"/>
  <c r="B27" i="3"/>
  <c r="F27" i="3"/>
  <c r="H27" i="3"/>
  <c r="F143" i="14"/>
  <c r="M143" i="14"/>
  <c r="C26" i="47"/>
  <c r="Q143" i="5"/>
  <c r="L27" i="3"/>
  <c r="AC26" i="25"/>
  <c r="AC27" i="25"/>
  <c r="AC28" i="25"/>
  <c r="AC29" i="25"/>
  <c r="G29" i="25"/>
  <c r="H30" i="25"/>
  <c r="AC30" i="25"/>
  <c r="AC31" i="25"/>
  <c r="AC32" i="25"/>
  <c r="AC33" i="25"/>
  <c r="AC34" i="25"/>
  <c r="AC35" i="25"/>
  <c r="AC36" i="25"/>
  <c r="AC37" i="25"/>
  <c r="AC38" i="25"/>
  <c r="AC39" i="25"/>
  <c r="G39" i="25"/>
  <c r="H40"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H68" i="25"/>
  <c r="AC68" i="25"/>
  <c r="AC69" i="25"/>
  <c r="AC70" i="25"/>
  <c r="AC71" i="25"/>
  <c r="AC72" i="25"/>
  <c r="AC73" i="25"/>
  <c r="AC74" i="25"/>
  <c r="H75"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H195" i="25"/>
  <c r="F31" i="27"/>
  <c r="I25" i="25"/>
  <c r="AD26" i="25"/>
  <c r="I26" i="25"/>
  <c r="AD27" i="25"/>
  <c r="I27" i="25"/>
  <c r="AD28" i="25"/>
  <c r="I28" i="25"/>
  <c r="AD29" i="25"/>
  <c r="I29" i="25"/>
  <c r="AD30" i="25"/>
  <c r="I30" i="25"/>
  <c r="AD31" i="25"/>
  <c r="I31" i="25"/>
  <c r="AD32" i="25"/>
  <c r="I32" i="25"/>
  <c r="AD33" i="25"/>
  <c r="I33" i="25"/>
  <c r="AD34" i="25"/>
  <c r="I34" i="25"/>
  <c r="AD35" i="25"/>
  <c r="I35" i="25"/>
  <c r="AD36" i="25"/>
  <c r="I36" i="25"/>
  <c r="AD37" i="25"/>
  <c r="I37" i="25"/>
  <c r="AD38" i="25"/>
  <c r="I38" i="25"/>
  <c r="AD39" i="25"/>
  <c r="I39" i="25"/>
  <c r="AD40" i="25"/>
  <c r="I40" i="25"/>
  <c r="AD41" i="25"/>
  <c r="I41" i="25"/>
  <c r="AD42" i="25"/>
  <c r="I42" i="25"/>
  <c r="AD43" i="25"/>
  <c r="I43" i="25"/>
  <c r="AD44" i="25"/>
  <c r="I44" i="25"/>
  <c r="AD45" i="25"/>
  <c r="I45" i="25"/>
  <c r="AD46" i="25"/>
  <c r="I46" i="25"/>
  <c r="AD47" i="25"/>
  <c r="I47" i="25"/>
  <c r="AD48" i="25"/>
  <c r="I48" i="25"/>
  <c r="AD49" i="25"/>
  <c r="I49" i="25"/>
  <c r="AD50" i="25"/>
  <c r="I50" i="25"/>
  <c r="AD51" i="25"/>
  <c r="I51" i="25"/>
  <c r="AD52" i="25"/>
  <c r="I52" i="25"/>
  <c r="AD53" i="25"/>
  <c r="I53" i="25"/>
  <c r="AD54" i="25"/>
  <c r="I54" i="25"/>
  <c r="AD55" i="25"/>
  <c r="I55" i="25"/>
  <c r="AD56" i="25"/>
  <c r="I56" i="25"/>
  <c r="AD57" i="25"/>
  <c r="I57" i="25"/>
  <c r="AD58" i="25"/>
  <c r="I58" i="25"/>
  <c r="AD59" i="25"/>
  <c r="I59" i="25"/>
  <c r="AD60" i="25"/>
  <c r="I60" i="25"/>
  <c r="AD61" i="25"/>
  <c r="I61" i="25"/>
  <c r="AD62" i="25"/>
  <c r="I62" i="25"/>
  <c r="AD63" i="25"/>
  <c r="I63" i="25"/>
  <c r="AD64" i="25"/>
  <c r="I64" i="25"/>
  <c r="AD65" i="25"/>
  <c r="I65" i="25"/>
  <c r="AD66" i="25"/>
  <c r="I66" i="25"/>
  <c r="AD67" i="25"/>
  <c r="I67" i="25"/>
  <c r="AD68" i="25"/>
  <c r="I68" i="25"/>
  <c r="AD69" i="25"/>
  <c r="I69" i="25"/>
  <c r="AD70" i="25"/>
  <c r="I70" i="25"/>
  <c r="AD71" i="25"/>
  <c r="I71" i="25"/>
  <c r="AD72" i="25"/>
  <c r="I72" i="25"/>
  <c r="AD73" i="25"/>
  <c r="I73" i="25"/>
  <c r="AD74" i="25"/>
  <c r="I74" i="25"/>
  <c r="AD75" i="25"/>
  <c r="AD76" i="25"/>
  <c r="AD77" i="25"/>
  <c r="AD78" i="25"/>
  <c r="AD79" i="25"/>
  <c r="AD80" i="25"/>
  <c r="AD81" i="25"/>
  <c r="AD82" i="25"/>
  <c r="AD83" i="25"/>
  <c r="AD84" i="25"/>
  <c r="AD85" i="25"/>
  <c r="AD86" i="25"/>
  <c r="AD87" i="25"/>
  <c r="AD88" i="25"/>
  <c r="AD89" i="25"/>
  <c r="AD90" i="25"/>
  <c r="AD91" i="25"/>
  <c r="AD92" i="25"/>
  <c r="AD93" i="25"/>
  <c r="AD94" i="25"/>
  <c r="AD95" i="25"/>
  <c r="AD96" i="25"/>
  <c r="AD97" i="25"/>
  <c r="AD98" i="25"/>
  <c r="AD99" i="25"/>
  <c r="AD100" i="25"/>
  <c r="AD101" i="25"/>
  <c r="AD102" i="25"/>
  <c r="AD103" i="25"/>
  <c r="AD104" i="25"/>
  <c r="AD105" i="25"/>
  <c r="I195" i="25"/>
  <c r="G31" i="27"/>
  <c r="C25" i="25"/>
  <c r="C195" i="25"/>
  <c r="C31" i="27"/>
  <c r="L66" i="34"/>
  <c r="L65" i="34"/>
  <c r="K66" i="34"/>
  <c r="M65" i="34"/>
  <c r="N66" i="34"/>
  <c r="O65" i="34"/>
  <c r="P66" i="34"/>
  <c r="AM66" i="34"/>
  <c r="L67" i="34"/>
  <c r="K67" i="34"/>
  <c r="M66" i="34"/>
  <c r="N67" i="34"/>
  <c r="O66" i="34"/>
  <c r="P67" i="34"/>
  <c r="AM67" i="34"/>
  <c r="L68" i="34"/>
  <c r="K68" i="34"/>
  <c r="M67" i="34"/>
  <c r="N68" i="34"/>
  <c r="O67" i="34"/>
  <c r="P68" i="34"/>
  <c r="AM68" i="34"/>
  <c r="L69" i="34"/>
  <c r="K69" i="34"/>
  <c r="M68" i="34"/>
  <c r="N69" i="34"/>
  <c r="O68" i="34"/>
  <c r="P69" i="34"/>
  <c r="AM69" i="34"/>
  <c r="L70" i="34"/>
  <c r="K70" i="34"/>
  <c r="M69" i="34"/>
  <c r="N70" i="34"/>
  <c r="O69" i="34"/>
  <c r="P70" i="34"/>
  <c r="AM70" i="34"/>
  <c r="L71" i="34"/>
  <c r="K71" i="34"/>
  <c r="M70" i="34"/>
  <c r="N71" i="34"/>
  <c r="O70" i="34"/>
  <c r="P71" i="34"/>
  <c r="AM71" i="34"/>
  <c r="L72" i="34"/>
  <c r="K72" i="34"/>
  <c r="M71" i="34"/>
  <c r="N72" i="34"/>
  <c r="O71" i="34"/>
  <c r="P72" i="34"/>
  <c r="AM72" i="34"/>
  <c r="L73" i="34"/>
  <c r="K73" i="34"/>
  <c r="M72" i="34"/>
  <c r="N73" i="34"/>
  <c r="O72" i="34"/>
  <c r="P73" i="34"/>
  <c r="AM73" i="34"/>
  <c r="L74" i="34"/>
  <c r="K74" i="34"/>
  <c r="M73" i="34"/>
  <c r="N74" i="34"/>
  <c r="O73" i="34"/>
  <c r="P74" i="34"/>
  <c r="AM74" i="34"/>
  <c r="L75" i="34"/>
  <c r="K75" i="34"/>
  <c r="B90" i="32"/>
  <c r="M74" i="34"/>
  <c r="N75" i="34"/>
  <c r="O74" i="34"/>
  <c r="P75" i="34"/>
  <c r="AM75" i="34"/>
  <c r="L76" i="34"/>
  <c r="K76" i="34"/>
  <c r="M75" i="34"/>
  <c r="N76" i="34"/>
  <c r="O75" i="34"/>
  <c r="P76" i="34"/>
  <c r="AM76" i="34"/>
  <c r="L77" i="34"/>
  <c r="K77" i="34"/>
  <c r="M76" i="34"/>
  <c r="N77" i="34"/>
  <c r="O76" i="34"/>
  <c r="P77" i="34"/>
  <c r="AM77" i="34"/>
  <c r="L78" i="34"/>
  <c r="K78" i="34"/>
  <c r="M77" i="34"/>
  <c r="N78" i="34"/>
  <c r="O77" i="34"/>
  <c r="P78" i="34"/>
  <c r="AM78" i="34"/>
  <c r="L79" i="34"/>
  <c r="K79" i="34"/>
  <c r="M78" i="34"/>
  <c r="N79" i="34"/>
  <c r="O78" i="34"/>
  <c r="P79" i="34"/>
  <c r="AM79" i="34"/>
  <c r="L80" i="34"/>
  <c r="K80" i="34"/>
  <c r="M79" i="34"/>
  <c r="N80" i="34"/>
  <c r="O79" i="34"/>
  <c r="P80" i="34"/>
  <c r="AM80" i="34"/>
  <c r="L81" i="34"/>
  <c r="K81" i="34"/>
  <c r="M80" i="34"/>
  <c r="N81" i="34"/>
  <c r="O80" i="34"/>
  <c r="P81" i="34"/>
  <c r="AM81" i="34"/>
  <c r="L82" i="34"/>
  <c r="K82" i="34"/>
  <c r="M81" i="34"/>
  <c r="N82" i="34"/>
  <c r="O81" i="34"/>
  <c r="P82" i="34"/>
  <c r="AM82" i="34"/>
  <c r="L83" i="34"/>
  <c r="K83" i="34"/>
  <c r="M82" i="34"/>
  <c r="N83" i="34"/>
  <c r="O82" i="34"/>
  <c r="P83" i="34"/>
  <c r="AM83" i="34"/>
  <c r="L11" i="23"/>
  <c r="M11" i="23"/>
  <c r="K11" i="23"/>
  <c r="N11" i="23"/>
  <c r="O11" i="23"/>
  <c r="L84" i="34"/>
  <c r="K84" i="34"/>
  <c r="M83" i="34"/>
  <c r="N84" i="34"/>
  <c r="O83" i="34"/>
  <c r="P84" i="34"/>
  <c r="AM84" i="34"/>
  <c r="L12" i="23"/>
  <c r="M12" i="23"/>
  <c r="K12" i="23"/>
  <c r="N12" i="23"/>
  <c r="O12" i="23"/>
  <c r="L85" i="34"/>
  <c r="K85" i="34"/>
  <c r="M84" i="34"/>
  <c r="N85" i="34"/>
  <c r="O84" i="34"/>
  <c r="P85" i="34"/>
  <c r="AM85" i="34"/>
  <c r="L13" i="23"/>
  <c r="M13" i="23"/>
  <c r="K13" i="23"/>
  <c r="N13" i="23"/>
  <c r="O13" i="23"/>
  <c r="L86" i="34"/>
  <c r="K86" i="34"/>
  <c r="M85" i="34"/>
  <c r="N86" i="34"/>
  <c r="O85" i="34"/>
  <c r="P86" i="34"/>
  <c r="AM86" i="34"/>
  <c r="L14" i="23"/>
  <c r="M14" i="23"/>
  <c r="K14" i="23"/>
  <c r="N14" i="23"/>
  <c r="O14" i="23"/>
  <c r="L87" i="34"/>
  <c r="K87" i="34"/>
  <c r="M86" i="34"/>
  <c r="N87" i="34"/>
  <c r="O86" i="34"/>
  <c r="P87" i="34"/>
  <c r="AM87" i="34"/>
  <c r="L15" i="23"/>
  <c r="M15" i="23"/>
  <c r="K15" i="23"/>
  <c r="N15" i="23"/>
  <c r="O15" i="23"/>
  <c r="L88" i="34"/>
  <c r="K88" i="34"/>
  <c r="M87" i="34"/>
  <c r="N88" i="34"/>
  <c r="O87" i="34"/>
  <c r="P88" i="34"/>
  <c r="AM88" i="34"/>
  <c r="L16" i="23"/>
  <c r="M16" i="23"/>
  <c r="K16" i="23"/>
  <c r="N16" i="23"/>
  <c r="O16" i="23"/>
  <c r="L89" i="34"/>
  <c r="K89" i="34"/>
  <c r="M88" i="34"/>
  <c r="N89" i="34"/>
  <c r="O88" i="34"/>
  <c r="P89" i="34"/>
  <c r="AM89" i="34"/>
  <c r="L17" i="23"/>
  <c r="M17" i="23"/>
  <c r="K17" i="23"/>
  <c r="N17" i="23"/>
  <c r="O17" i="23"/>
  <c r="L90" i="34"/>
  <c r="K90" i="34"/>
  <c r="M89" i="34"/>
  <c r="N90" i="34"/>
  <c r="O89" i="34"/>
  <c r="P90" i="34"/>
  <c r="AM90" i="34"/>
  <c r="L18" i="23"/>
  <c r="M18" i="23"/>
  <c r="K18" i="23"/>
  <c r="N18" i="23"/>
  <c r="O18" i="23"/>
  <c r="L91" i="34"/>
  <c r="K91" i="34"/>
  <c r="M90" i="34"/>
  <c r="N91" i="34"/>
  <c r="O90" i="34"/>
  <c r="P91" i="34"/>
  <c r="AM91" i="34"/>
  <c r="L19" i="23"/>
  <c r="M19" i="23"/>
  <c r="K19" i="23"/>
  <c r="N19" i="23"/>
  <c r="O19" i="23"/>
  <c r="L92" i="34"/>
  <c r="K92" i="34"/>
  <c r="M91" i="34"/>
  <c r="N92" i="34"/>
  <c r="O91" i="34"/>
  <c r="P92" i="34"/>
  <c r="AM92" i="34"/>
  <c r="L20" i="23"/>
  <c r="M20" i="23"/>
  <c r="K20" i="23"/>
  <c r="N20" i="23"/>
  <c r="O20" i="23"/>
  <c r="L93" i="34"/>
  <c r="K93" i="34"/>
  <c r="M92" i="34"/>
  <c r="N93" i="34"/>
  <c r="O92" i="34"/>
  <c r="P93" i="34"/>
  <c r="AM93" i="34"/>
  <c r="L21" i="23"/>
  <c r="M21" i="23"/>
  <c r="K21" i="23"/>
  <c r="N21" i="23"/>
  <c r="O21" i="23"/>
  <c r="L94" i="34"/>
  <c r="K94" i="34"/>
  <c r="M93" i="34"/>
  <c r="N94" i="34"/>
  <c r="O93" i="34"/>
  <c r="P94" i="34"/>
  <c r="AM94" i="34"/>
  <c r="L22" i="23"/>
  <c r="M22" i="23"/>
  <c r="K22" i="23"/>
  <c r="N22" i="23"/>
  <c r="O22" i="23"/>
  <c r="L95" i="34"/>
  <c r="K95" i="34"/>
  <c r="M94" i="34"/>
  <c r="N95" i="34"/>
  <c r="O94" i="34"/>
  <c r="P95" i="34"/>
  <c r="AM95" i="34"/>
  <c r="L23" i="23"/>
  <c r="M23" i="23"/>
  <c r="K23" i="23"/>
  <c r="N23" i="23"/>
  <c r="O23" i="23"/>
  <c r="L96" i="34"/>
  <c r="K96" i="34"/>
  <c r="M95" i="34"/>
  <c r="N96" i="34"/>
  <c r="O95" i="34"/>
  <c r="P96" i="34"/>
  <c r="AM96" i="34"/>
  <c r="L24" i="23"/>
  <c r="M24" i="23"/>
  <c r="K24" i="23"/>
  <c r="N24" i="23"/>
  <c r="O24" i="23"/>
  <c r="L97" i="34"/>
  <c r="K97" i="34"/>
  <c r="M96" i="34"/>
  <c r="N97" i="34"/>
  <c r="O96" i="34"/>
  <c r="P97" i="34"/>
  <c r="AM97" i="34"/>
  <c r="L25" i="23"/>
  <c r="M25" i="23"/>
  <c r="K25" i="23"/>
  <c r="N25" i="23"/>
  <c r="O25" i="23"/>
  <c r="L98" i="34"/>
  <c r="K98" i="34"/>
  <c r="M97" i="34"/>
  <c r="N98" i="34"/>
  <c r="O97" i="34"/>
  <c r="P98" i="34"/>
  <c r="AM98" i="34"/>
  <c r="L26" i="23"/>
  <c r="M26" i="23"/>
  <c r="K26" i="23"/>
  <c r="N26" i="23"/>
  <c r="O26" i="23"/>
  <c r="L99" i="34"/>
  <c r="K99" i="34"/>
  <c r="M98" i="34"/>
  <c r="N99" i="34"/>
  <c r="O98" i="34"/>
  <c r="P99" i="34"/>
  <c r="AM99" i="34"/>
  <c r="L27" i="23"/>
  <c r="M27" i="23"/>
  <c r="K27" i="23"/>
  <c r="N27" i="23"/>
  <c r="O27" i="23"/>
  <c r="L100" i="34"/>
  <c r="K100" i="34"/>
  <c r="M99" i="34"/>
  <c r="N100" i="34"/>
  <c r="O99" i="34"/>
  <c r="P100" i="34"/>
  <c r="AM100" i="34"/>
  <c r="L28" i="23"/>
  <c r="M28" i="23"/>
  <c r="K28" i="23"/>
  <c r="N28" i="23"/>
  <c r="O28" i="23"/>
  <c r="L101" i="34"/>
  <c r="K101" i="34"/>
  <c r="M100" i="34"/>
  <c r="N101" i="34"/>
  <c r="O100" i="34"/>
  <c r="P101" i="34"/>
  <c r="AM101" i="34"/>
  <c r="L29" i="23"/>
  <c r="M29" i="23"/>
  <c r="K29" i="23"/>
  <c r="N29" i="23"/>
  <c r="O29" i="23"/>
  <c r="L102" i="34"/>
  <c r="K102" i="34"/>
  <c r="M101" i="34"/>
  <c r="N102" i="34"/>
  <c r="O101" i="34"/>
  <c r="P102" i="34"/>
  <c r="AM102" i="34"/>
  <c r="L30" i="23"/>
  <c r="M30" i="23"/>
  <c r="K30" i="23"/>
  <c r="N30" i="23"/>
  <c r="O30" i="23"/>
  <c r="L103" i="34"/>
  <c r="K103" i="34"/>
  <c r="M102" i="34"/>
  <c r="N103" i="34"/>
  <c r="O102" i="34"/>
  <c r="P103" i="34"/>
  <c r="AM103" i="34"/>
  <c r="L31" i="23"/>
  <c r="M31" i="23"/>
  <c r="K31" i="23"/>
  <c r="N31" i="23"/>
  <c r="O31" i="23"/>
  <c r="L104" i="34"/>
  <c r="K104" i="34"/>
  <c r="M103" i="34"/>
  <c r="N104" i="34"/>
  <c r="O103" i="34"/>
  <c r="P104" i="34"/>
  <c r="AM104" i="34"/>
  <c r="K105" i="34"/>
  <c r="M104" i="34"/>
  <c r="N105" i="34"/>
  <c r="O104" i="34"/>
  <c r="P105" i="34"/>
  <c r="AM105" i="34"/>
  <c r="P204" i="34"/>
  <c r="M39" i="37"/>
  <c r="P210" i="34"/>
  <c r="M42" i="37"/>
  <c r="M36" i="37"/>
  <c r="AK66" i="34"/>
  <c r="AK67" i="34"/>
  <c r="AK68" i="34"/>
  <c r="AK69" i="34"/>
  <c r="AK70" i="34"/>
  <c r="AK71" i="34"/>
  <c r="AK72" i="34"/>
  <c r="AK73" i="34"/>
  <c r="AK74" i="34"/>
  <c r="AK75" i="34"/>
  <c r="AK76" i="34"/>
  <c r="AK77" i="34"/>
  <c r="AK78" i="34"/>
  <c r="AK79" i="34"/>
  <c r="AK80" i="34"/>
  <c r="AK81" i="34"/>
  <c r="AK82" i="34"/>
  <c r="AK83" i="34"/>
  <c r="AK84" i="34"/>
  <c r="AK85" i="34"/>
  <c r="AK86" i="34"/>
  <c r="AK87" i="34"/>
  <c r="AK88" i="34"/>
  <c r="AK89" i="34"/>
  <c r="AK90" i="34"/>
  <c r="AK91" i="34"/>
  <c r="AK92" i="34"/>
  <c r="AK93" i="34"/>
  <c r="AK94" i="34"/>
  <c r="AK95" i="34"/>
  <c r="AK96" i="34"/>
  <c r="AK97" i="34"/>
  <c r="AK98" i="34"/>
  <c r="AK99" i="34"/>
  <c r="AK100" i="34"/>
  <c r="AK101" i="34"/>
  <c r="AK102" i="34"/>
  <c r="AK103" i="34"/>
  <c r="AK104" i="34"/>
  <c r="AK105" i="34"/>
  <c r="N204" i="34"/>
  <c r="K39" i="37"/>
  <c r="N210" i="34"/>
  <c r="K42" i="37"/>
  <c r="K36" i="37"/>
  <c r="AL66" i="34"/>
  <c r="AL67" i="34"/>
  <c r="AL68" i="34"/>
  <c r="AL69" i="34"/>
  <c r="AL70" i="34"/>
  <c r="AL71" i="34"/>
  <c r="AL72" i="34"/>
  <c r="AL73" i="34"/>
  <c r="AL74" i="34"/>
  <c r="AL75" i="34"/>
  <c r="AL76" i="34"/>
  <c r="AL77" i="34"/>
  <c r="AL78" i="34"/>
  <c r="AL79" i="34"/>
  <c r="AL80" i="34"/>
  <c r="AL81" i="34"/>
  <c r="AL82" i="34"/>
  <c r="AL83" i="34"/>
  <c r="AL84" i="34"/>
  <c r="AL85" i="34"/>
  <c r="AL86" i="34"/>
  <c r="AL87" i="34"/>
  <c r="AL88" i="34"/>
  <c r="AL89" i="34"/>
  <c r="AL90" i="34"/>
  <c r="AL91" i="34"/>
  <c r="AL92" i="34"/>
  <c r="AL93" i="34"/>
  <c r="AL94" i="34"/>
  <c r="AL95" i="34"/>
  <c r="AL96" i="34"/>
  <c r="AL97" i="34"/>
  <c r="AL98" i="34"/>
  <c r="AL99" i="34"/>
  <c r="AL100" i="34"/>
  <c r="AL101" i="34"/>
  <c r="AL102" i="34"/>
  <c r="AL103" i="34"/>
  <c r="AL104" i="34"/>
  <c r="AL105" i="34"/>
  <c r="O204" i="34"/>
  <c r="L39" i="37"/>
  <c r="O210" i="34"/>
  <c r="L42" i="37"/>
  <c r="L36" i="37"/>
  <c r="AJ66" i="34"/>
  <c r="AJ67" i="34"/>
  <c r="AJ68" i="34"/>
  <c r="AJ69" i="34"/>
  <c r="AJ70" i="34"/>
  <c r="AJ71" i="34"/>
  <c r="AJ72" i="34"/>
  <c r="AJ73" i="34"/>
  <c r="AJ74" i="34"/>
  <c r="AJ75" i="34"/>
  <c r="AJ76" i="34"/>
  <c r="AJ77" i="34"/>
  <c r="AJ78" i="34"/>
  <c r="AJ79" i="34"/>
  <c r="AJ80" i="34"/>
  <c r="AJ81" i="34"/>
  <c r="AJ82" i="34"/>
  <c r="AJ83" i="34"/>
  <c r="AJ84" i="34"/>
  <c r="AJ85" i="34"/>
  <c r="AJ86" i="34"/>
  <c r="AJ87" i="34"/>
  <c r="AJ88" i="34"/>
  <c r="AJ89" i="34"/>
  <c r="AJ90" i="34"/>
  <c r="AJ91" i="34"/>
  <c r="AJ92" i="34"/>
  <c r="AJ93" i="34"/>
  <c r="AJ94" i="34"/>
  <c r="AJ95" i="34"/>
  <c r="AJ96" i="34"/>
  <c r="AJ97" i="34"/>
  <c r="AJ98" i="34"/>
  <c r="AJ99" i="34"/>
  <c r="AJ100" i="34"/>
  <c r="AJ101" i="34"/>
  <c r="AJ102" i="34"/>
  <c r="AJ103" i="34"/>
  <c r="AJ104" i="34"/>
  <c r="AJ105" i="34"/>
  <c r="K204" i="34"/>
  <c r="I39" i="37"/>
  <c r="K210" i="34"/>
  <c r="I42" i="37"/>
  <c r="I36" i="37"/>
  <c r="L26" i="34"/>
  <c r="L25" i="34"/>
  <c r="K26" i="34"/>
  <c r="M25" i="34"/>
  <c r="N26" i="34"/>
  <c r="O25" i="34"/>
  <c r="P26" i="34"/>
  <c r="AM26" i="34"/>
  <c r="L27" i="34"/>
  <c r="K27" i="34"/>
  <c r="M26" i="34"/>
  <c r="N27" i="34"/>
  <c r="O26" i="34"/>
  <c r="P27" i="34"/>
  <c r="AM27" i="34"/>
  <c r="L28" i="34"/>
  <c r="K28" i="34"/>
  <c r="M27" i="34"/>
  <c r="N28" i="34"/>
  <c r="O27" i="34"/>
  <c r="P28" i="34"/>
  <c r="AM28" i="34"/>
  <c r="L29" i="34"/>
  <c r="K29" i="34"/>
  <c r="M28" i="34"/>
  <c r="N29" i="34"/>
  <c r="O28" i="34"/>
  <c r="P29" i="34"/>
  <c r="AM29" i="34"/>
  <c r="L30" i="34"/>
  <c r="K30" i="34"/>
  <c r="M29" i="34"/>
  <c r="N30" i="34"/>
  <c r="O29" i="34"/>
  <c r="P30" i="34"/>
  <c r="AM30" i="34"/>
  <c r="L31" i="34"/>
  <c r="K31" i="34"/>
  <c r="M30" i="34"/>
  <c r="N31" i="34"/>
  <c r="O30" i="34"/>
  <c r="P31" i="34"/>
  <c r="AM31" i="34"/>
  <c r="L32" i="34"/>
  <c r="K32" i="34"/>
  <c r="M31" i="34"/>
  <c r="N32" i="34"/>
  <c r="O31" i="34"/>
  <c r="P32" i="34"/>
  <c r="AM32" i="34"/>
  <c r="L33" i="34"/>
  <c r="K33" i="34"/>
  <c r="M32" i="34"/>
  <c r="N33" i="34"/>
  <c r="O32" i="34"/>
  <c r="P33" i="34"/>
  <c r="AM33" i="34"/>
  <c r="L34" i="34"/>
  <c r="K34" i="34"/>
  <c r="M33" i="34"/>
  <c r="N34" i="34"/>
  <c r="O33" i="34"/>
  <c r="P34" i="34"/>
  <c r="AM34" i="34"/>
  <c r="L35" i="34"/>
  <c r="K35" i="34"/>
  <c r="M34" i="34"/>
  <c r="N35" i="34"/>
  <c r="O34" i="34"/>
  <c r="P35" i="34"/>
  <c r="AM35" i="34"/>
  <c r="L36" i="34"/>
  <c r="K36" i="34"/>
  <c r="M35" i="34"/>
  <c r="N36" i="34"/>
  <c r="O35" i="34"/>
  <c r="P36" i="34"/>
  <c r="AM36" i="34"/>
  <c r="L37" i="34"/>
  <c r="K37" i="34"/>
  <c r="M36" i="34"/>
  <c r="N37" i="34"/>
  <c r="O36" i="34"/>
  <c r="P37" i="34"/>
  <c r="AM37" i="34"/>
  <c r="L38" i="34"/>
  <c r="K38" i="34"/>
  <c r="M37" i="34"/>
  <c r="N38" i="34"/>
  <c r="O37" i="34"/>
  <c r="P38" i="34"/>
  <c r="AM38" i="34"/>
  <c r="L39" i="34"/>
  <c r="K39" i="34"/>
  <c r="M38" i="34"/>
  <c r="N39" i="34"/>
  <c r="O38" i="34"/>
  <c r="P39" i="34"/>
  <c r="AM39" i="34"/>
  <c r="L40" i="34"/>
  <c r="K40" i="34"/>
  <c r="M39" i="34"/>
  <c r="N40" i="34"/>
  <c r="O39" i="34"/>
  <c r="P40" i="34"/>
  <c r="AM40" i="34"/>
  <c r="L41" i="34"/>
  <c r="K41" i="34"/>
  <c r="M40" i="34"/>
  <c r="N41" i="34"/>
  <c r="O40" i="34"/>
  <c r="P41" i="34"/>
  <c r="AM41" i="34"/>
  <c r="L42" i="34"/>
  <c r="K42" i="34"/>
  <c r="M41" i="34"/>
  <c r="N42" i="34"/>
  <c r="O41" i="34"/>
  <c r="P42" i="34"/>
  <c r="AM42" i="34"/>
  <c r="L43" i="34"/>
  <c r="K43" i="34"/>
  <c r="M42" i="34"/>
  <c r="N43" i="34"/>
  <c r="O42" i="34"/>
  <c r="P43" i="34"/>
  <c r="AM43" i="34"/>
  <c r="L44" i="34"/>
  <c r="K44" i="34"/>
  <c r="M43" i="34"/>
  <c r="N44" i="34"/>
  <c r="O43" i="34"/>
  <c r="P44" i="34"/>
  <c r="AM44" i="34"/>
  <c r="L45" i="34"/>
  <c r="K45" i="34"/>
  <c r="M44" i="34"/>
  <c r="N45" i="34"/>
  <c r="O44" i="34"/>
  <c r="P45" i="34"/>
  <c r="AM45" i="34"/>
  <c r="L46" i="34"/>
  <c r="K46" i="34"/>
  <c r="M45" i="34"/>
  <c r="N46" i="34"/>
  <c r="O45" i="34"/>
  <c r="P46" i="34"/>
  <c r="AM46" i="34"/>
  <c r="L47" i="34"/>
  <c r="K47" i="34"/>
  <c r="M46" i="34"/>
  <c r="N47" i="34"/>
  <c r="O46" i="34"/>
  <c r="P47" i="34"/>
  <c r="AM47" i="34"/>
  <c r="L48" i="34"/>
  <c r="K48" i="34"/>
  <c r="M47" i="34"/>
  <c r="N48" i="34"/>
  <c r="O47" i="34"/>
  <c r="P48" i="34"/>
  <c r="AM48" i="34"/>
  <c r="L49" i="34"/>
  <c r="K49" i="34"/>
  <c r="M48" i="34"/>
  <c r="N49" i="34"/>
  <c r="O48" i="34"/>
  <c r="P49" i="34"/>
  <c r="AM49" i="34"/>
  <c r="L50" i="34"/>
  <c r="K50" i="34"/>
  <c r="M49" i="34"/>
  <c r="N50" i="34"/>
  <c r="O49" i="34"/>
  <c r="P50" i="34"/>
  <c r="AM50" i="34"/>
  <c r="L51" i="34"/>
  <c r="K51" i="34"/>
  <c r="M50" i="34"/>
  <c r="N51" i="34"/>
  <c r="O50" i="34"/>
  <c r="P51" i="34"/>
  <c r="AM51" i="34"/>
  <c r="L52" i="34"/>
  <c r="K52" i="34"/>
  <c r="M51" i="34"/>
  <c r="N52" i="34"/>
  <c r="O51" i="34"/>
  <c r="P52" i="34"/>
  <c r="AM52" i="34"/>
  <c r="L53" i="34"/>
  <c r="K53" i="34"/>
  <c r="M52" i="34"/>
  <c r="N53" i="34"/>
  <c r="O52" i="34"/>
  <c r="P53" i="34"/>
  <c r="AM53" i="34"/>
  <c r="L54" i="34"/>
  <c r="K54" i="34"/>
  <c r="M53" i="34"/>
  <c r="N54" i="34"/>
  <c r="O53" i="34"/>
  <c r="P54" i="34"/>
  <c r="AM54" i="34"/>
  <c r="L55" i="34"/>
  <c r="K55" i="34"/>
  <c r="M54" i="34"/>
  <c r="N55" i="34"/>
  <c r="O54" i="34"/>
  <c r="P55" i="34"/>
  <c r="AM55" i="34"/>
  <c r="L56" i="34"/>
  <c r="K56" i="34"/>
  <c r="M55" i="34"/>
  <c r="N56" i="34"/>
  <c r="O55" i="34"/>
  <c r="P56" i="34"/>
  <c r="AM56" i="34"/>
  <c r="L57" i="34"/>
  <c r="K57" i="34"/>
  <c r="M56" i="34"/>
  <c r="N57" i="34"/>
  <c r="O56" i="34"/>
  <c r="P57" i="34"/>
  <c r="AM57" i="34"/>
  <c r="L58" i="34"/>
  <c r="K58" i="34"/>
  <c r="M57" i="34"/>
  <c r="N58" i="34"/>
  <c r="O57" i="34"/>
  <c r="P58" i="34"/>
  <c r="AM58" i="34"/>
  <c r="L59" i="34"/>
  <c r="K59" i="34"/>
  <c r="M58" i="34"/>
  <c r="N59" i="34"/>
  <c r="O58" i="34"/>
  <c r="P59" i="34"/>
  <c r="AM59" i="34"/>
  <c r="L60" i="34"/>
  <c r="K60" i="34"/>
  <c r="M59" i="34"/>
  <c r="N60" i="34"/>
  <c r="O59" i="34"/>
  <c r="P60" i="34"/>
  <c r="AM60" i="34"/>
  <c r="L61" i="34"/>
  <c r="K61" i="34"/>
  <c r="M60" i="34"/>
  <c r="N61" i="34"/>
  <c r="O60" i="34"/>
  <c r="P61" i="34"/>
  <c r="AM61" i="34"/>
  <c r="L62" i="34"/>
  <c r="K62" i="34"/>
  <c r="M61" i="34"/>
  <c r="N62" i="34"/>
  <c r="O61" i="34"/>
  <c r="P62" i="34"/>
  <c r="AM62" i="34"/>
  <c r="L63" i="34"/>
  <c r="K63" i="34"/>
  <c r="M62" i="34"/>
  <c r="N63" i="34"/>
  <c r="O62" i="34"/>
  <c r="P63" i="34"/>
  <c r="AM63" i="34"/>
  <c r="L64" i="34"/>
  <c r="K64" i="34"/>
  <c r="M63" i="34"/>
  <c r="N64" i="34"/>
  <c r="O63" i="34"/>
  <c r="P64" i="34"/>
  <c r="AM64" i="34"/>
  <c r="K65" i="34"/>
  <c r="M64" i="34"/>
  <c r="N65" i="34"/>
  <c r="O64" i="34"/>
  <c r="P65" i="34"/>
  <c r="AM65" i="34"/>
  <c r="P195" i="34"/>
  <c r="M30" i="37"/>
  <c r="AK26" i="34"/>
  <c r="AK27" i="34"/>
  <c r="AK28" i="34"/>
  <c r="AK29" i="34"/>
  <c r="AK30" i="34"/>
  <c r="AK31" i="34"/>
  <c r="AK32" i="34"/>
  <c r="AK33" i="34"/>
  <c r="AK34" i="34"/>
  <c r="AK35" i="34"/>
  <c r="AK36" i="34"/>
  <c r="AK37" i="34"/>
  <c r="AK38" i="34"/>
  <c r="AK39" i="34"/>
  <c r="AK40"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N195" i="34"/>
  <c r="K30" i="37"/>
  <c r="AL26" i="34"/>
  <c r="AL27" i="34"/>
  <c r="AL28" i="34"/>
  <c r="AL29" i="34"/>
  <c r="AL30" i="34"/>
  <c r="AL31" i="34"/>
  <c r="AL32" i="34"/>
  <c r="AL33" i="34"/>
  <c r="AL34" i="34"/>
  <c r="AL35" i="34"/>
  <c r="AL36" i="34"/>
  <c r="AL37" i="34"/>
  <c r="AL38" i="34"/>
  <c r="AL39" i="34"/>
  <c r="AL40" i="34"/>
  <c r="AL41" i="34"/>
  <c r="AL42" i="34"/>
  <c r="AL43" i="34"/>
  <c r="AL44" i="34"/>
  <c r="AL45" i="34"/>
  <c r="AL46" i="34"/>
  <c r="AL47" i="34"/>
  <c r="AL48" i="34"/>
  <c r="AL49" i="34"/>
  <c r="AL50" i="34"/>
  <c r="AL51" i="34"/>
  <c r="AL52" i="34"/>
  <c r="AL53" i="34"/>
  <c r="AL54" i="34"/>
  <c r="AL55" i="34"/>
  <c r="AL56" i="34"/>
  <c r="AL57" i="34"/>
  <c r="AL58" i="34"/>
  <c r="AL59" i="34"/>
  <c r="AL60" i="34"/>
  <c r="AL61" i="34"/>
  <c r="AL62" i="34"/>
  <c r="AL63" i="34"/>
  <c r="AL64" i="34"/>
  <c r="AL65" i="34"/>
  <c r="O195" i="34"/>
  <c r="L30" i="37"/>
  <c r="AJ26" i="34"/>
  <c r="AJ27" i="34"/>
  <c r="AJ28" i="34"/>
  <c r="AJ29" i="34"/>
  <c r="AJ30" i="34"/>
  <c r="AJ31" i="34"/>
  <c r="AJ32" i="34"/>
  <c r="AJ33" i="34"/>
  <c r="AJ34" i="34"/>
  <c r="AJ35" i="34"/>
  <c r="AJ36" i="34"/>
  <c r="AJ37" i="34"/>
  <c r="AJ38" i="34"/>
  <c r="AJ39" i="34"/>
  <c r="AJ40"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K195" i="34"/>
  <c r="I30" i="37"/>
  <c r="B36" i="35"/>
  <c r="D36" i="35"/>
  <c r="G36" i="35"/>
  <c r="B30" i="35"/>
  <c r="D30" i="35"/>
  <c r="E30" i="35"/>
  <c r="F30" i="35"/>
  <c r="G30" i="35"/>
  <c r="H201" i="25"/>
  <c r="F37" i="27"/>
  <c r="I201" i="25"/>
  <c r="G37" i="27"/>
  <c r="C65" i="25"/>
  <c r="C204" i="25"/>
  <c r="C40" i="27"/>
  <c r="C210" i="25"/>
  <c r="C43" i="27"/>
  <c r="C37" i="27"/>
  <c r="B33" i="36"/>
  <c r="B30" i="36"/>
  <c r="D30" i="36"/>
  <c r="H30" i="36"/>
  <c r="J30" i="36"/>
  <c r="K30" i="36"/>
  <c r="L30" i="36"/>
  <c r="M30" i="36"/>
  <c r="B36" i="36"/>
  <c r="H36" i="36"/>
  <c r="J36" i="36"/>
  <c r="M36" i="36"/>
  <c r="H12" i="41"/>
  <c r="H21" i="41"/>
  <c r="H33" i="41"/>
  <c r="G36" i="41"/>
  <c r="I36" i="41"/>
  <c r="L36" i="41"/>
  <c r="GP115" i="4"/>
  <c r="K127" i="22"/>
  <c r="F127" i="22"/>
  <c r="GP116" i="4"/>
  <c r="K128" i="22"/>
  <c r="F128" i="22"/>
  <c r="GP117" i="4"/>
  <c r="K129" i="22"/>
  <c r="F129" i="22"/>
  <c r="GP118" i="4"/>
  <c r="K130" i="22"/>
  <c r="F130" i="22"/>
  <c r="GP119" i="4"/>
  <c r="K131" i="22"/>
  <c r="F131" i="22"/>
  <c r="GP120" i="4"/>
  <c r="K132" i="22"/>
  <c r="F132" i="22"/>
  <c r="GP121" i="4"/>
  <c r="K133" i="22"/>
  <c r="F133" i="22"/>
  <c r="GP122" i="4"/>
  <c r="K134" i="22"/>
  <c r="F134" i="22"/>
  <c r="GP123" i="4"/>
  <c r="K135" i="22"/>
  <c r="F135" i="22"/>
  <c r="GP124" i="4"/>
  <c r="K136" i="22"/>
  <c r="F136" i="22"/>
  <c r="GP125" i="4"/>
  <c r="K137" i="22"/>
  <c r="F137" i="22"/>
  <c r="GP126" i="4"/>
  <c r="K138" i="22"/>
  <c r="F138" i="22"/>
  <c r="GP127" i="4"/>
  <c r="K139" i="22"/>
  <c r="F139" i="22"/>
  <c r="GP128" i="4"/>
  <c r="K140" i="22"/>
  <c r="F140" i="22"/>
  <c r="GP129" i="4"/>
  <c r="K141" i="22"/>
  <c r="F141" i="22"/>
  <c r="GP130" i="4"/>
  <c r="K142" i="22"/>
  <c r="F142" i="22"/>
  <c r="GP131" i="4"/>
  <c r="K143" i="22"/>
  <c r="F143" i="22"/>
  <c r="GP132" i="4"/>
  <c r="K144" i="22"/>
  <c r="F144" i="22"/>
  <c r="GP133" i="4"/>
  <c r="K145" i="22"/>
  <c r="F145" i="22"/>
  <c r="GP134" i="4"/>
  <c r="K146" i="22"/>
  <c r="F146" i="22"/>
  <c r="GP135" i="4"/>
  <c r="K147" i="22"/>
  <c r="F147" i="22"/>
  <c r="GP136" i="4"/>
  <c r="K148" i="22"/>
  <c r="F148" i="22"/>
  <c r="GP137" i="4"/>
  <c r="K149" i="22"/>
  <c r="F149" i="22"/>
  <c r="GP138" i="4"/>
  <c r="K150" i="22"/>
  <c r="F150" i="22"/>
  <c r="GP139" i="4"/>
  <c r="K151" i="22"/>
  <c r="F151" i="22"/>
  <c r="GP140" i="4"/>
  <c r="K152" i="22"/>
  <c r="F152" i="22"/>
  <c r="GP141" i="4"/>
  <c r="K153" i="22"/>
  <c r="F153" i="22"/>
  <c r="GP142" i="4"/>
  <c r="K154" i="22"/>
  <c r="F154" i="22"/>
  <c r="GP143" i="4"/>
  <c r="K155" i="22"/>
  <c r="F155" i="22"/>
  <c r="GP144" i="4"/>
  <c r="K156" i="22"/>
  <c r="F156" i="22"/>
  <c r="GP145" i="4"/>
  <c r="K157" i="22"/>
  <c r="F157" i="22"/>
  <c r="K158" i="22"/>
  <c r="F158" i="22"/>
  <c r="K159" i="22"/>
  <c r="F159" i="22"/>
  <c r="K160" i="22"/>
  <c r="F160" i="22"/>
  <c r="K161" i="22"/>
  <c r="F161" i="22"/>
  <c r="K162" i="22"/>
  <c r="F162" i="22"/>
  <c r="K163" i="22"/>
  <c r="F163" i="22"/>
  <c r="K164" i="22"/>
  <c r="F164" i="22"/>
  <c r="K165" i="22"/>
  <c r="F165" i="22"/>
  <c r="K166" i="22"/>
  <c r="F166" i="22"/>
  <c r="K167" i="22"/>
  <c r="F167" i="22"/>
  <c r="K168" i="22"/>
  <c r="F168" i="22"/>
  <c r="K169" i="22"/>
  <c r="F169" i="22"/>
  <c r="K170" i="22"/>
  <c r="F170" i="22"/>
  <c r="K171" i="22"/>
  <c r="F171" i="22"/>
  <c r="K172" i="22"/>
  <c r="F172" i="22"/>
  <c r="K173" i="22"/>
  <c r="F173" i="22"/>
  <c r="K174" i="22"/>
  <c r="F174" i="22"/>
  <c r="K175" i="22"/>
  <c r="F175" i="22"/>
  <c r="K176" i="22"/>
  <c r="F176" i="22"/>
  <c r="K177" i="22"/>
  <c r="F177" i="22"/>
  <c r="K178" i="22"/>
  <c r="F178" i="22"/>
  <c r="K179" i="22"/>
  <c r="F179" i="22"/>
  <c r="K180" i="22"/>
  <c r="F180" i="22"/>
  <c r="C30" i="41"/>
  <c r="G195" i="25"/>
  <c r="D31" i="27"/>
  <c r="G17" i="33"/>
  <c r="G36" i="33"/>
  <c r="B39" i="35"/>
  <c r="D39" i="35"/>
  <c r="G39" i="35"/>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I92" i="34"/>
  <c r="AI93" i="34"/>
  <c r="AI94" i="34"/>
  <c r="AI95" i="34"/>
  <c r="AI96" i="34"/>
  <c r="AI97" i="34"/>
  <c r="AI98" i="34"/>
  <c r="AI99" i="34"/>
  <c r="AI100" i="34"/>
  <c r="AI101" i="34"/>
  <c r="AI102" i="34"/>
  <c r="AI103" i="34"/>
  <c r="AI104" i="34"/>
  <c r="AI105" i="34"/>
  <c r="J204" i="34"/>
  <c r="H39" i="37"/>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H204" i="34"/>
  <c r="F39" i="37"/>
  <c r="C105" i="34"/>
  <c r="C65" i="34"/>
  <c r="E204" i="34"/>
  <c r="C39" i="37"/>
  <c r="H204" i="25"/>
  <c r="F40" i="27"/>
  <c r="I204" i="25"/>
  <c r="G40" i="27"/>
  <c r="B39" i="36"/>
  <c r="H39" i="36"/>
  <c r="J39" i="36"/>
  <c r="M39" i="36"/>
  <c r="G39" i="41"/>
  <c r="I39" i="41"/>
  <c r="G198" i="34"/>
  <c r="D33" i="37"/>
  <c r="G198" i="25"/>
  <c r="D34" i="27"/>
  <c r="B33" i="41"/>
  <c r="C33" i="41"/>
  <c r="D33" i="41"/>
  <c r="G33" i="41"/>
  <c r="B34" i="27"/>
  <c r="I33" i="41"/>
  <c r="J33" i="41"/>
  <c r="L33" i="41"/>
  <c r="F33" i="52"/>
  <c r="H33" i="52"/>
  <c r="B33" i="52"/>
  <c r="I33" i="52"/>
  <c r="M33" i="52"/>
  <c r="H33" i="36"/>
  <c r="J33" i="36"/>
  <c r="K33" i="36"/>
  <c r="M33" i="36"/>
  <c r="D29" i="38"/>
  <c r="H198" i="25"/>
  <c r="F34" i="27"/>
  <c r="I198" i="25"/>
  <c r="G34" i="27"/>
  <c r="C198" i="25"/>
  <c r="C34" i="27"/>
  <c r="C27" i="35"/>
  <c r="C33" i="35"/>
  <c r="B33" i="35"/>
  <c r="D33" i="35"/>
  <c r="E33" i="35"/>
  <c r="G33" i="35"/>
  <c r="P198" i="34"/>
  <c r="M33" i="37"/>
  <c r="N198" i="34"/>
  <c r="K33" i="37"/>
  <c r="O198" i="34"/>
  <c r="L33" i="37"/>
  <c r="K198" i="34"/>
  <c r="I33" i="37"/>
  <c r="G195" i="34"/>
  <c r="D30" i="37"/>
  <c r="B30" i="41"/>
  <c r="D30" i="41"/>
  <c r="J30" i="41"/>
  <c r="L30" i="41"/>
  <c r="D54" i="52"/>
  <c r="K54" i="52"/>
  <c r="C54" i="52"/>
  <c r="J54" i="52"/>
  <c r="E54" i="52"/>
  <c r="L54" i="52"/>
  <c r="Q48" i="36"/>
  <c r="R48" i="36"/>
  <c r="G222" i="34"/>
  <c r="D54" i="37"/>
  <c r="G222" i="25"/>
  <c r="D55" i="27"/>
  <c r="B54" i="41"/>
  <c r="Q13" i="30"/>
  <c r="P13" i="30"/>
  <c r="Z13" i="30"/>
  <c r="X13" i="30"/>
  <c r="W13" i="30"/>
  <c r="R13" i="30"/>
  <c r="AE13" i="30"/>
  <c r="N13" i="16"/>
  <c r="S13" i="30"/>
  <c r="AG13" i="30"/>
  <c r="M13" i="16"/>
  <c r="L13" i="16"/>
  <c r="AN13" i="4"/>
  <c r="E13" i="16"/>
  <c r="C10" i="15"/>
  <c r="E10" i="14"/>
  <c r="G10" i="15"/>
  <c r="C13" i="16"/>
  <c r="B10" i="14"/>
  <c r="D13" i="16"/>
  <c r="B10" i="13"/>
  <c r="F10" i="13"/>
  <c r="F13" i="16"/>
  <c r="F200" i="44"/>
  <c r="GW47" i="4"/>
  <c r="GY47" i="4"/>
  <c r="F199" i="44"/>
  <c r="GW46" i="4"/>
  <c r="GY46" i="4"/>
  <c r="F198" i="44"/>
  <c r="GW45" i="4"/>
  <c r="GY45" i="4"/>
  <c r="F197" i="44"/>
  <c r="GW44" i="4"/>
  <c r="GY44" i="4"/>
  <c r="F196" i="44"/>
  <c r="GW43" i="4"/>
  <c r="GY43" i="4"/>
  <c r="F195" i="44"/>
  <c r="GW42" i="4"/>
  <c r="GY42" i="4"/>
  <c r="F194" i="44"/>
  <c r="GW41" i="4"/>
  <c r="GY41" i="4"/>
  <c r="F193" i="44"/>
  <c r="GW40" i="4"/>
  <c r="GY40" i="4"/>
  <c r="F192" i="44"/>
  <c r="GW39" i="4"/>
  <c r="GY39" i="4"/>
  <c r="F191" i="44"/>
  <c r="GW38" i="4"/>
  <c r="GY38" i="4"/>
  <c r="F190" i="44"/>
  <c r="GW37" i="4"/>
  <c r="GY37" i="4"/>
  <c r="F189" i="44"/>
  <c r="GW36" i="4"/>
  <c r="GY36" i="4"/>
  <c r="F188" i="44"/>
  <c r="GW35" i="4"/>
  <c r="GY35" i="4"/>
  <c r="F187" i="44"/>
  <c r="GW34" i="4"/>
  <c r="GY34" i="4"/>
  <c r="F186" i="44"/>
  <c r="GW33" i="4"/>
  <c r="GY33" i="4"/>
  <c r="F185" i="44"/>
  <c r="GW32" i="4"/>
  <c r="GY32" i="4"/>
  <c r="F184" i="44"/>
  <c r="GW31" i="4"/>
  <c r="GY31" i="4"/>
  <c r="F183" i="44"/>
  <c r="GW30" i="4"/>
  <c r="GY30" i="4"/>
  <c r="F182" i="44"/>
  <c r="GW29" i="4"/>
  <c r="GY29" i="4"/>
  <c r="F181" i="44"/>
  <c r="GW28" i="4"/>
  <c r="GY28" i="4"/>
  <c r="F180" i="44"/>
  <c r="GW27" i="4"/>
  <c r="GY27" i="4"/>
  <c r="F179" i="44"/>
  <c r="GW26" i="4"/>
  <c r="GY26" i="4"/>
  <c r="F178" i="44"/>
  <c r="GW25" i="4"/>
  <c r="GY25" i="4"/>
  <c r="F177" i="44"/>
  <c r="GW24" i="4"/>
  <c r="GY24" i="4"/>
  <c r="F176" i="44"/>
  <c r="GW23" i="4"/>
  <c r="GY23" i="4"/>
  <c r="F175" i="44"/>
  <c r="GW22" i="4"/>
  <c r="GY22" i="4"/>
  <c r="F174" i="44"/>
  <c r="GW21" i="4"/>
  <c r="GY21" i="4"/>
  <c r="F173" i="44"/>
  <c r="GW20" i="4"/>
  <c r="GY20" i="4"/>
  <c r="F172" i="44"/>
  <c r="GW19" i="4"/>
  <c r="GY19" i="4"/>
  <c r="F171" i="44"/>
  <c r="GW18" i="4"/>
  <c r="GY18" i="4"/>
  <c r="F170" i="44"/>
  <c r="GW17" i="4"/>
  <c r="GY17" i="4"/>
  <c r="F169" i="44"/>
  <c r="GW16" i="4"/>
  <c r="GY16" i="4"/>
  <c r="F168" i="44"/>
  <c r="GW15" i="4"/>
  <c r="GY15" i="4"/>
  <c r="F167" i="44"/>
  <c r="GW14" i="4"/>
  <c r="GY14" i="4"/>
  <c r="F166" i="44"/>
  <c r="GW13" i="4"/>
  <c r="GY13" i="4"/>
  <c r="G13" i="16"/>
  <c r="B13" i="16"/>
  <c r="H10" i="14"/>
  <c r="J10" i="13"/>
  <c r="R13" i="16"/>
  <c r="AW14" i="30"/>
  <c r="Q19" i="30"/>
  <c r="P19" i="30"/>
  <c r="Z19" i="30"/>
  <c r="Z14" i="30"/>
  <c r="X14" i="30"/>
  <c r="Y14" i="30"/>
  <c r="W14" i="30"/>
  <c r="R14" i="30"/>
  <c r="AE14" i="30"/>
  <c r="N14" i="16"/>
  <c r="S14" i="30"/>
  <c r="AG14" i="30"/>
  <c r="M14" i="16"/>
  <c r="L14" i="16"/>
  <c r="AN14" i="4"/>
  <c r="E14" i="16"/>
  <c r="C11" i="15"/>
  <c r="E11" i="14"/>
  <c r="G11" i="15"/>
  <c r="C14" i="16"/>
  <c r="B11" i="14"/>
  <c r="D14" i="16"/>
  <c r="B11" i="13"/>
  <c r="F11" i="13"/>
  <c r="F14" i="16"/>
  <c r="G14" i="16"/>
  <c r="B14" i="16"/>
  <c r="H11" i="14"/>
  <c r="J11" i="13"/>
  <c r="R14" i="16"/>
  <c r="AW15" i="30"/>
  <c r="Z15" i="30"/>
  <c r="X15" i="30"/>
  <c r="Y15" i="30"/>
  <c r="W15" i="30"/>
  <c r="R15" i="30"/>
  <c r="AE15" i="30"/>
  <c r="N15" i="16"/>
  <c r="S15" i="30"/>
  <c r="AG15" i="30"/>
  <c r="M15" i="16"/>
  <c r="L15" i="16"/>
  <c r="AN15" i="4"/>
  <c r="E15" i="16"/>
  <c r="C12" i="15"/>
  <c r="E12" i="14"/>
  <c r="G12" i="15"/>
  <c r="C15" i="16"/>
  <c r="B12" i="14"/>
  <c r="D15" i="16"/>
  <c r="B12" i="13"/>
  <c r="F12" i="13"/>
  <c r="F15" i="16"/>
  <c r="G15" i="16"/>
  <c r="B15" i="16"/>
  <c r="H12" i="14"/>
  <c r="J12" i="13"/>
  <c r="R15" i="16"/>
  <c r="AW16" i="30"/>
  <c r="Z16" i="30"/>
  <c r="X16" i="30"/>
  <c r="Y16" i="30"/>
  <c r="W16" i="30"/>
  <c r="R16" i="30"/>
  <c r="AE16" i="30"/>
  <c r="N16" i="16"/>
  <c r="S16" i="30"/>
  <c r="AG16" i="30"/>
  <c r="M16" i="16"/>
  <c r="L16" i="16"/>
  <c r="AN16" i="4"/>
  <c r="E16" i="16"/>
  <c r="C13" i="15"/>
  <c r="E13" i="14"/>
  <c r="G13" i="15"/>
  <c r="C16" i="16"/>
  <c r="B13" i="14"/>
  <c r="D16" i="16"/>
  <c r="B13" i="13"/>
  <c r="F13" i="13"/>
  <c r="F16" i="16"/>
  <c r="G16" i="16"/>
  <c r="B16" i="16"/>
  <c r="H13" i="14"/>
  <c r="J13" i="13"/>
  <c r="R16" i="16"/>
  <c r="AW17" i="30"/>
  <c r="Z17" i="30"/>
  <c r="X17" i="30"/>
  <c r="Y17" i="30"/>
  <c r="W17" i="30"/>
  <c r="R17" i="30"/>
  <c r="AE17" i="30"/>
  <c r="N17" i="16"/>
  <c r="S17" i="30"/>
  <c r="AG17" i="30"/>
  <c r="M17" i="16"/>
  <c r="L17" i="16"/>
  <c r="AN17" i="4"/>
  <c r="E17" i="16"/>
  <c r="C14" i="15"/>
  <c r="E14" i="14"/>
  <c r="G14" i="15"/>
  <c r="C17" i="16"/>
  <c r="B14" i="14"/>
  <c r="D17" i="16"/>
  <c r="B14" i="13"/>
  <c r="F14" i="13"/>
  <c r="F17" i="16"/>
  <c r="G17" i="16"/>
  <c r="B17" i="16"/>
  <c r="H14" i="14"/>
  <c r="J14" i="13"/>
  <c r="R17" i="16"/>
  <c r="AW18" i="30"/>
  <c r="Z18" i="30"/>
  <c r="X18" i="30"/>
  <c r="Y18" i="30"/>
  <c r="W18" i="30"/>
  <c r="R18" i="30"/>
  <c r="AE18" i="30"/>
  <c r="N18" i="16"/>
  <c r="S18" i="30"/>
  <c r="AG18" i="30"/>
  <c r="M18" i="16"/>
  <c r="L18" i="16"/>
  <c r="AN18" i="4"/>
  <c r="E18" i="16"/>
  <c r="C15" i="15"/>
  <c r="E15" i="14"/>
  <c r="G15" i="15"/>
  <c r="C18" i="16"/>
  <c r="B15" i="14"/>
  <c r="D18" i="16"/>
  <c r="B15" i="13"/>
  <c r="F15" i="13"/>
  <c r="F18" i="16"/>
  <c r="G18" i="16"/>
  <c r="B18" i="16"/>
  <c r="H15" i="14"/>
  <c r="J15" i="13"/>
  <c r="R18" i="16"/>
  <c r="AW19" i="30"/>
  <c r="X19" i="30"/>
  <c r="W19" i="30"/>
  <c r="R19" i="30"/>
  <c r="AE19" i="30"/>
  <c r="N19" i="16"/>
  <c r="S19" i="30"/>
  <c r="AG19" i="30"/>
  <c r="M19" i="16"/>
  <c r="L19" i="16"/>
  <c r="AN19" i="4"/>
  <c r="E19" i="16"/>
  <c r="C16" i="15"/>
  <c r="E16" i="14"/>
  <c r="G16" i="15"/>
  <c r="C19" i="16"/>
  <c r="B16" i="14"/>
  <c r="D19" i="16"/>
  <c r="B16" i="13"/>
  <c r="F16" i="13"/>
  <c r="F19" i="16"/>
  <c r="G19" i="16"/>
  <c r="B19" i="16"/>
  <c r="H16" i="14"/>
  <c r="J16" i="13"/>
  <c r="R19" i="16"/>
  <c r="AW20" i="30"/>
  <c r="Q29" i="30"/>
  <c r="P29" i="30"/>
  <c r="Z29" i="30"/>
  <c r="Z20" i="30"/>
  <c r="X20" i="30"/>
  <c r="Y20" i="30"/>
  <c r="W20" i="30"/>
  <c r="R20" i="30"/>
  <c r="AE20" i="30"/>
  <c r="N20" i="16"/>
  <c r="S20" i="30"/>
  <c r="AG20" i="30"/>
  <c r="M20" i="16"/>
  <c r="L20" i="16"/>
  <c r="AN20" i="4"/>
  <c r="E20" i="16"/>
  <c r="C17" i="15"/>
  <c r="E17" i="14"/>
  <c r="G17" i="15"/>
  <c r="C20" i="16"/>
  <c r="B17" i="14"/>
  <c r="D20" i="16"/>
  <c r="B17" i="13"/>
  <c r="F17" i="13"/>
  <c r="F20" i="16"/>
  <c r="G20" i="16"/>
  <c r="B20" i="16"/>
  <c r="H17" i="14"/>
  <c r="J17" i="13"/>
  <c r="R20" i="16"/>
  <c r="AW21" i="30"/>
  <c r="Z21" i="30"/>
  <c r="X21" i="30"/>
  <c r="Y21" i="30"/>
  <c r="W21" i="30"/>
  <c r="R21" i="30"/>
  <c r="AE21" i="30"/>
  <c r="N21" i="16"/>
  <c r="S21" i="30"/>
  <c r="AG21" i="30"/>
  <c r="M21" i="16"/>
  <c r="L21" i="16"/>
  <c r="AN21" i="4"/>
  <c r="E21" i="16"/>
  <c r="C18" i="15"/>
  <c r="E18" i="14"/>
  <c r="G18" i="15"/>
  <c r="C21" i="16"/>
  <c r="B18" i="14"/>
  <c r="D21" i="16"/>
  <c r="B18" i="13"/>
  <c r="F18" i="13"/>
  <c r="F21" i="16"/>
  <c r="G21" i="16"/>
  <c r="B21" i="16"/>
  <c r="H18" i="14"/>
  <c r="J18" i="13"/>
  <c r="R21" i="16"/>
  <c r="AW22" i="30"/>
  <c r="Z22" i="30"/>
  <c r="X22" i="30"/>
  <c r="Y22" i="30"/>
  <c r="W22" i="30"/>
  <c r="R22" i="30"/>
  <c r="AE22" i="30"/>
  <c r="N22" i="16"/>
  <c r="S22" i="30"/>
  <c r="AG22" i="30"/>
  <c r="M22" i="16"/>
  <c r="L22" i="16"/>
  <c r="AN22" i="4"/>
  <c r="E22" i="16"/>
  <c r="C19" i="15"/>
  <c r="E19" i="14"/>
  <c r="G19" i="15"/>
  <c r="C22" i="16"/>
  <c r="B19" i="14"/>
  <c r="D22" i="16"/>
  <c r="B19" i="13"/>
  <c r="F19" i="13"/>
  <c r="F22" i="16"/>
  <c r="G22" i="16"/>
  <c r="B22" i="16"/>
  <c r="H19" i="14"/>
  <c r="J19" i="13"/>
  <c r="R22" i="16"/>
  <c r="AW23" i="30"/>
  <c r="Z23" i="30"/>
  <c r="X23" i="30"/>
  <c r="Y23" i="30"/>
  <c r="W23" i="30"/>
  <c r="R23" i="30"/>
  <c r="AE23" i="30"/>
  <c r="N23" i="16"/>
  <c r="S23" i="30"/>
  <c r="AG23" i="30"/>
  <c r="M23" i="16"/>
  <c r="L23" i="16"/>
  <c r="AN23" i="4"/>
  <c r="E23" i="16"/>
  <c r="C20" i="15"/>
  <c r="E20" i="14"/>
  <c r="G20" i="15"/>
  <c r="C23" i="16"/>
  <c r="B20" i="14"/>
  <c r="D23" i="16"/>
  <c r="B20" i="13"/>
  <c r="F20" i="13"/>
  <c r="F23" i="16"/>
  <c r="G23" i="16"/>
  <c r="B23" i="16"/>
  <c r="H20" i="14"/>
  <c r="J20" i="13"/>
  <c r="R23" i="16"/>
  <c r="AW24" i="30"/>
  <c r="Z24" i="30"/>
  <c r="X24" i="30"/>
  <c r="Y24" i="30"/>
  <c r="W24" i="30"/>
  <c r="R24" i="30"/>
  <c r="AE24" i="30"/>
  <c r="N24" i="16"/>
  <c r="S24" i="30"/>
  <c r="AG24" i="30"/>
  <c r="M24" i="16"/>
  <c r="L24" i="16"/>
  <c r="AN24" i="4"/>
  <c r="E24" i="16"/>
  <c r="C21" i="15"/>
  <c r="E21" i="14"/>
  <c r="G21" i="15"/>
  <c r="C24" i="16"/>
  <c r="B21" i="14"/>
  <c r="D24" i="16"/>
  <c r="B21" i="13"/>
  <c r="F21" i="13"/>
  <c r="F24" i="16"/>
  <c r="G24" i="16"/>
  <c r="B24" i="16"/>
  <c r="H21" i="14"/>
  <c r="J21" i="13"/>
  <c r="R24" i="16"/>
  <c r="AW25" i="30"/>
  <c r="Z25" i="30"/>
  <c r="X25" i="30"/>
  <c r="Y25" i="30"/>
  <c r="W25" i="30"/>
  <c r="R25" i="30"/>
  <c r="AE25" i="30"/>
  <c r="N25" i="16"/>
  <c r="S25" i="30"/>
  <c r="AG25" i="30"/>
  <c r="M25" i="16"/>
  <c r="L25" i="16"/>
  <c r="AN25" i="4"/>
  <c r="E25" i="16"/>
  <c r="C22" i="15"/>
  <c r="E22" i="14"/>
  <c r="G22" i="15"/>
  <c r="C25" i="16"/>
  <c r="B22" i="14"/>
  <c r="D25" i="16"/>
  <c r="B22" i="13"/>
  <c r="F22" i="13"/>
  <c r="F25" i="16"/>
  <c r="G25" i="16"/>
  <c r="B25" i="16"/>
  <c r="H22" i="14"/>
  <c r="J22" i="13"/>
  <c r="R25" i="16"/>
  <c r="AW26" i="30"/>
  <c r="Z26" i="30"/>
  <c r="X26" i="30"/>
  <c r="Y26" i="30"/>
  <c r="W26" i="30"/>
  <c r="R26" i="30"/>
  <c r="AE26" i="30"/>
  <c r="N26" i="16"/>
  <c r="S26" i="30"/>
  <c r="AG26" i="30"/>
  <c r="M26" i="16"/>
  <c r="L26" i="16"/>
  <c r="AN26" i="4"/>
  <c r="E26" i="16"/>
  <c r="C23" i="15"/>
  <c r="E23" i="14"/>
  <c r="G23" i="15"/>
  <c r="C26" i="16"/>
  <c r="B23" i="14"/>
  <c r="D26" i="16"/>
  <c r="B23" i="13"/>
  <c r="F23" i="13"/>
  <c r="F26" i="16"/>
  <c r="G26" i="16"/>
  <c r="B26" i="16"/>
  <c r="H23" i="14"/>
  <c r="J23" i="13"/>
  <c r="R26" i="16"/>
  <c r="AW27" i="30"/>
  <c r="Z27" i="30"/>
  <c r="X27" i="30"/>
  <c r="Y27" i="30"/>
  <c r="W27" i="30"/>
  <c r="R27" i="30"/>
  <c r="AE27" i="30"/>
  <c r="N27" i="16"/>
  <c r="S27" i="30"/>
  <c r="AG27" i="30"/>
  <c r="M27" i="16"/>
  <c r="L27" i="16"/>
  <c r="AN27" i="4"/>
  <c r="E27" i="16"/>
  <c r="C24" i="15"/>
  <c r="E24" i="14"/>
  <c r="G24" i="15"/>
  <c r="C27" i="16"/>
  <c r="B24" i="14"/>
  <c r="D27" i="16"/>
  <c r="B24" i="13"/>
  <c r="F24" i="13"/>
  <c r="F27" i="16"/>
  <c r="G27" i="16"/>
  <c r="B27" i="16"/>
  <c r="H24" i="14"/>
  <c r="J24" i="13"/>
  <c r="R27" i="16"/>
  <c r="AW28" i="30"/>
  <c r="Z28" i="30"/>
  <c r="X28" i="30"/>
  <c r="Y28" i="30"/>
  <c r="W28" i="30"/>
  <c r="R28" i="30"/>
  <c r="AE28" i="30"/>
  <c r="N28" i="16"/>
  <c r="S28" i="30"/>
  <c r="AG28" i="30"/>
  <c r="M28" i="16"/>
  <c r="L28" i="16"/>
  <c r="AN28" i="4"/>
  <c r="E28" i="16"/>
  <c r="C25" i="15"/>
  <c r="E25" i="14"/>
  <c r="G25" i="15"/>
  <c r="C28" i="16"/>
  <c r="B25" i="14"/>
  <c r="D28" i="16"/>
  <c r="B25" i="13"/>
  <c r="F25" i="13"/>
  <c r="F28" i="16"/>
  <c r="G28" i="16"/>
  <c r="B28" i="16"/>
  <c r="H25" i="14"/>
  <c r="J25" i="13"/>
  <c r="R28" i="16"/>
  <c r="AW29" i="30"/>
  <c r="X29" i="30"/>
  <c r="W29" i="30"/>
  <c r="R29" i="30"/>
  <c r="AE29" i="30"/>
  <c r="N29" i="16"/>
  <c r="S29" i="30"/>
  <c r="AG29" i="30"/>
  <c r="M29" i="16"/>
  <c r="L29" i="16"/>
  <c r="AN29" i="4"/>
  <c r="E29" i="16"/>
  <c r="C26" i="15"/>
  <c r="E26" i="14"/>
  <c r="G26" i="15"/>
  <c r="C29" i="16"/>
  <c r="B26" i="14"/>
  <c r="D29" i="16"/>
  <c r="B26" i="13"/>
  <c r="F26" i="13"/>
  <c r="F29" i="16"/>
  <c r="G29" i="16"/>
  <c r="B29" i="16"/>
  <c r="H26" i="14"/>
  <c r="J26" i="13"/>
  <c r="R29" i="16"/>
  <c r="AW30" i="30"/>
  <c r="Z30" i="30"/>
  <c r="X30" i="30"/>
  <c r="Y30" i="30"/>
  <c r="W30" i="30"/>
  <c r="R30" i="30"/>
  <c r="AE30" i="30"/>
  <c r="N30" i="16"/>
  <c r="S30" i="30"/>
  <c r="AG30" i="30"/>
  <c r="M30" i="16"/>
  <c r="L30" i="16"/>
  <c r="AN30" i="4"/>
  <c r="E30" i="16"/>
  <c r="C27" i="15"/>
  <c r="E27" i="14"/>
  <c r="G27" i="15"/>
  <c r="C30" i="16"/>
  <c r="B27" i="14"/>
  <c r="D30" i="16"/>
  <c r="B27" i="13"/>
  <c r="F27" i="13"/>
  <c r="F30" i="16"/>
  <c r="G30" i="16"/>
  <c r="B30" i="16"/>
  <c r="H27" i="14"/>
  <c r="J27" i="13"/>
  <c r="R30" i="16"/>
  <c r="AW31" i="30"/>
  <c r="Z31" i="30"/>
  <c r="X31" i="30"/>
  <c r="Y31" i="30"/>
  <c r="W31" i="30"/>
  <c r="R31" i="30"/>
  <c r="AE31" i="30"/>
  <c r="N31" i="16"/>
  <c r="S31" i="30"/>
  <c r="AG31" i="30"/>
  <c r="M31" i="16"/>
  <c r="L31" i="16"/>
  <c r="AN31" i="4"/>
  <c r="E31" i="16"/>
  <c r="C28" i="15"/>
  <c r="E28" i="14"/>
  <c r="G28" i="15"/>
  <c r="C31" i="16"/>
  <c r="B28" i="14"/>
  <c r="D31" i="16"/>
  <c r="B28" i="13"/>
  <c r="F28" i="13"/>
  <c r="F31" i="16"/>
  <c r="G31" i="16"/>
  <c r="B31" i="16"/>
  <c r="H28" i="14"/>
  <c r="J28" i="13"/>
  <c r="R31" i="16"/>
  <c r="AW32" i="30"/>
  <c r="Z32" i="30"/>
  <c r="X32" i="30"/>
  <c r="Y32" i="30"/>
  <c r="W32" i="30"/>
  <c r="R32" i="30"/>
  <c r="AE32" i="30"/>
  <c r="N32" i="16"/>
  <c r="S32" i="30"/>
  <c r="AG32" i="30"/>
  <c r="M32" i="16"/>
  <c r="L32" i="16"/>
  <c r="AN32" i="4"/>
  <c r="E32" i="16"/>
  <c r="C29" i="15"/>
  <c r="E29" i="14"/>
  <c r="G29" i="15"/>
  <c r="C32" i="16"/>
  <c r="B29" i="14"/>
  <c r="D32" i="16"/>
  <c r="B29" i="13"/>
  <c r="F29" i="13"/>
  <c r="F32" i="16"/>
  <c r="G32" i="16"/>
  <c r="B32" i="16"/>
  <c r="H29" i="14"/>
  <c r="J29" i="13"/>
  <c r="R32" i="16"/>
  <c r="AW33" i="30"/>
  <c r="Z33" i="30"/>
  <c r="X33" i="30"/>
  <c r="Y33" i="30"/>
  <c r="W33" i="30"/>
  <c r="R33" i="30"/>
  <c r="AE33" i="30"/>
  <c r="N33" i="16"/>
  <c r="S33" i="30"/>
  <c r="AG33" i="30"/>
  <c r="M33" i="16"/>
  <c r="L33" i="16"/>
  <c r="AN33" i="4"/>
  <c r="E33" i="16"/>
  <c r="C30" i="15"/>
  <c r="E30" i="14"/>
  <c r="G30" i="15"/>
  <c r="C33" i="16"/>
  <c r="B30" i="14"/>
  <c r="D33" i="16"/>
  <c r="B30" i="13"/>
  <c r="F30" i="13"/>
  <c r="F33" i="16"/>
  <c r="G33" i="16"/>
  <c r="B33" i="16"/>
  <c r="H30" i="14"/>
  <c r="J30" i="13"/>
  <c r="R33" i="16"/>
  <c r="AW34" i="30"/>
  <c r="Z34" i="30"/>
  <c r="X34" i="30"/>
  <c r="Y34" i="30"/>
  <c r="W34" i="30"/>
  <c r="R34" i="30"/>
  <c r="AE34" i="30"/>
  <c r="N34" i="16"/>
  <c r="S34" i="30"/>
  <c r="AG34" i="30"/>
  <c r="M34" i="16"/>
  <c r="L34" i="16"/>
  <c r="AN34" i="4"/>
  <c r="E34" i="16"/>
  <c r="C31" i="15"/>
  <c r="E31" i="14"/>
  <c r="G31" i="15"/>
  <c r="C34" i="16"/>
  <c r="B31" i="14"/>
  <c r="D34" i="16"/>
  <c r="B31" i="13"/>
  <c r="F31" i="13"/>
  <c r="F34" i="16"/>
  <c r="G34" i="16"/>
  <c r="B34" i="16"/>
  <c r="H31" i="14"/>
  <c r="J31" i="13"/>
  <c r="R34" i="16"/>
  <c r="AW35" i="30"/>
  <c r="Z35" i="30"/>
  <c r="X35" i="30"/>
  <c r="Y35" i="30"/>
  <c r="W35" i="30"/>
  <c r="R35" i="30"/>
  <c r="AE35" i="30"/>
  <c r="N35" i="16"/>
  <c r="S35" i="30"/>
  <c r="AG35" i="30"/>
  <c r="M35" i="16"/>
  <c r="L35" i="16"/>
  <c r="AN35" i="4"/>
  <c r="E35" i="16"/>
  <c r="C32" i="15"/>
  <c r="E32" i="14"/>
  <c r="G32" i="15"/>
  <c r="C35" i="16"/>
  <c r="B32" i="14"/>
  <c r="D35" i="16"/>
  <c r="B32" i="13"/>
  <c r="F32" i="13"/>
  <c r="F35" i="16"/>
  <c r="G35" i="16"/>
  <c r="B35" i="16"/>
  <c r="H32" i="14"/>
  <c r="J32" i="13"/>
  <c r="R35" i="16"/>
  <c r="AW36" i="30"/>
  <c r="Z36" i="30"/>
  <c r="X36" i="30"/>
  <c r="Y36" i="30"/>
  <c r="W36" i="30"/>
  <c r="R36" i="30"/>
  <c r="AE36" i="30"/>
  <c r="N36" i="16"/>
  <c r="S36" i="30"/>
  <c r="AG36" i="30"/>
  <c r="M36" i="16"/>
  <c r="L36" i="16"/>
  <c r="AN36" i="4"/>
  <c r="E36" i="16"/>
  <c r="C33" i="15"/>
  <c r="E33" i="14"/>
  <c r="G33" i="15"/>
  <c r="C36" i="16"/>
  <c r="B33" i="14"/>
  <c r="D36" i="16"/>
  <c r="B33" i="13"/>
  <c r="F33" i="13"/>
  <c r="F36" i="16"/>
  <c r="G36" i="16"/>
  <c r="B36" i="16"/>
  <c r="H33" i="14"/>
  <c r="J33" i="13"/>
  <c r="R36" i="16"/>
  <c r="AW37" i="30"/>
  <c r="Z37" i="30"/>
  <c r="X37" i="30"/>
  <c r="Y37" i="30"/>
  <c r="W37" i="30"/>
  <c r="R37" i="30"/>
  <c r="AE37" i="30"/>
  <c r="N37" i="16"/>
  <c r="S37" i="30"/>
  <c r="AG37" i="30"/>
  <c r="M37" i="16"/>
  <c r="L37" i="16"/>
  <c r="AN37" i="4"/>
  <c r="E37" i="16"/>
  <c r="C34" i="15"/>
  <c r="E34" i="14"/>
  <c r="G34" i="15"/>
  <c r="C37" i="16"/>
  <c r="B34" i="14"/>
  <c r="D37" i="16"/>
  <c r="B34" i="13"/>
  <c r="F34" i="13"/>
  <c r="F37" i="16"/>
  <c r="G37" i="16"/>
  <c r="B37" i="16"/>
  <c r="H34" i="14"/>
  <c r="J34" i="13"/>
  <c r="R37" i="16"/>
  <c r="AW38" i="30"/>
  <c r="Z38" i="30"/>
  <c r="X38" i="30"/>
  <c r="Y38" i="30"/>
  <c r="W38" i="30"/>
  <c r="R38" i="30"/>
  <c r="AE38" i="30"/>
  <c r="N38" i="16"/>
  <c r="S38" i="30"/>
  <c r="AG38" i="30"/>
  <c r="M38" i="16"/>
  <c r="L38" i="16"/>
  <c r="AN38" i="4"/>
  <c r="E38" i="16"/>
  <c r="C35" i="15"/>
  <c r="E35" i="14"/>
  <c r="G35" i="15"/>
  <c r="C38" i="16"/>
  <c r="B35" i="14"/>
  <c r="D38" i="16"/>
  <c r="B35" i="13"/>
  <c r="F35" i="13"/>
  <c r="F38" i="16"/>
  <c r="G38" i="16"/>
  <c r="B38" i="16"/>
  <c r="H35" i="14"/>
  <c r="J35" i="13"/>
  <c r="R38" i="16"/>
  <c r="AW39" i="30"/>
  <c r="X39" i="30"/>
  <c r="W39" i="30"/>
  <c r="R39" i="30"/>
  <c r="AE39" i="30"/>
  <c r="N39" i="16"/>
  <c r="S39" i="30"/>
  <c r="AG39" i="30"/>
  <c r="M39" i="16"/>
  <c r="L39" i="16"/>
  <c r="AN39" i="4"/>
  <c r="E39" i="16"/>
  <c r="C36" i="15"/>
  <c r="E36" i="14"/>
  <c r="G36" i="15"/>
  <c r="C39" i="16"/>
  <c r="B36" i="14"/>
  <c r="D39" i="16"/>
  <c r="B36" i="13"/>
  <c r="F36" i="13"/>
  <c r="F39" i="16"/>
  <c r="G39" i="16"/>
  <c r="B39" i="16"/>
  <c r="H36" i="14"/>
  <c r="J36" i="13"/>
  <c r="R39" i="16"/>
  <c r="AW40" i="30"/>
  <c r="X40" i="30"/>
  <c r="W40" i="30"/>
  <c r="R40" i="30"/>
  <c r="AE40" i="30"/>
  <c r="N40" i="16"/>
  <c r="S40" i="30"/>
  <c r="AG40" i="30"/>
  <c r="M40" i="16"/>
  <c r="L40" i="16"/>
  <c r="AN40" i="4"/>
  <c r="E40" i="16"/>
  <c r="C37" i="15"/>
  <c r="E37" i="14"/>
  <c r="G37" i="15"/>
  <c r="C40" i="16"/>
  <c r="B37" i="14"/>
  <c r="D40" i="16"/>
  <c r="B37" i="13"/>
  <c r="F37" i="13"/>
  <c r="F40" i="16"/>
  <c r="G40" i="16"/>
  <c r="B40" i="16"/>
  <c r="H37" i="14"/>
  <c r="J37" i="13"/>
  <c r="R40" i="16"/>
  <c r="AW41" i="30"/>
  <c r="X41" i="30"/>
  <c r="W41" i="30"/>
  <c r="R41" i="30"/>
  <c r="AE41" i="30"/>
  <c r="N41" i="16"/>
  <c r="S41" i="30"/>
  <c r="AG41" i="30"/>
  <c r="M41" i="16"/>
  <c r="L41" i="16"/>
  <c r="AN41" i="4"/>
  <c r="E41" i="16"/>
  <c r="C38" i="15"/>
  <c r="E38" i="14"/>
  <c r="G38" i="15"/>
  <c r="C41" i="16"/>
  <c r="B38" i="14"/>
  <c r="D41" i="16"/>
  <c r="B38" i="13"/>
  <c r="F38" i="13"/>
  <c r="F41" i="16"/>
  <c r="G41" i="16"/>
  <c r="B41" i="16"/>
  <c r="H38" i="14"/>
  <c r="J38" i="13"/>
  <c r="R41" i="16"/>
  <c r="AW42" i="30"/>
  <c r="X42" i="30"/>
  <c r="W42" i="30"/>
  <c r="R42" i="30"/>
  <c r="AE42" i="30"/>
  <c r="N42" i="16"/>
  <c r="S42" i="30"/>
  <c r="AG42" i="30"/>
  <c r="M42" i="16"/>
  <c r="L42" i="16"/>
  <c r="AN42" i="4"/>
  <c r="E42" i="16"/>
  <c r="C39" i="15"/>
  <c r="E39" i="14"/>
  <c r="G39" i="15"/>
  <c r="C42" i="16"/>
  <c r="B39" i="14"/>
  <c r="D42" i="16"/>
  <c r="B39" i="13"/>
  <c r="F39" i="13"/>
  <c r="F42" i="16"/>
  <c r="G42" i="16"/>
  <c r="B42" i="16"/>
  <c r="H39" i="14"/>
  <c r="J39" i="13"/>
  <c r="R42" i="16"/>
  <c r="C40" i="15"/>
  <c r="E40" i="14"/>
  <c r="G40" i="15"/>
  <c r="C43" i="16"/>
  <c r="B40" i="14"/>
  <c r="D43" i="16"/>
  <c r="AN43" i="4"/>
  <c r="X43" i="30"/>
  <c r="S43" i="30"/>
  <c r="AG43" i="30"/>
  <c r="M43" i="16"/>
  <c r="W43" i="30"/>
  <c r="R43" i="30"/>
  <c r="AE43" i="30"/>
  <c r="N43" i="16"/>
  <c r="L43" i="16"/>
  <c r="E43" i="16"/>
  <c r="B40" i="13"/>
  <c r="F40" i="13"/>
  <c r="F43" i="16"/>
  <c r="G43" i="16"/>
  <c r="B43" i="16"/>
  <c r="H40" i="14"/>
  <c r="J40" i="13"/>
  <c r="R43" i="16"/>
  <c r="C41" i="15"/>
  <c r="E41" i="14"/>
  <c r="G41" i="15"/>
  <c r="C44" i="16"/>
  <c r="B41" i="14"/>
  <c r="D44" i="16"/>
  <c r="AN44" i="4"/>
  <c r="X44" i="30"/>
  <c r="S44" i="30"/>
  <c r="AG44" i="30"/>
  <c r="M44" i="16"/>
  <c r="W44" i="30"/>
  <c r="R44" i="30"/>
  <c r="AE44" i="30"/>
  <c r="N44" i="16"/>
  <c r="L44" i="16"/>
  <c r="E44" i="16"/>
  <c r="B41" i="13"/>
  <c r="F41" i="13"/>
  <c r="F44" i="16"/>
  <c r="G44" i="16"/>
  <c r="B44" i="16"/>
  <c r="H41" i="14"/>
  <c r="J41" i="13"/>
  <c r="R44" i="16"/>
  <c r="C42" i="15"/>
  <c r="E42" i="14"/>
  <c r="G42" i="15"/>
  <c r="C45" i="16"/>
  <c r="B42" i="14"/>
  <c r="D45" i="16"/>
  <c r="AN45" i="4"/>
  <c r="X45" i="30"/>
  <c r="S45" i="30"/>
  <c r="AG45" i="30"/>
  <c r="M45" i="16"/>
  <c r="W45" i="30"/>
  <c r="R45" i="30"/>
  <c r="AE45" i="30"/>
  <c r="N45" i="16"/>
  <c r="L45" i="16"/>
  <c r="E45" i="16"/>
  <c r="B42" i="13"/>
  <c r="F42" i="13"/>
  <c r="F45" i="16"/>
  <c r="G45" i="16"/>
  <c r="B45" i="16"/>
  <c r="H42" i="14"/>
  <c r="J42" i="13"/>
  <c r="R45" i="16"/>
  <c r="C43" i="15"/>
  <c r="E43" i="14"/>
  <c r="G43" i="15"/>
  <c r="C46" i="16"/>
  <c r="B43" i="14"/>
  <c r="D46" i="16"/>
  <c r="AN46" i="4"/>
  <c r="X46" i="30"/>
  <c r="S46" i="30"/>
  <c r="AG46" i="30"/>
  <c r="M46" i="16"/>
  <c r="W46" i="30"/>
  <c r="R46" i="30"/>
  <c r="AE46" i="30"/>
  <c r="N46" i="16"/>
  <c r="L46" i="16"/>
  <c r="E46" i="16"/>
  <c r="B43" i="13"/>
  <c r="F43" i="13"/>
  <c r="F46" i="16"/>
  <c r="G46" i="16"/>
  <c r="B46" i="16"/>
  <c r="H43" i="14"/>
  <c r="J43" i="13"/>
  <c r="R46" i="16"/>
  <c r="C44" i="15"/>
  <c r="E44" i="14"/>
  <c r="G44" i="15"/>
  <c r="C47" i="16"/>
  <c r="B44" i="14"/>
  <c r="D47" i="16"/>
  <c r="AN47" i="4"/>
  <c r="X47" i="30"/>
  <c r="S47" i="30"/>
  <c r="AG47" i="30"/>
  <c r="M47" i="16"/>
  <c r="W47" i="30"/>
  <c r="R47" i="30"/>
  <c r="AE47" i="30"/>
  <c r="N47" i="16"/>
  <c r="L47" i="16"/>
  <c r="E47" i="16"/>
  <c r="B44" i="13"/>
  <c r="F44" i="13"/>
  <c r="F47" i="16"/>
  <c r="G47" i="16"/>
  <c r="B47" i="16"/>
  <c r="H44" i="14"/>
  <c r="J44" i="13"/>
  <c r="R47" i="16"/>
  <c r="D39" i="36"/>
  <c r="C165" i="34"/>
  <c r="C25" i="34"/>
  <c r="E195" i="34"/>
  <c r="C30" i="37"/>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H195" i="34"/>
  <c r="F30" i="37"/>
  <c r="AH26" i="34"/>
  <c r="AH27" i="34"/>
  <c r="AH28" i="34"/>
  <c r="AH29" i="34"/>
  <c r="AH30" i="34"/>
  <c r="AH31" i="34"/>
  <c r="AH32" i="34"/>
  <c r="AH33" i="34"/>
  <c r="AH34" i="34"/>
  <c r="AH35" i="34"/>
  <c r="AH36" i="34"/>
  <c r="AH37" i="34"/>
  <c r="AH38" i="34"/>
  <c r="AH39" i="34"/>
  <c r="AH40"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106" i="34"/>
  <c r="AH107" i="34"/>
  <c r="AH108" i="34"/>
  <c r="AH109" i="34"/>
  <c r="AH110" i="34"/>
  <c r="AH111" i="34"/>
  <c r="AH112" i="34"/>
  <c r="AH113" i="34"/>
  <c r="AH114" i="34"/>
  <c r="AH115" i="34"/>
  <c r="AH116" i="34"/>
  <c r="AH117" i="34"/>
  <c r="AH118" i="34"/>
  <c r="AH119" i="34"/>
  <c r="AH120" i="34"/>
  <c r="AH121" i="34"/>
  <c r="AH122" i="34"/>
  <c r="AH123" i="34"/>
  <c r="AH124" i="34"/>
  <c r="AH125" i="34"/>
  <c r="AH126" i="34"/>
  <c r="AH127" i="34"/>
  <c r="AH128" i="34"/>
  <c r="AH129" i="34"/>
  <c r="AH130" i="34"/>
  <c r="AH131" i="34"/>
  <c r="AH132" i="34"/>
  <c r="AH133" i="34"/>
  <c r="AH134" i="34"/>
  <c r="AH135" i="34"/>
  <c r="AH136" i="34"/>
  <c r="AH137" i="34"/>
  <c r="AH138" i="34"/>
  <c r="AH139" i="34"/>
  <c r="AH140" i="34"/>
  <c r="AH141" i="34"/>
  <c r="AH142" i="34"/>
  <c r="AH143" i="34"/>
  <c r="AH144" i="34"/>
  <c r="AH145" i="34"/>
  <c r="AH146" i="34"/>
  <c r="AH147" i="34"/>
  <c r="AH148" i="34"/>
  <c r="AH149" i="34"/>
  <c r="AH150" i="34"/>
  <c r="AH151" i="34"/>
  <c r="AH152" i="34"/>
  <c r="AH153" i="34"/>
  <c r="AH154" i="34"/>
  <c r="AH155" i="34"/>
  <c r="AH156" i="34"/>
  <c r="AH157" i="34"/>
  <c r="AH158" i="34"/>
  <c r="AH159" i="34"/>
  <c r="AH160" i="34"/>
  <c r="AH161" i="34"/>
  <c r="AH162" i="34"/>
  <c r="AH163" i="34"/>
  <c r="AH164" i="34"/>
  <c r="AH165" i="34"/>
  <c r="I195" i="34"/>
  <c r="G30" i="37"/>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106" i="34"/>
  <c r="AI107" i="34"/>
  <c r="AI108" i="34"/>
  <c r="AI109" i="34"/>
  <c r="AI110" i="34"/>
  <c r="AI111" i="34"/>
  <c r="AI112" i="34"/>
  <c r="AI113" i="34"/>
  <c r="AI114" i="34"/>
  <c r="AI115" i="34"/>
  <c r="AI116" i="34"/>
  <c r="AI117" i="34"/>
  <c r="AI118" i="34"/>
  <c r="AI119" i="34"/>
  <c r="AI120" i="34"/>
  <c r="AI121" i="34"/>
  <c r="AI122" i="34"/>
  <c r="AI123" i="34"/>
  <c r="AI124" i="34"/>
  <c r="AI125" i="34"/>
  <c r="AI126" i="34"/>
  <c r="AI127" i="34"/>
  <c r="AI128" i="34"/>
  <c r="AI129" i="34"/>
  <c r="AI130" i="34"/>
  <c r="AI131" i="34"/>
  <c r="AI132" i="34"/>
  <c r="AI133" i="34"/>
  <c r="AI134" i="34"/>
  <c r="AI135" i="34"/>
  <c r="AI136" i="34"/>
  <c r="AI137" i="34"/>
  <c r="AI138" i="34"/>
  <c r="AI139" i="34"/>
  <c r="AI140" i="34"/>
  <c r="AI141" i="34"/>
  <c r="AI142" i="34"/>
  <c r="AI143" i="34"/>
  <c r="AI144" i="34"/>
  <c r="AI145" i="34"/>
  <c r="AI146" i="34"/>
  <c r="AI147" i="34"/>
  <c r="AI148" i="34"/>
  <c r="AI149" i="34"/>
  <c r="AI150" i="34"/>
  <c r="AI151" i="34"/>
  <c r="AI152" i="34"/>
  <c r="AI153" i="34"/>
  <c r="AI154" i="34"/>
  <c r="AI155" i="34"/>
  <c r="AI156" i="34"/>
  <c r="AI157" i="34"/>
  <c r="AI158" i="34"/>
  <c r="AI159" i="34"/>
  <c r="AI160" i="34"/>
  <c r="AI161" i="34"/>
  <c r="AI162" i="34"/>
  <c r="AI163" i="34"/>
  <c r="AI164" i="34"/>
  <c r="AI165" i="34"/>
  <c r="J195" i="34"/>
  <c r="H30" i="37"/>
  <c r="X72" i="30"/>
  <c r="S72" i="30"/>
  <c r="AG72" i="30"/>
  <c r="M72" i="16"/>
  <c r="R72" i="30"/>
  <c r="AE72" i="30"/>
  <c r="Y72" i="30"/>
  <c r="N72" i="16"/>
  <c r="L72" i="16"/>
  <c r="AN72" i="4"/>
  <c r="E72" i="16"/>
  <c r="X73" i="30"/>
  <c r="S73" i="30"/>
  <c r="AG73" i="30"/>
  <c r="M73" i="16"/>
  <c r="R73" i="30"/>
  <c r="AE73" i="30"/>
  <c r="Y73" i="30"/>
  <c r="N73" i="16"/>
  <c r="L73" i="16"/>
  <c r="AN73" i="4"/>
  <c r="E73" i="16"/>
  <c r="X74" i="30"/>
  <c r="S74" i="30"/>
  <c r="AG74" i="30"/>
  <c r="M74" i="16"/>
  <c r="R74" i="30"/>
  <c r="AE74" i="30"/>
  <c r="Y74" i="30"/>
  <c r="N74" i="16"/>
  <c r="L74" i="16"/>
  <c r="AN74" i="4"/>
  <c r="E74" i="16"/>
  <c r="X75" i="30"/>
  <c r="S75" i="30"/>
  <c r="AG75" i="30"/>
  <c r="M75" i="16"/>
  <c r="R75" i="30"/>
  <c r="AE75" i="30"/>
  <c r="Y75" i="30"/>
  <c r="N75" i="16"/>
  <c r="L75" i="16"/>
  <c r="AN75" i="4"/>
  <c r="E75" i="16"/>
  <c r="X76" i="30"/>
  <c r="S76" i="30"/>
  <c r="AG76" i="30"/>
  <c r="M76" i="16"/>
  <c r="R76" i="30"/>
  <c r="AE76" i="30"/>
  <c r="Y76" i="30"/>
  <c r="N76" i="16"/>
  <c r="L76" i="16"/>
  <c r="AN76" i="4"/>
  <c r="E76" i="16"/>
  <c r="X77" i="30"/>
  <c r="S77" i="30"/>
  <c r="AG77" i="30"/>
  <c r="M77" i="16"/>
  <c r="R77" i="30"/>
  <c r="AE77" i="30"/>
  <c r="Y77" i="30"/>
  <c r="N77" i="16"/>
  <c r="L77" i="16"/>
  <c r="AN77" i="4"/>
  <c r="E77" i="16"/>
  <c r="B103" i="15"/>
  <c r="F103" i="15"/>
  <c r="J106" i="16"/>
  <c r="F103" i="14"/>
  <c r="K106" i="16"/>
  <c r="L106" i="16"/>
  <c r="I103" i="13"/>
  <c r="O106" i="16"/>
  <c r="H106" i="16"/>
  <c r="W106" i="30"/>
  <c r="R106" i="30"/>
  <c r="AE106" i="30"/>
  <c r="AW106" i="30"/>
  <c r="AA106" i="30"/>
  <c r="Z106" i="30"/>
  <c r="X106" i="30"/>
  <c r="Y106" i="30"/>
  <c r="N106" i="16"/>
  <c r="W107" i="30"/>
  <c r="R107" i="30"/>
  <c r="AE107" i="30"/>
  <c r="AW107" i="30"/>
  <c r="AA107" i="30"/>
  <c r="Z107" i="30"/>
  <c r="X107" i="30"/>
  <c r="Y107" i="30"/>
  <c r="N107" i="16"/>
  <c r="W108" i="30"/>
  <c r="R108" i="30"/>
  <c r="AE108" i="30"/>
  <c r="AW108" i="30"/>
  <c r="AA108" i="30"/>
  <c r="Z108" i="30"/>
  <c r="X108" i="30"/>
  <c r="Y108" i="30"/>
  <c r="N108" i="16"/>
  <c r="W109" i="30"/>
  <c r="R109" i="30"/>
  <c r="AE109" i="30"/>
  <c r="AW109" i="30"/>
  <c r="AA109" i="30"/>
  <c r="Z109" i="30"/>
  <c r="X109" i="30"/>
  <c r="Y109" i="30"/>
  <c r="N109" i="16"/>
  <c r="R110" i="30"/>
  <c r="AE110" i="30"/>
  <c r="AW110" i="30"/>
  <c r="X110" i="30"/>
  <c r="Y110" i="30"/>
  <c r="N110" i="16"/>
  <c r="W119" i="30"/>
  <c r="W111" i="30"/>
  <c r="R111" i="30"/>
  <c r="AE111" i="30"/>
  <c r="AW111" i="30"/>
  <c r="AA111" i="30"/>
  <c r="Q160" i="30"/>
  <c r="P160" i="30"/>
  <c r="Z160" i="30"/>
  <c r="Z170" i="30"/>
  <c r="Z111" i="30"/>
  <c r="X111" i="30"/>
  <c r="Y111" i="30"/>
  <c r="N111" i="16"/>
  <c r="W112" i="30"/>
  <c r="R112" i="30"/>
  <c r="AE112" i="30"/>
  <c r="AW112" i="30"/>
  <c r="AA112" i="30"/>
  <c r="Z112" i="30"/>
  <c r="X112" i="30"/>
  <c r="Y112" i="30"/>
  <c r="N112" i="16"/>
  <c r="W113" i="30"/>
  <c r="R113" i="30"/>
  <c r="AE113" i="30"/>
  <c r="AW113" i="30"/>
  <c r="AA113" i="30"/>
  <c r="Z113" i="30"/>
  <c r="X113" i="30"/>
  <c r="Y113" i="30"/>
  <c r="N113" i="16"/>
  <c r="W114" i="30"/>
  <c r="R114" i="30"/>
  <c r="AE114" i="30"/>
  <c r="AW114" i="30"/>
  <c r="AA114" i="30"/>
  <c r="Z114" i="30"/>
  <c r="X114" i="30"/>
  <c r="Y114" i="30"/>
  <c r="N114" i="16"/>
  <c r="W115" i="30"/>
  <c r="R115" i="30"/>
  <c r="AE115" i="30"/>
  <c r="AW115" i="30"/>
  <c r="AA115" i="30"/>
  <c r="Z115" i="30"/>
  <c r="X115" i="30"/>
  <c r="Y115" i="30"/>
  <c r="N115" i="16"/>
  <c r="W116" i="30"/>
  <c r="R116" i="30"/>
  <c r="AE116" i="30"/>
  <c r="AW116" i="30"/>
  <c r="AA116" i="30"/>
  <c r="Z116" i="30"/>
  <c r="X116" i="30"/>
  <c r="Y116" i="30"/>
  <c r="N116" i="16"/>
  <c r="W117" i="30"/>
  <c r="R117" i="30"/>
  <c r="AE117" i="30"/>
  <c r="AW117" i="30"/>
  <c r="AA117" i="30"/>
  <c r="Z117" i="30"/>
  <c r="X117" i="30"/>
  <c r="Y117" i="30"/>
  <c r="N117" i="16"/>
  <c r="W118" i="30"/>
  <c r="R118" i="30"/>
  <c r="AE118" i="30"/>
  <c r="AW118" i="30"/>
  <c r="AA118" i="30"/>
  <c r="Z118" i="30"/>
  <c r="X118" i="30"/>
  <c r="Y118" i="30"/>
  <c r="N118" i="16"/>
  <c r="R119" i="30"/>
  <c r="AE119" i="30"/>
  <c r="AW119" i="30"/>
  <c r="AA119" i="30"/>
  <c r="Z119" i="30"/>
  <c r="X119" i="30"/>
  <c r="Y119" i="30"/>
  <c r="N119" i="16"/>
  <c r="R120" i="30"/>
  <c r="AE120" i="30"/>
  <c r="AW120" i="30"/>
  <c r="W120" i="30"/>
  <c r="AA120" i="30"/>
  <c r="Z120" i="30"/>
  <c r="X120" i="30"/>
  <c r="Y120" i="30"/>
  <c r="N120" i="16"/>
  <c r="R121" i="30"/>
  <c r="AE121" i="30"/>
  <c r="AW121" i="30"/>
  <c r="W121" i="30"/>
  <c r="AA121" i="30"/>
  <c r="Z121" i="30"/>
  <c r="X121" i="30"/>
  <c r="Y121" i="30"/>
  <c r="N121" i="16"/>
  <c r="R122" i="30"/>
  <c r="AE122" i="30"/>
  <c r="AW122" i="30"/>
  <c r="W122" i="30"/>
  <c r="AA122" i="30"/>
  <c r="Z122" i="30"/>
  <c r="X122" i="30"/>
  <c r="Y122" i="30"/>
  <c r="N122" i="16"/>
  <c r="R123" i="30"/>
  <c r="AE123" i="30"/>
  <c r="AW123" i="30"/>
  <c r="W123" i="30"/>
  <c r="AA123" i="30"/>
  <c r="Z123" i="30"/>
  <c r="X123" i="30"/>
  <c r="Y123" i="30"/>
  <c r="N123" i="16"/>
  <c r="R124" i="30"/>
  <c r="AE124" i="30"/>
  <c r="AW124" i="30"/>
  <c r="W124" i="30"/>
  <c r="Z124" i="30"/>
  <c r="X124" i="30"/>
  <c r="Y124" i="30"/>
  <c r="N124" i="16"/>
  <c r="R125" i="30"/>
  <c r="AE125" i="30"/>
  <c r="AW125" i="30"/>
  <c r="W125" i="30"/>
  <c r="AA125" i="30"/>
  <c r="Z125" i="30"/>
  <c r="X125" i="30"/>
  <c r="Y125" i="30"/>
  <c r="N125" i="16"/>
  <c r="R126" i="30"/>
  <c r="AE126" i="30"/>
  <c r="AW126" i="30"/>
  <c r="W126" i="30"/>
  <c r="AA126" i="30"/>
  <c r="Z126" i="30"/>
  <c r="X126" i="30"/>
  <c r="Y126" i="30"/>
  <c r="N126" i="16"/>
  <c r="R127" i="30"/>
  <c r="AE127" i="30"/>
  <c r="AW127" i="30"/>
  <c r="W127" i="30"/>
  <c r="AA127" i="30"/>
  <c r="Z127" i="30"/>
  <c r="X127" i="30"/>
  <c r="Y127" i="30"/>
  <c r="N127" i="16"/>
  <c r="R128" i="30"/>
  <c r="AE128" i="30"/>
  <c r="AW128" i="30"/>
  <c r="W128" i="30"/>
  <c r="AA128" i="30"/>
  <c r="Z128" i="30"/>
  <c r="X128" i="30"/>
  <c r="Y128" i="30"/>
  <c r="N128" i="16"/>
  <c r="R129" i="30"/>
  <c r="AE129" i="30"/>
  <c r="AW129" i="30"/>
  <c r="W129" i="30"/>
  <c r="AA129" i="30"/>
  <c r="Z129" i="30"/>
  <c r="X129" i="30"/>
  <c r="Y129" i="30"/>
  <c r="N129" i="16"/>
  <c r="R130" i="30"/>
  <c r="AE130" i="30"/>
  <c r="AW130" i="30"/>
  <c r="W130" i="30"/>
  <c r="AA130" i="30"/>
  <c r="Z130" i="30"/>
  <c r="X130" i="30"/>
  <c r="Y130" i="30"/>
  <c r="N130" i="16"/>
  <c r="R131" i="30"/>
  <c r="AE131" i="30"/>
  <c r="AW131" i="30"/>
  <c r="W131" i="30"/>
  <c r="AA131" i="30"/>
  <c r="Z131" i="30"/>
  <c r="X131" i="30"/>
  <c r="Y131" i="30"/>
  <c r="N131" i="16"/>
  <c r="R132" i="30"/>
  <c r="AE132" i="30"/>
  <c r="AW132" i="30"/>
  <c r="W132" i="30"/>
  <c r="Z132" i="30"/>
  <c r="X132" i="30"/>
  <c r="Y132" i="30"/>
  <c r="N132" i="16"/>
  <c r="R133" i="30"/>
  <c r="AE133" i="30"/>
  <c r="AW133" i="30"/>
  <c r="W133" i="30"/>
  <c r="AA133" i="30"/>
  <c r="Z133" i="30"/>
  <c r="X133" i="30"/>
  <c r="Y133" i="30"/>
  <c r="N133" i="16"/>
  <c r="R134" i="30"/>
  <c r="AE134" i="30"/>
  <c r="AW134" i="30"/>
  <c r="W134" i="30"/>
  <c r="AA134" i="30"/>
  <c r="Z134" i="30"/>
  <c r="X134" i="30"/>
  <c r="Y134" i="30"/>
  <c r="N134" i="16"/>
  <c r="R135" i="30"/>
  <c r="AE135" i="30"/>
  <c r="AW135" i="30"/>
  <c r="W135" i="30"/>
  <c r="AA135" i="30"/>
  <c r="Z135" i="30"/>
  <c r="X135" i="30"/>
  <c r="Y135" i="30"/>
  <c r="N135" i="16"/>
  <c r="R136" i="30"/>
  <c r="AE136" i="30"/>
  <c r="AW136" i="30"/>
  <c r="W136" i="30"/>
  <c r="AA136" i="30"/>
  <c r="Z136" i="30"/>
  <c r="X136" i="30"/>
  <c r="Y136" i="30"/>
  <c r="N136" i="16"/>
  <c r="R137" i="30"/>
  <c r="AE137" i="30"/>
  <c r="AW137" i="30"/>
  <c r="W137" i="30"/>
  <c r="AA137" i="30"/>
  <c r="Z137" i="30"/>
  <c r="X137" i="30"/>
  <c r="Y137" i="30"/>
  <c r="N137" i="16"/>
  <c r="R138" i="30"/>
  <c r="AE138" i="30"/>
  <c r="AW138" i="30"/>
  <c r="W138" i="30"/>
  <c r="AA138" i="30"/>
  <c r="Z138" i="30"/>
  <c r="X138" i="30"/>
  <c r="Y138" i="30"/>
  <c r="N138" i="16"/>
  <c r="R139" i="30"/>
  <c r="AE139" i="30"/>
  <c r="AW139" i="30"/>
  <c r="W139" i="30"/>
  <c r="AA139" i="30"/>
  <c r="Z139" i="30"/>
  <c r="X139" i="30"/>
  <c r="Y139" i="30"/>
  <c r="N139" i="16"/>
  <c r="R140" i="30"/>
  <c r="AE140" i="30"/>
  <c r="AW140" i="30"/>
  <c r="W140" i="30"/>
  <c r="AA140" i="30"/>
  <c r="Z140" i="30"/>
  <c r="X140" i="30"/>
  <c r="Y140" i="30"/>
  <c r="N140" i="16"/>
  <c r="R141" i="30"/>
  <c r="AE141" i="30"/>
  <c r="AW141" i="30"/>
  <c r="W141" i="30"/>
  <c r="AA141" i="30"/>
  <c r="Z141" i="30"/>
  <c r="X141" i="30"/>
  <c r="Y141" i="30"/>
  <c r="N141" i="16"/>
  <c r="R142" i="30"/>
  <c r="AE142" i="30"/>
  <c r="AW142" i="30"/>
  <c r="W142" i="30"/>
  <c r="AA142" i="30"/>
  <c r="Z142" i="30"/>
  <c r="X142" i="30"/>
  <c r="Y142" i="30"/>
  <c r="N142" i="16"/>
  <c r="R143" i="30"/>
  <c r="AE143" i="30"/>
  <c r="AW143" i="30"/>
  <c r="W143" i="30"/>
  <c r="AA143" i="30"/>
  <c r="Z143" i="30"/>
  <c r="X143" i="30"/>
  <c r="Y143" i="30"/>
  <c r="N143" i="16"/>
  <c r="R144" i="30"/>
  <c r="AE144" i="30"/>
  <c r="AW144" i="30"/>
  <c r="W144" i="30"/>
  <c r="AA144" i="30"/>
  <c r="Z144" i="30"/>
  <c r="X144" i="30"/>
  <c r="Y144" i="30"/>
  <c r="N144" i="16"/>
  <c r="R145" i="30"/>
  <c r="AE145" i="30"/>
  <c r="AW145" i="30"/>
  <c r="W145" i="30"/>
  <c r="AA145" i="30"/>
  <c r="Z145" i="30"/>
  <c r="X145" i="30"/>
  <c r="Y145" i="30"/>
  <c r="N145" i="16"/>
  <c r="R146" i="30"/>
  <c r="AE146" i="30"/>
  <c r="AW146" i="30"/>
  <c r="W146" i="30"/>
  <c r="AA146" i="30"/>
  <c r="Z146" i="30"/>
  <c r="X146" i="30"/>
  <c r="Y146" i="30"/>
  <c r="N146" i="16"/>
  <c r="R147" i="30"/>
  <c r="AE147" i="30"/>
  <c r="AW147" i="30"/>
  <c r="W147" i="30"/>
  <c r="AA147" i="30"/>
  <c r="Z147" i="30"/>
  <c r="X147" i="30"/>
  <c r="Y147" i="30"/>
  <c r="N147" i="16"/>
  <c r="R148" i="30"/>
  <c r="AE148" i="30"/>
  <c r="AW148" i="30"/>
  <c r="W148" i="30"/>
  <c r="AA148" i="30"/>
  <c r="Z148" i="30"/>
  <c r="X148" i="30"/>
  <c r="Y148" i="30"/>
  <c r="N148" i="16"/>
  <c r="R149" i="30"/>
  <c r="AE149" i="30"/>
  <c r="AW149" i="30"/>
  <c r="W149" i="30"/>
  <c r="AA149" i="30"/>
  <c r="Z149" i="30"/>
  <c r="X149" i="30"/>
  <c r="Y149" i="30"/>
  <c r="N149" i="16"/>
  <c r="R150" i="30"/>
  <c r="AE150" i="30"/>
  <c r="AW150" i="30"/>
  <c r="W150" i="30"/>
  <c r="AA150" i="30"/>
  <c r="Z150" i="30"/>
  <c r="X150" i="30"/>
  <c r="Y150" i="30"/>
  <c r="N150" i="16"/>
  <c r="R151" i="30"/>
  <c r="AE151" i="30"/>
  <c r="AW151" i="30"/>
  <c r="W151" i="30"/>
  <c r="AA151" i="30"/>
  <c r="Z151" i="30"/>
  <c r="X151" i="30"/>
  <c r="Y151" i="30"/>
  <c r="N151" i="16"/>
  <c r="R152" i="30"/>
  <c r="AE152" i="30"/>
  <c r="AW152" i="30"/>
  <c r="W152" i="30"/>
  <c r="AA152" i="30"/>
  <c r="Z152" i="30"/>
  <c r="X152" i="30"/>
  <c r="Y152" i="30"/>
  <c r="N152" i="16"/>
  <c r="R153" i="30"/>
  <c r="AE153" i="30"/>
  <c r="AW153" i="30"/>
  <c r="W153" i="30"/>
  <c r="AA153" i="30"/>
  <c r="Z153" i="30"/>
  <c r="X153" i="30"/>
  <c r="Y153" i="30"/>
  <c r="N153" i="16"/>
  <c r="R154" i="30"/>
  <c r="AE154" i="30"/>
  <c r="AW154" i="30"/>
  <c r="W154" i="30"/>
  <c r="AA154" i="30"/>
  <c r="Z154" i="30"/>
  <c r="X154" i="30"/>
  <c r="Y154" i="30"/>
  <c r="N154" i="16"/>
  <c r="R155" i="30"/>
  <c r="AE155" i="30"/>
  <c r="AW155" i="30"/>
  <c r="W155" i="30"/>
  <c r="AA155" i="30"/>
  <c r="Z155" i="30"/>
  <c r="X155" i="30"/>
  <c r="Y155" i="30"/>
  <c r="N155" i="16"/>
  <c r="R156" i="30"/>
  <c r="AE156" i="30"/>
  <c r="AW156" i="30"/>
  <c r="W156" i="30"/>
  <c r="AA156" i="30"/>
  <c r="Z156" i="30"/>
  <c r="X156" i="30"/>
  <c r="Y156" i="30"/>
  <c r="N156" i="16"/>
  <c r="R157" i="30"/>
  <c r="AE157" i="30"/>
  <c r="AW157" i="30"/>
  <c r="W157" i="30"/>
  <c r="AA157" i="30"/>
  <c r="Z157" i="30"/>
  <c r="X157" i="30"/>
  <c r="Y157" i="30"/>
  <c r="N157" i="16"/>
  <c r="R158" i="30"/>
  <c r="AE158" i="30"/>
  <c r="AW158" i="30"/>
  <c r="W158" i="30"/>
  <c r="AA158" i="30"/>
  <c r="Z158" i="30"/>
  <c r="X158" i="30"/>
  <c r="Y158" i="30"/>
  <c r="N158" i="16"/>
  <c r="R159" i="30"/>
  <c r="AE159" i="30"/>
  <c r="AW159" i="30"/>
  <c r="W159" i="30"/>
  <c r="AA159" i="30"/>
  <c r="Z159" i="30"/>
  <c r="X159" i="30"/>
  <c r="Y159" i="30"/>
  <c r="N159" i="16"/>
  <c r="R160" i="30"/>
  <c r="AE160" i="30"/>
  <c r="AW160" i="30"/>
  <c r="W160" i="30"/>
  <c r="AA160" i="30"/>
  <c r="X160" i="30"/>
  <c r="Y160" i="30"/>
  <c r="N160" i="16"/>
  <c r="R161" i="30"/>
  <c r="AE161" i="30"/>
  <c r="AW161" i="30"/>
  <c r="W161" i="30"/>
  <c r="AA161" i="30"/>
  <c r="Z161" i="30"/>
  <c r="X161" i="30"/>
  <c r="Y161" i="30"/>
  <c r="N161" i="16"/>
  <c r="R162" i="30"/>
  <c r="AE162" i="30"/>
  <c r="AW162" i="30"/>
  <c r="W162" i="30"/>
  <c r="AA162" i="30"/>
  <c r="Z162" i="30"/>
  <c r="X162" i="30"/>
  <c r="Y162" i="30"/>
  <c r="N162" i="16"/>
  <c r="R163" i="30"/>
  <c r="AE163" i="30"/>
  <c r="AW163" i="30"/>
  <c r="W163" i="30"/>
  <c r="AA163" i="30"/>
  <c r="Z163" i="30"/>
  <c r="X163" i="30"/>
  <c r="Y163" i="30"/>
  <c r="N163" i="16"/>
  <c r="R164" i="30"/>
  <c r="AE164" i="30"/>
  <c r="AW164" i="30"/>
  <c r="W164" i="30"/>
  <c r="AA164" i="30"/>
  <c r="Z164" i="30"/>
  <c r="X164" i="30"/>
  <c r="Y164" i="30"/>
  <c r="N164" i="16"/>
  <c r="R165" i="30"/>
  <c r="AE165" i="30"/>
  <c r="AW165" i="30"/>
  <c r="W165" i="30"/>
  <c r="AA165" i="30"/>
  <c r="Z165" i="30"/>
  <c r="X165" i="30"/>
  <c r="Y165" i="30"/>
  <c r="N165" i="16"/>
  <c r="R166" i="30"/>
  <c r="AE166" i="30"/>
  <c r="AW166" i="30"/>
  <c r="W166" i="30"/>
  <c r="AA166" i="30"/>
  <c r="Z166" i="30"/>
  <c r="X166" i="30"/>
  <c r="Y166" i="30"/>
  <c r="N166" i="16"/>
  <c r="R167" i="30"/>
  <c r="AE167" i="30"/>
  <c r="AW167" i="30"/>
  <c r="W167" i="30"/>
  <c r="AA167" i="30"/>
  <c r="Z167" i="30"/>
  <c r="X167" i="30"/>
  <c r="Y167" i="30"/>
  <c r="N167" i="16"/>
  <c r="R168" i="30"/>
  <c r="AE168" i="30"/>
  <c r="AW168" i="30"/>
  <c r="W168" i="30"/>
  <c r="AA168" i="30"/>
  <c r="Z168" i="30"/>
  <c r="X168" i="30"/>
  <c r="Y168" i="30"/>
  <c r="N168" i="16"/>
  <c r="R169" i="30"/>
  <c r="AE169" i="30"/>
  <c r="AW169" i="30"/>
  <c r="W169" i="30"/>
  <c r="AA169" i="30"/>
  <c r="Z169" i="30"/>
  <c r="X169" i="30"/>
  <c r="Y169" i="30"/>
  <c r="N169" i="16"/>
  <c r="AP14" i="30"/>
  <c r="AP15" i="30"/>
  <c r="AP16" i="30"/>
  <c r="AP17" i="30"/>
  <c r="AP18" i="30"/>
  <c r="AP19" i="30"/>
  <c r="AP20" i="30"/>
  <c r="AP21" i="30"/>
  <c r="AP22" i="30"/>
  <c r="AP23" i="30"/>
  <c r="AP24" i="30"/>
  <c r="AP25" i="30"/>
  <c r="AP26" i="30"/>
  <c r="AP27" i="30"/>
  <c r="AP28" i="30"/>
  <c r="AP29" i="30"/>
  <c r="AP30" i="30"/>
  <c r="AP31" i="30"/>
  <c r="AP32" i="30"/>
  <c r="AP33" i="30"/>
  <c r="AP34" i="30"/>
  <c r="AP35" i="30"/>
  <c r="AP36" i="30"/>
  <c r="AP37" i="30"/>
  <c r="AP38" i="30"/>
  <c r="AP39" i="30"/>
  <c r="AP40" i="30"/>
  <c r="AP41" i="30"/>
  <c r="AP42" i="30"/>
  <c r="AP43" i="30"/>
  <c r="AP44" i="30"/>
  <c r="AP45" i="30"/>
  <c r="AP46" i="30"/>
  <c r="AP47" i="30"/>
  <c r="AP48" i="30"/>
  <c r="AP49" i="30"/>
  <c r="AP50" i="30"/>
  <c r="AP51" i="30"/>
  <c r="AP52" i="30"/>
  <c r="AP53" i="30"/>
  <c r="AP54" i="30"/>
  <c r="AP55" i="30"/>
  <c r="AP56" i="30"/>
  <c r="AP57" i="30"/>
  <c r="AP58" i="30"/>
  <c r="AP59" i="30"/>
  <c r="AP60" i="30"/>
  <c r="AP61" i="30"/>
  <c r="AP62" i="30"/>
  <c r="AP63" i="30"/>
  <c r="AP64" i="30"/>
  <c r="AP65" i="30"/>
  <c r="AP66" i="30"/>
  <c r="AP67" i="30"/>
  <c r="AP68" i="30"/>
  <c r="AP69" i="30"/>
  <c r="AP70" i="30"/>
  <c r="AP71" i="30"/>
  <c r="AP72" i="30"/>
  <c r="AP73" i="30"/>
  <c r="AP74" i="30"/>
  <c r="AP75" i="30"/>
  <c r="AP76" i="30"/>
  <c r="AP77" i="30"/>
  <c r="AP78" i="30"/>
  <c r="AP79" i="30"/>
  <c r="AP80" i="30"/>
  <c r="AP81" i="30"/>
  <c r="AP82" i="30"/>
  <c r="AP83" i="30"/>
  <c r="AP84" i="30"/>
  <c r="AP85" i="30"/>
  <c r="AP86" i="30"/>
  <c r="AP87" i="30"/>
  <c r="AP88" i="30"/>
  <c r="AP89" i="30"/>
  <c r="AP90" i="30"/>
  <c r="AP91" i="30"/>
  <c r="AP92" i="30"/>
  <c r="AP93" i="30"/>
  <c r="AP94" i="30"/>
  <c r="AP95" i="30"/>
  <c r="AP96" i="30"/>
  <c r="AP97" i="30"/>
  <c r="AP98" i="30"/>
  <c r="AP99" i="30"/>
  <c r="AP100" i="30"/>
  <c r="AP101" i="30"/>
  <c r="AP102" i="30"/>
  <c r="AP103" i="30"/>
  <c r="AP104" i="30"/>
  <c r="AP105" i="30"/>
  <c r="AP13" i="30"/>
  <c r="I14" i="16"/>
  <c r="I11" i="13"/>
  <c r="O14" i="16"/>
  <c r="H14" i="16"/>
  <c r="I15" i="16"/>
  <c r="I12" i="13"/>
  <c r="O15" i="16"/>
  <c r="H15" i="16"/>
  <c r="I16" i="16"/>
  <c r="I13" i="13"/>
  <c r="O16" i="16"/>
  <c r="H16" i="16"/>
  <c r="I17" i="16"/>
  <c r="I14" i="13"/>
  <c r="O17" i="16"/>
  <c r="H17" i="16"/>
  <c r="I18" i="16"/>
  <c r="I15" i="13"/>
  <c r="O18" i="16"/>
  <c r="H18" i="16"/>
  <c r="I19" i="16"/>
  <c r="I16" i="13"/>
  <c r="O19" i="16"/>
  <c r="H19" i="16"/>
  <c r="I20" i="16"/>
  <c r="I17" i="13"/>
  <c r="O20" i="16"/>
  <c r="H20" i="16"/>
  <c r="I21" i="16"/>
  <c r="I18" i="13"/>
  <c r="O21" i="16"/>
  <c r="H21" i="16"/>
  <c r="I22" i="16"/>
  <c r="I19" i="13"/>
  <c r="O22" i="16"/>
  <c r="H22" i="16"/>
  <c r="I23" i="16"/>
  <c r="I20" i="13"/>
  <c r="O23" i="16"/>
  <c r="H23" i="16"/>
  <c r="I24" i="16"/>
  <c r="I21" i="13"/>
  <c r="O24" i="16"/>
  <c r="H24" i="16"/>
  <c r="I25" i="16"/>
  <c r="I22" i="13"/>
  <c r="O25" i="16"/>
  <c r="H25" i="16"/>
  <c r="I26" i="16"/>
  <c r="I23" i="13"/>
  <c r="O26" i="16"/>
  <c r="H26" i="16"/>
  <c r="I27" i="16"/>
  <c r="I24" i="13"/>
  <c r="O27" i="16"/>
  <c r="H27" i="16"/>
  <c r="I28" i="16"/>
  <c r="I25" i="13"/>
  <c r="O28" i="16"/>
  <c r="H28" i="16"/>
  <c r="I29" i="16"/>
  <c r="I26" i="13"/>
  <c r="O29" i="16"/>
  <c r="H29" i="16"/>
  <c r="I30" i="16"/>
  <c r="I27" i="13"/>
  <c r="O30" i="16"/>
  <c r="H30" i="16"/>
  <c r="I31" i="16"/>
  <c r="I28" i="13"/>
  <c r="O31" i="16"/>
  <c r="H31" i="16"/>
  <c r="I32" i="16"/>
  <c r="I29" i="13"/>
  <c r="O32" i="16"/>
  <c r="H32" i="16"/>
  <c r="I33" i="16"/>
  <c r="I30" i="13"/>
  <c r="O33" i="16"/>
  <c r="H33" i="16"/>
  <c r="I34" i="16"/>
  <c r="I31" i="13"/>
  <c r="O34" i="16"/>
  <c r="H34" i="16"/>
  <c r="I35" i="16"/>
  <c r="I32" i="13"/>
  <c r="O35" i="16"/>
  <c r="H35" i="16"/>
  <c r="I36" i="16"/>
  <c r="I33" i="13"/>
  <c r="O36" i="16"/>
  <c r="H36" i="16"/>
  <c r="I37" i="16"/>
  <c r="I34" i="13"/>
  <c r="O37" i="16"/>
  <c r="H37" i="16"/>
  <c r="I38" i="16"/>
  <c r="I35" i="13"/>
  <c r="O38" i="16"/>
  <c r="H38" i="16"/>
  <c r="I39" i="16"/>
  <c r="I36" i="13"/>
  <c r="O39" i="16"/>
  <c r="H39" i="16"/>
  <c r="I40" i="16"/>
  <c r="I37" i="13"/>
  <c r="O40" i="16"/>
  <c r="H40" i="16"/>
  <c r="I41" i="16"/>
  <c r="I38" i="13"/>
  <c r="O41" i="16"/>
  <c r="H41" i="16"/>
  <c r="I42" i="16"/>
  <c r="I39" i="13"/>
  <c r="O42" i="16"/>
  <c r="H42" i="16"/>
  <c r="I43" i="16"/>
  <c r="I40" i="13"/>
  <c r="O43" i="16"/>
  <c r="H43" i="16"/>
  <c r="I44" i="16"/>
  <c r="I41" i="13"/>
  <c r="O44" i="16"/>
  <c r="H44" i="16"/>
  <c r="I45" i="16"/>
  <c r="I42" i="13"/>
  <c r="O45" i="16"/>
  <c r="H45" i="16"/>
  <c r="I46" i="16"/>
  <c r="I43" i="13"/>
  <c r="O46" i="16"/>
  <c r="H46" i="16"/>
  <c r="I47" i="16"/>
  <c r="I44" i="13"/>
  <c r="O47" i="16"/>
  <c r="H47" i="16"/>
  <c r="I48" i="16"/>
  <c r="I45" i="13"/>
  <c r="O48" i="16"/>
  <c r="H48" i="16"/>
  <c r="I49" i="16"/>
  <c r="I46" i="13"/>
  <c r="O49" i="16"/>
  <c r="H49" i="16"/>
  <c r="I50" i="16"/>
  <c r="I47" i="13"/>
  <c r="O50" i="16"/>
  <c r="H50" i="16"/>
  <c r="I51" i="16"/>
  <c r="I48" i="13"/>
  <c r="O51" i="16"/>
  <c r="H51" i="16"/>
  <c r="I52" i="16"/>
  <c r="I49" i="13"/>
  <c r="O52" i="16"/>
  <c r="H52" i="16"/>
  <c r="I53" i="16"/>
  <c r="I50" i="13"/>
  <c r="O53" i="16"/>
  <c r="H53" i="16"/>
  <c r="I54" i="16"/>
  <c r="I51" i="13"/>
  <c r="O54" i="16"/>
  <c r="H54" i="16"/>
  <c r="I55" i="16"/>
  <c r="I52" i="13"/>
  <c r="O55" i="16"/>
  <c r="H55" i="16"/>
  <c r="I56" i="16"/>
  <c r="I53" i="13"/>
  <c r="O56" i="16"/>
  <c r="H56" i="16"/>
  <c r="I57" i="16"/>
  <c r="I54" i="13"/>
  <c r="O57" i="16"/>
  <c r="H57" i="16"/>
  <c r="I58" i="16"/>
  <c r="I55" i="13"/>
  <c r="O58" i="16"/>
  <c r="H58" i="16"/>
  <c r="I59" i="16"/>
  <c r="I56" i="13"/>
  <c r="O59" i="16"/>
  <c r="H59" i="16"/>
  <c r="I60" i="16"/>
  <c r="I57" i="13"/>
  <c r="O60" i="16"/>
  <c r="H60" i="16"/>
  <c r="I61" i="16"/>
  <c r="I58" i="13"/>
  <c r="O61" i="16"/>
  <c r="H61" i="16"/>
  <c r="I62" i="16"/>
  <c r="I59" i="13"/>
  <c r="O62" i="16"/>
  <c r="H62" i="16"/>
  <c r="I63" i="16"/>
  <c r="I60" i="13"/>
  <c r="O63" i="16"/>
  <c r="H63" i="16"/>
  <c r="I64" i="16"/>
  <c r="I61" i="13"/>
  <c r="O64" i="16"/>
  <c r="H64" i="16"/>
  <c r="I65" i="16"/>
  <c r="I62" i="13"/>
  <c r="O65" i="16"/>
  <c r="H65" i="16"/>
  <c r="I66" i="16"/>
  <c r="I63" i="13"/>
  <c r="O66" i="16"/>
  <c r="H66" i="16"/>
  <c r="I67" i="16"/>
  <c r="I64" i="13"/>
  <c r="O67" i="16"/>
  <c r="H67" i="16"/>
  <c r="I68" i="16"/>
  <c r="I65" i="13"/>
  <c r="O68" i="16"/>
  <c r="H68" i="16"/>
  <c r="I69" i="16"/>
  <c r="I66" i="13"/>
  <c r="O69" i="16"/>
  <c r="H69" i="16"/>
  <c r="I70" i="16"/>
  <c r="I67" i="13"/>
  <c r="O70" i="16"/>
  <c r="H70" i="16"/>
  <c r="I71" i="16"/>
  <c r="I68" i="13"/>
  <c r="O71" i="16"/>
  <c r="H71" i="16"/>
  <c r="I72" i="16"/>
  <c r="B69" i="13"/>
  <c r="I69" i="13"/>
  <c r="O72" i="16"/>
  <c r="H72" i="16"/>
  <c r="I73" i="16"/>
  <c r="B70" i="13"/>
  <c r="I70" i="13"/>
  <c r="O73" i="16"/>
  <c r="H73" i="16"/>
  <c r="I74" i="16"/>
  <c r="B71" i="13"/>
  <c r="I71" i="13"/>
  <c r="O74" i="16"/>
  <c r="H74" i="16"/>
  <c r="I75" i="16"/>
  <c r="B72" i="13"/>
  <c r="I72" i="13"/>
  <c r="O75" i="16"/>
  <c r="H75" i="16"/>
  <c r="I76" i="16"/>
  <c r="B73" i="13"/>
  <c r="I73" i="13"/>
  <c r="O76" i="16"/>
  <c r="H76" i="16"/>
  <c r="I77" i="16"/>
  <c r="B74" i="13"/>
  <c r="I74" i="13"/>
  <c r="O77" i="16"/>
  <c r="H77" i="16"/>
  <c r="I78" i="16"/>
  <c r="I75" i="13"/>
  <c r="O78" i="16"/>
  <c r="H78" i="16"/>
  <c r="I79" i="16"/>
  <c r="I76" i="13"/>
  <c r="O79" i="16"/>
  <c r="H79" i="16"/>
  <c r="I80" i="16"/>
  <c r="I77" i="13"/>
  <c r="O80" i="16"/>
  <c r="H80" i="16"/>
  <c r="I81" i="16"/>
  <c r="I78" i="13"/>
  <c r="O81" i="16"/>
  <c r="H81" i="16"/>
  <c r="I82" i="16"/>
  <c r="I79" i="13"/>
  <c r="O82" i="16"/>
  <c r="H82" i="16"/>
  <c r="I83" i="16"/>
  <c r="I80" i="13"/>
  <c r="O83" i="16"/>
  <c r="H83" i="16"/>
  <c r="I84" i="16"/>
  <c r="I81" i="13"/>
  <c r="O84" i="16"/>
  <c r="H84" i="16"/>
  <c r="I85" i="16"/>
  <c r="I82" i="13"/>
  <c r="O85" i="16"/>
  <c r="H85" i="16"/>
  <c r="I86" i="16"/>
  <c r="I83" i="13"/>
  <c r="O86" i="16"/>
  <c r="H86" i="16"/>
  <c r="I87" i="16"/>
  <c r="I84" i="13"/>
  <c r="O87" i="16"/>
  <c r="H87" i="16"/>
  <c r="I88" i="16"/>
  <c r="I85" i="13"/>
  <c r="O88" i="16"/>
  <c r="H88" i="16"/>
  <c r="I89" i="16"/>
  <c r="I86" i="13"/>
  <c r="O89" i="16"/>
  <c r="H89" i="16"/>
  <c r="I90" i="16"/>
  <c r="I87" i="13"/>
  <c r="O90" i="16"/>
  <c r="H90" i="16"/>
  <c r="I91" i="16"/>
  <c r="I88" i="13"/>
  <c r="O91" i="16"/>
  <c r="H91" i="16"/>
  <c r="I92" i="16"/>
  <c r="I89" i="13"/>
  <c r="O92" i="16"/>
  <c r="H92" i="16"/>
  <c r="I93" i="16"/>
  <c r="I90" i="13"/>
  <c r="O93" i="16"/>
  <c r="H93" i="16"/>
  <c r="I94" i="16"/>
  <c r="I91" i="13"/>
  <c r="O94" i="16"/>
  <c r="H94" i="16"/>
  <c r="I95" i="16"/>
  <c r="I92" i="13"/>
  <c r="O95" i="16"/>
  <c r="H95" i="16"/>
  <c r="I96" i="16"/>
  <c r="I93" i="13"/>
  <c r="O96" i="16"/>
  <c r="H96" i="16"/>
  <c r="I97" i="16"/>
  <c r="I94" i="13"/>
  <c r="O97" i="16"/>
  <c r="H97" i="16"/>
  <c r="I98" i="16"/>
  <c r="I95" i="13"/>
  <c r="O98" i="16"/>
  <c r="H98" i="16"/>
  <c r="I99" i="16"/>
  <c r="I96" i="13"/>
  <c r="O99" i="16"/>
  <c r="H99" i="16"/>
  <c r="I100" i="16"/>
  <c r="I97" i="13"/>
  <c r="O100" i="16"/>
  <c r="H100" i="16"/>
  <c r="I101" i="16"/>
  <c r="I98" i="13"/>
  <c r="O101" i="16"/>
  <c r="H101" i="16"/>
  <c r="I102" i="16"/>
  <c r="I99" i="13"/>
  <c r="O102" i="16"/>
  <c r="H102" i="16"/>
  <c r="I103" i="16"/>
  <c r="I100" i="13"/>
  <c r="O103" i="16"/>
  <c r="H103" i="16"/>
  <c r="I104" i="16"/>
  <c r="I101" i="13"/>
  <c r="O104" i="16"/>
  <c r="H104" i="16"/>
  <c r="I105" i="16"/>
  <c r="I102" i="13"/>
  <c r="O105" i="16"/>
  <c r="H105" i="16"/>
  <c r="I13" i="16"/>
  <c r="I10" i="13"/>
  <c r="O13" i="16"/>
  <c r="H13"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BJ146" i="4"/>
  <c r="I146" i="16"/>
  <c r="BJ147" i="4"/>
  <c r="I147" i="16"/>
  <c r="BJ148" i="4"/>
  <c r="I148" i="16"/>
  <c r="BJ149" i="4"/>
  <c r="I149" i="16"/>
  <c r="BJ150" i="4"/>
  <c r="I150" i="16"/>
  <c r="BJ151" i="4"/>
  <c r="I151" i="16"/>
  <c r="BJ152" i="4"/>
  <c r="I152" i="16"/>
  <c r="BJ153" i="4"/>
  <c r="I153" i="16"/>
  <c r="BJ154" i="4"/>
  <c r="I154" i="16"/>
  <c r="BJ155" i="4"/>
  <c r="I155" i="16"/>
  <c r="BJ156" i="4"/>
  <c r="I156" i="16"/>
  <c r="BJ157" i="4"/>
  <c r="I157" i="16"/>
  <c r="BJ158" i="4"/>
  <c r="I158" i="16"/>
  <c r="BJ159" i="4"/>
  <c r="I159" i="16"/>
  <c r="BJ160" i="4"/>
  <c r="I160" i="16"/>
  <c r="BJ161" i="4"/>
  <c r="I161" i="16"/>
  <c r="BJ162" i="4"/>
  <c r="I162" i="16"/>
  <c r="BJ163" i="4"/>
  <c r="I163" i="16"/>
  <c r="BJ164" i="4"/>
  <c r="I164" i="16"/>
  <c r="BJ165" i="4"/>
  <c r="I165" i="16"/>
  <c r="BJ166" i="4"/>
  <c r="I166" i="16"/>
  <c r="BJ167" i="4"/>
  <c r="I167" i="16"/>
  <c r="BJ168" i="4"/>
  <c r="I168" i="16"/>
  <c r="BJ169" i="4"/>
  <c r="I169" i="16"/>
  <c r="CO107" i="4"/>
  <c r="H222" i="25"/>
  <c r="F55" i="27"/>
  <c r="B48" i="36"/>
  <c r="C48" i="36"/>
  <c r="H222" i="34"/>
  <c r="F54" i="37"/>
  <c r="B104" i="15"/>
  <c r="I104" i="13"/>
  <c r="F104" i="15"/>
  <c r="F104" i="14"/>
  <c r="B105" i="15"/>
  <c r="I105" i="13"/>
  <c r="F105" i="15"/>
  <c r="F105" i="14"/>
  <c r="B106" i="15"/>
  <c r="I106" i="13"/>
  <c r="F106" i="15"/>
  <c r="B107" i="15"/>
  <c r="I107" i="13"/>
  <c r="F107" i="15"/>
  <c r="B108" i="15"/>
  <c r="I108" i="13"/>
  <c r="F108" i="15"/>
  <c r="B109" i="15"/>
  <c r="I109" i="13"/>
  <c r="F109" i="15"/>
  <c r="B110" i="15"/>
  <c r="I110" i="13"/>
  <c r="F110" i="15"/>
  <c r="B111" i="15"/>
  <c r="I111" i="13"/>
  <c r="F111" i="15"/>
  <c r="B112" i="15"/>
  <c r="I112" i="13"/>
  <c r="F112" i="15"/>
  <c r="B113" i="15"/>
  <c r="I113" i="13"/>
  <c r="F113" i="15"/>
  <c r="B114" i="15"/>
  <c r="I114" i="13"/>
  <c r="F114" i="15"/>
  <c r="B115" i="15"/>
  <c r="I115" i="13"/>
  <c r="F115" i="15"/>
  <c r="B116" i="15"/>
  <c r="I116" i="13"/>
  <c r="F116" i="15"/>
  <c r="B117" i="15"/>
  <c r="I117" i="13"/>
  <c r="F117" i="15"/>
  <c r="B118" i="15"/>
  <c r="I118" i="13"/>
  <c r="F118" i="15"/>
  <c r="B119" i="15"/>
  <c r="I119" i="13"/>
  <c r="F119" i="15"/>
  <c r="B120" i="15"/>
  <c r="I120" i="13"/>
  <c r="F120" i="15"/>
  <c r="B121" i="15"/>
  <c r="I121" i="13"/>
  <c r="F121" i="15"/>
  <c r="B122" i="15"/>
  <c r="I122" i="13"/>
  <c r="F122" i="15"/>
  <c r="B123" i="15"/>
  <c r="I123" i="13"/>
  <c r="F123" i="15"/>
  <c r="B124" i="15"/>
  <c r="I124" i="13"/>
  <c r="F124" i="15"/>
  <c r="B125" i="15"/>
  <c r="I125" i="13"/>
  <c r="F125" i="15"/>
  <c r="B126" i="15"/>
  <c r="I126" i="13"/>
  <c r="F126" i="15"/>
  <c r="B127" i="15"/>
  <c r="I127" i="13"/>
  <c r="F127" i="15"/>
  <c r="B128" i="15"/>
  <c r="I128" i="13"/>
  <c r="F128" i="15"/>
  <c r="B129" i="15"/>
  <c r="I129" i="13"/>
  <c r="F129" i="15"/>
  <c r="B130" i="15"/>
  <c r="I130" i="13"/>
  <c r="F130" i="15"/>
  <c r="B131" i="15"/>
  <c r="I131" i="13"/>
  <c r="F131" i="15"/>
  <c r="B132" i="15"/>
  <c r="I132" i="13"/>
  <c r="F132" i="15"/>
  <c r="B133" i="15"/>
  <c r="I133" i="13"/>
  <c r="F133" i="15"/>
  <c r="B134" i="15"/>
  <c r="I134" i="13"/>
  <c r="F134" i="15"/>
  <c r="B135" i="15"/>
  <c r="I135" i="13"/>
  <c r="F135" i="15"/>
  <c r="B136" i="15"/>
  <c r="I136" i="13"/>
  <c r="F136" i="15"/>
  <c r="B137" i="15"/>
  <c r="I137" i="13"/>
  <c r="F137" i="15"/>
  <c r="B138" i="15"/>
  <c r="I138" i="13"/>
  <c r="F138" i="15"/>
  <c r="B139" i="15"/>
  <c r="I139" i="13"/>
  <c r="F139" i="15"/>
  <c r="B140" i="15"/>
  <c r="I140" i="13"/>
  <c r="F140" i="15"/>
  <c r="B141" i="15"/>
  <c r="I141" i="13"/>
  <c r="F141" i="15"/>
  <c r="B142" i="15"/>
  <c r="I142" i="13"/>
  <c r="F142" i="15"/>
  <c r="B143" i="15"/>
  <c r="I143" i="13"/>
  <c r="F143" i="15"/>
  <c r="B144" i="15"/>
  <c r="I144" i="13"/>
  <c r="F144" i="15"/>
  <c r="B145" i="15"/>
  <c r="I145" i="13"/>
  <c r="F145" i="15"/>
  <c r="B146" i="15"/>
  <c r="I146" i="13"/>
  <c r="F146" i="15"/>
  <c r="B147" i="15"/>
  <c r="I147" i="13"/>
  <c r="F147" i="15"/>
  <c r="B148" i="15"/>
  <c r="I148" i="13"/>
  <c r="F148" i="15"/>
  <c r="B149" i="15"/>
  <c r="I149" i="13"/>
  <c r="F149" i="15"/>
  <c r="B150" i="15"/>
  <c r="I150" i="13"/>
  <c r="F150" i="15"/>
  <c r="B151" i="15"/>
  <c r="I151" i="13"/>
  <c r="F151" i="15"/>
  <c r="B152" i="15"/>
  <c r="I152" i="13"/>
  <c r="F152" i="15"/>
  <c r="B153" i="15"/>
  <c r="I153" i="13"/>
  <c r="F153" i="15"/>
  <c r="B154" i="15"/>
  <c r="I154" i="13"/>
  <c r="F154" i="15"/>
  <c r="B155" i="15"/>
  <c r="I155" i="13"/>
  <c r="F155" i="15"/>
  <c r="B156" i="15"/>
  <c r="I156" i="13"/>
  <c r="F156" i="15"/>
  <c r="B157" i="15"/>
  <c r="I157" i="13"/>
  <c r="F157" i="15"/>
  <c r="B158" i="15"/>
  <c r="I158" i="13"/>
  <c r="F158" i="15"/>
  <c r="B159" i="15"/>
  <c r="I159" i="13"/>
  <c r="F159" i="15"/>
  <c r="B160" i="15"/>
  <c r="I160" i="13"/>
  <c r="F160" i="15"/>
  <c r="B161" i="15"/>
  <c r="I161" i="13"/>
  <c r="F161" i="15"/>
  <c r="B162" i="15"/>
  <c r="I162" i="13"/>
  <c r="F162" i="15"/>
  <c r="B163" i="15"/>
  <c r="I163" i="13"/>
  <c r="F163" i="15"/>
  <c r="B164" i="15"/>
  <c r="I164" i="13"/>
  <c r="F164" i="15"/>
  <c r="B165" i="15"/>
  <c r="I165" i="13"/>
  <c r="F165" i="15"/>
  <c r="B166" i="15"/>
  <c r="I166" i="13"/>
  <c r="E166" i="14"/>
  <c r="F166" i="15"/>
  <c r="J166" i="13"/>
  <c r="C166" i="15"/>
  <c r="G166" i="15"/>
  <c r="F166" i="13"/>
  <c r="B10" i="15"/>
  <c r="F10" i="15"/>
  <c r="B45" i="15"/>
  <c r="F45" i="15"/>
  <c r="B46" i="15"/>
  <c r="F46" i="15"/>
  <c r="B47" i="15"/>
  <c r="F47" i="15"/>
  <c r="B48" i="15"/>
  <c r="F48" i="15"/>
  <c r="B49" i="15"/>
  <c r="F49" i="15"/>
  <c r="B50" i="15"/>
  <c r="F50" i="15"/>
  <c r="B51" i="15"/>
  <c r="F51" i="15"/>
  <c r="B52" i="15"/>
  <c r="F52" i="15"/>
  <c r="B53" i="15"/>
  <c r="F53" i="15"/>
  <c r="B54" i="15"/>
  <c r="F54" i="15"/>
  <c r="B55" i="15"/>
  <c r="F55" i="15"/>
  <c r="B56" i="15"/>
  <c r="F56" i="15"/>
  <c r="B57" i="15"/>
  <c r="F57" i="15"/>
  <c r="B58" i="15"/>
  <c r="F58" i="15"/>
  <c r="B59" i="15"/>
  <c r="F59" i="15"/>
  <c r="B60" i="15"/>
  <c r="F60" i="15"/>
  <c r="B61" i="15"/>
  <c r="F61" i="15"/>
  <c r="B62" i="15"/>
  <c r="F62" i="15"/>
  <c r="B63" i="15"/>
  <c r="F63" i="15"/>
  <c r="B64" i="15"/>
  <c r="F64" i="15"/>
  <c r="B65" i="15"/>
  <c r="F65" i="15"/>
  <c r="B66" i="15"/>
  <c r="F66" i="15"/>
  <c r="B67" i="15"/>
  <c r="F67" i="15"/>
  <c r="B68" i="15"/>
  <c r="F68" i="15"/>
  <c r="B69" i="15"/>
  <c r="E69" i="14"/>
  <c r="F69" i="15"/>
  <c r="B70" i="15"/>
  <c r="E70" i="14"/>
  <c r="F70" i="15"/>
  <c r="B71" i="15"/>
  <c r="E71" i="14"/>
  <c r="F71" i="15"/>
  <c r="B72" i="15"/>
  <c r="E72" i="14"/>
  <c r="F72" i="15"/>
  <c r="B73" i="15"/>
  <c r="E73" i="14"/>
  <c r="F73" i="15"/>
  <c r="B74" i="15"/>
  <c r="E74" i="14"/>
  <c r="F74" i="15"/>
  <c r="B75" i="15"/>
  <c r="F75" i="15"/>
  <c r="B76" i="15"/>
  <c r="F76" i="15"/>
  <c r="B77" i="15"/>
  <c r="F77" i="15"/>
  <c r="B78" i="15"/>
  <c r="F78" i="15"/>
  <c r="B79" i="15"/>
  <c r="F79" i="15"/>
  <c r="B80" i="15"/>
  <c r="F80" i="15"/>
  <c r="B81" i="15"/>
  <c r="F81" i="15"/>
  <c r="B82" i="15"/>
  <c r="F82" i="15"/>
  <c r="B83" i="15"/>
  <c r="F83" i="15"/>
  <c r="B84" i="15"/>
  <c r="F84" i="15"/>
  <c r="B85" i="15"/>
  <c r="F85" i="15"/>
  <c r="B86" i="15"/>
  <c r="F86" i="15"/>
  <c r="B87" i="15"/>
  <c r="F87" i="15"/>
  <c r="B88" i="15"/>
  <c r="F88" i="15"/>
  <c r="B89" i="15"/>
  <c r="F89" i="15"/>
  <c r="B90" i="15"/>
  <c r="F90" i="15"/>
  <c r="B91" i="15"/>
  <c r="F91" i="15"/>
  <c r="B92" i="15"/>
  <c r="F92" i="15"/>
  <c r="B93" i="15"/>
  <c r="F93" i="15"/>
  <c r="B94" i="15"/>
  <c r="F94" i="15"/>
  <c r="B95" i="15"/>
  <c r="F95" i="15"/>
  <c r="B96" i="15"/>
  <c r="F96" i="15"/>
  <c r="B97" i="15"/>
  <c r="F97" i="15"/>
  <c r="B98" i="15"/>
  <c r="F98" i="15"/>
  <c r="B99" i="15"/>
  <c r="F99" i="15"/>
  <c r="B100" i="15"/>
  <c r="F100" i="15"/>
  <c r="B101" i="15"/>
  <c r="F101" i="15"/>
  <c r="B102" i="15"/>
  <c r="F102" i="15"/>
  <c r="H69" i="14"/>
  <c r="J69" i="13"/>
  <c r="H70" i="14"/>
  <c r="J70" i="13"/>
  <c r="H71" i="14"/>
  <c r="J71" i="13"/>
  <c r="H72" i="14"/>
  <c r="J72" i="13"/>
  <c r="H73" i="14"/>
  <c r="J73" i="13"/>
  <c r="H74" i="14"/>
  <c r="J74" i="13"/>
  <c r="C69" i="15"/>
  <c r="G69" i="15"/>
  <c r="B69" i="14"/>
  <c r="F69" i="13"/>
  <c r="C70" i="15"/>
  <c r="G70" i="15"/>
  <c r="B70" i="14"/>
  <c r="F70" i="13"/>
  <c r="C71" i="15"/>
  <c r="G71" i="15"/>
  <c r="B71" i="14"/>
  <c r="F71" i="13"/>
  <c r="C72" i="15"/>
  <c r="G72" i="15"/>
  <c r="B72" i="14"/>
  <c r="F72" i="13"/>
  <c r="C73" i="15"/>
  <c r="G73" i="15"/>
  <c r="B73" i="14"/>
  <c r="F73" i="13"/>
  <c r="C74" i="15"/>
  <c r="G74" i="15"/>
  <c r="B74" i="14"/>
  <c r="F74" i="13"/>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10" i="14"/>
  <c r="C65" i="14"/>
  <c r="C66" i="14"/>
  <c r="C67" i="14"/>
  <c r="C68" i="14"/>
  <c r="C95" i="14"/>
  <c r="C96" i="14"/>
  <c r="C97" i="14"/>
  <c r="C98" i="14"/>
  <c r="C99" i="14"/>
  <c r="C100" i="14"/>
  <c r="C101" i="14"/>
  <c r="C102" i="14"/>
  <c r="C85" i="14"/>
  <c r="C86" i="14"/>
  <c r="C87" i="14"/>
  <c r="C88" i="14"/>
  <c r="C89" i="14"/>
  <c r="C90" i="14"/>
  <c r="C91" i="14"/>
  <c r="C92" i="14"/>
  <c r="C93" i="14"/>
  <c r="C94" i="14"/>
  <c r="C75" i="14"/>
  <c r="C76" i="14"/>
  <c r="C77" i="14"/>
  <c r="C78" i="14"/>
  <c r="C79" i="14"/>
  <c r="C80" i="14"/>
  <c r="C81" i="14"/>
  <c r="C82" i="14"/>
  <c r="C83" i="14"/>
  <c r="C84" i="14"/>
  <c r="C55" i="14"/>
  <c r="C56" i="14"/>
  <c r="C57" i="14"/>
  <c r="C58" i="14"/>
  <c r="C59" i="14"/>
  <c r="C60" i="14"/>
  <c r="C61" i="14"/>
  <c r="C62" i="14"/>
  <c r="C63" i="14"/>
  <c r="C64" i="14"/>
  <c r="C45" i="14"/>
  <c r="C46" i="14"/>
  <c r="C47" i="14"/>
  <c r="C48" i="14"/>
  <c r="C49" i="14"/>
  <c r="C50" i="14"/>
  <c r="C51" i="14"/>
  <c r="C52" i="14"/>
  <c r="C53" i="14"/>
  <c r="C54" i="14"/>
  <c r="C10" i="14"/>
  <c r="F14" i="33"/>
  <c r="F33" i="33"/>
  <c r="C33" i="33"/>
  <c r="G23" i="33"/>
  <c r="G42" i="33"/>
  <c r="BR170" i="29"/>
  <c r="G27" i="33"/>
  <c r="G46" i="33"/>
  <c r="I27" i="33"/>
  <c r="J27" i="33"/>
  <c r="H27" i="33"/>
  <c r="K27" i="33"/>
  <c r="C27" i="33"/>
  <c r="F27" i="33"/>
  <c r="F46" i="33"/>
  <c r="C46" i="33"/>
  <c r="G25" i="33"/>
  <c r="G44" i="33"/>
  <c r="I25" i="33"/>
  <c r="J25" i="33"/>
  <c r="H25" i="33"/>
  <c r="C156" i="6"/>
  <c r="K25" i="33"/>
  <c r="C25" i="33"/>
  <c r="F25" i="33"/>
  <c r="F44" i="33"/>
  <c r="C44" i="33"/>
  <c r="I23" i="33"/>
  <c r="J23" i="33"/>
  <c r="H23" i="33"/>
  <c r="C136" i="6"/>
  <c r="K23" i="33"/>
  <c r="C23" i="33"/>
  <c r="C42" i="33"/>
  <c r="I40" i="33"/>
  <c r="I21" i="33"/>
  <c r="J40" i="33"/>
  <c r="J21" i="33"/>
  <c r="H21" i="33"/>
  <c r="K21" i="33"/>
  <c r="C21" i="33"/>
  <c r="F21" i="33"/>
  <c r="F40" i="33"/>
  <c r="C40" i="33"/>
  <c r="F20" i="33"/>
  <c r="F39" i="33"/>
  <c r="C39" i="33"/>
  <c r="F15" i="33"/>
  <c r="F34" i="33"/>
  <c r="C34" i="33"/>
  <c r="D20" i="6"/>
  <c r="D19" i="6"/>
  <c r="D18" i="6"/>
  <c r="D17" i="6"/>
  <c r="D16" i="6"/>
  <c r="B16" i="6"/>
  <c r="B15" i="6"/>
  <c r="B13" i="33"/>
  <c r="G32" i="33"/>
  <c r="R15" i="6"/>
  <c r="C13" i="33"/>
  <c r="F13" i="33"/>
  <c r="F32" i="33"/>
  <c r="E32" i="33"/>
  <c r="D32" i="33"/>
  <c r="C32" i="33"/>
  <c r="K246" i="34"/>
  <c r="I78" i="37"/>
  <c r="N246" i="34"/>
  <c r="K78" i="37"/>
  <c r="P246" i="34"/>
  <c r="M78" i="37"/>
  <c r="O246" i="34"/>
  <c r="L78" i="37"/>
  <c r="U78" i="37"/>
  <c r="C155" i="34"/>
  <c r="E246" i="34"/>
  <c r="C78" i="37"/>
  <c r="H246" i="34"/>
  <c r="F78" i="37"/>
  <c r="J246" i="34"/>
  <c r="H78" i="37"/>
  <c r="I246" i="34"/>
  <c r="G78" i="37"/>
  <c r="T78" i="37"/>
  <c r="K243" i="34"/>
  <c r="I75" i="37"/>
  <c r="N243" i="34"/>
  <c r="K75" i="37"/>
  <c r="P243" i="34"/>
  <c r="M75" i="37"/>
  <c r="O243" i="34"/>
  <c r="L75" i="37"/>
  <c r="U75" i="37"/>
  <c r="C145" i="34"/>
  <c r="E243" i="34"/>
  <c r="C75" i="37"/>
  <c r="H243" i="34"/>
  <c r="F75" i="37"/>
  <c r="J243" i="34"/>
  <c r="H75" i="37"/>
  <c r="I243" i="34"/>
  <c r="G75" i="37"/>
  <c r="T75" i="37"/>
  <c r="C135" i="34"/>
  <c r="E240" i="34"/>
  <c r="C72" i="37"/>
  <c r="K237" i="34"/>
  <c r="I69" i="37"/>
  <c r="N237" i="34"/>
  <c r="K69" i="37"/>
  <c r="P237" i="34"/>
  <c r="M69" i="37"/>
  <c r="O237" i="34"/>
  <c r="L69" i="37"/>
  <c r="U69" i="37"/>
  <c r="C125" i="34"/>
  <c r="E237" i="34"/>
  <c r="C69" i="37"/>
  <c r="H237" i="34"/>
  <c r="F69" i="37"/>
  <c r="J237" i="34"/>
  <c r="H69" i="37"/>
  <c r="I237" i="34"/>
  <c r="G69" i="37"/>
  <c r="T69" i="37"/>
  <c r="K234" i="34"/>
  <c r="I66" i="37"/>
  <c r="N234" i="34"/>
  <c r="K66" i="37"/>
  <c r="P234" i="34"/>
  <c r="M66" i="37"/>
  <c r="O234" i="34"/>
  <c r="L66" i="37"/>
  <c r="U66" i="37"/>
  <c r="C115" i="34"/>
  <c r="E234" i="34"/>
  <c r="C66" i="37"/>
  <c r="H234" i="34"/>
  <c r="F66" i="37"/>
  <c r="J234" i="34"/>
  <c r="H66" i="37"/>
  <c r="I234" i="34"/>
  <c r="G66" i="37"/>
  <c r="T66" i="37"/>
  <c r="K228" i="34"/>
  <c r="I60" i="37"/>
  <c r="N228" i="34"/>
  <c r="K60" i="37"/>
  <c r="P228" i="34"/>
  <c r="M60" i="37"/>
  <c r="O228" i="34"/>
  <c r="L60" i="37"/>
  <c r="U60" i="37"/>
  <c r="E228" i="34"/>
  <c r="C60" i="37"/>
  <c r="H228" i="34"/>
  <c r="F60" i="37"/>
  <c r="J228" i="34"/>
  <c r="H60" i="37"/>
  <c r="I228" i="34"/>
  <c r="G60" i="37"/>
  <c r="T60" i="37"/>
  <c r="E225" i="34"/>
  <c r="C57" i="37"/>
  <c r="E222" i="34"/>
  <c r="C54" i="37"/>
  <c r="E216" i="34"/>
  <c r="C48" i="37"/>
  <c r="B10" i="34"/>
  <c r="C10" i="34"/>
  <c r="G10" i="34"/>
  <c r="H11" i="34"/>
  <c r="AG11" i="34"/>
  <c r="V10" i="34"/>
  <c r="I10" i="34"/>
  <c r="AH11" i="34"/>
  <c r="B25" i="6"/>
  <c r="P25" i="26"/>
  <c r="B25" i="26"/>
  <c r="J25" i="26"/>
  <c r="J21" i="26"/>
  <c r="C24" i="37"/>
  <c r="N22" i="26"/>
  <c r="N23" i="26"/>
  <c r="N24" i="26"/>
  <c r="N25" i="26"/>
  <c r="F24" i="37"/>
  <c r="J22" i="26"/>
  <c r="L22" i="26"/>
  <c r="O22" i="26"/>
  <c r="J23" i="26"/>
  <c r="L23" i="26"/>
  <c r="O23" i="26"/>
  <c r="J24" i="26"/>
  <c r="L24" i="26"/>
  <c r="O24" i="26"/>
  <c r="L25" i="26"/>
  <c r="O25" i="26"/>
  <c r="H24" i="37"/>
  <c r="T24" i="37"/>
  <c r="B10" i="26"/>
  <c r="B11" i="44"/>
  <c r="I13" i="44"/>
  <c r="H13" i="44"/>
  <c r="P13" i="44"/>
  <c r="P11" i="44"/>
  <c r="I11" i="44"/>
  <c r="H11" i="44"/>
  <c r="O11" i="44"/>
  <c r="P12" i="44"/>
  <c r="I12" i="44"/>
  <c r="H12" i="44"/>
  <c r="O12" i="44"/>
  <c r="J10" i="50"/>
  <c r="I10" i="50"/>
  <c r="D11" i="33"/>
  <c r="D12" i="33"/>
  <c r="E11" i="33"/>
  <c r="E12" i="33"/>
  <c r="F11" i="33"/>
  <c r="F12" i="33"/>
  <c r="C12" i="33"/>
  <c r="I12" i="33"/>
  <c r="J12" i="33"/>
  <c r="H12" i="33"/>
  <c r="K12" i="33"/>
  <c r="K31" i="33"/>
  <c r="E10" i="26"/>
  <c r="I31" i="33"/>
  <c r="G10" i="50"/>
  <c r="K10" i="26"/>
  <c r="J10" i="26"/>
  <c r="C15" i="37"/>
  <c r="B11" i="6"/>
  <c r="B21" i="44"/>
  <c r="B12" i="6"/>
  <c r="B31" i="44"/>
  <c r="B22" i="44"/>
  <c r="B23" i="44"/>
  <c r="B24" i="44"/>
  <c r="B25" i="44"/>
  <c r="B26" i="44"/>
  <c r="B27" i="44"/>
  <c r="B28" i="44"/>
  <c r="B29" i="44"/>
  <c r="B30" i="44"/>
  <c r="K11" i="21"/>
  <c r="N11" i="21"/>
  <c r="O11" i="21"/>
  <c r="G11" i="21"/>
  <c r="B16" i="22"/>
  <c r="B11" i="22"/>
  <c r="F11" i="21"/>
  <c r="E11" i="21"/>
  <c r="B11" i="32"/>
  <c r="M11" i="26"/>
  <c r="B12" i="44"/>
  <c r="Y12" i="44"/>
  <c r="W12" i="44"/>
  <c r="X12" i="44"/>
  <c r="Z12" i="44"/>
  <c r="AB12" i="44"/>
  <c r="AA12" i="44"/>
  <c r="AD12" i="44"/>
  <c r="B13" i="44"/>
  <c r="Y13" i="44"/>
  <c r="W13" i="44"/>
  <c r="X13" i="44"/>
  <c r="Z13" i="44"/>
  <c r="I14" i="44"/>
  <c r="H14" i="44"/>
  <c r="AB13" i="44"/>
  <c r="AA13" i="44"/>
  <c r="AD13" i="44"/>
  <c r="B14" i="44"/>
  <c r="Y14" i="44"/>
  <c r="W14" i="44"/>
  <c r="X14" i="44"/>
  <c r="Z14" i="44"/>
  <c r="I15" i="44"/>
  <c r="H15" i="44"/>
  <c r="AB14" i="44"/>
  <c r="AA14" i="44"/>
  <c r="AD14" i="44"/>
  <c r="B15" i="44"/>
  <c r="Y15" i="44"/>
  <c r="W15" i="44"/>
  <c r="X15" i="44"/>
  <c r="Z15" i="44"/>
  <c r="I16" i="44"/>
  <c r="H16" i="44"/>
  <c r="AB15" i="44"/>
  <c r="AA15" i="44"/>
  <c r="AD15" i="44"/>
  <c r="B16" i="44"/>
  <c r="Y16" i="44"/>
  <c r="W16" i="44"/>
  <c r="X16" i="44"/>
  <c r="Z16" i="44"/>
  <c r="I17" i="44"/>
  <c r="H17" i="44"/>
  <c r="AB16" i="44"/>
  <c r="AA16" i="44"/>
  <c r="AD16" i="44"/>
  <c r="B17" i="44"/>
  <c r="Y17" i="44"/>
  <c r="W17" i="44"/>
  <c r="X17" i="44"/>
  <c r="Z17" i="44"/>
  <c r="I18" i="44"/>
  <c r="H18" i="44"/>
  <c r="AB17" i="44"/>
  <c r="AA17" i="44"/>
  <c r="AD17" i="44"/>
  <c r="B18" i="44"/>
  <c r="Y18" i="44"/>
  <c r="W18" i="44"/>
  <c r="X18" i="44"/>
  <c r="Z18" i="44"/>
  <c r="I19" i="44"/>
  <c r="H19" i="44"/>
  <c r="AB18" i="44"/>
  <c r="AA18" i="44"/>
  <c r="AD18" i="44"/>
  <c r="B19" i="44"/>
  <c r="Y19" i="44"/>
  <c r="W19" i="44"/>
  <c r="X19" i="44"/>
  <c r="Z19" i="44"/>
  <c r="I20" i="44"/>
  <c r="H20" i="44"/>
  <c r="AB19" i="44"/>
  <c r="AA19" i="44"/>
  <c r="AD19" i="44"/>
  <c r="B20" i="44"/>
  <c r="Y20" i="44"/>
  <c r="W20" i="44"/>
  <c r="X20" i="44"/>
  <c r="Z20" i="44"/>
  <c r="I21" i="44"/>
  <c r="H21" i="44"/>
  <c r="AB20" i="44"/>
  <c r="AA20" i="44"/>
  <c r="AD20" i="44"/>
  <c r="Y11" i="44"/>
  <c r="W11" i="44"/>
  <c r="X11" i="44"/>
  <c r="Z11" i="44"/>
  <c r="AB11" i="44"/>
  <c r="AA11" i="44"/>
  <c r="AD11" i="44"/>
  <c r="L10" i="32"/>
  <c r="F10" i="22"/>
  <c r="F10" i="32"/>
  <c r="E10" i="50"/>
  <c r="B10" i="22"/>
  <c r="F10" i="21"/>
  <c r="E10" i="21"/>
  <c r="B10" i="32"/>
  <c r="M10" i="26"/>
  <c r="G10" i="26"/>
  <c r="H11" i="26"/>
  <c r="I11" i="26"/>
  <c r="F11" i="26"/>
  <c r="P11" i="26"/>
  <c r="B11" i="26"/>
  <c r="C11" i="26"/>
  <c r="E11" i="26"/>
  <c r="B11" i="50"/>
  <c r="B10" i="50"/>
  <c r="C11" i="50"/>
  <c r="H11" i="50"/>
  <c r="G11" i="50"/>
  <c r="J11" i="50"/>
  <c r="I11" i="50"/>
  <c r="K11" i="26"/>
  <c r="N12" i="26"/>
  <c r="B13" i="6"/>
  <c r="B41" i="44"/>
  <c r="B32" i="44"/>
  <c r="B33" i="44"/>
  <c r="B34" i="44"/>
  <c r="B35" i="44"/>
  <c r="B36" i="44"/>
  <c r="B37" i="44"/>
  <c r="B38" i="44"/>
  <c r="B39" i="44"/>
  <c r="B40" i="44"/>
  <c r="K12" i="21"/>
  <c r="N12" i="21"/>
  <c r="O12" i="21"/>
  <c r="G12" i="21"/>
  <c r="B12" i="22"/>
  <c r="F12" i="21"/>
  <c r="E12" i="21"/>
  <c r="B12" i="32"/>
  <c r="M12" i="26"/>
  <c r="Y21" i="44"/>
  <c r="W21" i="44"/>
  <c r="X21" i="44"/>
  <c r="Z21" i="44"/>
  <c r="I22" i="44"/>
  <c r="H22" i="44"/>
  <c r="AB21" i="44"/>
  <c r="AA21" i="44"/>
  <c r="AD21" i="44"/>
  <c r="Y22" i="44"/>
  <c r="V22" i="44"/>
  <c r="W22" i="44"/>
  <c r="X22" i="44"/>
  <c r="Z22" i="44"/>
  <c r="I23" i="44"/>
  <c r="H23" i="44"/>
  <c r="AB22" i="44"/>
  <c r="AA22" i="44"/>
  <c r="AD22" i="44"/>
  <c r="Y23" i="44"/>
  <c r="W23" i="44"/>
  <c r="X23" i="44"/>
  <c r="Z23" i="44"/>
  <c r="I24" i="44"/>
  <c r="H24" i="44"/>
  <c r="AB23" i="44"/>
  <c r="AA23" i="44"/>
  <c r="AD23" i="44"/>
  <c r="Y24" i="44"/>
  <c r="W24" i="44"/>
  <c r="X24" i="44"/>
  <c r="Z24" i="44"/>
  <c r="I25" i="44"/>
  <c r="H25" i="44"/>
  <c r="AB24" i="44"/>
  <c r="AA24" i="44"/>
  <c r="AD24" i="44"/>
  <c r="Y25" i="44"/>
  <c r="W25" i="44"/>
  <c r="X25" i="44"/>
  <c r="Z25" i="44"/>
  <c r="I26" i="44"/>
  <c r="H26" i="44"/>
  <c r="AB25" i="44"/>
  <c r="AA25" i="44"/>
  <c r="AD25" i="44"/>
  <c r="Y26" i="44"/>
  <c r="W26" i="44"/>
  <c r="X26" i="44"/>
  <c r="Z26" i="44"/>
  <c r="I27" i="44"/>
  <c r="H27" i="44"/>
  <c r="AB26" i="44"/>
  <c r="AA26" i="44"/>
  <c r="AD26" i="44"/>
  <c r="Y27" i="44"/>
  <c r="W27" i="44"/>
  <c r="X27" i="44"/>
  <c r="Z27" i="44"/>
  <c r="I28" i="44"/>
  <c r="H28" i="44"/>
  <c r="AB27" i="44"/>
  <c r="AA27" i="44"/>
  <c r="AD27" i="44"/>
  <c r="Y28" i="44"/>
  <c r="W28" i="44"/>
  <c r="X28" i="44"/>
  <c r="Z28" i="44"/>
  <c r="I29" i="44"/>
  <c r="H29" i="44"/>
  <c r="AB28" i="44"/>
  <c r="AA28" i="44"/>
  <c r="AD28" i="44"/>
  <c r="Y29" i="44"/>
  <c r="W29" i="44"/>
  <c r="X29" i="44"/>
  <c r="Z29" i="44"/>
  <c r="I30" i="44"/>
  <c r="H30" i="44"/>
  <c r="AB29" i="44"/>
  <c r="AA29" i="44"/>
  <c r="AD29" i="44"/>
  <c r="Y30" i="44"/>
  <c r="W30" i="44"/>
  <c r="X30" i="44"/>
  <c r="Z30" i="44"/>
  <c r="I31" i="44"/>
  <c r="H31" i="44"/>
  <c r="AB30" i="44"/>
  <c r="AA30" i="44"/>
  <c r="AD30" i="44"/>
  <c r="L11" i="32"/>
  <c r="F11" i="50"/>
  <c r="F11" i="22"/>
  <c r="F11" i="32"/>
  <c r="E11" i="50"/>
  <c r="G11" i="26"/>
  <c r="H12" i="26"/>
  <c r="I12" i="26"/>
  <c r="F12" i="26"/>
  <c r="P12" i="26"/>
  <c r="B12" i="26"/>
  <c r="C12" i="26"/>
  <c r="E12" i="26"/>
  <c r="H12" i="50"/>
  <c r="B12" i="50"/>
  <c r="C12" i="50"/>
  <c r="G12" i="50"/>
  <c r="J12" i="50"/>
  <c r="I12" i="50"/>
  <c r="K12" i="26"/>
  <c r="N13" i="26"/>
  <c r="B14" i="6"/>
  <c r="B51" i="44"/>
  <c r="B42" i="44"/>
  <c r="B43" i="44"/>
  <c r="B44" i="44"/>
  <c r="B45" i="44"/>
  <c r="B46" i="44"/>
  <c r="B47" i="44"/>
  <c r="B48" i="44"/>
  <c r="B49" i="44"/>
  <c r="B50" i="44"/>
  <c r="K13" i="21"/>
  <c r="N13" i="21"/>
  <c r="O13" i="21"/>
  <c r="G13" i="21"/>
  <c r="B13" i="22"/>
  <c r="F13" i="21"/>
  <c r="E13" i="21"/>
  <c r="B13" i="32"/>
  <c r="M13" i="26"/>
  <c r="Y31" i="44"/>
  <c r="W31" i="44"/>
  <c r="X31" i="44"/>
  <c r="Z31" i="44"/>
  <c r="I32" i="44"/>
  <c r="H32" i="44"/>
  <c r="AB31" i="44"/>
  <c r="AA31" i="44"/>
  <c r="AD31" i="44"/>
  <c r="Y32" i="44"/>
  <c r="W32" i="44"/>
  <c r="X32" i="44"/>
  <c r="Z32" i="44"/>
  <c r="I33" i="44"/>
  <c r="H33" i="44"/>
  <c r="AB32" i="44"/>
  <c r="AA32" i="44"/>
  <c r="AD32" i="44"/>
  <c r="Y33" i="44"/>
  <c r="W33" i="44"/>
  <c r="X33" i="44"/>
  <c r="Z33" i="44"/>
  <c r="I34" i="44"/>
  <c r="H34" i="44"/>
  <c r="AB33" i="44"/>
  <c r="AA33" i="44"/>
  <c r="AD33" i="44"/>
  <c r="Y34" i="44"/>
  <c r="W34" i="44"/>
  <c r="X34" i="44"/>
  <c r="Z34" i="44"/>
  <c r="I35" i="44"/>
  <c r="H35" i="44"/>
  <c r="AB34" i="44"/>
  <c r="AA34" i="44"/>
  <c r="AD34" i="44"/>
  <c r="Y35" i="44"/>
  <c r="W35" i="44"/>
  <c r="X35" i="44"/>
  <c r="Z35" i="44"/>
  <c r="I36" i="44"/>
  <c r="H36" i="44"/>
  <c r="AB35" i="44"/>
  <c r="AA35" i="44"/>
  <c r="AD35" i="44"/>
  <c r="Y36" i="44"/>
  <c r="W36" i="44"/>
  <c r="X36" i="44"/>
  <c r="Z36" i="44"/>
  <c r="I37" i="44"/>
  <c r="H37" i="44"/>
  <c r="AB36" i="44"/>
  <c r="AA36" i="44"/>
  <c r="AD36" i="44"/>
  <c r="Y37" i="44"/>
  <c r="W37" i="44"/>
  <c r="X37" i="44"/>
  <c r="Z37" i="44"/>
  <c r="I38" i="44"/>
  <c r="H38" i="44"/>
  <c r="AB37" i="44"/>
  <c r="AA37" i="44"/>
  <c r="AD37" i="44"/>
  <c r="Y38" i="44"/>
  <c r="W38" i="44"/>
  <c r="X38" i="44"/>
  <c r="Z38" i="44"/>
  <c r="I39" i="44"/>
  <c r="H39" i="44"/>
  <c r="AB38" i="44"/>
  <c r="AA38" i="44"/>
  <c r="AD38" i="44"/>
  <c r="Y39" i="44"/>
  <c r="W39" i="44"/>
  <c r="X39" i="44"/>
  <c r="Z39" i="44"/>
  <c r="I40" i="44"/>
  <c r="H40" i="44"/>
  <c r="AB39" i="44"/>
  <c r="AA39" i="44"/>
  <c r="AD39" i="44"/>
  <c r="Y40" i="44"/>
  <c r="W40" i="44"/>
  <c r="X40" i="44"/>
  <c r="Z40" i="44"/>
  <c r="I41" i="44"/>
  <c r="H41" i="44"/>
  <c r="AB40" i="44"/>
  <c r="AA40" i="44"/>
  <c r="AD40" i="44"/>
  <c r="L12" i="32"/>
  <c r="F12" i="50"/>
  <c r="F12" i="22"/>
  <c r="F12" i="32"/>
  <c r="E12" i="50"/>
  <c r="G12" i="26"/>
  <c r="H13" i="26"/>
  <c r="I13" i="26"/>
  <c r="F13" i="26"/>
  <c r="P13" i="26"/>
  <c r="B13" i="26"/>
  <c r="C13" i="26"/>
  <c r="E13" i="26"/>
  <c r="H13" i="50"/>
  <c r="B13" i="50"/>
  <c r="C13" i="50"/>
  <c r="G13" i="50"/>
  <c r="J13" i="50"/>
  <c r="I13" i="50"/>
  <c r="K13" i="26"/>
  <c r="N14" i="26"/>
  <c r="B61" i="44"/>
  <c r="B52" i="44"/>
  <c r="B53" i="44"/>
  <c r="B54" i="44"/>
  <c r="B55" i="44"/>
  <c r="B56" i="44"/>
  <c r="B57" i="44"/>
  <c r="B58" i="44"/>
  <c r="B59" i="44"/>
  <c r="B60" i="44"/>
  <c r="K14" i="21"/>
  <c r="N14" i="21"/>
  <c r="O14" i="21"/>
  <c r="G14" i="21"/>
  <c r="B14" i="22"/>
  <c r="F14" i="21"/>
  <c r="E14" i="21"/>
  <c r="B14" i="32"/>
  <c r="M14" i="26"/>
  <c r="Y41" i="44"/>
  <c r="W41" i="44"/>
  <c r="X41" i="44"/>
  <c r="Z41" i="44"/>
  <c r="I42" i="44"/>
  <c r="H42" i="44"/>
  <c r="AB41" i="44"/>
  <c r="AA41" i="44"/>
  <c r="AD41" i="44"/>
  <c r="Y42" i="44"/>
  <c r="W42" i="44"/>
  <c r="X42" i="44"/>
  <c r="Z42" i="44"/>
  <c r="I43" i="44"/>
  <c r="H43" i="44"/>
  <c r="AB42" i="44"/>
  <c r="AA42" i="44"/>
  <c r="AD42" i="44"/>
  <c r="Y43" i="44"/>
  <c r="W43" i="44"/>
  <c r="X43" i="44"/>
  <c r="Z43" i="44"/>
  <c r="I44" i="44"/>
  <c r="H44" i="44"/>
  <c r="AB43" i="44"/>
  <c r="AA43" i="44"/>
  <c r="AD43" i="44"/>
  <c r="Y44" i="44"/>
  <c r="W44" i="44"/>
  <c r="X44" i="44"/>
  <c r="Z44" i="44"/>
  <c r="I45" i="44"/>
  <c r="H45" i="44"/>
  <c r="AB44" i="44"/>
  <c r="AA44" i="44"/>
  <c r="AD44" i="44"/>
  <c r="Y45" i="44"/>
  <c r="W45" i="44"/>
  <c r="X45" i="44"/>
  <c r="Z45" i="44"/>
  <c r="I46" i="44"/>
  <c r="H46" i="44"/>
  <c r="AB45" i="44"/>
  <c r="AA45" i="44"/>
  <c r="AD45" i="44"/>
  <c r="Y46" i="44"/>
  <c r="W46" i="44"/>
  <c r="X46" i="44"/>
  <c r="Z46" i="44"/>
  <c r="I47" i="44"/>
  <c r="H47" i="44"/>
  <c r="AB46" i="44"/>
  <c r="AA46" i="44"/>
  <c r="AD46" i="44"/>
  <c r="Y47" i="44"/>
  <c r="W47" i="44"/>
  <c r="X47" i="44"/>
  <c r="Z47" i="44"/>
  <c r="I48" i="44"/>
  <c r="H48" i="44"/>
  <c r="AB47" i="44"/>
  <c r="AA47" i="44"/>
  <c r="AD47" i="44"/>
  <c r="Y48" i="44"/>
  <c r="W48" i="44"/>
  <c r="X48" i="44"/>
  <c r="Z48" i="44"/>
  <c r="I49" i="44"/>
  <c r="H49" i="44"/>
  <c r="AB48" i="44"/>
  <c r="AA48" i="44"/>
  <c r="AD48" i="44"/>
  <c r="Y49" i="44"/>
  <c r="W49" i="44"/>
  <c r="X49" i="44"/>
  <c r="Z49" i="44"/>
  <c r="I50" i="44"/>
  <c r="H50" i="44"/>
  <c r="AB49" i="44"/>
  <c r="AA49" i="44"/>
  <c r="AD49" i="44"/>
  <c r="Y50" i="44"/>
  <c r="W50" i="44"/>
  <c r="X50" i="44"/>
  <c r="Z50" i="44"/>
  <c r="I51" i="44"/>
  <c r="H51" i="44"/>
  <c r="AB50" i="44"/>
  <c r="AA50" i="44"/>
  <c r="AD50" i="44"/>
  <c r="L13" i="32"/>
  <c r="F13" i="50"/>
  <c r="F13" i="22"/>
  <c r="F13" i="32"/>
  <c r="E13" i="50"/>
  <c r="G13" i="26"/>
  <c r="H14" i="26"/>
  <c r="I14" i="26"/>
  <c r="F14" i="26"/>
  <c r="P14" i="26"/>
  <c r="B14" i="26"/>
  <c r="C14" i="26"/>
  <c r="E14" i="26"/>
  <c r="H14" i="50"/>
  <c r="B14" i="50"/>
  <c r="C14" i="50"/>
  <c r="G14" i="50"/>
  <c r="J14" i="50"/>
  <c r="I14" i="50"/>
  <c r="K14" i="26"/>
  <c r="N15" i="26"/>
  <c r="B71" i="44"/>
  <c r="B62" i="44"/>
  <c r="B63" i="44"/>
  <c r="B64" i="44"/>
  <c r="B65" i="44"/>
  <c r="B66" i="44"/>
  <c r="B67" i="44"/>
  <c r="B68" i="44"/>
  <c r="B69" i="44"/>
  <c r="B70" i="44"/>
  <c r="K15" i="21"/>
  <c r="N15" i="21"/>
  <c r="O15" i="21"/>
  <c r="G15" i="21"/>
  <c r="B15" i="22"/>
  <c r="F15" i="21"/>
  <c r="E15" i="21"/>
  <c r="B15" i="32"/>
  <c r="M15" i="26"/>
  <c r="I13" i="33"/>
  <c r="J13" i="33"/>
  <c r="H13" i="33"/>
  <c r="K13" i="33"/>
  <c r="K32" i="33"/>
  <c r="E15" i="26"/>
  <c r="I32" i="33"/>
  <c r="G15" i="50"/>
  <c r="J15" i="50"/>
  <c r="I15" i="50"/>
  <c r="K15" i="26"/>
  <c r="N16" i="26"/>
  <c r="P17" i="26"/>
  <c r="B17" i="6"/>
  <c r="B81" i="44"/>
  <c r="B72" i="44"/>
  <c r="B73" i="44"/>
  <c r="B74" i="44"/>
  <c r="B75" i="44"/>
  <c r="B76" i="44"/>
  <c r="B77" i="44"/>
  <c r="B78" i="44"/>
  <c r="B79" i="44"/>
  <c r="B80" i="44"/>
  <c r="K16" i="21"/>
  <c r="N16" i="21"/>
  <c r="O16" i="21"/>
  <c r="G16" i="21"/>
  <c r="F16" i="21"/>
  <c r="E16" i="21"/>
  <c r="B16" i="32"/>
  <c r="M16" i="26"/>
  <c r="Y61" i="44"/>
  <c r="W61" i="44"/>
  <c r="X61" i="44"/>
  <c r="Z61" i="44"/>
  <c r="I61" i="44"/>
  <c r="H61" i="44"/>
  <c r="I62" i="44"/>
  <c r="H62" i="44"/>
  <c r="AB61" i="44"/>
  <c r="AA61" i="44"/>
  <c r="AD61" i="44"/>
  <c r="Y62" i="44"/>
  <c r="W62" i="44"/>
  <c r="X62" i="44"/>
  <c r="Z62" i="44"/>
  <c r="I63" i="44"/>
  <c r="H63" i="44"/>
  <c r="AB62" i="44"/>
  <c r="AA62" i="44"/>
  <c r="AD62" i="44"/>
  <c r="Y63" i="44"/>
  <c r="W63" i="44"/>
  <c r="X63" i="44"/>
  <c r="Z63" i="44"/>
  <c r="I64" i="44"/>
  <c r="H64" i="44"/>
  <c r="AB63" i="44"/>
  <c r="AA63" i="44"/>
  <c r="AD63" i="44"/>
  <c r="Y64" i="44"/>
  <c r="W64" i="44"/>
  <c r="X64" i="44"/>
  <c r="Z64" i="44"/>
  <c r="I65" i="44"/>
  <c r="H65" i="44"/>
  <c r="AB64" i="44"/>
  <c r="AA64" i="44"/>
  <c r="AD64" i="44"/>
  <c r="Y65" i="44"/>
  <c r="W65" i="44"/>
  <c r="X65" i="44"/>
  <c r="Z65" i="44"/>
  <c r="I66" i="44"/>
  <c r="H66" i="44"/>
  <c r="AB65" i="44"/>
  <c r="AA65" i="44"/>
  <c r="AD65" i="44"/>
  <c r="Y66" i="44"/>
  <c r="W66" i="44"/>
  <c r="X66" i="44"/>
  <c r="Z66" i="44"/>
  <c r="I67" i="44"/>
  <c r="H67" i="44"/>
  <c r="AB66" i="44"/>
  <c r="AA66" i="44"/>
  <c r="AD66" i="44"/>
  <c r="Y67" i="44"/>
  <c r="W67" i="44"/>
  <c r="X67" i="44"/>
  <c r="Z67" i="44"/>
  <c r="I68" i="44"/>
  <c r="H68" i="44"/>
  <c r="AB67" i="44"/>
  <c r="AA67" i="44"/>
  <c r="AD67" i="44"/>
  <c r="Y68" i="44"/>
  <c r="W68" i="44"/>
  <c r="X68" i="44"/>
  <c r="Z68" i="44"/>
  <c r="I69" i="44"/>
  <c r="H69" i="44"/>
  <c r="AB68" i="44"/>
  <c r="AA68" i="44"/>
  <c r="AD68" i="44"/>
  <c r="Y69" i="44"/>
  <c r="W69" i="44"/>
  <c r="X69" i="44"/>
  <c r="Z69" i="44"/>
  <c r="I70" i="44"/>
  <c r="H70" i="44"/>
  <c r="AB69" i="44"/>
  <c r="AA69" i="44"/>
  <c r="AD69" i="44"/>
  <c r="Y70" i="44"/>
  <c r="W70" i="44"/>
  <c r="X70" i="44"/>
  <c r="Z70" i="44"/>
  <c r="I71" i="44"/>
  <c r="H71" i="44"/>
  <c r="AB70" i="44"/>
  <c r="AA70" i="44"/>
  <c r="AD70" i="44"/>
  <c r="L15" i="32"/>
  <c r="F15" i="22"/>
  <c r="F15" i="32"/>
  <c r="E15" i="50"/>
  <c r="G15" i="26"/>
  <c r="H16" i="26"/>
  <c r="I16" i="26"/>
  <c r="F16" i="26"/>
  <c r="B16" i="26"/>
  <c r="P15" i="26"/>
  <c r="B15" i="26"/>
  <c r="C16" i="26"/>
  <c r="E16" i="26"/>
  <c r="H16" i="50"/>
  <c r="B16" i="50"/>
  <c r="B15" i="50"/>
  <c r="C16" i="50"/>
  <c r="G16" i="50"/>
  <c r="J16" i="50"/>
  <c r="I16" i="50"/>
  <c r="K16" i="26"/>
  <c r="N17" i="26"/>
  <c r="P18" i="26"/>
  <c r="B18" i="6"/>
  <c r="B91" i="44"/>
  <c r="B82" i="44"/>
  <c r="B83" i="44"/>
  <c r="B84" i="44"/>
  <c r="B85" i="44"/>
  <c r="B86" i="44"/>
  <c r="B87" i="44"/>
  <c r="B88" i="44"/>
  <c r="B89" i="44"/>
  <c r="B90" i="44"/>
  <c r="K17" i="21"/>
  <c r="N17" i="21"/>
  <c r="O17" i="21"/>
  <c r="G17" i="21"/>
  <c r="B17" i="22"/>
  <c r="F17" i="21"/>
  <c r="E17" i="21"/>
  <c r="B17" i="32"/>
  <c r="M17" i="26"/>
  <c r="Y71" i="44"/>
  <c r="W71" i="44"/>
  <c r="X71" i="44"/>
  <c r="Z71" i="44"/>
  <c r="I72" i="44"/>
  <c r="H72" i="44"/>
  <c r="AB71" i="44"/>
  <c r="AA71" i="44"/>
  <c r="AD71" i="44"/>
  <c r="Y72" i="44"/>
  <c r="W72" i="44"/>
  <c r="X72" i="44"/>
  <c r="Z72" i="44"/>
  <c r="I73" i="44"/>
  <c r="H73" i="44"/>
  <c r="AB72" i="44"/>
  <c r="AA72" i="44"/>
  <c r="AD72" i="44"/>
  <c r="Y73" i="44"/>
  <c r="W73" i="44"/>
  <c r="X73" i="44"/>
  <c r="Z73" i="44"/>
  <c r="I74" i="44"/>
  <c r="H74" i="44"/>
  <c r="AB73" i="44"/>
  <c r="AA73" i="44"/>
  <c r="AD73" i="44"/>
  <c r="Y74" i="44"/>
  <c r="W74" i="44"/>
  <c r="X74" i="44"/>
  <c r="Z74" i="44"/>
  <c r="I75" i="44"/>
  <c r="H75" i="44"/>
  <c r="AB74" i="44"/>
  <c r="AA74" i="44"/>
  <c r="AD74" i="44"/>
  <c r="Y75" i="44"/>
  <c r="W75" i="44"/>
  <c r="X75" i="44"/>
  <c r="Z75" i="44"/>
  <c r="I76" i="44"/>
  <c r="H76" i="44"/>
  <c r="AB75" i="44"/>
  <c r="AA75" i="44"/>
  <c r="AD75" i="44"/>
  <c r="Y76" i="44"/>
  <c r="W76" i="44"/>
  <c r="X76" i="44"/>
  <c r="Z76" i="44"/>
  <c r="I77" i="44"/>
  <c r="H77" i="44"/>
  <c r="AB76" i="44"/>
  <c r="AA76" i="44"/>
  <c r="AD76" i="44"/>
  <c r="Y77" i="44"/>
  <c r="W77" i="44"/>
  <c r="X77" i="44"/>
  <c r="Z77" i="44"/>
  <c r="I78" i="44"/>
  <c r="H78" i="44"/>
  <c r="AB77" i="44"/>
  <c r="AA77" i="44"/>
  <c r="AD77" i="44"/>
  <c r="Y78" i="44"/>
  <c r="W78" i="44"/>
  <c r="X78" i="44"/>
  <c r="Z78" i="44"/>
  <c r="I79" i="44"/>
  <c r="H79" i="44"/>
  <c r="AB78" i="44"/>
  <c r="AA78" i="44"/>
  <c r="AD78" i="44"/>
  <c r="Y79" i="44"/>
  <c r="W79" i="44"/>
  <c r="X79" i="44"/>
  <c r="Z79" i="44"/>
  <c r="I80" i="44"/>
  <c r="H80" i="44"/>
  <c r="AB79" i="44"/>
  <c r="AA79" i="44"/>
  <c r="AD79" i="44"/>
  <c r="Y80" i="44"/>
  <c r="W80" i="44"/>
  <c r="X80" i="44"/>
  <c r="Z80" i="44"/>
  <c r="I81" i="44"/>
  <c r="H81" i="44"/>
  <c r="AB80" i="44"/>
  <c r="AA80" i="44"/>
  <c r="AD80" i="44"/>
  <c r="L16" i="32"/>
  <c r="F16" i="50"/>
  <c r="F16" i="22"/>
  <c r="F16" i="32"/>
  <c r="E16" i="50"/>
  <c r="G16" i="26"/>
  <c r="H17" i="26"/>
  <c r="I17" i="26"/>
  <c r="F17" i="26"/>
  <c r="B17" i="26"/>
  <c r="C17" i="26"/>
  <c r="E17" i="26"/>
  <c r="H17" i="50"/>
  <c r="B17" i="50"/>
  <c r="C17" i="50"/>
  <c r="G17" i="50"/>
  <c r="J17" i="50"/>
  <c r="I17" i="50"/>
  <c r="K17" i="26"/>
  <c r="N18" i="26"/>
  <c r="P19" i="26"/>
  <c r="B19" i="6"/>
  <c r="B101" i="44"/>
  <c r="B92" i="44"/>
  <c r="B93" i="44"/>
  <c r="B94" i="44"/>
  <c r="B95" i="44"/>
  <c r="B96" i="44"/>
  <c r="B97" i="44"/>
  <c r="B98" i="44"/>
  <c r="B99" i="44"/>
  <c r="B100" i="44"/>
  <c r="K18" i="21"/>
  <c r="N18" i="21"/>
  <c r="O18" i="21"/>
  <c r="G18" i="21"/>
  <c r="B18" i="22"/>
  <c r="F18" i="21"/>
  <c r="E18" i="21"/>
  <c r="B18" i="32"/>
  <c r="M18" i="26"/>
  <c r="Y81" i="44"/>
  <c r="W81" i="44"/>
  <c r="X81" i="44"/>
  <c r="Z81" i="44"/>
  <c r="I82" i="44"/>
  <c r="H82" i="44"/>
  <c r="AB81" i="44"/>
  <c r="AA81" i="44"/>
  <c r="AD81" i="44"/>
  <c r="Y82" i="44"/>
  <c r="W82" i="44"/>
  <c r="X82" i="44"/>
  <c r="Z82" i="44"/>
  <c r="I83" i="44"/>
  <c r="H83" i="44"/>
  <c r="AB82" i="44"/>
  <c r="AA82" i="44"/>
  <c r="AD82" i="44"/>
  <c r="Y83" i="44"/>
  <c r="W83" i="44"/>
  <c r="X83" i="44"/>
  <c r="Z83" i="44"/>
  <c r="I84" i="44"/>
  <c r="H84" i="44"/>
  <c r="AB83" i="44"/>
  <c r="AA83" i="44"/>
  <c r="AD83" i="44"/>
  <c r="Y84" i="44"/>
  <c r="W84" i="44"/>
  <c r="X84" i="44"/>
  <c r="Z84" i="44"/>
  <c r="I85" i="44"/>
  <c r="H85" i="44"/>
  <c r="AB84" i="44"/>
  <c r="AA84" i="44"/>
  <c r="AD84" i="44"/>
  <c r="Y85" i="44"/>
  <c r="W85" i="44"/>
  <c r="X85" i="44"/>
  <c r="Z85" i="44"/>
  <c r="I86" i="44"/>
  <c r="H86" i="44"/>
  <c r="AB85" i="44"/>
  <c r="AA85" i="44"/>
  <c r="AD85" i="44"/>
  <c r="Y86" i="44"/>
  <c r="W86" i="44"/>
  <c r="X86" i="44"/>
  <c r="Z86" i="44"/>
  <c r="I87" i="44"/>
  <c r="H87" i="44"/>
  <c r="AB86" i="44"/>
  <c r="AA86" i="44"/>
  <c r="AD86" i="44"/>
  <c r="Y87" i="44"/>
  <c r="W87" i="44"/>
  <c r="X87" i="44"/>
  <c r="Z87" i="44"/>
  <c r="I88" i="44"/>
  <c r="H88" i="44"/>
  <c r="AB87" i="44"/>
  <c r="AA87" i="44"/>
  <c r="AD87" i="44"/>
  <c r="Y88" i="44"/>
  <c r="W88" i="44"/>
  <c r="X88" i="44"/>
  <c r="Z88" i="44"/>
  <c r="I89" i="44"/>
  <c r="H89" i="44"/>
  <c r="AB88" i="44"/>
  <c r="AA88" i="44"/>
  <c r="AD88" i="44"/>
  <c r="Y89" i="44"/>
  <c r="W89" i="44"/>
  <c r="X89" i="44"/>
  <c r="Z89" i="44"/>
  <c r="I90" i="44"/>
  <c r="H90" i="44"/>
  <c r="AB89" i="44"/>
  <c r="AA89" i="44"/>
  <c r="AD89" i="44"/>
  <c r="Y90" i="44"/>
  <c r="W90" i="44"/>
  <c r="X90" i="44"/>
  <c r="Z90" i="44"/>
  <c r="I91" i="44"/>
  <c r="H91" i="44"/>
  <c r="AB90" i="44"/>
  <c r="AA90" i="44"/>
  <c r="AD90" i="44"/>
  <c r="L17" i="32"/>
  <c r="F17" i="50"/>
  <c r="F17" i="22"/>
  <c r="F17" i="32"/>
  <c r="E17" i="50"/>
  <c r="G17" i="26"/>
  <c r="H18" i="26"/>
  <c r="I18" i="26"/>
  <c r="F18" i="26"/>
  <c r="B18" i="26"/>
  <c r="C18" i="26"/>
  <c r="E18" i="26"/>
  <c r="H18" i="50"/>
  <c r="B18" i="50"/>
  <c r="C18" i="50"/>
  <c r="G18" i="50"/>
  <c r="J18" i="50"/>
  <c r="I18" i="50"/>
  <c r="K18" i="26"/>
  <c r="N19" i="26"/>
  <c r="P20" i="26"/>
  <c r="B20" i="6"/>
  <c r="B111" i="44"/>
  <c r="B102" i="44"/>
  <c r="B103" i="44"/>
  <c r="B104" i="44"/>
  <c r="B105" i="44"/>
  <c r="B106" i="44"/>
  <c r="B107" i="44"/>
  <c r="B108" i="44"/>
  <c r="B109" i="44"/>
  <c r="B110" i="44"/>
  <c r="K19" i="21"/>
  <c r="N19" i="21"/>
  <c r="O19" i="21"/>
  <c r="G19" i="21"/>
  <c r="B19" i="22"/>
  <c r="F19" i="21"/>
  <c r="E19" i="21"/>
  <c r="B19" i="32"/>
  <c r="M19" i="26"/>
  <c r="Y91" i="44"/>
  <c r="W91" i="44"/>
  <c r="X91" i="44"/>
  <c r="Z91" i="44"/>
  <c r="I92" i="44"/>
  <c r="H92" i="44"/>
  <c r="AB91" i="44"/>
  <c r="AA91" i="44"/>
  <c r="AD91" i="44"/>
  <c r="Y92" i="44"/>
  <c r="W92" i="44"/>
  <c r="X92" i="44"/>
  <c r="Z92" i="44"/>
  <c r="I93" i="44"/>
  <c r="H93" i="44"/>
  <c r="AB92" i="44"/>
  <c r="AA92" i="44"/>
  <c r="AD92" i="44"/>
  <c r="Y93" i="44"/>
  <c r="W93" i="44"/>
  <c r="X93" i="44"/>
  <c r="Z93" i="44"/>
  <c r="I94" i="44"/>
  <c r="H94" i="44"/>
  <c r="AB93" i="44"/>
  <c r="AA93" i="44"/>
  <c r="AD93" i="44"/>
  <c r="Y94" i="44"/>
  <c r="W94" i="44"/>
  <c r="X94" i="44"/>
  <c r="Z94" i="44"/>
  <c r="I95" i="44"/>
  <c r="H95" i="44"/>
  <c r="AB94" i="44"/>
  <c r="AA94" i="44"/>
  <c r="AD94" i="44"/>
  <c r="Y95" i="44"/>
  <c r="W95" i="44"/>
  <c r="X95" i="44"/>
  <c r="Z95" i="44"/>
  <c r="I96" i="44"/>
  <c r="H96" i="44"/>
  <c r="AB95" i="44"/>
  <c r="AA95" i="44"/>
  <c r="AD95" i="44"/>
  <c r="Y96" i="44"/>
  <c r="W96" i="44"/>
  <c r="X96" i="44"/>
  <c r="Z96" i="44"/>
  <c r="I97" i="44"/>
  <c r="H97" i="44"/>
  <c r="AB96" i="44"/>
  <c r="AA96" i="44"/>
  <c r="AD96" i="44"/>
  <c r="Y97" i="44"/>
  <c r="W97" i="44"/>
  <c r="X97" i="44"/>
  <c r="Z97" i="44"/>
  <c r="I98" i="44"/>
  <c r="H98" i="44"/>
  <c r="AB97" i="44"/>
  <c r="AA97" i="44"/>
  <c r="AD97" i="44"/>
  <c r="Y98" i="44"/>
  <c r="W98" i="44"/>
  <c r="X98" i="44"/>
  <c r="Z98" i="44"/>
  <c r="I99" i="44"/>
  <c r="H99" i="44"/>
  <c r="AB98" i="44"/>
  <c r="AA98" i="44"/>
  <c r="AD98" i="44"/>
  <c r="Y99" i="44"/>
  <c r="W99" i="44"/>
  <c r="X99" i="44"/>
  <c r="Z99" i="44"/>
  <c r="I100" i="44"/>
  <c r="H100" i="44"/>
  <c r="AB99" i="44"/>
  <c r="AA99" i="44"/>
  <c r="AD99" i="44"/>
  <c r="Y100" i="44"/>
  <c r="W100" i="44"/>
  <c r="X100" i="44"/>
  <c r="Z100" i="44"/>
  <c r="I101" i="44"/>
  <c r="H101" i="44"/>
  <c r="AB100" i="44"/>
  <c r="AA100" i="44"/>
  <c r="AD100" i="44"/>
  <c r="L18" i="32"/>
  <c r="F18" i="50"/>
  <c r="F18" i="22"/>
  <c r="F18" i="32"/>
  <c r="E18" i="50"/>
  <c r="G18" i="26"/>
  <c r="H19" i="26"/>
  <c r="I19" i="26"/>
  <c r="F19" i="26"/>
  <c r="B19" i="26"/>
  <c r="C19" i="26"/>
  <c r="E19" i="26"/>
  <c r="H19" i="50"/>
  <c r="B19" i="50"/>
  <c r="C19" i="50"/>
  <c r="G19" i="50"/>
  <c r="J19" i="50"/>
  <c r="I19" i="50"/>
  <c r="K19" i="26"/>
  <c r="N20" i="26"/>
  <c r="Y101" i="44"/>
  <c r="W101" i="44"/>
  <c r="X101" i="44"/>
  <c r="Z101" i="44"/>
  <c r="I102" i="44"/>
  <c r="H102" i="44"/>
  <c r="AB101" i="44"/>
  <c r="AA101" i="44"/>
  <c r="AD101" i="44"/>
  <c r="Y102" i="44"/>
  <c r="W102" i="44"/>
  <c r="X102" i="44"/>
  <c r="Z102" i="44"/>
  <c r="I103" i="44"/>
  <c r="H103" i="44"/>
  <c r="AB102" i="44"/>
  <c r="AA102" i="44"/>
  <c r="AD102" i="44"/>
  <c r="Y103" i="44"/>
  <c r="W103" i="44"/>
  <c r="X103" i="44"/>
  <c r="Z103" i="44"/>
  <c r="I104" i="44"/>
  <c r="H104" i="44"/>
  <c r="AB103" i="44"/>
  <c r="AA103" i="44"/>
  <c r="AD103" i="44"/>
  <c r="Y104" i="44"/>
  <c r="W104" i="44"/>
  <c r="X104" i="44"/>
  <c r="Z104" i="44"/>
  <c r="I105" i="44"/>
  <c r="H105" i="44"/>
  <c r="AB104" i="44"/>
  <c r="AA104" i="44"/>
  <c r="AD104" i="44"/>
  <c r="Y105" i="44"/>
  <c r="W105" i="44"/>
  <c r="X105" i="44"/>
  <c r="Z105" i="44"/>
  <c r="I106" i="44"/>
  <c r="H106" i="44"/>
  <c r="AB105" i="44"/>
  <c r="AA105" i="44"/>
  <c r="AD105" i="44"/>
  <c r="Y106" i="44"/>
  <c r="W106" i="44"/>
  <c r="X106" i="44"/>
  <c r="Z106" i="44"/>
  <c r="I107" i="44"/>
  <c r="H107" i="44"/>
  <c r="AB106" i="44"/>
  <c r="AA106" i="44"/>
  <c r="AD106" i="44"/>
  <c r="Y107" i="44"/>
  <c r="W107" i="44"/>
  <c r="X107" i="44"/>
  <c r="Z107" i="44"/>
  <c r="I108" i="44"/>
  <c r="H108" i="44"/>
  <c r="AB107" i="44"/>
  <c r="AA107" i="44"/>
  <c r="AD107" i="44"/>
  <c r="Y108" i="44"/>
  <c r="W108" i="44"/>
  <c r="X108" i="44"/>
  <c r="Z108" i="44"/>
  <c r="I109" i="44"/>
  <c r="H109" i="44"/>
  <c r="AB108" i="44"/>
  <c r="AA108" i="44"/>
  <c r="AD108" i="44"/>
  <c r="Y109" i="44"/>
  <c r="W109" i="44"/>
  <c r="X109" i="44"/>
  <c r="Z109" i="44"/>
  <c r="I110" i="44"/>
  <c r="H110" i="44"/>
  <c r="AB109" i="44"/>
  <c r="AA109" i="44"/>
  <c r="AD109" i="44"/>
  <c r="Y110" i="44"/>
  <c r="W110" i="44"/>
  <c r="X110" i="44"/>
  <c r="Z110" i="44"/>
  <c r="I111" i="44"/>
  <c r="H111" i="44"/>
  <c r="AB110" i="44"/>
  <c r="AA110" i="44"/>
  <c r="AD110" i="44"/>
  <c r="L19" i="32"/>
  <c r="F19" i="50"/>
  <c r="F19" i="22"/>
  <c r="F19" i="32"/>
  <c r="E19" i="50"/>
  <c r="G19" i="26"/>
  <c r="H20" i="26"/>
  <c r="F20" i="26"/>
  <c r="B20" i="26"/>
  <c r="C20" i="26"/>
  <c r="E20" i="26"/>
  <c r="H20" i="50"/>
  <c r="B20" i="50"/>
  <c r="C20" i="50"/>
  <c r="G20" i="50"/>
  <c r="J20" i="50"/>
  <c r="I20" i="50"/>
  <c r="K20" i="26"/>
  <c r="B20" i="22"/>
  <c r="F20" i="21"/>
  <c r="E20" i="21"/>
  <c r="B20" i="32"/>
  <c r="M20" i="26"/>
  <c r="N21" i="26"/>
  <c r="N11" i="26"/>
  <c r="F15" i="37"/>
  <c r="J11" i="26"/>
  <c r="L11" i="26"/>
  <c r="O11" i="26"/>
  <c r="J12" i="26"/>
  <c r="L12" i="26"/>
  <c r="O12" i="26"/>
  <c r="J13" i="26"/>
  <c r="L13" i="26"/>
  <c r="O13" i="26"/>
  <c r="J14" i="26"/>
  <c r="L14" i="26"/>
  <c r="O14" i="26"/>
  <c r="J15" i="26"/>
  <c r="L15" i="26"/>
  <c r="O15" i="26"/>
  <c r="J16" i="26"/>
  <c r="L16" i="26"/>
  <c r="O16" i="26"/>
  <c r="J17" i="26"/>
  <c r="L17" i="26"/>
  <c r="O17" i="26"/>
  <c r="J18" i="26"/>
  <c r="L18" i="26"/>
  <c r="O18" i="26"/>
  <c r="J19" i="26"/>
  <c r="L19" i="26"/>
  <c r="O19" i="26"/>
  <c r="J20" i="26"/>
  <c r="L20" i="26"/>
  <c r="O20" i="26"/>
  <c r="L21" i="26"/>
  <c r="O21" i="26"/>
  <c r="H15" i="37"/>
  <c r="T15" i="37"/>
  <c r="M79" i="37"/>
  <c r="L79" i="37"/>
  <c r="K79" i="37"/>
  <c r="M76" i="37"/>
  <c r="L76" i="37"/>
  <c r="K76" i="37"/>
  <c r="M70" i="37"/>
  <c r="L70" i="37"/>
  <c r="K70" i="37"/>
  <c r="M67" i="37"/>
  <c r="L67" i="37"/>
  <c r="K67" i="37"/>
  <c r="M61" i="37"/>
  <c r="L61" i="37"/>
  <c r="K61" i="37"/>
  <c r="L10" i="34"/>
  <c r="O10" i="34"/>
  <c r="AL11" i="34"/>
  <c r="H79" i="37"/>
  <c r="G79" i="37"/>
  <c r="F79" i="37"/>
  <c r="H76" i="37"/>
  <c r="G76" i="37"/>
  <c r="F76" i="37"/>
  <c r="H70" i="37"/>
  <c r="G70" i="37"/>
  <c r="F70" i="37"/>
  <c r="H67" i="37"/>
  <c r="G67" i="37"/>
  <c r="F67" i="37"/>
  <c r="H61" i="37"/>
  <c r="G61" i="37"/>
  <c r="F61" i="37"/>
  <c r="H25" i="37"/>
  <c r="G25" i="37"/>
  <c r="F25" i="37"/>
  <c r="H16" i="37"/>
  <c r="G16" i="37"/>
  <c r="F16" i="37"/>
  <c r="V246" i="34"/>
  <c r="E78" i="37"/>
  <c r="V243" i="34"/>
  <c r="E75" i="37"/>
  <c r="V237" i="34"/>
  <c r="E69" i="37"/>
  <c r="V234" i="34"/>
  <c r="E66" i="37"/>
  <c r="V231" i="34"/>
  <c r="E63" i="37"/>
  <c r="V228" i="34"/>
  <c r="E60" i="37"/>
  <c r="V219" i="34"/>
  <c r="E51" i="37"/>
  <c r="V213" i="34"/>
  <c r="E45" i="37"/>
  <c r="V181" i="34"/>
  <c r="C10" i="25"/>
  <c r="D21" i="26"/>
  <c r="E27" i="26"/>
  <c r="B27" i="26"/>
  <c r="D27" i="26"/>
  <c r="C68" i="5"/>
  <c r="E68" i="5"/>
  <c r="I78" i="36"/>
  <c r="H78" i="36"/>
  <c r="B246" i="25"/>
  <c r="B79" i="27"/>
  <c r="J78" i="36"/>
  <c r="K78" i="36"/>
  <c r="M78" i="36"/>
  <c r="I75" i="36"/>
  <c r="H75" i="36"/>
  <c r="B243" i="25"/>
  <c r="B76" i="27"/>
  <c r="J75" i="36"/>
  <c r="K75" i="36"/>
  <c r="M75" i="36"/>
  <c r="H72" i="36"/>
  <c r="B240" i="25"/>
  <c r="B73" i="27"/>
  <c r="J72" i="36"/>
  <c r="H69" i="36"/>
  <c r="B237" i="25"/>
  <c r="B70" i="27"/>
  <c r="J69" i="36"/>
  <c r="K69" i="36"/>
  <c r="I69" i="36"/>
  <c r="M69" i="36"/>
  <c r="H57" i="36"/>
  <c r="I66" i="36"/>
  <c r="I63" i="36"/>
  <c r="H66" i="36"/>
  <c r="B234" i="25"/>
  <c r="B67" i="27"/>
  <c r="J66" i="36"/>
  <c r="K66" i="36"/>
  <c r="M66" i="36"/>
  <c r="I60" i="36"/>
  <c r="H60" i="36"/>
  <c r="B61" i="27"/>
  <c r="J60" i="36"/>
  <c r="K60" i="36"/>
  <c r="M60" i="36"/>
  <c r="B58" i="27"/>
  <c r="J57" i="36"/>
  <c r="L79" i="36"/>
  <c r="L76" i="36"/>
  <c r="I72" i="36"/>
  <c r="L73" i="36"/>
  <c r="L70" i="36"/>
  <c r="L67" i="36"/>
  <c r="L64" i="36"/>
  <c r="L61" i="36"/>
  <c r="I57" i="36"/>
  <c r="L58" i="36"/>
  <c r="L55" i="36"/>
  <c r="I51" i="36"/>
  <c r="L52" i="36"/>
  <c r="L49" i="36"/>
  <c r="L46" i="36"/>
  <c r="L43" i="36"/>
  <c r="L34" i="36"/>
  <c r="C78" i="36"/>
  <c r="B78" i="36"/>
  <c r="D78" i="36"/>
  <c r="E78" i="36"/>
  <c r="G78" i="36"/>
  <c r="C75" i="36"/>
  <c r="B75" i="36"/>
  <c r="D75" i="36"/>
  <c r="E75" i="36"/>
  <c r="G75" i="36"/>
  <c r="B72" i="36"/>
  <c r="D72" i="36"/>
  <c r="B69" i="36"/>
  <c r="D69" i="36"/>
  <c r="E69" i="36"/>
  <c r="C69" i="36"/>
  <c r="G69" i="36"/>
  <c r="C66" i="36"/>
  <c r="B66" i="36"/>
  <c r="D66" i="36"/>
  <c r="E66" i="36"/>
  <c r="G66" i="36"/>
  <c r="C60" i="36"/>
  <c r="B60" i="36"/>
  <c r="D60" i="36"/>
  <c r="E60" i="36"/>
  <c r="G60" i="36"/>
  <c r="B57" i="36"/>
  <c r="D57" i="36"/>
  <c r="B54" i="36"/>
  <c r="D54" i="36"/>
  <c r="D48" i="36"/>
  <c r="B192" i="25"/>
  <c r="B28" i="27"/>
  <c r="D27" i="36"/>
  <c r="C24" i="36"/>
  <c r="B24" i="36"/>
  <c r="B25" i="27"/>
  <c r="D24" i="36"/>
  <c r="E24" i="36"/>
  <c r="G24" i="36"/>
  <c r="B21" i="36"/>
  <c r="B22" i="27"/>
  <c r="D21" i="36"/>
  <c r="B18" i="36"/>
  <c r="B19" i="27"/>
  <c r="D18" i="36"/>
  <c r="C15" i="36"/>
  <c r="B16" i="27"/>
  <c r="B15" i="36"/>
  <c r="D15" i="36"/>
  <c r="E15" i="36"/>
  <c r="G15" i="36"/>
  <c r="B13" i="27"/>
  <c r="B12" i="36"/>
  <c r="D12" i="36"/>
  <c r="B10" i="27"/>
  <c r="B9" i="36"/>
  <c r="D9" i="36"/>
  <c r="F79" i="36"/>
  <c r="F76" i="36"/>
  <c r="C72" i="36"/>
  <c r="F73" i="36"/>
  <c r="F70" i="36"/>
  <c r="F67" i="36"/>
  <c r="C63" i="36"/>
  <c r="F64" i="36"/>
  <c r="F61" i="36"/>
  <c r="C57" i="36"/>
  <c r="F58" i="36"/>
  <c r="C54" i="36"/>
  <c r="F55" i="36"/>
  <c r="C51" i="36"/>
  <c r="F52" i="36"/>
  <c r="F49" i="36"/>
  <c r="C45" i="36"/>
  <c r="F46" i="36"/>
  <c r="C42" i="36"/>
  <c r="F43" i="36"/>
  <c r="F34" i="36"/>
  <c r="F25" i="36"/>
  <c r="F16" i="36"/>
  <c r="E45" i="36"/>
  <c r="E51" i="36"/>
  <c r="E63" i="36"/>
  <c r="H246" i="25"/>
  <c r="F79" i="27"/>
  <c r="J246" i="25"/>
  <c r="H79" i="27"/>
  <c r="I246" i="25"/>
  <c r="G79" i="27"/>
  <c r="C246" i="25"/>
  <c r="C79" i="27"/>
  <c r="N79" i="27"/>
  <c r="H243" i="25"/>
  <c r="F76" i="27"/>
  <c r="J243" i="25"/>
  <c r="H76" i="27"/>
  <c r="I243" i="25"/>
  <c r="G76" i="27"/>
  <c r="C243" i="25"/>
  <c r="C76" i="27"/>
  <c r="N76" i="27"/>
  <c r="C240" i="25"/>
  <c r="C73" i="27"/>
  <c r="H237" i="25"/>
  <c r="F70" i="27"/>
  <c r="J237" i="25"/>
  <c r="H70" i="27"/>
  <c r="I237" i="25"/>
  <c r="G70" i="27"/>
  <c r="C237" i="25"/>
  <c r="C70" i="27"/>
  <c r="N70" i="27"/>
  <c r="H234" i="25"/>
  <c r="F67" i="27"/>
  <c r="J234" i="25"/>
  <c r="H67" i="27"/>
  <c r="I234" i="25"/>
  <c r="G67" i="27"/>
  <c r="C234" i="25"/>
  <c r="C67" i="27"/>
  <c r="N67" i="27"/>
  <c r="H231" i="25"/>
  <c r="F64" i="27"/>
  <c r="J231" i="25"/>
  <c r="H64" i="27"/>
  <c r="I231" i="25"/>
  <c r="G64" i="27"/>
  <c r="C231" i="25"/>
  <c r="C64" i="27"/>
  <c r="N64" i="27"/>
  <c r="H228" i="25"/>
  <c r="F61" i="27"/>
  <c r="J228" i="25"/>
  <c r="H61" i="27"/>
  <c r="I228" i="25"/>
  <c r="G61" i="27"/>
  <c r="C228" i="25"/>
  <c r="C61" i="27"/>
  <c r="N61" i="27"/>
  <c r="C225" i="25"/>
  <c r="C58" i="27"/>
  <c r="H219" i="25"/>
  <c r="F52" i="27"/>
  <c r="J219" i="25"/>
  <c r="H52" i="27"/>
  <c r="I219" i="25"/>
  <c r="G52" i="27"/>
  <c r="C219" i="25"/>
  <c r="C52" i="27"/>
  <c r="N52" i="27"/>
  <c r="N46" i="27"/>
  <c r="AC11" i="25"/>
  <c r="I10" i="25"/>
  <c r="AD11" i="25"/>
  <c r="D25" i="26"/>
  <c r="C25" i="27"/>
  <c r="I25" i="26"/>
  <c r="H25" i="27"/>
  <c r="F25" i="27"/>
  <c r="N25" i="27"/>
  <c r="Y51" i="44"/>
  <c r="W51" i="44"/>
  <c r="X51" i="44"/>
  <c r="Z51" i="44"/>
  <c r="I52" i="44"/>
  <c r="H52" i="44"/>
  <c r="AB51" i="44"/>
  <c r="AA51" i="44"/>
  <c r="AD51" i="44"/>
  <c r="Y52" i="44"/>
  <c r="W52" i="44"/>
  <c r="X52" i="44"/>
  <c r="Z52" i="44"/>
  <c r="I53" i="44"/>
  <c r="H53" i="44"/>
  <c r="AB52" i="44"/>
  <c r="AA52" i="44"/>
  <c r="AD52" i="44"/>
  <c r="Y53" i="44"/>
  <c r="W53" i="44"/>
  <c r="X53" i="44"/>
  <c r="Z53" i="44"/>
  <c r="I54" i="44"/>
  <c r="H54" i="44"/>
  <c r="AB53" i="44"/>
  <c r="AA53" i="44"/>
  <c r="AD53" i="44"/>
  <c r="Y54" i="44"/>
  <c r="W54" i="44"/>
  <c r="X54" i="44"/>
  <c r="Z54" i="44"/>
  <c r="I55" i="44"/>
  <c r="H55" i="44"/>
  <c r="AB54" i="44"/>
  <c r="AA54" i="44"/>
  <c r="AD54" i="44"/>
  <c r="Y55" i="44"/>
  <c r="W55" i="44"/>
  <c r="X55" i="44"/>
  <c r="Z55" i="44"/>
  <c r="I56" i="44"/>
  <c r="H56" i="44"/>
  <c r="AB55" i="44"/>
  <c r="AA55" i="44"/>
  <c r="AD55" i="44"/>
  <c r="Y56" i="44"/>
  <c r="W56" i="44"/>
  <c r="X56" i="44"/>
  <c r="Z56" i="44"/>
  <c r="I57" i="44"/>
  <c r="H57" i="44"/>
  <c r="AB56" i="44"/>
  <c r="AA56" i="44"/>
  <c r="AD56" i="44"/>
  <c r="Y57" i="44"/>
  <c r="W57" i="44"/>
  <c r="X57" i="44"/>
  <c r="Z57" i="44"/>
  <c r="I58" i="44"/>
  <c r="H58" i="44"/>
  <c r="AB57" i="44"/>
  <c r="AA57" i="44"/>
  <c r="AD57" i="44"/>
  <c r="Y58" i="44"/>
  <c r="W58" i="44"/>
  <c r="X58" i="44"/>
  <c r="Z58" i="44"/>
  <c r="I59" i="44"/>
  <c r="H59" i="44"/>
  <c r="AB58" i="44"/>
  <c r="AA58" i="44"/>
  <c r="AD58" i="44"/>
  <c r="Y59" i="44"/>
  <c r="W59" i="44"/>
  <c r="X59" i="44"/>
  <c r="Z59" i="44"/>
  <c r="I60" i="44"/>
  <c r="H60" i="44"/>
  <c r="AB59" i="44"/>
  <c r="AA59" i="44"/>
  <c r="AD59" i="44"/>
  <c r="Y60" i="44"/>
  <c r="W60" i="44"/>
  <c r="X60" i="44"/>
  <c r="Z60" i="44"/>
  <c r="AB60" i="44"/>
  <c r="AA60" i="44"/>
  <c r="AD60" i="44"/>
  <c r="L14" i="32"/>
  <c r="F14" i="50"/>
  <c r="F14" i="22"/>
  <c r="F14" i="32"/>
  <c r="E14" i="50"/>
  <c r="G14" i="26"/>
  <c r="H15" i="26"/>
  <c r="Y111" i="44"/>
  <c r="W111" i="44"/>
  <c r="X111" i="44"/>
  <c r="Z111" i="44"/>
  <c r="I112" i="44"/>
  <c r="H112" i="44"/>
  <c r="AB111" i="44"/>
  <c r="AA111" i="44"/>
  <c r="AD111" i="44"/>
  <c r="B112" i="44"/>
  <c r="Y112" i="44"/>
  <c r="W112" i="44"/>
  <c r="X112" i="44"/>
  <c r="Z112" i="44"/>
  <c r="I113" i="44"/>
  <c r="H113" i="44"/>
  <c r="AB112" i="44"/>
  <c r="AA112" i="44"/>
  <c r="AD112" i="44"/>
  <c r="B113" i="44"/>
  <c r="Y113" i="44"/>
  <c r="W113" i="44"/>
  <c r="X113" i="44"/>
  <c r="Z113" i="44"/>
  <c r="I114" i="44"/>
  <c r="H114" i="44"/>
  <c r="AB113" i="44"/>
  <c r="AA113" i="44"/>
  <c r="AD113" i="44"/>
  <c r="B114" i="44"/>
  <c r="Y114" i="44"/>
  <c r="W114" i="44"/>
  <c r="X114" i="44"/>
  <c r="Z114" i="44"/>
  <c r="I115" i="44"/>
  <c r="H115" i="44"/>
  <c r="AB114" i="44"/>
  <c r="AA114" i="44"/>
  <c r="AD114" i="44"/>
  <c r="B115" i="44"/>
  <c r="Y115" i="44"/>
  <c r="W115" i="44"/>
  <c r="X115" i="44"/>
  <c r="Z115" i="44"/>
  <c r="I116" i="44"/>
  <c r="H116" i="44"/>
  <c r="AB115" i="44"/>
  <c r="AA115" i="44"/>
  <c r="AD115" i="44"/>
  <c r="B116" i="44"/>
  <c r="Y116" i="44"/>
  <c r="W116" i="44"/>
  <c r="X116" i="44"/>
  <c r="Z116" i="44"/>
  <c r="I117" i="44"/>
  <c r="H117" i="44"/>
  <c r="AB116" i="44"/>
  <c r="AA116" i="44"/>
  <c r="AD116" i="44"/>
  <c r="B117" i="44"/>
  <c r="Y117" i="44"/>
  <c r="W117" i="44"/>
  <c r="X117" i="44"/>
  <c r="Z117" i="44"/>
  <c r="I118" i="44"/>
  <c r="H118" i="44"/>
  <c r="AB117" i="44"/>
  <c r="AA117" i="44"/>
  <c r="AD117" i="44"/>
  <c r="B118" i="44"/>
  <c r="Y118" i="44"/>
  <c r="W118" i="44"/>
  <c r="X118" i="44"/>
  <c r="Z118" i="44"/>
  <c r="I119" i="44"/>
  <c r="H119" i="44"/>
  <c r="AB118" i="44"/>
  <c r="AA118" i="44"/>
  <c r="AD118" i="44"/>
  <c r="B119" i="44"/>
  <c r="Y119" i="44"/>
  <c r="W119" i="44"/>
  <c r="X119" i="44"/>
  <c r="Z119" i="44"/>
  <c r="I120" i="44"/>
  <c r="H120" i="44"/>
  <c r="AB119" i="44"/>
  <c r="AA119" i="44"/>
  <c r="AD119" i="44"/>
  <c r="B120" i="44"/>
  <c r="Y120" i="44"/>
  <c r="W120" i="44"/>
  <c r="X120" i="44"/>
  <c r="Z120" i="44"/>
  <c r="AB120" i="44"/>
  <c r="AA120" i="44"/>
  <c r="AD120" i="44"/>
  <c r="L20" i="32"/>
  <c r="F20" i="50"/>
  <c r="F20" i="22"/>
  <c r="F20" i="32"/>
  <c r="E20" i="50"/>
  <c r="G20" i="26"/>
  <c r="H21" i="26"/>
  <c r="F16" i="27"/>
  <c r="D10" i="26"/>
  <c r="C16" i="27"/>
  <c r="I15" i="26"/>
  <c r="H16" i="27"/>
  <c r="N16" i="27"/>
  <c r="H80" i="27"/>
  <c r="G80" i="27"/>
  <c r="F80" i="27"/>
  <c r="H77" i="27"/>
  <c r="G77" i="27"/>
  <c r="F77" i="27"/>
  <c r="H71" i="27"/>
  <c r="G71" i="27"/>
  <c r="F71" i="27"/>
  <c r="H68" i="27"/>
  <c r="G68" i="27"/>
  <c r="F68" i="27"/>
  <c r="H65" i="27"/>
  <c r="G65" i="27"/>
  <c r="F65" i="27"/>
  <c r="H62" i="27"/>
  <c r="G62" i="27"/>
  <c r="F62" i="27"/>
  <c r="H53" i="27"/>
  <c r="G53" i="27"/>
  <c r="F53" i="27"/>
  <c r="H47" i="27"/>
  <c r="G47" i="27"/>
  <c r="F47" i="27"/>
  <c r="H26" i="27"/>
  <c r="G26" i="27"/>
  <c r="F26" i="27"/>
  <c r="H17" i="27"/>
  <c r="G17" i="27"/>
  <c r="F17" i="27"/>
  <c r="Q246" i="25"/>
  <c r="Q243" i="25"/>
  <c r="Q237" i="25"/>
  <c r="Q234" i="25"/>
  <c r="Q231" i="25"/>
  <c r="Q228" i="25"/>
  <c r="Q219" i="25"/>
  <c r="Q213" i="25"/>
  <c r="C78" i="35"/>
  <c r="J79" i="35"/>
  <c r="C75" i="35"/>
  <c r="J76" i="35"/>
  <c r="C72" i="35"/>
  <c r="J73" i="35"/>
  <c r="C69" i="35"/>
  <c r="J70" i="35"/>
  <c r="C66" i="35"/>
  <c r="J67" i="35"/>
  <c r="C63" i="35"/>
  <c r="J64" i="35"/>
  <c r="C60" i="35"/>
  <c r="J61" i="35"/>
  <c r="C57" i="35"/>
  <c r="J58" i="35"/>
  <c r="J55" i="35"/>
  <c r="C51" i="35"/>
  <c r="J52" i="35"/>
  <c r="J49" i="35"/>
  <c r="J46" i="35"/>
  <c r="C42" i="35"/>
  <c r="J43" i="35"/>
  <c r="B78" i="35"/>
  <c r="H78" i="35"/>
  <c r="B75" i="35"/>
  <c r="H75" i="35"/>
  <c r="B72" i="35"/>
  <c r="H72" i="35"/>
  <c r="B69" i="35"/>
  <c r="H69" i="35"/>
  <c r="B66" i="35"/>
  <c r="H66" i="35"/>
  <c r="B63" i="35"/>
  <c r="B231" i="25"/>
  <c r="B64" i="27"/>
  <c r="H63" i="35"/>
  <c r="B60" i="35"/>
  <c r="H60" i="35"/>
  <c r="B57" i="35"/>
  <c r="H57" i="35"/>
  <c r="B51" i="35"/>
  <c r="B52" i="27"/>
  <c r="H51" i="35"/>
  <c r="H48" i="35"/>
  <c r="H45" i="35"/>
  <c r="B42" i="35"/>
  <c r="H42" i="35"/>
  <c r="F79" i="35"/>
  <c r="F76" i="35"/>
  <c r="F73" i="35"/>
  <c r="F70" i="35"/>
  <c r="F67" i="35"/>
  <c r="F64" i="35"/>
  <c r="F61" i="35"/>
  <c r="F58" i="35"/>
  <c r="F55" i="35"/>
  <c r="F52" i="35"/>
  <c r="F49" i="35"/>
  <c r="F46" i="35"/>
  <c r="F43" i="35"/>
  <c r="C24" i="35"/>
  <c r="F25" i="35"/>
  <c r="C15" i="35"/>
  <c r="F16" i="35"/>
  <c r="D78" i="35"/>
  <c r="E78" i="35"/>
  <c r="G78" i="35"/>
  <c r="D75" i="35"/>
  <c r="E75" i="35"/>
  <c r="G75" i="35"/>
  <c r="D72" i="35"/>
  <c r="D69" i="35"/>
  <c r="E69" i="35"/>
  <c r="G69" i="35"/>
  <c r="D66" i="35"/>
  <c r="E66" i="35"/>
  <c r="G66" i="35"/>
  <c r="D63" i="35"/>
  <c r="E63" i="35"/>
  <c r="G63" i="35"/>
  <c r="D60" i="35"/>
  <c r="E60" i="35"/>
  <c r="G60" i="35"/>
  <c r="D57" i="35"/>
  <c r="D51" i="35"/>
  <c r="E51" i="35"/>
  <c r="G51" i="35"/>
  <c r="D42" i="35"/>
  <c r="B27" i="35"/>
  <c r="D27" i="35"/>
  <c r="B24" i="35"/>
  <c r="B23" i="38"/>
  <c r="D24" i="35"/>
  <c r="E24" i="35" a="1"/>
  <c r="E24" i="35"/>
  <c r="G24" i="35"/>
  <c r="B21" i="35"/>
  <c r="D21" i="35"/>
  <c r="B18" i="35"/>
  <c r="D18" i="35"/>
  <c r="N10" i="6"/>
  <c r="B15" i="35"/>
  <c r="D15" i="35"/>
  <c r="E15" i="35"/>
  <c r="G15" i="35"/>
  <c r="B12" i="35"/>
  <c r="D12" i="35"/>
  <c r="B9" i="35"/>
  <c r="D9" i="35"/>
  <c r="AA246" i="34"/>
  <c r="Z246" i="34"/>
  <c r="AA243" i="34"/>
  <c r="Z243" i="34"/>
  <c r="AA237" i="34"/>
  <c r="Z237" i="34"/>
  <c r="AA234" i="34"/>
  <c r="Z234" i="34"/>
  <c r="AA228" i="34"/>
  <c r="Z228" i="34"/>
  <c r="C75" i="34"/>
  <c r="P247" i="34"/>
  <c r="O247" i="34"/>
  <c r="N247" i="34"/>
  <c r="P244" i="34"/>
  <c r="O244" i="34"/>
  <c r="N244" i="34"/>
  <c r="P238" i="34"/>
  <c r="O238" i="34"/>
  <c r="N238" i="34"/>
  <c r="P235" i="34"/>
  <c r="O235" i="34"/>
  <c r="N235" i="34"/>
  <c r="P229" i="34"/>
  <c r="O229" i="34"/>
  <c r="N229" i="34"/>
  <c r="P181" i="34"/>
  <c r="N181" i="34"/>
  <c r="O181" i="34"/>
  <c r="P182" i="34"/>
  <c r="O182" i="34"/>
  <c r="N182" i="34"/>
  <c r="J247" i="34"/>
  <c r="I247" i="34"/>
  <c r="H247" i="34"/>
  <c r="J244" i="34"/>
  <c r="I244" i="34"/>
  <c r="H244" i="34"/>
  <c r="J238" i="34"/>
  <c r="I238" i="34"/>
  <c r="H238" i="34"/>
  <c r="J235" i="34"/>
  <c r="I235" i="34"/>
  <c r="H235" i="34"/>
  <c r="J229" i="34"/>
  <c r="I229" i="34"/>
  <c r="H229" i="34"/>
  <c r="J181" i="34"/>
  <c r="H181" i="34"/>
  <c r="I181" i="34"/>
  <c r="J182" i="34"/>
  <c r="I182" i="34"/>
  <c r="H182" i="34"/>
  <c r="V11" i="34"/>
  <c r="V12" i="34"/>
  <c r="V13" i="34"/>
  <c r="V165" i="34"/>
  <c r="O165" i="34"/>
  <c r="I165" i="34"/>
  <c r="AH156" i="25"/>
  <c r="AH157" i="25"/>
  <c r="AH158" i="25"/>
  <c r="AH159" i="25"/>
  <c r="AH160" i="25"/>
  <c r="AH161" i="25"/>
  <c r="AH162" i="25"/>
  <c r="AH163" i="25"/>
  <c r="AH164" i="25"/>
  <c r="AH165" i="25"/>
  <c r="O246" i="25"/>
  <c r="N246" i="25"/>
  <c r="P246" i="25"/>
  <c r="O247" i="25"/>
  <c r="AH146" i="25"/>
  <c r="AH147" i="25"/>
  <c r="AH148" i="25"/>
  <c r="AH149" i="25"/>
  <c r="AH150" i="25"/>
  <c r="AH151" i="25"/>
  <c r="AH152" i="25"/>
  <c r="AH153" i="25"/>
  <c r="AH154" i="25"/>
  <c r="AH155" i="25"/>
  <c r="O243" i="25"/>
  <c r="N243" i="25"/>
  <c r="P243" i="25"/>
  <c r="O244" i="25"/>
  <c r="AH136" i="25"/>
  <c r="AH137" i="25"/>
  <c r="AH138" i="25"/>
  <c r="AH139" i="25"/>
  <c r="AH140" i="25"/>
  <c r="AH144" i="25"/>
  <c r="AH145" i="25"/>
  <c r="AH126" i="25"/>
  <c r="AH127" i="25"/>
  <c r="AH128" i="25"/>
  <c r="AH129" i="25"/>
  <c r="AH130" i="25"/>
  <c r="AH131" i="25"/>
  <c r="AH132" i="25"/>
  <c r="AH133" i="25"/>
  <c r="AH134" i="25"/>
  <c r="AH135" i="25"/>
  <c r="O237" i="25"/>
  <c r="N237" i="25"/>
  <c r="P237" i="25"/>
  <c r="O238" i="25"/>
  <c r="L115" i="25"/>
  <c r="O115" i="25"/>
  <c r="AH116" i="25"/>
  <c r="L116" i="25"/>
  <c r="O116" i="25"/>
  <c r="AH117" i="25"/>
  <c r="L117" i="25"/>
  <c r="O117" i="25"/>
  <c r="AH118" i="25"/>
  <c r="L118" i="25"/>
  <c r="O118" i="25"/>
  <c r="AH119" i="25"/>
  <c r="L119" i="25"/>
  <c r="O119" i="25"/>
  <c r="AH120" i="25"/>
  <c r="L120" i="25"/>
  <c r="O120" i="25"/>
  <c r="AH121" i="25"/>
  <c r="L121" i="25"/>
  <c r="O121" i="25"/>
  <c r="AH122" i="25"/>
  <c r="L122" i="25"/>
  <c r="O122" i="25"/>
  <c r="AH123" i="25"/>
  <c r="L123" i="25"/>
  <c r="O123" i="25"/>
  <c r="AH124" i="25"/>
  <c r="L124" i="25"/>
  <c r="O124" i="25"/>
  <c r="AH125" i="25"/>
  <c r="O234" i="25"/>
  <c r="M115" i="25"/>
  <c r="N116" i="25"/>
  <c r="AG116" i="25"/>
  <c r="M116" i="25"/>
  <c r="N117" i="25"/>
  <c r="AG117" i="25"/>
  <c r="M117" i="25"/>
  <c r="N118" i="25"/>
  <c r="AG118" i="25"/>
  <c r="M118" i="25"/>
  <c r="N119" i="25"/>
  <c r="AG119" i="25"/>
  <c r="M119" i="25"/>
  <c r="N120" i="25"/>
  <c r="AG120" i="25"/>
  <c r="M120" i="25"/>
  <c r="N121" i="25"/>
  <c r="AG121" i="25"/>
  <c r="M121" i="25"/>
  <c r="N122" i="25"/>
  <c r="AG122" i="25"/>
  <c r="M122" i="25"/>
  <c r="N123" i="25"/>
  <c r="AG123" i="25"/>
  <c r="M123" i="25"/>
  <c r="N124" i="25"/>
  <c r="AG124" i="25"/>
  <c r="M124" i="25"/>
  <c r="N125" i="25"/>
  <c r="AG125" i="25"/>
  <c r="N234" i="25"/>
  <c r="K116" i="25"/>
  <c r="P116" i="25"/>
  <c r="AI116" i="25"/>
  <c r="K117" i="25"/>
  <c r="P117" i="25"/>
  <c r="AI117" i="25"/>
  <c r="K118" i="25"/>
  <c r="P118" i="25"/>
  <c r="AI118" i="25"/>
  <c r="K119" i="25"/>
  <c r="P119" i="25"/>
  <c r="AI119" i="25"/>
  <c r="K120" i="25"/>
  <c r="P120" i="25"/>
  <c r="AI120" i="25"/>
  <c r="K121" i="25"/>
  <c r="P121" i="25"/>
  <c r="AI121" i="25"/>
  <c r="K122" i="25"/>
  <c r="P122" i="25"/>
  <c r="AI122" i="25"/>
  <c r="K123" i="25"/>
  <c r="P123" i="25"/>
  <c r="AI123" i="25"/>
  <c r="K124" i="25"/>
  <c r="P124" i="25"/>
  <c r="AI124" i="25"/>
  <c r="K125" i="25"/>
  <c r="P125" i="25"/>
  <c r="AI125" i="25"/>
  <c r="P234" i="25"/>
  <c r="O235" i="25"/>
  <c r="L105" i="25"/>
  <c r="O105" i="25"/>
  <c r="AH106" i="25"/>
  <c r="L106" i="25"/>
  <c r="O106" i="25"/>
  <c r="AH107" i="25"/>
  <c r="L107" i="25"/>
  <c r="O107" i="25"/>
  <c r="AH108" i="25"/>
  <c r="L108" i="25"/>
  <c r="O108" i="25"/>
  <c r="AH109" i="25"/>
  <c r="L109" i="25"/>
  <c r="O109" i="25"/>
  <c r="AH110" i="25"/>
  <c r="L110" i="25"/>
  <c r="O110" i="25"/>
  <c r="AH111" i="25"/>
  <c r="L111" i="25"/>
  <c r="O111" i="25"/>
  <c r="AH112" i="25"/>
  <c r="L112" i="25"/>
  <c r="O112" i="25"/>
  <c r="AH113" i="25"/>
  <c r="L113" i="25"/>
  <c r="O113" i="25"/>
  <c r="AH114" i="25"/>
  <c r="L114" i="25"/>
  <c r="O114" i="25"/>
  <c r="AH115" i="25"/>
  <c r="O231" i="25"/>
  <c r="M105" i="25"/>
  <c r="N106" i="25"/>
  <c r="AG106" i="25"/>
  <c r="M106" i="25"/>
  <c r="N107" i="25"/>
  <c r="AG107" i="25"/>
  <c r="M107" i="25"/>
  <c r="N108" i="25"/>
  <c r="AG108" i="25"/>
  <c r="M108" i="25"/>
  <c r="N109" i="25"/>
  <c r="AG109" i="25"/>
  <c r="M109" i="25"/>
  <c r="N110" i="25"/>
  <c r="AG110" i="25"/>
  <c r="M110" i="25"/>
  <c r="N111" i="25"/>
  <c r="AG111" i="25"/>
  <c r="M111" i="25"/>
  <c r="N112" i="25"/>
  <c r="AG112" i="25"/>
  <c r="M112" i="25"/>
  <c r="N113" i="25"/>
  <c r="AG113" i="25"/>
  <c r="M113" i="25"/>
  <c r="N114" i="25"/>
  <c r="AG114" i="25"/>
  <c r="M114" i="25"/>
  <c r="N115" i="25"/>
  <c r="AG115" i="25"/>
  <c r="N231" i="25"/>
  <c r="K106" i="25"/>
  <c r="P106" i="25"/>
  <c r="AI106" i="25"/>
  <c r="K107" i="25"/>
  <c r="P107" i="25"/>
  <c r="AI107" i="25"/>
  <c r="K108" i="25"/>
  <c r="P108" i="25"/>
  <c r="AI108" i="25"/>
  <c r="K109" i="25"/>
  <c r="P109" i="25"/>
  <c r="AI109" i="25"/>
  <c r="K110" i="25"/>
  <c r="P110" i="25"/>
  <c r="AI110" i="25"/>
  <c r="K111" i="25"/>
  <c r="P111" i="25"/>
  <c r="AI111" i="25"/>
  <c r="K112" i="25"/>
  <c r="P112" i="25"/>
  <c r="AI112" i="25"/>
  <c r="K113" i="25"/>
  <c r="P113" i="25"/>
  <c r="AI113" i="25"/>
  <c r="K114" i="25"/>
  <c r="P114" i="25"/>
  <c r="AI114" i="25"/>
  <c r="K115" i="25"/>
  <c r="P115" i="25"/>
  <c r="AI115" i="25"/>
  <c r="P231" i="25"/>
  <c r="O232" i="25"/>
  <c r="O228" i="25"/>
  <c r="N228" i="25"/>
  <c r="P228" i="25"/>
  <c r="O229" i="25"/>
  <c r="O219" i="25"/>
  <c r="N219" i="25"/>
  <c r="P219" i="25"/>
  <c r="O220" i="25"/>
  <c r="O213" i="25"/>
  <c r="N213" i="25"/>
  <c r="P213" i="25"/>
  <c r="O214" i="25"/>
  <c r="M75" i="25"/>
  <c r="L75" i="25"/>
  <c r="N76" i="25"/>
  <c r="AG76" i="25"/>
  <c r="M76" i="25"/>
  <c r="L76" i="25"/>
  <c r="N77" i="25"/>
  <c r="AG77" i="25"/>
  <c r="M77" i="25"/>
  <c r="L77" i="25"/>
  <c r="N78" i="25"/>
  <c r="AG78" i="25"/>
  <c r="M78" i="25"/>
  <c r="L78" i="25"/>
  <c r="N79" i="25"/>
  <c r="AG79" i="25"/>
  <c r="M79" i="25"/>
  <c r="L79" i="25"/>
  <c r="N80" i="25"/>
  <c r="AG80" i="25"/>
  <c r="M80" i="25"/>
  <c r="L80" i="25"/>
  <c r="N81" i="25"/>
  <c r="AG81" i="25"/>
  <c r="M81" i="25"/>
  <c r="L81" i="25"/>
  <c r="N82" i="25"/>
  <c r="AG82" i="25"/>
  <c r="M82" i="25"/>
  <c r="L82" i="25"/>
  <c r="N83" i="25"/>
  <c r="AG83" i="25"/>
  <c r="M83" i="25"/>
  <c r="L83" i="25"/>
  <c r="N84" i="25"/>
  <c r="AG84" i="25"/>
  <c r="M84" i="25"/>
  <c r="L84" i="25"/>
  <c r="N85" i="25"/>
  <c r="AG85" i="25"/>
  <c r="M85" i="25"/>
  <c r="L85" i="25"/>
  <c r="N86" i="25"/>
  <c r="AG86" i="25"/>
  <c r="M86" i="25"/>
  <c r="L86" i="25"/>
  <c r="N87" i="25"/>
  <c r="AG87" i="25"/>
  <c r="M87" i="25"/>
  <c r="L87" i="25"/>
  <c r="N88" i="25"/>
  <c r="AG88" i="25"/>
  <c r="M88" i="25"/>
  <c r="L88" i="25"/>
  <c r="N89" i="25"/>
  <c r="AG89" i="25"/>
  <c r="M89" i="25"/>
  <c r="L89" i="25"/>
  <c r="N90" i="25"/>
  <c r="AG90" i="25"/>
  <c r="M90" i="25"/>
  <c r="L90" i="25"/>
  <c r="N91" i="25"/>
  <c r="AG91" i="25"/>
  <c r="M91" i="25"/>
  <c r="L91" i="25"/>
  <c r="N92" i="25"/>
  <c r="AG92" i="25"/>
  <c r="M92" i="25"/>
  <c r="L92" i="25"/>
  <c r="N93" i="25"/>
  <c r="AG93" i="25"/>
  <c r="M93" i="25"/>
  <c r="L93" i="25"/>
  <c r="N94" i="25"/>
  <c r="AG94" i="25"/>
  <c r="M94" i="25"/>
  <c r="L94" i="25"/>
  <c r="N95" i="25"/>
  <c r="AG95" i="25"/>
  <c r="M95" i="25"/>
  <c r="L95" i="25"/>
  <c r="N96" i="25"/>
  <c r="AG96" i="25"/>
  <c r="M96" i="25"/>
  <c r="L96" i="25"/>
  <c r="N97" i="25"/>
  <c r="AG97" i="25"/>
  <c r="M97" i="25"/>
  <c r="L97" i="25"/>
  <c r="N98" i="25"/>
  <c r="AG98" i="25"/>
  <c r="M98" i="25"/>
  <c r="L98" i="25"/>
  <c r="N99" i="25"/>
  <c r="AG99" i="25"/>
  <c r="M99" i="25"/>
  <c r="L99" i="25"/>
  <c r="N100" i="25"/>
  <c r="AG100" i="25"/>
  <c r="M100" i="25"/>
  <c r="L100" i="25"/>
  <c r="N101" i="25"/>
  <c r="AG101" i="25"/>
  <c r="M101" i="25"/>
  <c r="L101" i="25"/>
  <c r="N102" i="25"/>
  <c r="AG102" i="25"/>
  <c r="M103" i="25"/>
  <c r="L103" i="25"/>
  <c r="N104" i="25"/>
  <c r="AG104" i="25"/>
  <c r="M104" i="25"/>
  <c r="L104" i="25"/>
  <c r="N105" i="25"/>
  <c r="AG105" i="25"/>
  <c r="O75" i="25"/>
  <c r="AH76" i="25"/>
  <c r="O76" i="25"/>
  <c r="AH77" i="25"/>
  <c r="O77" i="25"/>
  <c r="AH78" i="25"/>
  <c r="O78" i="25"/>
  <c r="AH79" i="25"/>
  <c r="O79" i="25"/>
  <c r="AH80" i="25"/>
  <c r="O80" i="25"/>
  <c r="AH81" i="25"/>
  <c r="O81" i="25"/>
  <c r="AH82" i="25"/>
  <c r="O82" i="25"/>
  <c r="AH83" i="25"/>
  <c r="O83" i="25"/>
  <c r="AH84" i="25"/>
  <c r="O84" i="25"/>
  <c r="AH85" i="25"/>
  <c r="O85" i="25"/>
  <c r="AH86" i="25"/>
  <c r="O86" i="25"/>
  <c r="AH87" i="25"/>
  <c r="O87" i="25"/>
  <c r="AH88" i="25"/>
  <c r="O88" i="25"/>
  <c r="AH89" i="25"/>
  <c r="O89" i="25"/>
  <c r="AH90" i="25"/>
  <c r="O90" i="25"/>
  <c r="AH91" i="25"/>
  <c r="O91" i="25"/>
  <c r="AH92" i="25"/>
  <c r="O92" i="25"/>
  <c r="AH93" i="25"/>
  <c r="O93" i="25"/>
  <c r="AH94" i="25"/>
  <c r="O94" i="25"/>
  <c r="AH95" i="25"/>
  <c r="O95" i="25"/>
  <c r="AH96" i="25"/>
  <c r="O96" i="25"/>
  <c r="AH97" i="25"/>
  <c r="O97" i="25"/>
  <c r="AH98" i="25"/>
  <c r="O98" i="25"/>
  <c r="AH99" i="25"/>
  <c r="O99" i="25"/>
  <c r="AH100" i="25"/>
  <c r="O100" i="25"/>
  <c r="AH101" i="25"/>
  <c r="O101" i="25"/>
  <c r="AH102" i="25"/>
  <c r="O103" i="25"/>
  <c r="AH104" i="25"/>
  <c r="O104" i="25"/>
  <c r="AH105" i="25"/>
  <c r="K76" i="25"/>
  <c r="P76" i="25"/>
  <c r="AI76" i="25"/>
  <c r="K77" i="25"/>
  <c r="P77" i="25"/>
  <c r="AI77" i="25"/>
  <c r="K78" i="25"/>
  <c r="P78" i="25"/>
  <c r="AI78" i="25"/>
  <c r="K79" i="25"/>
  <c r="P79" i="25"/>
  <c r="AI79" i="25"/>
  <c r="K80" i="25"/>
  <c r="P80" i="25"/>
  <c r="AI80" i="25"/>
  <c r="K81" i="25"/>
  <c r="P81" i="25"/>
  <c r="AI81" i="25"/>
  <c r="K82" i="25"/>
  <c r="P82" i="25"/>
  <c r="AI82" i="25"/>
  <c r="K83" i="25"/>
  <c r="P83" i="25"/>
  <c r="AI83" i="25"/>
  <c r="K84" i="25"/>
  <c r="P84" i="25"/>
  <c r="AI84" i="25"/>
  <c r="K85" i="25"/>
  <c r="P85" i="25"/>
  <c r="AI85" i="25"/>
  <c r="K86" i="25"/>
  <c r="P86" i="25"/>
  <c r="AI86" i="25"/>
  <c r="K87" i="25"/>
  <c r="P87" i="25"/>
  <c r="AI87" i="25"/>
  <c r="K88" i="25"/>
  <c r="P88" i="25"/>
  <c r="AI88" i="25"/>
  <c r="K89" i="25"/>
  <c r="P89" i="25"/>
  <c r="AI89" i="25"/>
  <c r="K90" i="25"/>
  <c r="P90" i="25"/>
  <c r="AI90" i="25"/>
  <c r="K91" i="25"/>
  <c r="P91" i="25"/>
  <c r="AI91" i="25"/>
  <c r="K92" i="25"/>
  <c r="P92" i="25"/>
  <c r="AI92" i="25"/>
  <c r="K93" i="25"/>
  <c r="P93" i="25"/>
  <c r="AI93" i="25"/>
  <c r="K94" i="25"/>
  <c r="P94" i="25"/>
  <c r="AI94" i="25"/>
  <c r="K95" i="25"/>
  <c r="P95" i="25"/>
  <c r="AI95" i="25"/>
  <c r="K96" i="25"/>
  <c r="P96" i="25"/>
  <c r="AI96" i="25"/>
  <c r="K97" i="25"/>
  <c r="P97" i="25"/>
  <c r="AI97" i="25"/>
  <c r="K98" i="25"/>
  <c r="P98" i="25"/>
  <c r="AI98" i="25"/>
  <c r="K99" i="25"/>
  <c r="P99" i="25"/>
  <c r="AI99" i="25"/>
  <c r="K100" i="25"/>
  <c r="P100" i="25"/>
  <c r="AI100" i="25"/>
  <c r="K101" i="25"/>
  <c r="P101" i="25"/>
  <c r="AI101" i="25"/>
  <c r="K104" i="25"/>
  <c r="P104" i="25"/>
  <c r="AI104" i="25"/>
  <c r="K105" i="25"/>
  <c r="P105" i="25"/>
  <c r="AI105" i="25"/>
  <c r="C178" i="25"/>
  <c r="C175" i="25"/>
  <c r="C172" i="25"/>
  <c r="S246" i="25"/>
  <c r="S243" i="25"/>
  <c r="S237" i="25"/>
  <c r="S234" i="25"/>
  <c r="S231" i="25"/>
  <c r="S228" i="25"/>
  <c r="S219" i="25"/>
  <c r="S213" i="25"/>
  <c r="C207" i="25"/>
  <c r="J247" i="25"/>
  <c r="I247" i="25"/>
  <c r="H247" i="25"/>
  <c r="J244" i="25"/>
  <c r="I244" i="25"/>
  <c r="H244" i="25"/>
  <c r="J238" i="25"/>
  <c r="I238" i="25"/>
  <c r="H238" i="25"/>
  <c r="J235" i="25"/>
  <c r="I235" i="25"/>
  <c r="H235" i="25"/>
  <c r="J232" i="25"/>
  <c r="I232" i="25"/>
  <c r="H232" i="25"/>
  <c r="J229" i="25"/>
  <c r="I229" i="25"/>
  <c r="H229" i="25"/>
  <c r="J220" i="25"/>
  <c r="I220" i="25"/>
  <c r="H220" i="25"/>
  <c r="J214" i="25"/>
  <c r="I214" i="25"/>
  <c r="H214" i="25"/>
  <c r="C68" i="25"/>
  <c r="H181" i="25"/>
  <c r="I181" i="25"/>
  <c r="C181" i="25"/>
  <c r="J181" i="25"/>
  <c r="S181" i="25"/>
  <c r="C169" i="25"/>
  <c r="J182" i="25"/>
  <c r="I182" i="25"/>
  <c r="H182" i="25"/>
  <c r="O165" i="25"/>
  <c r="I165" i="25"/>
  <c r="C10" i="32"/>
  <c r="C11" i="32"/>
  <c r="C12" i="32"/>
  <c r="C13" i="32"/>
  <c r="C14" i="32"/>
  <c r="C15" i="32"/>
  <c r="C16" i="32"/>
  <c r="C17" i="32"/>
  <c r="C18" i="32"/>
  <c r="C19" i="32"/>
  <c r="C20" i="32"/>
  <c r="C21" i="32"/>
  <c r="C22" i="32"/>
  <c r="C23" i="32"/>
  <c r="I165" i="48"/>
  <c r="I166" i="48"/>
  <c r="I167" i="48"/>
  <c r="I168" i="48"/>
  <c r="AS72" i="4"/>
  <c r="AS73" i="4"/>
  <c r="AS74" i="4"/>
  <c r="AS75" i="4"/>
  <c r="AS76" i="4"/>
  <c r="AS77" i="4"/>
  <c r="AS78" i="4"/>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S136" i="30"/>
  <c r="S137" i="30"/>
  <c r="S138" i="30"/>
  <c r="S139" i="30"/>
  <c r="S140" i="30"/>
  <c r="S141" i="30"/>
  <c r="S142" i="30"/>
  <c r="S143" i="30"/>
  <c r="S144" i="30"/>
  <c r="S145" i="30"/>
  <c r="S146" i="30"/>
  <c r="S147" i="30"/>
  <c r="S148" i="30"/>
  <c r="S149" i="30"/>
  <c r="S150" i="30"/>
  <c r="S151" i="30"/>
  <c r="S152" i="30"/>
  <c r="S153" i="30"/>
  <c r="S154" i="30"/>
  <c r="S155" i="30"/>
  <c r="S156" i="30"/>
  <c r="S157" i="30"/>
  <c r="S158" i="30"/>
  <c r="S159" i="30"/>
  <c r="S160" i="30"/>
  <c r="S161" i="30"/>
  <c r="S162" i="30"/>
  <c r="S163" i="30"/>
  <c r="S164" i="30"/>
  <c r="S165" i="30"/>
  <c r="S166" i="30"/>
  <c r="S167" i="30"/>
  <c r="S168" i="30"/>
  <c r="S169" i="30"/>
  <c r="W170" i="30"/>
  <c r="K69" i="30"/>
  <c r="N69" i="30"/>
  <c r="AB68" i="30"/>
  <c r="J13" i="16"/>
  <c r="K13" i="16"/>
  <c r="Q13" i="16"/>
  <c r="S13" i="16"/>
  <c r="U13" i="16"/>
  <c r="J48" i="16"/>
  <c r="K48" i="16"/>
  <c r="Q48" i="16"/>
  <c r="S48" i="16"/>
  <c r="U48" i="16"/>
  <c r="J49" i="16"/>
  <c r="K49" i="16"/>
  <c r="Q49" i="16"/>
  <c r="S49" i="16"/>
  <c r="U49" i="16"/>
  <c r="J50" i="16"/>
  <c r="K50" i="16"/>
  <c r="Q50" i="16"/>
  <c r="S50" i="16"/>
  <c r="U50" i="16"/>
  <c r="J51" i="16"/>
  <c r="K51" i="16"/>
  <c r="Q51" i="16"/>
  <c r="S51" i="16"/>
  <c r="U51" i="16"/>
  <c r="J52" i="16"/>
  <c r="K52" i="16"/>
  <c r="Q52" i="16"/>
  <c r="S52" i="16"/>
  <c r="U52" i="16"/>
  <c r="J53" i="16"/>
  <c r="K53" i="16"/>
  <c r="Q53" i="16"/>
  <c r="S53" i="16"/>
  <c r="U53" i="16"/>
  <c r="J54" i="16"/>
  <c r="K54" i="16"/>
  <c r="Q54" i="16"/>
  <c r="S54" i="16"/>
  <c r="U54" i="16"/>
  <c r="J55" i="16"/>
  <c r="K55" i="16"/>
  <c r="Q55" i="16"/>
  <c r="S55" i="16"/>
  <c r="U55" i="16"/>
  <c r="J56" i="16"/>
  <c r="K56" i="16"/>
  <c r="Q56" i="16"/>
  <c r="S56" i="16"/>
  <c r="U56" i="16"/>
  <c r="J57" i="16"/>
  <c r="K57" i="16"/>
  <c r="Q57" i="16"/>
  <c r="S57" i="16"/>
  <c r="U57" i="16"/>
  <c r="J58" i="16"/>
  <c r="K58" i="16"/>
  <c r="Q58" i="16"/>
  <c r="S58" i="16"/>
  <c r="U58" i="16"/>
  <c r="J59" i="16"/>
  <c r="K59" i="16"/>
  <c r="Q59" i="16"/>
  <c r="S59" i="16"/>
  <c r="U59" i="16"/>
  <c r="J60" i="16"/>
  <c r="K60" i="16"/>
  <c r="Q60" i="16"/>
  <c r="S60" i="16"/>
  <c r="U60" i="16"/>
  <c r="J61" i="16"/>
  <c r="K61" i="16"/>
  <c r="Q61" i="16"/>
  <c r="S61" i="16"/>
  <c r="U61" i="16"/>
  <c r="J62" i="16"/>
  <c r="K62" i="16"/>
  <c r="Q62" i="16"/>
  <c r="S62" i="16"/>
  <c r="U62" i="16"/>
  <c r="J63" i="16"/>
  <c r="K63" i="16"/>
  <c r="Q63" i="16"/>
  <c r="S63" i="16"/>
  <c r="U63" i="16"/>
  <c r="J64" i="16"/>
  <c r="K64" i="16"/>
  <c r="Q64" i="16"/>
  <c r="S64" i="16"/>
  <c r="U64" i="16"/>
  <c r="J65" i="16"/>
  <c r="K65" i="16"/>
  <c r="Q65" i="16"/>
  <c r="S65" i="16"/>
  <c r="U65" i="16"/>
  <c r="J66" i="16"/>
  <c r="K66" i="16"/>
  <c r="Q66" i="16"/>
  <c r="S66" i="16"/>
  <c r="U66" i="16"/>
  <c r="J67" i="16"/>
  <c r="K67" i="16"/>
  <c r="Q67" i="16"/>
  <c r="S67" i="16"/>
  <c r="U67" i="16"/>
  <c r="J68" i="16"/>
  <c r="K68" i="16"/>
  <c r="Q68" i="16"/>
  <c r="S68" i="16"/>
  <c r="U68" i="16"/>
  <c r="J69" i="16"/>
  <c r="K69" i="16"/>
  <c r="Q69" i="16"/>
  <c r="S69" i="16"/>
  <c r="U69" i="16"/>
  <c r="J70" i="16"/>
  <c r="K70" i="16"/>
  <c r="Q70" i="16"/>
  <c r="S70" i="16"/>
  <c r="U70" i="16"/>
  <c r="J71" i="16"/>
  <c r="K71" i="16"/>
  <c r="Q71" i="16"/>
  <c r="S71" i="16"/>
  <c r="U71" i="16"/>
  <c r="C72" i="16"/>
  <c r="D72" i="16"/>
  <c r="C69" i="14"/>
  <c r="F72" i="16"/>
  <c r="G72" i="16"/>
  <c r="B72" i="16"/>
  <c r="R72" i="16"/>
  <c r="J72" i="16"/>
  <c r="K72" i="16"/>
  <c r="Q72" i="16"/>
  <c r="S72" i="16"/>
  <c r="U72" i="16"/>
  <c r="C73" i="16"/>
  <c r="D73" i="16"/>
  <c r="C70" i="14"/>
  <c r="F73" i="16"/>
  <c r="G73" i="16"/>
  <c r="B73" i="16"/>
  <c r="R73" i="16"/>
  <c r="J73" i="16"/>
  <c r="K73" i="16"/>
  <c r="Q73" i="16"/>
  <c r="S73" i="16"/>
  <c r="U73" i="16"/>
  <c r="C74" i="16"/>
  <c r="D74" i="16"/>
  <c r="C71" i="14"/>
  <c r="F74" i="16"/>
  <c r="G74" i="16"/>
  <c r="B74" i="16"/>
  <c r="R74" i="16"/>
  <c r="J74" i="16"/>
  <c r="K74" i="16"/>
  <c r="Q74" i="16"/>
  <c r="S74" i="16"/>
  <c r="U74" i="16"/>
  <c r="C75" i="16"/>
  <c r="D75" i="16"/>
  <c r="C72" i="14"/>
  <c r="F75" i="16"/>
  <c r="G75" i="16"/>
  <c r="B75" i="16"/>
  <c r="R75" i="16"/>
  <c r="J75" i="16"/>
  <c r="K75" i="16"/>
  <c r="Q75" i="16"/>
  <c r="S75" i="16"/>
  <c r="U75" i="16"/>
  <c r="C76" i="16"/>
  <c r="D76" i="16"/>
  <c r="C73" i="14"/>
  <c r="F76" i="16"/>
  <c r="G76" i="16"/>
  <c r="B76" i="16"/>
  <c r="R76" i="16"/>
  <c r="J76" i="16"/>
  <c r="K76" i="16"/>
  <c r="Q76" i="16"/>
  <c r="S76" i="16"/>
  <c r="U76" i="16"/>
  <c r="C77" i="16"/>
  <c r="D77" i="16"/>
  <c r="C74" i="14"/>
  <c r="F77" i="16"/>
  <c r="G77" i="16"/>
  <c r="B77" i="16"/>
  <c r="R77" i="16"/>
  <c r="J77" i="16"/>
  <c r="K77" i="16"/>
  <c r="Q77" i="16"/>
  <c r="S77" i="16"/>
  <c r="U77" i="16"/>
  <c r="J78" i="16"/>
  <c r="K78" i="16"/>
  <c r="Q78" i="16"/>
  <c r="S78" i="16"/>
  <c r="U78" i="16"/>
  <c r="J79" i="16"/>
  <c r="K79" i="16"/>
  <c r="Q79" i="16"/>
  <c r="S79" i="16"/>
  <c r="U79" i="16"/>
  <c r="J80" i="16"/>
  <c r="K80" i="16"/>
  <c r="Q80" i="16"/>
  <c r="S80" i="16"/>
  <c r="U80" i="16"/>
  <c r="J81" i="16"/>
  <c r="K81" i="16"/>
  <c r="Q81" i="16"/>
  <c r="S81" i="16"/>
  <c r="U81" i="16"/>
  <c r="J82" i="16"/>
  <c r="K82" i="16"/>
  <c r="Q82" i="16"/>
  <c r="S82" i="16"/>
  <c r="U82" i="16"/>
  <c r="J83" i="16"/>
  <c r="K83" i="16"/>
  <c r="Q83" i="16"/>
  <c r="S83" i="16"/>
  <c r="U83" i="16"/>
  <c r="J84" i="16"/>
  <c r="K84" i="16"/>
  <c r="Q84" i="16"/>
  <c r="S84" i="16"/>
  <c r="U84" i="16"/>
  <c r="J85" i="16"/>
  <c r="K85" i="16"/>
  <c r="Q85" i="16"/>
  <c r="S85" i="16"/>
  <c r="U85" i="16"/>
  <c r="J86" i="16"/>
  <c r="K86" i="16"/>
  <c r="Q86" i="16"/>
  <c r="S86" i="16"/>
  <c r="U86" i="16"/>
  <c r="J87" i="16"/>
  <c r="K87" i="16"/>
  <c r="Q87" i="16"/>
  <c r="S87" i="16"/>
  <c r="U87" i="16"/>
  <c r="J88" i="16"/>
  <c r="K88" i="16"/>
  <c r="Q88" i="16"/>
  <c r="S88" i="16"/>
  <c r="U88" i="16"/>
  <c r="J89" i="16"/>
  <c r="K89" i="16"/>
  <c r="Q89" i="16"/>
  <c r="S89" i="16"/>
  <c r="U89" i="16"/>
  <c r="J90" i="16"/>
  <c r="K90" i="16"/>
  <c r="Q90" i="16"/>
  <c r="S90" i="16"/>
  <c r="U90" i="16"/>
  <c r="J91" i="16"/>
  <c r="K91" i="16"/>
  <c r="Q91" i="16"/>
  <c r="S91" i="16"/>
  <c r="U91" i="16"/>
  <c r="J92" i="16"/>
  <c r="K92" i="16"/>
  <c r="Q92" i="16"/>
  <c r="S92" i="16"/>
  <c r="U92" i="16"/>
  <c r="J93" i="16"/>
  <c r="K93" i="16"/>
  <c r="Q93" i="16"/>
  <c r="S93" i="16"/>
  <c r="U93" i="16"/>
  <c r="J94" i="16"/>
  <c r="K94" i="16"/>
  <c r="Q94" i="16"/>
  <c r="S94" i="16"/>
  <c r="U94" i="16"/>
  <c r="J95" i="16"/>
  <c r="K95" i="16"/>
  <c r="Q95" i="16"/>
  <c r="S95" i="16"/>
  <c r="U95" i="16"/>
  <c r="J96" i="16"/>
  <c r="K96" i="16"/>
  <c r="Q96" i="16"/>
  <c r="S96" i="16"/>
  <c r="U96" i="16"/>
  <c r="J97" i="16"/>
  <c r="K97" i="16"/>
  <c r="Q97" i="16"/>
  <c r="S97" i="16"/>
  <c r="U97" i="16"/>
  <c r="J98" i="16"/>
  <c r="K98" i="16"/>
  <c r="Q98" i="16"/>
  <c r="S98" i="16"/>
  <c r="U98" i="16"/>
  <c r="J99" i="16"/>
  <c r="K99" i="16"/>
  <c r="Q99" i="16"/>
  <c r="S99" i="16"/>
  <c r="U99" i="16"/>
  <c r="J100" i="16"/>
  <c r="K100" i="16"/>
  <c r="Q100" i="16"/>
  <c r="S100" i="16"/>
  <c r="U100" i="16"/>
  <c r="J101" i="16"/>
  <c r="K101" i="16"/>
  <c r="Q101" i="16"/>
  <c r="S101" i="16"/>
  <c r="U101" i="16"/>
  <c r="J102" i="16"/>
  <c r="K102" i="16"/>
  <c r="Q102" i="16"/>
  <c r="S102" i="16"/>
  <c r="U102" i="16"/>
  <c r="J103" i="16"/>
  <c r="K103" i="16"/>
  <c r="Q103" i="16"/>
  <c r="S103" i="16"/>
  <c r="U103" i="16"/>
  <c r="J104" i="16"/>
  <c r="K104" i="16"/>
  <c r="Q104" i="16"/>
  <c r="S104" i="16"/>
  <c r="U104" i="16"/>
  <c r="J105" i="16"/>
  <c r="K105" i="16"/>
  <c r="Q105" i="16"/>
  <c r="S105" i="16"/>
  <c r="U105" i="16"/>
  <c r="J107" i="16"/>
  <c r="K107" i="16"/>
  <c r="L107" i="16"/>
  <c r="O107" i="16"/>
  <c r="H107" i="16"/>
  <c r="Q107" i="16"/>
  <c r="S107" i="16"/>
  <c r="U107" i="16"/>
  <c r="J108" i="16"/>
  <c r="K108" i="16"/>
  <c r="L108" i="16"/>
  <c r="O108" i="16"/>
  <c r="H108" i="16"/>
  <c r="Q108" i="16"/>
  <c r="S108" i="16"/>
  <c r="U108" i="16"/>
  <c r="J109" i="16"/>
  <c r="K109" i="16"/>
  <c r="L109" i="16"/>
  <c r="O109" i="16"/>
  <c r="H109" i="16"/>
  <c r="Q109" i="16"/>
  <c r="S109" i="16"/>
  <c r="U109" i="16"/>
  <c r="J110" i="16"/>
  <c r="K110" i="16"/>
  <c r="L110" i="16"/>
  <c r="O110" i="16"/>
  <c r="H110" i="16"/>
  <c r="Q110" i="16"/>
  <c r="S110" i="16"/>
  <c r="U110" i="16"/>
  <c r="J111" i="16"/>
  <c r="K111" i="16"/>
  <c r="L111" i="16"/>
  <c r="O111" i="16"/>
  <c r="H111" i="16"/>
  <c r="Q111" i="16"/>
  <c r="S111" i="16"/>
  <c r="U111" i="16"/>
  <c r="J112" i="16"/>
  <c r="K112" i="16"/>
  <c r="L112" i="16"/>
  <c r="O112" i="16"/>
  <c r="H112" i="16"/>
  <c r="Q112" i="16"/>
  <c r="S112" i="16"/>
  <c r="U112"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7" i="16"/>
  <c r="P108" i="16"/>
  <c r="P109" i="16"/>
  <c r="P110" i="16"/>
  <c r="P111" i="16"/>
  <c r="P112" i="16"/>
  <c r="J113" i="16"/>
  <c r="K113" i="16"/>
  <c r="L113" i="16"/>
  <c r="O113" i="16"/>
  <c r="H113" i="16"/>
  <c r="P113" i="16"/>
  <c r="Q113" i="16"/>
  <c r="S113" i="16"/>
  <c r="J114" i="16"/>
  <c r="K114" i="16"/>
  <c r="L114" i="16"/>
  <c r="O114" i="16"/>
  <c r="H114" i="16"/>
  <c r="P114" i="16"/>
  <c r="Q114" i="16"/>
  <c r="S114" i="16"/>
  <c r="J115" i="16"/>
  <c r="K115" i="16"/>
  <c r="L115" i="16"/>
  <c r="O115" i="16"/>
  <c r="H115" i="16"/>
  <c r="P115" i="16"/>
  <c r="Q115" i="16"/>
  <c r="S115" i="16"/>
  <c r="J116" i="16"/>
  <c r="K116" i="16"/>
  <c r="L116" i="16"/>
  <c r="O116" i="16"/>
  <c r="H116" i="16"/>
  <c r="P116" i="16"/>
  <c r="Q116" i="16"/>
  <c r="S116" i="16"/>
  <c r="J117" i="16"/>
  <c r="K117" i="16"/>
  <c r="L117" i="16"/>
  <c r="O117" i="16"/>
  <c r="H117" i="16"/>
  <c r="P117" i="16"/>
  <c r="Q117" i="16"/>
  <c r="S117" i="16"/>
  <c r="J118" i="16"/>
  <c r="K118" i="16"/>
  <c r="L118" i="16"/>
  <c r="O118" i="16"/>
  <c r="H118" i="16"/>
  <c r="P118" i="16"/>
  <c r="Q118" i="16"/>
  <c r="S118" i="16"/>
  <c r="J119" i="16"/>
  <c r="K119" i="16"/>
  <c r="L119" i="16"/>
  <c r="O119" i="16"/>
  <c r="H119" i="16"/>
  <c r="P119" i="16"/>
  <c r="Q119" i="16"/>
  <c r="S119" i="16"/>
  <c r="J120" i="16"/>
  <c r="K120" i="16"/>
  <c r="L120" i="16"/>
  <c r="O120" i="16"/>
  <c r="H120" i="16"/>
  <c r="P120" i="16"/>
  <c r="Q120" i="16"/>
  <c r="S120" i="16"/>
  <c r="J121" i="16"/>
  <c r="K121" i="16"/>
  <c r="L121" i="16"/>
  <c r="O121" i="16"/>
  <c r="H121" i="16"/>
  <c r="P121" i="16"/>
  <c r="Q121" i="16"/>
  <c r="S121" i="16"/>
  <c r="J122" i="16"/>
  <c r="K122" i="16"/>
  <c r="L122" i="16"/>
  <c r="O122" i="16"/>
  <c r="H122" i="16"/>
  <c r="P122" i="16"/>
  <c r="Q122" i="16"/>
  <c r="S122" i="16"/>
  <c r="J123" i="16"/>
  <c r="K123" i="16"/>
  <c r="L123" i="16"/>
  <c r="O123" i="16"/>
  <c r="H123" i="16"/>
  <c r="P123" i="16"/>
  <c r="Q123" i="16"/>
  <c r="S123" i="16"/>
  <c r="J124" i="16"/>
  <c r="K124" i="16"/>
  <c r="L124" i="16"/>
  <c r="O124" i="16"/>
  <c r="H124" i="16"/>
  <c r="P124" i="16"/>
  <c r="Q124" i="16"/>
  <c r="S124" i="16"/>
  <c r="J125" i="16"/>
  <c r="K125" i="16"/>
  <c r="L125" i="16"/>
  <c r="O125" i="16"/>
  <c r="H125" i="16"/>
  <c r="P125" i="16"/>
  <c r="Q125" i="16"/>
  <c r="S125" i="16"/>
  <c r="J126" i="16"/>
  <c r="K126" i="16"/>
  <c r="L126" i="16"/>
  <c r="O126" i="16"/>
  <c r="H126" i="16"/>
  <c r="P126" i="16"/>
  <c r="Q126" i="16"/>
  <c r="S126" i="16"/>
  <c r="J127" i="16"/>
  <c r="K127" i="16"/>
  <c r="L127" i="16"/>
  <c r="O127" i="16"/>
  <c r="H127" i="16"/>
  <c r="P127" i="16"/>
  <c r="Q127" i="16"/>
  <c r="S127" i="16"/>
  <c r="J128" i="16"/>
  <c r="K128" i="16"/>
  <c r="L128" i="16"/>
  <c r="O128" i="16"/>
  <c r="H128" i="16"/>
  <c r="Q128" i="16"/>
  <c r="S128" i="16"/>
  <c r="J129" i="16"/>
  <c r="K129" i="16"/>
  <c r="L129" i="16"/>
  <c r="O129" i="16"/>
  <c r="H129" i="16"/>
  <c r="Q129" i="16"/>
  <c r="S129" i="16"/>
  <c r="J130" i="16"/>
  <c r="K130" i="16"/>
  <c r="L130" i="16"/>
  <c r="O130" i="16"/>
  <c r="H130" i="16"/>
  <c r="Q130" i="16"/>
  <c r="S130" i="16"/>
  <c r="J131" i="16"/>
  <c r="K131" i="16"/>
  <c r="L131" i="16"/>
  <c r="O131" i="16"/>
  <c r="H131" i="16"/>
  <c r="Q131" i="16"/>
  <c r="S131" i="16"/>
  <c r="J132" i="16"/>
  <c r="K132" i="16"/>
  <c r="L132" i="16"/>
  <c r="O132" i="16"/>
  <c r="H132" i="16"/>
  <c r="Q132" i="16"/>
  <c r="S132" i="16"/>
  <c r="J133" i="16"/>
  <c r="K133" i="16"/>
  <c r="L133" i="16"/>
  <c r="O133" i="16"/>
  <c r="H133" i="16"/>
  <c r="Q133" i="16"/>
  <c r="S133" i="16"/>
  <c r="J134" i="16"/>
  <c r="K134" i="16"/>
  <c r="L134" i="16"/>
  <c r="O134" i="16"/>
  <c r="H134" i="16"/>
  <c r="Q134" i="16"/>
  <c r="S134" i="16"/>
  <c r="J135" i="16"/>
  <c r="K135" i="16"/>
  <c r="L135" i="16"/>
  <c r="O135" i="16"/>
  <c r="H135" i="16"/>
  <c r="Q135" i="16"/>
  <c r="S135" i="16"/>
  <c r="J136" i="16"/>
  <c r="K136" i="16"/>
  <c r="L136" i="16"/>
  <c r="O136" i="16"/>
  <c r="H136" i="16"/>
  <c r="Q136" i="16"/>
  <c r="S136" i="16"/>
  <c r="J137" i="16"/>
  <c r="K137" i="16"/>
  <c r="L137" i="16"/>
  <c r="O137" i="16"/>
  <c r="H137" i="16"/>
  <c r="Q137" i="16"/>
  <c r="S137" i="16"/>
  <c r="J138" i="16"/>
  <c r="K138" i="16"/>
  <c r="L138" i="16"/>
  <c r="O138" i="16"/>
  <c r="H138" i="16"/>
  <c r="Q138" i="16"/>
  <c r="S138" i="16"/>
  <c r="J139" i="16"/>
  <c r="K139" i="16"/>
  <c r="L139" i="16"/>
  <c r="O139" i="16"/>
  <c r="H139" i="16"/>
  <c r="Q139" i="16"/>
  <c r="S139" i="16"/>
  <c r="J140" i="16"/>
  <c r="K140" i="16"/>
  <c r="L140" i="16"/>
  <c r="O140" i="16"/>
  <c r="H140" i="16"/>
  <c r="Q140" i="16"/>
  <c r="S140" i="16"/>
  <c r="J141" i="16"/>
  <c r="K141" i="16"/>
  <c r="L141" i="16"/>
  <c r="O141" i="16"/>
  <c r="H141" i="16"/>
  <c r="Q141" i="16"/>
  <c r="S141" i="16"/>
  <c r="J142" i="16"/>
  <c r="K142" i="16"/>
  <c r="L142" i="16"/>
  <c r="O142" i="16"/>
  <c r="H142" i="16"/>
  <c r="Q142" i="16"/>
  <c r="S142" i="16"/>
  <c r="J143" i="16"/>
  <c r="K143" i="16"/>
  <c r="L143" i="16"/>
  <c r="O143" i="16"/>
  <c r="H143" i="16"/>
  <c r="Q143" i="16"/>
  <c r="S143" i="16"/>
  <c r="J144" i="16"/>
  <c r="K144" i="16"/>
  <c r="L144" i="16"/>
  <c r="O144" i="16"/>
  <c r="H144" i="16"/>
  <c r="Q144" i="16"/>
  <c r="S144" i="16"/>
  <c r="J147" i="16"/>
  <c r="K147" i="16"/>
  <c r="L147" i="16"/>
  <c r="O147" i="16"/>
  <c r="H147" i="16"/>
  <c r="Q147" i="16"/>
  <c r="S147" i="16"/>
  <c r="J148" i="16"/>
  <c r="K148" i="16"/>
  <c r="L148" i="16"/>
  <c r="O148" i="16"/>
  <c r="H148" i="16"/>
  <c r="Q148" i="16"/>
  <c r="S148" i="16"/>
  <c r="J149" i="16"/>
  <c r="K149" i="16"/>
  <c r="L149" i="16"/>
  <c r="O149" i="16"/>
  <c r="H149" i="16"/>
  <c r="Q149" i="16"/>
  <c r="S149" i="16"/>
  <c r="J150" i="16"/>
  <c r="K150" i="16"/>
  <c r="L150" i="16"/>
  <c r="O150" i="16"/>
  <c r="H150" i="16"/>
  <c r="Q150" i="16"/>
  <c r="S150" i="16"/>
  <c r="J151" i="16"/>
  <c r="K151" i="16"/>
  <c r="L151" i="16"/>
  <c r="O151" i="16"/>
  <c r="H151" i="16"/>
  <c r="Q151" i="16"/>
  <c r="S151" i="16"/>
  <c r="J152" i="16"/>
  <c r="K152" i="16"/>
  <c r="L152" i="16"/>
  <c r="O152" i="16"/>
  <c r="H152" i="16"/>
  <c r="Q152" i="16"/>
  <c r="S152" i="16"/>
  <c r="J153" i="16"/>
  <c r="K153" i="16"/>
  <c r="L153" i="16"/>
  <c r="O153" i="16"/>
  <c r="H153" i="16"/>
  <c r="Q153" i="16"/>
  <c r="S153" i="16"/>
  <c r="J154" i="16"/>
  <c r="K154" i="16"/>
  <c r="L154" i="16"/>
  <c r="O154" i="16"/>
  <c r="H154" i="16"/>
  <c r="Q154" i="16"/>
  <c r="S154" i="16"/>
  <c r="J155" i="16"/>
  <c r="K155" i="16"/>
  <c r="L155" i="16"/>
  <c r="O155" i="16"/>
  <c r="H155" i="16"/>
  <c r="Q155" i="16"/>
  <c r="S155" i="16"/>
  <c r="J156" i="16"/>
  <c r="K156" i="16"/>
  <c r="L156" i="16"/>
  <c r="O156" i="16"/>
  <c r="H156" i="16"/>
  <c r="Q156" i="16"/>
  <c r="S156" i="16"/>
  <c r="J157" i="16"/>
  <c r="K157" i="16"/>
  <c r="L157" i="16"/>
  <c r="O157" i="16"/>
  <c r="H157" i="16"/>
  <c r="Q157" i="16"/>
  <c r="S157" i="16"/>
  <c r="J158" i="16"/>
  <c r="K158" i="16"/>
  <c r="L158" i="16"/>
  <c r="O158" i="16"/>
  <c r="H158" i="16"/>
  <c r="Q158" i="16"/>
  <c r="S158" i="16"/>
  <c r="J159" i="16"/>
  <c r="K159" i="16"/>
  <c r="L159" i="16"/>
  <c r="O159" i="16"/>
  <c r="H159" i="16"/>
  <c r="Q159" i="16"/>
  <c r="S159" i="16"/>
  <c r="J160" i="16"/>
  <c r="K160" i="16"/>
  <c r="L160" i="16"/>
  <c r="O160" i="16"/>
  <c r="H160" i="16"/>
  <c r="Q160" i="16"/>
  <c r="S160" i="16"/>
  <c r="J161" i="16"/>
  <c r="K161" i="16"/>
  <c r="L161" i="16"/>
  <c r="O161" i="16"/>
  <c r="H161" i="16"/>
  <c r="Q161" i="16"/>
  <c r="S161" i="16"/>
  <c r="J162" i="16"/>
  <c r="K162" i="16"/>
  <c r="L162" i="16"/>
  <c r="O162" i="16"/>
  <c r="H162" i="16"/>
  <c r="Q162" i="16"/>
  <c r="S162" i="16"/>
  <c r="J163" i="16"/>
  <c r="K163" i="16"/>
  <c r="L163" i="16"/>
  <c r="O163" i="16"/>
  <c r="H163" i="16"/>
  <c r="Q163" i="16"/>
  <c r="S163" i="16"/>
  <c r="J164" i="16"/>
  <c r="K164" i="16"/>
  <c r="L164" i="16"/>
  <c r="O164" i="16"/>
  <c r="H164" i="16"/>
  <c r="Q164" i="16"/>
  <c r="S164" i="16"/>
  <c r="J165" i="16"/>
  <c r="K165" i="16"/>
  <c r="L165" i="16"/>
  <c r="O165" i="16"/>
  <c r="H165" i="16"/>
  <c r="Q165" i="16"/>
  <c r="S165" i="16"/>
  <c r="J166" i="16"/>
  <c r="K166" i="16"/>
  <c r="L166" i="16"/>
  <c r="O166" i="16"/>
  <c r="H166" i="16"/>
  <c r="Q166" i="16"/>
  <c r="S166" i="16"/>
  <c r="J167" i="16"/>
  <c r="K167" i="16"/>
  <c r="L167" i="16"/>
  <c r="O167" i="16"/>
  <c r="H167" i="16"/>
  <c r="Q167" i="16"/>
  <c r="S167" i="16"/>
  <c r="J168" i="16"/>
  <c r="K168" i="16"/>
  <c r="L168" i="16"/>
  <c r="O168" i="16"/>
  <c r="H168" i="16"/>
  <c r="Q168" i="16"/>
  <c r="S168" i="16"/>
  <c r="C169" i="16"/>
  <c r="D169" i="16"/>
  <c r="E169" i="16"/>
  <c r="F169" i="16"/>
  <c r="G169" i="16"/>
  <c r="B169" i="16"/>
  <c r="J169" i="16"/>
  <c r="K169" i="16"/>
  <c r="L169" i="16"/>
  <c r="O169" i="16"/>
  <c r="H169" i="16"/>
  <c r="P169" i="16"/>
  <c r="Q169" i="16"/>
  <c r="R169" i="16"/>
  <c r="S169" i="16"/>
  <c r="P13" i="16"/>
  <c r="K68" i="15"/>
  <c r="D68" i="15"/>
  <c r="E68" i="15"/>
  <c r="L68" i="15"/>
  <c r="K69" i="15"/>
  <c r="D69" i="15"/>
  <c r="E69" i="15"/>
  <c r="L69" i="15"/>
  <c r="K70" i="15"/>
  <c r="D70" i="15"/>
  <c r="E70" i="15"/>
  <c r="L70" i="15"/>
  <c r="K71" i="15"/>
  <c r="D71" i="15"/>
  <c r="E71" i="15"/>
  <c r="L71" i="15"/>
  <c r="K72" i="15"/>
  <c r="D72" i="15"/>
  <c r="E72" i="15"/>
  <c r="L72" i="15"/>
  <c r="K73" i="15"/>
  <c r="D73" i="15"/>
  <c r="E73" i="15"/>
  <c r="L73" i="15"/>
  <c r="K74" i="15"/>
  <c r="D74" i="15"/>
  <c r="E74" i="15"/>
  <c r="L74" i="15"/>
  <c r="K75" i="15"/>
  <c r="D75" i="15"/>
  <c r="E75" i="15"/>
  <c r="L75" i="15"/>
  <c r="K76" i="15"/>
  <c r="D76" i="15"/>
  <c r="E76" i="15"/>
  <c r="L76" i="15"/>
  <c r="K77" i="15"/>
  <c r="D77" i="15"/>
  <c r="E77" i="15"/>
  <c r="L77" i="15"/>
  <c r="K78" i="15"/>
  <c r="D78" i="15"/>
  <c r="E78" i="15"/>
  <c r="L78" i="15"/>
  <c r="K79" i="15"/>
  <c r="D79" i="15"/>
  <c r="E79" i="15"/>
  <c r="L79" i="15"/>
  <c r="K80" i="15"/>
  <c r="D80" i="15"/>
  <c r="E80" i="15"/>
  <c r="L80" i="15"/>
  <c r="K81" i="15"/>
  <c r="D81" i="15"/>
  <c r="E81" i="15"/>
  <c r="L81" i="15"/>
  <c r="K82" i="15"/>
  <c r="D82" i="15"/>
  <c r="E82" i="15"/>
  <c r="L82" i="15"/>
  <c r="K83" i="15"/>
  <c r="D83" i="15"/>
  <c r="E83" i="15"/>
  <c r="L83" i="15"/>
  <c r="K84" i="15"/>
  <c r="D84" i="15"/>
  <c r="E84" i="15"/>
  <c r="L84" i="15"/>
  <c r="K85" i="15"/>
  <c r="D85" i="15"/>
  <c r="E85" i="15"/>
  <c r="L85" i="15"/>
  <c r="K86" i="15"/>
  <c r="D86" i="15"/>
  <c r="E86" i="15"/>
  <c r="L86" i="15"/>
  <c r="K87" i="15"/>
  <c r="D87" i="15"/>
  <c r="E87" i="15"/>
  <c r="L87" i="15"/>
  <c r="K88" i="15"/>
  <c r="D88" i="15"/>
  <c r="E88" i="15"/>
  <c r="L88" i="15"/>
  <c r="K89" i="15"/>
  <c r="D89" i="15"/>
  <c r="E89" i="15"/>
  <c r="L89" i="15"/>
  <c r="K90" i="15"/>
  <c r="D90" i="15"/>
  <c r="E90" i="15"/>
  <c r="L90" i="15"/>
  <c r="K91" i="15"/>
  <c r="D91" i="15"/>
  <c r="E91" i="15"/>
  <c r="L91" i="15"/>
  <c r="K92" i="15"/>
  <c r="D92" i="15"/>
  <c r="E92" i="15"/>
  <c r="L92" i="15"/>
  <c r="K93" i="15"/>
  <c r="D93" i="15"/>
  <c r="E93" i="15"/>
  <c r="L93" i="15"/>
  <c r="K94" i="15"/>
  <c r="D94" i="15"/>
  <c r="E94" i="15"/>
  <c r="L94" i="15"/>
  <c r="K95" i="15"/>
  <c r="D95" i="15"/>
  <c r="E95" i="15"/>
  <c r="L95" i="15"/>
  <c r="K96" i="15"/>
  <c r="D96" i="15"/>
  <c r="E96" i="15"/>
  <c r="L96" i="15"/>
  <c r="K97" i="15"/>
  <c r="D97" i="15"/>
  <c r="E97" i="15"/>
  <c r="L97" i="15"/>
  <c r="K98" i="15"/>
  <c r="D98" i="15"/>
  <c r="E98" i="15"/>
  <c r="L98" i="15"/>
  <c r="K99" i="15"/>
  <c r="D99" i="15"/>
  <c r="E99" i="15"/>
  <c r="L99" i="15"/>
  <c r="K100" i="15"/>
  <c r="D100" i="15"/>
  <c r="E100" i="15"/>
  <c r="L100" i="15"/>
  <c r="K101" i="15"/>
  <c r="D101" i="15"/>
  <c r="E101" i="15"/>
  <c r="L101" i="15"/>
  <c r="K102" i="15"/>
  <c r="D102" i="15"/>
  <c r="E102" i="15"/>
  <c r="L102" i="15"/>
  <c r="K104" i="15"/>
  <c r="D104" i="15"/>
  <c r="E104" i="15"/>
  <c r="L104" i="15"/>
  <c r="K105" i="15"/>
  <c r="D105" i="15"/>
  <c r="E105" i="15"/>
  <c r="L105" i="15"/>
  <c r="K106" i="15"/>
  <c r="D106" i="15"/>
  <c r="E106" i="15"/>
  <c r="L106" i="15"/>
  <c r="K107" i="15"/>
  <c r="D107" i="15"/>
  <c r="E107" i="15"/>
  <c r="L107" i="15"/>
  <c r="K108" i="15"/>
  <c r="D108" i="15"/>
  <c r="E108" i="15"/>
  <c r="L108" i="15"/>
  <c r="K109" i="15"/>
  <c r="D109" i="15"/>
  <c r="E109" i="15"/>
  <c r="L109" i="15"/>
  <c r="K110" i="15"/>
  <c r="D110" i="15"/>
  <c r="E110" i="15"/>
  <c r="L110" i="15"/>
  <c r="K111" i="15"/>
  <c r="D111" i="15"/>
  <c r="E111" i="15"/>
  <c r="L111" i="15"/>
  <c r="D45" i="15"/>
  <c r="E45" i="15"/>
  <c r="D46" i="15"/>
  <c r="E46" i="15"/>
  <c r="D47" i="15"/>
  <c r="E47" i="15"/>
  <c r="D48" i="15"/>
  <c r="E48" i="15"/>
  <c r="D49" i="15"/>
  <c r="E49" i="15"/>
  <c r="D50" i="15"/>
  <c r="E50" i="15"/>
  <c r="D51" i="15"/>
  <c r="E51" i="15"/>
  <c r="D52" i="15"/>
  <c r="E52" i="15"/>
  <c r="D53" i="15"/>
  <c r="E53" i="15"/>
  <c r="D54" i="15"/>
  <c r="E54" i="15"/>
  <c r="D55" i="15"/>
  <c r="E55" i="15"/>
  <c r="D56" i="15"/>
  <c r="E56" i="15"/>
  <c r="D57" i="15"/>
  <c r="E57" i="15"/>
  <c r="D58" i="15"/>
  <c r="E58" i="15"/>
  <c r="D59" i="15"/>
  <c r="E59" i="15"/>
  <c r="D60" i="15"/>
  <c r="E60" i="15"/>
  <c r="D61" i="15"/>
  <c r="E61" i="15"/>
  <c r="D62" i="15"/>
  <c r="E62" i="15"/>
  <c r="D63" i="15"/>
  <c r="E63" i="15"/>
  <c r="D64" i="15"/>
  <c r="E64" i="15"/>
  <c r="D65" i="15"/>
  <c r="E65" i="15"/>
  <c r="D66" i="15"/>
  <c r="E66" i="15"/>
  <c r="D67" i="15"/>
  <c r="E67" i="15"/>
  <c r="D112" i="15"/>
  <c r="E112" i="15"/>
  <c r="D113" i="15"/>
  <c r="E113" i="15"/>
  <c r="D114" i="15"/>
  <c r="E114" i="15"/>
  <c r="D115" i="15"/>
  <c r="E115" i="15"/>
  <c r="D116" i="15"/>
  <c r="E116" i="15"/>
  <c r="D117" i="15"/>
  <c r="E117" i="15"/>
  <c r="D118" i="15"/>
  <c r="E118" i="15"/>
  <c r="D119" i="15"/>
  <c r="E119" i="15"/>
  <c r="D120" i="15"/>
  <c r="E120" i="15"/>
  <c r="D121" i="15"/>
  <c r="E121" i="15"/>
  <c r="D122" i="15"/>
  <c r="E122" i="15"/>
  <c r="D123" i="15"/>
  <c r="E123" i="15"/>
  <c r="D124" i="15"/>
  <c r="E124" i="15"/>
  <c r="D125" i="15"/>
  <c r="E125" i="15"/>
  <c r="D126" i="15"/>
  <c r="E126" i="15"/>
  <c r="D127" i="15"/>
  <c r="E127" i="15"/>
  <c r="D128" i="15"/>
  <c r="E128" i="15"/>
  <c r="D129" i="15"/>
  <c r="E129" i="15"/>
  <c r="D130" i="15"/>
  <c r="E130" i="15"/>
  <c r="D131" i="15"/>
  <c r="E131" i="15"/>
  <c r="D132" i="15"/>
  <c r="E132" i="15"/>
  <c r="D133" i="15"/>
  <c r="E133" i="15"/>
  <c r="D134" i="15"/>
  <c r="E134" i="15"/>
  <c r="D135" i="15"/>
  <c r="E135" i="15"/>
  <c r="D136" i="15"/>
  <c r="E136" i="15"/>
  <c r="D137" i="15"/>
  <c r="E137" i="15"/>
  <c r="D138" i="15"/>
  <c r="E138" i="15"/>
  <c r="D139" i="15"/>
  <c r="E139" i="15"/>
  <c r="D140" i="15"/>
  <c r="E140" i="15"/>
  <c r="D141" i="15"/>
  <c r="E141" i="15"/>
  <c r="D143" i="15"/>
  <c r="E143" i="15"/>
  <c r="D144" i="15"/>
  <c r="E144" i="15"/>
  <c r="D145" i="15"/>
  <c r="E145" i="15"/>
  <c r="D146" i="15"/>
  <c r="E146" i="15"/>
  <c r="D147" i="15"/>
  <c r="E147" i="15"/>
  <c r="D148" i="15"/>
  <c r="E148" i="15"/>
  <c r="D149" i="15"/>
  <c r="E149" i="15"/>
  <c r="D150" i="15"/>
  <c r="E150" i="15"/>
  <c r="D151" i="15"/>
  <c r="E151" i="15"/>
  <c r="D152" i="15"/>
  <c r="E152" i="15"/>
  <c r="D153" i="15"/>
  <c r="E153" i="15"/>
  <c r="D154" i="15"/>
  <c r="E154" i="15"/>
  <c r="D155" i="15"/>
  <c r="E155" i="15"/>
  <c r="D156" i="15"/>
  <c r="E156" i="15"/>
  <c r="D157" i="15"/>
  <c r="E157" i="15"/>
  <c r="D158" i="15"/>
  <c r="E158" i="15"/>
  <c r="D159" i="15"/>
  <c r="E159" i="15"/>
  <c r="D160" i="15"/>
  <c r="E160" i="15"/>
  <c r="D161" i="15"/>
  <c r="E161" i="15"/>
  <c r="D162" i="15"/>
  <c r="E162" i="15"/>
  <c r="D163" i="15"/>
  <c r="E163" i="15"/>
  <c r="D164" i="15"/>
  <c r="E164" i="15"/>
  <c r="D165" i="15"/>
  <c r="E165" i="15"/>
  <c r="D166" i="15"/>
  <c r="E166" i="15"/>
  <c r="E10" i="15"/>
  <c r="D10" i="15"/>
  <c r="G70" i="14"/>
  <c r="S70" i="14"/>
  <c r="I70" i="14"/>
  <c r="J70" i="14"/>
  <c r="L70" i="14"/>
  <c r="M70" i="14"/>
  <c r="N70" i="14"/>
  <c r="T70" i="14"/>
  <c r="G71" i="14"/>
  <c r="S71" i="14"/>
  <c r="I71" i="14"/>
  <c r="J71" i="14"/>
  <c r="L71" i="14"/>
  <c r="M71" i="14"/>
  <c r="N71" i="14"/>
  <c r="T71" i="14"/>
  <c r="G72" i="14"/>
  <c r="S72" i="14"/>
  <c r="I72" i="14"/>
  <c r="J72" i="14"/>
  <c r="L72" i="14"/>
  <c r="M72" i="14"/>
  <c r="N72" i="14"/>
  <c r="T72" i="14"/>
  <c r="G73" i="14"/>
  <c r="S73" i="14"/>
  <c r="I73" i="14"/>
  <c r="J73" i="14"/>
  <c r="L73" i="14"/>
  <c r="M73" i="14"/>
  <c r="N73" i="14"/>
  <c r="T73" i="14"/>
  <c r="G74" i="14"/>
  <c r="S74" i="14"/>
  <c r="I74" i="14"/>
  <c r="J74" i="14"/>
  <c r="L74" i="14"/>
  <c r="M74" i="14"/>
  <c r="N74" i="14"/>
  <c r="T74" i="14"/>
  <c r="G75" i="14"/>
  <c r="S75" i="14"/>
  <c r="I75" i="14"/>
  <c r="J75" i="14"/>
  <c r="L75" i="14"/>
  <c r="M75" i="14"/>
  <c r="N75" i="14"/>
  <c r="T75" i="14"/>
  <c r="G76" i="14"/>
  <c r="S76" i="14"/>
  <c r="I76" i="14"/>
  <c r="J76" i="14"/>
  <c r="L76" i="14"/>
  <c r="M76" i="14"/>
  <c r="N76" i="14"/>
  <c r="T76" i="14"/>
  <c r="G77" i="14"/>
  <c r="S77" i="14"/>
  <c r="I77" i="14"/>
  <c r="J77" i="14"/>
  <c r="L77" i="14"/>
  <c r="M77" i="14"/>
  <c r="N77" i="14"/>
  <c r="T77" i="14"/>
  <c r="G78" i="14"/>
  <c r="S78" i="14"/>
  <c r="I78" i="14"/>
  <c r="J78" i="14"/>
  <c r="L78" i="14"/>
  <c r="M78" i="14"/>
  <c r="N78" i="14"/>
  <c r="T78" i="14"/>
  <c r="G79" i="14"/>
  <c r="S79" i="14"/>
  <c r="I79" i="14"/>
  <c r="J79" i="14"/>
  <c r="L79" i="14"/>
  <c r="M79" i="14"/>
  <c r="N79" i="14"/>
  <c r="T79" i="14"/>
  <c r="G80" i="14"/>
  <c r="S80" i="14"/>
  <c r="I80" i="14"/>
  <c r="J80" i="14"/>
  <c r="L80" i="14"/>
  <c r="M80" i="14"/>
  <c r="N80" i="14"/>
  <c r="T80" i="14"/>
  <c r="G81" i="14"/>
  <c r="S81" i="14"/>
  <c r="I81" i="14"/>
  <c r="J81" i="14"/>
  <c r="L81" i="14"/>
  <c r="M81" i="14"/>
  <c r="N81" i="14"/>
  <c r="T81" i="14"/>
  <c r="G82" i="14"/>
  <c r="S82" i="14"/>
  <c r="I82" i="14"/>
  <c r="J82" i="14"/>
  <c r="L82" i="14"/>
  <c r="M82" i="14"/>
  <c r="N82" i="14"/>
  <c r="T82" i="14"/>
  <c r="G83" i="14"/>
  <c r="S83" i="14"/>
  <c r="I83" i="14"/>
  <c r="J83" i="14"/>
  <c r="L83" i="14"/>
  <c r="M83" i="14"/>
  <c r="N83" i="14"/>
  <c r="T83" i="14"/>
  <c r="AM14" i="4"/>
  <c r="BU14" i="4"/>
  <c r="AK14" i="4"/>
  <c r="AM15" i="4"/>
  <c r="BU15" i="4"/>
  <c r="AK15" i="4"/>
  <c r="AM16" i="4"/>
  <c r="BU16" i="4"/>
  <c r="AK16" i="4"/>
  <c r="AM17" i="4"/>
  <c r="BU17" i="4"/>
  <c r="AK17" i="4"/>
  <c r="AM18" i="4"/>
  <c r="BU18" i="4"/>
  <c r="AK18" i="4"/>
  <c r="AM19" i="4"/>
  <c r="BU19" i="4"/>
  <c r="AK19" i="4"/>
  <c r="AM20" i="4"/>
  <c r="BU20" i="4"/>
  <c r="AK20" i="4"/>
  <c r="AM21" i="4"/>
  <c r="BU21" i="4"/>
  <c r="AK21" i="4"/>
  <c r="AM22" i="4"/>
  <c r="BU22" i="4"/>
  <c r="AK22" i="4"/>
  <c r="AM23" i="4"/>
  <c r="BU23" i="4"/>
  <c r="AK23" i="4"/>
  <c r="AM24" i="4"/>
  <c r="BU24" i="4"/>
  <c r="AK24" i="4"/>
  <c r="AM25" i="4"/>
  <c r="BU25" i="4"/>
  <c r="AK25" i="4"/>
  <c r="AM26" i="4"/>
  <c r="BU26" i="4"/>
  <c r="AK26" i="4"/>
  <c r="AM27" i="4"/>
  <c r="BU27" i="4"/>
  <c r="AK27" i="4"/>
  <c r="AM28" i="4"/>
  <c r="BU28" i="4"/>
  <c r="AK28" i="4"/>
  <c r="AM29" i="4"/>
  <c r="BU29" i="4"/>
  <c r="AK29" i="4"/>
  <c r="AM30" i="4"/>
  <c r="BU30" i="4"/>
  <c r="AK30" i="4"/>
  <c r="AM31" i="4"/>
  <c r="BU31" i="4"/>
  <c r="AK31" i="4"/>
  <c r="AM32" i="4"/>
  <c r="BU32" i="4"/>
  <c r="AK32" i="4"/>
  <c r="AM33" i="4"/>
  <c r="BU33" i="4"/>
  <c r="AK33" i="4"/>
  <c r="AM34" i="4"/>
  <c r="BU34" i="4"/>
  <c r="AK34" i="4"/>
  <c r="AM35" i="4"/>
  <c r="BU35" i="4"/>
  <c r="AK35" i="4"/>
  <c r="AM36" i="4"/>
  <c r="BU36" i="4"/>
  <c r="AK36" i="4"/>
  <c r="AM37" i="4"/>
  <c r="BU37" i="4"/>
  <c r="AK37" i="4"/>
  <c r="AM38" i="4"/>
  <c r="BU38" i="4"/>
  <c r="AK38" i="4"/>
  <c r="AM39" i="4"/>
  <c r="BU39" i="4"/>
  <c r="AK39" i="4"/>
  <c r="AM40" i="4"/>
  <c r="BU40" i="4"/>
  <c r="AK40" i="4"/>
  <c r="AM41" i="4"/>
  <c r="BU41" i="4"/>
  <c r="AK41" i="4"/>
  <c r="AM42" i="4"/>
  <c r="BU42" i="4"/>
  <c r="AK42" i="4"/>
  <c r="AM43" i="4"/>
  <c r="BU43" i="4"/>
  <c r="AK43" i="4"/>
  <c r="AM44" i="4"/>
  <c r="BU44" i="4"/>
  <c r="AK44" i="4"/>
  <c r="AM45" i="4"/>
  <c r="BU45" i="4"/>
  <c r="AK45" i="4"/>
  <c r="AM46" i="4"/>
  <c r="BU46" i="4"/>
  <c r="AK46" i="4"/>
  <c r="AM47" i="4"/>
  <c r="BU47" i="4"/>
  <c r="AK47" i="4"/>
  <c r="AM48" i="4"/>
  <c r="BU48" i="4"/>
  <c r="AK48" i="4"/>
  <c r="D45" i="14"/>
  <c r="G45" i="14"/>
  <c r="I45" i="14"/>
  <c r="J45" i="14"/>
  <c r="K45" i="14"/>
  <c r="L45" i="14"/>
  <c r="M45" i="14"/>
  <c r="N45" i="14"/>
  <c r="O45" i="14"/>
  <c r="AM49" i="4"/>
  <c r="BU49" i="4"/>
  <c r="AK49" i="4"/>
  <c r="D46" i="14"/>
  <c r="G46" i="14"/>
  <c r="I46" i="14"/>
  <c r="J46" i="14"/>
  <c r="K46" i="14"/>
  <c r="L46" i="14"/>
  <c r="M46" i="14"/>
  <c r="N46" i="14"/>
  <c r="O46" i="14"/>
  <c r="AM50" i="4"/>
  <c r="BU50" i="4"/>
  <c r="AK50" i="4"/>
  <c r="D47" i="14"/>
  <c r="G47" i="14"/>
  <c r="I47" i="14"/>
  <c r="J47" i="14"/>
  <c r="K47" i="14"/>
  <c r="L47" i="14"/>
  <c r="M47" i="14"/>
  <c r="N47" i="14"/>
  <c r="O47" i="14"/>
  <c r="AM51" i="4"/>
  <c r="BU51" i="4"/>
  <c r="AK51" i="4"/>
  <c r="D48" i="14"/>
  <c r="G48" i="14"/>
  <c r="I48" i="14"/>
  <c r="J48" i="14"/>
  <c r="K48" i="14"/>
  <c r="L48" i="14"/>
  <c r="M48" i="14"/>
  <c r="N48" i="14"/>
  <c r="O48" i="14"/>
  <c r="AM52" i="4"/>
  <c r="BU52" i="4"/>
  <c r="AK52" i="4"/>
  <c r="D49" i="14"/>
  <c r="G49" i="14"/>
  <c r="I49" i="14"/>
  <c r="J49" i="14"/>
  <c r="K49" i="14"/>
  <c r="L49" i="14"/>
  <c r="M49" i="14"/>
  <c r="N49" i="14"/>
  <c r="O49" i="14"/>
  <c r="AM53" i="4"/>
  <c r="BU53" i="4"/>
  <c r="AK53" i="4"/>
  <c r="D50" i="14"/>
  <c r="G50" i="14"/>
  <c r="I50" i="14"/>
  <c r="J50" i="14"/>
  <c r="K50" i="14"/>
  <c r="L50" i="14"/>
  <c r="M50" i="14"/>
  <c r="N50" i="14"/>
  <c r="O50" i="14"/>
  <c r="AM54" i="4"/>
  <c r="BU54" i="4"/>
  <c r="AK54" i="4"/>
  <c r="D51" i="14"/>
  <c r="G51" i="14"/>
  <c r="I51" i="14"/>
  <c r="J51" i="14"/>
  <c r="K51" i="14"/>
  <c r="L51" i="14"/>
  <c r="M51" i="14"/>
  <c r="N51" i="14"/>
  <c r="O51" i="14"/>
  <c r="AM55" i="4"/>
  <c r="BU55" i="4"/>
  <c r="AK55" i="4"/>
  <c r="D52" i="14"/>
  <c r="G52" i="14"/>
  <c r="I52" i="14"/>
  <c r="J52" i="14"/>
  <c r="K52" i="14"/>
  <c r="L52" i="14"/>
  <c r="M52" i="14"/>
  <c r="N52" i="14"/>
  <c r="O52" i="14"/>
  <c r="AM56" i="4"/>
  <c r="BU56" i="4"/>
  <c r="AK56" i="4"/>
  <c r="D53" i="14"/>
  <c r="G53" i="14"/>
  <c r="I53" i="14"/>
  <c r="J53" i="14"/>
  <c r="K53" i="14"/>
  <c r="L53" i="14"/>
  <c r="M53" i="14"/>
  <c r="N53" i="14"/>
  <c r="O53" i="14"/>
  <c r="AM57" i="4"/>
  <c r="BU57" i="4"/>
  <c r="AK57" i="4"/>
  <c r="D54" i="14"/>
  <c r="G54" i="14"/>
  <c r="I54" i="14"/>
  <c r="J54" i="14"/>
  <c r="K54" i="14"/>
  <c r="L54" i="14"/>
  <c r="M54" i="14"/>
  <c r="N54" i="14"/>
  <c r="O54" i="14"/>
  <c r="AM58" i="4"/>
  <c r="BU58" i="4"/>
  <c r="AK58" i="4"/>
  <c r="D55" i="14"/>
  <c r="G55" i="14"/>
  <c r="I55" i="14"/>
  <c r="J55" i="14"/>
  <c r="K55" i="14"/>
  <c r="L55" i="14"/>
  <c r="M55" i="14"/>
  <c r="N55" i="14"/>
  <c r="O55" i="14"/>
  <c r="AM59" i="4"/>
  <c r="BU59" i="4"/>
  <c r="AK59" i="4"/>
  <c r="D56" i="14"/>
  <c r="G56" i="14"/>
  <c r="I56" i="14"/>
  <c r="J56" i="14"/>
  <c r="K56" i="14"/>
  <c r="L56" i="14"/>
  <c r="M56" i="14"/>
  <c r="N56" i="14"/>
  <c r="O56" i="14"/>
  <c r="AM60" i="4"/>
  <c r="BU60" i="4"/>
  <c r="AK60" i="4"/>
  <c r="D57" i="14"/>
  <c r="G57" i="14"/>
  <c r="I57" i="14"/>
  <c r="J57" i="14"/>
  <c r="K57" i="14"/>
  <c r="L57" i="14"/>
  <c r="M57" i="14"/>
  <c r="N57" i="14"/>
  <c r="O57" i="14"/>
  <c r="AM61" i="4"/>
  <c r="BU61" i="4"/>
  <c r="AK61" i="4"/>
  <c r="D58" i="14"/>
  <c r="G58" i="14"/>
  <c r="I58" i="14"/>
  <c r="J58" i="14"/>
  <c r="K58" i="14"/>
  <c r="L58" i="14"/>
  <c r="M58" i="14"/>
  <c r="N58" i="14"/>
  <c r="O58" i="14"/>
  <c r="AM62" i="4"/>
  <c r="BU62" i="4"/>
  <c r="AK62" i="4"/>
  <c r="D59" i="14"/>
  <c r="G59" i="14"/>
  <c r="I59" i="14"/>
  <c r="J59" i="14"/>
  <c r="K59" i="14"/>
  <c r="L59" i="14"/>
  <c r="M59" i="14"/>
  <c r="N59" i="14"/>
  <c r="O59" i="14"/>
  <c r="AM63" i="4"/>
  <c r="BU63" i="4"/>
  <c r="AK63" i="4"/>
  <c r="D60" i="14"/>
  <c r="G60" i="14"/>
  <c r="I60" i="14"/>
  <c r="J60" i="14"/>
  <c r="K60" i="14"/>
  <c r="L60" i="14"/>
  <c r="M60" i="14"/>
  <c r="N60" i="14"/>
  <c r="O60" i="14"/>
  <c r="AM64" i="4"/>
  <c r="BU64" i="4"/>
  <c r="AK64" i="4"/>
  <c r="D61" i="14"/>
  <c r="G61" i="14"/>
  <c r="I61" i="14"/>
  <c r="J61" i="14"/>
  <c r="K61" i="14"/>
  <c r="L61" i="14"/>
  <c r="M61" i="14"/>
  <c r="N61" i="14"/>
  <c r="O61" i="14"/>
  <c r="AM65" i="4"/>
  <c r="BU65" i="4"/>
  <c r="AK65" i="4"/>
  <c r="D62" i="14"/>
  <c r="G62" i="14"/>
  <c r="I62" i="14"/>
  <c r="J62" i="14"/>
  <c r="K62" i="14"/>
  <c r="L62" i="14"/>
  <c r="M62" i="14"/>
  <c r="N62" i="14"/>
  <c r="O62" i="14"/>
  <c r="AM66" i="4"/>
  <c r="BU66" i="4"/>
  <c r="AK66" i="4"/>
  <c r="D63" i="14"/>
  <c r="G63" i="14"/>
  <c r="I63" i="14"/>
  <c r="J63" i="14"/>
  <c r="K63" i="14"/>
  <c r="L63" i="14"/>
  <c r="M63" i="14"/>
  <c r="N63" i="14"/>
  <c r="O63" i="14"/>
  <c r="AM67" i="4"/>
  <c r="BU67" i="4"/>
  <c r="AK67" i="4"/>
  <c r="D64" i="14"/>
  <c r="G64" i="14"/>
  <c r="I64" i="14"/>
  <c r="J64" i="14"/>
  <c r="K64" i="14"/>
  <c r="L64" i="14"/>
  <c r="M64" i="14"/>
  <c r="N64" i="14"/>
  <c r="O64" i="14"/>
  <c r="AM68" i="4"/>
  <c r="BU68" i="4"/>
  <c r="AK68" i="4"/>
  <c r="D65" i="14"/>
  <c r="G65" i="14"/>
  <c r="I65" i="14"/>
  <c r="J65" i="14"/>
  <c r="K65" i="14"/>
  <c r="L65" i="14"/>
  <c r="M65" i="14"/>
  <c r="N65" i="14"/>
  <c r="O65" i="14"/>
  <c r="AM69" i="4"/>
  <c r="BU69" i="4"/>
  <c r="AK69" i="4"/>
  <c r="D66" i="14"/>
  <c r="G66" i="14"/>
  <c r="I66" i="14"/>
  <c r="J66" i="14"/>
  <c r="K66" i="14"/>
  <c r="L66" i="14"/>
  <c r="M66" i="14"/>
  <c r="N66" i="14"/>
  <c r="O66" i="14"/>
  <c r="AM70" i="4"/>
  <c r="BU70" i="4"/>
  <c r="AK70" i="4"/>
  <c r="D67" i="14"/>
  <c r="G67" i="14"/>
  <c r="I67" i="14"/>
  <c r="J67" i="14"/>
  <c r="K67" i="14"/>
  <c r="L67" i="14"/>
  <c r="M67" i="14"/>
  <c r="N67" i="14"/>
  <c r="O67" i="14"/>
  <c r="AM71" i="4"/>
  <c r="BU71" i="4"/>
  <c r="AK71" i="4"/>
  <c r="D68" i="14"/>
  <c r="G68" i="14"/>
  <c r="I68" i="14"/>
  <c r="J68" i="14"/>
  <c r="K68" i="14"/>
  <c r="L68" i="14"/>
  <c r="M68" i="14"/>
  <c r="N68" i="14"/>
  <c r="O68" i="14"/>
  <c r="AM72" i="4"/>
  <c r="BU72" i="4"/>
  <c r="AK72" i="4"/>
  <c r="D69" i="14"/>
  <c r="G69" i="14"/>
  <c r="I69" i="14"/>
  <c r="J69" i="14"/>
  <c r="K69" i="14"/>
  <c r="L69" i="14"/>
  <c r="M69" i="14"/>
  <c r="N69" i="14"/>
  <c r="O69" i="14"/>
  <c r="AM73" i="4"/>
  <c r="BU73" i="4"/>
  <c r="AK73" i="4"/>
  <c r="D70" i="14"/>
  <c r="K70" i="14"/>
  <c r="O70" i="14"/>
  <c r="AM74" i="4"/>
  <c r="BU74" i="4"/>
  <c r="AK74" i="4"/>
  <c r="D71" i="14"/>
  <c r="K71" i="14"/>
  <c r="O71" i="14"/>
  <c r="AM75" i="4"/>
  <c r="BU75" i="4"/>
  <c r="AK75" i="4"/>
  <c r="D72" i="14"/>
  <c r="K72" i="14"/>
  <c r="O72" i="14"/>
  <c r="AM76" i="4"/>
  <c r="BU76" i="4"/>
  <c r="AK76" i="4"/>
  <c r="D73" i="14"/>
  <c r="K73" i="14"/>
  <c r="O73" i="14"/>
  <c r="AM77" i="4"/>
  <c r="BU77" i="4"/>
  <c r="AK77" i="4"/>
  <c r="D74" i="14"/>
  <c r="K74" i="14"/>
  <c r="O74" i="14"/>
  <c r="AM78" i="4"/>
  <c r="BU78" i="4"/>
  <c r="AK78" i="4"/>
  <c r="D75" i="14"/>
  <c r="K75" i="14"/>
  <c r="O75" i="14"/>
  <c r="AM79" i="4"/>
  <c r="BU79" i="4"/>
  <c r="AK79" i="4"/>
  <c r="D76" i="14"/>
  <c r="K76" i="14"/>
  <c r="O76" i="14"/>
  <c r="AM80" i="4"/>
  <c r="BU80" i="4"/>
  <c r="AK80" i="4"/>
  <c r="D77" i="14"/>
  <c r="K77" i="14"/>
  <c r="O77" i="14"/>
  <c r="AM81" i="4"/>
  <c r="BU81" i="4"/>
  <c r="AK81" i="4"/>
  <c r="D78" i="14"/>
  <c r="K78" i="14"/>
  <c r="O78" i="14"/>
  <c r="AM82" i="4"/>
  <c r="BU82" i="4"/>
  <c r="AK82" i="4"/>
  <c r="D79" i="14"/>
  <c r="K79" i="14"/>
  <c r="O79" i="14"/>
  <c r="AM83" i="4"/>
  <c r="BU83" i="4"/>
  <c r="AK83" i="4"/>
  <c r="D80" i="14"/>
  <c r="K80" i="14"/>
  <c r="O80" i="14"/>
  <c r="AM84" i="4"/>
  <c r="BU84" i="4"/>
  <c r="AK84" i="4"/>
  <c r="D81" i="14"/>
  <c r="K81" i="14"/>
  <c r="O81" i="14"/>
  <c r="AM85" i="4"/>
  <c r="BU85" i="4"/>
  <c r="AK85" i="4"/>
  <c r="D82" i="14"/>
  <c r="K82" i="14"/>
  <c r="O82" i="14"/>
  <c r="AM86" i="4"/>
  <c r="BU86" i="4"/>
  <c r="AK86" i="4"/>
  <c r="D83" i="14"/>
  <c r="K83" i="14"/>
  <c r="O83" i="14"/>
  <c r="AM87" i="4"/>
  <c r="BU87" i="4"/>
  <c r="AK87" i="4"/>
  <c r="D84" i="14"/>
  <c r="G84" i="14"/>
  <c r="I84" i="14"/>
  <c r="J84" i="14"/>
  <c r="K84" i="14"/>
  <c r="L84" i="14"/>
  <c r="M84" i="14"/>
  <c r="N84" i="14"/>
  <c r="O84" i="14"/>
  <c r="AM88" i="4"/>
  <c r="BU88" i="4"/>
  <c r="AK88" i="4"/>
  <c r="D85" i="14"/>
  <c r="G85" i="14"/>
  <c r="I85" i="14"/>
  <c r="J85" i="14"/>
  <c r="K85" i="14"/>
  <c r="L85" i="14"/>
  <c r="M85" i="14"/>
  <c r="N85" i="14"/>
  <c r="O85" i="14"/>
  <c r="AM89" i="4"/>
  <c r="BU89" i="4"/>
  <c r="AK89" i="4"/>
  <c r="D86" i="14"/>
  <c r="G86" i="14"/>
  <c r="I86" i="14"/>
  <c r="J86" i="14"/>
  <c r="K86" i="14"/>
  <c r="L86" i="14"/>
  <c r="M86" i="14"/>
  <c r="N86" i="14"/>
  <c r="O86" i="14"/>
  <c r="AM90" i="4"/>
  <c r="BU90" i="4"/>
  <c r="AK90" i="4"/>
  <c r="D87" i="14"/>
  <c r="G87" i="14"/>
  <c r="I87" i="14"/>
  <c r="J87" i="14"/>
  <c r="K87" i="14"/>
  <c r="L87" i="14"/>
  <c r="M87" i="14"/>
  <c r="N87" i="14"/>
  <c r="O87" i="14"/>
  <c r="AM91" i="4"/>
  <c r="BU91" i="4"/>
  <c r="AK91" i="4"/>
  <c r="D88" i="14"/>
  <c r="G88" i="14"/>
  <c r="I88" i="14"/>
  <c r="J88" i="14"/>
  <c r="K88" i="14"/>
  <c r="L88" i="14"/>
  <c r="M88" i="14"/>
  <c r="N88" i="14"/>
  <c r="O88" i="14"/>
  <c r="AM92" i="4"/>
  <c r="BU92" i="4"/>
  <c r="AK92" i="4"/>
  <c r="D89" i="14"/>
  <c r="G89" i="14"/>
  <c r="I89" i="14"/>
  <c r="J89" i="14"/>
  <c r="K89" i="14"/>
  <c r="L89" i="14"/>
  <c r="M89" i="14"/>
  <c r="N89" i="14"/>
  <c r="O89" i="14"/>
  <c r="AM93" i="4"/>
  <c r="BU93" i="4"/>
  <c r="AK93" i="4"/>
  <c r="D90" i="14"/>
  <c r="G90" i="14"/>
  <c r="I90" i="14"/>
  <c r="J90" i="14"/>
  <c r="K90" i="14"/>
  <c r="L90" i="14"/>
  <c r="M90" i="14"/>
  <c r="N90" i="14"/>
  <c r="O90" i="14"/>
  <c r="AM94" i="4"/>
  <c r="BU94" i="4"/>
  <c r="AK94" i="4"/>
  <c r="D91" i="14"/>
  <c r="G91" i="14"/>
  <c r="I91" i="14"/>
  <c r="J91" i="14"/>
  <c r="K91" i="14"/>
  <c r="L91" i="14"/>
  <c r="M91" i="14"/>
  <c r="N91" i="14"/>
  <c r="O91" i="14"/>
  <c r="AM95" i="4"/>
  <c r="BU95" i="4"/>
  <c r="AK95" i="4"/>
  <c r="D92" i="14"/>
  <c r="G92" i="14"/>
  <c r="I92" i="14"/>
  <c r="J92" i="14"/>
  <c r="K92" i="14"/>
  <c r="L92" i="14"/>
  <c r="M92" i="14"/>
  <c r="N92" i="14"/>
  <c r="O92" i="14"/>
  <c r="AM96" i="4"/>
  <c r="BU96" i="4"/>
  <c r="AK96" i="4"/>
  <c r="D93" i="14"/>
  <c r="G93" i="14"/>
  <c r="I93" i="14"/>
  <c r="J93" i="14"/>
  <c r="K93" i="14"/>
  <c r="L93" i="14"/>
  <c r="M93" i="14"/>
  <c r="N93" i="14"/>
  <c r="O93" i="14"/>
  <c r="AM97" i="4"/>
  <c r="BU97" i="4"/>
  <c r="AK97" i="4"/>
  <c r="D94" i="14"/>
  <c r="G94" i="14"/>
  <c r="I94" i="14"/>
  <c r="J94" i="14"/>
  <c r="K94" i="14"/>
  <c r="L94" i="14"/>
  <c r="M94" i="14"/>
  <c r="N94" i="14"/>
  <c r="O94" i="14"/>
  <c r="AM98" i="4"/>
  <c r="BU98" i="4"/>
  <c r="AK98" i="4"/>
  <c r="D95" i="14"/>
  <c r="G95" i="14"/>
  <c r="I95" i="14"/>
  <c r="J95" i="14"/>
  <c r="K95" i="14"/>
  <c r="L95" i="14"/>
  <c r="M95" i="14"/>
  <c r="N95" i="14"/>
  <c r="O95" i="14"/>
  <c r="AM99" i="4"/>
  <c r="BU99" i="4"/>
  <c r="AK99" i="4"/>
  <c r="D96" i="14"/>
  <c r="G96" i="14"/>
  <c r="I96" i="14"/>
  <c r="J96" i="14"/>
  <c r="K96" i="14"/>
  <c r="L96" i="14"/>
  <c r="M96" i="14"/>
  <c r="N96" i="14"/>
  <c r="O96" i="14"/>
  <c r="AM100" i="4"/>
  <c r="BU100" i="4"/>
  <c r="AK100" i="4"/>
  <c r="D97" i="14"/>
  <c r="G97" i="14"/>
  <c r="I97" i="14"/>
  <c r="J97" i="14"/>
  <c r="K97" i="14"/>
  <c r="L97" i="14"/>
  <c r="M97" i="14"/>
  <c r="N97" i="14"/>
  <c r="O97" i="14"/>
  <c r="AM101" i="4"/>
  <c r="BU101" i="4"/>
  <c r="AK101" i="4"/>
  <c r="D98" i="14"/>
  <c r="G98" i="14"/>
  <c r="I98" i="14"/>
  <c r="J98" i="14"/>
  <c r="K98" i="14"/>
  <c r="L98" i="14"/>
  <c r="M98" i="14"/>
  <c r="N98" i="14"/>
  <c r="O98" i="14"/>
  <c r="AM102" i="4"/>
  <c r="BU102" i="4"/>
  <c r="AK102" i="4"/>
  <c r="D99" i="14"/>
  <c r="G99" i="14"/>
  <c r="I99" i="14"/>
  <c r="J99" i="14"/>
  <c r="K99" i="14"/>
  <c r="L99" i="14"/>
  <c r="M99" i="14"/>
  <c r="N99" i="14"/>
  <c r="O99" i="14"/>
  <c r="AM103" i="4"/>
  <c r="BU103" i="4"/>
  <c r="AK103" i="4"/>
  <c r="D100" i="14"/>
  <c r="G100" i="14"/>
  <c r="I100" i="14"/>
  <c r="J100" i="14"/>
  <c r="K100" i="14"/>
  <c r="L100" i="14"/>
  <c r="M100" i="14"/>
  <c r="N100" i="14"/>
  <c r="O100" i="14"/>
  <c r="AM104" i="4"/>
  <c r="BU104" i="4"/>
  <c r="AK104" i="4"/>
  <c r="D101" i="14"/>
  <c r="G101" i="14"/>
  <c r="I101" i="14"/>
  <c r="J101" i="14"/>
  <c r="K101" i="14"/>
  <c r="L101" i="14"/>
  <c r="M101" i="14"/>
  <c r="N101" i="14"/>
  <c r="O101" i="14"/>
  <c r="AM105" i="4"/>
  <c r="BU105" i="4"/>
  <c r="AK105" i="4"/>
  <c r="D102" i="14"/>
  <c r="G102" i="14"/>
  <c r="I102" i="14"/>
  <c r="J102" i="14"/>
  <c r="K102" i="14"/>
  <c r="L102" i="14"/>
  <c r="M102" i="14"/>
  <c r="N102" i="14"/>
  <c r="O102" i="14"/>
  <c r="G104" i="14"/>
  <c r="I104" i="14"/>
  <c r="J104" i="14"/>
  <c r="L104" i="14"/>
  <c r="M104" i="14"/>
  <c r="N104" i="14"/>
  <c r="O104" i="14"/>
  <c r="G105" i="14"/>
  <c r="I105" i="14"/>
  <c r="J105" i="14"/>
  <c r="L105" i="14"/>
  <c r="M105" i="14"/>
  <c r="N105" i="14"/>
  <c r="O105" i="14"/>
  <c r="O106" i="14"/>
  <c r="L107" i="14"/>
  <c r="O107" i="14"/>
  <c r="L108" i="14"/>
  <c r="O108" i="14"/>
  <c r="L109" i="14"/>
  <c r="O109" i="14"/>
  <c r="L110" i="14"/>
  <c r="O110" i="14"/>
  <c r="L111" i="14"/>
  <c r="O111" i="14"/>
  <c r="L112" i="14"/>
  <c r="O112" i="14"/>
  <c r="L113" i="14"/>
  <c r="O113" i="14"/>
  <c r="L114" i="14"/>
  <c r="O114" i="14"/>
  <c r="L115" i="14"/>
  <c r="O115" i="14"/>
  <c r="L116" i="14"/>
  <c r="O116" i="14"/>
  <c r="L117" i="14"/>
  <c r="O117" i="14"/>
  <c r="L118" i="14"/>
  <c r="O118" i="14"/>
  <c r="L119" i="14"/>
  <c r="O119" i="14"/>
  <c r="L120" i="14"/>
  <c r="O120" i="14"/>
  <c r="L121" i="14"/>
  <c r="O121" i="14"/>
  <c r="L122" i="14"/>
  <c r="O122" i="14"/>
  <c r="L123" i="14"/>
  <c r="O123" i="14"/>
  <c r="L124" i="14"/>
  <c r="O124" i="14"/>
  <c r="L125" i="14"/>
  <c r="O125" i="14"/>
  <c r="L126" i="14"/>
  <c r="O126" i="14"/>
  <c r="L127" i="14"/>
  <c r="O127" i="14"/>
  <c r="L128" i="14"/>
  <c r="O128" i="14"/>
  <c r="L129" i="14"/>
  <c r="O129" i="14"/>
  <c r="L130" i="14"/>
  <c r="O130" i="14"/>
  <c r="L131" i="14"/>
  <c r="O131" i="14"/>
  <c r="L132" i="14"/>
  <c r="O132" i="14"/>
  <c r="L133" i="14"/>
  <c r="O133" i="14"/>
  <c r="L134" i="14"/>
  <c r="O134" i="14"/>
  <c r="L135" i="14"/>
  <c r="O135" i="14"/>
  <c r="L136" i="14"/>
  <c r="O136" i="14"/>
  <c r="L137" i="14"/>
  <c r="O137" i="14"/>
  <c r="L138" i="14"/>
  <c r="O138" i="14"/>
  <c r="L139" i="14"/>
  <c r="O139" i="14"/>
  <c r="L140" i="14"/>
  <c r="O140" i="14"/>
  <c r="L141" i="14"/>
  <c r="O141" i="14"/>
  <c r="L144" i="14"/>
  <c r="O144" i="14"/>
  <c r="L145" i="14"/>
  <c r="O145" i="14"/>
  <c r="L146" i="14"/>
  <c r="O146" i="14"/>
  <c r="L147" i="14"/>
  <c r="O147" i="14"/>
  <c r="L148" i="14"/>
  <c r="O148" i="14"/>
  <c r="L149" i="14"/>
  <c r="O149" i="14"/>
  <c r="L150" i="14"/>
  <c r="O150" i="14"/>
  <c r="L151" i="14"/>
  <c r="O151" i="14"/>
  <c r="L152" i="14"/>
  <c r="O152" i="14"/>
  <c r="L153" i="14"/>
  <c r="O153" i="14"/>
  <c r="L154" i="14"/>
  <c r="O154" i="14"/>
  <c r="L155" i="14"/>
  <c r="O155" i="14"/>
  <c r="L156" i="14"/>
  <c r="O156" i="14"/>
  <c r="L157" i="14"/>
  <c r="O157" i="14"/>
  <c r="L158" i="14"/>
  <c r="O158" i="14"/>
  <c r="L159" i="14"/>
  <c r="O159" i="14"/>
  <c r="L160" i="14"/>
  <c r="O160" i="14"/>
  <c r="L161" i="14"/>
  <c r="O161" i="14"/>
  <c r="L162" i="14"/>
  <c r="O162" i="14"/>
  <c r="L163" i="14"/>
  <c r="O163" i="14"/>
  <c r="L164" i="14"/>
  <c r="O164" i="14"/>
  <c r="L165" i="14"/>
  <c r="O165" i="14"/>
  <c r="L166" i="14"/>
  <c r="O166" i="14"/>
  <c r="G10" i="14"/>
  <c r="AM13" i="4"/>
  <c r="BU13" i="4"/>
  <c r="AK13" i="4"/>
  <c r="D10" i="14"/>
  <c r="K10" i="15"/>
  <c r="L10" i="15"/>
  <c r="K45" i="15"/>
  <c r="L45" i="15"/>
  <c r="K46" i="15"/>
  <c r="L46" i="15"/>
  <c r="K47" i="15"/>
  <c r="L47" i="15"/>
  <c r="K48" i="15"/>
  <c r="L48" i="15"/>
  <c r="K49" i="15"/>
  <c r="L49" i="15"/>
  <c r="K50" i="15"/>
  <c r="L50" i="15"/>
  <c r="K51" i="15"/>
  <c r="L51" i="15"/>
  <c r="K52" i="15"/>
  <c r="L52" i="15"/>
  <c r="K53" i="15"/>
  <c r="L53" i="15"/>
  <c r="K54" i="15"/>
  <c r="L54" i="15"/>
  <c r="K55" i="15"/>
  <c r="L55" i="15"/>
  <c r="K56" i="15"/>
  <c r="L56" i="15"/>
  <c r="K57" i="15"/>
  <c r="L57" i="15"/>
  <c r="K58" i="15"/>
  <c r="L58" i="15"/>
  <c r="K59" i="15"/>
  <c r="L59" i="15"/>
  <c r="K60" i="15"/>
  <c r="L60" i="15"/>
  <c r="K61" i="15"/>
  <c r="L61" i="15"/>
  <c r="K62" i="15"/>
  <c r="L62" i="15"/>
  <c r="K63" i="15"/>
  <c r="L63" i="15"/>
  <c r="K64" i="15"/>
  <c r="L64" i="15"/>
  <c r="K65" i="15"/>
  <c r="L65" i="15"/>
  <c r="K66" i="15"/>
  <c r="L66" i="15"/>
  <c r="K67" i="15"/>
  <c r="L67" i="15"/>
  <c r="AW107" i="4"/>
  <c r="AW108" i="4"/>
  <c r="AW109" i="4"/>
  <c r="AW110" i="4"/>
  <c r="AW111" i="4"/>
  <c r="AW112" i="4"/>
  <c r="AW113" i="4"/>
  <c r="AW114" i="4"/>
  <c r="AW115" i="4"/>
  <c r="AW116" i="4"/>
  <c r="AW117" i="4"/>
  <c r="AW118" i="4"/>
  <c r="AW119" i="4"/>
  <c r="AW120" i="4"/>
  <c r="AW121" i="4"/>
  <c r="AW122" i="4"/>
  <c r="AW123" i="4"/>
  <c r="AW124" i="4"/>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D10" i="13"/>
  <c r="E10" i="13"/>
  <c r="S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E45" i="13"/>
  <c r="S45" i="13"/>
  <c r="D46" i="13"/>
  <c r="E46" i="13"/>
  <c r="S46" i="13"/>
  <c r="D47" i="13"/>
  <c r="E47" i="13"/>
  <c r="S47" i="13"/>
  <c r="D48" i="13"/>
  <c r="E48" i="13"/>
  <c r="S48" i="13"/>
  <c r="D49" i="13"/>
  <c r="E49" i="13"/>
  <c r="S49" i="13"/>
  <c r="D50" i="13"/>
  <c r="E50" i="13"/>
  <c r="S50" i="13"/>
  <c r="D51" i="13"/>
  <c r="E51" i="13"/>
  <c r="S51" i="13"/>
  <c r="D52" i="13"/>
  <c r="E52" i="13"/>
  <c r="S52" i="13"/>
  <c r="D53" i="13"/>
  <c r="E53" i="13"/>
  <c r="S53" i="13"/>
  <c r="D54" i="13"/>
  <c r="E54" i="13"/>
  <c r="S54" i="13"/>
  <c r="D55" i="13"/>
  <c r="E55" i="13"/>
  <c r="S55" i="13"/>
  <c r="D56" i="13"/>
  <c r="E56" i="13"/>
  <c r="S56" i="13"/>
  <c r="D57" i="13"/>
  <c r="E57" i="13"/>
  <c r="S57" i="13"/>
  <c r="D58" i="13"/>
  <c r="E58" i="13"/>
  <c r="S58" i="13"/>
  <c r="D59" i="13"/>
  <c r="E59" i="13"/>
  <c r="S59" i="13"/>
  <c r="D60" i="13"/>
  <c r="E60" i="13"/>
  <c r="S60" i="13"/>
  <c r="D61" i="13"/>
  <c r="E61" i="13"/>
  <c r="S61" i="13"/>
  <c r="D62" i="13"/>
  <c r="E62" i="13"/>
  <c r="S62" i="13"/>
  <c r="D63" i="13"/>
  <c r="E63" i="13"/>
  <c r="S63" i="13"/>
  <c r="D64" i="13"/>
  <c r="E64" i="13"/>
  <c r="S64" i="13"/>
  <c r="D65" i="13"/>
  <c r="E65" i="13"/>
  <c r="S65" i="13"/>
  <c r="D66" i="13"/>
  <c r="E66" i="13"/>
  <c r="S66" i="13"/>
  <c r="D67" i="13"/>
  <c r="E67" i="13"/>
  <c r="S67" i="13"/>
  <c r="D68" i="13"/>
  <c r="E68" i="13"/>
  <c r="S68" i="13"/>
  <c r="D69" i="13"/>
  <c r="E69" i="13"/>
  <c r="S69" i="13"/>
  <c r="D70" i="13"/>
  <c r="E70" i="13"/>
  <c r="S70" i="13"/>
  <c r="D71" i="13"/>
  <c r="E71" i="13"/>
  <c r="S71" i="13"/>
  <c r="D72" i="13"/>
  <c r="E72" i="13"/>
  <c r="S72" i="13"/>
  <c r="D73" i="13"/>
  <c r="E73" i="13"/>
  <c r="S73" i="13"/>
  <c r="D74" i="13"/>
  <c r="E74" i="13"/>
  <c r="S74" i="13"/>
  <c r="D75" i="13"/>
  <c r="E75" i="13"/>
  <c r="S75" i="13"/>
  <c r="D76" i="13"/>
  <c r="E76" i="13"/>
  <c r="S76" i="13"/>
  <c r="D77" i="13"/>
  <c r="E77" i="13"/>
  <c r="S77" i="13"/>
  <c r="D78" i="13"/>
  <c r="E78" i="13"/>
  <c r="S78" i="13"/>
  <c r="D79" i="13"/>
  <c r="E79" i="13"/>
  <c r="S79" i="13"/>
  <c r="D80" i="13"/>
  <c r="E80" i="13"/>
  <c r="S80" i="13"/>
  <c r="D81" i="13"/>
  <c r="E81" i="13"/>
  <c r="S81" i="13"/>
  <c r="D82" i="13"/>
  <c r="E82" i="13"/>
  <c r="S82" i="13"/>
  <c r="D83" i="13"/>
  <c r="E83" i="13"/>
  <c r="S83" i="13"/>
  <c r="D84" i="13"/>
  <c r="E84" i="13"/>
  <c r="S84" i="13"/>
  <c r="D85" i="13"/>
  <c r="E85" i="13"/>
  <c r="S85" i="13"/>
  <c r="D86" i="13"/>
  <c r="E86" i="13"/>
  <c r="S86" i="13"/>
  <c r="D87" i="13"/>
  <c r="E87" i="13"/>
  <c r="S87" i="13"/>
  <c r="D88" i="13"/>
  <c r="E88" i="13"/>
  <c r="S88" i="13"/>
  <c r="D89" i="13"/>
  <c r="E89" i="13"/>
  <c r="S89" i="13"/>
  <c r="D90" i="13"/>
  <c r="E90" i="13"/>
  <c r="S90" i="13"/>
  <c r="D91" i="13"/>
  <c r="E91" i="13"/>
  <c r="S91" i="13"/>
  <c r="D92" i="13"/>
  <c r="E92" i="13"/>
  <c r="S92" i="13"/>
  <c r="D93" i="13"/>
  <c r="E93" i="13"/>
  <c r="S93" i="13"/>
  <c r="D94" i="13"/>
  <c r="E94" i="13"/>
  <c r="S94" i="13"/>
  <c r="D95" i="13"/>
  <c r="E95" i="13"/>
  <c r="S95" i="13"/>
  <c r="D96" i="13"/>
  <c r="E96" i="13"/>
  <c r="S96" i="13"/>
  <c r="D97" i="13"/>
  <c r="E97" i="13"/>
  <c r="S97" i="13"/>
  <c r="D98" i="13"/>
  <c r="E98" i="13"/>
  <c r="S98" i="13"/>
  <c r="D99" i="13"/>
  <c r="E99" i="13"/>
  <c r="S99" i="13"/>
  <c r="D100" i="13"/>
  <c r="E100" i="13"/>
  <c r="S100" i="13"/>
  <c r="D101" i="13"/>
  <c r="E101" i="13"/>
  <c r="S101" i="13"/>
  <c r="D102" i="13"/>
  <c r="E102" i="13"/>
  <c r="S102" i="13"/>
  <c r="D103" i="13"/>
  <c r="D104" i="13"/>
  <c r="E104" i="13"/>
  <c r="S104" i="13"/>
  <c r="D105" i="13"/>
  <c r="E105" i="13"/>
  <c r="S105" i="13"/>
  <c r="D106" i="13"/>
  <c r="E106" i="13"/>
  <c r="S106" i="13"/>
  <c r="D107" i="13"/>
  <c r="E107" i="13"/>
  <c r="S107" i="13"/>
  <c r="D108" i="13"/>
  <c r="E108" i="13"/>
  <c r="S108" i="13"/>
  <c r="D109" i="13"/>
  <c r="E109" i="13"/>
  <c r="S109" i="13"/>
  <c r="D110" i="13"/>
  <c r="E110" i="13"/>
  <c r="S110" i="13"/>
  <c r="D111" i="13"/>
  <c r="E111" i="13"/>
  <c r="S111" i="13"/>
  <c r="D112" i="13"/>
  <c r="E112" i="13"/>
  <c r="S112" i="13"/>
  <c r="D113" i="13"/>
  <c r="E113" i="13"/>
  <c r="S113" i="13"/>
  <c r="D114" i="13"/>
  <c r="E114" i="13"/>
  <c r="S114" i="13"/>
  <c r="D115" i="13"/>
  <c r="E115" i="13"/>
  <c r="S115" i="13"/>
  <c r="D116" i="13"/>
  <c r="E116" i="13"/>
  <c r="S116" i="13"/>
  <c r="D117" i="13"/>
  <c r="E117" i="13"/>
  <c r="S117" i="13"/>
  <c r="D118" i="13"/>
  <c r="E118" i="13"/>
  <c r="S118" i="13"/>
  <c r="D119" i="13"/>
  <c r="E119" i="13"/>
  <c r="S119" i="13"/>
  <c r="D120" i="13"/>
  <c r="E120" i="13"/>
  <c r="S120" i="13"/>
  <c r="D121" i="13"/>
  <c r="E121" i="13"/>
  <c r="S121" i="13"/>
  <c r="D122" i="13"/>
  <c r="E122" i="13"/>
  <c r="S122" i="13"/>
  <c r="D123" i="13"/>
  <c r="E123" i="13"/>
  <c r="S123" i="13"/>
  <c r="D124" i="13"/>
  <c r="E124" i="13"/>
  <c r="S124" i="13"/>
  <c r="D125" i="13"/>
  <c r="E125" i="13"/>
  <c r="S125" i="13"/>
  <c r="D126" i="13"/>
  <c r="E126" i="13"/>
  <c r="S126" i="13"/>
  <c r="D127" i="13"/>
  <c r="E127" i="13"/>
  <c r="S127" i="13"/>
  <c r="D128" i="13"/>
  <c r="E128" i="13"/>
  <c r="S128" i="13"/>
  <c r="D129" i="13"/>
  <c r="E129" i="13"/>
  <c r="S129" i="13"/>
  <c r="D130" i="13"/>
  <c r="E130" i="13"/>
  <c r="S130" i="13"/>
  <c r="D131" i="13"/>
  <c r="E131" i="13"/>
  <c r="S131" i="13"/>
  <c r="D132" i="13"/>
  <c r="E132" i="13"/>
  <c r="S132" i="13"/>
  <c r="D133" i="13"/>
  <c r="E133" i="13"/>
  <c r="S133" i="13"/>
  <c r="D134" i="13"/>
  <c r="E134" i="13"/>
  <c r="S134" i="13"/>
  <c r="D135" i="13"/>
  <c r="E135" i="13"/>
  <c r="S135" i="13"/>
  <c r="D136" i="13"/>
  <c r="E136" i="13"/>
  <c r="S136" i="13"/>
  <c r="D137" i="13"/>
  <c r="E137" i="13"/>
  <c r="S137" i="13"/>
  <c r="D138" i="13"/>
  <c r="E138" i="13"/>
  <c r="S138" i="13"/>
  <c r="D139" i="13"/>
  <c r="E139" i="13"/>
  <c r="S139" i="13"/>
  <c r="D140" i="13"/>
  <c r="E140" i="13"/>
  <c r="S140" i="13"/>
  <c r="D141" i="13"/>
  <c r="E141" i="13"/>
  <c r="S141" i="13"/>
  <c r="D142" i="13"/>
  <c r="D143" i="13"/>
  <c r="D144" i="13"/>
  <c r="E144" i="13"/>
  <c r="S144" i="13"/>
  <c r="D145" i="13"/>
  <c r="E145" i="13"/>
  <c r="S145" i="13"/>
  <c r="D146" i="13"/>
  <c r="E146" i="13"/>
  <c r="S146" i="13"/>
  <c r="D147" i="13"/>
  <c r="E147" i="13"/>
  <c r="S147" i="13"/>
  <c r="D148" i="13"/>
  <c r="E148" i="13"/>
  <c r="S148" i="13"/>
  <c r="D149" i="13"/>
  <c r="E149" i="13"/>
  <c r="S149" i="13"/>
  <c r="D150" i="13"/>
  <c r="E150" i="13"/>
  <c r="S150" i="13"/>
  <c r="D151" i="13"/>
  <c r="E151" i="13"/>
  <c r="S151" i="13"/>
  <c r="D152" i="13"/>
  <c r="E152" i="13"/>
  <c r="S152" i="13"/>
  <c r="D153" i="13"/>
  <c r="E153" i="13"/>
  <c r="S153" i="13"/>
  <c r="D154" i="13"/>
  <c r="E154" i="13"/>
  <c r="S154" i="13"/>
  <c r="D155" i="13"/>
  <c r="E155" i="13"/>
  <c r="S155" i="13"/>
  <c r="D156" i="13"/>
  <c r="E156" i="13"/>
  <c r="S156" i="13"/>
  <c r="D157" i="13"/>
  <c r="E157" i="13"/>
  <c r="S157" i="13"/>
  <c r="D158" i="13"/>
  <c r="E158" i="13"/>
  <c r="S158" i="13"/>
  <c r="D159" i="13"/>
  <c r="E159" i="13"/>
  <c r="S159" i="13"/>
  <c r="D160" i="13"/>
  <c r="E160" i="13"/>
  <c r="S160" i="13"/>
  <c r="D161" i="13"/>
  <c r="E161" i="13"/>
  <c r="S161" i="13"/>
  <c r="D162" i="13"/>
  <c r="E162" i="13"/>
  <c r="S162" i="13"/>
  <c r="D163" i="13"/>
  <c r="E163" i="13"/>
  <c r="S163" i="13"/>
  <c r="D164" i="13"/>
  <c r="E164" i="13"/>
  <c r="S164" i="13"/>
  <c r="D165" i="13"/>
  <c r="E165" i="13"/>
  <c r="S165" i="13"/>
  <c r="D166" i="13"/>
  <c r="E166" i="13"/>
  <c r="S166" i="13"/>
  <c r="C45" i="13"/>
  <c r="R45" i="13"/>
  <c r="C46" i="13"/>
  <c r="R46" i="13"/>
  <c r="C47" i="13"/>
  <c r="R47" i="13"/>
  <c r="C48" i="13"/>
  <c r="R48" i="13"/>
  <c r="C49" i="13"/>
  <c r="R49" i="13"/>
  <c r="C50" i="13"/>
  <c r="R50" i="13"/>
  <c r="C51" i="13"/>
  <c r="R51" i="13"/>
  <c r="C52" i="13"/>
  <c r="R52" i="13"/>
  <c r="C53" i="13"/>
  <c r="R53" i="13"/>
  <c r="C54" i="13"/>
  <c r="R54" i="13"/>
  <c r="C55" i="13"/>
  <c r="R55" i="13"/>
  <c r="C56" i="13"/>
  <c r="R56" i="13"/>
  <c r="C57" i="13"/>
  <c r="R57" i="13"/>
  <c r="C58" i="13"/>
  <c r="R58" i="13"/>
  <c r="C59" i="13"/>
  <c r="R59" i="13"/>
  <c r="C60" i="13"/>
  <c r="R60" i="13"/>
  <c r="C61" i="13"/>
  <c r="R61" i="13"/>
  <c r="C62" i="13"/>
  <c r="R62" i="13"/>
  <c r="C63" i="13"/>
  <c r="R63" i="13"/>
  <c r="C64" i="13"/>
  <c r="R64" i="13"/>
  <c r="C65" i="13"/>
  <c r="R65" i="13"/>
  <c r="C66" i="13"/>
  <c r="R66" i="13"/>
  <c r="C67" i="13"/>
  <c r="R67" i="13"/>
  <c r="C68" i="13"/>
  <c r="R68" i="13"/>
  <c r="C69" i="13"/>
  <c r="R69" i="13"/>
  <c r="C70" i="13"/>
  <c r="R70" i="13"/>
  <c r="C71" i="13"/>
  <c r="R71" i="13"/>
  <c r="C72" i="13"/>
  <c r="R72" i="13"/>
  <c r="C73" i="13"/>
  <c r="R73" i="13"/>
  <c r="C74" i="13"/>
  <c r="R74" i="13"/>
  <c r="C75" i="13"/>
  <c r="R75" i="13"/>
  <c r="C76" i="13"/>
  <c r="R76" i="13"/>
  <c r="C77" i="13"/>
  <c r="R77" i="13"/>
  <c r="C78" i="13"/>
  <c r="R78" i="13"/>
  <c r="C79" i="13"/>
  <c r="R79" i="13"/>
  <c r="C80" i="13"/>
  <c r="R80" i="13"/>
  <c r="C81" i="13"/>
  <c r="R81" i="13"/>
  <c r="C82" i="13"/>
  <c r="R82" i="13"/>
  <c r="C83" i="13"/>
  <c r="R83" i="13"/>
  <c r="C84" i="13"/>
  <c r="R84" i="13"/>
  <c r="C85" i="13"/>
  <c r="R85" i="13"/>
  <c r="C86" i="13"/>
  <c r="R86" i="13"/>
  <c r="C87" i="13"/>
  <c r="R87" i="13"/>
  <c r="C88" i="13"/>
  <c r="R88" i="13"/>
  <c r="C89" i="13"/>
  <c r="R89" i="13"/>
  <c r="C90" i="13"/>
  <c r="R90" i="13"/>
  <c r="C91" i="13"/>
  <c r="R91" i="13"/>
  <c r="C92" i="13"/>
  <c r="R92" i="13"/>
  <c r="C93" i="13"/>
  <c r="R93" i="13"/>
  <c r="C94" i="13"/>
  <c r="R94" i="13"/>
  <c r="C95" i="13"/>
  <c r="R95" i="13"/>
  <c r="C96" i="13"/>
  <c r="R96" i="13"/>
  <c r="C97" i="13"/>
  <c r="R97" i="13"/>
  <c r="C98" i="13"/>
  <c r="R98" i="13"/>
  <c r="C99" i="13"/>
  <c r="R99" i="13"/>
  <c r="C100" i="13"/>
  <c r="R100" i="13"/>
  <c r="C101" i="13"/>
  <c r="R101" i="13"/>
  <c r="C102" i="13"/>
  <c r="R102" i="13"/>
  <c r="C104" i="13"/>
  <c r="R104" i="13"/>
  <c r="C105" i="13"/>
  <c r="R105" i="13"/>
  <c r="R106" i="13"/>
  <c r="R107" i="13"/>
  <c r="R108" i="13"/>
  <c r="R109" i="13"/>
  <c r="R110" i="13"/>
  <c r="R111" i="13"/>
  <c r="R112" i="13"/>
  <c r="R113" i="13"/>
  <c r="R114" i="13"/>
  <c r="R115" i="13"/>
  <c r="R116" i="13"/>
  <c r="R117" i="13"/>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C10" i="13"/>
  <c r="R10" i="13"/>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S45" i="14"/>
  <c r="T45" i="14"/>
  <c r="S46" i="14"/>
  <c r="T46" i="14"/>
  <c r="S47" i="14"/>
  <c r="T47" i="14"/>
  <c r="S48" i="14"/>
  <c r="T48" i="14"/>
  <c r="S49" i="14"/>
  <c r="T49" i="14"/>
  <c r="S50" i="14"/>
  <c r="T50" i="14"/>
  <c r="S51" i="14"/>
  <c r="T51" i="14"/>
  <c r="S52" i="14"/>
  <c r="T52" i="14"/>
  <c r="S53" i="14"/>
  <c r="T53" i="14"/>
  <c r="S54" i="14"/>
  <c r="T54" i="14"/>
  <c r="S55" i="14"/>
  <c r="T55" i="14"/>
  <c r="S56" i="14"/>
  <c r="T56" i="14"/>
  <c r="S57" i="14"/>
  <c r="T57" i="14"/>
  <c r="S58" i="14"/>
  <c r="T58" i="14"/>
  <c r="S59" i="14"/>
  <c r="T59" i="14"/>
  <c r="S60" i="14"/>
  <c r="T60" i="14"/>
  <c r="S61" i="14"/>
  <c r="T61" i="14"/>
  <c r="S62" i="14"/>
  <c r="T62" i="14"/>
  <c r="S63" i="14"/>
  <c r="T63" i="14"/>
  <c r="S64" i="14"/>
  <c r="T64" i="14"/>
  <c r="S65" i="14"/>
  <c r="T65" i="14"/>
  <c r="S66" i="14"/>
  <c r="T66" i="14"/>
  <c r="S67" i="14"/>
  <c r="T67" i="14"/>
  <c r="S68" i="14"/>
  <c r="T68" i="14"/>
  <c r="S69" i="14"/>
  <c r="T69" i="14"/>
  <c r="S84" i="14"/>
  <c r="T84" i="14"/>
  <c r="S85" i="14"/>
  <c r="T85" i="14"/>
  <c r="S86" i="14"/>
  <c r="T86" i="14"/>
  <c r="S87" i="14"/>
  <c r="T87" i="14"/>
  <c r="S88" i="14"/>
  <c r="T88" i="14"/>
  <c r="S89" i="14"/>
  <c r="T89" i="14"/>
  <c r="S90" i="14"/>
  <c r="T90" i="14"/>
  <c r="S91" i="14"/>
  <c r="T91" i="14"/>
  <c r="S92" i="14"/>
  <c r="T92" i="14"/>
  <c r="S93" i="14"/>
  <c r="T93" i="14"/>
  <c r="S94" i="14"/>
  <c r="T94" i="14"/>
  <c r="S95" i="14"/>
  <c r="T95" i="14"/>
  <c r="S96" i="14"/>
  <c r="T96" i="14"/>
  <c r="S97" i="14"/>
  <c r="T97" i="14"/>
  <c r="S98" i="14"/>
  <c r="T98" i="14"/>
  <c r="S99" i="14"/>
  <c r="T99" i="14"/>
  <c r="S100" i="14"/>
  <c r="T100" i="14"/>
  <c r="S101" i="14"/>
  <c r="T101" i="14"/>
  <c r="S102" i="14"/>
  <c r="T102" i="14"/>
  <c r="S104" i="14"/>
  <c r="T104" i="14"/>
  <c r="S105" i="14"/>
  <c r="T105" i="14"/>
  <c r="S106" i="14"/>
  <c r="T106" i="14"/>
  <c r="S107" i="14"/>
  <c r="T107" i="14"/>
  <c r="S108" i="14"/>
  <c r="T108" i="14"/>
  <c r="S109" i="14"/>
  <c r="T109" i="14"/>
  <c r="S110" i="14"/>
  <c r="T110" i="14"/>
  <c r="S111" i="14"/>
  <c r="T111" i="14"/>
  <c r="S112" i="14"/>
  <c r="T112" i="14"/>
  <c r="S113" i="14"/>
  <c r="T113" i="14"/>
  <c r="S114" i="14"/>
  <c r="T114" i="14"/>
  <c r="S115" i="14"/>
  <c r="T115" i="14"/>
  <c r="S116" i="14"/>
  <c r="T116" i="14"/>
  <c r="S117" i="14"/>
  <c r="T117" i="14"/>
  <c r="S118" i="14"/>
  <c r="T118" i="14"/>
  <c r="S119" i="14"/>
  <c r="T119" i="14"/>
  <c r="S120" i="14"/>
  <c r="T120" i="14"/>
  <c r="S121" i="14"/>
  <c r="T121" i="14"/>
  <c r="S122" i="14"/>
  <c r="T122" i="14"/>
  <c r="S123" i="14"/>
  <c r="T123" i="14"/>
  <c r="S124" i="14"/>
  <c r="T124" i="14"/>
  <c r="S125" i="14"/>
  <c r="T125" i="14"/>
  <c r="S126" i="14"/>
  <c r="T126" i="14"/>
  <c r="S127" i="14"/>
  <c r="T127" i="14"/>
  <c r="S128" i="14"/>
  <c r="T128" i="14"/>
  <c r="S129" i="14"/>
  <c r="T129" i="14"/>
  <c r="S130" i="14"/>
  <c r="T130" i="14"/>
  <c r="S131" i="14"/>
  <c r="T131" i="14"/>
  <c r="S132" i="14"/>
  <c r="T132" i="14"/>
  <c r="S133" i="14"/>
  <c r="T133" i="14"/>
  <c r="S134" i="14"/>
  <c r="T134" i="14"/>
  <c r="S135" i="14"/>
  <c r="T135" i="14"/>
  <c r="S136" i="14"/>
  <c r="T136" i="14"/>
  <c r="S137" i="14"/>
  <c r="T137" i="14"/>
  <c r="S138" i="14"/>
  <c r="T138" i="14"/>
  <c r="S139" i="14"/>
  <c r="T139" i="14"/>
  <c r="S140" i="14"/>
  <c r="T140" i="14"/>
  <c r="S141" i="14"/>
  <c r="T141" i="14"/>
  <c r="S144" i="14"/>
  <c r="T144" i="14"/>
  <c r="S145" i="14"/>
  <c r="T145" i="14"/>
  <c r="S146" i="14"/>
  <c r="T146" i="14"/>
  <c r="S147" i="14"/>
  <c r="T147" i="14"/>
  <c r="S148" i="14"/>
  <c r="T148" i="14"/>
  <c r="S149" i="14"/>
  <c r="T149" i="14"/>
  <c r="S150" i="14"/>
  <c r="T150" i="14"/>
  <c r="S151" i="14"/>
  <c r="T151" i="14"/>
  <c r="S152" i="14"/>
  <c r="T152" i="14"/>
  <c r="S153" i="14"/>
  <c r="T153" i="14"/>
  <c r="S154" i="14"/>
  <c r="T154" i="14"/>
  <c r="S155" i="14"/>
  <c r="T155" i="14"/>
  <c r="S156" i="14"/>
  <c r="T156" i="14"/>
  <c r="S157" i="14"/>
  <c r="T157" i="14"/>
  <c r="S158" i="14"/>
  <c r="T158" i="14"/>
  <c r="S159" i="14"/>
  <c r="T159" i="14"/>
  <c r="S160" i="14"/>
  <c r="T160" i="14"/>
  <c r="S161" i="14"/>
  <c r="T161" i="14"/>
  <c r="S162" i="14"/>
  <c r="T162" i="14"/>
  <c r="S163" i="14"/>
  <c r="T163" i="14"/>
  <c r="S164" i="14"/>
  <c r="T164" i="14"/>
  <c r="S165" i="14"/>
  <c r="T165" i="14"/>
  <c r="S166" i="14"/>
  <c r="T166" i="14"/>
  <c r="N10" i="14"/>
  <c r="I10" i="14"/>
  <c r="J10" i="14"/>
  <c r="L10" i="14"/>
  <c r="M10" i="14"/>
  <c r="T10" i="14"/>
  <c r="S10" i="14"/>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D165" i="42"/>
  <c r="E37" i="50"/>
  <c r="N25" i="6"/>
  <c r="N24" i="6"/>
  <c r="N23" i="6"/>
  <c r="N22" i="6"/>
  <c r="N21" i="6"/>
  <c r="FJ18" i="4"/>
  <c r="FI18" i="4"/>
  <c r="BR19" i="29"/>
  <c r="FJ19" i="4"/>
  <c r="FI19" i="4"/>
  <c r="BR20" i="29"/>
  <c r="FJ20" i="4"/>
  <c r="FI20" i="4"/>
  <c r="BR21" i="29"/>
  <c r="FJ21" i="4"/>
  <c r="FI21" i="4"/>
  <c r="BR22" i="29"/>
  <c r="FJ22" i="4"/>
  <c r="FI22" i="4"/>
  <c r="BR23" i="29"/>
  <c r="G16" i="33"/>
  <c r="J41" i="33"/>
  <c r="J22" i="33"/>
  <c r="K22" i="33"/>
  <c r="F17" i="33"/>
  <c r="C90" i="32"/>
  <c r="D90" i="32"/>
  <c r="E90" i="32"/>
  <c r="F90" i="32"/>
  <c r="G91" i="32"/>
  <c r="G90" i="32"/>
  <c r="H91" i="32"/>
  <c r="H90" i="32"/>
  <c r="I90" i="32"/>
  <c r="J90" i="32"/>
  <c r="K90" i="32"/>
  <c r="GU79" i="4"/>
  <c r="L91" i="32"/>
  <c r="L90" i="32"/>
  <c r="M91" i="32"/>
  <c r="M90" i="32"/>
  <c r="N91" i="32"/>
  <c r="N90" i="32"/>
  <c r="L90" i="22"/>
  <c r="X90" i="32"/>
  <c r="Y90" i="32"/>
  <c r="Z90" i="32"/>
  <c r="K181" i="34"/>
  <c r="P49" i="36"/>
  <c r="O54" i="36"/>
  <c r="N54" i="36"/>
  <c r="P54" i="36"/>
  <c r="P55" i="36"/>
  <c r="O57" i="36"/>
  <c r="N57" i="36"/>
  <c r="P57" i="36"/>
  <c r="P58" i="36"/>
  <c r="O60" i="36"/>
  <c r="N60" i="36"/>
  <c r="P60" i="36"/>
  <c r="P61" i="36"/>
  <c r="O69" i="36"/>
  <c r="N69" i="36"/>
  <c r="P69" i="36"/>
  <c r="P70" i="36"/>
  <c r="O72" i="36"/>
  <c r="N72" i="36"/>
  <c r="P72" i="36"/>
  <c r="P73" i="36"/>
  <c r="O75" i="36"/>
  <c r="N75" i="36"/>
  <c r="P75" i="36"/>
  <c r="P76" i="36"/>
  <c r="O78" i="36"/>
  <c r="N78" i="36"/>
  <c r="P78" i="36"/>
  <c r="P79" i="36"/>
  <c r="J49" i="36"/>
  <c r="J55" i="36"/>
  <c r="J58" i="36"/>
  <c r="J61" i="36"/>
  <c r="J67" i="36"/>
  <c r="J70" i="36"/>
  <c r="J73" i="36"/>
  <c r="J76" i="36"/>
  <c r="J79" i="36"/>
  <c r="I9" i="36"/>
  <c r="I15" i="36"/>
  <c r="I18" i="36"/>
  <c r="I24" i="36"/>
  <c r="H27" i="36"/>
  <c r="H24" i="36"/>
  <c r="H21" i="36"/>
  <c r="H18" i="36"/>
  <c r="H15" i="36"/>
  <c r="H12" i="36"/>
  <c r="H9" i="36"/>
  <c r="C9" i="48"/>
  <c r="L21" i="50"/>
  <c r="J9" i="48"/>
  <c r="C10" i="48"/>
  <c r="L22" i="50"/>
  <c r="J10" i="48"/>
  <c r="C11" i="48"/>
  <c r="L23" i="50"/>
  <c r="J11" i="48"/>
  <c r="C12" i="48"/>
  <c r="L24" i="50"/>
  <c r="J12" i="48"/>
  <c r="T11" i="21"/>
  <c r="T12" i="21"/>
  <c r="T13" i="21"/>
  <c r="T14" i="21"/>
  <c r="T15" i="21"/>
  <c r="T16" i="21"/>
  <c r="T17" i="21"/>
  <c r="T18" i="21"/>
  <c r="T19" i="21"/>
  <c r="K20" i="21"/>
  <c r="T20" i="21"/>
  <c r="K21"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0" i="21"/>
  <c r="B10" i="21"/>
  <c r="S10" i="21"/>
  <c r="B11" i="21"/>
  <c r="S11" i="21"/>
  <c r="B12" i="21"/>
  <c r="S12" i="21"/>
  <c r="B13" i="21"/>
  <c r="S13" i="21"/>
  <c r="B14" i="21"/>
  <c r="S14" i="21"/>
  <c r="B15" i="21"/>
  <c r="S15" i="21"/>
  <c r="B16" i="21"/>
  <c r="S16" i="21"/>
  <c r="B17" i="21"/>
  <c r="B18" i="21"/>
  <c r="B19" i="21"/>
  <c r="B20" i="21"/>
  <c r="B21" i="21"/>
  <c r="B22" i="21"/>
  <c r="B23" i="21"/>
  <c r="B24" i="21"/>
  <c r="S17" i="21"/>
  <c r="S18" i="21"/>
  <c r="S19" i="21"/>
  <c r="S20" i="21"/>
  <c r="S21" i="21"/>
  <c r="S22" i="21"/>
  <c r="S23" i="21"/>
  <c r="S24" i="21"/>
  <c r="C25" i="21"/>
  <c r="D25" i="21"/>
  <c r="B25" i="21"/>
  <c r="S25" i="21"/>
  <c r="J16" i="21"/>
  <c r="H16" i="21"/>
  <c r="J17" i="21"/>
  <c r="H17" i="21"/>
  <c r="J18" i="21"/>
  <c r="H18" i="21"/>
  <c r="J19" i="21"/>
  <c r="H19" i="21"/>
  <c r="J20" i="21"/>
  <c r="H20" i="21"/>
  <c r="J21" i="21"/>
  <c r="H21" i="21"/>
  <c r="J22" i="21"/>
  <c r="H22" i="21"/>
  <c r="J23" i="21"/>
  <c r="H23" i="21"/>
  <c r="J24" i="21"/>
  <c r="H24" i="21"/>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B100" i="53"/>
  <c r="B99" i="53"/>
  <c r="B98" i="53"/>
  <c r="B97" i="53"/>
  <c r="B96" i="53"/>
  <c r="B95" i="53"/>
  <c r="B94" i="53"/>
  <c r="B93" i="53"/>
  <c r="B92" i="53"/>
  <c r="B91" i="53"/>
  <c r="B90" i="53"/>
  <c r="B89" i="53"/>
  <c r="B88" i="53"/>
  <c r="B87" i="53"/>
  <c r="B86" i="53"/>
  <c r="B85" i="53"/>
  <c r="B84" i="53"/>
  <c r="B83" i="53"/>
  <c r="B82" i="53"/>
  <c r="B81" i="53"/>
  <c r="B80" i="53"/>
  <c r="B79" i="53"/>
  <c r="B78" i="53"/>
  <c r="B77" i="53"/>
  <c r="B76" i="53"/>
  <c r="B75" i="53"/>
  <c r="B74" i="53"/>
  <c r="B73" i="53"/>
  <c r="B72" i="53"/>
  <c r="B71" i="53"/>
  <c r="B70" i="53"/>
  <c r="AW70" i="44"/>
  <c r="B69" i="53"/>
  <c r="AW69" i="44"/>
  <c r="B68" i="53"/>
  <c r="AW68" i="44"/>
  <c r="B67" i="53"/>
  <c r="AW67" i="44"/>
  <c r="B66" i="53"/>
  <c r="AW66" i="44"/>
  <c r="B65" i="53"/>
  <c r="AW65" i="44"/>
  <c r="B64" i="53"/>
  <c r="AW64" i="44"/>
  <c r="B63" i="53"/>
  <c r="AW63" i="44"/>
  <c r="B62" i="53"/>
  <c r="AW62" i="44"/>
  <c r="B61" i="53"/>
  <c r="AW61" i="44"/>
  <c r="B60" i="53"/>
  <c r="AW60" i="44"/>
  <c r="B59" i="53"/>
  <c r="AW59" i="44"/>
  <c r="B58" i="53"/>
  <c r="AW58" i="44"/>
  <c r="B57" i="53"/>
  <c r="AW57" i="44"/>
  <c r="B56" i="53"/>
  <c r="AW56" i="44"/>
  <c r="B55" i="53"/>
  <c r="AW55" i="44"/>
  <c r="B54" i="53"/>
  <c r="AW54" i="44"/>
  <c r="B53" i="53"/>
  <c r="AW53" i="44"/>
  <c r="B52" i="53"/>
  <c r="AW52" i="44"/>
  <c r="B51" i="53"/>
  <c r="AW51" i="44"/>
  <c r="B50" i="53"/>
  <c r="AW50" i="44"/>
  <c r="B49" i="53"/>
  <c r="AW49" i="44"/>
  <c r="B48" i="53"/>
  <c r="AW48" i="44"/>
  <c r="B47" i="53"/>
  <c r="AW47" i="44"/>
  <c r="B46" i="53"/>
  <c r="AW46" i="44"/>
  <c r="B45" i="53"/>
  <c r="AW45" i="44"/>
  <c r="B44" i="53"/>
  <c r="AW44" i="44"/>
  <c r="B43" i="53"/>
  <c r="AW43" i="44"/>
  <c r="B42" i="53"/>
  <c r="AW42" i="44"/>
  <c r="B41" i="53"/>
  <c r="AW41" i="44"/>
  <c r="B40" i="53"/>
  <c r="AW40" i="44"/>
  <c r="B39" i="53"/>
  <c r="AW39" i="44"/>
  <c r="B38" i="53"/>
  <c r="AW38" i="44"/>
  <c r="B37" i="53"/>
  <c r="AW37" i="44"/>
  <c r="B36" i="53"/>
  <c r="AW36" i="44"/>
  <c r="B35" i="53"/>
  <c r="AW35" i="44"/>
  <c r="B34" i="53"/>
  <c r="AW34" i="44"/>
  <c r="B33" i="53"/>
  <c r="AW33" i="44"/>
  <c r="B32" i="53"/>
  <c r="AW32" i="44"/>
  <c r="B31" i="53"/>
  <c r="AW31" i="44"/>
  <c r="B30" i="53"/>
  <c r="AW30" i="44"/>
  <c r="B29" i="53"/>
  <c r="AW29" i="44"/>
  <c r="B28" i="53"/>
  <c r="AW28" i="44"/>
  <c r="B27" i="53"/>
  <c r="AW27" i="44"/>
  <c r="B26" i="53"/>
  <c r="AW26" i="44"/>
  <c r="B25" i="53"/>
  <c r="AW25" i="44"/>
  <c r="B24" i="53"/>
  <c r="AW24" i="44"/>
  <c r="B23" i="53"/>
  <c r="AW23" i="44"/>
  <c r="B22" i="53"/>
  <c r="AW22" i="44"/>
  <c r="B21" i="53"/>
  <c r="AW21" i="44"/>
  <c r="B20" i="53"/>
  <c r="AW20" i="44"/>
  <c r="B19" i="53"/>
  <c r="AW19" i="44"/>
  <c r="B18" i="53"/>
  <c r="AW18" i="44"/>
  <c r="B17" i="53"/>
  <c r="AW17" i="44"/>
  <c r="B16" i="53"/>
  <c r="AW16" i="44"/>
  <c r="B15" i="53"/>
  <c r="AW15" i="44"/>
  <c r="B14" i="53"/>
  <c r="AW14" i="44"/>
  <c r="B13" i="53"/>
  <c r="AW13" i="44"/>
  <c r="B12" i="53"/>
  <c r="AW12" i="44"/>
  <c r="B11" i="53"/>
  <c r="AW11" i="44"/>
  <c r="B10" i="53"/>
  <c r="E1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F11" i="53"/>
  <c r="E12" i="53"/>
  <c r="F12" i="53"/>
  <c r="E13" i="53"/>
  <c r="F13" i="53"/>
  <c r="E14" i="53"/>
  <c r="F14" i="53"/>
  <c r="E15" i="53"/>
  <c r="F15" i="53"/>
  <c r="E16" i="53"/>
  <c r="F16" i="53"/>
  <c r="E17" i="53"/>
  <c r="F17" i="53"/>
  <c r="E18" i="53"/>
  <c r="F18" i="53"/>
  <c r="E19" i="53"/>
  <c r="F19" i="53"/>
  <c r="E20" i="53"/>
  <c r="F20" i="53"/>
  <c r="E21" i="53"/>
  <c r="F21" i="53"/>
  <c r="E22" i="53"/>
  <c r="F22" i="53"/>
  <c r="E23" i="53"/>
  <c r="F23" i="53"/>
  <c r="E24" i="53"/>
  <c r="F24" i="53"/>
  <c r="E25" i="53"/>
  <c r="F25" i="53"/>
  <c r="E26" i="53"/>
  <c r="F26" i="53"/>
  <c r="E27" i="53"/>
  <c r="F27" i="53"/>
  <c r="E28" i="53"/>
  <c r="F28" i="53"/>
  <c r="E29" i="53"/>
  <c r="F29" i="53"/>
  <c r="E30" i="53"/>
  <c r="F30" i="53"/>
  <c r="E31" i="53"/>
  <c r="F31" i="53"/>
  <c r="E32" i="53"/>
  <c r="F32" i="53"/>
  <c r="E33" i="53"/>
  <c r="F33" i="53"/>
  <c r="E34" i="53"/>
  <c r="F34" i="53"/>
  <c r="E35" i="53"/>
  <c r="F35" i="53"/>
  <c r="E36" i="53"/>
  <c r="F36" i="53"/>
  <c r="E37" i="53"/>
  <c r="F37" i="53"/>
  <c r="E38" i="53"/>
  <c r="F38" i="53"/>
  <c r="E39" i="53"/>
  <c r="F39" i="53"/>
  <c r="E40" i="53"/>
  <c r="F40" i="53"/>
  <c r="E41" i="53"/>
  <c r="F41" i="53"/>
  <c r="E42" i="53"/>
  <c r="F42" i="53"/>
  <c r="E43" i="53"/>
  <c r="F43" i="53"/>
  <c r="E44" i="53"/>
  <c r="F44" i="53"/>
  <c r="E45" i="53"/>
  <c r="F45" i="53"/>
  <c r="E46" i="53"/>
  <c r="F46" i="53"/>
  <c r="E47" i="53"/>
  <c r="F47" i="53"/>
  <c r="E48" i="53"/>
  <c r="F48" i="53"/>
  <c r="E49" i="53"/>
  <c r="F49" i="53"/>
  <c r="E50" i="53"/>
  <c r="F50" i="53"/>
  <c r="E51" i="53"/>
  <c r="F51" i="53"/>
  <c r="E52" i="53"/>
  <c r="F52" i="53"/>
  <c r="E53" i="53"/>
  <c r="F53" i="53"/>
  <c r="E54" i="53"/>
  <c r="F54" i="53"/>
  <c r="E55" i="53"/>
  <c r="F55" i="53"/>
  <c r="E56" i="53"/>
  <c r="F56" i="53"/>
  <c r="E57" i="53"/>
  <c r="F57" i="53"/>
  <c r="E58" i="53"/>
  <c r="F58" i="53"/>
  <c r="E59" i="53"/>
  <c r="F59" i="53"/>
  <c r="E60" i="53"/>
  <c r="F60" i="53"/>
  <c r="E61" i="53"/>
  <c r="F61" i="53"/>
  <c r="E62" i="53"/>
  <c r="F62" i="53"/>
  <c r="E63" i="53"/>
  <c r="F63" i="53"/>
  <c r="E64" i="53"/>
  <c r="F64" i="53"/>
  <c r="E65" i="53"/>
  <c r="F65" i="53"/>
  <c r="E66" i="53"/>
  <c r="F66" i="53"/>
  <c r="E67" i="53"/>
  <c r="F67" i="53"/>
  <c r="E68" i="53"/>
  <c r="F68" i="53"/>
  <c r="E69" i="53"/>
  <c r="F69" i="53"/>
  <c r="E70" i="53"/>
  <c r="F70" i="53"/>
  <c r="E71" i="53"/>
  <c r="F71" i="53"/>
  <c r="E72" i="53"/>
  <c r="F72" i="53"/>
  <c r="E73" i="53"/>
  <c r="F73" i="53"/>
  <c r="E74" i="53"/>
  <c r="F74" i="53"/>
  <c r="E75" i="53"/>
  <c r="F75" i="53"/>
  <c r="E76" i="53"/>
  <c r="F76" i="53"/>
  <c r="E77" i="53"/>
  <c r="F77" i="53"/>
  <c r="E78" i="53"/>
  <c r="F78" i="53"/>
  <c r="E79" i="53"/>
  <c r="F79" i="53"/>
  <c r="E80" i="53"/>
  <c r="F80" i="53"/>
  <c r="E81" i="53"/>
  <c r="F81" i="53"/>
  <c r="E82" i="53"/>
  <c r="F82" i="53"/>
  <c r="E83" i="53"/>
  <c r="F83" i="53"/>
  <c r="E84" i="53"/>
  <c r="F84" i="53"/>
  <c r="E85" i="53"/>
  <c r="F85" i="53"/>
  <c r="E86" i="53"/>
  <c r="F86" i="53"/>
  <c r="E87" i="53"/>
  <c r="F87" i="53"/>
  <c r="E88" i="53"/>
  <c r="F88" i="53"/>
  <c r="E89" i="53"/>
  <c r="F89" i="53"/>
  <c r="E90" i="53"/>
  <c r="F90" i="53"/>
  <c r="E91" i="53"/>
  <c r="F91" i="53"/>
  <c r="E92" i="53"/>
  <c r="F92" i="53"/>
  <c r="E93" i="53"/>
  <c r="F93" i="53"/>
  <c r="E94" i="53"/>
  <c r="F94" i="53"/>
  <c r="E95" i="53"/>
  <c r="F95" i="53"/>
  <c r="E96" i="53"/>
  <c r="F96" i="53"/>
  <c r="E97" i="53"/>
  <c r="F97" i="53"/>
  <c r="E98" i="53"/>
  <c r="F98" i="53"/>
  <c r="E99" i="53"/>
  <c r="F99" i="53"/>
  <c r="E100" i="53"/>
  <c r="F100" i="53"/>
  <c r="E101" i="53"/>
  <c r="F101" i="53"/>
  <c r="E102" i="53"/>
  <c r="F102" i="53"/>
  <c r="E103" i="53"/>
  <c r="F103" i="53"/>
  <c r="E104" i="53"/>
  <c r="F104" i="53"/>
  <c r="E105" i="53"/>
  <c r="F105" i="53"/>
  <c r="E106" i="53"/>
  <c r="F106" i="53"/>
  <c r="E107" i="53"/>
  <c r="F107" i="53"/>
  <c r="E108" i="53"/>
  <c r="F108" i="53"/>
  <c r="E109" i="53"/>
  <c r="F109" i="53"/>
  <c r="E110" i="53"/>
  <c r="F110" i="53"/>
  <c r="Y172" i="25"/>
  <c r="B43" i="40"/>
  <c r="B32" i="40"/>
  <c r="B31" i="40"/>
  <c r="B30" i="40"/>
  <c r="B27" i="40"/>
  <c r="Y185" i="25"/>
  <c r="Y182" i="25"/>
  <c r="Y175" i="25"/>
  <c r="Y179" i="25"/>
  <c r="Y178" i="25"/>
  <c r="G111" i="53"/>
  <c r="G112" i="53"/>
  <c r="G113" i="53"/>
  <c r="G114" i="53"/>
  <c r="G115" i="53"/>
  <c r="G116" i="53"/>
  <c r="G117" i="53"/>
  <c r="G118" i="53"/>
  <c r="G119" i="53"/>
  <c r="G120" i="53"/>
  <c r="G121" i="53"/>
  <c r="G122" i="53"/>
  <c r="G123" i="53"/>
  <c r="G124" i="53"/>
  <c r="G125" i="53"/>
  <c r="G126" i="53"/>
  <c r="G127" i="53"/>
  <c r="G128"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53"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79" i="53"/>
  <c r="G180" i="53"/>
  <c r="G181" i="53"/>
  <c r="G182" i="53"/>
  <c r="G183" i="53"/>
  <c r="G184" i="53"/>
  <c r="G185" i="53"/>
  <c r="G186" i="53"/>
  <c r="G187" i="53"/>
  <c r="G188" i="53"/>
  <c r="G189" i="53"/>
  <c r="G190" i="53"/>
  <c r="G191" i="53"/>
  <c r="G192" i="53"/>
  <c r="G193" i="53"/>
  <c r="G194" i="53"/>
  <c r="G195" i="53"/>
  <c r="G196" i="53"/>
  <c r="G197" i="53"/>
  <c r="G198" i="53"/>
  <c r="G199" i="53"/>
  <c r="G200" i="53"/>
  <c r="G201" i="53"/>
  <c r="G202" i="53"/>
  <c r="G203" i="53"/>
  <c r="G204" i="53"/>
  <c r="G205" i="53"/>
  <c r="G206" i="53"/>
  <c r="G207" i="53"/>
  <c r="G208" i="53"/>
  <c r="G209" i="53"/>
  <c r="G210" i="53"/>
  <c r="G211" i="53"/>
  <c r="G212" i="53"/>
  <c r="G213" i="53"/>
  <c r="G214" i="53"/>
  <c r="G215" i="53"/>
  <c r="G216" i="53"/>
  <c r="G217" i="53"/>
  <c r="G218" i="53"/>
  <c r="G219" i="53"/>
  <c r="G220" i="53"/>
  <c r="G221" i="53"/>
  <c r="G222" i="53"/>
  <c r="G223" i="53"/>
  <c r="G224" i="53"/>
  <c r="G225" i="53"/>
  <c r="G226" i="53"/>
  <c r="G227" i="53"/>
  <c r="G228" i="53"/>
  <c r="G229" i="53"/>
  <c r="G230" i="53"/>
  <c r="G231" i="53"/>
  <c r="G232" i="53"/>
  <c r="G233" i="53"/>
  <c r="G234" i="53"/>
  <c r="G235" i="53"/>
  <c r="G236" i="53"/>
  <c r="G237" i="53"/>
  <c r="G238" i="53"/>
  <c r="G239" i="53"/>
  <c r="G240" i="53"/>
  <c r="G241" i="53"/>
  <c r="G242" i="53"/>
  <c r="G243" i="53"/>
  <c r="G244" i="53"/>
  <c r="G245" i="53"/>
  <c r="G246" i="53"/>
  <c r="G247" i="53"/>
  <c r="G248" i="53"/>
  <c r="G249" i="53"/>
  <c r="G250" i="53"/>
  <c r="G251" i="53"/>
  <c r="G252" i="53"/>
  <c r="G253" i="53"/>
  <c r="G254" i="53"/>
  <c r="G255" i="53"/>
  <c r="G256" i="53"/>
  <c r="G257" i="53"/>
  <c r="G258" i="53"/>
  <c r="G259" i="53"/>
  <c r="G260" i="53"/>
  <c r="G261" i="53"/>
  <c r="G262" i="53"/>
  <c r="G263" i="53"/>
  <c r="G264" i="53"/>
  <c r="G265" i="53"/>
  <c r="G266" i="53"/>
  <c r="G267" i="53"/>
  <c r="G268" i="53"/>
  <c r="G269" i="53"/>
  <c r="G270" i="53"/>
  <c r="G271" i="53"/>
  <c r="G272" i="53"/>
  <c r="G273" i="53"/>
  <c r="G274" i="53"/>
  <c r="G275" i="53"/>
  <c r="G276" i="53"/>
  <c r="G277" i="53"/>
  <c r="G278" i="53"/>
  <c r="G279" i="53"/>
  <c r="G280" i="53"/>
  <c r="G281" i="53"/>
  <c r="G282" i="53"/>
  <c r="G283" i="53"/>
  <c r="G284" i="53"/>
  <c r="G285" i="53"/>
  <c r="G286" i="53"/>
  <c r="G287" i="53"/>
  <c r="G288" i="53"/>
  <c r="G289" i="53"/>
  <c r="G290" i="53"/>
  <c r="G291" i="53"/>
  <c r="G292" i="53"/>
  <c r="G293" i="53"/>
  <c r="G294" i="53"/>
  <c r="G295" i="53"/>
  <c r="G296" i="53"/>
  <c r="G297" i="53"/>
  <c r="G298" i="53"/>
  <c r="G299" i="53"/>
  <c r="G300" i="53"/>
  <c r="G301" i="53"/>
  <c r="G302" i="53"/>
  <c r="G303" i="53"/>
  <c r="G304" i="53"/>
  <c r="G305" i="53"/>
  <c r="G306" i="53"/>
  <c r="G307" i="53"/>
  <c r="G308" i="53"/>
  <c r="G309" i="53"/>
  <c r="G310" i="53"/>
  <c r="G311" i="53"/>
  <c r="G312" i="53"/>
  <c r="G313" i="53"/>
  <c r="G314" i="53"/>
  <c r="G315" i="53"/>
  <c r="G316" i="53"/>
  <c r="G317" i="53"/>
  <c r="G110" i="53"/>
  <c r="E112" i="53"/>
  <c r="F112" i="53"/>
  <c r="E113" i="53"/>
  <c r="F113" i="53"/>
  <c r="E114" i="53"/>
  <c r="F114" i="53"/>
  <c r="E115" i="53"/>
  <c r="F115" i="53"/>
  <c r="E116" i="53"/>
  <c r="F116" i="53"/>
  <c r="E117" i="53"/>
  <c r="F117" i="53"/>
  <c r="E118" i="53"/>
  <c r="F118" i="53"/>
  <c r="E119" i="53"/>
  <c r="F119" i="53"/>
  <c r="E120" i="53"/>
  <c r="F120" i="53"/>
  <c r="E121" i="53"/>
  <c r="F121" i="53"/>
  <c r="E122" i="53"/>
  <c r="F122" i="53"/>
  <c r="E123" i="53"/>
  <c r="F123" i="53"/>
  <c r="E124" i="53"/>
  <c r="F124" i="53"/>
  <c r="E125" i="53"/>
  <c r="F125" i="53"/>
  <c r="E126" i="53"/>
  <c r="F126" i="53"/>
  <c r="E127" i="53"/>
  <c r="F127" i="53"/>
  <c r="E128" i="53"/>
  <c r="F128" i="53"/>
  <c r="E129" i="53"/>
  <c r="F129" i="53"/>
  <c r="E130" i="53"/>
  <c r="F130" i="53"/>
  <c r="E131" i="53"/>
  <c r="F131" i="53"/>
  <c r="E132" i="53"/>
  <c r="F132" i="53"/>
  <c r="E133" i="53"/>
  <c r="F133" i="53"/>
  <c r="E134" i="53"/>
  <c r="F134" i="53"/>
  <c r="E135" i="53"/>
  <c r="F135" i="53"/>
  <c r="E136" i="53"/>
  <c r="F136" i="53"/>
  <c r="E137" i="53"/>
  <c r="F137" i="53"/>
  <c r="E138" i="53"/>
  <c r="F138" i="53"/>
  <c r="E139" i="53"/>
  <c r="F139" i="53"/>
  <c r="E140" i="53"/>
  <c r="F140" i="53"/>
  <c r="E141" i="53"/>
  <c r="F141" i="53"/>
  <c r="E142" i="53"/>
  <c r="F142" i="53"/>
  <c r="E143" i="53"/>
  <c r="F143" i="53"/>
  <c r="E144" i="53"/>
  <c r="F144" i="53"/>
  <c r="E145" i="53"/>
  <c r="F145" i="53"/>
  <c r="E146" i="53"/>
  <c r="F146" i="53"/>
  <c r="E147" i="53"/>
  <c r="F147" i="53"/>
  <c r="E148" i="53"/>
  <c r="F148" i="53"/>
  <c r="E149" i="53"/>
  <c r="F149" i="53"/>
  <c r="E150" i="53"/>
  <c r="F150" i="53"/>
  <c r="E151" i="53"/>
  <c r="F151" i="53"/>
  <c r="E152" i="53"/>
  <c r="F152" i="53"/>
  <c r="E153" i="53"/>
  <c r="F153" i="53"/>
  <c r="E154" i="53"/>
  <c r="F154" i="53"/>
  <c r="E155" i="53"/>
  <c r="F155" i="53"/>
  <c r="E156" i="53"/>
  <c r="F156" i="53"/>
  <c r="E157" i="53"/>
  <c r="F157" i="53"/>
  <c r="E158" i="53"/>
  <c r="F158" i="53"/>
  <c r="E159" i="53"/>
  <c r="F159" i="53"/>
  <c r="E160" i="53"/>
  <c r="F160" i="53"/>
  <c r="E161" i="53"/>
  <c r="F161" i="53"/>
  <c r="E162" i="53"/>
  <c r="F162" i="53"/>
  <c r="E163" i="53"/>
  <c r="F163" i="53"/>
  <c r="E164" i="53"/>
  <c r="F164" i="53"/>
  <c r="E165" i="53"/>
  <c r="F165" i="53"/>
  <c r="B166" i="53"/>
  <c r="E166" i="53"/>
  <c r="F166" i="53"/>
  <c r="B167" i="53"/>
  <c r="E167" i="53"/>
  <c r="F167" i="53"/>
  <c r="B168" i="53"/>
  <c r="E168" i="53"/>
  <c r="F168" i="53"/>
  <c r="B169" i="53"/>
  <c r="E169" i="53"/>
  <c r="F169" i="53"/>
  <c r="B170" i="53"/>
  <c r="E170" i="53"/>
  <c r="F170" i="53"/>
  <c r="B171" i="53"/>
  <c r="E171" i="53"/>
  <c r="F171" i="53"/>
  <c r="B172" i="53"/>
  <c r="E172" i="53"/>
  <c r="F172" i="53"/>
  <c r="B173" i="53"/>
  <c r="E173" i="53"/>
  <c r="F173" i="53"/>
  <c r="B174" i="53"/>
  <c r="E174" i="53"/>
  <c r="F174" i="53"/>
  <c r="B175" i="53"/>
  <c r="E175" i="53"/>
  <c r="F175" i="53"/>
  <c r="B176" i="53"/>
  <c r="E176" i="53"/>
  <c r="F176" i="53"/>
  <c r="B177" i="53"/>
  <c r="E177" i="53"/>
  <c r="F177" i="53"/>
  <c r="B178" i="53"/>
  <c r="E178" i="53"/>
  <c r="F178" i="53"/>
  <c r="B179" i="53"/>
  <c r="E179" i="53"/>
  <c r="F179" i="53"/>
  <c r="B180" i="53"/>
  <c r="E180" i="53"/>
  <c r="F180" i="53"/>
  <c r="B181" i="53"/>
  <c r="E181" i="53"/>
  <c r="F181" i="53"/>
  <c r="B182" i="53"/>
  <c r="E182" i="53"/>
  <c r="F182" i="53"/>
  <c r="B183" i="53"/>
  <c r="E183" i="53"/>
  <c r="F183" i="53"/>
  <c r="B184" i="53"/>
  <c r="E184" i="53"/>
  <c r="F184" i="53"/>
  <c r="B185" i="53"/>
  <c r="E185" i="53"/>
  <c r="F185" i="53"/>
  <c r="B186" i="53"/>
  <c r="E186" i="53"/>
  <c r="F186" i="53"/>
  <c r="B187" i="53"/>
  <c r="E187" i="53"/>
  <c r="F187" i="53"/>
  <c r="B188" i="53"/>
  <c r="E188" i="53"/>
  <c r="F188" i="53"/>
  <c r="B189" i="53"/>
  <c r="E189" i="53"/>
  <c r="F189" i="53"/>
  <c r="B190" i="53"/>
  <c r="E190" i="53"/>
  <c r="F190" i="53"/>
  <c r="B191" i="53"/>
  <c r="E191" i="53"/>
  <c r="F191" i="53"/>
  <c r="B192" i="53"/>
  <c r="E192" i="53"/>
  <c r="F192" i="53"/>
  <c r="B193" i="53"/>
  <c r="E193" i="53"/>
  <c r="F193" i="53"/>
  <c r="B194" i="53"/>
  <c r="E194" i="53"/>
  <c r="F194" i="53"/>
  <c r="B195" i="53"/>
  <c r="E195" i="53"/>
  <c r="F195" i="53"/>
  <c r="B196" i="53"/>
  <c r="E196" i="53"/>
  <c r="F196" i="53"/>
  <c r="B197" i="53"/>
  <c r="E197" i="53"/>
  <c r="F197" i="53"/>
  <c r="B198" i="53"/>
  <c r="E198" i="53"/>
  <c r="F198" i="53"/>
  <c r="B199" i="53"/>
  <c r="E199" i="53"/>
  <c r="F199" i="53"/>
  <c r="B200" i="53"/>
  <c r="E200" i="53"/>
  <c r="F200" i="53"/>
  <c r="B201" i="53"/>
  <c r="E201" i="53"/>
  <c r="F201" i="53"/>
  <c r="B202" i="53"/>
  <c r="E202" i="53"/>
  <c r="F202" i="53"/>
  <c r="B203" i="53"/>
  <c r="E203" i="53"/>
  <c r="F203" i="53"/>
  <c r="B204" i="53"/>
  <c r="E204" i="53"/>
  <c r="F204" i="53"/>
  <c r="B205" i="53"/>
  <c r="E205" i="53"/>
  <c r="F205" i="53"/>
  <c r="B206" i="53"/>
  <c r="E206" i="53"/>
  <c r="F206" i="53"/>
  <c r="B207" i="53"/>
  <c r="E207" i="53"/>
  <c r="F207" i="53"/>
  <c r="B208" i="53"/>
  <c r="E208" i="53"/>
  <c r="F208" i="53"/>
  <c r="B209" i="53"/>
  <c r="E209" i="53"/>
  <c r="F209" i="53"/>
  <c r="B210" i="53"/>
  <c r="E210" i="53"/>
  <c r="F210" i="53"/>
  <c r="B211" i="53"/>
  <c r="E211" i="53"/>
  <c r="F211" i="53"/>
  <c r="B212" i="53"/>
  <c r="E212" i="53"/>
  <c r="F212" i="53"/>
  <c r="B213" i="53"/>
  <c r="E213" i="53"/>
  <c r="F213" i="53"/>
  <c r="B214" i="53"/>
  <c r="E214" i="53"/>
  <c r="F214" i="53"/>
  <c r="B215" i="53"/>
  <c r="E215" i="53"/>
  <c r="F215" i="53"/>
  <c r="B216" i="53"/>
  <c r="E216" i="53"/>
  <c r="F216" i="53"/>
  <c r="B217" i="53"/>
  <c r="E217" i="53"/>
  <c r="F217" i="53"/>
  <c r="B218" i="53"/>
  <c r="E218" i="53"/>
  <c r="F218" i="53"/>
  <c r="B219" i="53"/>
  <c r="E219" i="53"/>
  <c r="F219" i="53"/>
  <c r="B220" i="53"/>
  <c r="E220" i="53"/>
  <c r="F220" i="53"/>
  <c r="B221" i="53"/>
  <c r="E221" i="53"/>
  <c r="F221" i="53"/>
  <c r="B222" i="53"/>
  <c r="E222" i="53"/>
  <c r="F222" i="53"/>
  <c r="B223" i="53"/>
  <c r="E223" i="53"/>
  <c r="F223" i="53"/>
  <c r="B224" i="53"/>
  <c r="E224" i="53"/>
  <c r="F224" i="53"/>
  <c r="B225" i="53"/>
  <c r="E225" i="53"/>
  <c r="F225" i="53"/>
  <c r="B226" i="53"/>
  <c r="E226" i="53"/>
  <c r="F226" i="53"/>
  <c r="B227" i="53"/>
  <c r="E227" i="53"/>
  <c r="F227" i="53"/>
  <c r="B228" i="53"/>
  <c r="E228" i="53"/>
  <c r="F228" i="53"/>
  <c r="B229" i="53"/>
  <c r="E229" i="53"/>
  <c r="F229" i="53"/>
  <c r="B230" i="53"/>
  <c r="E230" i="53"/>
  <c r="F230" i="53"/>
  <c r="B231" i="53"/>
  <c r="E231" i="53"/>
  <c r="F231" i="53"/>
  <c r="B232" i="53"/>
  <c r="E232" i="53"/>
  <c r="F232" i="53"/>
  <c r="B233" i="53"/>
  <c r="E233" i="53"/>
  <c r="F233" i="53"/>
  <c r="B234" i="53"/>
  <c r="E234" i="53"/>
  <c r="F234" i="53"/>
  <c r="B235" i="53"/>
  <c r="E235" i="53"/>
  <c r="F235" i="53"/>
  <c r="B236" i="53"/>
  <c r="E236" i="53"/>
  <c r="F236" i="53"/>
  <c r="B237" i="53"/>
  <c r="E237" i="53"/>
  <c r="F237" i="53"/>
  <c r="B238" i="53"/>
  <c r="E238" i="53"/>
  <c r="F238" i="53"/>
  <c r="B239" i="53"/>
  <c r="E239" i="53"/>
  <c r="F239" i="53"/>
  <c r="B240" i="53"/>
  <c r="E240" i="53"/>
  <c r="F240" i="53"/>
  <c r="B241" i="53"/>
  <c r="E241" i="53"/>
  <c r="F241" i="53"/>
  <c r="B242" i="53"/>
  <c r="E242" i="53"/>
  <c r="F242" i="53"/>
  <c r="B243" i="53"/>
  <c r="E243" i="53"/>
  <c r="F243" i="53"/>
  <c r="B244" i="53"/>
  <c r="E244" i="53"/>
  <c r="F244" i="53"/>
  <c r="B245" i="53"/>
  <c r="E245" i="53"/>
  <c r="F245" i="53"/>
  <c r="B246" i="53"/>
  <c r="E246" i="53"/>
  <c r="F246" i="53"/>
  <c r="B247" i="53"/>
  <c r="E247" i="53"/>
  <c r="F247" i="53"/>
  <c r="B248" i="53"/>
  <c r="E248" i="53"/>
  <c r="F248" i="53"/>
  <c r="B249" i="53"/>
  <c r="E249" i="53"/>
  <c r="F249" i="53"/>
  <c r="B250" i="53"/>
  <c r="E250" i="53"/>
  <c r="F250" i="53"/>
  <c r="B251" i="53"/>
  <c r="E251" i="53"/>
  <c r="F251" i="53"/>
  <c r="B252" i="53"/>
  <c r="E252" i="53"/>
  <c r="F252" i="53"/>
  <c r="B253" i="53"/>
  <c r="E253" i="53"/>
  <c r="F253" i="53"/>
  <c r="B254" i="53"/>
  <c r="E254" i="53"/>
  <c r="F254" i="53"/>
  <c r="B255" i="53"/>
  <c r="E255" i="53"/>
  <c r="F255" i="53"/>
  <c r="B256" i="53"/>
  <c r="E256" i="53"/>
  <c r="F256" i="53"/>
  <c r="B257" i="53"/>
  <c r="E257" i="53"/>
  <c r="F257" i="53"/>
  <c r="B258" i="53"/>
  <c r="E258" i="53"/>
  <c r="F258" i="53"/>
  <c r="B259" i="53"/>
  <c r="E259" i="53"/>
  <c r="F259" i="53"/>
  <c r="B260" i="53"/>
  <c r="E260" i="53"/>
  <c r="F260" i="53"/>
  <c r="B261" i="53"/>
  <c r="E261" i="53"/>
  <c r="F261" i="53"/>
  <c r="B262" i="53"/>
  <c r="E262" i="53"/>
  <c r="F262" i="53"/>
  <c r="B263" i="53"/>
  <c r="E263" i="53"/>
  <c r="F263" i="53"/>
  <c r="B264" i="53"/>
  <c r="E264" i="53"/>
  <c r="F264" i="53"/>
  <c r="B265" i="53"/>
  <c r="E265" i="53"/>
  <c r="F265" i="53"/>
  <c r="B266" i="53"/>
  <c r="E266" i="53"/>
  <c r="F266" i="53"/>
  <c r="B267" i="53"/>
  <c r="E267" i="53"/>
  <c r="F267" i="53"/>
  <c r="B268" i="53"/>
  <c r="E268" i="53"/>
  <c r="F268" i="53"/>
  <c r="B269" i="53"/>
  <c r="E269" i="53"/>
  <c r="F269" i="53"/>
  <c r="B270" i="53"/>
  <c r="E270" i="53"/>
  <c r="F270" i="53"/>
  <c r="B271" i="53"/>
  <c r="E271" i="53"/>
  <c r="F271" i="53"/>
  <c r="B272" i="53"/>
  <c r="E272" i="53"/>
  <c r="F272" i="53"/>
  <c r="B273" i="53"/>
  <c r="E273" i="53"/>
  <c r="F273" i="53"/>
  <c r="B274" i="53"/>
  <c r="E274" i="53"/>
  <c r="F274" i="53"/>
  <c r="B275" i="53"/>
  <c r="E275" i="53"/>
  <c r="F275" i="53"/>
  <c r="B276" i="53"/>
  <c r="E276" i="53"/>
  <c r="F276" i="53"/>
  <c r="B277" i="53"/>
  <c r="E277" i="53"/>
  <c r="F277" i="53"/>
  <c r="B278" i="53"/>
  <c r="E278" i="53"/>
  <c r="F278" i="53"/>
  <c r="B279" i="53"/>
  <c r="E279" i="53"/>
  <c r="F279" i="53"/>
  <c r="B280" i="53"/>
  <c r="E280" i="53"/>
  <c r="F280" i="53"/>
  <c r="B281" i="53"/>
  <c r="E281" i="53"/>
  <c r="F281" i="53"/>
  <c r="B282" i="53"/>
  <c r="E282" i="53"/>
  <c r="F282" i="53"/>
  <c r="B283" i="53"/>
  <c r="E283" i="53"/>
  <c r="F283" i="53"/>
  <c r="B284" i="53"/>
  <c r="E284" i="53"/>
  <c r="F284" i="53"/>
  <c r="B285" i="53"/>
  <c r="E285" i="53"/>
  <c r="F285" i="53"/>
  <c r="B286" i="53"/>
  <c r="E286" i="53"/>
  <c r="F286" i="53"/>
  <c r="B287" i="53"/>
  <c r="E287" i="53"/>
  <c r="F287" i="53"/>
  <c r="B288" i="53"/>
  <c r="E288" i="53"/>
  <c r="F288" i="53"/>
  <c r="B289" i="53"/>
  <c r="E289" i="53"/>
  <c r="F289" i="53"/>
  <c r="B290" i="53"/>
  <c r="E290" i="53"/>
  <c r="F290" i="53"/>
  <c r="B291" i="53"/>
  <c r="E291" i="53"/>
  <c r="F291" i="53"/>
  <c r="B292" i="53"/>
  <c r="E292" i="53"/>
  <c r="F292" i="53"/>
  <c r="B293" i="53"/>
  <c r="E293" i="53"/>
  <c r="F293" i="53"/>
  <c r="B294" i="53"/>
  <c r="E294" i="53"/>
  <c r="F294" i="53"/>
  <c r="B295" i="53"/>
  <c r="E295" i="53"/>
  <c r="F295" i="53"/>
  <c r="B296" i="53"/>
  <c r="E296" i="53"/>
  <c r="F296" i="53"/>
  <c r="B297" i="53"/>
  <c r="E297" i="53"/>
  <c r="F297" i="53"/>
  <c r="B298" i="53"/>
  <c r="E298" i="53"/>
  <c r="F298" i="53"/>
  <c r="B299" i="53"/>
  <c r="E299" i="53"/>
  <c r="F299" i="53"/>
  <c r="B300" i="53"/>
  <c r="E300" i="53"/>
  <c r="F300" i="53"/>
  <c r="B301" i="53"/>
  <c r="E301" i="53"/>
  <c r="F301" i="53"/>
  <c r="B302" i="53"/>
  <c r="E302" i="53"/>
  <c r="F302" i="53"/>
  <c r="B303" i="53"/>
  <c r="E303" i="53"/>
  <c r="F303" i="53"/>
  <c r="B304" i="53"/>
  <c r="E304" i="53"/>
  <c r="F304" i="53"/>
  <c r="B305" i="53"/>
  <c r="E305" i="53"/>
  <c r="F305" i="53"/>
  <c r="B306" i="53"/>
  <c r="E306" i="53"/>
  <c r="F306" i="53"/>
  <c r="B307" i="53"/>
  <c r="E307" i="53"/>
  <c r="F307" i="53"/>
  <c r="B308" i="53"/>
  <c r="E308" i="53"/>
  <c r="F308" i="53"/>
  <c r="B309" i="53"/>
  <c r="E309" i="53"/>
  <c r="F309" i="53"/>
  <c r="B310" i="53"/>
  <c r="E310" i="53"/>
  <c r="F310" i="53"/>
  <c r="B311" i="53"/>
  <c r="E311" i="53"/>
  <c r="F311" i="53"/>
  <c r="B312" i="53"/>
  <c r="E312" i="53"/>
  <c r="F312" i="53"/>
  <c r="B313" i="53"/>
  <c r="E313" i="53"/>
  <c r="F313" i="53"/>
  <c r="B314" i="53"/>
  <c r="E314" i="53"/>
  <c r="F314" i="53"/>
  <c r="B315" i="53"/>
  <c r="E315" i="53"/>
  <c r="F315" i="53"/>
  <c r="B316" i="53"/>
  <c r="E316" i="53"/>
  <c r="F316" i="53"/>
  <c r="B317" i="53"/>
  <c r="E317" i="53"/>
  <c r="F317" i="53"/>
  <c r="B318" i="53"/>
  <c r="E318" i="53"/>
  <c r="F318" i="53"/>
  <c r="B319" i="53"/>
  <c r="E319" i="53"/>
  <c r="F319" i="53"/>
  <c r="B320" i="53"/>
  <c r="E320" i="53"/>
  <c r="F320" i="53"/>
  <c r="F111" i="53"/>
  <c r="E111" i="53"/>
  <c r="A111" i="53"/>
  <c r="A112" i="53"/>
  <c r="A113" i="53"/>
  <c r="A114" i="53"/>
  <c r="A115" i="53"/>
  <c r="A116" i="53"/>
  <c r="A117" i="53"/>
  <c r="A118" i="53"/>
  <c r="A119" i="53"/>
  <c r="A120" i="53"/>
  <c r="A121" i="53"/>
  <c r="A122" i="53"/>
  <c r="A123" i="53"/>
  <c r="A124" i="53"/>
  <c r="A125" i="53"/>
  <c r="A126" i="53"/>
  <c r="A127" i="53"/>
  <c r="A128" i="53"/>
  <c r="A129" i="53"/>
  <c r="A130" i="53"/>
  <c r="A131" i="53"/>
  <c r="A132" i="53"/>
  <c r="A133" i="53"/>
  <c r="A134" i="53"/>
  <c r="A135" i="53"/>
  <c r="A136" i="53"/>
  <c r="A137" i="53"/>
  <c r="A138" i="53"/>
  <c r="A139" i="53"/>
  <c r="A140" i="53"/>
  <c r="A141" i="53"/>
  <c r="A142" i="53"/>
  <c r="A143" i="53"/>
  <c r="A144" i="53"/>
  <c r="A145" i="53"/>
  <c r="A146" i="53"/>
  <c r="A147" i="53"/>
  <c r="A148" i="53"/>
  <c r="A149" i="53"/>
  <c r="A150" i="53"/>
  <c r="A151" i="53"/>
  <c r="A152" i="53"/>
  <c r="A153" i="53"/>
  <c r="A154" i="53"/>
  <c r="A155" i="53"/>
  <c r="A156" i="53"/>
  <c r="A157" i="53"/>
  <c r="A158" i="53"/>
  <c r="A159" i="53"/>
  <c r="A160" i="53"/>
  <c r="A161" i="53"/>
  <c r="A162" i="53"/>
  <c r="A163" i="53"/>
  <c r="A164" i="53"/>
  <c r="A165" i="53"/>
  <c r="A166" i="53"/>
  <c r="A167" i="53"/>
  <c r="A168" i="53"/>
  <c r="A169" i="53"/>
  <c r="A170" i="53"/>
  <c r="A171" i="53"/>
  <c r="A172" i="53"/>
  <c r="A173" i="53"/>
  <c r="A174" i="53"/>
  <c r="A175" i="53"/>
  <c r="A176" i="53"/>
  <c r="A177" i="53"/>
  <c r="A178" i="53"/>
  <c r="A179" i="53"/>
  <c r="A180" i="53"/>
  <c r="A181" i="53"/>
  <c r="A182" i="53"/>
  <c r="A183" i="53"/>
  <c r="A184" i="53"/>
  <c r="A185" i="53"/>
  <c r="A186" i="53"/>
  <c r="A187" i="53"/>
  <c r="A188" i="53"/>
  <c r="A189" i="53"/>
  <c r="A190" i="53"/>
  <c r="A191" i="53"/>
  <c r="A192" i="53"/>
  <c r="A193" i="53"/>
  <c r="A194" i="53"/>
  <c r="A195" i="53"/>
  <c r="A196" i="53"/>
  <c r="A197" i="53"/>
  <c r="A198" i="53"/>
  <c r="A199" i="53"/>
  <c r="A200" i="53"/>
  <c r="A201" i="53"/>
  <c r="A202" i="53"/>
  <c r="A203" i="53"/>
  <c r="A204" i="53"/>
  <c r="A205" i="53"/>
  <c r="A206" i="53"/>
  <c r="A207" i="53"/>
  <c r="A208" i="53"/>
  <c r="A209" i="53"/>
  <c r="A210" i="53"/>
  <c r="A211" i="53"/>
  <c r="A212" i="53"/>
  <c r="A213" i="53"/>
  <c r="A214" i="53"/>
  <c r="A215" i="53"/>
  <c r="A216" i="53"/>
  <c r="A217" i="53"/>
  <c r="A218" i="53"/>
  <c r="A219" i="53"/>
  <c r="A220" i="53"/>
  <c r="A221" i="53"/>
  <c r="A222" i="53"/>
  <c r="A223" i="53"/>
  <c r="A224" i="53"/>
  <c r="A225" i="53"/>
  <c r="A226" i="53"/>
  <c r="A227" i="53"/>
  <c r="A228" i="53"/>
  <c r="A229" i="53"/>
  <c r="A232" i="53"/>
  <c r="A233" i="53"/>
  <c r="A234" i="53"/>
  <c r="A235" i="53"/>
  <c r="A236" i="53"/>
  <c r="A237" i="53"/>
  <c r="A238" i="53"/>
  <c r="A239" i="53"/>
  <c r="A240" i="53"/>
  <c r="A241" i="53"/>
  <c r="A242" i="53"/>
  <c r="A243" i="53"/>
  <c r="A244" i="53"/>
  <c r="A245" i="53"/>
  <c r="A246" i="53"/>
  <c r="A247" i="53"/>
  <c r="A248" i="53"/>
  <c r="A249" i="53"/>
  <c r="A250" i="53"/>
  <c r="A251" i="53"/>
  <c r="A252" i="53"/>
  <c r="A253" i="53"/>
  <c r="A254" i="53"/>
  <c r="A255" i="53"/>
  <c r="A256" i="53"/>
  <c r="A257" i="53"/>
  <c r="A258" i="53"/>
  <c r="A259" i="53"/>
  <c r="A260" i="53"/>
  <c r="A261" i="53"/>
  <c r="A262" i="53"/>
  <c r="A263" i="53"/>
  <c r="A264" i="53"/>
  <c r="A265" i="53"/>
  <c r="A266" i="53"/>
  <c r="A267" i="53"/>
  <c r="A268" i="53"/>
  <c r="A269" i="53"/>
  <c r="A270" i="53"/>
  <c r="A271" i="53"/>
  <c r="A272" i="53"/>
  <c r="A273" i="53"/>
  <c r="A274" i="53"/>
  <c r="A275" i="53"/>
  <c r="A276" i="53"/>
  <c r="A277" i="53"/>
  <c r="A278" i="53"/>
  <c r="A279" i="53"/>
  <c r="A280" i="53"/>
  <c r="A281" i="53"/>
  <c r="A282" i="53"/>
  <c r="A283" i="53"/>
  <c r="A284" i="53"/>
  <c r="A285" i="53"/>
  <c r="A286" i="53"/>
  <c r="A287" i="53"/>
  <c r="A288" i="53"/>
  <c r="A289" i="53"/>
  <c r="A290" i="53"/>
  <c r="A291" i="53"/>
  <c r="A292" i="53"/>
  <c r="A293" i="53"/>
  <c r="A294" i="53"/>
  <c r="A295" i="53"/>
  <c r="A296" i="53"/>
  <c r="A297" i="53"/>
  <c r="A298" i="53"/>
  <c r="A299" i="53"/>
  <c r="A300" i="53"/>
  <c r="A301" i="53"/>
  <c r="A302" i="53"/>
  <c r="A303" i="53"/>
  <c r="A304" i="53"/>
  <c r="A305" i="53"/>
  <c r="A306" i="53"/>
  <c r="A307" i="53"/>
  <c r="A308" i="53"/>
  <c r="A309" i="53"/>
  <c r="A310" i="53"/>
  <c r="A311" i="53"/>
  <c r="A312" i="53"/>
  <c r="A313" i="53"/>
  <c r="A314" i="53"/>
  <c r="A315" i="53"/>
  <c r="A316" i="53"/>
  <c r="A317" i="53"/>
  <c r="A318" i="53"/>
  <c r="A319" i="53"/>
  <c r="A320" i="53"/>
  <c r="D11" i="50"/>
  <c r="W11" i="50"/>
  <c r="D12" i="50"/>
  <c r="W12" i="50"/>
  <c r="D13" i="50"/>
  <c r="W13" i="50"/>
  <c r="D14" i="50"/>
  <c r="W14" i="50"/>
  <c r="D15" i="50"/>
  <c r="W15" i="50"/>
  <c r="D16" i="50"/>
  <c r="W16" i="50"/>
  <c r="D17" i="50"/>
  <c r="W17" i="50"/>
  <c r="D18" i="50"/>
  <c r="W18" i="50"/>
  <c r="D19" i="50"/>
  <c r="W19" i="50"/>
  <c r="D20" i="50"/>
  <c r="W20" i="50"/>
  <c r="D21" i="50"/>
  <c r="W21" i="50"/>
  <c r="D22" i="50"/>
  <c r="W22" i="50"/>
  <c r="D23" i="50"/>
  <c r="W23" i="50"/>
  <c r="D24" i="50"/>
  <c r="W24" i="50"/>
  <c r="D10" i="50"/>
  <c r="W10" i="50"/>
  <c r="F165" i="42"/>
  <c r="F37" i="50"/>
  <c r="D37" i="50"/>
  <c r="G28" i="50"/>
  <c r="G27" i="50"/>
  <c r="M166" i="39"/>
  <c r="M156" i="39"/>
  <c r="M146" i="39"/>
  <c r="M126" i="39"/>
  <c r="M116" i="39"/>
  <c r="F66" i="39"/>
  <c r="M123" i="42"/>
  <c r="N123" i="42"/>
  <c r="M124" i="42"/>
  <c r="N124" i="42"/>
  <c r="M125" i="42"/>
  <c r="N125" i="42"/>
  <c r="M126" i="42"/>
  <c r="N126" i="42"/>
  <c r="M127" i="42"/>
  <c r="N127" i="42"/>
  <c r="M128" i="42"/>
  <c r="N128" i="42"/>
  <c r="M129" i="42"/>
  <c r="N129" i="42"/>
  <c r="M130" i="42"/>
  <c r="N130" i="42"/>
  <c r="M131" i="42"/>
  <c r="N131" i="42"/>
  <c r="M132" i="42"/>
  <c r="N132" i="42"/>
  <c r="M133" i="42"/>
  <c r="N133" i="42"/>
  <c r="M134" i="42"/>
  <c r="N134" i="42"/>
  <c r="M135" i="42"/>
  <c r="N135" i="42"/>
  <c r="M136" i="42"/>
  <c r="N136" i="42"/>
  <c r="M137" i="42"/>
  <c r="N137" i="42"/>
  <c r="M138" i="42"/>
  <c r="N138" i="42"/>
  <c r="M139" i="42"/>
  <c r="N139" i="42"/>
  <c r="M140" i="42"/>
  <c r="N140" i="42"/>
  <c r="M141" i="42"/>
  <c r="M144" i="42"/>
  <c r="N144" i="42"/>
  <c r="M145" i="42"/>
  <c r="N145" i="42"/>
  <c r="M146" i="42"/>
  <c r="N146" i="42"/>
  <c r="M147" i="42"/>
  <c r="N147" i="42"/>
  <c r="M148" i="42"/>
  <c r="N148" i="42"/>
  <c r="M149" i="42"/>
  <c r="N149" i="42"/>
  <c r="M150" i="42"/>
  <c r="N150" i="42"/>
  <c r="M151" i="42"/>
  <c r="N151" i="42"/>
  <c r="M152" i="42"/>
  <c r="N152" i="42"/>
  <c r="M153" i="42"/>
  <c r="N153" i="42"/>
  <c r="M154" i="42"/>
  <c r="N154" i="42"/>
  <c r="M155" i="42"/>
  <c r="N155" i="42"/>
  <c r="M156" i="42"/>
  <c r="N156" i="42"/>
  <c r="M157" i="42"/>
  <c r="N157" i="42"/>
  <c r="M158" i="42"/>
  <c r="N158" i="42"/>
  <c r="M159" i="42"/>
  <c r="N159" i="42"/>
  <c r="M160" i="42"/>
  <c r="N160" i="42"/>
  <c r="M161" i="42"/>
  <c r="N161" i="42"/>
  <c r="M162" i="42"/>
  <c r="N162" i="42"/>
  <c r="M163" i="42"/>
  <c r="N163" i="42"/>
  <c r="M164" i="42"/>
  <c r="N164" i="42"/>
  <c r="M165" i="42"/>
  <c r="N165" i="42"/>
  <c r="M122" i="42"/>
  <c r="N122" i="42"/>
  <c r="K37" i="50"/>
  <c r="J37" i="50"/>
  <c r="I37" i="50"/>
  <c r="K36" i="50"/>
  <c r="J36" i="50"/>
  <c r="I36" i="50"/>
  <c r="K35" i="50"/>
  <c r="J35" i="50"/>
  <c r="I35" i="50"/>
  <c r="K33" i="50"/>
  <c r="J33" i="50"/>
  <c r="I33" i="50"/>
  <c r="K32" i="50"/>
  <c r="J32" i="50"/>
  <c r="I32" i="50"/>
  <c r="J31" i="50"/>
  <c r="K31" i="50"/>
  <c r="I31" i="50"/>
  <c r="K30" i="50"/>
  <c r="J29" i="50"/>
  <c r="K29" i="50"/>
  <c r="I29" i="50"/>
  <c r="J28" i="50"/>
  <c r="K28" i="50"/>
  <c r="I28" i="50"/>
  <c r="O75" i="42"/>
  <c r="O76" i="42"/>
  <c r="O77" i="42"/>
  <c r="O78" i="42"/>
  <c r="O79" i="42"/>
  <c r="O80" i="42"/>
  <c r="O81" i="42"/>
  <c r="O82" i="42"/>
  <c r="O83" i="42"/>
  <c r="O84" i="42"/>
  <c r="L28" i="50"/>
  <c r="N28" i="50"/>
  <c r="O85" i="42"/>
  <c r="O86" i="42"/>
  <c r="O87" i="42"/>
  <c r="O88" i="42"/>
  <c r="O89" i="42"/>
  <c r="O90" i="42"/>
  <c r="O91" i="42"/>
  <c r="O92" i="42"/>
  <c r="O93" i="42"/>
  <c r="O94" i="42"/>
  <c r="L29" i="50"/>
  <c r="N29" i="50"/>
  <c r="O95" i="42"/>
  <c r="O96" i="42"/>
  <c r="O97" i="42"/>
  <c r="O98" i="42"/>
  <c r="O99" i="42"/>
  <c r="O100" i="42"/>
  <c r="O101" i="42"/>
  <c r="O102" i="42"/>
  <c r="O104" i="42"/>
  <c r="O105" i="42"/>
  <c r="O106" i="42"/>
  <c r="O107" i="42"/>
  <c r="O108" i="42"/>
  <c r="O109" i="42"/>
  <c r="O110" i="42"/>
  <c r="O111" i="42"/>
  <c r="O112" i="42"/>
  <c r="O113" i="42"/>
  <c r="O114" i="42"/>
  <c r="L31" i="50"/>
  <c r="N31" i="50"/>
  <c r="O115" i="42"/>
  <c r="O116" i="42"/>
  <c r="O117" i="42"/>
  <c r="O118" i="42"/>
  <c r="O119" i="42"/>
  <c r="O120" i="42"/>
  <c r="O121" i="42"/>
  <c r="O122" i="42"/>
  <c r="O123" i="42"/>
  <c r="O124" i="42"/>
  <c r="L32" i="50"/>
  <c r="N32" i="50"/>
  <c r="O125" i="42"/>
  <c r="O126" i="42"/>
  <c r="O127" i="42"/>
  <c r="O128" i="42"/>
  <c r="O129" i="42"/>
  <c r="O130" i="42"/>
  <c r="O131" i="42"/>
  <c r="O132" i="42"/>
  <c r="O133" i="42"/>
  <c r="O134" i="42"/>
  <c r="L33" i="50"/>
  <c r="N33" i="50"/>
  <c r="O135" i="42"/>
  <c r="O136" i="42"/>
  <c r="O137" i="42"/>
  <c r="O138" i="42"/>
  <c r="O139" i="42"/>
  <c r="O140" i="42"/>
  <c r="O141" i="42"/>
  <c r="O144" i="42"/>
  <c r="O145" i="42"/>
  <c r="O146" i="42"/>
  <c r="O147" i="42"/>
  <c r="O148" i="42"/>
  <c r="O149" i="42"/>
  <c r="O150" i="42"/>
  <c r="O151" i="42"/>
  <c r="O152" i="42"/>
  <c r="O153" i="42"/>
  <c r="O154" i="42"/>
  <c r="L35" i="50"/>
  <c r="N35" i="50"/>
  <c r="O155" i="42"/>
  <c r="O156" i="42"/>
  <c r="O157" i="42"/>
  <c r="O158" i="42"/>
  <c r="O159" i="42"/>
  <c r="O160" i="42"/>
  <c r="O161" i="42"/>
  <c r="O162" i="42"/>
  <c r="O163" i="42"/>
  <c r="O164" i="42"/>
  <c r="L36" i="50"/>
  <c r="N36" i="50"/>
  <c r="O165" i="42"/>
  <c r="L37" i="50"/>
  <c r="N37" i="50"/>
  <c r="P151" i="42"/>
  <c r="P152" i="42"/>
  <c r="P153" i="42"/>
  <c r="P154" i="42"/>
  <c r="P155" i="42"/>
  <c r="P156" i="42"/>
  <c r="P157" i="42"/>
  <c r="P158" i="42"/>
  <c r="P159" i="42"/>
  <c r="P160" i="42"/>
  <c r="P161" i="42"/>
  <c r="P162" i="42"/>
  <c r="P163" i="42"/>
  <c r="P164" i="42"/>
  <c r="P165" i="42"/>
  <c r="P308" i="44"/>
  <c r="P309" i="44"/>
  <c r="P310" i="44"/>
  <c r="P311" i="44"/>
  <c r="P312" i="44"/>
  <c r="P313" i="44"/>
  <c r="P314" i="44"/>
  <c r="P315" i="44"/>
  <c r="P316" i="44"/>
  <c r="P317" i="44"/>
  <c r="P318" i="44"/>
  <c r="P319" i="44"/>
  <c r="P320" i="44"/>
  <c r="P321" i="44"/>
  <c r="P322" i="44"/>
  <c r="P323" i="44"/>
  <c r="S12" i="50"/>
  <c r="S13" i="50"/>
  <c r="S14" i="50"/>
  <c r="H15" i="50"/>
  <c r="S15" i="50"/>
  <c r="S16" i="50"/>
  <c r="S17" i="50"/>
  <c r="S18" i="50"/>
  <c r="S19" i="50"/>
  <c r="S20" i="50"/>
  <c r="H21" i="50"/>
  <c r="S21" i="50"/>
  <c r="S22" i="50"/>
  <c r="S23" i="50"/>
  <c r="S24" i="50"/>
  <c r="S11" i="50"/>
  <c r="H25" i="50"/>
  <c r="B25" i="50"/>
  <c r="C25" i="50"/>
  <c r="Q23" i="50"/>
  <c r="C21" i="50"/>
  <c r="Q20" i="50"/>
  <c r="C15" i="50"/>
  <c r="Q17" i="50"/>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3" i="2"/>
  <c r="Y144" i="2"/>
  <c r="Y145" i="2"/>
  <c r="Y146" i="2"/>
  <c r="Y147" i="2"/>
  <c r="Y148" i="2"/>
  <c r="Y149" i="2"/>
  <c r="Y150" i="2"/>
  <c r="Y151" i="2"/>
  <c r="Y152" i="2"/>
  <c r="Y153" i="2"/>
  <c r="Y154" i="2"/>
  <c r="Y155" i="2"/>
  <c r="Y156" i="2"/>
  <c r="Y157" i="2"/>
  <c r="Y158" i="2"/>
  <c r="Y159" i="2"/>
  <c r="Y160" i="2"/>
  <c r="Y161" i="2"/>
  <c r="Y162" i="2"/>
  <c r="Y163" i="2"/>
  <c r="Y164" i="2"/>
  <c r="Y165" i="2"/>
  <c r="T68" i="2"/>
  <c r="T69" i="2"/>
  <c r="T70" i="2"/>
  <c r="T71" i="2"/>
  <c r="T72" i="2"/>
  <c r="T73" i="2"/>
  <c r="T74" i="2"/>
  <c r="T75" i="2"/>
  <c r="T76" i="2"/>
  <c r="T77" i="2"/>
  <c r="T78" i="2"/>
  <c r="T79" i="2"/>
  <c r="T80" i="2"/>
  <c r="T81" i="2"/>
  <c r="T82" i="2"/>
  <c r="T83"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3" i="2"/>
  <c r="T144" i="2"/>
  <c r="T145" i="2"/>
  <c r="T146" i="2"/>
  <c r="T147" i="2"/>
  <c r="T148" i="2"/>
  <c r="T149" i="2"/>
  <c r="T150" i="2"/>
  <c r="T151" i="2"/>
  <c r="T152" i="2"/>
  <c r="T153" i="2"/>
  <c r="T154" i="2"/>
  <c r="T155" i="2"/>
  <c r="T156" i="2"/>
  <c r="T157" i="2"/>
  <c r="T158" i="2"/>
  <c r="T159" i="2"/>
  <c r="T160" i="2"/>
  <c r="T161" i="2"/>
  <c r="T162" i="2"/>
  <c r="T163" i="2"/>
  <c r="T164" i="2"/>
  <c r="T165" i="2"/>
  <c r="F10" i="2"/>
  <c r="L10" i="2"/>
  <c r="T10" i="2"/>
  <c r="P26" i="26"/>
  <c r="AU156" i="44"/>
  <c r="AU146" i="44"/>
  <c r="AU136" i="44"/>
  <c r="AU126" i="44"/>
  <c r="AU116" i="44"/>
  <c r="AU106" i="44"/>
  <c r="AR102" i="44"/>
  <c r="AR103" i="44"/>
  <c r="AR104" i="44"/>
  <c r="AR105" i="44"/>
  <c r="AR106" i="44"/>
  <c r="AR107" i="44"/>
  <c r="AR108" i="44"/>
  <c r="AR109" i="44"/>
  <c r="AR110" i="44"/>
  <c r="AR111" i="44"/>
  <c r="AU96" i="44"/>
  <c r="AU86" i="44"/>
  <c r="AU76" i="44"/>
  <c r="AR11" i="44"/>
  <c r="AR12" i="44"/>
  <c r="AR13" i="44"/>
  <c r="AR14" i="44"/>
  <c r="AR15" i="44"/>
  <c r="AR16" i="44"/>
  <c r="AR17" i="44"/>
  <c r="AR18" i="44"/>
  <c r="AR19" i="44"/>
  <c r="AR20" i="44"/>
  <c r="AR21" i="44"/>
  <c r="AR22" i="44"/>
  <c r="AR23" i="44"/>
  <c r="AR24" i="44"/>
  <c r="AR25" i="44"/>
  <c r="AR26" i="44"/>
  <c r="AR27" i="44"/>
  <c r="AR28" i="44"/>
  <c r="AR29" i="44"/>
  <c r="AR30" i="44"/>
  <c r="AR31" i="44"/>
  <c r="AR32" i="44"/>
  <c r="AR33" i="44"/>
  <c r="AR34" i="44"/>
  <c r="AR35" i="44"/>
  <c r="AR36" i="44"/>
  <c r="AR37" i="44"/>
  <c r="AR38" i="44"/>
  <c r="AR39" i="44"/>
  <c r="AR40" i="44"/>
  <c r="AR41" i="44"/>
  <c r="AR42" i="44"/>
  <c r="AR43" i="44"/>
  <c r="AR44" i="44"/>
  <c r="AR45" i="44"/>
  <c r="AR46" i="44"/>
  <c r="AR47" i="44"/>
  <c r="AR48" i="44"/>
  <c r="AR49" i="44"/>
  <c r="AR50" i="44"/>
  <c r="AR51" i="44"/>
  <c r="AR52" i="44"/>
  <c r="AR53" i="44"/>
  <c r="AR54" i="44"/>
  <c r="AR55" i="44"/>
  <c r="AR56" i="44"/>
  <c r="AR57" i="44"/>
  <c r="AR58" i="44"/>
  <c r="AR59" i="44"/>
  <c r="AR60" i="44"/>
  <c r="AR61" i="44"/>
  <c r="AR62" i="44"/>
  <c r="AR63" i="44"/>
  <c r="AR64" i="44"/>
  <c r="AR65" i="44"/>
  <c r="AR66" i="44"/>
  <c r="AR67" i="44"/>
  <c r="AR68" i="44"/>
  <c r="AR69" i="44"/>
  <c r="AR70" i="44"/>
  <c r="AR112" i="44"/>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70" i="23"/>
  <c r="P71" i="23"/>
  <c r="P72" i="23"/>
  <c r="P73" i="23"/>
  <c r="P74" i="23"/>
  <c r="P75" i="23"/>
  <c r="P76" i="23"/>
  <c r="P77" i="23"/>
  <c r="P78" i="23"/>
  <c r="P79" i="23"/>
  <c r="P80" i="23"/>
  <c r="P81" i="23"/>
  <c r="P82" i="23"/>
  <c r="P83" i="23"/>
  <c r="P84" i="23"/>
  <c r="P85" i="23"/>
  <c r="P86" i="23"/>
  <c r="P87" i="23"/>
  <c r="P88" i="23"/>
  <c r="P89" i="23"/>
  <c r="P90" i="23"/>
  <c r="P91" i="23"/>
  <c r="P92" i="23"/>
  <c r="L10" i="23"/>
  <c r="N10"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70" i="23"/>
  <c r="D71" i="23"/>
  <c r="D72" i="23"/>
  <c r="D73" i="23"/>
  <c r="D74" i="23"/>
  <c r="D75" i="23"/>
  <c r="D76" i="23"/>
  <c r="D77" i="23"/>
  <c r="D78" i="23"/>
  <c r="D79" i="23"/>
  <c r="D80" i="23"/>
  <c r="D81" i="23"/>
  <c r="D82" i="23"/>
  <c r="D83" i="23"/>
  <c r="D84" i="23"/>
  <c r="D85" i="23"/>
  <c r="D86" i="23"/>
  <c r="D87" i="23"/>
  <c r="D88" i="23"/>
  <c r="D89" i="23"/>
  <c r="D90" i="23"/>
  <c r="D91" i="23"/>
  <c r="D92" i="23"/>
  <c r="I39" i="23"/>
  <c r="I40" i="23"/>
  <c r="J40" i="23"/>
  <c r="I41" i="23"/>
  <c r="J41" i="23"/>
  <c r="I42" i="23"/>
  <c r="J42" i="23"/>
  <c r="I43" i="23"/>
  <c r="J43" i="23"/>
  <c r="I44" i="23"/>
  <c r="J44" i="23"/>
  <c r="I45" i="23"/>
  <c r="J45" i="23"/>
  <c r="I46" i="23"/>
  <c r="J46" i="23"/>
  <c r="I47" i="23"/>
  <c r="J47" i="23"/>
  <c r="I48" i="23"/>
  <c r="J48" i="23"/>
  <c r="B10" i="39"/>
  <c r="G12" i="33"/>
  <c r="G31" i="33"/>
  <c r="G10" i="39"/>
  <c r="I10" i="39"/>
  <c r="I21" i="39"/>
  <c r="I25" i="39"/>
  <c r="BS68" i="29"/>
  <c r="BS69" i="29"/>
  <c r="FJ69" i="4"/>
  <c r="FI69" i="4"/>
  <c r="BR70" i="29"/>
  <c r="BS70" i="29"/>
  <c r="BS71" i="29"/>
  <c r="FJ71" i="4"/>
  <c r="FI71" i="4"/>
  <c r="BR72" i="29"/>
  <c r="BS72" i="29"/>
  <c r="FJ72" i="4"/>
  <c r="FI72" i="4"/>
  <c r="BR73" i="29"/>
  <c r="BS73" i="29"/>
  <c r="FJ73" i="4"/>
  <c r="FI73" i="4"/>
  <c r="BR74" i="29"/>
  <c r="BS74" i="29"/>
  <c r="FJ74" i="4"/>
  <c r="FI74" i="4"/>
  <c r="BR75" i="29"/>
  <c r="BS75" i="29"/>
  <c r="FJ75" i="4"/>
  <c r="FI75" i="4"/>
  <c r="BR76" i="29"/>
  <c r="BS76" i="29"/>
  <c r="FJ76" i="4"/>
  <c r="FI76" i="4"/>
  <c r="BR77" i="29"/>
  <c r="BS77" i="29"/>
  <c r="G66" i="39"/>
  <c r="F9" i="52"/>
  <c r="AZ232" i="44"/>
  <c r="AZ233" i="44"/>
  <c r="FJ82" i="4"/>
  <c r="FI82" i="4"/>
  <c r="AZ234" i="44"/>
  <c r="AZ235" i="44"/>
  <c r="AZ236" i="44"/>
  <c r="AZ237" i="44"/>
  <c r="AZ238" i="44"/>
  <c r="AZ239" i="44"/>
  <c r="FJ88" i="4"/>
  <c r="FI88" i="4"/>
  <c r="AZ240" i="44"/>
  <c r="AZ241" i="44"/>
  <c r="AZ242" i="44"/>
  <c r="AZ243" i="44"/>
  <c r="AZ244" i="44"/>
  <c r="AZ245" i="44"/>
  <c r="AZ246" i="44"/>
  <c r="AZ247" i="44"/>
  <c r="FJ96" i="4"/>
  <c r="FI96" i="4"/>
  <c r="AZ248" i="44"/>
  <c r="AZ249" i="44"/>
  <c r="AZ250" i="44"/>
  <c r="AZ251" i="44"/>
  <c r="AZ252" i="44"/>
  <c r="AZ253" i="44"/>
  <c r="AZ254" i="44"/>
  <c r="AZ255" i="44"/>
  <c r="AZ256" i="44"/>
  <c r="AZ257" i="44"/>
  <c r="AZ258" i="44"/>
  <c r="AZ259" i="44"/>
  <c r="AZ260" i="44"/>
  <c r="AZ261" i="44"/>
  <c r="AZ262" i="44"/>
  <c r="AZ263" i="44"/>
  <c r="AZ264" i="44"/>
  <c r="AZ265" i="44"/>
  <c r="AZ266" i="44"/>
  <c r="AZ267" i="44"/>
  <c r="AZ268" i="44"/>
  <c r="AZ269" i="44"/>
  <c r="AZ270" i="44"/>
  <c r="AZ271" i="44"/>
  <c r="AZ272" i="44"/>
  <c r="AZ273" i="44"/>
  <c r="AZ274" i="44"/>
  <c r="AZ275" i="44"/>
  <c r="AZ276" i="44"/>
  <c r="AZ277" i="44"/>
  <c r="AZ278" i="44"/>
  <c r="AZ279" i="44"/>
  <c r="AZ280" i="44"/>
  <c r="AZ281" i="44"/>
  <c r="AZ282" i="44"/>
  <c r="AZ283" i="44"/>
  <c r="AZ284" i="44"/>
  <c r="AZ285" i="44"/>
  <c r="AZ286" i="44"/>
  <c r="AZ287" i="44"/>
  <c r="AZ288" i="44"/>
  <c r="AZ289" i="44"/>
  <c r="AZ290" i="44"/>
  <c r="AZ291" i="44"/>
  <c r="AZ292" i="44"/>
  <c r="AZ293" i="44"/>
  <c r="AZ294" i="44"/>
  <c r="AZ295" i="44"/>
  <c r="AZ296" i="44"/>
  <c r="AZ297" i="44"/>
  <c r="AZ298" i="44"/>
  <c r="AZ299" i="44"/>
  <c r="AZ300" i="44"/>
  <c r="AZ301" i="44"/>
  <c r="AZ302" i="44"/>
  <c r="AZ303" i="44"/>
  <c r="AZ304" i="44"/>
  <c r="AZ305" i="44"/>
  <c r="AZ306" i="44"/>
  <c r="AZ307" i="44"/>
  <c r="AZ308" i="44"/>
  <c r="AZ309" i="44"/>
  <c r="AZ310" i="44"/>
  <c r="AZ311" i="44"/>
  <c r="AZ312" i="44"/>
  <c r="AZ313" i="44"/>
  <c r="AZ314" i="44"/>
  <c r="AZ315" i="44"/>
  <c r="AZ316" i="44"/>
  <c r="AZ317" i="44"/>
  <c r="AZ318" i="44"/>
  <c r="AZ319" i="44"/>
  <c r="AZ320" i="44"/>
  <c r="AZ231" i="44"/>
  <c r="FJ14" i="4"/>
  <c r="FI14" i="4"/>
  <c r="AZ167" i="44"/>
  <c r="FJ15" i="4"/>
  <c r="FI15" i="4"/>
  <c r="AZ168" i="44"/>
  <c r="FJ16" i="4"/>
  <c r="FI16" i="4"/>
  <c r="AZ169" i="44"/>
  <c r="FJ17" i="4"/>
  <c r="FI17" i="4"/>
  <c r="AZ170" i="44"/>
  <c r="AZ171" i="44"/>
  <c r="AZ172" i="44"/>
  <c r="AZ173" i="44"/>
  <c r="AZ174" i="44"/>
  <c r="AZ175" i="44"/>
  <c r="FJ23" i="4"/>
  <c r="FI23" i="4"/>
  <c r="AZ176" i="44"/>
  <c r="FJ24" i="4"/>
  <c r="FI24" i="4"/>
  <c r="AZ177" i="44"/>
  <c r="FJ25" i="4"/>
  <c r="FI25" i="4"/>
  <c r="AZ178" i="44"/>
  <c r="FJ26" i="4"/>
  <c r="FI26" i="4"/>
  <c r="AZ179" i="44"/>
  <c r="FJ27" i="4"/>
  <c r="FI27" i="4"/>
  <c r="AZ180" i="44"/>
  <c r="AZ181" i="44"/>
  <c r="AZ182" i="44"/>
  <c r="FJ30" i="4"/>
  <c r="FI30" i="4"/>
  <c r="AZ183" i="44"/>
  <c r="AZ184" i="44"/>
  <c r="AZ185" i="44"/>
  <c r="AZ186" i="44"/>
  <c r="AZ187" i="44"/>
  <c r="AZ188" i="44"/>
  <c r="AZ189" i="44"/>
  <c r="FJ37" i="4"/>
  <c r="FI37" i="4"/>
  <c r="AZ190" i="44"/>
  <c r="AZ191" i="44"/>
  <c r="AZ192" i="44"/>
  <c r="AZ193" i="44"/>
  <c r="AZ194" i="44"/>
  <c r="AZ195" i="44"/>
  <c r="AZ196" i="44"/>
  <c r="AZ197" i="44"/>
  <c r="AZ198" i="44"/>
  <c r="AZ199" i="44"/>
  <c r="FJ47" i="4"/>
  <c r="FI47" i="4"/>
  <c r="AZ200" i="44"/>
  <c r="AZ201" i="44"/>
  <c r="AZ202" i="44"/>
  <c r="AZ203" i="44"/>
  <c r="AZ204" i="44"/>
  <c r="AZ205" i="44"/>
  <c r="AZ206" i="44"/>
  <c r="AZ207" i="44"/>
  <c r="AZ208" i="44"/>
  <c r="AZ209" i="44"/>
  <c r="FJ57" i="4"/>
  <c r="FI57" i="4"/>
  <c r="AZ210" i="44"/>
  <c r="AZ211" i="44"/>
  <c r="AZ212" i="44"/>
  <c r="AZ213" i="44"/>
  <c r="AZ214" i="44"/>
  <c r="AZ215" i="44"/>
  <c r="AZ216" i="44"/>
  <c r="AZ217" i="44"/>
  <c r="AZ218" i="44"/>
  <c r="AZ219" i="44"/>
  <c r="AZ220" i="44"/>
  <c r="AZ221" i="44"/>
  <c r="AZ222" i="44"/>
  <c r="FJ70" i="4"/>
  <c r="FI70" i="4"/>
  <c r="AZ223" i="44"/>
  <c r="AZ224" i="44"/>
  <c r="AZ225" i="44"/>
  <c r="AZ226" i="44"/>
  <c r="AZ227" i="44"/>
  <c r="AZ228" i="44"/>
  <c r="AZ229" i="44"/>
  <c r="FJ77" i="4"/>
  <c r="FI77" i="4"/>
  <c r="AZ230" i="44"/>
  <c r="FJ13" i="4"/>
  <c r="FI13" i="4"/>
  <c r="AZ166" i="44"/>
  <c r="BE152" i="44"/>
  <c r="BE153" i="44"/>
  <c r="BE154" i="44"/>
  <c r="BE155" i="44"/>
  <c r="BE156" i="44"/>
  <c r="BE157" i="44"/>
  <c r="BE158" i="44"/>
  <c r="BE159" i="44"/>
  <c r="BE160" i="44"/>
  <c r="BE161" i="44"/>
  <c r="BE162" i="44"/>
  <c r="BE163" i="44"/>
  <c r="BE164" i="44"/>
  <c r="BE165" i="44"/>
  <c r="BE166" i="44"/>
  <c r="BE167" i="44"/>
  <c r="BE168" i="44"/>
  <c r="BE169" i="44"/>
  <c r="BE170" i="44"/>
  <c r="BE171" i="44"/>
  <c r="BE172" i="44"/>
  <c r="BE173" i="44"/>
  <c r="BE174" i="44"/>
  <c r="BE175" i="44"/>
  <c r="BE176" i="44"/>
  <c r="BE177" i="44"/>
  <c r="BE178" i="44"/>
  <c r="BE179" i="44"/>
  <c r="BE180" i="44"/>
  <c r="BE181" i="44"/>
  <c r="BE182" i="44"/>
  <c r="BE183" i="44"/>
  <c r="BE184" i="44"/>
  <c r="BE185" i="44"/>
  <c r="BE186" i="44"/>
  <c r="BE187" i="44"/>
  <c r="BE188" i="44"/>
  <c r="BE189" i="44"/>
  <c r="BE190" i="44"/>
  <c r="BE191" i="44"/>
  <c r="BE192" i="44"/>
  <c r="BE193" i="44"/>
  <c r="BE194" i="44"/>
  <c r="BE195" i="44"/>
  <c r="BE196" i="44"/>
  <c r="BE197" i="44"/>
  <c r="BE198" i="44"/>
  <c r="BE199" i="44"/>
  <c r="BE200" i="44"/>
  <c r="BE201" i="44"/>
  <c r="BE202" i="44"/>
  <c r="BE203" i="44"/>
  <c r="BE204" i="44"/>
  <c r="BE205" i="44"/>
  <c r="BE206" i="44"/>
  <c r="BE207" i="44"/>
  <c r="BE208" i="44"/>
  <c r="BE209" i="44"/>
  <c r="BE210" i="44"/>
  <c r="BE211" i="44"/>
  <c r="BE212" i="44"/>
  <c r="BE213" i="44"/>
  <c r="BE214" i="44"/>
  <c r="BE215" i="44"/>
  <c r="BE216" i="44"/>
  <c r="BE217" i="44"/>
  <c r="BE218" i="44"/>
  <c r="BE219" i="44"/>
  <c r="BE220" i="44"/>
  <c r="BE221" i="44"/>
  <c r="BE222" i="44"/>
  <c r="BE223" i="44"/>
  <c r="BE224" i="44"/>
  <c r="BE225" i="44"/>
  <c r="BE226" i="44"/>
  <c r="BE227" i="44"/>
  <c r="BE228" i="44"/>
  <c r="BE229" i="44"/>
  <c r="BE230" i="44"/>
  <c r="BE231" i="44"/>
  <c r="BE232" i="44"/>
  <c r="BE233" i="44"/>
  <c r="BE234" i="44"/>
  <c r="BE235" i="44"/>
  <c r="BE236" i="44"/>
  <c r="BE237" i="44"/>
  <c r="BE238" i="44"/>
  <c r="BE239" i="44"/>
  <c r="BE240" i="44"/>
  <c r="BE241" i="44"/>
  <c r="BE242" i="44"/>
  <c r="BE243" i="44"/>
  <c r="BE244" i="44"/>
  <c r="BE245" i="44"/>
  <c r="BE246" i="44"/>
  <c r="BE247" i="44"/>
  <c r="BE248" i="44"/>
  <c r="BE249" i="44"/>
  <c r="BE250" i="44"/>
  <c r="BE251" i="44"/>
  <c r="BE252" i="44"/>
  <c r="BE253" i="44"/>
  <c r="BE254" i="44"/>
  <c r="BE255" i="44"/>
  <c r="BE256" i="44"/>
  <c r="BE257" i="44"/>
  <c r="BE258" i="44"/>
  <c r="BE259" i="44"/>
  <c r="BE260" i="44"/>
  <c r="BE261" i="44"/>
  <c r="BE262" i="44"/>
  <c r="BE263" i="44"/>
  <c r="BE264" i="44"/>
  <c r="BE265" i="44"/>
  <c r="BE266" i="44"/>
  <c r="BE267" i="44"/>
  <c r="BE268" i="44"/>
  <c r="BE269" i="44"/>
  <c r="BE270" i="44"/>
  <c r="BE271" i="44"/>
  <c r="BE272" i="44"/>
  <c r="BE273" i="44"/>
  <c r="BE274" i="44"/>
  <c r="BE275" i="44"/>
  <c r="BE276" i="44"/>
  <c r="BE277" i="44"/>
  <c r="BE278" i="44"/>
  <c r="BE279" i="44"/>
  <c r="BE280" i="44"/>
  <c r="BE281" i="44"/>
  <c r="BE282" i="44"/>
  <c r="BE283" i="44"/>
  <c r="BE284" i="44"/>
  <c r="BE285" i="44"/>
  <c r="BE286" i="44"/>
  <c r="BE287" i="44"/>
  <c r="BE288" i="44"/>
  <c r="BE289" i="44"/>
  <c r="BE290" i="44"/>
  <c r="BE291" i="44"/>
  <c r="BE292" i="44"/>
  <c r="BE293" i="44"/>
  <c r="BE294" i="44"/>
  <c r="BE295" i="44"/>
  <c r="BE296" i="44"/>
  <c r="BE297" i="44"/>
  <c r="BE298" i="44"/>
  <c r="BE299" i="44"/>
  <c r="BE300" i="44"/>
  <c r="BE301" i="44"/>
  <c r="BE302" i="44"/>
  <c r="BE303" i="44"/>
  <c r="BE304" i="44"/>
  <c r="BE305" i="44"/>
  <c r="BE306" i="44"/>
  <c r="BE307" i="44"/>
  <c r="BE308" i="44"/>
  <c r="BE309" i="44"/>
  <c r="BE310" i="44"/>
  <c r="BE311" i="44"/>
  <c r="BE312" i="44"/>
  <c r="BE313" i="44"/>
  <c r="BE314" i="44"/>
  <c r="BE315" i="44"/>
  <c r="BE316" i="44"/>
  <c r="BE317" i="44"/>
  <c r="BE318" i="44"/>
  <c r="BE319" i="44"/>
  <c r="BE320" i="44"/>
  <c r="BE321" i="44"/>
  <c r="BR14" i="29"/>
  <c r="BR15" i="29"/>
  <c r="BR16" i="29"/>
  <c r="BR17" i="29"/>
  <c r="BR24" i="29"/>
  <c r="BR25" i="29"/>
  <c r="BR26" i="29"/>
  <c r="BR27" i="29"/>
  <c r="BG201" i="44"/>
  <c r="BG202" i="44"/>
  <c r="BG203" i="44"/>
  <c r="BG204" i="44"/>
  <c r="BG205" i="44"/>
  <c r="BG206" i="44"/>
  <c r="BG207" i="44"/>
  <c r="BG208" i="44"/>
  <c r="BG209" i="44"/>
  <c r="BG210" i="44"/>
  <c r="BG211" i="44"/>
  <c r="BG212" i="44"/>
  <c r="BG213" i="44"/>
  <c r="BG214" i="44"/>
  <c r="BG215" i="44"/>
  <c r="BG216" i="44"/>
  <c r="BG217" i="44"/>
  <c r="BG218" i="44"/>
  <c r="BG219" i="44"/>
  <c r="BG220" i="44"/>
  <c r="BG221" i="44"/>
  <c r="BG222" i="44"/>
  <c r="BG223" i="44"/>
  <c r="BG224" i="44"/>
  <c r="BG225" i="44"/>
  <c r="BG226" i="44"/>
  <c r="BG227" i="44"/>
  <c r="BG228" i="44"/>
  <c r="BG229" i="44"/>
  <c r="BG230" i="44"/>
  <c r="BR78" i="29"/>
  <c r="BS78" i="29"/>
  <c r="BG231" i="44"/>
  <c r="BG232" i="44"/>
  <c r="BG233" i="44"/>
  <c r="BG234" i="44"/>
  <c r="BG235" i="44"/>
  <c r="BG236" i="44"/>
  <c r="BG237" i="44"/>
  <c r="BG238" i="44"/>
  <c r="BG239" i="44"/>
  <c r="BG240" i="44"/>
  <c r="BG241" i="44"/>
  <c r="BG242" i="44"/>
  <c r="BG243" i="44"/>
  <c r="BG244" i="44"/>
  <c r="BG245" i="44"/>
  <c r="BG246" i="44"/>
  <c r="BG247" i="44"/>
  <c r="BG248" i="44"/>
  <c r="BG249" i="44"/>
  <c r="BG250" i="44"/>
  <c r="BG251" i="44"/>
  <c r="BG252" i="44"/>
  <c r="BG253" i="44"/>
  <c r="BG254" i="44"/>
  <c r="BG255" i="44"/>
  <c r="BG256" i="44"/>
  <c r="BG257" i="44"/>
  <c r="BG258" i="44"/>
  <c r="BG260" i="44"/>
  <c r="BG261" i="44"/>
  <c r="BG262" i="44"/>
  <c r="BG263" i="44"/>
  <c r="BG264" i="44"/>
  <c r="BG265" i="44"/>
  <c r="BG266" i="44"/>
  <c r="BG267" i="44"/>
  <c r="BG268" i="44"/>
  <c r="BG269" i="44"/>
  <c r="BG270" i="44"/>
  <c r="BG271" i="44"/>
  <c r="BG272" i="44"/>
  <c r="BG273" i="44"/>
  <c r="BG274" i="44"/>
  <c r="BG275" i="44"/>
  <c r="BG276" i="44"/>
  <c r="BG277" i="44"/>
  <c r="BG278" i="44"/>
  <c r="BG279" i="44"/>
  <c r="BG280" i="44"/>
  <c r="BG281" i="44"/>
  <c r="BG282" i="44"/>
  <c r="BG283" i="44"/>
  <c r="BG284" i="44"/>
  <c r="BG285" i="44"/>
  <c r="BG286" i="44"/>
  <c r="BG287" i="44"/>
  <c r="BG288" i="44"/>
  <c r="BG289" i="44"/>
  <c r="BG290" i="44"/>
  <c r="BG291" i="44"/>
  <c r="BG292" i="44"/>
  <c r="BG293" i="44"/>
  <c r="BG294" i="44"/>
  <c r="BG295" i="44"/>
  <c r="BG296" i="44"/>
  <c r="BG297" i="44"/>
  <c r="BG300" i="44"/>
  <c r="BG301" i="44"/>
  <c r="BG302" i="44"/>
  <c r="BG303" i="44"/>
  <c r="BG304" i="44"/>
  <c r="BG305" i="44"/>
  <c r="BG306" i="44"/>
  <c r="BG307" i="44"/>
  <c r="BG308" i="44"/>
  <c r="BG309" i="44"/>
  <c r="BG310" i="44"/>
  <c r="BG311" i="44"/>
  <c r="BG312" i="44"/>
  <c r="BG313" i="44"/>
  <c r="BG314" i="44"/>
  <c r="BG315" i="44"/>
  <c r="BG316" i="44"/>
  <c r="BG317" i="44"/>
  <c r="BG318" i="44"/>
  <c r="BG319" i="44"/>
  <c r="BG320" i="44"/>
  <c r="BG321" i="44"/>
  <c r="B315" i="44"/>
  <c r="BF315" i="44"/>
  <c r="B316" i="44"/>
  <c r="BF316" i="44"/>
  <c r="B317" i="44"/>
  <c r="BF317" i="44"/>
  <c r="B318" i="44"/>
  <c r="BF318" i="44"/>
  <c r="B319" i="44"/>
  <c r="BF319" i="44"/>
  <c r="B320" i="44"/>
  <c r="BF320" i="44"/>
  <c r="B321" i="44"/>
  <c r="BF321" i="44"/>
  <c r="AV315" i="44"/>
  <c r="AV316" i="44"/>
  <c r="AV317" i="44"/>
  <c r="AV318" i="44"/>
  <c r="AV319" i="44"/>
  <c r="AV320" i="44"/>
  <c r="AV321" i="44"/>
  <c r="AV322" i="44"/>
  <c r="B314" i="44"/>
  <c r="BF314" i="44"/>
  <c r="BF132" i="44"/>
  <c r="BF133" i="44"/>
  <c r="BF134" i="44"/>
  <c r="BF135" i="44"/>
  <c r="BF136" i="44"/>
  <c r="BF137" i="44"/>
  <c r="BF138" i="44"/>
  <c r="BF139" i="44"/>
  <c r="BF140" i="44"/>
  <c r="BF142" i="44"/>
  <c r="BF143" i="44"/>
  <c r="BF144" i="44"/>
  <c r="BF145" i="44"/>
  <c r="BF146" i="44"/>
  <c r="BF147" i="44"/>
  <c r="BF148" i="44"/>
  <c r="BF149" i="44"/>
  <c r="BF150" i="44"/>
  <c r="BF152" i="44"/>
  <c r="BF153" i="44"/>
  <c r="BF154" i="44"/>
  <c r="BF155" i="44"/>
  <c r="BF156" i="44"/>
  <c r="BF157" i="44"/>
  <c r="BF158" i="44"/>
  <c r="BF159" i="44"/>
  <c r="BF160" i="44"/>
  <c r="BF161" i="44"/>
  <c r="BF162" i="44"/>
  <c r="BF163" i="44"/>
  <c r="BF164" i="44"/>
  <c r="BF165" i="44"/>
  <c r="BF166" i="44"/>
  <c r="B201" i="44"/>
  <c r="BF201" i="44"/>
  <c r="B202" i="44"/>
  <c r="BF202" i="44"/>
  <c r="B203" i="44"/>
  <c r="BF203" i="44"/>
  <c r="B204" i="44"/>
  <c r="BF204" i="44"/>
  <c r="B205" i="44"/>
  <c r="BF205" i="44"/>
  <c r="B206" i="44"/>
  <c r="BF206" i="44"/>
  <c r="B207" i="44"/>
  <c r="BF207" i="44"/>
  <c r="B208" i="44"/>
  <c r="BF208" i="44"/>
  <c r="B209" i="44"/>
  <c r="BF209" i="44"/>
  <c r="B210" i="44"/>
  <c r="BF210" i="44"/>
  <c r="B211" i="44"/>
  <c r="BF211" i="44"/>
  <c r="B212" i="44"/>
  <c r="BF212" i="44"/>
  <c r="B213" i="44"/>
  <c r="BF213" i="44"/>
  <c r="B214" i="44"/>
  <c r="BF214" i="44"/>
  <c r="B215" i="44"/>
  <c r="BF215" i="44"/>
  <c r="B216" i="44"/>
  <c r="BF216" i="44"/>
  <c r="B217" i="44"/>
  <c r="BF217" i="44"/>
  <c r="B218" i="44"/>
  <c r="BF218" i="44"/>
  <c r="B219" i="44"/>
  <c r="BF219" i="44"/>
  <c r="B220" i="44"/>
  <c r="BF220" i="44"/>
  <c r="B221" i="44"/>
  <c r="BF221" i="44"/>
  <c r="B222" i="44"/>
  <c r="BF222" i="44"/>
  <c r="B223" i="44"/>
  <c r="BF223" i="44"/>
  <c r="B224" i="44"/>
  <c r="BF224" i="44"/>
  <c r="B225" i="44"/>
  <c r="BF225" i="44"/>
  <c r="B226" i="44"/>
  <c r="BF226" i="44"/>
  <c r="B227" i="44"/>
  <c r="BF227" i="44"/>
  <c r="B228" i="44"/>
  <c r="BF228" i="44"/>
  <c r="B229" i="44"/>
  <c r="BF229" i="44"/>
  <c r="B230" i="44"/>
  <c r="BF230" i="44"/>
  <c r="B231" i="44"/>
  <c r="BF231" i="44"/>
  <c r="B232" i="44"/>
  <c r="BF232" i="44"/>
  <c r="B233" i="44"/>
  <c r="BF233" i="44"/>
  <c r="B234" i="44"/>
  <c r="BF234" i="44"/>
  <c r="B235" i="44"/>
  <c r="BF235" i="44"/>
  <c r="B236" i="44"/>
  <c r="BF236" i="44"/>
  <c r="B237" i="44"/>
  <c r="BF237" i="44"/>
  <c r="B238" i="44"/>
  <c r="BF238" i="44"/>
  <c r="B239" i="44"/>
  <c r="BF239" i="44"/>
  <c r="B240" i="44"/>
  <c r="BF240" i="44"/>
  <c r="B241" i="44"/>
  <c r="BF241" i="44"/>
  <c r="B242" i="44"/>
  <c r="BF242" i="44"/>
  <c r="B243" i="44"/>
  <c r="BF243" i="44"/>
  <c r="B244" i="44"/>
  <c r="BF244" i="44"/>
  <c r="B245" i="44"/>
  <c r="BF245" i="44"/>
  <c r="B246" i="44"/>
  <c r="BF246" i="44"/>
  <c r="B247" i="44"/>
  <c r="BF247" i="44"/>
  <c r="B248" i="44"/>
  <c r="BF248" i="44"/>
  <c r="B249" i="44"/>
  <c r="BF249" i="44"/>
  <c r="B250" i="44"/>
  <c r="BF250" i="44"/>
  <c r="B251" i="44"/>
  <c r="BF251" i="44"/>
  <c r="B252" i="44"/>
  <c r="BF252" i="44"/>
  <c r="B253" i="44"/>
  <c r="BF253" i="44"/>
  <c r="B254" i="44"/>
  <c r="BF254" i="44"/>
  <c r="B255" i="44"/>
  <c r="BF255" i="44"/>
  <c r="B256" i="44"/>
  <c r="BF256" i="44"/>
  <c r="B257" i="44"/>
  <c r="BF257" i="44"/>
  <c r="B259" i="44"/>
  <c r="BF259" i="44"/>
  <c r="B260" i="44"/>
  <c r="BF260" i="44"/>
  <c r="B261" i="44"/>
  <c r="BF261" i="44"/>
  <c r="B262" i="44"/>
  <c r="BF262" i="44"/>
  <c r="B263" i="44"/>
  <c r="BF263" i="44"/>
  <c r="B264" i="44"/>
  <c r="BF264" i="44"/>
  <c r="B265" i="44"/>
  <c r="BF265" i="44"/>
  <c r="B266" i="44"/>
  <c r="BF266" i="44"/>
  <c r="B267" i="44"/>
  <c r="BF267" i="44"/>
  <c r="B268" i="44"/>
  <c r="BF268" i="44"/>
  <c r="B269" i="44"/>
  <c r="BF269" i="44"/>
  <c r="B270" i="44"/>
  <c r="BF270" i="44"/>
  <c r="B271" i="44"/>
  <c r="BF271" i="44"/>
  <c r="B272" i="44"/>
  <c r="BF272" i="44"/>
  <c r="B273" i="44"/>
  <c r="BF273" i="44"/>
  <c r="B274" i="44"/>
  <c r="BF274" i="44"/>
  <c r="B275" i="44"/>
  <c r="BF275" i="44"/>
  <c r="B276" i="44"/>
  <c r="BF276" i="44"/>
  <c r="B277" i="44"/>
  <c r="BF277" i="44"/>
  <c r="B278" i="44"/>
  <c r="BF278" i="44"/>
  <c r="B279" i="44"/>
  <c r="BF279" i="44"/>
  <c r="B280" i="44"/>
  <c r="BF280" i="44"/>
  <c r="B281" i="44"/>
  <c r="BF281" i="44"/>
  <c r="B282" i="44"/>
  <c r="BF282" i="44"/>
  <c r="B283" i="44"/>
  <c r="BF283" i="44"/>
  <c r="B284" i="44"/>
  <c r="BF284" i="44"/>
  <c r="B285" i="44"/>
  <c r="BF285" i="44"/>
  <c r="B286" i="44"/>
  <c r="BF286" i="44"/>
  <c r="B287" i="44"/>
  <c r="BF287" i="44"/>
  <c r="B288" i="44"/>
  <c r="BF288" i="44"/>
  <c r="B289" i="44"/>
  <c r="BF289" i="44"/>
  <c r="B290" i="44"/>
  <c r="BF290" i="44"/>
  <c r="B291" i="44"/>
  <c r="BF291" i="44"/>
  <c r="B292" i="44"/>
  <c r="BF292" i="44"/>
  <c r="B293" i="44"/>
  <c r="BF293" i="44"/>
  <c r="B294" i="44"/>
  <c r="BF294" i="44"/>
  <c r="B295" i="44"/>
  <c r="BF295" i="44"/>
  <c r="B296" i="44"/>
  <c r="BF296" i="44"/>
  <c r="B299" i="44"/>
  <c r="BF299" i="44"/>
  <c r="B300" i="44"/>
  <c r="BF300" i="44"/>
  <c r="B301" i="44"/>
  <c r="BF301" i="44"/>
  <c r="B302" i="44"/>
  <c r="BF302" i="44"/>
  <c r="B303" i="44"/>
  <c r="BF303" i="44"/>
  <c r="B304" i="44"/>
  <c r="BF304" i="44"/>
  <c r="B305" i="44"/>
  <c r="BF305" i="44"/>
  <c r="B306" i="44"/>
  <c r="BF306" i="44"/>
  <c r="B307" i="44"/>
  <c r="BF307" i="44"/>
  <c r="B308" i="44"/>
  <c r="BF308" i="44"/>
  <c r="B309" i="44"/>
  <c r="BF309" i="44"/>
  <c r="B310" i="44"/>
  <c r="BF310" i="44"/>
  <c r="B311" i="44"/>
  <c r="BF311" i="44"/>
  <c r="B312" i="44"/>
  <c r="BF312" i="44"/>
  <c r="B313" i="44"/>
  <c r="BF313" i="44"/>
  <c r="F66" i="41"/>
  <c r="F51" i="41"/>
  <c r="E51" i="52"/>
  <c r="D51" i="52"/>
  <c r="C51" i="52"/>
  <c r="E66" i="52"/>
  <c r="D66" i="52"/>
  <c r="C66" i="52"/>
  <c r="E63" i="52"/>
  <c r="D63" i="52"/>
  <c r="C63" i="52"/>
  <c r="F21" i="52"/>
  <c r="G15" i="52"/>
  <c r="F15" i="52"/>
  <c r="B78" i="52"/>
  <c r="I78" i="52"/>
  <c r="C78" i="52"/>
  <c r="J78" i="52"/>
  <c r="D78" i="52"/>
  <c r="K78" i="52"/>
  <c r="E78" i="52"/>
  <c r="L78" i="52"/>
  <c r="P78" i="52"/>
  <c r="B75" i="52"/>
  <c r="I75" i="52"/>
  <c r="C75" i="52"/>
  <c r="J75" i="52"/>
  <c r="D75" i="52"/>
  <c r="K75" i="52"/>
  <c r="E75" i="52"/>
  <c r="L75" i="52"/>
  <c r="P75" i="52"/>
  <c r="B69" i="52"/>
  <c r="I69" i="52"/>
  <c r="C69" i="52"/>
  <c r="J69" i="52"/>
  <c r="D69" i="52"/>
  <c r="K69" i="52"/>
  <c r="E69" i="52"/>
  <c r="L69" i="52"/>
  <c r="P69" i="52"/>
  <c r="J66" i="52"/>
  <c r="K66" i="52"/>
  <c r="L66" i="52"/>
  <c r="B66" i="52"/>
  <c r="I66" i="52"/>
  <c r="P66" i="52"/>
  <c r="J63" i="52"/>
  <c r="K63" i="52"/>
  <c r="L63" i="52"/>
  <c r="B63" i="52"/>
  <c r="I63" i="52"/>
  <c r="P63" i="52"/>
  <c r="B60" i="52"/>
  <c r="I60" i="52"/>
  <c r="C60" i="52"/>
  <c r="J60" i="52"/>
  <c r="D60" i="52"/>
  <c r="K60" i="52"/>
  <c r="E60" i="52"/>
  <c r="L60" i="52"/>
  <c r="P60" i="52"/>
  <c r="J51" i="52"/>
  <c r="K51" i="52"/>
  <c r="L51" i="52"/>
  <c r="B51" i="52"/>
  <c r="I51" i="52"/>
  <c r="P51" i="52"/>
  <c r="C45" i="52"/>
  <c r="J45" i="52"/>
  <c r="D45" i="52"/>
  <c r="K45" i="52"/>
  <c r="E45" i="52"/>
  <c r="L45" i="52"/>
  <c r="D24" i="52"/>
  <c r="K24" i="52"/>
  <c r="G75" i="52"/>
  <c r="G63" i="52"/>
  <c r="G57" i="52"/>
  <c r="G18" i="52"/>
  <c r="G24" i="52"/>
  <c r="H33" i="33"/>
  <c r="G21" i="41"/>
  <c r="G18" i="41"/>
  <c r="H15" i="41"/>
  <c r="O78" i="52"/>
  <c r="O75" i="52"/>
  <c r="O69" i="52"/>
  <c r="O66" i="52"/>
  <c r="O63" i="52"/>
  <c r="O60" i="52"/>
  <c r="O51" i="52"/>
  <c r="E24" i="52"/>
  <c r="L24" i="52"/>
  <c r="A27" i="3"/>
  <c r="A26" i="3"/>
  <c r="A25" i="3"/>
  <c r="A24" i="3"/>
  <c r="A23" i="3"/>
  <c r="A22" i="3"/>
  <c r="A21" i="3"/>
  <c r="A20" i="3"/>
  <c r="A19" i="3"/>
  <c r="A18" i="3"/>
  <c r="A17" i="3"/>
  <c r="A16" i="3"/>
  <c r="A15" i="3"/>
  <c r="A14" i="3"/>
  <c r="A13" i="3"/>
  <c r="A12" i="3"/>
  <c r="A11" i="3"/>
  <c r="A10" i="3"/>
  <c r="B19" i="40"/>
  <c r="G60" i="52"/>
  <c r="G78" i="52"/>
  <c r="F78" i="52"/>
  <c r="H78" i="52"/>
  <c r="M78" i="52"/>
  <c r="F60" i="52"/>
  <c r="G72" i="52"/>
  <c r="F75" i="52"/>
  <c r="H75" i="52"/>
  <c r="M75" i="52"/>
  <c r="G69" i="52"/>
  <c r="F72" i="52"/>
  <c r="H72" i="52"/>
  <c r="F69" i="52"/>
  <c r="H69" i="52"/>
  <c r="M69" i="52"/>
  <c r="G66" i="52"/>
  <c r="F66" i="52"/>
  <c r="H66" i="52"/>
  <c r="M66" i="52"/>
  <c r="F63" i="52"/>
  <c r="H63" i="52"/>
  <c r="M63" i="52"/>
  <c r="H60" i="52"/>
  <c r="M60" i="52"/>
  <c r="F57" i="52"/>
  <c r="H57" i="52"/>
  <c r="G51" i="52"/>
  <c r="F51" i="52"/>
  <c r="H51" i="52"/>
  <c r="M51" i="52"/>
  <c r="G42" i="52"/>
  <c r="H42" i="52"/>
  <c r="G27" i="52"/>
  <c r="H34" i="33"/>
  <c r="F27" i="52"/>
  <c r="H27" i="52"/>
  <c r="F18" i="52"/>
  <c r="F24" i="52"/>
  <c r="H24" i="52"/>
  <c r="H21" i="52"/>
  <c r="H18" i="52"/>
  <c r="H15" i="52"/>
  <c r="F12" i="52"/>
  <c r="H12" i="52"/>
  <c r="G9" i="52"/>
  <c r="H9" i="52"/>
  <c r="CB29" i="4"/>
  <c r="S29" i="4"/>
  <c r="CB30" i="4"/>
  <c r="S30" i="4"/>
  <c r="CB31" i="4"/>
  <c r="S31" i="4"/>
  <c r="CB32" i="4"/>
  <c r="S32" i="4"/>
  <c r="CB33" i="4"/>
  <c r="S33" i="4"/>
  <c r="CB34" i="4"/>
  <c r="S34" i="4"/>
  <c r="CB35" i="4"/>
  <c r="S35" i="4"/>
  <c r="CB36" i="4"/>
  <c r="S36" i="4"/>
  <c r="CB37" i="4"/>
  <c r="S37" i="4"/>
  <c r="CB38" i="4"/>
  <c r="S38" i="4"/>
  <c r="CB39" i="4"/>
  <c r="S39" i="4"/>
  <c r="CB40" i="4"/>
  <c r="S40" i="4"/>
  <c r="CB41" i="4"/>
  <c r="S41" i="4"/>
  <c r="CB42" i="4"/>
  <c r="S42" i="4"/>
  <c r="CB43" i="4"/>
  <c r="S43" i="4"/>
  <c r="CB44" i="4"/>
  <c r="S44" i="4"/>
  <c r="CB45" i="4"/>
  <c r="S45" i="4"/>
  <c r="CB46" i="4"/>
  <c r="S46" i="4"/>
  <c r="CB47" i="4"/>
  <c r="S47" i="4"/>
  <c r="CB48" i="4"/>
  <c r="S48" i="4"/>
  <c r="CB49" i="4"/>
  <c r="S49" i="4"/>
  <c r="CB50" i="4"/>
  <c r="S50" i="4"/>
  <c r="CB51" i="4"/>
  <c r="S51" i="4"/>
  <c r="CB52" i="4"/>
  <c r="S52" i="4"/>
  <c r="CB53" i="4"/>
  <c r="S53" i="4"/>
  <c r="CB54" i="4"/>
  <c r="S54" i="4"/>
  <c r="CB55" i="4"/>
  <c r="S55" i="4"/>
  <c r="CB56" i="4"/>
  <c r="S56" i="4"/>
  <c r="CB57" i="4"/>
  <c r="S57" i="4"/>
  <c r="CB58" i="4"/>
  <c r="S58" i="4"/>
  <c r="CB59" i="4"/>
  <c r="S59" i="4"/>
  <c r="CB60" i="4"/>
  <c r="S60" i="4"/>
  <c r="CB61" i="4"/>
  <c r="S61" i="4"/>
  <c r="CB62" i="4"/>
  <c r="S62" i="4"/>
  <c r="CB63" i="4"/>
  <c r="S63" i="4"/>
  <c r="CB64" i="4"/>
  <c r="S64" i="4"/>
  <c r="CB65" i="4"/>
  <c r="S65" i="4"/>
  <c r="CB66" i="4"/>
  <c r="S66" i="4"/>
  <c r="CB67" i="4"/>
  <c r="S67" i="4"/>
  <c r="CB68" i="4"/>
  <c r="S68" i="4"/>
  <c r="CB69" i="4"/>
  <c r="S69" i="4"/>
  <c r="CB70" i="4"/>
  <c r="S70" i="4"/>
  <c r="CB71" i="4"/>
  <c r="S71" i="4"/>
  <c r="CB72" i="4"/>
  <c r="S72" i="4"/>
  <c r="CB73" i="4"/>
  <c r="S73" i="4"/>
  <c r="CB74" i="4"/>
  <c r="S74" i="4"/>
  <c r="CB75" i="4"/>
  <c r="S75" i="4"/>
  <c r="CB76" i="4"/>
  <c r="S76" i="4"/>
  <c r="CB77" i="4"/>
  <c r="S77" i="4"/>
  <c r="CB78" i="4"/>
  <c r="S78" i="4"/>
  <c r="CB79" i="4"/>
  <c r="S79" i="4"/>
  <c r="CB80" i="4"/>
  <c r="S80" i="4"/>
  <c r="CB81" i="4"/>
  <c r="S81" i="4"/>
  <c r="CB82" i="4"/>
  <c r="S82" i="4"/>
  <c r="CB83" i="4"/>
  <c r="S83" i="4"/>
  <c r="CB84" i="4"/>
  <c r="S84" i="4"/>
  <c r="CB85" i="4"/>
  <c r="S85" i="4"/>
  <c r="CB86" i="4"/>
  <c r="S86" i="4"/>
  <c r="CB87" i="4"/>
  <c r="S87" i="4"/>
  <c r="CB88" i="4"/>
  <c r="S88" i="4"/>
  <c r="CB89" i="4"/>
  <c r="S89" i="4"/>
  <c r="CB90" i="4"/>
  <c r="S90" i="4"/>
  <c r="CB91" i="4"/>
  <c r="S91" i="4"/>
  <c r="CB92" i="4"/>
  <c r="S92" i="4"/>
  <c r="CB93" i="4"/>
  <c r="S93" i="4"/>
  <c r="CB94" i="4"/>
  <c r="S94" i="4"/>
  <c r="CB95" i="4"/>
  <c r="S95" i="4"/>
  <c r="CB96" i="4"/>
  <c r="S96" i="4"/>
  <c r="CB97" i="4"/>
  <c r="S97" i="4"/>
  <c r="CB98" i="4"/>
  <c r="S98" i="4"/>
  <c r="CB99" i="4"/>
  <c r="S99" i="4"/>
  <c r="CB100" i="4"/>
  <c r="S100" i="4"/>
  <c r="CB101" i="4"/>
  <c r="S101" i="4"/>
  <c r="CB102" i="4"/>
  <c r="S102" i="4"/>
  <c r="CB103" i="4"/>
  <c r="S103" i="4"/>
  <c r="CB104" i="4"/>
  <c r="S104" i="4"/>
  <c r="CB105" i="4"/>
  <c r="S105" i="4"/>
  <c r="CB106" i="4"/>
  <c r="S106" i="4"/>
  <c r="CB107" i="4"/>
  <c r="S107" i="4"/>
  <c r="CB108" i="4"/>
  <c r="S108" i="4"/>
  <c r="CB109" i="4"/>
  <c r="S109" i="4"/>
  <c r="CB110" i="4"/>
  <c r="S110" i="4"/>
  <c r="CB111" i="4"/>
  <c r="S111" i="4"/>
  <c r="CB112" i="4"/>
  <c r="S112" i="4"/>
  <c r="CB113" i="4"/>
  <c r="S113" i="4"/>
  <c r="CB114" i="4"/>
  <c r="S114" i="4"/>
  <c r="CB115" i="4"/>
  <c r="S115" i="4"/>
  <c r="CB116" i="4"/>
  <c r="S116" i="4"/>
  <c r="CB117" i="4"/>
  <c r="S117" i="4"/>
  <c r="CB118" i="4"/>
  <c r="S118" i="4"/>
  <c r="CB119" i="4"/>
  <c r="S119" i="4"/>
  <c r="CB120" i="4"/>
  <c r="S120" i="4"/>
  <c r="CB121" i="4"/>
  <c r="S121" i="4"/>
  <c r="CB122" i="4"/>
  <c r="S122" i="4"/>
  <c r="CB123" i="4"/>
  <c r="S123" i="4"/>
  <c r="CB124" i="4"/>
  <c r="S124" i="4"/>
  <c r="F10" i="39"/>
  <c r="E10" i="39"/>
  <c r="D10" i="39"/>
  <c r="H10" i="39"/>
  <c r="F11" i="39"/>
  <c r="E11" i="39"/>
  <c r="D11" i="39"/>
  <c r="B11" i="39"/>
  <c r="H11" i="39"/>
  <c r="F12" i="39"/>
  <c r="E12" i="39"/>
  <c r="D12" i="39"/>
  <c r="B12" i="39"/>
  <c r="H12" i="39"/>
  <c r="F13" i="39"/>
  <c r="E13" i="39"/>
  <c r="D13" i="39"/>
  <c r="B13" i="39"/>
  <c r="H13" i="39"/>
  <c r="F14" i="39"/>
  <c r="E14" i="39"/>
  <c r="D14" i="39"/>
  <c r="B14" i="39"/>
  <c r="H14" i="39"/>
  <c r="F16" i="39"/>
  <c r="F17" i="39"/>
  <c r="F18" i="39"/>
  <c r="F19" i="39"/>
  <c r="F20" i="39"/>
  <c r="D27" i="39"/>
  <c r="D28" i="39"/>
  <c r="D29" i="39"/>
  <c r="D30" i="39"/>
  <c r="D31" i="39"/>
  <c r="D32" i="39"/>
  <c r="D33" i="39"/>
  <c r="D34" i="39"/>
  <c r="D35" i="39"/>
  <c r="D37" i="39"/>
  <c r="D38" i="39"/>
  <c r="D39" i="39"/>
  <c r="D40" i="39"/>
  <c r="D41" i="39"/>
  <c r="D42" i="39"/>
  <c r="D43" i="39"/>
  <c r="D44" i="39"/>
  <c r="D45" i="39"/>
  <c r="D47" i="39"/>
  <c r="D48" i="39"/>
  <c r="D49" i="39"/>
  <c r="D50" i="39"/>
  <c r="D51" i="39"/>
  <c r="D52" i="39"/>
  <c r="D53" i="39"/>
  <c r="D54" i="39"/>
  <c r="D55" i="39"/>
  <c r="D57" i="39"/>
  <c r="D58" i="39"/>
  <c r="D59" i="39"/>
  <c r="D60" i="39"/>
  <c r="D61" i="39"/>
  <c r="D62" i="39"/>
  <c r="D63" i="39"/>
  <c r="D64" i="39"/>
  <c r="D65" i="39"/>
  <c r="D67" i="39"/>
  <c r="D68" i="39"/>
  <c r="D69" i="39"/>
  <c r="D70" i="39"/>
  <c r="D71" i="39"/>
  <c r="D72" i="39"/>
  <c r="D73" i="39"/>
  <c r="D74" i="39"/>
  <c r="D75" i="39"/>
  <c r="D77" i="39"/>
  <c r="D78" i="39"/>
  <c r="D79" i="39"/>
  <c r="D80" i="39"/>
  <c r="D81" i="39"/>
  <c r="D82" i="39"/>
  <c r="D83" i="39"/>
  <c r="D84" i="39"/>
  <c r="D85" i="39"/>
  <c r="D87" i="39"/>
  <c r="D88" i="39"/>
  <c r="D89" i="39"/>
  <c r="D90" i="39"/>
  <c r="D91" i="39"/>
  <c r="D92" i="39"/>
  <c r="D93" i="39"/>
  <c r="D94" i="39"/>
  <c r="D95" i="39"/>
  <c r="D97" i="39"/>
  <c r="D98" i="39"/>
  <c r="D99" i="39"/>
  <c r="D100" i="39"/>
  <c r="D101" i="39"/>
  <c r="D102" i="39"/>
  <c r="D103" i="39"/>
  <c r="D104" i="39"/>
  <c r="D105" i="39"/>
  <c r="D107" i="39"/>
  <c r="D108" i="39"/>
  <c r="D109" i="39"/>
  <c r="D110" i="39"/>
  <c r="D111" i="39"/>
  <c r="D112" i="39"/>
  <c r="D113" i="39"/>
  <c r="D114" i="39"/>
  <c r="D115" i="39"/>
  <c r="D117" i="39"/>
  <c r="D118" i="39"/>
  <c r="D119" i="39"/>
  <c r="D120" i="39"/>
  <c r="D121" i="39"/>
  <c r="D122" i="39"/>
  <c r="D123" i="39"/>
  <c r="D124" i="39"/>
  <c r="D125" i="39"/>
  <c r="D127" i="39"/>
  <c r="D128" i="39"/>
  <c r="D129" i="39"/>
  <c r="D130" i="39"/>
  <c r="D131" i="39"/>
  <c r="D132" i="39"/>
  <c r="D133" i="39"/>
  <c r="D134" i="39"/>
  <c r="D135" i="39"/>
  <c r="D137" i="39"/>
  <c r="D138" i="39"/>
  <c r="D139" i="39"/>
  <c r="D140" i="39"/>
  <c r="D141" i="39"/>
  <c r="D142" i="39"/>
  <c r="D143" i="39"/>
  <c r="D144" i="39"/>
  <c r="D145" i="39"/>
  <c r="D147" i="39"/>
  <c r="D148" i="39"/>
  <c r="D149" i="39"/>
  <c r="D150" i="39"/>
  <c r="D151" i="39"/>
  <c r="D152" i="39"/>
  <c r="D153" i="39"/>
  <c r="D154" i="39"/>
  <c r="D155" i="39"/>
  <c r="D157" i="39"/>
  <c r="D158" i="39"/>
  <c r="D159" i="39"/>
  <c r="D160" i="39"/>
  <c r="D161" i="39"/>
  <c r="D162" i="39"/>
  <c r="D163" i="39"/>
  <c r="D164" i="39"/>
  <c r="D165" i="39"/>
  <c r="C11" i="39"/>
  <c r="C12" i="39"/>
  <c r="C13" i="39"/>
  <c r="C14" i="39"/>
  <c r="C10" i="39"/>
  <c r="B26" i="26"/>
  <c r="J27" i="50"/>
  <c r="I27" i="50"/>
  <c r="K27" i="26"/>
  <c r="J27" i="26"/>
  <c r="L10" i="26"/>
  <c r="N10" i="26"/>
  <c r="O10" i="26"/>
  <c r="H25" i="26"/>
  <c r="F25" i="26"/>
  <c r="I26" i="26"/>
  <c r="I27" i="26"/>
  <c r="F10" i="26"/>
  <c r="H10" i="26"/>
  <c r="I10" i="26"/>
  <c r="Q165" i="42"/>
  <c r="M37" i="50"/>
  <c r="Q155" i="42"/>
  <c r="Q156" i="42"/>
  <c r="Q157" i="42"/>
  <c r="Q158" i="42"/>
  <c r="Q159" i="42"/>
  <c r="Q160" i="42"/>
  <c r="Q161" i="42"/>
  <c r="Q162" i="42"/>
  <c r="Q163" i="42"/>
  <c r="Q164" i="42"/>
  <c r="M36" i="50"/>
  <c r="Q145" i="42"/>
  <c r="Q146" i="42"/>
  <c r="Q147" i="42"/>
  <c r="Q148" i="42"/>
  <c r="Q149" i="42"/>
  <c r="Q150" i="42"/>
  <c r="Q151" i="42"/>
  <c r="Q152" i="42"/>
  <c r="Q153" i="42"/>
  <c r="Q154" i="42"/>
  <c r="M35" i="50"/>
  <c r="Q135" i="42"/>
  <c r="Q136" i="42"/>
  <c r="Q137" i="42"/>
  <c r="Q138" i="42"/>
  <c r="Q139" i="42"/>
  <c r="Q140" i="42"/>
  <c r="Q143" i="42"/>
  <c r="Q144" i="42"/>
  <c r="Q125" i="42"/>
  <c r="Q126" i="42"/>
  <c r="Q127" i="42"/>
  <c r="Q128" i="42"/>
  <c r="Q129" i="42"/>
  <c r="Q130" i="42"/>
  <c r="Q131" i="42"/>
  <c r="Q132" i="42"/>
  <c r="Q133" i="42"/>
  <c r="Q134" i="42"/>
  <c r="M33" i="50"/>
  <c r="Q115" i="42"/>
  <c r="Q116" i="42"/>
  <c r="Q117" i="42"/>
  <c r="Q118" i="42"/>
  <c r="Q119" i="42"/>
  <c r="Q120" i="42"/>
  <c r="Q121" i="42"/>
  <c r="Q122" i="42"/>
  <c r="Q123" i="42"/>
  <c r="Q124" i="42"/>
  <c r="M32" i="50"/>
  <c r="Q105" i="42"/>
  <c r="Q106" i="42"/>
  <c r="Q107" i="42"/>
  <c r="Q108" i="42"/>
  <c r="Q109" i="42"/>
  <c r="Q110" i="42"/>
  <c r="Q111" i="42"/>
  <c r="Q112" i="42"/>
  <c r="Q113" i="42"/>
  <c r="Q114" i="42"/>
  <c r="M31" i="50"/>
  <c r="Q95" i="42"/>
  <c r="Q96" i="42"/>
  <c r="Q97" i="42"/>
  <c r="Q98" i="42"/>
  <c r="Q99" i="42"/>
  <c r="Q100" i="42"/>
  <c r="Q101" i="42"/>
  <c r="Q103" i="42"/>
  <c r="Q104" i="42"/>
  <c r="Q85" i="42"/>
  <c r="Q86" i="42"/>
  <c r="Q87" i="42"/>
  <c r="Q88" i="42"/>
  <c r="Q89" i="42"/>
  <c r="Q90" i="42"/>
  <c r="Q91" i="42"/>
  <c r="Q92" i="42"/>
  <c r="Q93" i="42"/>
  <c r="Q94" i="42"/>
  <c r="M29" i="50"/>
  <c r="Q75" i="42"/>
  <c r="Q76" i="42"/>
  <c r="Q77" i="42"/>
  <c r="Q78" i="42"/>
  <c r="Q79" i="42"/>
  <c r="Q80" i="42"/>
  <c r="Q81" i="42"/>
  <c r="Q82" i="42"/>
  <c r="Q83" i="42"/>
  <c r="Q84" i="42"/>
  <c r="M28" i="50"/>
  <c r="G224" i="44"/>
  <c r="M27" i="50"/>
  <c r="G196" i="44"/>
  <c r="G166" i="44"/>
  <c r="M25" i="50"/>
  <c r="G151" i="44"/>
  <c r="M24" i="50"/>
  <c r="G141" i="44"/>
  <c r="M23" i="50"/>
  <c r="G131" i="44"/>
  <c r="M22" i="50"/>
  <c r="G121" i="44"/>
  <c r="M21" i="50"/>
  <c r="G111" i="44"/>
  <c r="M20" i="50"/>
  <c r="G101" i="44"/>
  <c r="M19" i="50"/>
  <c r="G91" i="44"/>
  <c r="M18" i="50"/>
  <c r="G81" i="44"/>
  <c r="M17" i="50"/>
  <c r="G71" i="44"/>
  <c r="M16" i="50"/>
  <c r="G61" i="44"/>
  <c r="G51" i="44"/>
  <c r="M14" i="50"/>
  <c r="G41" i="44"/>
  <c r="M13" i="50"/>
  <c r="G31" i="44"/>
  <c r="M12" i="50"/>
  <c r="G21" i="44"/>
  <c r="M11" i="50"/>
  <c r="G11" i="44"/>
  <c r="M10" i="50"/>
  <c r="H24" i="41"/>
  <c r="G24" i="41"/>
  <c r="I24" i="41"/>
  <c r="H9" i="41"/>
  <c r="H31" i="33"/>
  <c r="G9" i="41"/>
  <c r="I9" i="41"/>
  <c r="G12" i="41"/>
  <c r="I12" i="41"/>
  <c r="G15" i="41"/>
  <c r="I15" i="41"/>
  <c r="I18" i="41"/>
  <c r="I21" i="41"/>
  <c r="G27" i="41"/>
  <c r="I27" i="41"/>
  <c r="F34" i="22"/>
  <c r="D22" i="26"/>
  <c r="D23" i="26"/>
  <c r="D24" i="26"/>
  <c r="D24" i="37"/>
  <c r="AE11" i="25"/>
  <c r="AE12" i="25"/>
  <c r="AE13" i="25"/>
  <c r="AE14" i="25"/>
  <c r="AE15" i="25"/>
  <c r="AE16" i="25"/>
  <c r="AE17" i="25"/>
  <c r="AE18" i="25"/>
  <c r="AE19" i="25"/>
  <c r="AE20" i="25"/>
  <c r="AE21" i="25"/>
  <c r="AE22" i="25"/>
  <c r="AE23" i="25"/>
  <c r="AE24" i="25"/>
  <c r="AE25" i="25"/>
  <c r="J192" i="25"/>
  <c r="H28" i="27"/>
  <c r="C27" i="26"/>
  <c r="D25" i="27" a="1"/>
  <c r="Q246" i="34"/>
  <c r="N78" i="37"/>
  <c r="T246" i="34"/>
  <c r="P78" i="37"/>
  <c r="Q156" i="34"/>
  <c r="U156" i="34"/>
  <c r="AP156" i="34"/>
  <c r="Q157" i="34"/>
  <c r="U157" i="34"/>
  <c r="AP157" i="34"/>
  <c r="Q158" i="34"/>
  <c r="U158" i="34"/>
  <c r="AP158" i="34"/>
  <c r="Q159" i="34"/>
  <c r="U159" i="34"/>
  <c r="AP159" i="34"/>
  <c r="Q160" i="34"/>
  <c r="U160" i="34"/>
  <c r="AP160" i="34"/>
  <c r="Q161" i="34"/>
  <c r="U161" i="34"/>
  <c r="AP161" i="34"/>
  <c r="Q162" i="34"/>
  <c r="U162" i="34"/>
  <c r="AP162" i="34"/>
  <c r="Q163" i="34"/>
  <c r="U163" i="34"/>
  <c r="AP163" i="34"/>
  <c r="Q164" i="34"/>
  <c r="U164" i="34"/>
  <c r="AP164" i="34"/>
  <c r="Q165" i="34"/>
  <c r="U165" i="34"/>
  <c r="AP165" i="34"/>
  <c r="U246" i="34"/>
  <c r="Q78" i="37"/>
  <c r="V78" i="37"/>
  <c r="Q243" i="34"/>
  <c r="N75" i="37"/>
  <c r="T243" i="34"/>
  <c r="P75" i="37"/>
  <c r="Q146" i="34"/>
  <c r="U146" i="34"/>
  <c r="AP146" i="34"/>
  <c r="Q147" i="34"/>
  <c r="U147" i="34"/>
  <c r="AP147" i="34"/>
  <c r="Q148" i="34"/>
  <c r="U148" i="34"/>
  <c r="AP148" i="34"/>
  <c r="Q149" i="34"/>
  <c r="U149" i="34"/>
  <c r="AP149" i="34"/>
  <c r="Q150" i="34"/>
  <c r="U150" i="34"/>
  <c r="AP150" i="34"/>
  <c r="Q151" i="34"/>
  <c r="U151" i="34"/>
  <c r="AP151" i="34"/>
  <c r="Q152" i="34"/>
  <c r="U152" i="34"/>
  <c r="AP152" i="34"/>
  <c r="Q153" i="34"/>
  <c r="U153" i="34"/>
  <c r="AP153" i="34"/>
  <c r="Q154" i="34"/>
  <c r="U154" i="34"/>
  <c r="AP154" i="34"/>
  <c r="Q155" i="34"/>
  <c r="U155" i="34"/>
  <c r="AP155" i="34"/>
  <c r="U243" i="34"/>
  <c r="Q75" i="37"/>
  <c r="V75" i="37"/>
  <c r="Q240" i="34"/>
  <c r="N72" i="37"/>
  <c r="Q136" i="34"/>
  <c r="U136" i="34"/>
  <c r="AP136" i="34"/>
  <c r="Q137" i="34"/>
  <c r="U137" i="34"/>
  <c r="AP137" i="34"/>
  <c r="Q138" i="34"/>
  <c r="U138" i="34"/>
  <c r="AP138" i="34"/>
  <c r="Q139" i="34"/>
  <c r="U139" i="34"/>
  <c r="AP139" i="34"/>
  <c r="Q144" i="34"/>
  <c r="U144" i="34"/>
  <c r="AP144" i="34"/>
  <c r="Q145" i="34"/>
  <c r="U145" i="34"/>
  <c r="AP145" i="34"/>
  <c r="Q237" i="34"/>
  <c r="N69" i="37"/>
  <c r="T237" i="34"/>
  <c r="P69" i="37"/>
  <c r="Q126" i="34"/>
  <c r="U126" i="34"/>
  <c r="AP126" i="34"/>
  <c r="Q127" i="34"/>
  <c r="U127" i="34"/>
  <c r="AP127" i="34"/>
  <c r="Q128" i="34"/>
  <c r="U128" i="34"/>
  <c r="AP128" i="34"/>
  <c r="Q129" i="34"/>
  <c r="U129" i="34"/>
  <c r="AP129" i="34"/>
  <c r="Q130" i="34"/>
  <c r="U130" i="34"/>
  <c r="AP130" i="34"/>
  <c r="Q131" i="34"/>
  <c r="U131" i="34"/>
  <c r="AP131" i="34"/>
  <c r="Q132" i="34"/>
  <c r="U132" i="34"/>
  <c r="AP132" i="34"/>
  <c r="Q133" i="34"/>
  <c r="U133" i="34"/>
  <c r="AP133" i="34"/>
  <c r="Q134" i="34"/>
  <c r="U134" i="34"/>
  <c r="AP134" i="34"/>
  <c r="Q135" i="34"/>
  <c r="U135" i="34"/>
  <c r="AP135" i="34"/>
  <c r="U237" i="34"/>
  <c r="Q69" i="37"/>
  <c r="V69" i="37"/>
  <c r="Q228" i="34"/>
  <c r="N60" i="37"/>
  <c r="T228" i="34"/>
  <c r="P60" i="37"/>
  <c r="U228" i="34"/>
  <c r="Q60" i="37"/>
  <c r="V60" i="37"/>
  <c r="Q225" i="34"/>
  <c r="N57" i="37"/>
  <c r="Q222" i="34"/>
  <c r="N54" i="37"/>
  <c r="Q216" i="34"/>
  <c r="N48" i="37"/>
  <c r="D11" i="6"/>
  <c r="D12" i="6"/>
  <c r="D13" i="6"/>
  <c r="D14" i="6"/>
  <c r="C21" i="26"/>
  <c r="C25" i="26"/>
  <c r="C26" i="26"/>
  <c r="V11" i="50"/>
  <c r="V12" i="50"/>
  <c r="V13" i="50"/>
  <c r="V16" i="50"/>
  <c r="V17" i="50"/>
  <c r="V18" i="50"/>
  <c r="V19" i="50"/>
  <c r="V20" i="50"/>
  <c r="V21" i="50"/>
  <c r="V22" i="50"/>
  <c r="V23" i="50"/>
  <c r="V24" i="50"/>
  <c r="V10" i="50"/>
  <c r="U11" i="50"/>
  <c r="U12" i="50"/>
  <c r="U13" i="50"/>
  <c r="U16" i="50"/>
  <c r="U17" i="50"/>
  <c r="U18" i="50"/>
  <c r="U19" i="50"/>
  <c r="U20" i="50"/>
  <c r="U21" i="50"/>
  <c r="U22" i="50"/>
  <c r="U23" i="50"/>
  <c r="U24" i="50"/>
  <c r="U10" i="50"/>
  <c r="F67" i="42"/>
  <c r="F19" i="42"/>
  <c r="J31" i="33"/>
  <c r="T10" i="50"/>
  <c r="L11" i="50"/>
  <c r="N11" i="50"/>
  <c r="L12" i="50"/>
  <c r="N12" i="50"/>
  <c r="L13" i="50"/>
  <c r="N13" i="50"/>
  <c r="L14" i="50"/>
  <c r="N14" i="50"/>
  <c r="L16" i="50"/>
  <c r="N16" i="50"/>
  <c r="L17" i="50"/>
  <c r="N17" i="50"/>
  <c r="L18" i="50"/>
  <c r="N18" i="50"/>
  <c r="L19" i="50"/>
  <c r="N19" i="50"/>
  <c r="L20" i="50"/>
  <c r="N20" i="50"/>
  <c r="N21" i="50"/>
  <c r="N22" i="50"/>
  <c r="N23" i="50"/>
  <c r="N24" i="50"/>
  <c r="L25" i="50"/>
  <c r="N25" i="50"/>
  <c r="L27" i="50"/>
  <c r="N27" i="50"/>
  <c r="L10" i="50"/>
  <c r="N10" i="50"/>
  <c r="S99" i="42"/>
  <c r="S100" i="42"/>
  <c r="S101" i="42"/>
  <c r="S104" i="42"/>
  <c r="S105" i="42"/>
  <c r="S106" i="42"/>
  <c r="S107" i="42"/>
  <c r="S108" i="42"/>
  <c r="S109" i="42"/>
  <c r="S110" i="42"/>
  <c r="S111" i="42"/>
  <c r="S112" i="42"/>
  <c r="S113" i="42"/>
  <c r="S114" i="42"/>
  <c r="S115" i="42"/>
  <c r="S116" i="42"/>
  <c r="S117" i="42"/>
  <c r="S118" i="42"/>
  <c r="S119" i="42"/>
  <c r="S120" i="42"/>
  <c r="S121" i="42"/>
  <c r="S122" i="42"/>
  <c r="S123" i="42"/>
  <c r="S124" i="42"/>
  <c r="S125" i="42"/>
  <c r="S126" i="42"/>
  <c r="S127" i="42"/>
  <c r="S128" i="42"/>
  <c r="S98" i="42"/>
  <c r="O45" i="42"/>
  <c r="P45" i="42"/>
  <c r="O46" i="42"/>
  <c r="P46" i="42"/>
  <c r="O47" i="42"/>
  <c r="P47" i="42"/>
  <c r="O48" i="42"/>
  <c r="P48" i="42"/>
  <c r="O49" i="42"/>
  <c r="P49" i="42"/>
  <c r="O50" i="42"/>
  <c r="P50" i="42"/>
  <c r="O51" i="42"/>
  <c r="P51" i="42"/>
  <c r="O52" i="42"/>
  <c r="P52" i="42"/>
  <c r="O53" i="42"/>
  <c r="P53" i="42"/>
  <c r="O54" i="42"/>
  <c r="P54" i="42"/>
  <c r="O55" i="42"/>
  <c r="P55" i="42"/>
  <c r="O56" i="42"/>
  <c r="P56" i="42"/>
  <c r="O57" i="42"/>
  <c r="P57" i="42"/>
  <c r="O58" i="42"/>
  <c r="P58" i="42"/>
  <c r="O59" i="42"/>
  <c r="P59" i="42"/>
  <c r="O60" i="42"/>
  <c r="P60" i="42"/>
  <c r="O61" i="42"/>
  <c r="P61" i="42"/>
  <c r="O62" i="42"/>
  <c r="P62" i="42"/>
  <c r="O63" i="42"/>
  <c r="P63" i="42"/>
  <c r="O64" i="42"/>
  <c r="P64" i="42"/>
  <c r="O65" i="42"/>
  <c r="P65" i="42"/>
  <c r="O66" i="42"/>
  <c r="P66" i="42"/>
  <c r="O67" i="42"/>
  <c r="P67" i="42"/>
  <c r="O68" i="42"/>
  <c r="P68" i="42"/>
  <c r="O69" i="42"/>
  <c r="P69" i="42"/>
  <c r="O70" i="42"/>
  <c r="P70" i="42"/>
  <c r="O71" i="42"/>
  <c r="P71" i="42"/>
  <c r="O72" i="42"/>
  <c r="P72" i="42"/>
  <c r="O73" i="42"/>
  <c r="P73" i="42"/>
  <c r="O74" i="42"/>
  <c r="P74" i="42"/>
  <c r="P75" i="42"/>
  <c r="P76" i="42"/>
  <c r="P77" i="42"/>
  <c r="P78" i="42"/>
  <c r="P79" i="42"/>
  <c r="P80" i="42"/>
  <c r="P81" i="42"/>
  <c r="P82" i="42"/>
  <c r="P83" i="42"/>
  <c r="P84" i="42"/>
  <c r="P85" i="42"/>
  <c r="P86" i="42"/>
  <c r="P87" i="42"/>
  <c r="P88" i="42"/>
  <c r="P89" i="42"/>
  <c r="P90" i="42"/>
  <c r="P91" i="42"/>
  <c r="P92" i="42"/>
  <c r="P93" i="42"/>
  <c r="P94" i="42"/>
  <c r="P95" i="42"/>
  <c r="P96" i="42"/>
  <c r="P97" i="42"/>
  <c r="P98" i="42"/>
  <c r="P99" i="42"/>
  <c r="P100" i="42"/>
  <c r="P101" i="42"/>
  <c r="P102" i="42"/>
  <c r="P104" i="42"/>
  <c r="P105" i="42"/>
  <c r="P106" i="42"/>
  <c r="P107" i="42"/>
  <c r="P108" i="42"/>
  <c r="P109" i="42"/>
  <c r="P110" i="42"/>
  <c r="P111" i="42"/>
  <c r="P112" i="42"/>
  <c r="P113" i="42"/>
  <c r="P114" i="42"/>
  <c r="P115" i="42"/>
  <c r="P116" i="42"/>
  <c r="P117" i="42"/>
  <c r="P118" i="42"/>
  <c r="P119" i="42"/>
  <c r="P120" i="42"/>
  <c r="P121" i="42"/>
  <c r="P122" i="42"/>
  <c r="P123" i="42"/>
  <c r="P124" i="42"/>
  <c r="P125" i="42"/>
  <c r="P126" i="42"/>
  <c r="P127" i="42"/>
  <c r="P128" i="42"/>
  <c r="P129" i="42"/>
  <c r="P130" i="42"/>
  <c r="P131" i="42"/>
  <c r="P132" i="42"/>
  <c r="P133" i="42"/>
  <c r="P134" i="42"/>
  <c r="P135" i="42"/>
  <c r="P136" i="42"/>
  <c r="P137" i="42"/>
  <c r="P138" i="42"/>
  <c r="P139" i="42"/>
  <c r="P140" i="42"/>
  <c r="P141" i="42"/>
  <c r="P144" i="42"/>
  <c r="P145" i="42"/>
  <c r="P146" i="42"/>
  <c r="P147" i="42"/>
  <c r="P148" i="42"/>
  <c r="P149" i="42"/>
  <c r="P150" i="42"/>
  <c r="O10" i="42"/>
  <c r="P10" i="42"/>
  <c r="X165" i="42"/>
  <c r="P251" i="44"/>
  <c r="P252" i="44"/>
  <c r="P253" i="44"/>
  <c r="P254" i="44"/>
  <c r="P255" i="44"/>
  <c r="P256" i="44"/>
  <c r="P257" i="44"/>
  <c r="P258" i="44"/>
  <c r="P259" i="44"/>
  <c r="P260" i="44"/>
  <c r="P261" i="44"/>
  <c r="P262" i="44"/>
  <c r="P263" i="44"/>
  <c r="P264" i="44"/>
  <c r="P265" i="44"/>
  <c r="P266" i="44"/>
  <c r="P267" i="44"/>
  <c r="P268" i="44"/>
  <c r="P269" i="44"/>
  <c r="P270" i="44"/>
  <c r="P271" i="44"/>
  <c r="P272" i="44"/>
  <c r="P273" i="44"/>
  <c r="P274" i="44"/>
  <c r="P275" i="44"/>
  <c r="P276" i="44"/>
  <c r="P277" i="44"/>
  <c r="P278" i="44"/>
  <c r="P279" i="44"/>
  <c r="P280" i="44"/>
  <c r="P281" i="44"/>
  <c r="P282" i="44"/>
  <c r="P283" i="44"/>
  <c r="P284" i="44"/>
  <c r="P285" i="44"/>
  <c r="P286" i="44"/>
  <c r="P287" i="44"/>
  <c r="P288" i="44"/>
  <c r="P289" i="44"/>
  <c r="P290" i="44"/>
  <c r="P291" i="44"/>
  <c r="P292" i="44"/>
  <c r="P293" i="44"/>
  <c r="P294" i="44"/>
  <c r="P295" i="44"/>
  <c r="P296" i="44"/>
  <c r="P297" i="44"/>
  <c r="P298" i="44"/>
  <c r="P299" i="44"/>
  <c r="P300" i="44"/>
  <c r="P301" i="44"/>
  <c r="P302" i="44"/>
  <c r="P303" i="44"/>
  <c r="P304" i="44"/>
  <c r="P305" i="44"/>
  <c r="P306" i="44"/>
  <c r="P307" i="44"/>
  <c r="G113" i="44"/>
  <c r="T113" i="44"/>
  <c r="G114" i="44"/>
  <c r="T114" i="44"/>
  <c r="G115" i="44"/>
  <c r="T115" i="44"/>
  <c r="G116" i="44"/>
  <c r="T116" i="44"/>
  <c r="G117" i="44"/>
  <c r="T117" i="44"/>
  <c r="G118" i="44"/>
  <c r="T118" i="44"/>
  <c r="G119" i="44"/>
  <c r="T119" i="44"/>
  <c r="G120" i="44"/>
  <c r="T120" i="44"/>
  <c r="T121" i="44"/>
  <c r="G122" i="44"/>
  <c r="T122" i="44"/>
  <c r="G123" i="44"/>
  <c r="T123" i="44"/>
  <c r="G124" i="44"/>
  <c r="T124" i="44"/>
  <c r="G125" i="44"/>
  <c r="T125" i="44"/>
  <c r="G126" i="44"/>
  <c r="T126" i="44"/>
  <c r="G127" i="44"/>
  <c r="T127" i="44"/>
  <c r="G128" i="44"/>
  <c r="T128" i="44"/>
  <c r="G129" i="44"/>
  <c r="T129" i="44"/>
  <c r="G130" i="44"/>
  <c r="T130" i="44"/>
  <c r="T131" i="44"/>
  <c r="G132" i="44"/>
  <c r="T132" i="44"/>
  <c r="G133" i="44"/>
  <c r="T133" i="44"/>
  <c r="G134" i="44"/>
  <c r="T134" i="44"/>
  <c r="G135" i="44"/>
  <c r="T135" i="44"/>
  <c r="G136" i="44"/>
  <c r="T136" i="44"/>
  <c r="G137" i="44"/>
  <c r="T137" i="44"/>
  <c r="G138" i="44"/>
  <c r="T138" i="44"/>
  <c r="G139" i="44"/>
  <c r="T139" i="44"/>
  <c r="G140" i="44"/>
  <c r="T140" i="44"/>
  <c r="T141" i="44"/>
  <c r="G142" i="44"/>
  <c r="T142" i="44"/>
  <c r="G143" i="44"/>
  <c r="T143" i="44"/>
  <c r="G144" i="44"/>
  <c r="T144" i="44"/>
  <c r="G145" i="44"/>
  <c r="T145" i="44"/>
  <c r="G146" i="44"/>
  <c r="T146" i="44"/>
  <c r="G147" i="44"/>
  <c r="T147" i="44"/>
  <c r="G148" i="44"/>
  <c r="T148" i="44"/>
  <c r="G149" i="44"/>
  <c r="T149" i="44"/>
  <c r="G150" i="44"/>
  <c r="T150" i="44"/>
  <c r="T151" i="44"/>
  <c r="G152" i="44"/>
  <c r="T152" i="44"/>
  <c r="G153" i="44"/>
  <c r="T153" i="44"/>
  <c r="G154" i="44"/>
  <c r="T154" i="44"/>
  <c r="G155" i="44"/>
  <c r="T155" i="44"/>
  <c r="G156" i="44"/>
  <c r="T156" i="44"/>
  <c r="G157" i="44"/>
  <c r="T157" i="44"/>
  <c r="G158" i="44"/>
  <c r="T158" i="44"/>
  <c r="G159" i="44"/>
  <c r="T159" i="44"/>
  <c r="G160" i="44"/>
  <c r="T160" i="44"/>
  <c r="G161" i="44"/>
  <c r="T161" i="44"/>
  <c r="G162" i="44"/>
  <c r="T162" i="44"/>
  <c r="G163" i="44"/>
  <c r="T163" i="44"/>
  <c r="G164" i="44"/>
  <c r="T164" i="44"/>
  <c r="G165" i="44"/>
  <c r="T165" i="44"/>
  <c r="T166" i="44"/>
  <c r="G167" i="44"/>
  <c r="T167" i="44"/>
  <c r="G168" i="44"/>
  <c r="T168" i="44"/>
  <c r="G169" i="44"/>
  <c r="T169" i="44"/>
  <c r="G170" i="44"/>
  <c r="T170" i="44"/>
  <c r="G171" i="44"/>
  <c r="T171" i="44"/>
  <c r="G172" i="44"/>
  <c r="T172" i="44"/>
  <c r="G173" i="44"/>
  <c r="T173" i="44"/>
  <c r="G174" i="44"/>
  <c r="T174" i="44"/>
  <c r="G175" i="44"/>
  <c r="T175" i="44"/>
  <c r="G176" i="44"/>
  <c r="T176" i="44"/>
  <c r="G177" i="44"/>
  <c r="T177" i="44"/>
  <c r="G178" i="44"/>
  <c r="T178" i="44"/>
  <c r="G179" i="44"/>
  <c r="T179" i="44"/>
  <c r="G180" i="44"/>
  <c r="T180" i="44"/>
  <c r="G181" i="44"/>
  <c r="T181" i="44"/>
  <c r="G182" i="44"/>
  <c r="T182" i="44"/>
  <c r="G183" i="44"/>
  <c r="T183" i="44"/>
  <c r="G184" i="44"/>
  <c r="T184" i="44"/>
  <c r="G185" i="44"/>
  <c r="T185" i="44"/>
  <c r="G186" i="44"/>
  <c r="T186" i="44"/>
  <c r="G187" i="44"/>
  <c r="T187" i="44"/>
  <c r="G188" i="44"/>
  <c r="T188" i="44"/>
  <c r="G189" i="44"/>
  <c r="T189" i="44"/>
  <c r="G190" i="44"/>
  <c r="T190" i="44"/>
  <c r="G191" i="44"/>
  <c r="T191" i="44"/>
  <c r="G192" i="44"/>
  <c r="T192" i="44"/>
  <c r="G193" i="44"/>
  <c r="T193" i="44"/>
  <c r="G194" i="44"/>
  <c r="T194" i="44"/>
  <c r="G195" i="44"/>
  <c r="T195" i="44"/>
  <c r="T196" i="44"/>
  <c r="G197" i="44"/>
  <c r="T197" i="44"/>
  <c r="G198" i="44"/>
  <c r="T198" i="44"/>
  <c r="G199" i="44"/>
  <c r="T199" i="44"/>
  <c r="G200" i="44"/>
  <c r="T200" i="44"/>
  <c r="G201" i="44"/>
  <c r="T201" i="44"/>
  <c r="G202" i="44"/>
  <c r="T202" i="44"/>
  <c r="G203" i="44"/>
  <c r="T203" i="44"/>
  <c r="G204" i="44"/>
  <c r="T204" i="44"/>
  <c r="G205" i="44"/>
  <c r="T205" i="44"/>
  <c r="G206" i="44"/>
  <c r="T206" i="44"/>
  <c r="G207" i="44"/>
  <c r="T207" i="44"/>
  <c r="G208" i="44"/>
  <c r="T208" i="44"/>
  <c r="G209" i="44"/>
  <c r="T209" i="44"/>
  <c r="G210" i="44"/>
  <c r="T210" i="44"/>
  <c r="G211" i="44"/>
  <c r="T211" i="44"/>
  <c r="G212" i="44"/>
  <c r="T212" i="44"/>
  <c r="G213" i="44"/>
  <c r="T213" i="44"/>
  <c r="G214" i="44"/>
  <c r="T214" i="44"/>
  <c r="G215" i="44"/>
  <c r="T215" i="44"/>
  <c r="G216" i="44"/>
  <c r="T216" i="44"/>
  <c r="G217" i="44"/>
  <c r="T217" i="44"/>
  <c r="G218" i="44"/>
  <c r="T218" i="44"/>
  <c r="G219" i="44"/>
  <c r="T219" i="44"/>
  <c r="G220" i="44"/>
  <c r="T220" i="44"/>
  <c r="G221" i="44"/>
  <c r="T221" i="44"/>
  <c r="G222" i="44"/>
  <c r="T222" i="44"/>
  <c r="G223" i="44"/>
  <c r="T223" i="44"/>
  <c r="T224" i="44"/>
  <c r="G225" i="44"/>
  <c r="T225" i="44"/>
  <c r="G226" i="44"/>
  <c r="T226" i="44"/>
  <c r="G227" i="44"/>
  <c r="T227" i="44"/>
  <c r="G228" i="44"/>
  <c r="T228" i="44"/>
  <c r="G229" i="44"/>
  <c r="T229" i="44"/>
  <c r="G230" i="44"/>
  <c r="T230" i="44"/>
  <c r="G231" i="44"/>
  <c r="T231" i="44"/>
  <c r="G232" i="44"/>
  <c r="T232" i="44"/>
  <c r="G233" i="44"/>
  <c r="T233" i="44"/>
  <c r="G234" i="44"/>
  <c r="T234" i="44"/>
  <c r="G235" i="44"/>
  <c r="T235" i="44"/>
  <c r="G236" i="44"/>
  <c r="T236" i="44"/>
  <c r="G237" i="44"/>
  <c r="T237" i="44"/>
  <c r="G238" i="44"/>
  <c r="T238" i="44"/>
  <c r="G239" i="44"/>
  <c r="T239" i="44"/>
  <c r="G240" i="44"/>
  <c r="T240" i="44"/>
  <c r="G241" i="44"/>
  <c r="T241" i="44"/>
  <c r="G242" i="44"/>
  <c r="T242" i="44"/>
  <c r="G243" i="44"/>
  <c r="T243" i="44"/>
  <c r="G244" i="44"/>
  <c r="T244" i="44"/>
  <c r="G245" i="44"/>
  <c r="T245" i="44"/>
  <c r="G246" i="44"/>
  <c r="T246" i="44"/>
  <c r="G247" i="44"/>
  <c r="T247" i="44"/>
  <c r="G248" i="44"/>
  <c r="T248" i="44"/>
  <c r="G249" i="44"/>
  <c r="T249" i="44"/>
  <c r="G250" i="44"/>
  <c r="T250" i="44"/>
  <c r="G112" i="44"/>
  <c r="T112" i="44"/>
  <c r="G12" i="44"/>
  <c r="T12" i="44"/>
  <c r="G13" i="44"/>
  <c r="T13" i="44"/>
  <c r="G14" i="44"/>
  <c r="T14" i="44"/>
  <c r="G15" i="44"/>
  <c r="T15" i="44"/>
  <c r="G16" i="44"/>
  <c r="T16" i="44"/>
  <c r="G17" i="44"/>
  <c r="T17" i="44"/>
  <c r="G18" i="44"/>
  <c r="T18" i="44"/>
  <c r="G19" i="44"/>
  <c r="T19" i="44"/>
  <c r="G20" i="44"/>
  <c r="T20" i="44"/>
  <c r="T21" i="44"/>
  <c r="G22" i="44"/>
  <c r="T22" i="44"/>
  <c r="G23" i="44"/>
  <c r="T23" i="44"/>
  <c r="G24" i="44"/>
  <c r="T24" i="44"/>
  <c r="G25" i="44"/>
  <c r="T25" i="44"/>
  <c r="G26" i="44"/>
  <c r="T26" i="44"/>
  <c r="G27" i="44"/>
  <c r="T27" i="44"/>
  <c r="G28" i="44"/>
  <c r="T28" i="44"/>
  <c r="G29" i="44"/>
  <c r="T29" i="44"/>
  <c r="G30" i="44"/>
  <c r="T30" i="44"/>
  <c r="T31" i="44"/>
  <c r="G32" i="44"/>
  <c r="T32" i="44"/>
  <c r="G33" i="44"/>
  <c r="T33" i="44"/>
  <c r="G34" i="44"/>
  <c r="T34" i="44"/>
  <c r="G35" i="44"/>
  <c r="T35" i="44"/>
  <c r="G36" i="44"/>
  <c r="T36" i="44"/>
  <c r="G37" i="44"/>
  <c r="T37" i="44"/>
  <c r="G38" i="44"/>
  <c r="T38" i="44"/>
  <c r="G39" i="44"/>
  <c r="T39" i="44"/>
  <c r="G40" i="44"/>
  <c r="T40" i="44"/>
  <c r="T41" i="44"/>
  <c r="G42" i="44"/>
  <c r="T42" i="44"/>
  <c r="G43" i="44"/>
  <c r="T43" i="44"/>
  <c r="G44" i="44"/>
  <c r="T44" i="44"/>
  <c r="G45" i="44"/>
  <c r="T45" i="44"/>
  <c r="G46" i="44"/>
  <c r="T46" i="44"/>
  <c r="G47" i="44"/>
  <c r="T47" i="44"/>
  <c r="G48" i="44"/>
  <c r="T48" i="44"/>
  <c r="G49" i="44"/>
  <c r="T49" i="44"/>
  <c r="G50" i="44"/>
  <c r="T50" i="44"/>
  <c r="T51" i="44"/>
  <c r="G52" i="44"/>
  <c r="T52" i="44"/>
  <c r="G53" i="44"/>
  <c r="T53" i="44"/>
  <c r="G54" i="44"/>
  <c r="T54" i="44"/>
  <c r="G55" i="44"/>
  <c r="T55" i="44"/>
  <c r="G56" i="44"/>
  <c r="T56" i="44"/>
  <c r="G57" i="44"/>
  <c r="T57" i="44"/>
  <c r="G58" i="44"/>
  <c r="T58" i="44"/>
  <c r="G59" i="44"/>
  <c r="T59" i="44"/>
  <c r="G60" i="44"/>
  <c r="T60" i="44"/>
  <c r="T61" i="44"/>
  <c r="G62" i="44"/>
  <c r="T62" i="44"/>
  <c r="G63" i="44"/>
  <c r="T63" i="44"/>
  <c r="G64" i="44"/>
  <c r="T64" i="44"/>
  <c r="G65" i="44"/>
  <c r="T65" i="44"/>
  <c r="G66" i="44"/>
  <c r="T66" i="44"/>
  <c r="G67" i="44"/>
  <c r="T67" i="44"/>
  <c r="G68" i="44"/>
  <c r="T68" i="44"/>
  <c r="G69" i="44"/>
  <c r="T69" i="44"/>
  <c r="G70" i="44"/>
  <c r="T70" i="44"/>
  <c r="T71" i="44"/>
  <c r="G72" i="44"/>
  <c r="T72" i="44"/>
  <c r="G73" i="44"/>
  <c r="T73" i="44"/>
  <c r="G74" i="44"/>
  <c r="T74" i="44"/>
  <c r="G75" i="44"/>
  <c r="T75" i="44"/>
  <c r="G76" i="44"/>
  <c r="T76" i="44"/>
  <c r="G77" i="44"/>
  <c r="T77" i="44"/>
  <c r="G78" i="44"/>
  <c r="T78" i="44"/>
  <c r="G79" i="44"/>
  <c r="T79" i="44"/>
  <c r="G80" i="44"/>
  <c r="T80" i="44"/>
  <c r="T81" i="44"/>
  <c r="G82" i="44"/>
  <c r="T82" i="44"/>
  <c r="G83" i="44"/>
  <c r="T83" i="44"/>
  <c r="G84" i="44"/>
  <c r="T84" i="44"/>
  <c r="G85" i="44"/>
  <c r="T85" i="44"/>
  <c r="G86" i="44"/>
  <c r="T86" i="44"/>
  <c r="G87" i="44"/>
  <c r="T87" i="44"/>
  <c r="G88" i="44"/>
  <c r="T88" i="44"/>
  <c r="G89" i="44"/>
  <c r="T89" i="44"/>
  <c r="G90" i="44"/>
  <c r="T90" i="44"/>
  <c r="T91" i="44"/>
  <c r="G92" i="44"/>
  <c r="T92" i="44"/>
  <c r="G93" i="44"/>
  <c r="T93" i="44"/>
  <c r="G94" i="44"/>
  <c r="T94" i="44"/>
  <c r="G95" i="44"/>
  <c r="T95" i="44"/>
  <c r="G96" i="44"/>
  <c r="T96" i="44"/>
  <c r="G97" i="44"/>
  <c r="T97" i="44"/>
  <c r="G98" i="44"/>
  <c r="T98" i="44"/>
  <c r="G99" i="44"/>
  <c r="T99" i="44"/>
  <c r="G100" i="44"/>
  <c r="T100" i="44"/>
  <c r="T101" i="44"/>
  <c r="G102" i="44"/>
  <c r="T102" i="44"/>
  <c r="G103" i="44"/>
  <c r="T103" i="44"/>
  <c r="G104" i="44"/>
  <c r="T104" i="44"/>
  <c r="G105" i="44"/>
  <c r="T105" i="44"/>
  <c r="G106" i="44"/>
  <c r="T106" i="44"/>
  <c r="G107" i="44"/>
  <c r="T107" i="44"/>
  <c r="G108" i="44"/>
  <c r="T108" i="44"/>
  <c r="G109" i="44"/>
  <c r="T109" i="44"/>
  <c r="G110" i="44"/>
  <c r="T110" i="44"/>
  <c r="T111" i="44"/>
  <c r="T11" i="44"/>
  <c r="P14" i="44"/>
  <c r="P15" i="44"/>
  <c r="P16" i="44"/>
  <c r="P17" i="44"/>
  <c r="P18" i="44"/>
  <c r="P19" i="44"/>
  <c r="P20" i="44"/>
  <c r="P21" i="44"/>
  <c r="P22" i="44"/>
  <c r="P23" i="44"/>
  <c r="P24" i="44"/>
  <c r="P25" i="44"/>
  <c r="P26" i="44"/>
  <c r="P27" i="44"/>
  <c r="P28" i="44"/>
  <c r="P29" i="44"/>
  <c r="P30" i="44"/>
  <c r="P31" i="44"/>
  <c r="P32" i="44"/>
  <c r="P33" i="44"/>
  <c r="P34" i="44"/>
  <c r="P35" i="44"/>
  <c r="P36" i="44"/>
  <c r="P37" i="44"/>
  <c r="P38"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188" i="44"/>
  <c r="P189" i="44"/>
  <c r="P190" i="44"/>
  <c r="P191" i="44"/>
  <c r="P192" i="44"/>
  <c r="P193" i="44"/>
  <c r="P194" i="44"/>
  <c r="P195" i="44"/>
  <c r="P196" i="44"/>
  <c r="P197" i="44"/>
  <c r="P198" i="44"/>
  <c r="P199" i="44"/>
  <c r="P200" i="44"/>
  <c r="P201" i="44"/>
  <c r="P202" i="44"/>
  <c r="P203" i="44"/>
  <c r="P204" i="44"/>
  <c r="P205" i="44"/>
  <c r="P206" i="44"/>
  <c r="P207" i="44"/>
  <c r="P208" i="44"/>
  <c r="P209" i="44"/>
  <c r="P210" i="44"/>
  <c r="P211" i="44"/>
  <c r="P212" i="44"/>
  <c r="P213" i="44"/>
  <c r="P214" i="44"/>
  <c r="P215" i="44"/>
  <c r="P216" i="44"/>
  <c r="P217" i="44"/>
  <c r="P218" i="44"/>
  <c r="P219" i="44"/>
  <c r="P220" i="44"/>
  <c r="P221" i="44"/>
  <c r="P222" i="44"/>
  <c r="P223" i="44"/>
  <c r="P224" i="44"/>
  <c r="P225" i="44"/>
  <c r="P226" i="44"/>
  <c r="P227" i="44"/>
  <c r="P228" i="44"/>
  <c r="P229" i="44"/>
  <c r="P230" i="44"/>
  <c r="P231" i="44"/>
  <c r="P232" i="44"/>
  <c r="P233" i="44"/>
  <c r="P234" i="44"/>
  <c r="P235" i="44"/>
  <c r="P236" i="44"/>
  <c r="P237" i="44"/>
  <c r="P238" i="44"/>
  <c r="P239" i="44"/>
  <c r="P240" i="44"/>
  <c r="P241" i="44"/>
  <c r="P242" i="44"/>
  <c r="P243" i="44"/>
  <c r="P244" i="44"/>
  <c r="P245" i="44"/>
  <c r="P246" i="44"/>
  <c r="P247" i="44"/>
  <c r="P248" i="44"/>
  <c r="P249" i="44"/>
  <c r="P250" i="44"/>
  <c r="AG11" i="44"/>
  <c r="AG12" i="44"/>
  <c r="AG13" i="44"/>
  <c r="AG14" i="44"/>
  <c r="AG15" i="44"/>
  <c r="AG16" i="44"/>
  <c r="AG17" i="44"/>
  <c r="AG18" i="44"/>
  <c r="AG19" i="44"/>
  <c r="AG20" i="44"/>
  <c r="M10" i="32"/>
  <c r="N10" i="32"/>
  <c r="W10" i="32"/>
  <c r="AG112"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71" i="44"/>
  <c r="AG72" i="44"/>
  <c r="AG73" i="44"/>
  <c r="AG74" i="44"/>
  <c r="AG75" i="44"/>
  <c r="AG76" i="44"/>
  <c r="AG77" i="44"/>
  <c r="AG78" i="44"/>
  <c r="AG79" i="44"/>
  <c r="AG80" i="44"/>
  <c r="AG81" i="44"/>
  <c r="AG82" i="44"/>
  <c r="AG83" i="44"/>
  <c r="AG84" i="44"/>
  <c r="AG85" i="44"/>
  <c r="AG86" i="44"/>
  <c r="AG87" i="44"/>
  <c r="AG88" i="44"/>
  <c r="AG89" i="44"/>
  <c r="AG90" i="44"/>
  <c r="AG91" i="44"/>
  <c r="AG92" i="44"/>
  <c r="AG93" i="44"/>
  <c r="AG94" i="44"/>
  <c r="AG95" i="44"/>
  <c r="AG96" i="44"/>
  <c r="AG97" i="44"/>
  <c r="AG98" i="44"/>
  <c r="AG99" i="44"/>
  <c r="AG100" i="44"/>
  <c r="AG101" i="44"/>
  <c r="AG102" i="44"/>
  <c r="AG103" i="44"/>
  <c r="AG104" i="44"/>
  <c r="AG105" i="44"/>
  <c r="AG106" i="44"/>
  <c r="AG107" i="44"/>
  <c r="AG108" i="44"/>
  <c r="AG109" i="44"/>
  <c r="AG110" i="44"/>
  <c r="AG111" i="44"/>
  <c r="AG113" i="44"/>
  <c r="AG114" i="44"/>
  <c r="AG115" i="44"/>
  <c r="AG116" i="44"/>
  <c r="AG117" i="44"/>
  <c r="AG118" i="44"/>
  <c r="AG119" i="44"/>
  <c r="AG120" i="44"/>
  <c r="AG121" i="44"/>
  <c r="AG122" i="44"/>
  <c r="AG123" i="44"/>
  <c r="AG124" i="44"/>
  <c r="AG125" i="44"/>
  <c r="AG126" i="44"/>
  <c r="AG127" i="44"/>
  <c r="AG128" i="44"/>
  <c r="AG129" i="44"/>
  <c r="AG130" i="44"/>
  <c r="AG131" i="44"/>
  <c r="AG132" i="44"/>
  <c r="AG133" i="44"/>
  <c r="AG134" i="44"/>
  <c r="AG135" i="44"/>
  <c r="AG136" i="44"/>
  <c r="AG137" i="44"/>
  <c r="AG138" i="44"/>
  <c r="AG139" i="44"/>
  <c r="AG140" i="44"/>
  <c r="AG141" i="44"/>
  <c r="AG142" i="44"/>
  <c r="AG143" i="44"/>
  <c r="AG144" i="44"/>
  <c r="AG145" i="44"/>
  <c r="AG146" i="44"/>
  <c r="AG147" i="44"/>
  <c r="AG148" i="44"/>
  <c r="AG149" i="44"/>
  <c r="AG150" i="44"/>
  <c r="AG151" i="44"/>
  <c r="AG152" i="44"/>
  <c r="AG153" i="44"/>
  <c r="AG154" i="44"/>
  <c r="AG155" i="44"/>
  <c r="AG156" i="44"/>
  <c r="AG157" i="44"/>
  <c r="AG158" i="44"/>
  <c r="AG159" i="44"/>
  <c r="AG160" i="44"/>
  <c r="AG161" i="44"/>
  <c r="AG162" i="44"/>
  <c r="AG163" i="44"/>
  <c r="AG164" i="44"/>
  <c r="AG165" i="44"/>
  <c r="Y166" i="44"/>
  <c r="Z166" i="44"/>
  <c r="AB166" i="44"/>
  <c r="AA166" i="44"/>
  <c r="AD166" i="44"/>
  <c r="AG166" i="44"/>
  <c r="AB167" i="44"/>
  <c r="AB168" i="44"/>
  <c r="AB169" i="44"/>
  <c r="AB170" i="44"/>
  <c r="AB171" i="44"/>
  <c r="AB172" i="44"/>
  <c r="AB173" i="44"/>
  <c r="AB174" i="44"/>
  <c r="AB175" i="44"/>
  <c r="AB176" i="44"/>
  <c r="AB177" i="44"/>
  <c r="AB178" i="44"/>
  <c r="AB179" i="44"/>
  <c r="AB180" i="44"/>
  <c r="AB181" i="44"/>
  <c r="AB182" i="44"/>
  <c r="AB183" i="44"/>
  <c r="AB184" i="44"/>
  <c r="AB185" i="44"/>
  <c r="AB186" i="44"/>
  <c r="AB187" i="44"/>
  <c r="AB188" i="44"/>
  <c r="AB189" i="44"/>
  <c r="AB190" i="44"/>
  <c r="AB191" i="44"/>
  <c r="AB192" i="44"/>
  <c r="AB193" i="44"/>
  <c r="AB194" i="44"/>
  <c r="AB195" i="44"/>
  <c r="AB196" i="44"/>
  <c r="AB197" i="44"/>
  <c r="AB198" i="44"/>
  <c r="AB199" i="44"/>
  <c r="AB200" i="44"/>
  <c r="Y201" i="44"/>
  <c r="Z201" i="44"/>
  <c r="AB201" i="44"/>
  <c r="AA201" i="44"/>
  <c r="AD201" i="44"/>
  <c r="AG201" i="44"/>
  <c r="Y202" i="44"/>
  <c r="Z202" i="44"/>
  <c r="AB202" i="44"/>
  <c r="AA202" i="44"/>
  <c r="AD202" i="44"/>
  <c r="AG202" i="44"/>
  <c r="Y203" i="44"/>
  <c r="Z203" i="44"/>
  <c r="AB203" i="44"/>
  <c r="AA203" i="44"/>
  <c r="AD203" i="44"/>
  <c r="AG203" i="44"/>
  <c r="Y204" i="44"/>
  <c r="Z204" i="44"/>
  <c r="AB204" i="44"/>
  <c r="AA204" i="44"/>
  <c r="AD204" i="44"/>
  <c r="AG204" i="44"/>
  <c r="Y205" i="44"/>
  <c r="Z205" i="44"/>
  <c r="AB205" i="44"/>
  <c r="AA205" i="44"/>
  <c r="AD205" i="44"/>
  <c r="AG205" i="44"/>
  <c r="Y206" i="44"/>
  <c r="Z206" i="44"/>
  <c r="AB206" i="44"/>
  <c r="AA206" i="44"/>
  <c r="AD206" i="44"/>
  <c r="AG206" i="44"/>
  <c r="Y207" i="44"/>
  <c r="Z207" i="44"/>
  <c r="AB207" i="44"/>
  <c r="AA207" i="44"/>
  <c r="AD207" i="44"/>
  <c r="AG207" i="44"/>
  <c r="Y208" i="44"/>
  <c r="Z208" i="44"/>
  <c r="AB208" i="44"/>
  <c r="AA208" i="44"/>
  <c r="AD208" i="44"/>
  <c r="AG208" i="44"/>
  <c r="Y209" i="44"/>
  <c r="Z209" i="44"/>
  <c r="AB209" i="44"/>
  <c r="AA209" i="44"/>
  <c r="AD209" i="44"/>
  <c r="AG209" i="44"/>
  <c r="Y210" i="44"/>
  <c r="Z210" i="44"/>
  <c r="AB210" i="44"/>
  <c r="AA210" i="44"/>
  <c r="AD210" i="44"/>
  <c r="AG210" i="44"/>
  <c r="Y211" i="44"/>
  <c r="Z211" i="44"/>
  <c r="AB211" i="44"/>
  <c r="AA211" i="44"/>
  <c r="AD211" i="44"/>
  <c r="AG211" i="44"/>
  <c r="Y212" i="44"/>
  <c r="Z212" i="44"/>
  <c r="AB212" i="44"/>
  <c r="AA212" i="44"/>
  <c r="AD212" i="44"/>
  <c r="AG212" i="44"/>
  <c r="Y213" i="44"/>
  <c r="Z213" i="44"/>
  <c r="AB213" i="44"/>
  <c r="AA213" i="44"/>
  <c r="AD213" i="44"/>
  <c r="AG213" i="44"/>
  <c r="Y214" i="44"/>
  <c r="Z214" i="44"/>
  <c r="AB214" i="44"/>
  <c r="AA214" i="44"/>
  <c r="AD214" i="44"/>
  <c r="AG214" i="44"/>
  <c r="Y215" i="44"/>
  <c r="Z215" i="44"/>
  <c r="AB215" i="44"/>
  <c r="AA215" i="44"/>
  <c r="AD215" i="44"/>
  <c r="AG215" i="44"/>
  <c r="Y216" i="44"/>
  <c r="Z216" i="44"/>
  <c r="AB216" i="44"/>
  <c r="AA216" i="44"/>
  <c r="AD216" i="44"/>
  <c r="AG216" i="44"/>
  <c r="Y217" i="44"/>
  <c r="Z217" i="44"/>
  <c r="AB217" i="44"/>
  <c r="AA217" i="44"/>
  <c r="AD217" i="44"/>
  <c r="AG217" i="44"/>
  <c r="Y218" i="44"/>
  <c r="Z218" i="44"/>
  <c r="AB218" i="44"/>
  <c r="AA218" i="44"/>
  <c r="AD218" i="44"/>
  <c r="AG218" i="44"/>
  <c r="Y219" i="44"/>
  <c r="Z219" i="44"/>
  <c r="AB219" i="44"/>
  <c r="AA219" i="44"/>
  <c r="AD219" i="44"/>
  <c r="AG219" i="44"/>
  <c r="Y220" i="44"/>
  <c r="Z220" i="44"/>
  <c r="AB220" i="44"/>
  <c r="AA220" i="44"/>
  <c r="AD220" i="44"/>
  <c r="AG220" i="44"/>
  <c r="Y221" i="44"/>
  <c r="Z221" i="44"/>
  <c r="AB221" i="44"/>
  <c r="AA221" i="44"/>
  <c r="AD221" i="44"/>
  <c r="AG221" i="44"/>
  <c r="Y222" i="44"/>
  <c r="Z222" i="44"/>
  <c r="AB222" i="44"/>
  <c r="AA222" i="44"/>
  <c r="AD222" i="44"/>
  <c r="AG222" i="44"/>
  <c r="Y223" i="44"/>
  <c r="Z223" i="44"/>
  <c r="AB223" i="44"/>
  <c r="AA223" i="44"/>
  <c r="AD223" i="44"/>
  <c r="AG223" i="44"/>
  <c r="Y224" i="44"/>
  <c r="Z224" i="44"/>
  <c r="AB224" i="44"/>
  <c r="AA224" i="44"/>
  <c r="AD224" i="44"/>
  <c r="AG224" i="44"/>
  <c r="AC121" i="44"/>
  <c r="AH121" i="44"/>
  <c r="AK121" i="44"/>
  <c r="AL166" i="44"/>
  <c r="AM166" i="44"/>
  <c r="AM121" i="44"/>
  <c r="AL121" i="44"/>
  <c r="AN121" i="44"/>
  <c r="AC122" i="44"/>
  <c r="AH122" i="44"/>
  <c r="AK122" i="44"/>
  <c r="AM122" i="44"/>
  <c r="AL122" i="44"/>
  <c r="AN122" i="44"/>
  <c r="AC123" i="44"/>
  <c r="AH123" i="44"/>
  <c r="AK123" i="44"/>
  <c r="AM123" i="44"/>
  <c r="AL123" i="44"/>
  <c r="AN123" i="44"/>
  <c r="AC124" i="44"/>
  <c r="AH124" i="44"/>
  <c r="AK124" i="44"/>
  <c r="AM124" i="44"/>
  <c r="AL124" i="44"/>
  <c r="AN124" i="44"/>
  <c r="AC125" i="44"/>
  <c r="AH125" i="44"/>
  <c r="AK125" i="44"/>
  <c r="AM125" i="44"/>
  <c r="AL125" i="44"/>
  <c r="AN125" i="44"/>
  <c r="AC126" i="44"/>
  <c r="AH126" i="44"/>
  <c r="AK126" i="44"/>
  <c r="AM126" i="44"/>
  <c r="AL126" i="44"/>
  <c r="AN126" i="44"/>
  <c r="AC127" i="44"/>
  <c r="AH127" i="44"/>
  <c r="AK127" i="44"/>
  <c r="AM127" i="44"/>
  <c r="AL127" i="44"/>
  <c r="AN127" i="44"/>
  <c r="AC128" i="44"/>
  <c r="AH128" i="44"/>
  <c r="AK128" i="44"/>
  <c r="AM128" i="44"/>
  <c r="AL128" i="44"/>
  <c r="AN128" i="44"/>
  <c r="AC129" i="44"/>
  <c r="AH129" i="44"/>
  <c r="AK129" i="44"/>
  <c r="AM129" i="44"/>
  <c r="AL129" i="44"/>
  <c r="AN129" i="44"/>
  <c r="AC130" i="44"/>
  <c r="AH130" i="44"/>
  <c r="AK130" i="44"/>
  <c r="AM130" i="44"/>
  <c r="AL130" i="44"/>
  <c r="AN130" i="44"/>
  <c r="AC131" i="44"/>
  <c r="AH131" i="44"/>
  <c r="AK131" i="44"/>
  <c r="AM131" i="44"/>
  <c r="AL131" i="44"/>
  <c r="AN131" i="44"/>
  <c r="AC132" i="44"/>
  <c r="AH132" i="44"/>
  <c r="AK132" i="44"/>
  <c r="AM132" i="44"/>
  <c r="AL132" i="44"/>
  <c r="AN132" i="44"/>
  <c r="AC133" i="44"/>
  <c r="AH133" i="44"/>
  <c r="AK133" i="44"/>
  <c r="AM133" i="44"/>
  <c r="AL133" i="44"/>
  <c r="AN133" i="44"/>
  <c r="AC134" i="44"/>
  <c r="AH134" i="44"/>
  <c r="AK134" i="44"/>
  <c r="AM134" i="44"/>
  <c r="AL134" i="44"/>
  <c r="AN134" i="44"/>
  <c r="AC135" i="44"/>
  <c r="AH135" i="44"/>
  <c r="AK135" i="44"/>
  <c r="AM135" i="44"/>
  <c r="AL135" i="44"/>
  <c r="AN135" i="44"/>
  <c r="AC136" i="44"/>
  <c r="AH136" i="44"/>
  <c r="AK136" i="44"/>
  <c r="AM136" i="44"/>
  <c r="AL136" i="44"/>
  <c r="AN136" i="44"/>
  <c r="AC137" i="44"/>
  <c r="AH137" i="44"/>
  <c r="AK137" i="44"/>
  <c r="AM137" i="44"/>
  <c r="AL137" i="44"/>
  <c r="AN137" i="44"/>
  <c r="AC138" i="44"/>
  <c r="AH138" i="44"/>
  <c r="AK138" i="44"/>
  <c r="AM138" i="44"/>
  <c r="AL138" i="44"/>
  <c r="AN138" i="44"/>
  <c r="AC139" i="44"/>
  <c r="AH139" i="44"/>
  <c r="AK139" i="44"/>
  <c r="AM139" i="44"/>
  <c r="AL139" i="44"/>
  <c r="AN139" i="44"/>
  <c r="AC140" i="44"/>
  <c r="AH140" i="44"/>
  <c r="AK140" i="44"/>
  <c r="AM140" i="44"/>
  <c r="AL140" i="44"/>
  <c r="AN140" i="44"/>
  <c r="AC141" i="44"/>
  <c r="AH141" i="44"/>
  <c r="AK141" i="44"/>
  <c r="AM141" i="44"/>
  <c r="AL141" i="44"/>
  <c r="AN141" i="44"/>
  <c r="AC142" i="44"/>
  <c r="AH142" i="44"/>
  <c r="AK142" i="44"/>
  <c r="AM142" i="44"/>
  <c r="AL142" i="44"/>
  <c r="AN142" i="44"/>
  <c r="AC143" i="44"/>
  <c r="AH143" i="44"/>
  <c r="AK143" i="44"/>
  <c r="AM143" i="44"/>
  <c r="AL143" i="44"/>
  <c r="AN143" i="44"/>
  <c r="AC144" i="44"/>
  <c r="AH144" i="44"/>
  <c r="AK144" i="44"/>
  <c r="AM144" i="44"/>
  <c r="AL144" i="44"/>
  <c r="AN144" i="44"/>
  <c r="AC145" i="44"/>
  <c r="AH145" i="44"/>
  <c r="AK145" i="44"/>
  <c r="AM145" i="44"/>
  <c r="AL145" i="44"/>
  <c r="AN145" i="44"/>
  <c r="AC146" i="44"/>
  <c r="AH146" i="44"/>
  <c r="AK146" i="44"/>
  <c r="AM146" i="44"/>
  <c r="AL146" i="44"/>
  <c r="AN146" i="44"/>
  <c r="AC147" i="44"/>
  <c r="AH147" i="44"/>
  <c r="AK147" i="44"/>
  <c r="AM147" i="44"/>
  <c r="AL147" i="44"/>
  <c r="AN147" i="44"/>
  <c r="AC148" i="44"/>
  <c r="AH148" i="44"/>
  <c r="AK148" i="44"/>
  <c r="AM148" i="44"/>
  <c r="AL148" i="44"/>
  <c r="AN148" i="44"/>
  <c r="AC149" i="44"/>
  <c r="AH149" i="44"/>
  <c r="AK149" i="44"/>
  <c r="AM149" i="44"/>
  <c r="AL149" i="44"/>
  <c r="AN149" i="44"/>
  <c r="AC150" i="44"/>
  <c r="AH150" i="44"/>
  <c r="AK150" i="44"/>
  <c r="AM150" i="44"/>
  <c r="AL150" i="44"/>
  <c r="AN150"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I240" i="44"/>
  <c r="I241" i="44"/>
  <c r="I242" i="44"/>
  <c r="I243" i="44"/>
  <c r="I244" i="44"/>
  <c r="I245" i="44"/>
  <c r="I246" i="44"/>
  <c r="I247" i="44"/>
  <c r="I248" i="44"/>
  <c r="I249" i="44"/>
  <c r="I250" i="44"/>
  <c r="AC151" i="44"/>
  <c r="AH151" i="44"/>
  <c r="AK151" i="44"/>
  <c r="AC152" i="44"/>
  <c r="AH152" i="44"/>
  <c r="AK152" i="44"/>
  <c r="AC153" i="44"/>
  <c r="AH153" i="44"/>
  <c r="AK153" i="44"/>
  <c r="AC154" i="44"/>
  <c r="AH154" i="44"/>
  <c r="AK154" i="44"/>
  <c r="AC155" i="44"/>
  <c r="AH155" i="44"/>
  <c r="AK155" i="44"/>
  <c r="AC156" i="44"/>
  <c r="AH156" i="44"/>
  <c r="AK156" i="44"/>
  <c r="AC157" i="44"/>
  <c r="AH157" i="44"/>
  <c r="AK157" i="44"/>
  <c r="AC158" i="44"/>
  <c r="AH158" i="44"/>
  <c r="AK158" i="44"/>
  <c r="AC159" i="44"/>
  <c r="AH159" i="44"/>
  <c r="AK159" i="44"/>
  <c r="AC160" i="44"/>
  <c r="AH160" i="44"/>
  <c r="AK160" i="44"/>
  <c r="AC161" i="44"/>
  <c r="AH161" i="44"/>
  <c r="AK161" i="44"/>
  <c r="AC162" i="44"/>
  <c r="AH162" i="44"/>
  <c r="AK162" i="44"/>
  <c r="AC163" i="44"/>
  <c r="AH163" i="44"/>
  <c r="AK163" i="44"/>
  <c r="AC164" i="44"/>
  <c r="AH164" i="44"/>
  <c r="AK164" i="44"/>
  <c r="AC165" i="44"/>
  <c r="AH165" i="44"/>
  <c r="AK165" i="44"/>
  <c r="AC166" i="44"/>
  <c r="AK166" i="44"/>
  <c r="AC201" i="44"/>
  <c r="AK201" i="44"/>
  <c r="AC202" i="44"/>
  <c r="AK202" i="44"/>
  <c r="AC203" i="44"/>
  <c r="AK203" i="44"/>
  <c r="AC204" i="44"/>
  <c r="AK204" i="44"/>
  <c r="AC205" i="44"/>
  <c r="AK205" i="44"/>
  <c r="AC206" i="44"/>
  <c r="AK206" i="44"/>
  <c r="AC207" i="44"/>
  <c r="AK207" i="44"/>
  <c r="AC208" i="44"/>
  <c r="AK208" i="44"/>
  <c r="AC209" i="44"/>
  <c r="AK209" i="44"/>
  <c r="AC210" i="44"/>
  <c r="AK210" i="44"/>
  <c r="AC211" i="44"/>
  <c r="AK211" i="44"/>
  <c r="AC212" i="44"/>
  <c r="AK212" i="44"/>
  <c r="AC213" i="44"/>
  <c r="AK213" i="44"/>
  <c r="AC214" i="44"/>
  <c r="AK214" i="44"/>
  <c r="AC215" i="44"/>
  <c r="AK215" i="44"/>
  <c r="AC216" i="44"/>
  <c r="AK216" i="44"/>
  <c r="AC217" i="44"/>
  <c r="AK217" i="44"/>
  <c r="AC218" i="44"/>
  <c r="AK218" i="44"/>
  <c r="AC219" i="44"/>
  <c r="AK219" i="44"/>
  <c r="AC220" i="44"/>
  <c r="AK220" i="44"/>
  <c r="AC221" i="44"/>
  <c r="AK221" i="44"/>
  <c r="AC222" i="44"/>
  <c r="AK222" i="44"/>
  <c r="AC223" i="44"/>
  <c r="AK223" i="44"/>
  <c r="AC224" i="44"/>
  <c r="AK224" i="44"/>
  <c r="AC225" i="44"/>
  <c r="AK225" i="44"/>
  <c r="AC226" i="44"/>
  <c r="AK226" i="44"/>
  <c r="AC227" i="44"/>
  <c r="AK227" i="44"/>
  <c r="AC228" i="44"/>
  <c r="AK228" i="44"/>
  <c r="AC229" i="44"/>
  <c r="AK229" i="44"/>
  <c r="AC230" i="44"/>
  <c r="AK230" i="44"/>
  <c r="AH231" i="44"/>
  <c r="W231" i="44"/>
  <c r="X231" i="44"/>
  <c r="AC231" i="44"/>
  <c r="AK231" i="44"/>
  <c r="AH232" i="44"/>
  <c r="W232" i="44"/>
  <c r="X232" i="44"/>
  <c r="AC232" i="44"/>
  <c r="AK232" i="44"/>
  <c r="AH233" i="44"/>
  <c r="W233" i="44"/>
  <c r="X233" i="44"/>
  <c r="AC233" i="44"/>
  <c r="AK233" i="44"/>
  <c r="AH234" i="44"/>
  <c r="W234" i="44"/>
  <c r="X234" i="44"/>
  <c r="AC234" i="44"/>
  <c r="AK234" i="44"/>
  <c r="AH235" i="44"/>
  <c r="W235" i="44"/>
  <c r="X235" i="44"/>
  <c r="AC235" i="44"/>
  <c r="AK235" i="44"/>
  <c r="AH236" i="44"/>
  <c r="W236" i="44"/>
  <c r="X236" i="44"/>
  <c r="AC236" i="44"/>
  <c r="AK236" i="44"/>
  <c r="AH237" i="44"/>
  <c r="W237" i="44"/>
  <c r="X237" i="44"/>
  <c r="AC237" i="44"/>
  <c r="AK237" i="44"/>
  <c r="AH238" i="44"/>
  <c r="W238" i="44"/>
  <c r="X238" i="44"/>
  <c r="AC238" i="44"/>
  <c r="AK238" i="44"/>
  <c r="AH239" i="44"/>
  <c r="W239" i="44"/>
  <c r="X239" i="44"/>
  <c r="AC239" i="44"/>
  <c r="AK239" i="44"/>
  <c r="AH240" i="44"/>
  <c r="W240" i="44"/>
  <c r="X240" i="44"/>
  <c r="AC240" i="44"/>
  <c r="AK240" i="44"/>
  <c r="AH241" i="44"/>
  <c r="W241" i="44"/>
  <c r="X241" i="44"/>
  <c r="AC241" i="44"/>
  <c r="AK241" i="44"/>
  <c r="AH242" i="44"/>
  <c r="W242" i="44"/>
  <c r="X242" i="44"/>
  <c r="AC242" i="44"/>
  <c r="AK242" i="44"/>
  <c r="AH243" i="44"/>
  <c r="W243" i="44"/>
  <c r="X243" i="44"/>
  <c r="AC243" i="44"/>
  <c r="AK243" i="44"/>
  <c r="AH244" i="44"/>
  <c r="W244" i="44"/>
  <c r="X244" i="44"/>
  <c r="AC244" i="44"/>
  <c r="AK244" i="44"/>
  <c r="AH245" i="44"/>
  <c r="W245" i="44"/>
  <c r="X245" i="44"/>
  <c r="AC245" i="44"/>
  <c r="AK245" i="44"/>
  <c r="AH246" i="44"/>
  <c r="W246" i="44"/>
  <c r="X246" i="44"/>
  <c r="AC246" i="44"/>
  <c r="AK246" i="44"/>
  <c r="AH247" i="44"/>
  <c r="W247" i="44"/>
  <c r="X247" i="44"/>
  <c r="AC247" i="44"/>
  <c r="AK247" i="44"/>
  <c r="AH248" i="44"/>
  <c r="W248" i="44"/>
  <c r="X248" i="44"/>
  <c r="AC248" i="44"/>
  <c r="AK248" i="44"/>
  <c r="AH249" i="44"/>
  <c r="W249" i="44"/>
  <c r="X249" i="44"/>
  <c r="AC249" i="44"/>
  <c r="AK249" i="44"/>
  <c r="AC250" i="44"/>
  <c r="AK250" i="44"/>
  <c r="AC251" i="44"/>
  <c r="AK251" i="44"/>
  <c r="AC252" i="44"/>
  <c r="AK252" i="44"/>
  <c r="AC253" i="44"/>
  <c r="AK253" i="44"/>
  <c r="AC254" i="44"/>
  <c r="AK254" i="44"/>
  <c r="AC255" i="44"/>
  <c r="AK255" i="44"/>
  <c r="AC256" i="44"/>
  <c r="AK256" i="44"/>
  <c r="AC257" i="44"/>
  <c r="AK257" i="44"/>
  <c r="AC258" i="44"/>
  <c r="AK258" i="44"/>
  <c r="AH259" i="44"/>
  <c r="W259" i="44"/>
  <c r="X259" i="44"/>
  <c r="AC259" i="44"/>
  <c r="AK259" i="44"/>
  <c r="AH260" i="44"/>
  <c r="W260" i="44"/>
  <c r="X260" i="44"/>
  <c r="AC260" i="44"/>
  <c r="AK260" i="44"/>
  <c r="AH261" i="44"/>
  <c r="W261" i="44"/>
  <c r="X261" i="44"/>
  <c r="AC261" i="44"/>
  <c r="AK261" i="44"/>
  <c r="AH262" i="44"/>
  <c r="W262" i="44"/>
  <c r="X262" i="44"/>
  <c r="AC262" i="44"/>
  <c r="AK262" i="44"/>
  <c r="AH263" i="44"/>
  <c r="W263" i="44"/>
  <c r="X263" i="44"/>
  <c r="AC263" i="44"/>
  <c r="AK263" i="44"/>
  <c r="AH264" i="44"/>
  <c r="W264" i="44"/>
  <c r="X264" i="44"/>
  <c r="AC264" i="44"/>
  <c r="AK264" i="44"/>
  <c r="AH265" i="44"/>
  <c r="W265" i="44"/>
  <c r="X265" i="44"/>
  <c r="AC265" i="44"/>
  <c r="AK265" i="44"/>
  <c r="AH266" i="44"/>
  <c r="W266" i="44"/>
  <c r="X266" i="44"/>
  <c r="AC266" i="44"/>
  <c r="AK266" i="44"/>
  <c r="AH267" i="44"/>
  <c r="W267" i="44"/>
  <c r="X267" i="44"/>
  <c r="AC267" i="44"/>
  <c r="AK267" i="44"/>
  <c r="AH268" i="44"/>
  <c r="W268" i="44"/>
  <c r="X268" i="44"/>
  <c r="AC268" i="44"/>
  <c r="AK268" i="44"/>
  <c r="AH269" i="44"/>
  <c r="W269" i="44"/>
  <c r="X269" i="44"/>
  <c r="AC269" i="44"/>
  <c r="AK269" i="44"/>
  <c r="AH270" i="44"/>
  <c r="W270" i="44"/>
  <c r="X270" i="44"/>
  <c r="AC270" i="44"/>
  <c r="AK270" i="44"/>
  <c r="AH271" i="44"/>
  <c r="W271" i="44"/>
  <c r="X271" i="44"/>
  <c r="AC271" i="44"/>
  <c r="AK271" i="44"/>
  <c r="AH272" i="44"/>
  <c r="W272" i="44"/>
  <c r="X272" i="44"/>
  <c r="AC272" i="44"/>
  <c r="AK272" i="44"/>
  <c r="AH273" i="44"/>
  <c r="W273" i="44"/>
  <c r="X273" i="44"/>
  <c r="AC273" i="44"/>
  <c r="AK273" i="44"/>
  <c r="AH274" i="44"/>
  <c r="W274" i="44"/>
  <c r="X274" i="44"/>
  <c r="AC274" i="44"/>
  <c r="AK274" i="44"/>
  <c r="AH275" i="44"/>
  <c r="W275" i="44"/>
  <c r="X275" i="44"/>
  <c r="AC275" i="44"/>
  <c r="AK275" i="44"/>
  <c r="AH276" i="44"/>
  <c r="W276" i="44"/>
  <c r="X276" i="44"/>
  <c r="AC276" i="44"/>
  <c r="AK276" i="44"/>
  <c r="AH277" i="44"/>
  <c r="W277" i="44"/>
  <c r="X277" i="44"/>
  <c r="AC277" i="44"/>
  <c r="AK277" i="44"/>
  <c r="AH278" i="44"/>
  <c r="W278" i="44"/>
  <c r="X278" i="44"/>
  <c r="AC278" i="44"/>
  <c r="AK278" i="44"/>
  <c r="AC279" i="44"/>
  <c r="AC280" i="44"/>
  <c r="AC281" i="44"/>
  <c r="AC282" i="44"/>
  <c r="AC283" i="44"/>
  <c r="AC284" i="44"/>
  <c r="AC285" i="44"/>
  <c r="AC286" i="44"/>
  <c r="AC287" i="44"/>
  <c r="AC288" i="44"/>
  <c r="AC289" i="44"/>
  <c r="AC290" i="44"/>
  <c r="AC291" i="44"/>
  <c r="AC292" i="44"/>
  <c r="AC293" i="44"/>
  <c r="AC294" i="44"/>
  <c r="AC295" i="44"/>
  <c r="AC296" i="44"/>
  <c r="AC297" i="44"/>
  <c r="AC298" i="44"/>
  <c r="AC299" i="44"/>
  <c r="AC300" i="44"/>
  <c r="AC301" i="44"/>
  <c r="AC302" i="44"/>
  <c r="AC303" i="44"/>
  <c r="AC304" i="44"/>
  <c r="AC305" i="44"/>
  <c r="AC306" i="44"/>
  <c r="AC307" i="44"/>
  <c r="AC308" i="44"/>
  <c r="AC309" i="44"/>
  <c r="AC310" i="44"/>
  <c r="AC311" i="44"/>
  <c r="AC312" i="44"/>
  <c r="AC313" i="44"/>
  <c r="AC314" i="44"/>
  <c r="AC315" i="44"/>
  <c r="AC316" i="44"/>
  <c r="AC317" i="44"/>
  <c r="AC318" i="44"/>
  <c r="AC319" i="44"/>
  <c r="AC320" i="44"/>
  <c r="AC321" i="44"/>
  <c r="AC322" i="44"/>
  <c r="AC323" i="44"/>
  <c r="AH12" i="44"/>
  <c r="AJ12" i="44"/>
  <c r="AH13" i="44"/>
  <c r="AJ13" i="44"/>
  <c r="AH14" i="44"/>
  <c r="AJ14" i="44"/>
  <c r="AH15" i="44"/>
  <c r="AJ15" i="44"/>
  <c r="AH16" i="44"/>
  <c r="AJ16" i="44"/>
  <c r="AH17" i="44"/>
  <c r="AJ17" i="44"/>
  <c r="AH18" i="44"/>
  <c r="AJ18" i="44"/>
  <c r="AH19" i="44"/>
  <c r="AJ19" i="44"/>
  <c r="AH20" i="44"/>
  <c r="AJ20" i="44"/>
  <c r="AH21" i="44"/>
  <c r="AJ21" i="44"/>
  <c r="AH22" i="44"/>
  <c r="AJ22" i="44"/>
  <c r="AH23" i="44"/>
  <c r="AJ23" i="44"/>
  <c r="AH24" i="44"/>
  <c r="AJ24" i="44"/>
  <c r="AH25" i="44"/>
  <c r="AJ25" i="44"/>
  <c r="AH26" i="44"/>
  <c r="AJ26" i="44"/>
  <c r="AH27" i="44"/>
  <c r="AJ27" i="44"/>
  <c r="AH28" i="44"/>
  <c r="AJ28" i="44"/>
  <c r="AH29" i="44"/>
  <c r="AJ29" i="44"/>
  <c r="AH30" i="44"/>
  <c r="AJ30" i="44"/>
  <c r="AH31" i="44"/>
  <c r="AJ31" i="44"/>
  <c r="AH32" i="44"/>
  <c r="AJ32" i="44"/>
  <c r="AH33" i="44"/>
  <c r="AJ33" i="44"/>
  <c r="AH34" i="44"/>
  <c r="AJ34" i="44"/>
  <c r="AH35" i="44"/>
  <c r="AJ35" i="44"/>
  <c r="AH36" i="44"/>
  <c r="AJ36" i="44"/>
  <c r="AH37" i="44"/>
  <c r="AJ37" i="44"/>
  <c r="AH38" i="44"/>
  <c r="AJ38" i="44"/>
  <c r="AH39" i="44"/>
  <c r="AJ39" i="44"/>
  <c r="AH40" i="44"/>
  <c r="AJ40" i="44"/>
  <c r="AH41" i="44"/>
  <c r="AJ41" i="44"/>
  <c r="AH42" i="44"/>
  <c r="AJ42" i="44"/>
  <c r="AH43" i="44"/>
  <c r="AJ43" i="44"/>
  <c r="AH44" i="44"/>
  <c r="AJ44" i="44"/>
  <c r="AH45" i="44"/>
  <c r="AJ45" i="44"/>
  <c r="AH46" i="44"/>
  <c r="AJ46" i="44"/>
  <c r="AH47" i="44"/>
  <c r="AJ47" i="44"/>
  <c r="AH48" i="44"/>
  <c r="AJ48" i="44"/>
  <c r="AH49" i="44"/>
  <c r="AJ49" i="44"/>
  <c r="AH50" i="44"/>
  <c r="AJ50" i="44"/>
  <c r="AH51" i="44"/>
  <c r="AJ51" i="44"/>
  <c r="AH52" i="44"/>
  <c r="AJ52" i="44"/>
  <c r="AH53" i="44"/>
  <c r="AJ53" i="44"/>
  <c r="AH54" i="44"/>
  <c r="AJ54" i="44"/>
  <c r="AH55" i="44"/>
  <c r="AJ55" i="44"/>
  <c r="AH56" i="44"/>
  <c r="AJ56" i="44"/>
  <c r="AH57" i="44"/>
  <c r="AJ57" i="44"/>
  <c r="AH58" i="44"/>
  <c r="AJ58" i="44"/>
  <c r="AH59" i="44"/>
  <c r="AJ59" i="44"/>
  <c r="AH60" i="44"/>
  <c r="AJ60" i="44"/>
  <c r="AH61" i="44"/>
  <c r="AJ61" i="44"/>
  <c r="AH62" i="44"/>
  <c r="AJ62" i="44"/>
  <c r="AH63" i="44"/>
  <c r="AJ63" i="44"/>
  <c r="AH64" i="44"/>
  <c r="AJ64" i="44"/>
  <c r="AH65" i="44"/>
  <c r="AJ65" i="44"/>
  <c r="AH66" i="44"/>
  <c r="AJ66" i="44"/>
  <c r="AH67" i="44"/>
  <c r="AJ67" i="44"/>
  <c r="AH68" i="44"/>
  <c r="AJ68" i="44"/>
  <c r="AH69" i="44"/>
  <c r="AJ69" i="44"/>
  <c r="AH70" i="44"/>
  <c r="AJ70" i="44"/>
  <c r="AH71" i="44"/>
  <c r="AJ71" i="44"/>
  <c r="AH72" i="44"/>
  <c r="AJ72" i="44"/>
  <c r="AH73" i="44"/>
  <c r="AJ73" i="44"/>
  <c r="AH74" i="44"/>
  <c r="AJ74" i="44"/>
  <c r="AH75" i="44"/>
  <c r="AJ75" i="44"/>
  <c r="AH76" i="44"/>
  <c r="AJ76" i="44"/>
  <c r="AH77" i="44"/>
  <c r="AJ77" i="44"/>
  <c r="AH78" i="44"/>
  <c r="AJ78" i="44"/>
  <c r="AH79" i="44"/>
  <c r="AJ79" i="44"/>
  <c r="AH80" i="44"/>
  <c r="AJ80" i="44"/>
  <c r="AH81" i="44"/>
  <c r="AJ81" i="44"/>
  <c r="AH82" i="44"/>
  <c r="AJ82" i="44"/>
  <c r="AH83" i="44"/>
  <c r="AJ83" i="44"/>
  <c r="AH84" i="44"/>
  <c r="AJ84" i="44"/>
  <c r="AH85" i="44"/>
  <c r="AJ85" i="44"/>
  <c r="AH86" i="44"/>
  <c r="AJ86" i="44"/>
  <c r="AH87" i="44"/>
  <c r="AJ87" i="44"/>
  <c r="AH88" i="44"/>
  <c r="AJ88" i="44"/>
  <c r="AH89" i="44"/>
  <c r="AJ89" i="44"/>
  <c r="AH90" i="44"/>
  <c r="AJ90" i="44"/>
  <c r="AH91" i="44"/>
  <c r="AJ91" i="44"/>
  <c r="AH92" i="44"/>
  <c r="AJ92" i="44"/>
  <c r="AH93" i="44"/>
  <c r="AJ93" i="44"/>
  <c r="AH94" i="44"/>
  <c r="AJ94" i="44"/>
  <c r="AH95" i="44"/>
  <c r="AJ95" i="44"/>
  <c r="AH96" i="44"/>
  <c r="AJ96" i="44"/>
  <c r="AH97" i="44"/>
  <c r="AJ97" i="44"/>
  <c r="AH98" i="44"/>
  <c r="AJ98" i="44"/>
  <c r="AH99" i="44"/>
  <c r="AJ99" i="44"/>
  <c r="AH100" i="44"/>
  <c r="AJ100" i="44"/>
  <c r="AH101" i="44"/>
  <c r="AJ101" i="44"/>
  <c r="AH102" i="44"/>
  <c r="AJ102" i="44"/>
  <c r="AH103" i="44"/>
  <c r="AJ103" i="44"/>
  <c r="AH104" i="44"/>
  <c r="AJ104" i="44"/>
  <c r="AH105" i="44"/>
  <c r="AJ105" i="44"/>
  <c r="AH106" i="44"/>
  <c r="AJ106" i="44"/>
  <c r="AH107" i="44"/>
  <c r="AJ107" i="44"/>
  <c r="AH108" i="44"/>
  <c r="AJ108" i="44"/>
  <c r="AH109" i="44"/>
  <c r="AJ109" i="44"/>
  <c r="AH110" i="44"/>
  <c r="AJ110" i="44"/>
  <c r="AH111" i="44"/>
  <c r="AJ111" i="44"/>
  <c r="AH112" i="44"/>
  <c r="AJ112" i="44"/>
  <c r="AH113" i="44"/>
  <c r="AJ113" i="44"/>
  <c r="AH114" i="44"/>
  <c r="AJ114" i="44"/>
  <c r="AH115" i="44"/>
  <c r="AJ115" i="44"/>
  <c r="AH116" i="44"/>
  <c r="AJ116" i="44"/>
  <c r="AH117" i="44"/>
  <c r="AJ117" i="44"/>
  <c r="AH118" i="44"/>
  <c r="AJ118" i="44"/>
  <c r="AH119" i="44"/>
  <c r="AJ119" i="44"/>
  <c r="AH120" i="44"/>
  <c r="AJ120" i="44"/>
  <c r="AJ121" i="44"/>
  <c r="AJ122" i="44"/>
  <c r="AJ123" i="44"/>
  <c r="AJ124" i="44"/>
  <c r="AJ125" i="44"/>
  <c r="AJ126" i="44"/>
  <c r="AJ127" i="44"/>
  <c r="AJ128" i="44"/>
  <c r="AJ129" i="44"/>
  <c r="AJ130" i="44"/>
  <c r="AJ131" i="44"/>
  <c r="AJ132" i="44"/>
  <c r="AJ133" i="44"/>
  <c r="AJ134" i="44"/>
  <c r="AJ135" i="44"/>
  <c r="AJ136" i="44"/>
  <c r="AJ137" i="44"/>
  <c r="AJ138" i="44"/>
  <c r="AJ139" i="44"/>
  <c r="AJ140" i="44"/>
  <c r="AJ141" i="44"/>
  <c r="AJ142" i="44"/>
  <c r="AJ143" i="44"/>
  <c r="AJ144" i="44"/>
  <c r="AJ145" i="44"/>
  <c r="AJ146" i="44"/>
  <c r="AJ147" i="44"/>
  <c r="AJ148" i="44"/>
  <c r="AJ149" i="44"/>
  <c r="AJ150" i="44"/>
  <c r="AJ151" i="44"/>
  <c r="AJ152" i="44"/>
  <c r="AJ153" i="44"/>
  <c r="AJ154" i="44"/>
  <c r="AJ155" i="44"/>
  <c r="AJ156" i="44"/>
  <c r="AJ157" i="44"/>
  <c r="AJ158" i="44"/>
  <c r="AJ159" i="44"/>
  <c r="AJ160" i="44"/>
  <c r="AJ161" i="44"/>
  <c r="AJ162" i="44"/>
  <c r="AJ163" i="44"/>
  <c r="AJ164" i="44"/>
  <c r="AJ165" i="44"/>
  <c r="AJ166" i="44"/>
  <c r="AJ167" i="44"/>
  <c r="AJ168" i="44"/>
  <c r="AJ169" i="44"/>
  <c r="AJ170" i="44"/>
  <c r="AJ171" i="44"/>
  <c r="AJ172" i="44"/>
  <c r="AJ173" i="44"/>
  <c r="AJ174" i="44"/>
  <c r="AJ175" i="44"/>
  <c r="AJ176" i="44"/>
  <c r="AJ177" i="44"/>
  <c r="AJ178" i="44"/>
  <c r="AJ179" i="44"/>
  <c r="AJ180" i="44"/>
  <c r="AJ181" i="44"/>
  <c r="AJ182" i="44"/>
  <c r="AJ183" i="44"/>
  <c r="AJ184" i="44"/>
  <c r="AJ185" i="44"/>
  <c r="AJ186" i="44"/>
  <c r="AJ187" i="44"/>
  <c r="AJ188" i="44"/>
  <c r="AJ189" i="44"/>
  <c r="AJ190" i="44"/>
  <c r="AJ191" i="44"/>
  <c r="AJ192" i="44"/>
  <c r="AJ193" i="44"/>
  <c r="AJ194" i="44"/>
  <c r="AJ195" i="44"/>
  <c r="AJ196" i="44"/>
  <c r="AJ197" i="44"/>
  <c r="AJ198" i="44"/>
  <c r="AJ199" i="44"/>
  <c r="AJ200" i="44"/>
  <c r="AJ201" i="44"/>
  <c r="AJ202" i="44"/>
  <c r="AJ203" i="44"/>
  <c r="AJ204" i="44"/>
  <c r="AJ205" i="44"/>
  <c r="AJ206" i="44"/>
  <c r="AJ207" i="44"/>
  <c r="AJ208" i="44"/>
  <c r="AJ209" i="44"/>
  <c r="AJ210" i="44"/>
  <c r="AJ211" i="44"/>
  <c r="AJ212" i="44"/>
  <c r="AJ213" i="44"/>
  <c r="AJ214" i="44"/>
  <c r="AJ215" i="44"/>
  <c r="AJ216" i="44"/>
  <c r="AJ217" i="44"/>
  <c r="AJ218" i="44"/>
  <c r="AJ219" i="44"/>
  <c r="AJ220" i="44"/>
  <c r="AJ221" i="44"/>
  <c r="AJ222" i="44"/>
  <c r="AJ223" i="44"/>
  <c r="AJ224" i="44"/>
  <c r="AJ225" i="44"/>
  <c r="AJ226" i="44"/>
  <c r="AJ227" i="44"/>
  <c r="AJ228" i="44"/>
  <c r="AJ229" i="44"/>
  <c r="AJ230" i="44"/>
  <c r="AJ231" i="44"/>
  <c r="AJ232" i="44"/>
  <c r="AJ233" i="44"/>
  <c r="AJ234" i="44"/>
  <c r="AJ235" i="44"/>
  <c r="AJ236" i="44"/>
  <c r="AJ237" i="44"/>
  <c r="AJ238" i="44"/>
  <c r="AJ239" i="44"/>
  <c r="AJ240" i="44"/>
  <c r="AJ241" i="44"/>
  <c r="AJ242" i="44"/>
  <c r="AJ243" i="44"/>
  <c r="AJ244" i="44"/>
  <c r="AJ245" i="44"/>
  <c r="AJ246" i="44"/>
  <c r="AJ247" i="44"/>
  <c r="AJ248" i="44"/>
  <c r="AJ249" i="44"/>
  <c r="AJ250" i="44"/>
  <c r="AJ251" i="44"/>
  <c r="AJ252" i="44"/>
  <c r="AJ253" i="44"/>
  <c r="AJ254" i="44"/>
  <c r="AJ255" i="44"/>
  <c r="AJ256" i="44"/>
  <c r="AJ257" i="44"/>
  <c r="AJ258" i="44"/>
  <c r="AJ259" i="44"/>
  <c r="AJ260" i="44"/>
  <c r="AJ261" i="44"/>
  <c r="AJ262" i="44"/>
  <c r="AJ263" i="44"/>
  <c r="AJ264" i="44"/>
  <c r="AJ265" i="44"/>
  <c r="AJ266" i="44"/>
  <c r="AJ267" i="44"/>
  <c r="AJ268" i="44"/>
  <c r="AJ269" i="44"/>
  <c r="AJ270" i="44"/>
  <c r="AJ271" i="44"/>
  <c r="AJ272" i="44"/>
  <c r="AJ273" i="44"/>
  <c r="AJ274" i="44"/>
  <c r="AJ275" i="44"/>
  <c r="AJ276" i="44"/>
  <c r="AJ277" i="44"/>
  <c r="AJ278" i="44"/>
  <c r="AH11" i="44"/>
  <c r="AJ11" i="44"/>
  <c r="M25" i="32"/>
  <c r="N25" i="32"/>
  <c r="M24" i="32"/>
  <c r="N24" i="32"/>
  <c r="M23" i="32"/>
  <c r="M22" i="32"/>
  <c r="M21" i="32"/>
  <c r="M20" i="32"/>
  <c r="M19" i="32"/>
  <c r="M18" i="32"/>
  <c r="M17" i="32"/>
  <c r="M16" i="32"/>
  <c r="M13" i="32"/>
  <c r="M12" i="32"/>
  <c r="M11" i="32"/>
  <c r="AB225" i="44"/>
  <c r="AB226" i="44"/>
  <c r="AB227" i="44"/>
  <c r="AB228" i="44"/>
  <c r="AB229" i="44"/>
  <c r="AB230" i="44"/>
  <c r="AB231" i="44"/>
  <c r="AB232" i="44"/>
  <c r="AB233" i="44"/>
  <c r="AB234" i="44"/>
  <c r="AB235" i="44"/>
  <c r="AB236" i="44"/>
  <c r="AB237" i="44"/>
  <c r="AB238" i="44"/>
  <c r="AB239" i="44"/>
  <c r="AB240" i="44"/>
  <c r="AB241" i="44"/>
  <c r="AB242" i="44"/>
  <c r="AB243" i="44"/>
  <c r="AB244" i="44"/>
  <c r="AB245" i="44"/>
  <c r="AB246" i="44"/>
  <c r="AB247" i="44"/>
  <c r="AB248" i="44"/>
  <c r="AB249" i="44"/>
  <c r="AB250" i="44"/>
  <c r="AB251" i="44"/>
  <c r="AB252" i="44"/>
  <c r="AB253" i="44"/>
  <c r="AB254" i="44"/>
  <c r="AB255" i="44"/>
  <c r="AB256" i="44"/>
  <c r="AB257" i="44"/>
  <c r="AB258" i="44"/>
  <c r="AB259" i="44"/>
  <c r="AB260" i="44"/>
  <c r="AB261" i="44"/>
  <c r="AB262" i="44"/>
  <c r="AB263" i="44"/>
  <c r="AB264" i="44"/>
  <c r="AB265" i="44"/>
  <c r="AB266" i="44"/>
  <c r="AB267" i="44"/>
  <c r="AB268" i="44"/>
  <c r="AB269" i="44"/>
  <c r="AB270" i="44"/>
  <c r="AB271" i="44"/>
  <c r="AB272" i="44"/>
  <c r="AB273" i="44"/>
  <c r="AB274" i="44"/>
  <c r="AB275" i="44"/>
  <c r="AB276" i="44"/>
  <c r="AB277" i="44"/>
  <c r="AB278" i="44"/>
  <c r="AB279" i="44"/>
  <c r="AB280" i="44"/>
  <c r="AB281" i="44"/>
  <c r="G251" i="44"/>
  <c r="G252" i="44"/>
  <c r="G253" i="44"/>
  <c r="G254" i="44"/>
  <c r="G255" i="44"/>
  <c r="G256" i="44"/>
  <c r="G257" i="44"/>
  <c r="G258" i="44"/>
  <c r="G259" i="44"/>
  <c r="G260" i="44"/>
  <c r="G261" i="44"/>
  <c r="G262" i="44"/>
  <c r="G263" i="44"/>
  <c r="G264" i="44"/>
  <c r="G265" i="44"/>
  <c r="G266" i="44"/>
  <c r="G267" i="44"/>
  <c r="G268" i="44"/>
  <c r="G269" i="44"/>
  <c r="G270" i="44"/>
  <c r="G271" i="44"/>
  <c r="G272" i="44"/>
  <c r="G273" i="44"/>
  <c r="G274" i="44"/>
  <c r="G275" i="44"/>
  <c r="BA128" i="44"/>
  <c r="BA129" i="44"/>
  <c r="BA130" i="44"/>
  <c r="BA165" i="44"/>
  <c r="BA166" i="44"/>
  <c r="BA167" i="44"/>
  <c r="BA168" i="44"/>
  <c r="BA169" i="44"/>
  <c r="BA170" i="44"/>
  <c r="BA171" i="44"/>
  <c r="BA172" i="44"/>
  <c r="BA173" i="44"/>
  <c r="BA174" i="44"/>
  <c r="BA175" i="44"/>
  <c r="BA176" i="44"/>
  <c r="BA177" i="44"/>
  <c r="BA178" i="44"/>
  <c r="BA179" i="44"/>
  <c r="BA180" i="44"/>
  <c r="BA181" i="44"/>
  <c r="BA182" i="44"/>
  <c r="BA183" i="44"/>
  <c r="BA184" i="44"/>
  <c r="BA185" i="44"/>
  <c r="BA186" i="44"/>
  <c r="BA187" i="44"/>
  <c r="BA188" i="44"/>
  <c r="BA189" i="44"/>
  <c r="BA190" i="44"/>
  <c r="BA191" i="44"/>
  <c r="BA192" i="44"/>
  <c r="BA193" i="44"/>
  <c r="BA194" i="44"/>
  <c r="BA195" i="44"/>
  <c r="BA196" i="44"/>
  <c r="BA197" i="44"/>
  <c r="BA198" i="44"/>
  <c r="BA199" i="44"/>
  <c r="BA200" i="44"/>
  <c r="BA201" i="44"/>
  <c r="BA202" i="44"/>
  <c r="BA203" i="44"/>
  <c r="BA204" i="44"/>
  <c r="BA205" i="44"/>
  <c r="BA206" i="44"/>
  <c r="BA207" i="44"/>
  <c r="BA208" i="44"/>
  <c r="BA209" i="44"/>
  <c r="BA210" i="44"/>
  <c r="BA211" i="44"/>
  <c r="BA212" i="44"/>
  <c r="BA213" i="44"/>
  <c r="BA214" i="44"/>
  <c r="BA215" i="44"/>
  <c r="BA216" i="44"/>
  <c r="BA217" i="44"/>
  <c r="BA218" i="44"/>
  <c r="BA219" i="44"/>
  <c r="BA220" i="44"/>
  <c r="BA221" i="44"/>
  <c r="BA222" i="44"/>
  <c r="BA223" i="44"/>
  <c r="BA224" i="44"/>
  <c r="BA225" i="44"/>
  <c r="BA226" i="44"/>
  <c r="BA227" i="44"/>
  <c r="BA228" i="44"/>
  <c r="BA229" i="44"/>
  <c r="BA230" i="44"/>
  <c r="BA231" i="44"/>
  <c r="BA232" i="44"/>
  <c r="BA233" i="44"/>
  <c r="BA234" i="44"/>
  <c r="BA235" i="44"/>
  <c r="BA236" i="44"/>
  <c r="BA237" i="44"/>
  <c r="BA238" i="44"/>
  <c r="BA239" i="44"/>
  <c r="BA240" i="44"/>
  <c r="BA241" i="44"/>
  <c r="BA242" i="44"/>
  <c r="BA243" i="44"/>
  <c r="BA244" i="44"/>
  <c r="BA245" i="44"/>
  <c r="BA246" i="44"/>
  <c r="BA247" i="44"/>
  <c r="BA248" i="44"/>
  <c r="BA249" i="44"/>
  <c r="BA250" i="44"/>
  <c r="BA251" i="44"/>
  <c r="BA252" i="44"/>
  <c r="BA253" i="44"/>
  <c r="BA254" i="44"/>
  <c r="BA255" i="44"/>
  <c r="BA256" i="44"/>
  <c r="BA257" i="44"/>
  <c r="BA258" i="44"/>
  <c r="BA259" i="44"/>
  <c r="BA260" i="44"/>
  <c r="BA261" i="44"/>
  <c r="BA262" i="44"/>
  <c r="BA263" i="44"/>
  <c r="BA264" i="44"/>
  <c r="BA265" i="44"/>
  <c r="BA266" i="44"/>
  <c r="BA267" i="44"/>
  <c r="BA268" i="44"/>
  <c r="BA269" i="44"/>
  <c r="BA270" i="44"/>
  <c r="BA271" i="44"/>
  <c r="BA272" i="44"/>
  <c r="BA273" i="44"/>
  <c r="BA274" i="44"/>
  <c r="BA275" i="44"/>
  <c r="BA276" i="44"/>
  <c r="BA277" i="44"/>
  <c r="BA278" i="44"/>
  <c r="BA279" i="44"/>
  <c r="BA280" i="44"/>
  <c r="BA281" i="44"/>
  <c r="BA282" i="44"/>
  <c r="BA283" i="44"/>
  <c r="BA284" i="44"/>
  <c r="BA285" i="44"/>
  <c r="BA286" i="44"/>
  <c r="BA287" i="44"/>
  <c r="BA288" i="44"/>
  <c r="BA289" i="44"/>
  <c r="BA290" i="44"/>
  <c r="BA291" i="44"/>
  <c r="BA292" i="44"/>
  <c r="BA293" i="44"/>
  <c r="BA294" i="44"/>
  <c r="BA295" i="44"/>
  <c r="BA296" i="44"/>
  <c r="BA297" i="44"/>
  <c r="BA298" i="44"/>
  <c r="BA299" i="44"/>
  <c r="BA300" i="44"/>
  <c r="BA301" i="44"/>
  <c r="BA302" i="44"/>
  <c r="BA303" i="44"/>
  <c r="BA304" i="44"/>
  <c r="BA305" i="44"/>
  <c r="BA306" i="44"/>
  <c r="BA307" i="44"/>
  <c r="BA308" i="44"/>
  <c r="BA309" i="44"/>
  <c r="BA310" i="44"/>
  <c r="BA311" i="44"/>
  <c r="BA312" i="44"/>
  <c r="BA313" i="44"/>
  <c r="BA314" i="44"/>
  <c r="BA315" i="44"/>
  <c r="BA316" i="44"/>
  <c r="BA317" i="44"/>
  <c r="BA318" i="44"/>
  <c r="BA319" i="44"/>
  <c r="BA320" i="44"/>
  <c r="BA127" i="44"/>
  <c r="AM21" i="44"/>
  <c r="AL21" i="44"/>
  <c r="AM22" i="44"/>
  <c r="AL22" i="44"/>
  <c r="AM23" i="44"/>
  <c r="AL23" i="44"/>
  <c r="AM24" i="44"/>
  <c r="AL24" i="44"/>
  <c r="AM25" i="44"/>
  <c r="AL25" i="44"/>
  <c r="AM26" i="44"/>
  <c r="AL26" i="44"/>
  <c r="AM27" i="44"/>
  <c r="AL27" i="44"/>
  <c r="AM28" i="44"/>
  <c r="AL28" i="44"/>
  <c r="AM29" i="44"/>
  <c r="AL29" i="44"/>
  <c r="AM30" i="44"/>
  <c r="AL30" i="44"/>
  <c r="AM31" i="44"/>
  <c r="AL31" i="44"/>
  <c r="AM32" i="44"/>
  <c r="AL32" i="44"/>
  <c r="AM33" i="44"/>
  <c r="AL33" i="44"/>
  <c r="AM34" i="44"/>
  <c r="AL34" i="44"/>
  <c r="AM35" i="44"/>
  <c r="AL35" i="44"/>
  <c r="AM36" i="44"/>
  <c r="AL36" i="44"/>
  <c r="AM37" i="44"/>
  <c r="AL37" i="44"/>
  <c r="AM38" i="44"/>
  <c r="AL38" i="44"/>
  <c r="AM39" i="44"/>
  <c r="AL39" i="44"/>
  <c r="AM40" i="44"/>
  <c r="AL40" i="44"/>
  <c r="AM41" i="44"/>
  <c r="AL41" i="44"/>
  <c r="AM42" i="44"/>
  <c r="AL42" i="44"/>
  <c r="AM43" i="44"/>
  <c r="AL43" i="44"/>
  <c r="AM44" i="44"/>
  <c r="AL44" i="44"/>
  <c r="AM45" i="44"/>
  <c r="AL45" i="44"/>
  <c r="AM46" i="44"/>
  <c r="AL46" i="44"/>
  <c r="AM47" i="44"/>
  <c r="AL47" i="44"/>
  <c r="AM48" i="44"/>
  <c r="AL48" i="44"/>
  <c r="AM49" i="44"/>
  <c r="AL49" i="44"/>
  <c r="AM50" i="44"/>
  <c r="AL50" i="44"/>
  <c r="AM51" i="44"/>
  <c r="AL51" i="44"/>
  <c r="AM52" i="44"/>
  <c r="AM53" i="44"/>
  <c r="AM54" i="44"/>
  <c r="AM55" i="44"/>
  <c r="AM56" i="44"/>
  <c r="AM57" i="44"/>
  <c r="AM58" i="44"/>
  <c r="AM59" i="44"/>
  <c r="AM60" i="44"/>
  <c r="AM61" i="44"/>
  <c r="AM62" i="44"/>
  <c r="AM63" i="44"/>
  <c r="AM64" i="44"/>
  <c r="AM65" i="44"/>
  <c r="AM66" i="44"/>
  <c r="AM67" i="44"/>
  <c r="AM68" i="44"/>
  <c r="AM69" i="44"/>
  <c r="AM70" i="44"/>
  <c r="AM71" i="44"/>
  <c r="AL71" i="44"/>
  <c r="AM72" i="44"/>
  <c r="AL72" i="44"/>
  <c r="AM73" i="44"/>
  <c r="AL73" i="44"/>
  <c r="AM74" i="44"/>
  <c r="AL74" i="44"/>
  <c r="AM75" i="44"/>
  <c r="AL75" i="44"/>
  <c r="AM76" i="44"/>
  <c r="AL76" i="44"/>
  <c r="AM77" i="44"/>
  <c r="AL77" i="44"/>
  <c r="AM78" i="44"/>
  <c r="AL78" i="44"/>
  <c r="AM79" i="44"/>
  <c r="AL79" i="44"/>
  <c r="AM80" i="44"/>
  <c r="AL80" i="44"/>
  <c r="AM81" i="44"/>
  <c r="AL81" i="44"/>
  <c r="AM82" i="44"/>
  <c r="AL82" i="44"/>
  <c r="AM83" i="44"/>
  <c r="AL83" i="44"/>
  <c r="AM84" i="44"/>
  <c r="AL84" i="44"/>
  <c r="AM85" i="44"/>
  <c r="AL85" i="44"/>
  <c r="AM86" i="44"/>
  <c r="AL86" i="44"/>
  <c r="AM87" i="44"/>
  <c r="AL87" i="44"/>
  <c r="AM88" i="44"/>
  <c r="AL88" i="44"/>
  <c r="AM89" i="44"/>
  <c r="AL89" i="44"/>
  <c r="AM90" i="44"/>
  <c r="AL90" i="44"/>
  <c r="AM91" i="44"/>
  <c r="AL91" i="44"/>
  <c r="AM92" i="44"/>
  <c r="AL92" i="44"/>
  <c r="AM93" i="44"/>
  <c r="AL93" i="44"/>
  <c r="AM94" i="44"/>
  <c r="AL94" i="44"/>
  <c r="AM95" i="44"/>
  <c r="AL95" i="44"/>
  <c r="AM96" i="44"/>
  <c r="AL96" i="44"/>
  <c r="AM97" i="44"/>
  <c r="AL97" i="44"/>
  <c r="AM98" i="44"/>
  <c r="AL98" i="44"/>
  <c r="AM99" i="44"/>
  <c r="AL99" i="44"/>
  <c r="AM100" i="44"/>
  <c r="AL100" i="44"/>
  <c r="AM101" i="44"/>
  <c r="AL101" i="44"/>
  <c r="AM102" i="44"/>
  <c r="AL102" i="44"/>
  <c r="AM103" i="44"/>
  <c r="AL103" i="44"/>
  <c r="AM104" i="44"/>
  <c r="AL104" i="44"/>
  <c r="AM105" i="44"/>
  <c r="AL105" i="44"/>
  <c r="AM106" i="44"/>
  <c r="AL106" i="44"/>
  <c r="AM107" i="44"/>
  <c r="AL107" i="44"/>
  <c r="AM108" i="44"/>
  <c r="AL108" i="44"/>
  <c r="AM109" i="44"/>
  <c r="AL109" i="44"/>
  <c r="AM110" i="44"/>
  <c r="AL110" i="44"/>
  <c r="AM111" i="44"/>
  <c r="AL111" i="44"/>
  <c r="AM112" i="44"/>
  <c r="AL112" i="44"/>
  <c r="AM113" i="44"/>
  <c r="AL113" i="44"/>
  <c r="AM114" i="44"/>
  <c r="AL114" i="44"/>
  <c r="AM115" i="44"/>
  <c r="AL115" i="44"/>
  <c r="AM116" i="44"/>
  <c r="AL116" i="44"/>
  <c r="AM117" i="44"/>
  <c r="AL117" i="44"/>
  <c r="AM118" i="44"/>
  <c r="AL118" i="44"/>
  <c r="AM119" i="44"/>
  <c r="AL119" i="44"/>
  <c r="AM120" i="44"/>
  <c r="AL120" i="44"/>
  <c r="AM151" i="44"/>
  <c r="AL151" i="44"/>
  <c r="AN151" i="44"/>
  <c r="AM152" i="44"/>
  <c r="AL152" i="44"/>
  <c r="AN152" i="44"/>
  <c r="AM153" i="44"/>
  <c r="AL153" i="44"/>
  <c r="AN153" i="44"/>
  <c r="AM154" i="44"/>
  <c r="AL154" i="44"/>
  <c r="AN154" i="44"/>
  <c r="AM155" i="44"/>
  <c r="AL155" i="44"/>
  <c r="AN155" i="44"/>
  <c r="AM156" i="44"/>
  <c r="AL156" i="44"/>
  <c r="AN156" i="44"/>
  <c r="AM157" i="44"/>
  <c r="AL157" i="44"/>
  <c r="AN157" i="44"/>
  <c r="AM158" i="44"/>
  <c r="AL158" i="44"/>
  <c r="AN158" i="44"/>
  <c r="AM159" i="44"/>
  <c r="AL159" i="44"/>
  <c r="AN159" i="44"/>
  <c r="AM160" i="44"/>
  <c r="AL160" i="44"/>
  <c r="AN160" i="44"/>
  <c r="AM161" i="44"/>
  <c r="AL161" i="44"/>
  <c r="AN161" i="44"/>
  <c r="AM162" i="44"/>
  <c r="AL162" i="44"/>
  <c r="AN162" i="44"/>
  <c r="AM163" i="44"/>
  <c r="AL163" i="44"/>
  <c r="AN163" i="44"/>
  <c r="AM164" i="44"/>
  <c r="AL164" i="44"/>
  <c r="AN164" i="44"/>
  <c r="AM165" i="44"/>
  <c r="AL165" i="44"/>
  <c r="AN165" i="44"/>
  <c r="AM11" i="44"/>
  <c r="AL11" i="44"/>
  <c r="AM12" i="44"/>
  <c r="AL12" i="44"/>
  <c r="AM13" i="44"/>
  <c r="AL13" i="44"/>
  <c r="AM14" i="44"/>
  <c r="AL14" i="44"/>
  <c r="AM15" i="44"/>
  <c r="AL15" i="44"/>
  <c r="AM16" i="44"/>
  <c r="AL16" i="44"/>
  <c r="AM17" i="44"/>
  <c r="AL17" i="44"/>
  <c r="AM18" i="44"/>
  <c r="AL18" i="44"/>
  <c r="AM19" i="44"/>
  <c r="AL19" i="44"/>
  <c r="AM20" i="44"/>
  <c r="AL20" i="44"/>
  <c r="B246" i="42"/>
  <c r="B243" i="42"/>
  <c r="B240" i="42"/>
  <c r="B237" i="42"/>
  <c r="B234" i="42"/>
  <c r="B231" i="42"/>
  <c r="B228" i="42"/>
  <c r="B225" i="42"/>
  <c r="B222" i="42"/>
  <c r="B219" i="42"/>
  <c r="B216" i="42"/>
  <c r="B213" i="42"/>
  <c r="B210" i="42"/>
  <c r="B207" i="42"/>
  <c r="B204" i="42"/>
  <c r="B201" i="42"/>
  <c r="B192" i="42"/>
  <c r="B181" i="42"/>
  <c r="B178" i="42"/>
  <c r="B175" i="42"/>
  <c r="B172" i="42"/>
  <c r="B169"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G165" i="34"/>
  <c r="D75"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W45" i="42"/>
  <c r="D46" i="42"/>
  <c r="W46" i="42"/>
  <c r="D47" i="42"/>
  <c r="W47" i="42"/>
  <c r="D48" i="42"/>
  <c r="W48" i="42"/>
  <c r="D49" i="42"/>
  <c r="W49" i="42"/>
  <c r="D50" i="42"/>
  <c r="W50" i="42"/>
  <c r="D51" i="42"/>
  <c r="W51" i="42"/>
  <c r="D52" i="42"/>
  <c r="W52" i="42"/>
  <c r="D53" i="42"/>
  <c r="W53" i="42"/>
  <c r="D54" i="42"/>
  <c r="W54" i="42"/>
  <c r="D55" i="42"/>
  <c r="W55" i="42"/>
  <c r="D56" i="42"/>
  <c r="W56" i="42"/>
  <c r="D57" i="42"/>
  <c r="W57" i="42"/>
  <c r="D58" i="42"/>
  <c r="W58" i="42"/>
  <c r="D59" i="42"/>
  <c r="W59" i="42"/>
  <c r="D60" i="42"/>
  <c r="W60" i="42"/>
  <c r="D61" i="42"/>
  <c r="W61" i="42"/>
  <c r="D62" i="42"/>
  <c r="W62" i="42"/>
  <c r="D63" i="42"/>
  <c r="W63" i="42"/>
  <c r="D64" i="42"/>
  <c r="W64" i="42"/>
  <c r="D65" i="42"/>
  <c r="W65" i="42"/>
  <c r="D66" i="42"/>
  <c r="W66" i="42"/>
  <c r="D67" i="42"/>
  <c r="W67" i="42"/>
  <c r="D68" i="42"/>
  <c r="W68" i="42"/>
  <c r="D69" i="42"/>
  <c r="W69" i="42"/>
  <c r="D70" i="42"/>
  <c r="W70" i="42"/>
  <c r="D71" i="42"/>
  <c r="W71" i="42"/>
  <c r="D72" i="42"/>
  <c r="W72" i="42"/>
  <c r="D73" i="42"/>
  <c r="W73" i="42"/>
  <c r="D74" i="42"/>
  <c r="W74" i="42"/>
  <c r="W75" i="42"/>
  <c r="W76" i="42"/>
  <c r="W77" i="42"/>
  <c r="W78" i="42"/>
  <c r="W79" i="42"/>
  <c r="W80" i="42"/>
  <c r="W81" i="42"/>
  <c r="W82" i="42"/>
  <c r="W83" i="42"/>
  <c r="W84" i="42"/>
  <c r="W85" i="42"/>
  <c r="W86" i="42"/>
  <c r="W87" i="42"/>
  <c r="W88" i="42"/>
  <c r="W89" i="42"/>
  <c r="W90" i="42"/>
  <c r="W91" i="42"/>
  <c r="W92" i="42"/>
  <c r="W93" i="42"/>
  <c r="W94" i="42"/>
  <c r="W95" i="42"/>
  <c r="W96" i="42"/>
  <c r="W97" i="42"/>
  <c r="W98" i="42"/>
  <c r="W99" i="42"/>
  <c r="W100" i="42"/>
  <c r="W101" i="42"/>
  <c r="W103" i="42"/>
  <c r="W104" i="42"/>
  <c r="W105" i="42"/>
  <c r="W106" i="42"/>
  <c r="W107" i="42"/>
  <c r="W108" i="42"/>
  <c r="W109" i="42"/>
  <c r="W110" i="42"/>
  <c r="W111" i="42"/>
  <c r="W112" i="42"/>
  <c r="W113" i="42"/>
  <c r="W114" i="42"/>
  <c r="W115" i="42"/>
  <c r="W116" i="42"/>
  <c r="W117" i="42"/>
  <c r="W118" i="42"/>
  <c r="W119" i="42"/>
  <c r="W120" i="42"/>
  <c r="W121" i="42"/>
  <c r="W122" i="42"/>
  <c r="W123" i="42"/>
  <c r="W124" i="42"/>
  <c r="W125" i="42"/>
  <c r="W126" i="42"/>
  <c r="W127" i="42"/>
  <c r="W128" i="42"/>
  <c r="W129" i="42"/>
  <c r="W130" i="42"/>
  <c r="W131" i="42"/>
  <c r="W132" i="42"/>
  <c r="W133" i="42"/>
  <c r="W134" i="42"/>
  <c r="W135" i="42"/>
  <c r="W136" i="42"/>
  <c r="W137" i="42"/>
  <c r="W138" i="42"/>
  <c r="W139" i="42"/>
  <c r="W140" i="42"/>
  <c r="W141" i="42"/>
  <c r="W142" i="42"/>
  <c r="W143" i="42"/>
  <c r="W144" i="42"/>
  <c r="W145" i="42"/>
  <c r="W146" i="42"/>
  <c r="W147" i="42"/>
  <c r="W148" i="42"/>
  <c r="W149" i="42"/>
  <c r="W150" i="42"/>
  <c r="W151" i="42"/>
  <c r="W152" i="42"/>
  <c r="W153" i="42"/>
  <c r="W154" i="42"/>
  <c r="W155" i="42"/>
  <c r="W156" i="42"/>
  <c r="W157" i="42"/>
  <c r="W158" i="42"/>
  <c r="W159" i="42"/>
  <c r="W160" i="42"/>
  <c r="W161" i="42"/>
  <c r="W162" i="42"/>
  <c r="W163" i="42"/>
  <c r="W164" i="42"/>
  <c r="G165" i="25"/>
  <c r="W165" i="42"/>
  <c r="D10" i="42"/>
  <c r="W10" i="42"/>
  <c r="AL196" i="44"/>
  <c r="AL197" i="44"/>
  <c r="AL198" i="44"/>
  <c r="AL199" i="44"/>
  <c r="AL200" i="44"/>
  <c r="AL201" i="44"/>
  <c r="AN201" i="44"/>
  <c r="AL202" i="44"/>
  <c r="AN202" i="44"/>
  <c r="AL203" i="44"/>
  <c r="AN203" i="44"/>
  <c r="AL204" i="44"/>
  <c r="AN204" i="44"/>
  <c r="AL205" i="44"/>
  <c r="AN205" i="44"/>
  <c r="AL206" i="44"/>
  <c r="AN206" i="44"/>
  <c r="AL207" i="44"/>
  <c r="AN207" i="44"/>
  <c r="AL208" i="44"/>
  <c r="AN208" i="44"/>
  <c r="AL209" i="44"/>
  <c r="AN209" i="44"/>
  <c r="AL210" i="44"/>
  <c r="AN210" i="44"/>
  <c r="AL211" i="44"/>
  <c r="AN211" i="44"/>
  <c r="AL212" i="44"/>
  <c r="AN212" i="44"/>
  <c r="AL213" i="44"/>
  <c r="AN213" i="44"/>
  <c r="AL214" i="44"/>
  <c r="AN214" i="44"/>
  <c r="AL215" i="44"/>
  <c r="AN215" i="44"/>
  <c r="AL216" i="44"/>
  <c r="AN216" i="44"/>
  <c r="AL217" i="44"/>
  <c r="AN217" i="44"/>
  <c r="AL218" i="44"/>
  <c r="AN218" i="44"/>
  <c r="AL219" i="44"/>
  <c r="AN219" i="44"/>
  <c r="AL220" i="44"/>
  <c r="AN220" i="44"/>
  <c r="AL221" i="44"/>
  <c r="AN221" i="44"/>
  <c r="AL222" i="44"/>
  <c r="AN222" i="44"/>
  <c r="AL223" i="44"/>
  <c r="AN223" i="44"/>
  <c r="AN166" i="44"/>
  <c r="AL167" i="44"/>
  <c r="AL168" i="44"/>
  <c r="AL169" i="44"/>
  <c r="AL170" i="44"/>
  <c r="AL171" i="44"/>
  <c r="AL172" i="44"/>
  <c r="AL173" i="44"/>
  <c r="AL174" i="44"/>
  <c r="AL175" i="44"/>
  <c r="AL176" i="44"/>
  <c r="AL177" i="44"/>
  <c r="AL178" i="44"/>
  <c r="AL179" i="44"/>
  <c r="AL180" i="44"/>
  <c r="AL181" i="44"/>
  <c r="AL182" i="44"/>
  <c r="AL183" i="44"/>
  <c r="AL184" i="44"/>
  <c r="AL185" i="44"/>
  <c r="AL186" i="44"/>
  <c r="AL187" i="44"/>
  <c r="AL188" i="44"/>
  <c r="AL189" i="44"/>
  <c r="AL190" i="44"/>
  <c r="AL191" i="44"/>
  <c r="AL192" i="44"/>
  <c r="AL193" i="44"/>
  <c r="AL194" i="44"/>
  <c r="AL195" i="44"/>
  <c r="AL224" i="44"/>
  <c r="AN224" i="44"/>
  <c r="AL225" i="44"/>
  <c r="AN225" i="44"/>
  <c r="AL226" i="44"/>
  <c r="AN226" i="44"/>
  <c r="AL227" i="44"/>
  <c r="AN227" i="44"/>
  <c r="AL228" i="44"/>
  <c r="AN228" i="44"/>
  <c r="AL229" i="44"/>
  <c r="AN229" i="44"/>
  <c r="AL230" i="44"/>
  <c r="AN230" i="44"/>
  <c r="AL231" i="44"/>
  <c r="AN231" i="44"/>
  <c r="AL232" i="44"/>
  <c r="AN232" i="44"/>
  <c r="AL233" i="44"/>
  <c r="AN233" i="44"/>
  <c r="AL234" i="44"/>
  <c r="AN234" i="44"/>
  <c r="AL235" i="44"/>
  <c r="AN235" i="44"/>
  <c r="AL236" i="44"/>
  <c r="AN236" i="44"/>
  <c r="AL237" i="44"/>
  <c r="AN237" i="44"/>
  <c r="AL238" i="44"/>
  <c r="AN238" i="44"/>
  <c r="AL239" i="44"/>
  <c r="AN239" i="44"/>
  <c r="AL240" i="44"/>
  <c r="AN240" i="44"/>
  <c r="AL241" i="44"/>
  <c r="AN241" i="44"/>
  <c r="AL242" i="44"/>
  <c r="AN242" i="44"/>
  <c r="AL243" i="44"/>
  <c r="AN243" i="44"/>
  <c r="AL244" i="44"/>
  <c r="AN244" i="44"/>
  <c r="AL245" i="44"/>
  <c r="AN245" i="44"/>
  <c r="AL246" i="44"/>
  <c r="AN246" i="44"/>
  <c r="AL247" i="44"/>
  <c r="AN247" i="44"/>
  <c r="AL248" i="44"/>
  <c r="AN248" i="44"/>
  <c r="AL249" i="44"/>
  <c r="AN249" i="44"/>
  <c r="AL250" i="44"/>
  <c r="AN250" i="44"/>
  <c r="AL251" i="44"/>
  <c r="AN251" i="44"/>
  <c r="AL252" i="44"/>
  <c r="AN252" i="44"/>
  <c r="AL253" i="44"/>
  <c r="AN253" i="44"/>
  <c r="AL254" i="44"/>
  <c r="AN254" i="44"/>
  <c r="AL255" i="44"/>
  <c r="AN255" i="44"/>
  <c r="AL256" i="44"/>
  <c r="AN256" i="44"/>
  <c r="AL257" i="44"/>
  <c r="AN257" i="44"/>
  <c r="AL258" i="44"/>
  <c r="AN258" i="44"/>
  <c r="AL259" i="44"/>
  <c r="AN259" i="44"/>
  <c r="AL260" i="44"/>
  <c r="AN260" i="44"/>
  <c r="AL261" i="44"/>
  <c r="AN261" i="44"/>
  <c r="AL262" i="44"/>
  <c r="AN262" i="44"/>
  <c r="AL263" i="44"/>
  <c r="AN263" i="44"/>
  <c r="AL264" i="44"/>
  <c r="AN264" i="44"/>
  <c r="AL265" i="44"/>
  <c r="AN265" i="44"/>
  <c r="AL266" i="44"/>
  <c r="AN266" i="44"/>
  <c r="AL267" i="44"/>
  <c r="AN267" i="44"/>
  <c r="AL268" i="44"/>
  <c r="AN268" i="44"/>
  <c r="AL269" i="44"/>
  <c r="AN269" i="44"/>
  <c r="AL270" i="44"/>
  <c r="AN270" i="44"/>
  <c r="AL271" i="44"/>
  <c r="AN271" i="44"/>
  <c r="AL272" i="44"/>
  <c r="AN272" i="44"/>
  <c r="AL273" i="44"/>
  <c r="AN273" i="44"/>
  <c r="AL274" i="44"/>
  <c r="AN274" i="44"/>
  <c r="AL275" i="44"/>
  <c r="AN275" i="44"/>
  <c r="AL276" i="44"/>
  <c r="AN276" i="44"/>
  <c r="AL277" i="44"/>
  <c r="AN277" i="44"/>
  <c r="AL278" i="44"/>
  <c r="AN278" i="44"/>
  <c r="AM232" i="44"/>
  <c r="AM233" i="44"/>
  <c r="AM234" i="44"/>
  <c r="AM235" i="44"/>
  <c r="AM236" i="44"/>
  <c r="AM237" i="44"/>
  <c r="AM238" i="44"/>
  <c r="AM239" i="44"/>
  <c r="AM240" i="44"/>
  <c r="AM241" i="44"/>
  <c r="AM242" i="44"/>
  <c r="AM243" i="44"/>
  <c r="AM244" i="44"/>
  <c r="AM245" i="44"/>
  <c r="AM246" i="44"/>
  <c r="AM247" i="44"/>
  <c r="AM248" i="44"/>
  <c r="AM249" i="44"/>
  <c r="AM250" i="44"/>
  <c r="AM251" i="44"/>
  <c r="AM252" i="44"/>
  <c r="AM253" i="44"/>
  <c r="AM254" i="44"/>
  <c r="AM255" i="44"/>
  <c r="AM256" i="44"/>
  <c r="AM257" i="44"/>
  <c r="AM259" i="44"/>
  <c r="AM260" i="44"/>
  <c r="AM261" i="44"/>
  <c r="AM262" i="44"/>
  <c r="AM263" i="44"/>
  <c r="AM264" i="44"/>
  <c r="AM265" i="44"/>
  <c r="AM266" i="44"/>
  <c r="AM267" i="44"/>
  <c r="AM268" i="44"/>
  <c r="AM269" i="44"/>
  <c r="AM270" i="44"/>
  <c r="AM271" i="44"/>
  <c r="AM272" i="44"/>
  <c r="AM273" i="44"/>
  <c r="AM274" i="44"/>
  <c r="AM275" i="44"/>
  <c r="AM276" i="44"/>
  <c r="AM277" i="44"/>
  <c r="AM278" i="44"/>
  <c r="AL279" i="44"/>
  <c r="AM279" i="44"/>
  <c r="AL280" i="44"/>
  <c r="AM280" i="44"/>
  <c r="AL281" i="44"/>
  <c r="AM281" i="44"/>
  <c r="AL282" i="44"/>
  <c r="AM282" i="44"/>
  <c r="AL283" i="44"/>
  <c r="AM283" i="44"/>
  <c r="AL284" i="44"/>
  <c r="AM284" i="44"/>
  <c r="AL285" i="44"/>
  <c r="AM285" i="44"/>
  <c r="AL286" i="44"/>
  <c r="AM286" i="44"/>
  <c r="AL287" i="44"/>
  <c r="AM287" i="44"/>
  <c r="AL288" i="44"/>
  <c r="AM288" i="44"/>
  <c r="AL289" i="44"/>
  <c r="AM289" i="44"/>
  <c r="AL290" i="44"/>
  <c r="AM290" i="44"/>
  <c r="AL291" i="44"/>
  <c r="AM291" i="44"/>
  <c r="AL292" i="44"/>
  <c r="AM292" i="44"/>
  <c r="AL293" i="44"/>
  <c r="AM293" i="44"/>
  <c r="AL294" i="44"/>
  <c r="AM294" i="44"/>
  <c r="AL295" i="44"/>
  <c r="AM295" i="44"/>
  <c r="AL296" i="44"/>
  <c r="AM296" i="44"/>
  <c r="AL297" i="44"/>
  <c r="AL298" i="44"/>
  <c r="AL299" i="44"/>
  <c r="AM299" i="44"/>
  <c r="AL300" i="44"/>
  <c r="AM300" i="44"/>
  <c r="AL301" i="44"/>
  <c r="AM301" i="44"/>
  <c r="AL302" i="44"/>
  <c r="AM302" i="44"/>
  <c r="AL303" i="44"/>
  <c r="AM303" i="44"/>
  <c r="AL304" i="44"/>
  <c r="AM304" i="44"/>
  <c r="AL305" i="44"/>
  <c r="AM305" i="44"/>
  <c r="AL306" i="44"/>
  <c r="AM306" i="44"/>
  <c r="AL307" i="44"/>
  <c r="AM307" i="44"/>
  <c r="AL308" i="44"/>
  <c r="AM308" i="44"/>
  <c r="AL309" i="44"/>
  <c r="AM309" i="44"/>
  <c r="AL310" i="44"/>
  <c r="AM310" i="44"/>
  <c r="AL311" i="44"/>
  <c r="AM311" i="44"/>
  <c r="AL312" i="44"/>
  <c r="AM312" i="44"/>
  <c r="AL313" i="44"/>
  <c r="AM313" i="44"/>
  <c r="AL314" i="44"/>
  <c r="AM314" i="44"/>
  <c r="AL315" i="44"/>
  <c r="AM315" i="44"/>
  <c r="AL316" i="44"/>
  <c r="AM316" i="44"/>
  <c r="AL317" i="44"/>
  <c r="AM317" i="44"/>
  <c r="AL318" i="44"/>
  <c r="AM318" i="44"/>
  <c r="AL319" i="44"/>
  <c r="AM319" i="44"/>
  <c r="AL320" i="44"/>
  <c r="AM320" i="44"/>
  <c r="AL321" i="44"/>
  <c r="AM321" i="44"/>
  <c r="AM230" i="44"/>
  <c r="AM231" i="44"/>
  <c r="AM201" i="44"/>
  <c r="AM202" i="44"/>
  <c r="AM203" i="44"/>
  <c r="AM204" i="44"/>
  <c r="AM205" i="44"/>
  <c r="AM206" i="44"/>
  <c r="AM207" i="44"/>
  <c r="AM208" i="44"/>
  <c r="AM209" i="44"/>
  <c r="AM210" i="44"/>
  <c r="AM211" i="44"/>
  <c r="AM212" i="44"/>
  <c r="AM213" i="44"/>
  <c r="AM214" i="44"/>
  <c r="AM215" i="44"/>
  <c r="AM216" i="44"/>
  <c r="AM217" i="44"/>
  <c r="AM218" i="44"/>
  <c r="AM219" i="44"/>
  <c r="AM220" i="44"/>
  <c r="AM221" i="44"/>
  <c r="AM222" i="44"/>
  <c r="AM223" i="44"/>
  <c r="AM224" i="44"/>
  <c r="AM225" i="44"/>
  <c r="AM226" i="44"/>
  <c r="AM227" i="44"/>
  <c r="AM228" i="44"/>
  <c r="AM229"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92" i="44"/>
  <c r="L93" i="44"/>
  <c r="L94" i="44"/>
  <c r="L95" i="44"/>
  <c r="L96" i="44"/>
  <c r="L97" i="44"/>
  <c r="L98" i="44"/>
  <c r="L99" i="44"/>
  <c r="L100" i="44"/>
  <c r="L101" i="44"/>
  <c r="L102" i="44"/>
  <c r="L103" i="44"/>
  <c r="L104" i="44"/>
  <c r="L105" i="44"/>
  <c r="L106" i="44"/>
  <c r="L107" i="44"/>
  <c r="L108" i="44"/>
  <c r="L109" i="44"/>
  <c r="L110" i="44"/>
  <c r="K111" i="44"/>
  <c r="L111" i="44"/>
  <c r="L112" i="44"/>
  <c r="L113" i="44"/>
  <c r="L114" i="44"/>
  <c r="L115" i="44"/>
  <c r="L116" i="44"/>
  <c r="L117" i="44"/>
  <c r="L118" i="44"/>
  <c r="L119" i="44"/>
  <c r="L120" i="44"/>
  <c r="L121" i="44"/>
  <c r="L122" i="44"/>
  <c r="L123" i="44"/>
  <c r="L124" i="44"/>
  <c r="L125" i="44"/>
  <c r="L126" i="44"/>
  <c r="L127" i="44"/>
  <c r="L128" i="44"/>
  <c r="L129" i="44"/>
  <c r="L130" i="44"/>
  <c r="L131" i="44"/>
  <c r="L132" i="44"/>
  <c r="L133" i="44"/>
  <c r="L134" i="44"/>
  <c r="L135" i="44"/>
  <c r="L136" i="44"/>
  <c r="L137" i="44"/>
  <c r="L138" i="44"/>
  <c r="L139" i="44"/>
  <c r="L140" i="44"/>
  <c r="L141" i="44"/>
  <c r="L142" i="44"/>
  <c r="L143" i="44"/>
  <c r="L144" i="44"/>
  <c r="L145" i="44"/>
  <c r="L146" i="44"/>
  <c r="L147" i="44"/>
  <c r="L148" i="44"/>
  <c r="L149" i="44"/>
  <c r="L150" i="44"/>
  <c r="L151" i="44"/>
  <c r="L152" i="44"/>
  <c r="L153" i="44"/>
  <c r="L154" i="44"/>
  <c r="L155" i="44"/>
  <c r="L156" i="44"/>
  <c r="L157" i="44"/>
  <c r="L158" i="44"/>
  <c r="L159" i="44"/>
  <c r="L160" i="44"/>
  <c r="L161" i="44"/>
  <c r="L162" i="44"/>
  <c r="L163" i="44"/>
  <c r="L164" i="44"/>
  <c r="L165" i="44"/>
  <c r="L166" i="44"/>
  <c r="L167" i="44"/>
  <c r="L168" i="44"/>
  <c r="L169" i="44"/>
  <c r="L170" i="44"/>
  <c r="L171" i="44"/>
  <c r="L172" i="44"/>
  <c r="L173" i="44"/>
  <c r="L174" i="44"/>
  <c r="L175" i="44"/>
  <c r="L176" i="44"/>
  <c r="L177" i="44"/>
  <c r="L178" i="44"/>
  <c r="L179" i="44"/>
  <c r="L180" i="44"/>
  <c r="L181" i="44"/>
  <c r="L182" i="44"/>
  <c r="L183" i="44"/>
  <c r="L184" i="44"/>
  <c r="L185" i="44"/>
  <c r="L186" i="44"/>
  <c r="L187" i="44"/>
  <c r="L188" i="44"/>
  <c r="L189" i="44"/>
  <c r="L190" i="44"/>
  <c r="L191" i="44"/>
  <c r="L192" i="44"/>
  <c r="L193" i="44"/>
  <c r="L194" i="44"/>
  <c r="L195" i="44"/>
  <c r="L196" i="44"/>
  <c r="L197" i="44"/>
  <c r="L198" i="44"/>
  <c r="L199" i="44"/>
  <c r="L200" i="44"/>
  <c r="L201" i="44"/>
  <c r="L202" i="44"/>
  <c r="L203" i="44"/>
  <c r="L204" i="44"/>
  <c r="L205" i="44"/>
  <c r="L206" i="44"/>
  <c r="L207" i="44"/>
  <c r="L208" i="44"/>
  <c r="L209" i="44"/>
  <c r="L210" i="44"/>
  <c r="L211" i="44"/>
  <c r="L212" i="44"/>
  <c r="L213" i="44"/>
  <c r="L214" i="44"/>
  <c r="L215" i="44"/>
  <c r="L216" i="44"/>
  <c r="L217" i="44"/>
  <c r="L218" i="44"/>
  <c r="L219" i="44"/>
  <c r="L220" i="44"/>
  <c r="L221" i="44"/>
  <c r="L222" i="44"/>
  <c r="L223" i="44"/>
  <c r="L224" i="44"/>
  <c r="L225" i="44"/>
  <c r="L226" i="44"/>
  <c r="L227" i="44"/>
  <c r="L228" i="44"/>
  <c r="L229" i="44"/>
  <c r="L230" i="44"/>
  <c r="L231" i="44"/>
  <c r="L232" i="44"/>
  <c r="K233" i="44"/>
  <c r="L233" i="44"/>
  <c r="L234" i="44"/>
  <c r="L235" i="44"/>
  <c r="L236" i="44"/>
  <c r="L237" i="44"/>
  <c r="L238" i="44"/>
  <c r="L239" i="44"/>
  <c r="L240" i="44"/>
  <c r="L241" i="44"/>
  <c r="L242" i="44"/>
  <c r="L243" i="44"/>
  <c r="L244" i="44"/>
  <c r="L245" i="44"/>
  <c r="L246" i="44"/>
  <c r="L247" i="44"/>
  <c r="L248" i="44"/>
  <c r="L249" i="44"/>
  <c r="L250" i="44"/>
  <c r="L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1" i="44"/>
  <c r="F156" i="44"/>
  <c r="F157" i="44"/>
  <c r="F158" i="44"/>
  <c r="F159" i="44"/>
  <c r="F160" i="44"/>
  <c r="F161" i="44"/>
  <c r="F162" i="44"/>
  <c r="F163" i="44"/>
  <c r="F164" i="44"/>
  <c r="F165" i="44"/>
  <c r="F274" i="44"/>
  <c r="F275" i="44"/>
  <c r="M147" i="44"/>
  <c r="M148" i="44"/>
  <c r="M149" i="44"/>
  <c r="M150" i="44"/>
  <c r="M151" i="44"/>
  <c r="M152" i="44"/>
  <c r="M153" i="44"/>
  <c r="M154" i="44"/>
  <c r="M155" i="44"/>
  <c r="M156" i="44"/>
  <c r="M157" i="44"/>
  <c r="M158" i="44"/>
  <c r="M159" i="44"/>
  <c r="M160" i="44"/>
  <c r="M161" i="44"/>
  <c r="M162" i="44"/>
  <c r="M163" i="44"/>
  <c r="M164" i="44"/>
  <c r="M165" i="44"/>
  <c r="M166" i="44"/>
  <c r="M201" i="44"/>
  <c r="M202" i="44"/>
  <c r="M203" i="44"/>
  <c r="M204" i="44"/>
  <c r="M205" i="44"/>
  <c r="M206" i="44"/>
  <c r="M207" i="44"/>
  <c r="M208" i="44"/>
  <c r="M209" i="44"/>
  <c r="M210" i="44"/>
  <c r="M211" i="44"/>
  <c r="M212" i="44"/>
  <c r="M213" i="44"/>
  <c r="M214" i="44"/>
  <c r="M215" i="44"/>
  <c r="M216" i="44"/>
  <c r="M217" i="44"/>
  <c r="M218" i="44"/>
  <c r="M219" i="44"/>
  <c r="M220" i="44"/>
  <c r="M221" i="44"/>
  <c r="M222" i="44"/>
  <c r="M223" i="44"/>
  <c r="M224" i="44"/>
  <c r="M225" i="44"/>
  <c r="M226" i="44"/>
  <c r="M227" i="44"/>
  <c r="M228" i="44"/>
  <c r="M229" i="44"/>
  <c r="M230" i="44"/>
  <c r="M231" i="44"/>
  <c r="M232" i="44"/>
  <c r="M233" i="44"/>
  <c r="M234" i="44"/>
  <c r="M235" i="44"/>
  <c r="M236" i="44"/>
  <c r="M237" i="44"/>
  <c r="M238" i="44"/>
  <c r="M239" i="44"/>
  <c r="M240" i="44"/>
  <c r="M241" i="44"/>
  <c r="M242" i="44"/>
  <c r="M243" i="44"/>
  <c r="M244" i="44"/>
  <c r="M245" i="44"/>
  <c r="M246" i="44"/>
  <c r="M247" i="44"/>
  <c r="M248" i="44"/>
  <c r="M249" i="44"/>
  <c r="M250" i="44"/>
  <c r="B26" i="50"/>
  <c r="B24" i="40"/>
  <c r="B27" i="50"/>
  <c r="C27" i="50"/>
  <c r="C26" i="50"/>
  <c r="C10" i="50"/>
  <c r="Q147" i="44"/>
  <c r="Q148" i="44"/>
  <c r="Q149" i="44"/>
  <c r="Q150" i="44"/>
  <c r="Q151" i="44"/>
  <c r="Q152" i="44"/>
  <c r="Q153" i="44"/>
  <c r="Q154" i="44"/>
  <c r="Q155" i="44"/>
  <c r="Q156" i="44"/>
  <c r="Q157" i="44"/>
  <c r="Q158" i="44"/>
  <c r="Q159" i="44"/>
  <c r="Q160" i="44"/>
  <c r="Q161" i="44"/>
  <c r="Q162" i="44"/>
  <c r="Q163" i="44"/>
  <c r="Q164" i="44"/>
  <c r="Q165" i="44"/>
  <c r="Q166" i="44"/>
  <c r="Q167" i="44"/>
  <c r="Q168" i="44"/>
  <c r="Q169" i="44"/>
  <c r="Q170" i="44"/>
  <c r="Q171" i="44"/>
  <c r="Q172" i="44"/>
  <c r="Q173" i="44"/>
  <c r="Q174" i="44"/>
  <c r="Q175" i="44"/>
  <c r="Q176" i="44"/>
  <c r="Q177" i="44"/>
  <c r="Q178" i="44"/>
  <c r="Q179" i="44"/>
  <c r="Q180" i="44"/>
  <c r="Q181" i="44"/>
  <c r="Q182" i="44"/>
  <c r="Q183" i="44"/>
  <c r="Q184" i="44"/>
  <c r="Q185" i="44"/>
  <c r="Q186" i="44"/>
  <c r="Q187" i="44"/>
  <c r="Q188" i="44"/>
  <c r="Q189" i="44"/>
  <c r="Q190" i="44"/>
  <c r="Q191" i="44"/>
  <c r="Q192" i="44"/>
  <c r="Q193" i="44"/>
  <c r="Q194" i="44"/>
  <c r="Q195" i="44"/>
  <c r="Q196" i="44"/>
  <c r="Q197" i="44"/>
  <c r="Q198" i="44"/>
  <c r="Q199" i="44"/>
  <c r="Q200" i="44"/>
  <c r="Q201" i="44"/>
  <c r="Q202" i="44"/>
  <c r="Q203" i="44"/>
  <c r="Q204" i="44"/>
  <c r="Q205" i="44"/>
  <c r="Q206" i="44"/>
  <c r="Q207" i="44"/>
  <c r="Q208" i="44"/>
  <c r="Q209" i="44"/>
  <c r="Q210" i="44"/>
  <c r="Q211" i="44"/>
  <c r="Q212" i="44"/>
  <c r="Q213" i="44"/>
  <c r="Q214" i="44"/>
  <c r="Q215" i="44"/>
  <c r="Q216" i="44"/>
  <c r="Q217" i="44"/>
  <c r="Q218" i="44"/>
  <c r="Q219" i="44"/>
  <c r="Q220" i="44"/>
  <c r="Q221" i="44"/>
  <c r="Q222" i="44"/>
  <c r="Q223" i="44"/>
  <c r="Q224" i="44"/>
  <c r="Q225" i="44"/>
  <c r="Q226" i="44"/>
  <c r="Q227" i="44"/>
  <c r="Q228" i="44"/>
  <c r="Q229" i="44"/>
  <c r="Q230" i="44"/>
  <c r="Q231" i="44"/>
  <c r="Q232" i="44"/>
  <c r="Q233" i="44"/>
  <c r="Q234" i="44"/>
  <c r="Q235" i="44"/>
  <c r="Q236" i="44"/>
  <c r="Q237" i="44"/>
  <c r="Q238" i="44"/>
  <c r="Q239" i="44"/>
  <c r="Q240" i="44"/>
  <c r="Q241" i="44"/>
  <c r="Q242" i="44"/>
  <c r="Q243" i="44"/>
  <c r="Q244" i="44"/>
  <c r="Q245" i="44"/>
  <c r="Q246" i="44"/>
  <c r="Q247" i="44"/>
  <c r="Q248" i="44"/>
  <c r="Q249" i="44"/>
  <c r="Q250" i="44"/>
  <c r="Q45" i="42"/>
  <c r="Q46" i="42"/>
  <c r="Q47" i="42"/>
  <c r="Q48" i="42"/>
  <c r="Q49" i="42"/>
  <c r="Q50" i="42"/>
  <c r="Q51" i="42"/>
  <c r="Q52" i="42"/>
  <c r="Q53" i="42"/>
  <c r="Q54" i="42"/>
  <c r="Q55" i="42"/>
  <c r="Q56" i="42"/>
  <c r="Q57" i="42"/>
  <c r="Q58" i="42"/>
  <c r="Q59" i="42"/>
  <c r="Q60" i="42"/>
  <c r="Q61" i="42"/>
  <c r="Q62" i="42"/>
  <c r="Q63" i="42"/>
  <c r="Q64" i="42"/>
  <c r="Q65" i="42"/>
  <c r="Q66" i="42"/>
  <c r="Q67" i="42"/>
  <c r="Q68" i="42"/>
  <c r="Q69" i="42"/>
  <c r="Q70" i="42"/>
  <c r="Q71" i="42"/>
  <c r="Q72" i="42"/>
  <c r="Q73" i="42"/>
  <c r="Q74" i="42"/>
  <c r="Q10" i="42"/>
  <c r="J38" i="33"/>
  <c r="J19" i="33"/>
  <c r="F19" i="33"/>
  <c r="C19" i="33"/>
  <c r="S147" i="44"/>
  <c r="S148" i="44"/>
  <c r="S149" i="44"/>
  <c r="S150" i="44"/>
  <c r="S151" i="44"/>
  <c r="S152" i="44"/>
  <c r="S153" i="44"/>
  <c r="S154" i="44"/>
  <c r="S155" i="44"/>
  <c r="S156" i="44"/>
  <c r="S157" i="44"/>
  <c r="S158" i="44"/>
  <c r="S159" i="44"/>
  <c r="S160" i="44"/>
  <c r="S161" i="44"/>
  <c r="S162" i="44"/>
  <c r="S163" i="44"/>
  <c r="S164" i="44"/>
  <c r="S165" i="44"/>
  <c r="S166" i="44"/>
  <c r="S167" i="44"/>
  <c r="S168" i="44"/>
  <c r="S169" i="44"/>
  <c r="S170" i="44"/>
  <c r="S171" i="44"/>
  <c r="S172" i="44"/>
  <c r="S173" i="44"/>
  <c r="S174" i="44"/>
  <c r="S175" i="44"/>
  <c r="S176" i="44"/>
  <c r="S177" i="44"/>
  <c r="S178" i="44"/>
  <c r="S179" i="44"/>
  <c r="S180" i="44"/>
  <c r="S181" i="44"/>
  <c r="S182" i="44"/>
  <c r="S183" i="44"/>
  <c r="S184" i="44"/>
  <c r="S185" i="44"/>
  <c r="S186" i="44"/>
  <c r="S187" i="44"/>
  <c r="S188" i="44"/>
  <c r="S189" i="44"/>
  <c r="S190" i="44"/>
  <c r="S191" i="44"/>
  <c r="S192" i="44"/>
  <c r="S193" i="44"/>
  <c r="S194" i="44"/>
  <c r="S195" i="44"/>
  <c r="S196" i="44"/>
  <c r="S197" i="44"/>
  <c r="S198" i="44"/>
  <c r="S199" i="44"/>
  <c r="S200" i="44"/>
  <c r="S201" i="44"/>
  <c r="S202" i="44"/>
  <c r="S203" i="44"/>
  <c r="S204" i="44"/>
  <c r="S205" i="44"/>
  <c r="S206" i="44"/>
  <c r="S207" i="44"/>
  <c r="S208" i="44"/>
  <c r="S209" i="44"/>
  <c r="S210" i="44"/>
  <c r="S211" i="44"/>
  <c r="S212" i="44"/>
  <c r="S213" i="44"/>
  <c r="S214" i="44"/>
  <c r="S215" i="44"/>
  <c r="S216" i="44"/>
  <c r="S217" i="44"/>
  <c r="S218" i="44"/>
  <c r="S219" i="44"/>
  <c r="S220" i="44"/>
  <c r="S221" i="44"/>
  <c r="S222" i="44"/>
  <c r="S223" i="44"/>
  <c r="S224" i="44"/>
  <c r="S225" i="44"/>
  <c r="S226" i="44"/>
  <c r="S227" i="44"/>
  <c r="S228" i="44"/>
  <c r="S229" i="44"/>
  <c r="S230" i="44"/>
  <c r="S231" i="44"/>
  <c r="S232" i="44"/>
  <c r="S233" i="44"/>
  <c r="S234" i="44"/>
  <c r="S235" i="44"/>
  <c r="S236" i="44"/>
  <c r="S237" i="44"/>
  <c r="S238" i="44"/>
  <c r="S239" i="44"/>
  <c r="S240" i="44"/>
  <c r="S241" i="44"/>
  <c r="S242" i="44"/>
  <c r="S243" i="44"/>
  <c r="S244" i="44"/>
  <c r="S245" i="44"/>
  <c r="S246" i="44"/>
  <c r="S247" i="44"/>
  <c r="S248" i="44"/>
  <c r="S249" i="44"/>
  <c r="S250" i="44"/>
  <c r="R113" i="44"/>
  <c r="R114" i="44"/>
  <c r="R115" i="44"/>
  <c r="R116" i="44"/>
  <c r="R117" i="44"/>
  <c r="R118" i="44"/>
  <c r="R119" i="44"/>
  <c r="R120" i="44"/>
  <c r="R121" i="44"/>
  <c r="R122" i="44"/>
  <c r="R123" i="44"/>
  <c r="R124" i="44"/>
  <c r="R125" i="44"/>
  <c r="R126" i="44"/>
  <c r="R127" i="44"/>
  <c r="R128" i="44"/>
  <c r="R129" i="44"/>
  <c r="R130" i="44"/>
  <c r="R131" i="44"/>
  <c r="R132" i="44"/>
  <c r="R133" i="44"/>
  <c r="R134" i="44"/>
  <c r="R135" i="44"/>
  <c r="R136" i="44"/>
  <c r="R137" i="44"/>
  <c r="R138" i="44"/>
  <c r="R139" i="44"/>
  <c r="R140" i="44"/>
  <c r="R141" i="44"/>
  <c r="R142" i="44"/>
  <c r="R143" i="44"/>
  <c r="R144" i="44"/>
  <c r="R145" i="44"/>
  <c r="R146" i="44"/>
  <c r="R147" i="44"/>
  <c r="R148" i="44"/>
  <c r="R149" i="44"/>
  <c r="R150" i="44"/>
  <c r="R151" i="44"/>
  <c r="R152" i="44"/>
  <c r="R153" i="44"/>
  <c r="R154" i="44"/>
  <c r="R155" i="44"/>
  <c r="R156" i="44"/>
  <c r="R157" i="44"/>
  <c r="R158" i="44"/>
  <c r="R159" i="44"/>
  <c r="R160" i="44"/>
  <c r="R161" i="44"/>
  <c r="R162" i="44"/>
  <c r="R163" i="44"/>
  <c r="R164" i="44"/>
  <c r="R165" i="44"/>
  <c r="R166" i="44"/>
  <c r="R167" i="44"/>
  <c r="R168" i="44"/>
  <c r="R169" i="44"/>
  <c r="R170" i="44"/>
  <c r="R171" i="44"/>
  <c r="R172" i="44"/>
  <c r="R173" i="44"/>
  <c r="R174" i="44"/>
  <c r="R175" i="44"/>
  <c r="R176" i="44"/>
  <c r="R177" i="44"/>
  <c r="R178" i="44"/>
  <c r="R179" i="44"/>
  <c r="R180" i="44"/>
  <c r="R181" i="44"/>
  <c r="R182" i="44"/>
  <c r="R183" i="44"/>
  <c r="R184" i="44"/>
  <c r="R185" i="44"/>
  <c r="R186" i="44"/>
  <c r="R187" i="44"/>
  <c r="R188" i="44"/>
  <c r="R189" i="44"/>
  <c r="R190" i="44"/>
  <c r="R191" i="44"/>
  <c r="R192" i="44"/>
  <c r="R193" i="44"/>
  <c r="R194" i="44"/>
  <c r="R195" i="44"/>
  <c r="R196" i="44"/>
  <c r="R197" i="44"/>
  <c r="R198" i="44"/>
  <c r="R199" i="44"/>
  <c r="R200" i="44"/>
  <c r="R201" i="44"/>
  <c r="R202" i="44"/>
  <c r="R203" i="44"/>
  <c r="R204" i="44"/>
  <c r="R205" i="44"/>
  <c r="R206" i="44"/>
  <c r="R207" i="44"/>
  <c r="R208" i="44"/>
  <c r="R209" i="44"/>
  <c r="R210" i="44"/>
  <c r="R211" i="44"/>
  <c r="R212" i="44"/>
  <c r="R213" i="44"/>
  <c r="R214" i="44"/>
  <c r="R215" i="44"/>
  <c r="R216" i="44"/>
  <c r="R217" i="44"/>
  <c r="R218" i="44"/>
  <c r="R219" i="44"/>
  <c r="R220" i="44"/>
  <c r="R221" i="44"/>
  <c r="R222" i="44"/>
  <c r="R223" i="44"/>
  <c r="R224" i="44"/>
  <c r="R225" i="44"/>
  <c r="R226" i="44"/>
  <c r="R227" i="44"/>
  <c r="R228" i="44"/>
  <c r="R229" i="44"/>
  <c r="R230" i="44"/>
  <c r="R231" i="44"/>
  <c r="R232" i="44"/>
  <c r="R233" i="44"/>
  <c r="R234" i="44"/>
  <c r="R235" i="44"/>
  <c r="R236" i="44"/>
  <c r="R237" i="44"/>
  <c r="R238" i="44"/>
  <c r="R239" i="44"/>
  <c r="R240" i="44"/>
  <c r="R241" i="44"/>
  <c r="R242" i="44"/>
  <c r="R243" i="44"/>
  <c r="R244" i="44"/>
  <c r="R245" i="44"/>
  <c r="R246" i="44"/>
  <c r="R247" i="44"/>
  <c r="R248" i="44"/>
  <c r="R249" i="44"/>
  <c r="R250" i="44"/>
  <c r="R112" i="44"/>
  <c r="R102" i="44"/>
  <c r="R103" i="44"/>
  <c r="R104" i="44"/>
  <c r="R105" i="44"/>
  <c r="R106" i="44"/>
  <c r="R107" i="44"/>
  <c r="R108" i="44"/>
  <c r="R109" i="44"/>
  <c r="R110" i="44"/>
  <c r="R111" i="44"/>
  <c r="R101" i="44"/>
  <c r="R100" i="44"/>
  <c r="R99" i="44"/>
  <c r="R12" i="44"/>
  <c r="R13" i="44"/>
  <c r="R14" i="44"/>
  <c r="R15" i="44"/>
  <c r="R16" i="44"/>
  <c r="R17" i="44"/>
  <c r="R18" i="44"/>
  <c r="R19" i="44"/>
  <c r="R20" i="44"/>
  <c r="R21" i="44"/>
  <c r="R22" i="44"/>
  <c r="R23" i="44"/>
  <c r="R24" i="44"/>
  <c r="R25" i="44"/>
  <c r="R26" i="44"/>
  <c r="R27" i="44"/>
  <c r="R28" i="44"/>
  <c r="R29" i="44"/>
  <c r="R30" i="44"/>
  <c r="R31" i="44"/>
  <c r="R32" i="44"/>
  <c r="R33" i="44"/>
  <c r="R34" i="44"/>
  <c r="R35" i="44"/>
  <c r="R36" i="44"/>
  <c r="R37" i="44"/>
  <c r="R38" i="44"/>
  <c r="R39" i="44"/>
  <c r="R40" i="44"/>
  <c r="R41" i="44"/>
  <c r="R42" i="44"/>
  <c r="R43" i="44"/>
  <c r="R44" i="44"/>
  <c r="R45" i="44"/>
  <c r="R46" i="44"/>
  <c r="R47" i="44"/>
  <c r="R48" i="44"/>
  <c r="R49" i="44"/>
  <c r="R50" i="44"/>
  <c r="R51" i="44"/>
  <c r="R52" i="44"/>
  <c r="R53" i="44"/>
  <c r="R54" i="44"/>
  <c r="R55" i="44"/>
  <c r="R56" i="44"/>
  <c r="R57" i="44"/>
  <c r="R58" i="44"/>
  <c r="R59" i="44"/>
  <c r="R60" i="44"/>
  <c r="R61" i="44"/>
  <c r="R62" i="44"/>
  <c r="R63" i="44"/>
  <c r="R64" i="44"/>
  <c r="R65" i="44"/>
  <c r="R66" i="44"/>
  <c r="R67" i="44"/>
  <c r="R68" i="44"/>
  <c r="R69" i="44"/>
  <c r="R70" i="44"/>
  <c r="R71" i="44"/>
  <c r="R72" i="44"/>
  <c r="R73" i="44"/>
  <c r="R74" i="44"/>
  <c r="R75" i="44"/>
  <c r="R76" i="44"/>
  <c r="R77" i="44"/>
  <c r="R78" i="44"/>
  <c r="R79" i="44"/>
  <c r="R80" i="44"/>
  <c r="R81" i="44"/>
  <c r="R82" i="44"/>
  <c r="R83" i="44"/>
  <c r="R84" i="44"/>
  <c r="R85" i="44"/>
  <c r="R86" i="44"/>
  <c r="R87" i="44"/>
  <c r="R88" i="44"/>
  <c r="R89" i="44"/>
  <c r="R90" i="44"/>
  <c r="R91" i="44"/>
  <c r="R92" i="44"/>
  <c r="R93" i="44"/>
  <c r="R94" i="44"/>
  <c r="R95" i="44"/>
  <c r="R96" i="44"/>
  <c r="R97" i="44"/>
  <c r="R98" i="44"/>
  <c r="R11" i="44"/>
  <c r="GU80" i="4"/>
  <c r="GU81" i="4"/>
  <c r="GU82" i="4"/>
  <c r="GU83" i="4"/>
  <c r="GU84" i="4"/>
  <c r="GU85" i="4"/>
  <c r="GU86" i="4"/>
  <c r="GU87" i="4"/>
  <c r="GU88" i="4"/>
  <c r="GU89" i="4"/>
  <c r="GU90" i="4"/>
  <c r="GU91" i="4"/>
  <c r="GU92" i="4"/>
  <c r="GU93" i="4"/>
  <c r="GU94" i="4"/>
  <c r="GU95" i="4"/>
  <c r="GU96" i="4"/>
  <c r="GU97" i="4"/>
  <c r="GU98" i="4"/>
  <c r="GU99" i="4"/>
  <c r="GU100" i="4"/>
  <c r="GU101" i="4"/>
  <c r="GU102" i="4"/>
  <c r="GU103" i="4"/>
  <c r="GU104" i="4"/>
  <c r="GU105" i="4"/>
  <c r="GU106" i="4"/>
  <c r="GU107" i="4"/>
  <c r="GU108" i="4"/>
  <c r="GU109" i="4"/>
  <c r="GU110" i="4"/>
  <c r="GU111" i="4"/>
  <c r="GU112" i="4"/>
  <c r="GU113" i="4"/>
  <c r="GU114" i="4"/>
  <c r="GU115" i="4"/>
  <c r="GU116" i="4"/>
  <c r="GU117" i="4"/>
  <c r="GU118" i="4"/>
  <c r="GU119" i="4"/>
  <c r="GU120" i="4"/>
  <c r="GU121" i="4"/>
  <c r="GU122" i="4"/>
  <c r="GU123" i="4"/>
  <c r="GU124" i="4"/>
  <c r="GU125" i="4"/>
  <c r="GU126" i="4"/>
  <c r="GU127" i="4"/>
  <c r="GU128" i="4"/>
  <c r="GU129" i="4"/>
  <c r="GU130" i="4"/>
  <c r="GU131" i="4"/>
  <c r="GU132" i="4"/>
  <c r="GU133" i="4"/>
  <c r="GU134" i="4"/>
  <c r="GU135" i="4"/>
  <c r="GU136" i="4"/>
  <c r="GU137" i="4"/>
  <c r="GU138" i="4"/>
  <c r="GU139" i="4"/>
  <c r="GU140" i="4"/>
  <c r="GU141" i="4"/>
  <c r="GU142" i="4"/>
  <c r="GU143" i="4"/>
  <c r="GU144" i="4"/>
  <c r="GU145" i="4"/>
  <c r="GU146" i="4"/>
  <c r="GU147" i="4"/>
  <c r="GU148" i="4"/>
  <c r="GU149" i="4"/>
  <c r="GU150" i="4"/>
  <c r="GU151" i="4"/>
  <c r="GU152" i="4"/>
  <c r="GU153" i="4"/>
  <c r="GU154" i="4"/>
  <c r="GU155" i="4"/>
  <c r="GU156" i="4"/>
  <c r="GU157" i="4"/>
  <c r="GU158" i="4"/>
  <c r="GU159" i="4"/>
  <c r="GU160" i="4"/>
  <c r="GU161" i="4"/>
  <c r="GU162" i="4"/>
  <c r="GU163" i="4"/>
  <c r="GU164" i="4"/>
  <c r="GU165" i="4"/>
  <c r="GU166" i="4"/>
  <c r="GU167" i="4"/>
  <c r="GU168" i="4"/>
  <c r="GU169" i="4"/>
  <c r="AB282" i="44"/>
  <c r="AB283" i="44"/>
  <c r="AB284" i="44"/>
  <c r="AB285" i="44"/>
  <c r="AB286" i="44"/>
  <c r="AB287" i="44"/>
  <c r="AB288" i="44"/>
  <c r="AB289" i="44"/>
  <c r="AB290" i="44"/>
  <c r="AB291" i="44"/>
  <c r="AB292" i="44"/>
  <c r="AB293" i="44"/>
  <c r="AB294" i="44"/>
  <c r="AB295" i="44"/>
  <c r="AB296" i="44"/>
  <c r="AB297" i="44"/>
  <c r="AB298" i="44"/>
  <c r="AB299" i="44"/>
  <c r="AB300" i="44"/>
  <c r="AB301" i="44"/>
  <c r="AB302" i="44"/>
  <c r="AB303" i="44"/>
  <c r="AB304" i="44"/>
  <c r="AB305" i="44"/>
  <c r="AB306" i="44"/>
  <c r="AB307" i="44"/>
  <c r="AB308" i="44"/>
  <c r="AB309" i="44"/>
  <c r="AB310" i="44"/>
  <c r="AB311" i="44"/>
  <c r="AB312" i="44"/>
  <c r="AB313" i="44"/>
  <c r="AB314" i="44"/>
  <c r="AB315" i="44"/>
  <c r="AB316" i="44"/>
  <c r="AB317" i="44"/>
  <c r="AB318" i="44"/>
  <c r="AB319" i="44"/>
  <c r="AB320" i="44"/>
  <c r="AB321" i="44"/>
  <c r="AB322" i="44"/>
  <c r="AB323" i="44"/>
  <c r="EB105" i="4"/>
  <c r="DY105" i="4"/>
  <c r="EC105" i="4"/>
  <c r="EB106" i="4"/>
  <c r="DY106" i="4"/>
  <c r="EC106" i="4"/>
  <c r="EC107" i="4"/>
  <c r="EC108" i="4"/>
  <c r="EC109" i="4"/>
  <c r="EC110" i="4"/>
  <c r="EC111" i="4"/>
  <c r="EC112" i="4"/>
  <c r="EC113" i="4"/>
  <c r="EC114" i="4"/>
  <c r="EC115" i="4"/>
  <c r="EC116" i="4"/>
  <c r="EC117" i="4"/>
  <c r="EC118" i="4"/>
  <c r="EC119" i="4"/>
  <c r="EC120" i="4"/>
  <c r="EC121" i="4"/>
  <c r="EC122" i="4"/>
  <c r="EC123" i="4"/>
  <c r="EC124" i="4"/>
  <c r="L92" i="32"/>
  <c r="AA93" i="32"/>
  <c r="L93" i="32"/>
  <c r="AA94" i="32"/>
  <c r="L94" i="32"/>
  <c r="AA95" i="32"/>
  <c r="L95" i="32"/>
  <c r="AA96" i="32"/>
  <c r="L96" i="32"/>
  <c r="AA97" i="32"/>
  <c r="L97" i="32"/>
  <c r="AA98" i="32"/>
  <c r="L98" i="32"/>
  <c r="AA99" i="32"/>
  <c r="L99" i="32"/>
  <c r="AA100" i="32"/>
  <c r="L100" i="32"/>
  <c r="AA101" i="32"/>
  <c r="L101" i="32"/>
  <c r="AA102" i="32"/>
  <c r="L102" i="32"/>
  <c r="AA103" i="32"/>
  <c r="L103" i="32"/>
  <c r="AA104" i="32"/>
  <c r="L104" i="32"/>
  <c r="AA105" i="32"/>
  <c r="L105" i="32"/>
  <c r="AA106" i="32"/>
  <c r="L106" i="32"/>
  <c r="AA107" i="32"/>
  <c r="L107" i="32"/>
  <c r="AA108" i="32"/>
  <c r="L108" i="32"/>
  <c r="AA109" i="32"/>
  <c r="L109" i="32"/>
  <c r="AA110" i="32"/>
  <c r="L110" i="32"/>
  <c r="AA111" i="32"/>
  <c r="L111" i="32"/>
  <c r="AA112" i="32"/>
  <c r="L112" i="32"/>
  <c r="AA113" i="32"/>
  <c r="L113" i="32"/>
  <c r="AA114" i="32"/>
  <c r="L114" i="32"/>
  <c r="AA115" i="32"/>
  <c r="L115" i="32"/>
  <c r="AA116" i="32"/>
  <c r="L116" i="32"/>
  <c r="AA117" i="32"/>
  <c r="L117" i="32"/>
  <c r="AA118" i="32"/>
  <c r="L118" i="32"/>
  <c r="AA119" i="32"/>
  <c r="L119" i="32"/>
  <c r="AA120" i="32"/>
  <c r="L120" i="32"/>
  <c r="AA121" i="32"/>
  <c r="L121" i="32"/>
  <c r="AA122" i="32"/>
  <c r="L122" i="32"/>
  <c r="AA123" i="32"/>
  <c r="L123" i="32"/>
  <c r="AA124" i="32"/>
  <c r="L124" i="32"/>
  <c r="AA125" i="32"/>
  <c r="L125" i="32"/>
  <c r="AA126" i="32"/>
  <c r="L126" i="32"/>
  <c r="AA127" i="32"/>
  <c r="L127" i="32"/>
  <c r="AA128" i="32"/>
  <c r="L128" i="32"/>
  <c r="AA129" i="32"/>
  <c r="L129" i="32"/>
  <c r="AA130" i="32"/>
  <c r="L130" i="32"/>
  <c r="AA131" i="32"/>
  <c r="L131" i="32"/>
  <c r="AA132" i="32"/>
  <c r="L132" i="32"/>
  <c r="AA133" i="32"/>
  <c r="L133" i="32"/>
  <c r="AA134" i="32"/>
  <c r="L134" i="32"/>
  <c r="AA135" i="32"/>
  <c r="L135" i="32"/>
  <c r="AA136" i="32"/>
  <c r="L136" i="32"/>
  <c r="AA137" i="32"/>
  <c r="L137" i="32"/>
  <c r="AA138" i="32"/>
  <c r="L138" i="32"/>
  <c r="AA139" i="32"/>
  <c r="L139" i="32"/>
  <c r="AA140" i="32"/>
  <c r="L140" i="32"/>
  <c r="AA141" i="32"/>
  <c r="L141" i="32"/>
  <c r="AA142" i="32"/>
  <c r="L142" i="32"/>
  <c r="AA143" i="32"/>
  <c r="L143" i="32"/>
  <c r="AA144" i="32"/>
  <c r="L144" i="32"/>
  <c r="AA145" i="32"/>
  <c r="L145" i="32"/>
  <c r="AA146" i="32"/>
  <c r="L146" i="32"/>
  <c r="AA147" i="32"/>
  <c r="L147" i="32"/>
  <c r="AA148" i="32"/>
  <c r="L148" i="32"/>
  <c r="AA149" i="32"/>
  <c r="L149" i="32"/>
  <c r="AA150" i="32"/>
  <c r="L150" i="32"/>
  <c r="AA151" i="32"/>
  <c r="L151" i="32"/>
  <c r="AA152" i="32"/>
  <c r="L152" i="32"/>
  <c r="AA153" i="32"/>
  <c r="L153" i="32"/>
  <c r="AA154" i="32"/>
  <c r="L154" i="32"/>
  <c r="AA155" i="32"/>
  <c r="L155" i="32"/>
  <c r="AA156" i="32"/>
  <c r="L156" i="32"/>
  <c r="AA157" i="32"/>
  <c r="L157" i="32"/>
  <c r="AA158" i="32"/>
  <c r="L158" i="32"/>
  <c r="AA159" i="32"/>
  <c r="L159" i="32"/>
  <c r="AA160" i="32"/>
  <c r="L160" i="32"/>
  <c r="AA161" i="32"/>
  <c r="L161" i="32"/>
  <c r="AA162" i="32"/>
  <c r="L162" i="32"/>
  <c r="AA163" i="32"/>
  <c r="L163" i="32"/>
  <c r="AA164" i="32"/>
  <c r="L164" i="32"/>
  <c r="AA165" i="32"/>
  <c r="L165" i="32"/>
  <c r="AA166" i="32"/>
  <c r="L166" i="32"/>
  <c r="AA167" i="32"/>
  <c r="L167" i="32"/>
  <c r="AA168" i="32"/>
  <c r="L168" i="32"/>
  <c r="AA169" i="32"/>
  <c r="L169" i="32"/>
  <c r="AA170" i="32"/>
  <c r="L170" i="32"/>
  <c r="AA171" i="32"/>
  <c r="L171" i="32"/>
  <c r="AA172" i="32"/>
  <c r="L172" i="32"/>
  <c r="AA173" i="32"/>
  <c r="L173" i="32"/>
  <c r="AA174" i="32"/>
  <c r="L174" i="32"/>
  <c r="AA175" i="32"/>
  <c r="L175" i="32"/>
  <c r="AA176" i="32"/>
  <c r="L176" i="32"/>
  <c r="AA177" i="32"/>
  <c r="L177" i="32"/>
  <c r="AA178" i="32"/>
  <c r="L178" i="32"/>
  <c r="AA179" i="32"/>
  <c r="L179" i="32"/>
  <c r="AA180" i="32"/>
  <c r="L180" i="32"/>
  <c r="AA181" i="32"/>
  <c r="AA92" i="32"/>
  <c r="B33" i="40"/>
  <c r="Z145" i="32"/>
  <c r="Z146" i="32"/>
  <c r="Z147" i="32"/>
  <c r="Z148" i="32"/>
  <c r="Z149" i="32"/>
  <c r="Z150" i="32"/>
  <c r="Z151" i="32"/>
  <c r="Z152" i="32"/>
  <c r="Z153" i="32"/>
  <c r="Z154" i="32"/>
  <c r="Z155" i="32"/>
  <c r="Z156" i="32"/>
  <c r="Z157" i="32"/>
  <c r="Z158" i="32"/>
  <c r="Z159" i="32"/>
  <c r="Z160" i="32"/>
  <c r="Z161" i="32"/>
  <c r="Z162" i="32"/>
  <c r="Z163" i="32"/>
  <c r="Z164" i="32"/>
  <c r="Z165" i="32"/>
  <c r="Z166" i="32"/>
  <c r="Z167" i="32"/>
  <c r="Z168" i="32"/>
  <c r="Z169" i="32"/>
  <c r="Z170" i="32"/>
  <c r="Z171" i="32"/>
  <c r="Z172" i="32"/>
  <c r="Z173" i="32"/>
  <c r="Z174" i="32"/>
  <c r="Z175" i="32"/>
  <c r="Z176" i="32"/>
  <c r="Z177" i="32"/>
  <c r="Z178" i="32"/>
  <c r="Z179" i="32"/>
  <c r="Z180" i="32"/>
  <c r="K181" i="22"/>
  <c r="F181" i="22"/>
  <c r="L181" i="32"/>
  <c r="Z181" i="32"/>
  <c r="Z26" i="32"/>
  <c r="Z27" i="32"/>
  <c r="Z28" i="32"/>
  <c r="Z29" i="32"/>
  <c r="Z30" i="32"/>
  <c r="Z31" i="32"/>
  <c r="Z32" i="32"/>
  <c r="Z33" i="32"/>
  <c r="Z34" i="32"/>
  <c r="Z35" i="32"/>
  <c r="Z36" i="32"/>
  <c r="Z37" i="32"/>
  <c r="Z38" i="32"/>
  <c r="Z39" i="32"/>
  <c r="Z40" i="32"/>
  <c r="Z41" i="32"/>
  <c r="Z42" i="32"/>
  <c r="Z43" i="32"/>
  <c r="Z44" i="32"/>
  <c r="Z45" i="32"/>
  <c r="Z46" i="32"/>
  <c r="Z47" i="32"/>
  <c r="Z48" i="32"/>
  <c r="Z49" i="32"/>
  <c r="Z50" i="32"/>
  <c r="Z51" i="32"/>
  <c r="Z52" i="32"/>
  <c r="Z53" i="32"/>
  <c r="Z54" i="32"/>
  <c r="Z55" i="32"/>
  <c r="Z56" i="32"/>
  <c r="Z57" i="32"/>
  <c r="Z58" i="32"/>
  <c r="Z59" i="32"/>
  <c r="Z60" i="32"/>
  <c r="Z61" i="32"/>
  <c r="Z62" i="32"/>
  <c r="Z63" i="32"/>
  <c r="Z64" i="32"/>
  <c r="Z65" i="32"/>
  <c r="Z66" i="32"/>
  <c r="Z67" i="32"/>
  <c r="Z68" i="32"/>
  <c r="Z69" i="32"/>
  <c r="Z70" i="32"/>
  <c r="Z71" i="32"/>
  <c r="Z72" i="32"/>
  <c r="Z73" i="32"/>
  <c r="Z74" i="32"/>
  <c r="Z75" i="32"/>
  <c r="Z76" i="32"/>
  <c r="Z77" i="32"/>
  <c r="Z78" i="32"/>
  <c r="Z79" i="32"/>
  <c r="Z80" i="32"/>
  <c r="Z81" i="32"/>
  <c r="Z82" i="32"/>
  <c r="Z83" i="32"/>
  <c r="Z84" i="32"/>
  <c r="Z85" i="32"/>
  <c r="Z86" i="32"/>
  <c r="Z87" i="32"/>
  <c r="Z88" i="32"/>
  <c r="Z89" i="32"/>
  <c r="Z91" i="32"/>
  <c r="Z92" i="32"/>
  <c r="Z93" i="32"/>
  <c r="Z94" i="32"/>
  <c r="Z95" i="32"/>
  <c r="Z96" i="32"/>
  <c r="Z97" i="32"/>
  <c r="Z98" i="32"/>
  <c r="Z99" i="32"/>
  <c r="Z100" i="32"/>
  <c r="Z101" i="32"/>
  <c r="Z102" i="32"/>
  <c r="Z103" i="32"/>
  <c r="Z104" i="32"/>
  <c r="Z105" i="32"/>
  <c r="Z106" i="32"/>
  <c r="Z107" i="32"/>
  <c r="Z108" i="32"/>
  <c r="Z109" i="32"/>
  <c r="Z110" i="32"/>
  <c r="Z111" i="32"/>
  <c r="Z112" i="32"/>
  <c r="Z113" i="32"/>
  <c r="Z114" i="32"/>
  <c r="Z115" i="32"/>
  <c r="Z116" i="32"/>
  <c r="Z117" i="32"/>
  <c r="Z118" i="32"/>
  <c r="Z119" i="32"/>
  <c r="Z120" i="32"/>
  <c r="Z121" i="32"/>
  <c r="Z122" i="32"/>
  <c r="Z123" i="32"/>
  <c r="Z124" i="32"/>
  <c r="Z125" i="32"/>
  <c r="Z126" i="32"/>
  <c r="Z127" i="32"/>
  <c r="Z128" i="32"/>
  <c r="Z129" i="32"/>
  <c r="Z130" i="32"/>
  <c r="Z131" i="32"/>
  <c r="Z132" i="32"/>
  <c r="Z133" i="32"/>
  <c r="Z134" i="32"/>
  <c r="Z135" i="32"/>
  <c r="Z136" i="32"/>
  <c r="Z137" i="32"/>
  <c r="Z138" i="32"/>
  <c r="Z139" i="32"/>
  <c r="Z140" i="32"/>
  <c r="Z141" i="32"/>
  <c r="Z142" i="32"/>
  <c r="Z143" i="32"/>
  <c r="Z144" i="32"/>
  <c r="Z25" i="32"/>
  <c r="E90" i="21"/>
  <c r="J90" i="21"/>
  <c r="H90" i="21"/>
  <c r="M91" i="2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25" i="32"/>
  <c r="H20" i="42"/>
  <c r="AB246" i="34"/>
  <c r="AB243" i="34"/>
  <c r="AB237" i="34"/>
  <c r="AB228" i="34"/>
  <c r="C68" i="34"/>
  <c r="E181" i="34"/>
  <c r="AD181" i="34"/>
  <c r="E178" i="34"/>
  <c r="E175" i="34"/>
  <c r="E172" i="34"/>
  <c r="E169" i="34"/>
  <c r="C166" i="39"/>
  <c r="C156" i="39"/>
  <c r="C146" i="39"/>
  <c r="C126" i="39"/>
  <c r="C116" i="39"/>
  <c r="C106" i="39"/>
  <c r="C86" i="39"/>
  <c r="C76" i="39"/>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7" i="48"/>
  <c r="J148" i="48"/>
  <c r="J149" i="48"/>
  <c r="J150" i="48"/>
  <c r="J151" i="48"/>
  <c r="J152" i="48"/>
  <c r="J153" i="48"/>
  <c r="J154" i="48"/>
  <c r="J155" i="48"/>
  <c r="J156" i="48"/>
  <c r="J157" i="48"/>
  <c r="J158" i="48"/>
  <c r="J159" i="48"/>
  <c r="J160" i="48"/>
  <c r="J161" i="48"/>
  <c r="J162" i="48"/>
  <c r="J163" i="48"/>
  <c r="J164" i="48"/>
  <c r="J165" i="48"/>
  <c r="J166" i="48"/>
  <c r="J167" i="48"/>
  <c r="J168" i="48"/>
  <c r="J13" i="48"/>
  <c r="E75" i="25"/>
  <c r="D75" i="25"/>
  <c r="W176" i="25"/>
  <c r="H68" i="42"/>
  <c r="V69" i="42"/>
  <c r="V70" i="42"/>
  <c r="V71" i="42"/>
  <c r="V72" i="42"/>
  <c r="V73" i="42"/>
  <c r="V74" i="42"/>
  <c r="V75" i="42"/>
  <c r="V76" i="42"/>
  <c r="V77" i="42"/>
  <c r="V78" i="42"/>
  <c r="V79" i="42"/>
  <c r="V80" i="42"/>
  <c r="V81" i="42"/>
  <c r="V82" i="42"/>
  <c r="V83" i="42"/>
  <c r="V84" i="42"/>
  <c r="V85" i="42"/>
  <c r="V86" i="42"/>
  <c r="V87" i="42"/>
  <c r="V88" i="42"/>
  <c r="V89" i="42"/>
  <c r="V90" i="42"/>
  <c r="V91" i="42"/>
  <c r="V92" i="42"/>
  <c r="V93" i="42"/>
  <c r="V94" i="42"/>
  <c r="V95" i="42"/>
  <c r="V96" i="42"/>
  <c r="V97" i="42"/>
  <c r="V98" i="42"/>
  <c r="V99" i="42"/>
  <c r="V100" i="42"/>
  <c r="V101" i="42"/>
  <c r="F112" i="42"/>
  <c r="H113" i="42"/>
  <c r="S10" i="2"/>
  <c r="U10" i="2"/>
  <c r="S68" i="2"/>
  <c r="U68" i="2"/>
  <c r="S69" i="2"/>
  <c r="U69" i="2"/>
  <c r="S70" i="2"/>
  <c r="U70" i="2"/>
  <c r="S71" i="2"/>
  <c r="U71" i="2"/>
  <c r="S72" i="2"/>
  <c r="U72" i="2"/>
  <c r="S73" i="2"/>
  <c r="U73" i="2"/>
  <c r="S74" i="2"/>
  <c r="U74" i="2"/>
  <c r="S75" i="2"/>
  <c r="U75" i="2"/>
  <c r="S76" i="2"/>
  <c r="U76" i="2"/>
  <c r="S77" i="2"/>
  <c r="U77" i="2"/>
  <c r="S78" i="2"/>
  <c r="U78" i="2"/>
  <c r="S79" i="2"/>
  <c r="U79" i="2"/>
  <c r="S80" i="2"/>
  <c r="U80" i="2"/>
  <c r="S81" i="2"/>
  <c r="U81" i="2"/>
  <c r="S82" i="2"/>
  <c r="U82" i="2"/>
  <c r="S83" i="2"/>
  <c r="U83" i="2"/>
  <c r="S84" i="2"/>
  <c r="U84" i="2"/>
  <c r="S85" i="2"/>
  <c r="U85" i="2"/>
  <c r="S86" i="2"/>
  <c r="U86" i="2"/>
  <c r="S87" i="2"/>
  <c r="U87" i="2"/>
  <c r="S88" i="2"/>
  <c r="U88" i="2"/>
  <c r="S89" i="2"/>
  <c r="U89" i="2"/>
  <c r="S90" i="2"/>
  <c r="U90" i="2"/>
  <c r="S91" i="2"/>
  <c r="U91" i="2"/>
  <c r="S92" i="2"/>
  <c r="U92" i="2"/>
  <c r="S93" i="2"/>
  <c r="U93" i="2"/>
  <c r="S94" i="2"/>
  <c r="U94" i="2"/>
  <c r="S95" i="2"/>
  <c r="U95" i="2"/>
  <c r="S96" i="2"/>
  <c r="U96" i="2"/>
  <c r="S97" i="2"/>
  <c r="U97" i="2"/>
  <c r="S98" i="2"/>
  <c r="U98" i="2"/>
  <c r="S99" i="2"/>
  <c r="U99" i="2"/>
  <c r="S100" i="2"/>
  <c r="U100" i="2"/>
  <c r="S101" i="2"/>
  <c r="U101" i="2"/>
  <c r="S113" i="2"/>
  <c r="U113" i="2"/>
  <c r="S114" i="2"/>
  <c r="U114" i="2"/>
  <c r="S115" i="2"/>
  <c r="U115" i="2"/>
  <c r="S116" i="2"/>
  <c r="U116" i="2"/>
  <c r="S117" i="2"/>
  <c r="U117" i="2"/>
  <c r="S118" i="2"/>
  <c r="U118" i="2"/>
  <c r="S119" i="2"/>
  <c r="U119" i="2"/>
  <c r="S120" i="2"/>
  <c r="U120" i="2"/>
  <c r="S121" i="2"/>
  <c r="U121"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13" i="2"/>
  <c r="N114" i="2"/>
  <c r="N115" i="2"/>
  <c r="N116" i="2"/>
  <c r="N117" i="2"/>
  <c r="N118" i="2"/>
  <c r="N119" i="2"/>
  <c r="N120" i="2"/>
  <c r="N121" i="2"/>
  <c r="C113" i="42"/>
  <c r="F114" i="42"/>
  <c r="G115" i="42"/>
  <c r="F115" i="42"/>
  <c r="G116" i="42"/>
  <c r="F116" i="42"/>
  <c r="G117" i="42"/>
  <c r="F117" i="42"/>
  <c r="G118" i="42"/>
  <c r="F118" i="42"/>
  <c r="G119" i="42"/>
  <c r="F119" i="42"/>
  <c r="G120" i="42"/>
  <c r="F120" i="42"/>
  <c r="G121" i="42"/>
  <c r="F121" i="42"/>
  <c r="G122" i="42"/>
  <c r="F122" i="42"/>
  <c r="G123" i="42"/>
  <c r="F123" i="42"/>
  <c r="G124" i="42"/>
  <c r="CQ166" i="29"/>
  <c r="B165" i="48"/>
  <c r="D165" i="48"/>
  <c r="E165" i="48"/>
  <c r="O165" i="48"/>
  <c r="B166" i="48"/>
  <c r="D166" i="48"/>
  <c r="E166" i="48"/>
  <c r="O166" i="48"/>
  <c r="B167" i="48"/>
  <c r="D167" i="48"/>
  <c r="E167" i="48"/>
  <c r="O167" i="48"/>
  <c r="B168" i="48"/>
  <c r="D168" i="48"/>
  <c r="E168" i="48"/>
  <c r="O168" i="48"/>
  <c r="D163" i="48"/>
  <c r="D164" i="48"/>
  <c r="CR171" i="29"/>
  <c r="C37" i="33"/>
  <c r="CU24" i="29"/>
  <c r="CQ24" i="29"/>
  <c r="CS24" i="29"/>
  <c r="CU25" i="29"/>
  <c r="CQ25" i="29"/>
  <c r="CS25" i="29"/>
  <c r="CU26" i="29"/>
  <c r="CQ26" i="29"/>
  <c r="CS26" i="29"/>
  <c r="CU27" i="29"/>
  <c r="CQ27" i="29"/>
  <c r="CS27" i="29"/>
  <c r="CU28" i="29"/>
  <c r="CQ28" i="29"/>
  <c r="CS28" i="29"/>
  <c r="CU29" i="29"/>
  <c r="CQ29" i="29"/>
  <c r="CS29" i="29"/>
  <c r="CU30" i="29"/>
  <c r="CQ30" i="29"/>
  <c r="CS30" i="29"/>
  <c r="CU31" i="29"/>
  <c r="CQ31" i="29"/>
  <c r="CS31" i="29"/>
  <c r="CU32" i="29"/>
  <c r="CQ32" i="29"/>
  <c r="CS32" i="29"/>
  <c r="CU14" i="29"/>
  <c r="CQ14" i="29"/>
  <c r="CS14" i="29"/>
  <c r="CU15" i="29"/>
  <c r="CQ15" i="29"/>
  <c r="CS15" i="29"/>
  <c r="CU16" i="29"/>
  <c r="CQ16" i="29"/>
  <c r="CS16" i="29"/>
  <c r="CU17" i="29"/>
  <c r="CQ17" i="29"/>
  <c r="CS17" i="29"/>
  <c r="CU18" i="29"/>
  <c r="CQ18" i="29"/>
  <c r="CS18" i="29"/>
  <c r="CU19" i="29"/>
  <c r="CQ19" i="29"/>
  <c r="CS19" i="29"/>
  <c r="CU20" i="29"/>
  <c r="CQ20" i="29"/>
  <c r="CS20" i="29"/>
  <c r="CU21" i="29"/>
  <c r="CQ21" i="29"/>
  <c r="CS21" i="29"/>
  <c r="CU22" i="29"/>
  <c r="CQ22" i="29"/>
  <c r="CS22" i="29"/>
  <c r="CU23" i="29"/>
  <c r="CQ23" i="29"/>
  <c r="CS23" i="29"/>
  <c r="CU34" i="29"/>
  <c r="CQ34" i="29"/>
  <c r="CS34" i="29"/>
  <c r="CU35" i="29"/>
  <c r="CQ35" i="29"/>
  <c r="CS35" i="29"/>
  <c r="CU36" i="29"/>
  <c r="CQ36" i="29"/>
  <c r="CS36" i="29"/>
  <c r="CU37" i="29"/>
  <c r="CQ37" i="29"/>
  <c r="CS37" i="29"/>
  <c r="CU38" i="29"/>
  <c r="CQ38" i="29"/>
  <c r="CS38" i="29"/>
  <c r="CU39" i="29"/>
  <c r="CQ39" i="29"/>
  <c r="CS39" i="29"/>
  <c r="CU40" i="29"/>
  <c r="CQ40" i="29"/>
  <c r="CS40" i="29"/>
  <c r="CU41" i="29"/>
  <c r="CQ41" i="29"/>
  <c r="CS41" i="29"/>
  <c r="CU42" i="29"/>
  <c r="CQ42" i="29"/>
  <c r="CS42" i="29"/>
  <c r="G58" i="48"/>
  <c r="H58" i="48"/>
  <c r="I58" i="48"/>
  <c r="F58" i="48"/>
  <c r="D58" i="48"/>
  <c r="CU58" i="29"/>
  <c r="CQ58" i="29"/>
  <c r="CS58" i="29"/>
  <c r="E58" i="48"/>
  <c r="B58" i="48"/>
  <c r="N58" i="48"/>
  <c r="O58" i="48"/>
  <c r="P58" i="48"/>
  <c r="CU44" i="29"/>
  <c r="CQ44" i="29"/>
  <c r="CS44" i="29"/>
  <c r="CU45" i="29"/>
  <c r="CQ45" i="29"/>
  <c r="CS45" i="29"/>
  <c r="CU46" i="29"/>
  <c r="CQ46" i="29"/>
  <c r="CS46" i="29"/>
  <c r="CU47" i="29"/>
  <c r="CQ47" i="29"/>
  <c r="CS47" i="29"/>
  <c r="G48" i="48"/>
  <c r="H48" i="48"/>
  <c r="I48" i="48"/>
  <c r="F48" i="48"/>
  <c r="D48" i="48"/>
  <c r="CU48" i="29"/>
  <c r="CQ48" i="29"/>
  <c r="CS48" i="29"/>
  <c r="E48" i="48"/>
  <c r="B48" i="48"/>
  <c r="N48" i="48"/>
  <c r="O48" i="48"/>
  <c r="P48" i="48"/>
  <c r="G49" i="48"/>
  <c r="H49" i="48"/>
  <c r="I49" i="48"/>
  <c r="F49" i="48"/>
  <c r="D49" i="48"/>
  <c r="CU49" i="29"/>
  <c r="CQ49" i="29"/>
  <c r="CS49" i="29"/>
  <c r="E49" i="48"/>
  <c r="B49" i="48"/>
  <c r="N49" i="48"/>
  <c r="O49" i="48"/>
  <c r="P49" i="48"/>
  <c r="G50" i="48"/>
  <c r="H50" i="48"/>
  <c r="I50" i="48"/>
  <c r="F50" i="48"/>
  <c r="D50" i="48"/>
  <c r="CU50" i="29"/>
  <c r="CQ50" i="29"/>
  <c r="CS50" i="29"/>
  <c r="E50" i="48"/>
  <c r="B50" i="48"/>
  <c r="N50" i="48"/>
  <c r="O50" i="48"/>
  <c r="P50" i="48"/>
  <c r="G51" i="48"/>
  <c r="H51" i="48"/>
  <c r="I51" i="48"/>
  <c r="F51" i="48"/>
  <c r="D51" i="48"/>
  <c r="CU51" i="29"/>
  <c r="CQ51" i="29"/>
  <c r="CS51" i="29"/>
  <c r="E51" i="48"/>
  <c r="B51" i="48"/>
  <c r="N51" i="48"/>
  <c r="O51" i="48"/>
  <c r="P51" i="48"/>
  <c r="G52" i="48"/>
  <c r="H52" i="48"/>
  <c r="I52" i="48"/>
  <c r="F52" i="48"/>
  <c r="D52" i="48"/>
  <c r="CU52" i="29"/>
  <c r="CQ52" i="29"/>
  <c r="CS52" i="29"/>
  <c r="E52" i="48"/>
  <c r="B52" i="48"/>
  <c r="N52" i="48"/>
  <c r="O52" i="48"/>
  <c r="P52" i="48"/>
  <c r="G53" i="48"/>
  <c r="H53" i="48"/>
  <c r="I53" i="48"/>
  <c r="F53" i="48"/>
  <c r="D53" i="48"/>
  <c r="CU53" i="29"/>
  <c r="CQ53" i="29"/>
  <c r="CS53" i="29"/>
  <c r="E53" i="48"/>
  <c r="B53" i="48"/>
  <c r="N53" i="48"/>
  <c r="O53" i="48"/>
  <c r="P53" i="48"/>
  <c r="G54" i="48"/>
  <c r="H54" i="48"/>
  <c r="I54" i="48"/>
  <c r="F54" i="48"/>
  <c r="D54" i="48"/>
  <c r="CU54" i="29"/>
  <c r="CQ54" i="29"/>
  <c r="CS54" i="29"/>
  <c r="E54" i="48"/>
  <c r="B54" i="48"/>
  <c r="N54" i="48"/>
  <c r="O54" i="48"/>
  <c r="P54" i="48"/>
  <c r="G55" i="48"/>
  <c r="H55" i="48"/>
  <c r="I55" i="48"/>
  <c r="F55" i="48"/>
  <c r="D55" i="48"/>
  <c r="CU55" i="29"/>
  <c r="CQ55" i="29"/>
  <c r="CS55" i="29"/>
  <c r="E55" i="48"/>
  <c r="B55" i="48"/>
  <c r="N55" i="48"/>
  <c r="O55" i="48"/>
  <c r="P55" i="48"/>
  <c r="G56" i="48"/>
  <c r="H56" i="48"/>
  <c r="I56" i="48"/>
  <c r="F56" i="48"/>
  <c r="D56" i="48"/>
  <c r="CU56" i="29"/>
  <c r="CQ56" i="29"/>
  <c r="CS56" i="29"/>
  <c r="E56" i="48"/>
  <c r="B56" i="48"/>
  <c r="N56" i="48"/>
  <c r="O56" i="48"/>
  <c r="P56" i="48"/>
  <c r="G57" i="48"/>
  <c r="H57" i="48"/>
  <c r="I57" i="48"/>
  <c r="F57" i="48"/>
  <c r="D57" i="48"/>
  <c r="CU57" i="29"/>
  <c r="CQ57" i="29"/>
  <c r="CS57" i="29"/>
  <c r="E57" i="48"/>
  <c r="B57" i="48"/>
  <c r="N57" i="48"/>
  <c r="O57" i="48"/>
  <c r="P57" i="48"/>
  <c r="G60" i="48"/>
  <c r="H60" i="48"/>
  <c r="I60" i="48"/>
  <c r="F60" i="48"/>
  <c r="D60" i="48"/>
  <c r="CU60" i="29"/>
  <c r="CQ60" i="29"/>
  <c r="CS60" i="29"/>
  <c r="E60" i="48"/>
  <c r="B60" i="48"/>
  <c r="N60" i="48"/>
  <c r="O60" i="48"/>
  <c r="P60" i="48"/>
  <c r="G61" i="48"/>
  <c r="H61" i="48"/>
  <c r="I61" i="48"/>
  <c r="F61" i="48"/>
  <c r="D61" i="48"/>
  <c r="CU61" i="29"/>
  <c r="CQ61" i="29"/>
  <c r="CS61" i="29"/>
  <c r="E61" i="48"/>
  <c r="B61" i="48"/>
  <c r="N61" i="48"/>
  <c r="O61" i="48"/>
  <c r="P61" i="48"/>
  <c r="G62" i="48"/>
  <c r="H62" i="48"/>
  <c r="I62" i="48"/>
  <c r="F62" i="48"/>
  <c r="D62" i="48"/>
  <c r="CU62" i="29"/>
  <c r="CQ62" i="29"/>
  <c r="CS62" i="29"/>
  <c r="E62" i="48"/>
  <c r="B62" i="48"/>
  <c r="N62" i="48"/>
  <c r="O62" i="48"/>
  <c r="P62" i="48"/>
  <c r="G63" i="48"/>
  <c r="H63" i="48"/>
  <c r="I63" i="48"/>
  <c r="F63" i="48"/>
  <c r="D63" i="48"/>
  <c r="CU63" i="29"/>
  <c r="CQ63" i="29"/>
  <c r="CS63" i="29"/>
  <c r="E63" i="48"/>
  <c r="B63" i="48"/>
  <c r="N63" i="48"/>
  <c r="O63" i="48"/>
  <c r="P63" i="48"/>
  <c r="G64" i="48"/>
  <c r="H64" i="48"/>
  <c r="I64" i="48"/>
  <c r="F64" i="48"/>
  <c r="D64" i="48"/>
  <c r="CU64" i="29"/>
  <c r="CQ64" i="29"/>
  <c r="CS64" i="29"/>
  <c r="E64" i="48"/>
  <c r="B64" i="48"/>
  <c r="N64" i="48"/>
  <c r="O64" i="48"/>
  <c r="P64" i="48"/>
  <c r="G65" i="48"/>
  <c r="H65" i="48"/>
  <c r="I65" i="48"/>
  <c r="F65" i="48"/>
  <c r="D65" i="48"/>
  <c r="CU65" i="29"/>
  <c r="CQ65" i="29"/>
  <c r="CS65" i="29"/>
  <c r="E65" i="48"/>
  <c r="B65" i="48"/>
  <c r="N65" i="48"/>
  <c r="O65" i="48"/>
  <c r="P65" i="48"/>
  <c r="G66" i="48"/>
  <c r="H66" i="48"/>
  <c r="I66" i="48"/>
  <c r="F66" i="48"/>
  <c r="D66" i="48"/>
  <c r="CU66" i="29"/>
  <c r="CQ66" i="29"/>
  <c r="CS66" i="29"/>
  <c r="E66" i="48"/>
  <c r="B66" i="48"/>
  <c r="N66" i="48"/>
  <c r="O66" i="48"/>
  <c r="P66" i="48"/>
  <c r="G67" i="48"/>
  <c r="H67" i="48"/>
  <c r="I67" i="48"/>
  <c r="F67" i="48"/>
  <c r="D67" i="48"/>
  <c r="CU67" i="29"/>
  <c r="CQ67" i="29"/>
  <c r="CS67" i="29"/>
  <c r="E67" i="48"/>
  <c r="B67" i="48"/>
  <c r="N67" i="48"/>
  <c r="O67" i="48"/>
  <c r="P67" i="48"/>
  <c r="G68" i="48"/>
  <c r="H68" i="48"/>
  <c r="I68" i="48"/>
  <c r="F68" i="48"/>
  <c r="D68" i="48"/>
  <c r="CU68" i="29"/>
  <c r="CQ68" i="29"/>
  <c r="CS68" i="29"/>
  <c r="E68" i="48"/>
  <c r="B68" i="48"/>
  <c r="N68" i="48"/>
  <c r="O68" i="48"/>
  <c r="P68" i="48"/>
  <c r="G69" i="48"/>
  <c r="H69" i="48"/>
  <c r="I69" i="48"/>
  <c r="F69" i="48"/>
  <c r="D69" i="48"/>
  <c r="CU69" i="29"/>
  <c r="CQ69" i="29"/>
  <c r="CS69" i="29"/>
  <c r="E69" i="48"/>
  <c r="B69" i="48"/>
  <c r="N69" i="48"/>
  <c r="O69" i="48"/>
  <c r="P69" i="48"/>
  <c r="G70" i="48"/>
  <c r="H70" i="48"/>
  <c r="I70" i="48"/>
  <c r="F70" i="48"/>
  <c r="D70" i="48"/>
  <c r="CU70" i="29"/>
  <c r="CQ70" i="29"/>
  <c r="CS70" i="29"/>
  <c r="E70" i="48"/>
  <c r="B70" i="48"/>
  <c r="N70" i="48"/>
  <c r="O70" i="48"/>
  <c r="P70" i="48"/>
  <c r="CQ137" i="29"/>
  <c r="CU137" i="29"/>
  <c r="CX137" i="29"/>
  <c r="CQ138" i="29"/>
  <c r="CU138" i="29"/>
  <c r="CX138" i="29"/>
  <c r="CQ139" i="29"/>
  <c r="CU139" i="29"/>
  <c r="CX139" i="29"/>
  <c r="CQ140" i="29"/>
  <c r="CU140" i="29"/>
  <c r="CX140" i="29"/>
  <c r="CQ141" i="29"/>
  <c r="CU141" i="29"/>
  <c r="CX141" i="29"/>
  <c r="CQ142" i="29"/>
  <c r="CU142" i="29"/>
  <c r="CX142" i="29"/>
  <c r="CQ143" i="29"/>
  <c r="CU143" i="29"/>
  <c r="CX143" i="29"/>
  <c r="CQ144" i="29"/>
  <c r="CU144" i="29"/>
  <c r="CX144" i="29"/>
  <c r="CQ145" i="29"/>
  <c r="CU145" i="29"/>
  <c r="CX145" i="29"/>
  <c r="CQ146" i="29"/>
  <c r="CU146" i="29"/>
  <c r="CX146" i="29"/>
  <c r="CQ147" i="29"/>
  <c r="CU147" i="29"/>
  <c r="CX147" i="29"/>
  <c r="CS148" i="29"/>
  <c r="CQ148" i="29"/>
  <c r="CU148" i="29"/>
  <c r="CV148" i="29"/>
  <c r="CW148" i="29"/>
  <c r="CX148" i="29"/>
  <c r="CQ149" i="29"/>
  <c r="CU149" i="29"/>
  <c r="CX149" i="29"/>
  <c r="CQ150" i="29"/>
  <c r="CU150" i="29"/>
  <c r="CX150" i="29"/>
  <c r="CQ151" i="29"/>
  <c r="CU151" i="29"/>
  <c r="CX151" i="29"/>
  <c r="CQ152" i="29"/>
  <c r="CU152" i="29"/>
  <c r="CX152" i="29"/>
  <c r="CQ153" i="29"/>
  <c r="CU153" i="29"/>
  <c r="CX153" i="29"/>
  <c r="CQ154" i="29"/>
  <c r="CU154" i="29"/>
  <c r="CX154" i="29"/>
  <c r="CQ155" i="29"/>
  <c r="CU155" i="29"/>
  <c r="CX155" i="29"/>
  <c r="CQ156" i="29"/>
  <c r="CU156" i="29"/>
  <c r="CX156" i="29"/>
  <c r="CQ157" i="29"/>
  <c r="CU157" i="29"/>
  <c r="CX157" i="29"/>
  <c r="CQ158" i="29"/>
  <c r="CU158" i="29"/>
  <c r="CX158" i="29"/>
  <c r="CQ159" i="29"/>
  <c r="CU159" i="29"/>
  <c r="CX159" i="29"/>
  <c r="CQ160" i="29"/>
  <c r="CU160" i="29"/>
  <c r="CX160" i="29"/>
  <c r="CQ161" i="29"/>
  <c r="CU161" i="29"/>
  <c r="CX161" i="29"/>
  <c r="CQ162" i="29"/>
  <c r="CU162" i="29"/>
  <c r="CX162" i="29"/>
  <c r="CQ163" i="29"/>
  <c r="CU163" i="29"/>
  <c r="CX163" i="29"/>
  <c r="CQ164" i="29"/>
  <c r="CU164" i="29"/>
  <c r="CX164" i="29"/>
  <c r="CQ165" i="29"/>
  <c r="CU165" i="29"/>
  <c r="CX165" i="29"/>
  <c r="CU166" i="29"/>
  <c r="CX166" i="29"/>
  <c r="CQ136" i="29"/>
  <c r="CU136" i="29"/>
  <c r="CX136" i="29"/>
  <c r="CU167" i="29"/>
  <c r="CU168" i="29"/>
  <c r="CU169" i="29"/>
  <c r="CU170" i="29"/>
  <c r="CU171" i="29"/>
  <c r="G164" i="48"/>
  <c r="H164" i="48"/>
  <c r="I164" i="48"/>
  <c r="E164" i="48"/>
  <c r="I161" i="48"/>
  <c r="I162" i="48"/>
  <c r="I163" i="48"/>
  <c r="G160" i="48"/>
  <c r="H160" i="48"/>
  <c r="G161" i="48"/>
  <c r="H161" i="48"/>
  <c r="G162" i="48"/>
  <c r="H162" i="48"/>
  <c r="G163" i="48"/>
  <c r="H163" i="48"/>
  <c r="B161" i="48"/>
  <c r="F161" i="48"/>
  <c r="B162" i="48"/>
  <c r="F162" i="48"/>
  <c r="B163" i="48"/>
  <c r="F163" i="48"/>
  <c r="B164" i="48"/>
  <c r="F164" i="48"/>
  <c r="F165" i="48"/>
  <c r="F166" i="48"/>
  <c r="F167" i="48"/>
  <c r="F168" i="48"/>
  <c r="B160" i="48"/>
  <c r="F160" i="48"/>
  <c r="I130" i="48"/>
  <c r="I131" i="48"/>
  <c r="I132" i="48"/>
  <c r="I133" i="48"/>
  <c r="I134" i="48"/>
  <c r="I135" i="48"/>
  <c r="I136" i="48"/>
  <c r="I137" i="48"/>
  <c r="I138" i="48"/>
  <c r="I139" i="48"/>
  <c r="I140" i="48"/>
  <c r="I141" i="48"/>
  <c r="I142" i="48"/>
  <c r="I143" i="48"/>
  <c r="I146" i="48"/>
  <c r="I147" i="48"/>
  <c r="I148" i="48"/>
  <c r="I149" i="48"/>
  <c r="I150" i="48"/>
  <c r="I151" i="48"/>
  <c r="I152" i="48"/>
  <c r="I153" i="48"/>
  <c r="I154" i="48"/>
  <c r="I155" i="48"/>
  <c r="I156" i="48"/>
  <c r="I157" i="48"/>
  <c r="I158" i="48"/>
  <c r="I159" i="48"/>
  <c r="I160" i="48"/>
  <c r="I129" i="48"/>
  <c r="H134" i="48"/>
  <c r="H135" i="48"/>
  <c r="H136" i="48"/>
  <c r="H137" i="48"/>
  <c r="H138" i="48"/>
  <c r="H139" i="48"/>
  <c r="H140" i="48"/>
  <c r="H141" i="48"/>
  <c r="H142" i="48"/>
  <c r="H143" i="48"/>
  <c r="H146" i="48"/>
  <c r="H147" i="48"/>
  <c r="H148" i="48"/>
  <c r="H149" i="48"/>
  <c r="H150" i="48"/>
  <c r="H151" i="48"/>
  <c r="H152" i="48"/>
  <c r="H153" i="48"/>
  <c r="H154" i="48"/>
  <c r="H155" i="48"/>
  <c r="H156" i="48"/>
  <c r="H157" i="48"/>
  <c r="H158" i="48"/>
  <c r="H159" i="48"/>
  <c r="G134" i="48"/>
  <c r="G133" i="48"/>
  <c r="H133" i="48"/>
  <c r="F133" i="48"/>
  <c r="F134" i="48"/>
  <c r="G135" i="48"/>
  <c r="F135" i="48"/>
  <c r="G136" i="48"/>
  <c r="F136" i="48"/>
  <c r="G137" i="48"/>
  <c r="F137" i="48"/>
  <c r="G138" i="48"/>
  <c r="F138" i="48"/>
  <c r="G139" i="48"/>
  <c r="F139" i="48"/>
  <c r="G140" i="48"/>
  <c r="F140" i="48"/>
  <c r="G141" i="48"/>
  <c r="F141" i="48"/>
  <c r="D130" i="48"/>
  <c r="CU131" i="29"/>
  <c r="CQ131" i="29"/>
  <c r="CS131" i="29"/>
  <c r="CU132" i="29"/>
  <c r="CQ132" i="29"/>
  <c r="CS132" i="29"/>
  <c r="E130" i="48"/>
  <c r="D131" i="48"/>
  <c r="CU133" i="29"/>
  <c r="CQ133" i="29"/>
  <c r="CS133" i="29"/>
  <c r="E131" i="48"/>
  <c r="D132" i="48"/>
  <c r="CU134" i="29"/>
  <c r="CQ134" i="29"/>
  <c r="CS134" i="29"/>
  <c r="E132" i="48"/>
  <c r="D133" i="48"/>
  <c r="CU135" i="29"/>
  <c r="CQ135" i="29"/>
  <c r="CS135" i="29"/>
  <c r="E133" i="48"/>
  <c r="D134" i="48"/>
  <c r="E134" i="48"/>
  <c r="D135" i="48"/>
  <c r="E135" i="48"/>
  <c r="D136" i="48"/>
  <c r="E136" i="48"/>
  <c r="D137" i="48"/>
  <c r="E137" i="48"/>
  <c r="D138" i="48"/>
  <c r="E138" i="48"/>
  <c r="D139" i="48"/>
  <c r="E139" i="48"/>
  <c r="D140" i="48"/>
  <c r="E140" i="48"/>
  <c r="D141" i="48"/>
  <c r="E141" i="48"/>
  <c r="D142" i="48"/>
  <c r="E142" i="48"/>
  <c r="D143" i="48"/>
  <c r="E143" i="48"/>
  <c r="D146" i="48"/>
  <c r="E146" i="48"/>
  <c r="D147" i="48"/>
  <c r="E147" i="48"/>
  <c r="D148" i="48"/>
  <c r="E148" i="48"/>
  <c r="D149" i="48"/>
  <c r="E149" i="48"/>
  <c r="D150" i="48"/>
  <c r="E150" i="48"/>
  <c r="D151" i="48"/>
  <c r="E151" i="48"/>
  <c r="D152" i="48"/>
  <c r="E152" i="48"/>
  <c r="D153" i="48"/>
  <c r="E153" i="48"/>
  <c r="D154" i="48"/>
  <c r="E154" i="48"/>
  <c r="D155" i="48"/>
  <c r="E155" i="48"/>
  <c r="D156" i="48"/>
  <c r="E156" i="48"/>
  <c r="D157" i="48"/>
  <c r="E157" i="48"/>
  <c r="D158" i="48"/>
  <c r="E158" i="48"/>
  <c r="D159" i="48"/>
  <c r="E159" i="48"/>
  <c r="D160" i="48"/>
  <c r="E160" i="48"/>
  <c r="D161" i="48"/>
  <c r="E161" i="48"/>
  <c r="D162" i="48"/>
  <c r="E162" i="48"/>
  <c r="E163" i="48"/>
  <c r="CU130" i="29"/>
  <c r="CQ130" i="29"/>
  <c r="CS130" i="29"/>
  <c r="E129" i="48"/>
  <c r="D129" i="48"/>
  <c r="B130" i="48"/>
  <c r="B131" i="48"/>
  <c r="B132" i="48"/>
  <c r="B133" i="48"/>
  <c r="B134" i="48"/>
  <c r="B135" i="48"/>
  <c r="B136" i="48"/>
  <c r="B137" i="48"/>
  <c r="B138" i="48"/>
  <c r="B139" i="48"/>
  <c r="B140" i="48"/>
  <c r="B141" i="48"/>
  <c r="B142" i="48"/>
  <c r="B143" i="48"/>
  <c r="B146" i="48"/>
  <c r="B147" i="48"/>
  <c r="B148" i="48"/>
  <c r="B149" i="48"/>
  <c r="B150" i="48"/>
  <c r="B151" i="48"/>
  <c r="B152" i="48"/>
  <c r="B153" i="48"/>
  <c r="B154" i="48"/>
  <c r="B155" i="48"/>
  <c r="B156" i="48"/>
  <c r="B157" i="48"/>
  <c r="B158" i="48"/>
  <c r="B159" i="48"/>
  <c r="B129" i="48"/>
  <c r="F129" i="48"/>
  <c r="N129" i="48"/>
  <c r="F130" i="48"/>
  <c r="N130" i="48"/>
  <c r="F131" i="48"/>
  <c r="N131" i="48"/>
  <c r="F132" i="48"/>
  <c r="N132" i="48"/>
  <c r="N133" i="48"/>
  <c r="N134" i="48"/>
  <c r="N135" i="48"/>
  <c r="N136" i="48"/>
  <c r="N137" i="48"/>
  <c r="N138" i="48"/>
  <c r="N139" i="48"/>
  <c r="N140" i="48"/>
  <c r="N141" i="48"/>
  <c r="G142" i="48"/>
  <c r="F142" i="48"/>
  <c r="N142" i="48"/>
  <c r="G143" i="48"/>
  <c r="F143" i="48"/>
  <c r="N143" i="48"/>
  <c r="G146" i="48"/>
  <c r="F146" i="48"/>
  <c r="N146" i="48"/>
  <c r="G147" i="48"/>
  <c r="F147" i="48"/>
  <c r="N147" i="48"/>
  <c r="G148" i="48"/>
  <c r="F148" i="48"/>
  <c r="N148" i="48"/>
  <c r="G149" i="48"/>
  <c r="F149" i="48"/>
  <c r="N149" i="48"/>
  <c r="G150" i="48"/>
  <c r="F150" i="48"/>
  <c r="N150" i="48"/>
  <c r="G151" i="48"/>
  <c r="F151" i="48"/>
  <c r="N151" i="48"/>
  <c r="G152" i="48"/>
  <c r="F152" i="48"/>
  <c r="N152" i="48"/>
  <c r="G153" i="48"/>
  <c r="F153" i="48"/>
  <c r="N153" i="48"/>
  <c r="G154" i="48"/>
  <c r="F154" i="48"/>
  <c r="N154" i="48"/>
  <c r="G155" i="48"/>
  <c r="F155" i="48"/>
  <c r="N155" i="48"/>
  <c r="G156" i="48"/>
  <c r="F156" i="48"/>
  <c r="N156" i="48"/>
  <c r="G157" i="48"/>
  <c r="F157" i="48"/>
  <c r="N157" i="48"/>
  <c r="G158" i="48"/>
  <c r="F158" i="48"/>
  <c r="N158" i="48"/>
  <c r="G159" i="48"/>
  <c r="F159" i="48"/>
  <c r="N159" i="48"/>
  <c r="N160" i="48"/>
  <c r="N161" i="48"/>
  <c r="N162" i="48"/>
  <c r="N163" i="48"/>
  <c r="N164" i="48"/>
  <c r="N165" i="48"/>
  <c r="N166" i="48"/>
  <c r="N167" i="48"/>
  <c r="N168" i="48"/>
  <c r="CU104" i="29"/>
  <c r="CQ104" i="29"/>
  <c r="CS104" i="29"/>
  <c r="E103" i="48"/>
  <c r="CU105" i="29"/>
  <c r="CQ105" i="29"/>
  <c r="CS105" i="29"/>
  <c r="E104" i="48"/>
  <c r="CU106" i="29"/>
  <c r="CQ106" i="29"/>
  <c r="CS106" i="29"/>
  <c r="CU107" i="29"/>
  <c r="CQ107" i="29"/>
  <c r="CS107" i="29"/>
  <c r="E106" i="48"/>
  <c r="CU108" i="29"/>
  <c r="CQ108" i="29"/>
  <c r="CS108" i="29"/>
  <c r="E107" i="48"/>
  <c r="CU109" i="29"/>
  <c r="CQ109" i="29"/>
  <c r="CS109" i="29"/>
  <c r="E108" i="48"/>
  <c r="CU110" i="29"/>
  <c r="CQ110" i="29"/>
  <c r="CS110" i="29"/>
  <c r="E109" i="48"/>
  <c r="CU111" i="29"/>
  <c r="CQ111" i="29"/>
  <c r="CS111" i="29"/>
  <c r="E110" i="48"/>
  <c r="CU112" i="29"/>
  <c r="CQ112" i="29"/>
  <c r="CS112" i="29"/>
  <c r="E111" i="48"/>
  <c r="CU113" i="29"/>
  <c r="CQ113" i="29"/>
  <c r="CS113" i="29"/>
  <c r="E112" i="48"/>
  <c r="CU114" i="29"/>
  <c r="CQ114" i="29"/>
  <c r="CS114" i="29"/>
  <c r="E113" i="48"/>
  <c r="CU115" i="29"/>
  <c r="CQ115" i="29"/>
  <c r="CS115" i="29"/>
  <c r="E114" i="48"/>
  <c r="CU116" i="29"/>
  <c r="CQ116" i="29"/>
  <c r="CS116" i="29"/>
  <c r="E115" i="48"/>
  <c r="CU117" i="29"/>
  <c r="CQ117" i="29"/>
  <c r="CS117" i="29"/>
  <c r="E116" i="48"/>
  <c r="CU118" i="29"/>
  <c r="CQ118" i="29"/>
  <c r="CS118" i="29"/>
  <c r="E117" i="48"/>
  <c r="CU119" i="29"/>
  <c r="CQ119" i="29"/>
  <c r="CS119" i="29"/>
  <c r="E118" i="48"/>
  <c r="CU120" i="29"/>
  <c r="CQ120" i="29"/>
  <c r="CS120" i="29"/>
  <c r="E119" i="48"/>
  <c r="CU121" i="29"/>
  <c r="CQ121" i="29"/>
  <c r="CS121" i="29"/>
  <c r="E120" i="48"/>
  <c r="CU122" i="29"/>
  <c r="CQ122" i="29"/>
  <c r="CS122" i="29"/>
  <c r="E121" i="48"/>
  <c r="CU123" i="29"/>
  <c r="CQ123" i="29"/>
  <c r="CS123" i="29"/>
  <c r="E122" i="48"/>
  <c r="CU124" i="29"/>
  <c r="CQ124" i="29"/>
  <c r="CS124" i="29"/>
  <c r="E123" i="48"/>
  <c r="CU125" i="29"/>
  <c r="CQ125" i="29"/>
  <c r="CS125" i="29"/>
  <c r="E124" i="48"/>
  <c r="CU126" i="29"/>
  <c r="CQ126" i="29"/>
  <c r="CS126" i="29"/>
  <c r="E125" i="48"/>
  <c r="CU127" i="29"/>
  <c r="CQ127" i="29"/>
  <c r="CS127" i="29"/>
  <c r="E126" i="48"/>
  <c r="CU128" i="29"/>
  <c r="CQ128" i="29"/>
  <c r="CS128" i="29"/>
  <c r="E127" i="48"/>
  <c r="CU129" i="29"/>
  <c r="CQ129" i="29"/>
  <c r="CS129" i="29"/>
  <c r="E128" i="48"/>
  <c r="CU99" i="29"/>
  <c r="CQ99" i="29"/>
  <c r="CS99" i="29"/>
  <c r="CU100" i="29"/>
  <c r="CQ100" i="29"/>
  <c r="CS100" i="29"/>
  <c r="CU101" i="29"/>
  <c r="CQ101" i="29"/>
  <c r="CS101" i="29"/>
  <c r="CU102" i="29"/>
  <c r="CQ102" i="29"/>
  <c r="CS102" i="29"/>
  <c r="CU103" i="29"/>
  <c r="CQ103" i="29"/>
  <c r="CS103" i="29"/>
  <c r="CU88" i="29"/>
  <c r="CQ88" i="29"/>
  <c r="CS88" i="29"/>
  <c r="CU89" i="29"/>
  <c r="CQ89" i="29"/>
  <c r="CS89" i="29"/>
  <c r="CU90" i="29"/>
  <c r="CQ90" i="29"/>
  <c r="CS90" i="29"/>
  <c r="CU91" i="29"/>
  <c r="CQ91" i="29"/>
  <c r="CS91" i="29"/>
  <c r="CU92" i="29"/>
  <c r="CQ92" i="29"/>
  <c r="CS92" i="29"/>
  <c r="CU93" i="29"/>
  <c r="CQ93" i="29"/>
  <c r="CS93" i="29"/>
  <c r="CU94" i="29"/>
  <c r="CQ94" i="29"/>
  <c r="CS94" i="29"/>
  <c r="CU95" i="29"/>
  <c r="CQ95" i="29"/>
  <c r="CS95" i="29"/>
  <c r="CU96" i="29"/>
  <c r="CQ96" i="29"/>
  <c r="CS96" i="29"/>
  <c r="CU97" i="29"/>
  <c r="CQ97" i="29"/>
  <c r="CS97" i="29"/>
  <c r="CU98" i="29"/>
  <c r="CQ98" i="29"/>
  <c r="CS98" i="29"/>
  <c r="CU81" i="29"/>
  <c r="CQ81" i="29"/>
  <c r="CS81" i="29"/>
  <c r="CU82" i="29"/>
  <c r="CQ82" i="29"/>
  <c r="CS82" i="29"/>
  <c r="CU83" i="29"/>
  <c r="CQ83" i="29"/>
  <c r="CS83" i="29"/>
  <c r="CU84" i="29"/>
  <c r="CQ84" i="29"/>
  <c r="CS84" i="29"/>
  <c r="CU85" i="29"/>
  <c r="CQ85" i="29"/>
  <c r="CS85" i="29"/>
  <c r="CU86" i="29"/>
  <c r="CQ86" i="29"/>
  <c r="CS86" i="29"/>
  <c r="CU87" i="29"/>
  <c r="CQ87" i="29"/>
  <c r="CS87" i="29"/>
  <c r="CU80" i="29"/>
  <c r="CQ80" i="29"/>
  <c r="CS80" i="29"/>
  <c r="E79" i="48"/>
  <c r="E80" i="48"/>
  <c r="E81" i="48"/>
  <c r="E82" i="48"/>
  <c r="E83" i="48"/>
  <c r="E84" i="48"/>
  <c r="E85" i="48"/>
  <c r="E86" i="48"/>
  <c r="E87" i="48"/>
  <c r="E88" i="48"/>
  <c r="E89" i="48"/>
  <c r="E90" i="48"/>
  <c r="E91" i="48"/>
  <c r="E92" i="48"/>
  <c r="E93" i="48"/>
  <c r="E94" i="48"/>
  <c r="E95" i="48"/>
  <c r="E96" i="48"/>
  <c r="E97" i="48"/>
  <c r="E98" i="48"/>
  <c r="E99" i="48"/>
  <c r="E100" i="48"/>
  <c r="E101" i="48"/>
  <c r="E102" i="48"/>
  <c r="CU79" i="29"/>
  <c r="CQ79" i="29"/>
  <c r="CS79" i="29"/>
  <c r="E78" i="48"/>
  <c r="CU72" i="29"/>
  <c r="CQ72" i="29"/>
  <c r="CS72" i="29"/>
  <c r="E72" i="48"/>
  <c r="CU73" i="29"/>
  <c r="CQ73" i="29"/>
  <c r="CS73" i="29"/>
  <c r="E73" i="48"/>
  <c r="CU74" i="29"/>
  <c r="CQ74" i="29"/>
  <c r="CS74" i="29"/>
  <c r="E74" i="48"/>
  <c r="CU75" i="29"/>
  <c r="CQ75" i="29"/>
  <c r="CS75" i="29"/>
  <c r="E75" i="48"/>
  <c r="CU76" i="29"/>
  <c r="CQ76" i="29"/>
  <c r="CS76" i="29"/>
  <c r="E76" i="48"/>
  <c r="CU77" i="29"/>
  <c r="CQ77" i="29"/>
  <c r="CS77" i="29"/>
  <c r="E77" i="48"/>
  <c r="CU71" i="29"/>
  <c r="CQ71" i="29"/>
  <c r="CS71" i="29"/>
  <c r="E71" i="48"/>
  <c r="D10" i="48"/>
  <c r="E10" i="48"/>
  <c r="B10" i="48"/>
  <c r="O10" i="48"/>
  <c r="D11" i="48"/>
  <c r="E11" i="48"/>
  <c r="B11" i="48"/>
  <c r="O11" i="48"/>
  <c r="D12" i="48"/>
  <c r="E12" i="48"/>
  <c r="B12" i="48"/>
  <c r="O12" i="48"/>
  <c r="D13" i="48"/>
  <c r="CU13" i="29"/>
  <c r="CQ13" i="29"/>
  <c r="CS13" i="29"/>
  <c r="E13" i="48"/>
  <c r="B13" i="48"/>
  <c r="O13" i="48"/>
  <c r="CU33" i="29"/>
  <c r="CQ33" i="29"/>
  <c r="CS33" i="29"/>
  <c r="CU43" i="29"/>
  <c r="CQ43" i="29"/>
  <c r="CS43" i="29"/>
  <c r="D59" i="48"/>
  <c r="CU59" i="29"/>
  <c r="CQ59" i="29"/>
  <c r="CS59" i="29"/>
  <c r="E59" i="48"/>
  <c r="B59" i="48"/>
  <c r="O59" i="48"/>
  <c r="B71" i="48"/>
  <c r="D71" i="48"/>
  <c r="O71" i="48"/>
  <c r="B72" i="48"/>
  <c r="D72" i="48"/>
  <c r="O72" i="48"/>
  <c r="B73" i="48"/>
  <c r="D73" i="48"/>
  <c r="O73" i="48"/>
  <c r="B74" i="48"/>
  <c r="D74" i="48"/>
  <c r="O74" i="48"/>
  <c r="B75" i="48"/>
  <c r="D75" i="48"/>
  <c r="O75" i="48"/>
  <c r="B76" i="48"/>
  <c r="D76" i="48"/>
  <c r="O76" i="48"/>
  <c r="B77" i="48"/>
  <c r="D77" i="48"/>
  <c r="O77" i="48"/>
  <c r="B78" i="48"/>
  <c r="D78" i="48"/>
  <c r="O78" i="48"/>
  <c r="B79" i="48"/>
  <c r="D79" i="48"/>
  <c r="O79" i="48"/>
  <c r="B80" i="48"/>
  <c r="D80" i="48"/>
  <c r="O80" i="48"/>
  <c r="B81" i="48"/>
  <c r="D81" i="48"/>
  <c r="O81" i="48"/>
  <c r="B82" i="48"/>
  <c r="D82" i="48"/>
  <c r="O82" i="48"/>
  <c r="B83" i="48"/>
  <c r="D83" i="48"/>
  <c r="O83" i="48"/>
  <c r="B84" i="48"/>
  <c r="D84" i="48"/>
  <c r="O84" i="48"/>
  <c r="B85" i="48"/>
  <c r="D85" i="48"/>
  <c r="O85" i="48"/>
  <c r="B86" i="48"/>
  <c r="D86" i="48"/>
  <c r="O86" i="48"/>
  <c r="B87" i="48"/>
  <c r="D87" i="48"/>
  <c r="O87" i="48"/>
  <c r="B88" i="48"/>
  <c r="D88" i="48"/>
  <c r="O88" i="48"/>
  <c r="B89" i="48"/>
  <c r="D89" i="48"/>
  <c r="O89" i="48"/>
  <c r="B90" i="48"/>
  <c r="D90" i="48"/>
  <c r="O90" i="48"/>
  <c r="B91" i="48"/>
  <c r="D91" i="48"/>
  <c r="O91" i="48"/>
  <c r="B92" i="48"/>
  <c r="D92" i="48"/>
  <c r="O92" i="48"/>
  <c r="B93" i="48"/>
  <c r="D93" i="48"/>
  <c r="O93" i="48"/>
  <c r="B94" i="48"/>
  <c r="D94" i="48"/>
  <c r="O94" i="48"/>
  <c r="B95" i="48"/>
  <c r="D95" i="48"/>
  <c r="O95" i="48"/>
  <c r="B96" i="48"/>
  <c r="D96" i="48"/>
  <c r="O96" i="48"/>
  <c r="B97" i="48"/>
  <c r="D97" i="48"/>
  <c r="O97" i="48"/>
  <c r="B98" i="48"/>
  <c r="D98" i="48"/>
  <c r="B99" i="48"/>
  <c r="D99" i="48"/>
  <c r="B100" i="48"/>
  <c r="D100" i="48"/>
  <c r="B101" i="48"/>
  <c r="D101" i="48"/>
  <c r="B102" i="48"/>
  <c r="D102" i="48"/>
  <c r="B103" i="48"/>
  <c r="D103" i="48"/>
  <c r="B104" i="48"/>
  <c r="D104" i="48"/>
  <c r="O104" i="48"/>
  <c r="B106" i="48"/>
  <c r="D106" i="48"/>
  <c r="O106" i="48"/>
  <c r="B107" i="48"/>
  <c r="D107" i="48"/>
  <c r="O107" i="48"/>
  <c r="B108" i="48"/>
  <c r="D108" i="48"/>
  <c r="O108" i="48"/>
  <c r="B109" i="48"/>
  <c r="D109" i="48"/>
  <c r="O109" i="48"/>
  <c r="B110" i="48"/>
  <c r="D110" i="48"/>
  <c r="O110" i="48"/>
  <c r="B111" i="48"/>
  <c r="D111" i="48"/>
  <c r="O111" i="48"/>
  <c r="B112" i="48"/>
  <c r="D112" i="48"/>
  <c r="O112" i="48"/>
  <c r="B113" i="48"/>
  <c r="D113" i="48"/>
  <c r="O113" i="48"/>
  <c r="B114" i="48"/>
  <c r="D114" i="48"/>
  <c r="O114" i="48"/>
  <c r="B115" i="48"/>
  <c r="D115" i="48"/>
  <c r="O115" i="48"/>
  <c r="B116" i="48"/>
  <c r="D116" i="48"/>
  <c r="O116" i="48"/>
  <c r="B117" i="48"/>
  <c r="D117" i="48"/>
  <c r="O117" i="48"/>
  <c r="B118" i="48"/>
  <c r="D118" i="48"/>
  <c r="O118" i="48"/>
  <c r="B119" i="48"/>
  <c r="D119" i="48"/>
  <c r="O119" i="48"/>
  <c r="B120" i="48"/>
  <c r="D120" i="48"/>
  <c r="O120" i="48"/>
  <c r="B121" i="48"/>
  <c r="D121" i="48"/>
  <c r="O121" i="48"/>
  <c r="B122" i="48"/>
  <c r="D122" i="48"/>
  <c r="O122" i="48"/>
  <c r="B123" i="48"/>
  <c r="D123" i="48"/>
  <c r="O123" i="48"/>
  <c r="B124" i="48"/>
  <c r="D124" i="48"/>
  <c r="O124" i="48"/>
  <c r="B125" i="48"/>
  <c r="D125" i="48"/>
  <c r="O125" i="48"/>
  <c r="B126" i="48"/>
  <c r="D126" i="48"/>
  <c r="O126" i="48"/>
  <c r="B127" i="48"/>
  <c r="D127" i="48"/>
  <c r="O127" i="48"/>
  <c r="B128" i="48"/>
  <c r="D128" i="48"/>
  <c r="O128" i="48"/>
  <c r="O129" i="48"/>
  <c r="O130" i="48"/>
  <c r="O131" i="48"/>
  <c r="O132" i="48"/>
  <c r="O133" i="48"/>
  <c r="O134" i="48"/>
  <c r="O135" i="48"/>
  <c r="O136" i="48"/>
  <c r="O137" i="48"/>
  <c r="O138" i="48"/>
  <c r="O139" i="48"/>
  <c r="O140" i="48"/>
  <c r="O141" i="48"/>
  <c r="O142" i="48"/>
  <c r="O143" i="48"/>
  <c r="O146" i="48"/>
  <c r="O147" i="48"/>
  <c r="O148" i="48"/>
  <c r="O149" i="48"/>
  <c r="O150" i="48"/>
  <c r="O151" i="48"/>
  <c r="O152" i="48"/>
  <c r="O153" i="48"/>
  <c r="O154" i="48"/>
  <c r="O155" i="48"/>
  <c r="O156" i="48"/>
  <c r="O157" i="48"/>
  <c r="O158" i="48"/>
  <c r="O159" i="48"/>
  <c r="O160" i="48"/>
  <c r="O161" i="48"/>
  <c r="O162" i="48"/>
  <c r="O163" i="48"/>
  <c r="O164" i="48"/>
  <c r="D9" i="48"/>
  <c r="E9" i="48"/>
  <c r="B9" i="48"/>
  <c r="O9" i="48"/>
  <c r="G13" i="48"/>
  <c r="G59" i="48"/>
  <c r="G132" i="48"/>
  <c r="H132" i="48"/>
  <c r="P132" i="48"/>
  <c r="P133" i="48"/>
  <c r="P134" i="48"/>
  <c r="P135" i="48"/>
  <c r="P136" i="48"/>
  <c r="P137" i="48"/>
  <c r="P138" i="48"/>
  <c r="P139" i="48"/>
  <c r="P140" i="48"/>
  <c r="P141" i="48"/>
  <c r="P142" i="48"/>
  <c r="P143" i="48"/>
  <c r="P146" i="48"/>
  <c r="P147" i="48"/>
  <c r="P148" i="48"/>
  <c r="P149" i="48"/>
  <c r="P150" i="48"/>
  <c r="P151" i="48"/>
  <c r="P152" i="48"/>
  <c r="P153" i="48"/>
  <c r="P154" i="48"/>
  <c r="P155" i="48"/>
  <c r="P156" i="48"/>
  <c r="P157" i="48"/>
  <c r="P158" i="48"/>
  <c r="P159" i="48"/>
  <c r="P160" i="48"/>
  <c r="P161" i="48"/>
  <c r="P162" i="48"/>
  <c r="P163" i="48"/>
  <c r="P164" i="48"/>
  <c r="G10" i="48"/>
  <c r="H10" i="48"/>
  <c r="I10" i="48"/>
  <c r="F10" i="48"/>
  <c r="P10" i="48"/>
  <c r="G11" i="48"/>
  <c r="H11" i="48"/>
  <c r="I11" i="48"/>
  <c r="F11" i="48"/>
  <c r="P11" i="48"/>
  <c r="G12" i="48"/>
  <c r="H12" i="48"/>
  <c r="I12" i="48"/>
  <c r="F12" i="48"/>
  <c r="P12" i="48"/>
  <c r="H13" i="48"/>
  <c r="I13" i="48"/>
  <c r="F13" i="48"/>
  <c r="P13" i="48"/>
  <c r="H59" i="48"/>
  <c r="I59" i="48"/>
  <c r="F59" i="48"/>
  <c r="P59" i="48"/>
  <c r="F71" i="48"/>
  <c r="G71" i="48"/>
  <c r="H71" i="48"/>
  <c r="I71" i="48"/>
  <c r="P71" i="48"/>
  <c r="F72" i="48"/>
  <c r="G72" i="48"/>
  <c r="H72" i="48"/>
  <c r="I72" i="48"/>
  <c r="P72" i="48"/>
  <c r="F73" i="48"/>
  <c r="G73" i="48"/>
  <c r="H73" i="48"/>
  <c r="I73" i="48"/>
  <c r="P73" i="48"/>
  <c r="F74" i="48"/>
  <c r="G74" i="48"/>
  <c r="H74" i="48"/>
  <c r="I74" i="48"/>
  <c r="P74" i="48"/>
  <c r="F75" i="48"/>
  <c r="G75" i="48"/>
  <c r="H75" i="48"/>
  <c r="I75" i="48"/>
  <c r="P75" i="48"/>
  <c r="F76" i="48"/>
  <c r="G76" i="48"/>
  <c r="H76" i="48"/>
  <c r="I76" i="48"/>
  <c r="P76" i="48"/>
  <c r="F77" i="48"/>
  <c r="G77" i="48"/>
  <c r="H77" i="48"/>
  <c r="I77" i="48"/>
  <c r="P77" i="48"/>
  <c r="F78" i="48"/>
  <c r="G78" i="48"/>
  <c r="H78" i="48"/>
  <c r="I78" i="48"/>
  <c r="P78" i="48"/>
  <c r="F79" i="48"/>
  <c r="G79" i="48"/>
  <c r="H79" i="48"/>
  <c r="I79" i="48"/>
  <c r="P79" i="48"/>
  <c r="F80" i="48"/>
  <c r="G80" i="48"/>
  <c r="H80" i="48"/>
  <c r="I80" i="48"/>
  <c r="P80" i="48"/>
  <c r="F81" i="48"/>
  <c r="G81" i="48"/>
  <c r="H81" i="48"/>
  <c r="I81" i="48"/>
  <c r="P81" i="48"/>
  <c r="F82" i="48"/>
  <c r="G82" i="48"/>
  <c r="H82" i="48"/>
  <c r="I82" i="48"/>
  <c r="P82" i="48"/>
  <c r="F83" i="48"/>
  <c r="G83" i="48"/>
  <c r="H83" i="48"/>
  <c r="I83" i="48"/>
  <c r="P83" i="48"/>
  <c r="F84" i="48"/>
  <c r="G84" i="48"/>
  <c r="H84" i="48"/>
  <c r="I84" i="48"/>
  <c r="P84" i="48"/>
  <c r="F85" i="48"/>
  <c r="G85" i="48"/>
  <c r="H85" i="48"/>
  <c r="I85" i="48"/>
  <c r="P85" i="48"/>
  <c r="F86" i="48"/>
  <c r="G86" i="48"/>
  <c r="H86" i="48"/>
  <c r="I86" i="48"/>
  <c r="P86" i="48"/>
  <c r="F87" i="48"/>
  <c r="G87" i="48"/>
  <c r="H87" i="48"/>
  <c r="I87" i="48"/>
  <c r="P87" i="48"/>
  <c r="F88" i="48"/>
  <c r="G88" i="48"/>
  <c r="H88" i="48"/>
  <c r="I88" i="48"/>
  <c r="P88" i="48"/>
  <c r="F89" i="48"/>
  <c r="G89" i="48"/>
  <c r="H89" i="48"/>
  <c r="I89" i="48"/>
  <c r="P89" i="48"/>
  <c r="F90" i="48"/>
  <c r="G90" i="48"/>
  <c r="H90" i="48"/>
  <c r="I90" i="48"/>
  <c r="P90" i="48"/>
  <c r="F91" i="48"/>
  <c r="G91" i="48"/>
  <c r="H91" i="48"/>
  <c r="I91" i="48"/>
  <c r="P91" i="48"/>
  <c r="F92" i="48"/>
  <c r="G92" i="48"/>
  <c r="H92" i="48"/>
  <c r="I92" i="48"/>
  <c r="P92" i="48"/>
  <c r="F93" i="48"/>
  <c r="G93" i="48"/>
  <c r="H93" i="48"/>
  <c r="I93" i="48"/>
  <c r="P93" i="48"/>
  <c r="F94" i="48"/>
  <c r="G94" i="48"/>
  <c r="H94" i="48"/>
  <c r="I94" i="48"/>
  <c r="P94" i="48"/>
  <c r="F95" i="48"/>
  <c r="G95" i="48"/>
  <c r="H95" i="48"/>
  <c r="I95" i="48"/>
  <c r="P95" i="48"/>
  <c r="F96" i="48"/>
  <c r="G96" i="48"/>
  <c r="H96" i="48"/>
  <c r="I96" i="48"/>
  <c r="P96" i="48"/>
  <c r="F97" i="48"/>
  <c r="G97" i="48"/>
  <c r="H97" i="48"/>
  <c r="I97" i="48"/>
  <c r="P97" i="48"/>
  <c r="F98" i="48"/>
  <c r="G98" i="48"/>
  <c r="H98" i="48"/>
  <c r="I98" i="48"/>
  <c r="P98" i="48"/>
  <c r="F99" i="48"/>
  <c r="G99" i="48"/>
  <c r="H99" i="48"/>
  <c r="I99" i="48"/>
  <c r="P99" i="48"/>
  <c r="F100" i="48"/>
  <c r="G100" i="48"/>
  <c r="H100" i="48"/>
  <c r="I100" i="48"/>
  <c r="P100" i="48"/>
  <c r="F101" i="48"/>
  <c r="G101" i="48"/>
  <c r="H101" i="48"/>
  <c r="I101" i="48"/>
  <c r="P101" i="48"/>
  <c r="F102" i="48"/>
  <c r="G102" i="48"/>
  <c r="H102" i="48"/>
  <c r="I102" i="48"/>
  <c r="P102" i="48"/>
  <c r="F103" i="48"/>
  <c r="G103" i="48"/>
  <c r="H103" i="48"/>
  <c r="I103" i="48"/>
  <c r="P103" i="48"/>
  <c r="F104" i="48"/>
  <c r="G104" i="48"/>
  <c r="H104" i="48"/>
  <c r="I104" i="48"/>
  <c r="P104" i="48"/>
  <c r="F106" i="48"/>
  <c r="G106" i="48"/>
  <c r="H106" i="48"/>
  <c r="I106" i="48"/>
  <c r="P106" i="48"/>
  <c r="F107" i="48"/>
  <c r="G107" i="48"/>
  <c r="H107" i="48"/>
  <c r="I107" i="48"/>
  <c r="P107" i="48"/>
  <c r="F108" i="48"/>
  <c r="G108" i="48"/>
  <c r="H108" i="48"/>
  <c r="I108" i="48"/>
  <c r="P108" i="48"/>
  <c r="F109" i="48"/>
  <c r="G109" i="48"/>
  <c r="H109" i="48"/>
  <c r="I109" i="48"/>
  <c r="P109" i="48"/>
  <c r="F110" i="48"/>
  <c r="G110" i="48"/>
  <c r="H110" i="48"/>
  <c r="I110" i="48"/>
  <c r="P110" i="48"/>
  <c r="F111" i="48"/>
  <c r="G111" i="48"/>
  <c r="H111" i="48"/>
  <c r="I111" i="48"/>
  <c r="P111" i="48"/>
  <c r="F112" i="48"/>
  <c r="G112" i="48"/>
  <c r="H112" i="48"/>
  <c r="I112" i="48"/>
  <c r="P112" i="48"/>
  <c r="F113" i="48"/>
  <c r="G113" i="48"/>
  <c r="H113" i="48"/>
  <c r="I113" i="48"/>
  <c r="P113" i="48"/>
  <c r="F114" i="48"/>
  <c r="G114" i="48"/>
  <c r="H114" i="48"/>
  <c r="I114" i="48"/>
  <c r="P114" i="48"/>
  <c r="F115" i="48"/>
  <c r="G115" i="48"/>
  <c r="H115" i="48"/>
  <c r="I115" i="48"/>
  <c r="P115" i="48"/>
  <c r="F116" i="48"/>
  <c r="G116" i="48"/>
  <c r="H116" i="48"/>
  <c r="I116" i="48"/>
  <c r="P116" i="48"/>
  <c r="F117" i="48"/>
  <c r="G117" i="48"/>
  <c r="H117" i="48"/>
  <c r="I117" i="48"/>
  <c r="P117" i="48"/>
  <c r="F118" i="48"/>
  <c r="G118" i="48"/>
  <c r="H118" i="48"/>
  <c r="I118" i="48"/>
  <c r="P118" i="48"/>
  <c r="F119" i="48"/>
  <c r="G119" i="48"/>
  <c r="H119" i="48"/>
  <c r="I119" i="48"/>
  <c r="P119" i="48"/>
  <c r="F120" i="48"/>
  <c r="G120" i="48"/>
  <c r="H120" i="48"/>
  <c r="I120" i="48"/>
  <c r="P120" i="48"/>
  <c r="F121" i="48"/>
  <c r="G121" i="48"/>
  <c r="H121" i="48"/>
  <c r="I121" i="48"/>
  <c r="P121" i="48"/>
  <c r="F122" i="48"/>
  <c r="G122" i="48"/>
  <c r="H122" i="48"/>
  <c r="I122" i="48"/>
  <c r="P122" i="48"/>
  <c r="F123" i="48"/>
  <c r="G123" i="48"/>
  <c r="H123" i="48"/>
  <c r="I123" i="48"/>
  <c r="P123" i="48"/>
  <c r="F124" i="48"/>
  <c r="G124" i="48"/>
  <c r="H124" i="48"/>
  <c r="I124" i="48"/>
  <c r="P124" i="48"/>
  <c r="F125" i="48"/>
  <c r="G125" i="48"/>
  <c r="H125" i="48"/>
  <c r="I125" i="48"/>
  <c r="P125" i="48"/>
  <c r="F126" i="48"/>
  <c r="G126" i="48"/>
  <c r="H126" i="48"/>
  <c r="I126" i="48"/>
  <c r="P126" i="48"/>
  <c r="F127" i="48"/>
  <c r="G127" i="48"/>
  <c r="H127" i="48"/>
  <c r="I127" i="48"/>
  <c r="P127" i="48"/>
  <c r="F128" i="48"/>
  <c r="G128" i="48"/>
  <c r="H128" i="48"/>
  <c r="I128" i="48"/>
  <c r="P128" i="48"/>
  <c r="G129" i="48"/>
  <c r="H129" i="48"/>
  <c r="P129" i="48"/>
  <c r="G130" i="48"/>
  <c r="H130" i="48"/>
  <c r="P130" i="48"/>
  <c r="G131" i="48"/>
  <c r="H131" i="48"/>
  <c r="P131" i="48"/>
  <c r="G9" i="48"/>
  <c r="H9" i="48"/>
  <c r="I9" i="48"/>
  <c r="F9" i="48"/>
  <c r="P9" i="48"/>
  <c r="N10" i="48"/>
  <c r="N11" i="48"/>
  <c r="N12" i="48"/>
  <c r="N13" i="48"/>
  <c r="N59" i="48"/>
  <c r="N71" i="48"/>
  <c r="N72" i="48"/>
  <c r="N73" i="48"/>
  <c r="N74" i="48"/>
  <c r="N75" i="48"/>
  <c r="N76" i="48"/>
  <c r="N77" i="48"/>
  <c r="N78" i="48"/>
  <c r="N79" i="48"/>
  <c r="N80" i="48"/>
  <c r="N81" i="48"/>
  <c r="N82" i="48"/>
  <c r="N83" i="48"/>
  <c r="N84" i="48"/>
  <c r="N85" i="48"/>
  <c r="N86" i="48"/>
  <c r="N87" i="48"/>
  <c r="N88" i="48"/>
  <c r="N89" i="48"/>
  <c r="N90" i="48"/>
  <c r="N91" i="48"/>
  <c r="N92" i="48"/>
  <c r="N93" i="48"/>
  <c r="N94" i="48"/>
  <c r="N95" i="48"/>
  <c r="N96" i="48"/>
  <c r="N97" i="48"/>
  <c r="N98" i="48"/>
  <c r="N99" i="48"/>
  <c r="N100" i="48"/>
  <c r="N101" i="48"/>
  <c r="N102" i="48"/>
  <c r="N103" i="48"/>
  <c r="N104" i="48"/>
  <c r="N106" i="48"/>
  <c r="N107" i="48"/>
  <c r="N108" i="48"/>
  <c r="N109" i="48"/>
  <c r="N110" i="48"/>
  <c r="N111" i="48"/>
  <c r="N112" i="48"/>
  <c r="N113" i="48"/>
  <c r="N114" i="48"/>
  <c r="N115" i="48"/>
  <c r="N116" i="48"/>
  <c r="N117" i="48"/>
  <c r="N118" i="48"/>
  <c r="N119" i="48"/>
  <c r="N120" i="48"/>
  <c r="N121" i="48"/>
  <c r="N122" i="48"/>
  <c r="N123" i="48"/>
  <c r="N124" i="48"/>
  <c r="N125" i="48"/>
  <c r="N126" i="48"/>
  <c r="N127" i="48"/>
  <c r="N128" i="48"/>
  <c r="N9" i="48"/>
  <c r="V109" i="4"/>
  <c r="E109" i="4"/>
  <c r="F11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L60" i="22"/>
  <c r="X60" i="32"/>
  <c r="L61" i="22"/>
  <c r="X61" i="32"/>
  <c r="L62" i="22"/>
  <c r="X62" i="32"/>
  <c r="L63" i="22"/>
  <c r="X63" i="32"/>
  <c r="L64" i="22"/>
  <c r="X64" i="32"/>
  <c r="L65" i="22"/>
  <c r="X65" i="32"/>
  <c r="L66" i="22"/>
  <c r="X66" i="32"/>
  <c r="L67" i="22"/>
  <c r="X67" i="32"/>
  <c r="L68" i="22"/>
  <c r="X68" i="32"/>
  <c r="L69" i="22"/>
  <c r="X69" i="32"/>
  <c r="L70" i="22"/>
  <c r="X70" i="32"/>
  <c r="L71" i="22"/>
  <c r="X71" i="32"/>
  <c r="L72" i="22"/>
  <c r="X72" i="32"/>
  <c r="L73" i="22"/>
  <c r="X73" i="32"/>
  <c r="L74" i="22"/>
  <c r="X74" i="32"/>
  <c r="L75" i="22"/>
  <c r="X75" i="32"/>
  <c r="L76" i="22"/>
  <c r="X76" i="32"/>
  <c r="L77" i="22"/>
  <c r="X77" i="32"/>
  <c r="L78" i="22"/>
  <c r="X78" i="32"/>
  <c r="L79" i="22"/>
  <c r="X79" i="32"/>
  <c r="L80" i="22"/>
  <c r="X80" i="32"/>
  <c r="L81" i="22"/>
  <c r="X81" i="32"/>
  <c r="L82" i="22"/>
  <c r="X82" i="32"/>
  <c r="L83" i="22"/>
  <c r="X83" i="32"/>
  <c r="L84" i="22"/>
  <c r="X84" i="32"/>
  <c r="L85" i="22"/>
  <c r="X85" i="32"/>
  <c r="L86" i="22"/>
  <c r="X86" i="32"/>
  <c r="L87" i="22"/>
  <c r="X87" i="32"/>
  <c r="N88" i="22"/>
  <c r="P88" i="22"/>
  <c r="M88" i="22"/>
  <c r="L88" i="22"/>
  <c r="X88" i="32"/>
  <c r="L89" i="22"/>
  <c r="X89" i="32"/>
  <c r="L91" i="22"/>
  <c r="X91" i="32"/>
  <c r="G92" i="32"/>
  <c r="M92" i="22"/>
  <c r="L92" i="22"/>
  <c r="X92" i="32"/>
  <c r="G93" i="32"/>
  <c r="M93" i="22"/>
  <c r="L93" i="22"/>
  <c r="X93" i="32"/>
  <c r="G94" i="32"/>
  <c r="M94" i="22"/>
  <c r="L94" i="22"/>
  <c r="X94" i="32"/>
  <c r="G95" i="32"/>
  <c r="M95" i="22"/>
  <c r="L95" i="22"/>
  <c r="X95" i="32"/>
  <c r="G96" i="32"/>
  <c r="M96" i="22"/>
  <c r="L96" i="22"/>
  <c r="X96" i="32"/>
  <c r="G97" i="32"/>
  <c r="M97" i="22"/>
  <c r="L97" i="22"/>
  <c r="X97" i="32"/>
  <c r="G98" i="32"/>
  <c r="M98" i="22"/>
  <c r="L98" i="22"/>
  <c r="X98" i="32"/>
  <c r="G99" i="32"/>
  <c r="M99" i="22"/>
  <c r="L99" i="22"/>
  <c r="X99" i="32"/>
  <c r="G100" i="32"/>
  <c r="M100" i="22"/>
  <c r="L100" i="22"/>
  <c r="X100" i="32"/>
  <c r="G101" i="32"/>
  <c r="M101" i="22"/>
  <c r="L101" i="22"/>
  <c r="X101" i="32"/>
  <c r="G102" i="32"/>
  <c r="M102" i="22"/>
  <c r="L102" i="22"/>
  <c r="X102" i="32"/>
  <c r="G103" i="32"/>
  <c r="M103" i="22"/>
  <c r="L103" i="22"/>
  <c r="X103" i="32"/>
  <c r="G104" i="32"/>
  <c r="M104" i="22"/>
  <c r="L104" i="22"/>
  <c r="X104" i="32"/>
  <c r="G105" i="32"/>
  <c r="M105" i="22"/>
  <c r="L105" i="22"/>
  <c r="X105" i="32"/>
  <c r="G106" i="32"/>
  <c r="M106" i="22"/>
  <c r="L106" i="22"/>
  <c r="X106" i="32"/>
  <c r="G107" i="32"/>
  <c r="M107" i="22"/>
  <c r="L107" i="22"/>
  <c r="X107" i="32"/>
  <c r="G108" i="32"/>
  <c r="M108" i="22"/>
  <c r="L108" i="22"/>
  <c r="X108" i="32"/>
  <c r="G109" i="32"/>
  <c r="M109" i="22"/>
  <c r="L109" i="22"/>
  <c r="X109" i="32"/>
  <c r="M110" i="22"/>
  <c r="L110" i="22"/>
  <c r="X110" i="32"/>
  <c r="M111" i="22"/>
  <c r="L111" i="22"/>
  <c r="X111" i="32"/>
  <c r="M112" i="22"/>
  <c r="L112" i="22"/>
  <c r="X112" i="32"/>
  <c r="M113" i="22"/>
  <c r="L113" i="22"/>
  <c r="X113" i="32"/>
  <c r="M114" i="22"/>
  <c r="L114" i="22"/>
  <c r="X114" i="32"/>
  <c r="M115" i="22"/>
  <c r="L115" i="22"/>
  <c r="X115" i="32"/>
  <c r="M116" i="22"/>
  <c r="L116" i="22"/>
  <c r="X116" i="32"/>
  <c r="G117" i="32"/>
  <c r="M117" i="22"/>
  <c r="L117" i="22"/>
  <c r="X117" i="32"/>
  <c r="G118" i="32"/>
  <c r="G119" i="32"/>
  <c r="M119" i="22"/>
  <c r="L119" i="22"/>
  <c r="X119" i="32"/>
  <c r="G120" i="32"/>
  <c r="M120" i="22"/>
  <c r="L120" i="22"/>
  <c r="X120" i="32"/>
  <c r="G121" i="32"/>
  <c r="M121" i="22"/>
  <c r="L121" i="22"/>
  <c r="X121" i="32"/>
  <c r="G122" i="32"/>
  <c r="M122" i="22"/>
  <c r="L122" i="22"/>
  <c r="X122" i="32"/>
  <c r="G123" i="32"/>
  <c r="M123" i="22"/>
  <c r="L123" i="22"/>
  <c r="X123" i="32"/>
  <c r="G124" i="32"/>
  <c r="M124" i="22"/>
  <c r="L124" i="22"/>
  <c r="X124" i="32"/>
  <c r="G125" i="32"/>
  <c r="M125" i="22"/>
  <c r="L125" i="22"/>
  <c r="X125" i="32"/>
  <c r="G126" i="32"/>
  <c r="M126" i="22"/>
  <c r="L126" i="22"/>
  <c r="X126" i="32"/>
  <c r="G127" i="32"/>
  <c r="M127" i="22"/>
  <c r="L127" i="22"/>
  <c r="X127" i="32"/>
  <c r="G128" i="32"/>
  <c r="M128" i="22"/>
  <c r="L128" i="22"/>
  <c r="X128" i="32"/>
  <c r="G129" i="32"/>
  <c r="M129" i="22"/>
  <c r="L129" i="22"/>
  <c r="X129" i="32"/>
  <c r="G130" i="32"/>
  <c r="M130" i="22"/>
  <c r="L130" i="22"/>
  <c r="X130" i="32"/>
  <c r="G131" i="32"/>
  <c r="M131" i="22"/>
  <c r="L131" i="22"/>
  <c r="X131" i="32"/>
  <c r="G132" i="32"/>
  <c r="M132" i="22"/>
  <c r="L132" i="22"/>
  <c r="X132" i="32"/>
  <c r="G133" i="32"/>
  <c r="M133" i="22"/>
  <c r="L133" i="22"/>
  <c r="X133" i="32"/>
  <c r="G134" i="32"/>
  <c r="M134" i="22"/>
  <c r="L134" i="22"/>
  <c r="X134" i="32"/>
  <c r="G135" i="32"/>
  <c r="M135" i="22"/>
  <c r="L135" i="22"/>
  <c r="X135" i="32"/>
  <c r="G136" i="32"/>
  <c r="M136" i="22"/>
  <c r="L136" i="22"/>
  <c r="X136" i="32"/>
  <c r="G137" i="32"/>
  <c r="M137" i="22"/>
  <c r="L137" i="22"/>
  <c r="X137" i="32"/>
  <c r="G138" i="32"/>
  <c r="M138" i="22"/>
  <c r="L138" i="22"/>
  <c r="X138" i="32"/>
  <c r="G139" i="32"/>
  <c r="M139" i="22"/>
  <c r="L139" i="22"/>
  <c r="X139" i="32"/>
  <c r="G140" i="32"/>
  <c r="M140" i="22"/>
  <c r="L140" i="22"/>
  <c r="X140" i="32"/>
  <c r="G141" i="32"/>
  <c r="M141" i="22"/>
  <c r="L141" i="22"/>
  <c r="X141" i="32"/>
  <c r="G142" i="32"/>
  <c r="M142" i="22"/>
  <c r="L142" i="22"/>
  <c r="X142" i="32"/>
  <c r="G143" i="32"/>
  <c r="M143" i="22"/>
  <c r="L143" i="22"/>
  <c r="X143" i="32"/>
  <c r="G144" i="32"/>
  <c r="M144" i="22"/>
  <c r="L144" i="22"/>
  <c r="X144" i="32"/>
  <c r="G145" i="32"/>
  <c r="M145" i="22"/>
  <c r="L145" i="22"/>
  <c r="X145" i="32"/>
  <c r="G146" i="32"/>
  <c r="M146" i="22"/>
  <c r="L146" i="22"/>
  <c r="X146" i="32"/>
  <c r="G147" i="32"/>
  <c r="M147" i="22"/>
  <c r="L147" i="22"/>
  <c r="X147" i="32"/>
  <c r="G148" i="32"/>
  <c r="M148" i="22"/>
  <c r="L148" i="22"/>
  <c r="X148" i="32"/>
  <c r="G149" i="32"/>
  <c r="M149" i="22"/>
  <c r="L149" i="22"/>
  <c r="X149" i="32"/>
  <c r="G150" i="32"/>
  <c r="M150" i="22"/>
  <c r="L150" i="22"/>
  <c r="X150" i="32"/>
  <c r="G151" i="32"/>
  <c r="M151" i="22"/>
  <c r="L151" i="22"/>
  <c r="X151" i="32"/>
  <c r="G152" i="32"/>
  <c r="M152" i="22"/>
  <c r="L152" i="22"/>
  <c r="X152" i="32"/>
  <c r="G153" i="32"/>
  <c r="M153" i="22"/>
  <c r="L153" i="22"/>
  <c r="X153" i="32"/>
  <c r="G154" i="32"/>
  <c r="M154" i="22"/>
  <c r="L154" i="22"/>
  <c r="X154" i="32"/>
  <c r="G155" i="32"/>
  <c r="M155" i="22"/>
  <c r="L155" i="22"/>
  <c r="X155" i="32"/>
  <c r="G156" i="32"/>
  <c r="M156" i="22"/>
  <c r="L156" i="22"/>
  <c r="X156" i="32"/>
  <c r="G157" i="32"/>
  <c r="M157" i="22"/>
  <c r="L157" i="22"/>
  <c r="X157" i="32"/>
  <c r="G158" i="32"/>
  <c r="M158" i="22"/>
  <c r="L158" i="22"/>
  <c r="X158" i="32"/>
  <c r="G159" i="32"/>
  <c r="M159" i="22"/>
  <c r="L159" i="22"/>
  <c r="X159" i="32"/>
  <c r="G160" i="32"/>
  <c r="M160" i="22"/>
  <c r="L160" i="22"/>
  <c r="X160" i="32"/>
  <c r="G161" i="32"/>
  <c r="M161" i="22"/>
  <c r="L161" i="22"/>
  <c r="X161" i="32"/>
  <c r="G162" i="32"/>
  <c r="M162" i="22"/>
  <c r="L162" i="22"/>
  <c r="X162" i="32"/>
  <c r="G163" i="32"/>
  <c r="M163" i="22"/>
  <c r="L163" i="22"/>
  <c r="X163" i="32"/>
  <c r="G164" i="32"/>
  <c r="M164" i="22"/>
  <c r="L164" i="22"/>
  <c r="X164" i="32"/>
  <c r="G165" i="32"/>
  <c r="M165" i="22"/>
  <c r="L165" i="22"/>
  <c r="X165" i="32"/>
  <c r="G166" i="32"/>
  <c r="M166" i="22"/>
  <c r="L166" i="22"/>
  <c r="X166" i="32"/>
  <c r="G167" i="32"/>
  <c r="M167" i="22"/>
  <c r="L167" i="22"/>
  <c r="X167" i="32"/>
  <c r="G168" i="32"/>
  <c r="M168" i="22"/>
  <c r="L168" i="22"/>
  <c r="X168" i="32"/>
  <c r="G169" i="32"/>
  <c r="M169" i="22"/>
  <c r="L169" i="22"/>
  <c r="X169" i="32"/>
  <c r="G170" i="32"/>
  <c r="M170" i="22"/>
  <c r="L170" i="22"/>
  <c r="X170" i="32"/>
  <c r="G171" i="32"/>
  <c r="M171" i="22"/>
  <c r="L171" i="22"/>
  <c r="X171" i="32"/>
  <c r="G172" i="32"/>
  <c r="M172" i="22"/>
  <c r="L172" i="22"/>
  <c r="X172" i="32"/>
  <c r="G173" i="32"/>
  <c r="M173" i="22"/>
  <c r="L173" i="22"/>
  <c r="X173" i="32"/>
  <c r="G174" i="32"/>
  <c r="M174" i="22"/>
  <c r="L174" i="22"/>
  <c r="X174" i="32"/>
  <c r="G175" i="32"/>
  <c r="M175" i="22"/>
  <c r="L175" i="22"/>
  <c r="X175" i="32"/>
  <c r="G176" i="32"/>
  <c r="M176" i="22"/>
  <c r="L176" i="22"/>
  <c r="X176" i="32"/>
  <c r="G177" i="32"/>
  <c r="M177" i="22"/>
  <c r="L177" i="22"/>
  <c r="X177" i="32"/>
  <c r="G178" i="32"/>
  <c r="M178" i="22"/>
  <c r="L178" i="22"/>
  <c r="X178" i="32"/>
  <c r="G179" i="32"/>
  <c r="M179" i="22"/>
  <c r="L179" i="22"/>
  <c r="X179" i="32"/>
  <c r="G180" i="32"/>
  <c r="M180" i="22"/>
  <c r="L180" i="22"/>
  <c r="X180" i="32"/>
  <c r="G181" i="32"/>
  <c r="M181" i="22"/>
  <c r="L181" i="22"/>
  <c r="X181" i="32"/>
  <c r="X25" i="32"/>
  <c r="T246" i="25"/>
  <c r="T243" i="25"/>
  <c r="T237" i="25"/>
  <c r="T234" i="25"/>
  <c r="T231" i="25"/>
  <c r="T228" i="25"/>
  <c r="T219" i="25"/>
  <c r="T213" i="25"/>
  <c r="B29" i="40"/>
  <c r="N10" i="47"/>
  <c r="N11" i="47"/>
  <c r="N12" i="47"/>
  <c r="N13" i="47"/>
  <c r="N14" i="47"/>
  <c r="N15" i="47"/>
  <c r="N16" i="47"/>
  <c r="N17" i="47"/>
  <c r="N18" i="47"/>
  <c r="N19" i="47"/>
  <c r="N20" i="47"/>
  <c r="N21" i="47"/>
  <c r="N22" i="47"/>
  <c r="N23" i="47"/>
  <c r="N27" i="47"/>
  <c r="N28" i="47"/>
  <c r="N29" i="47"/>
  <c r="N30" i="47"/>
  <c r="N31" i="47"/>
  <c r="N32" i="47"/>
  <c r="N33" i="47"/>
  <c r="N34" i="47"/>
  <c r="N35" i="47"/>
  <c r="N36" i="47"/>
  <c r="N37" i="47"/>
  <c r="N38" i="47"/>
  <c r="N39" i="47"/>
  <c r="N40" i="47"/>
  <c r="N41" i="47"/>
  <c r="N42" i="47"/>
  <c r="N43" i="47"/>
  <c r="N44" i="47"/>
  <c r="N45" i="47"/>
  <c r="N46" i="47"/>
  <c r="N47" i="47"/>
  <c r="N48" i="47"/>
  <c r="N49" i="47"/>
  <c r="N9" i="47"/>
  <c r="J10" i="45"/>
  <c r="I10" i="47"/>
  <c r="J11" i="45"/>
  <c r="I11" i="47"/>
  <c r="J12" i="45"/>
  <c r="I12" i="47"/>
  <c r="J13" i="45"/>
  <c r="I13" i="47"/>
  <c r="J14" i="45"/>
  <c r="I14" i="47"/>
  <c r="J15" i="45"/>
  <c r="I15" i="47"/>
  <c r="J16" i="45"/>
  <c r="I16" i="47"/>
  <c r="J17" i="45"/>
  <c r="I17" i="47"/>
  <c r="J18" i="45"/>
  <c r="I18" i="47"/>
  <c r="J19" i="45"/>
  <c r="I19" i="47"/>
  <c r="J20" i="45"/>
  <c r="I20" i="47"/>
  <c r="J21" i="45"/>
  <c r="I21" i="47"/>
  <c r="J22" i="45"/>
  <c r="I22" i="47"/>
  <c r="J23" i="45"/>
  <c r="I23" i="47"/>
  <c r="J24" i="45"/>
  <c r="I27" i="45"/>
  <c r="H27" i="47"/>
  <c r="J27" i="45"/>
  <c r="I27" i="47"/>
  <c r="K27" i="45"/>
  <c r="J27" i="47"/>
  <c r="I28" i="45"/>
  <c r="H28" i="47"/>
  <c r="J28" i="45"/>
  <c r="I28" i="47"/>
  <c r="K28" i="45"/>
  <c r="J28" i="47"/>
  <c r="I29" i="45"/>
  <c r="H29" i="47"/>
  <c r="J29" i="45"/>
  <c r="I29" i="47"/>
  <c r="K29" i="45"/>
  <c r="J29" i="47"/>
  <c r="I30" i="45"/>
  <c r="H30" i="47"/>
  <c r="J30" i="45"/>
  <c r="I30" i="47"/>
  <c r="K30" i="45"/>
  <c r="J30" i="47"/>
  <c r="I31" i="45"/>
  <c r="H31" i="47"/>
  <c r="J31" i="45"/>
  <c r="I31" i="47"/>
  <c r="K31" i="45"/>
  <c r="J31" i="47"/>
  <c r="I32" i="45"/>
  <c r="H32" i="47"/>
  <c r="J32" i="45"/>
  <c r="I32" i="47"/>
  <c r="K32" i="45"/>
  <c r="J32" i="47"/>
  <c r="I33" i="45"/>
  <c r="H33" i="47"/>
  <c r="J33" i="45"/>
  <c r="I33" i="47"/>
  <c r="K33" i="45"/>
  <c r="J33" i="47"/>
  <c r="I34" i="45"/>
  <c r="H34" i="47"/>
  <c r="J34" i="45"/>
  <c r="I34" i="47"/>
  <c r="K34" i="45"/>
  <c r="J34" i="47"/>
  <c r="I35" i="45"/>
  <c r="H35" i="47"/>
  <c r="J35" i="45"/>
  <c r="I35" i="47"/>
  <c r="K35" i="45"/>
  <c r="J35" i="47"/>
  <c r="I36" i="45"/>
  <c r="H36" i="47"/>
  <c r="J36" i="45"/>
  <c r="I36" i="47"/>
  <c r="K36" i="45"/>
  <c r="J36" i="47"/>
  <c r="I37" i="45"/>
  <c r="H37" i="47"/>
  <c r="J37" i="45"/>
  <c r="I37" i="47"/>
  <c r="K37" i="45"/>
  <c r="J37" i="47"/>
  <c r="I38" i="45"/>
  <c r="H38" i="47"/>
  <c r="J38" i="45"/>
  <c r="I38" i="47"/>
  <c r="K38" i="45"/>
  <c r="J38" i="47"/>
  <c r="I39" i="45"/>
  <c r="H39" i="47"/>
  <c r="J39" i="45"/>
  <c r="I39" i="47"/>
  <c r="K39" i="45"/>
  <c r="J39" i="47"/>
  <c r="I40" i="45"/>
  <c r="H40" i="47"/>
  <c r="J40" i="45"/>
  <c r="I40" i="47"/>
  <c r="K40" i="45"/>
  <c r="J40" i="47"/>
  <c r="I41" i="45"/>
  <c r="H41" i="47"/>
  <c r="J41" i="45"/>
  <c r="I41" i="47"/>
  <c r="K41" i="45"/>
  <c r="J41" i="47"/>
  <c r="I42" i="45"/>
  <c r="H42" i="47"/>
  <c r="J42" i="45"/>
  <c r="I42" i="47"/>
  <c r="K42" i="45"/>
  <c r="J42" i="47"/>
  <c r="I43" i="45"/>
  <c r="H43" i="47"/>
  <c r="J43" i="45"/>
  <c r="I43" i="47"/>
  <c r="K43" i="45"/>
  <c r="J43" i="47"/>
  <c r="I44" i="45"/>
  <c r="H44" i="47"/>
  <c r="J44" i="45"/>
  <c r="I44" i="47"/>
  <c r="K44" i="45"/>
  <c r="J44" i="47"/>
  <c r="I45" i="45"/>
  <c r="H45" i="47"/>
  <c r="J45" i="45"/>
  <c r="I45" i="47"/>
  <c r="K45" i="45"/>
  <c r="J45" i="47"/>
  <c r="I46" i="45"/>
  <c r="H46" i="47"/>
  <c r="J46" i="45"/>
  <c r="I46" i="47"/>
  <c r="K46" i="45"/>
  <c r="J46" i="47"/>
  <c r="I47" i="45"/>
  <c r="H47" i="47"/>
  <c r="J47" i="45"/>
  <c r="I47" i="47"/>
  <c r="K47" i="45"/>
  <c r="J47" i="47"/>
  <c r="I48" i="45"/>
  <c r="H48" i="47"/>
  <c r="J48" i="45"/>
  <c r="I48" i="47"/>
  <c r="K48" i="45"/>
  <c r="J48" i="47"/>
  <c r="I49" i="45"/>
  <c r="H49" i="47"/>
  <c r="J49" i="45"/>
  <c r="I49" i="47"/>
  <c r="K49" i="45"/>
  <c r="J49" i="47"/>
  <c r="J9" i="45"/>
  <c r="I9" i="47"/>
  <c r="A38" i="47"/>
  <c r="A39" i="47"/>
  <c r="A40" i="47"/>
  <c r="A41" i="47"/>
  <c r="A42" i="47"/>
  <c r="A43" i="47"/>
  <c r="A44" i="47"/>
  <c r="A45" i="47"/>
  <c r="A46" i="47"/>
  <c r="O10" i="45"/>
  <c r="O11" i="45"/>
  <c r="O12" i="45"/>
  <c r="O13" i="45"/>
  <c r="O14" i="45"/>
  <c r="O15" i="45"/>
  <c r="O16" i="45"/>
  <c r="O17" i="45"/>
  <c r="O18" i="45"/>
  <c r="O19" i="45"/>
  <c r="O20" i="45"/>
  <c r="O21" i="45"/>
  <c r="O22" i="45"/>
  <c r="O23" i="45"/>
  <c r="O27" i="45"/>
  <c r="O28" i="45"/>
  <c r="O29" i="45"/>
  <c r="O30" i="45"/>
  <c r="O31" i="45"/>
  <c r="O32" i="45"/>
  <c r="O33" i="45"/>
  <c r="O34" i="45"/>
  <c r="O35" i="45"/>
  <c r="O36" i="45"/>
  <c r="O37" i="45"/>
  <c r="O38" i="45"/>
  <c r="O39" i="45"/>
  <c r="O40" i="45"/>
  <c r="O41" i="45"/>
  <c r="O42" i="45"/>
  <c r="O43" i="45"/>
  <c r="O44" i="45"/>
  <c r="O45" i="45"/>
  <c r="O46" i="45"/>
  <c r="O47" i="45"/>
  <c r="O48" i="45"/>
  <c r="O49" i="45"/>
  <c r="O9" i="45"/>
  <c r="F79" i="29"/>
  <c r="D80" i="29"/>
  <c r="F80" i="29"/>
  <c r="D81" i="29"/>
  <c r="F81" i="29"/>
  <c r="D82" i="29"/>
  <c r="F82" i="29"/>
  <c r="D83" i="29"/>
  <c r="F83" i="29"/>
  <c r="D84" i="29"/>
  <c r="F84" i="29"/>
  <c r="D85" i="29"/>
  <c r="F85" i="29"/>
  <c r="D86" i="29"/>
  <c r="F86" i="29"/>
  <c r="D87" i="29"/>
  <c r="F87" i="29"/>
  <c r="D88" i="29"/>
  <c r="F88" i="29"/>
  <c r="D89" i="29"/>
  <c r="F89" i="29"/>
  <c r="D90" i="29"/>
  <c r="F90" i="29"/>
  <c r="D91" i="29"/>
  <c r="F91" i="29"/>
  <c r="D92" i="29"/>
  <c r="F92" i="29"/>
  <c r="D93" i="29"/>
  <c r="F93" i="29"/>
  <c r="D94" i="29"/>
  <c r="F94" i="29"/>
  <c r="D95" i="29"/>
  <c r="F95" i="29"/>
  <c r="D96" i="29"/>
  <c r="F96" i="29"/>
  <c r="D97" i="29"/>
  <c r="F97" i="29"/>
  <c r="D98" i="29"/>
  <c r="F98" i="29"/>
  <c r="D99" i="29"/>
  <c r="F99" i="29"/>
  <c r="X107" i="29"/>
  <c r="X100" i="29"/>
  <c r="D100" i="29"/>
  <c r="F100" i="29"/>
  <c r="X101" i="29"/>
  <c r="D101" i="29"/>
  <c r="F101" i="29"/>
  <c r="X102" i="29"/>
  <c r="D102" i="29"/>
  <c r="F102" i="29"/>
  <c r="X103" i="29"/>
  <c r="D103" i="29"/>
  <c r="F103" i="29"/>
  <c r="X104" i="29"/>
  <c r="D104" i="29"/>
  <c r="F104" i="29"/>
  <c r="X105" i="29"/>
  <c r="D105" i="29"/>
  <c r="F105" i="29"/>
  <c r="X106" i="29"/>
  <c r="D106"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B28" i="40"/>
  <c r="A38" i="45"/>
  <c r="A39" i="45"/>
  <c r="A40" i="45"/>
  <c r="A41" i="45"/>
  <c r="A42" i="45"/>
  <c r="A43" i="45"/>
  <c r="A44" i="45"/>
  <c r="A45" i="45"/>
  <c r="A46" i="45"/>
  <c r="B38" i="40"/>
  <c r="B37" i="40"/>
  <c r="B36" i="40"/>
  <c r="B35" i="40"/>
  <c r="B41" i="40"/>
  <c r="B39" i="40"/>
  <c r="B40" i="40"/>
  <c r="V126" i="4"/>
  <c r="E126" i="4"/>
  <c r="V127" i="4"/>
  <c r="E127" i="4"/>
  <c r="V128" i="4"/>
  <c r="E128" i="4"/>
  <c r="V129" i="4"/>
  <c r="E129" i="4"/>
  <c r="V130" i="4"/>
  <c r="E130" i="4"/>
  <c r="V131" i="4"/>
  <c r="E131" i="4"/>
  <c r="V132" i="4"/>
  <c r="E132" i="4"/>
  <c r="V133" i="4"/>
  <c r="E133" i="4"/>
  <c r="V134" i="4"/>
  <c r="E134" i="4"/>
  <c r="V135" i="4"/>
  <c r="E135" i="4"/>
  <c r="V136" i="4"/>
  <c r="E136" i="4"/>
  <c r="V137" i="4"/>
  <c r="E137" i="4"/>
  <c r="V138" i="4"/>
  <c r="E138" i="4"/>
  <c r="V139" i="4"/>
  <c r="E139" i="4"/>
  <c r="V140" i="4"/>
  <c r="E140" i="4"/>
  <c r="V141" i="4"/>
  <c r="E141" i="4"/>
  <c r="V142" i="4"/>
  <c r="E142" i="4"/>
  <c r="V143" i="4"/>
  <c r="E143" i="4"/>
  <c r="V144" i="4"/>
  <c r="E144" i="4"/>
  <c r="V145" i="4"/>
  <c r="V146" i="4"/>
  <c r="V147" i="4"/>
  <c r="E147" i="4"/>
  <c r="V148" i="4"/>
  <c r="E148" i="4"/>
  <c r="V149" i="4"/>
  <c r="E149" i="4"/>
  <c r="V150" i="4"/>
  <c r="E150" i="4"/>
  <c r="V151" i="4"/>
  <c r="E151" i="4"/>
  <c r="V152" i="4"/>
  <c r="E152" i="4"/>
  <c r="V153" i="4"/>
  <c r="E153" i="4"/>
  <c r="V154" i="4"/>
  <c r="E154" i="4"/>
  <c r="V155" i="4"/>
  <c r="E155" i="4"/>
  <c r="V156" i="4"/>
  <c r="E156" i="4"/>
  <c r="V157" i="4"/>
  <c r="E157" i="4"/>
  <c r="V158" i="4"/>
  <c r="E158" i="4"/>
  <c r="V159" i="4"/>
  <c r="E159" i="4"/>
  <c r="V160" i="4"/>
  <c r="E160" i="4"/>
  <c r="V161" i="4"/>
  <c r="E161" i="4"/>
  <c r="V162" i="4"/>
  <c r="E162" i="4"/>
  <c r="V163" i="4"/>
  <c r="E163" i="4"/>
  <c r="V164" i="4"/>
  <c r="E164" i="4"/>
  <c r="V165" i="4"/>
  <c r="E165" i="4"/>
  <c r="V166" i="4"/>
  <c r="E166" i="4"/>
  <c r="V167" i="4"/>
  <c r="E167" i="4"/>
  <c r="V168" i="4"/>
  <c r="E168" i="4"/>
  <c r="V169" i="4"/>
  <c r="E169" i="4"/>
  <c r="V124" i="4"/>
  <c r="E124" i="4"/>
  <c r="V125" i="4"/>
  <c r="E125" i="4"/>
  <c r="V107" i="4"/>
  <c r="E107" i="4"/>
  <c r="V108" i="4"/>
  <c r="E108" i="4"/>
  <c r="V110" i="4"/>
  <c r="E110" i="4"/>
  <c r="V111" i="4"/>
  <c r="E111" i="4"/>
  <c r="V112" i="4"/>
  <c r="E112" i="4"/>
  <c r="V113" i="4"/>
  <c r="E113" i="4"/>
  <c r="V114" i="4"/>
  <c r="E114" i="4"/>
  <c r="V115" i="4"/>
  <c r="E115" i="4"/>
  <c r="V116" i="4"/>
  <c r="E116" i="4"/>
  <c r="V117" i="4"/>
  <c r="E117" i="4"/>
  <c r="V118" i="4"/>
  <c r="E118" i="4"/>
  <c r="V119" i="4"/>
  <c r="E119" i="4"/>
  <c r="V120" i="4"/>
  <c r="E120" i="4"/>
  <c r="V121" i="4"/>
  <c r="E121" i="4"/>
  <c r="V122" i="4"/>
  <c r="E122" i="4"/>
  <c r="V123" i="4"/>
  <c r="E123" i="4"/>
  <c r="B22" i="40"/>
  <c r="G114" i="42"/>
  <c r="C114" i="42"/>
  <c r="C115" i="42"/>
  <c r="C116" i="42"/>
  <c r="C117" i="42"/>
  <c r="C118" i="42"/>
  <c r="C119" i="42"/>
  <c r="C120" i="42"/>
  <c r="C121" i="42"/>
  <c r="C122" i="42"/>
  <c r="C123" i="42"/>
  <c r="C124" i="42"/>
  <c r="G125" i="42"/>
  <c r="C125" i="42"/>
  <c r="A154" i="42"/>
  <c r="A155" i="42"/>
  <c r="A156" i="42"/>
  <c r="A157" i="42"/>
  <c r="A158" i="42"/>
  <c r="A159" i="42"/>
  <c r="A160" i="42"/>
  <c r="A161" i="42"/>
  <c r="A162" i="42"/>
  <c r="A163" i="42"/>
  <c r="A164" i="42"/>
  <c r="A165" i="42"/>
  <c r="G165" i="42"/>
  <c r="C165" i="42"/>
  <c r="G164" i="42"/>
  <c r="C164" i="42"/>
  <c r="G163" i="42"/>
  <c r="C163" i="42"/>
  <c r="G162" i="42"/>
  <c r="C162" i="42"/>
  <c r="G161" i="42"/>
  <c r="C161" i="42"/>
  <c r="G160" i="42"/>
  <c r="C160" i="42"/>
  <c r="G159" i="42"/>
  <c r="C159" i="42"/>
  <c r="G158" i="42"/>
  <c r="C158" i="42"/>
  <c r="C68" i="42"/>
  <c r="G157" i="42"/>
  <c r="C157" i="42"/>
  <c r="G156" i="42"/>
  <c r="C156" i="42"/>
  <c r="G155" i="42"/>
  <c r="C155" i="42"/>
  <c r="G154" i="42"/>
  <c r="C154" i="42"/>
  <c r="G153" i="42"/>
  <c r="C153" i="42"/>
  <c r="G152" i="42"/>
  <c r="C152" i="42"/>
  <c r="G151" i="42"/>
  <c r="C151" i="42"/>
  <c r="G150" i="42"/>
  <c r="C150" i="42"/>
  <c r="G149" i="42"/>
  <c r="C149" i="42"/>
  <c r="G148" i="42"/>
  <c r="C148" i="42"/>
  <c r="G147" i="42"/>
  <c r="C147" i="42"/>
  <c r="G146" i="42"/>
  <c r="C146" i="42"/>
  <c r="G145" i="42"/>
  <c r="C145" i="42"/>
  <c r="G144" i="42"/>
  <c r="C144" i="42"/>
  <c r="G141" i="42"/>
  <c r="G140" i="42"/>
  <c r="C140" i="42"/>
  <c r="G139" i="42"/>
  <c r="C139" i="42"/>
  <c r="G138" i="42"/>
  <c r="C138" i="42"/>
  <c r="G137" i="42"/>
  <c r="C137" i="42"/>
  <c r="G136" i="42"/>
  <c r="C136" i="42"/>
  <c r="G135" i="42"/>
  <c r="C135" i="42"/>
  <c r="G134" i="42"/>
  <c r="C134" i="42"/>
  <c r="G133" i="42"/>
  <c r="C133" i="42"/>
  <c r="G132" i="42"/>
  <c r="C132" i="42"/>
  <c r="G131" i="42"/>
  <c r="C131" i="42"/>
  <c r="G130" i="42"/>
  <c r="C130" i="42"/>
  <c r="G129" i="42"/>
  <c r="C129" i="42"/>
  <c r="G128" i="42"/>
  <c r="C128" i="42"/>
  <c r="G127" i="42"/>
  <c r="C127" i="42"/>
  <c r="G126" i="42"/>
  <c r="C126" i="42"/>
  <c r="A106" i="42"/>
  <c r="A107" i="42"/>
  <c r="A108" i="42"/>
  <c r="A109" i="42"/>
  <c r="A110" i="42"/>
  <c r="A111" i="42"/>
  <c r="A112" i="42"/>
  <c r="A113" i="42"/>
  <c r="A114" i="42"/>
  <c r="A115" i="42"/>
  <c r="A116" i="42"/>
  <c r="A117" i="42"/>
  <c r="A118" i="42"/>
  <c r="A119" i="42"/>
  <c r="A120" i="42"/>
  <c r="A121" i="42"/>
  <c r="A122" i="42"/>
  <c r="A123" i="42"/>
  <c r="A124" i="42"/>
  <c r="A125" i="42"/>
  <c r="A69" i="42"/>
  <c r="A70" i="42"/>
  <c r="A71" i="42"/>
  <c r="A72" i="42"/>
  <c r="A73" i="42"/>
  <c r="A74"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X77" i="2"/>
  <c r="X78" i="2"/>
  <c r="X79" i="2"/>
  <c r="X80" i="2"/>
  <c r="X81" i="2"/>
  <c r="X82" i="2"/>
  <c r="X83" i="2"/>
  <c r="X84" i="2"/>
  <c r="X85" i="2"/>
  <c r="X86" i="2"/>
  <c r="X87" i="2"/>
  <c r="X88" i="2"/>
  <c r="X89" i="2"/>
  <c r="X90" i="2"/>
  <c r="X91" i="2"/>
  <c r="X92" i="2"/>
  <c r="X93" i="2"/>
  <c r="X94" i="2"/>
  <c r="X95" i="2"/>
  <c r="X96" i="2"/>
  <c r="X97" i="2"/>
  <c r="X98" i="2"/>
  <c r="X99" i="2"/>
  <c r="X100" i="2"/>
  <c r="X101"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3" i="2"/>
  <c r="X144" i="2"/>
  <c r="X145" i="2"/>
  <c r="X146" i="2"/>
  <c r="X147" i="2"/>
  <c r="X148" i="2"/>
  <c r="X149" i="2"/>
  <c r="X150" i="2"/>
  <c r="X151" i="2"/>
  <c r="X152" i="2"/>
  <c r="X153" i="2"/>
  <c r="X154" i="2"/>
  <c r="X155" i="2"/>
  <c r="X156" i="2"/>
  <c r="X157" i="2"/>
  <c r="X158" i="2"/>
  <c r="X159" i="2"/>
  <c r="X160" i="2"/>
  <c r="X161" i="2"/>
  <c r="X162" i="2"/>
  <c r="X163" i="2"/>
  <c r="X164" i="2"/>
  <c r="X165" i="2"/>
  <c r="X76" i="2"/>
  <c r="X68" i="2"/>
  <c r="X69" i="2"/>
  <c r="X70" i="2"/>
  <c r="X71" i="2"/>
  <c r="X72" i="2"/>
  <c r="X73" i="2"/>
  <c r="X74" i="2"/>
  <c r="N75" i="5"/>
  <c r="X75" i="2"/>
  <c r="N10" i="5"/>
  <c r="X10" i="2"/>
  <c r="B26" i="40"/>
  <c r="B23" i="40"/>
  <c r="B21" i="40"/>
  <c r="B20" i="40"/>
  <c r="H75" i="41"/>
  <c r="H57" i="41"/>
  <c r="G60" i="41"/>
  <c r="H72" i="41"/>
  <c r="H69" i="41"/>
  <c r="G54" i="41"/>
  <c r="G69" i="41"/>
  <c r="H66" i="41"/>
  <c r="H63" i="41"/>
  <c r="H54" i="41"/>
  <c r="H51" i="41"/>
  <c r="H42" i="41"/>
  <c r="G78" i="41"/>
  <c r="I78" i="41"/>
  <c r="G75" i="41"/>
  <c r="I75" i="41"/>
  <c r="G72" i="41"/>
  <c r="I72" i="41"/>
  <c r="I69" i="41"/>
  <c r="G66" i="41"/>
  <c r="I66" i="41"/>
  <c r="I60" i="41"/>
  <c r="G57" i="41"/>
  <c r="I57" i="41"/>
  <c r="I54" i="41"/>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1" i="22"/>
  <c r="A122" i="22"/>
  <c r="A123" i="22"/>
  <c r="A124" i="22"/>
  <c r="A125" i="22"/>
  <c r="A126" i="22"/>
  <c r="A127" i="22"/>
  <c r="A128" i="22"/>
  <c r="A129" i="22"/>
  <c r="A130" i="22"/>
  <c r="A131" i="22"/>
  <c r="A132" i="22"/>
  <c r="A133" i="22"/>
  <c r="A134" i="22"/>
  <c r="A135" i="22"/>
  <c r="A136" i="22"/>
  <c r="A137" i="22"/>
  <c r="A138" i="22"/>
  <c r="A139" i="22"/>
  <c r="A140" i="22"/>
  <c r="A141" i="22"/>
  <c r="M26" i="32"/>
  <c r="M27" i="32"/>
  <c r="M28" i="32"/>
  <c r="M29" i="32"/>
  <c r="M30" i="32"/>
  <c r="M31" i="32"/>
  <c r="M32" i="32"/>
  <c r="M33" i="32"/>
  <c r="M34" i="32"/>
  <c r="M35" i="32"/>
  <c r="M36" i="32"/>
  <c r="M37" i="32"/>
  <c r="M38" i="32"/>
  <c r="M39" i="32"/>
  <c r="I88" i="21"/>
  <c r="G88" i="22"/>
  <c r="H88" i="22"/>
  <c r="C88" i="22"/>
  <c r="B88" i="22"/>
  <c r="U88" i="22"/>
  <c r="V88" i="22"/>
  <c r="W88" i="22"/>
  <c r="I89" i="21"/>
  <c r="G89" i="22"/>
  <c r="H89" i="22"/>
  <c r="C89" i="22"/>
  <c r="B89" i="22"/>
  <c r="U89" i="22"/>
  <c r="V89" i="22"/>
  <c r="W89" i="22"/>
  <c r="I90" i="21"/>
  <c r="G90" i="22"/>
  <c r="H90" i="22"/>
  <c r="C90" i="22"/>
  <c r="B90" i="22"/>
  <c r="U90" i="22"/>
  <c r="V90" i="22"/>
  <c r="W90" i="22"/>
  <c r="I91" i="21"/>
  <c r="G91" i="22"/>
  <c r="H91" i="22"/>
  <c r="C91" i="22"/>
  <c r="B91" i="22"/>
  <c r="U91" i="22"/>
  <c r="V91" i="22"/>
  <c r="W91" i="22"/>
  <c r="I92" i="21"/>
  <c r="G92" i="22"/>
  <c r="H92" i="22"/>
  <c r="C92" i="22"/>
  <c r="B92" i="22"/>
  <c r="U92" i="22"/>
  <c r="V92" i="22"/>
  <c r="W92" i="22"/>
  <c r="I93" i="21"/>
  <c r="G93" i="22"/>
  <c r="H93" i="22"/>
  <c r="C93" i="22"/>
  <c r="B93" i="22"/>
  <c r="U93" i="22"/>
  <c r="V93" i="22"/>
  <c r="W93" i="22"/>
  <c r="I94" i="21"/>
  <c r="G94" i="22"/>
  <c r="H94" i="22"/>
  <c r="C94" i="22"/>
  <c r="B94" i="22"/>
  <c r="U94" i="22"/>
  <c r="V94" i="22"/>
  <c r="W94" i="22"/>
  <c r="I95" i="21"/>
  <c r="G95" i="22"/>
  <c r="H95" i="22"/>
  <c r="C95" i="22"/>
  <c r="B95" i="22"/>
  <c r="U95" i="22"/>
  <c r="V95" i="22"/>
  <c r="W95" i="22"/>
  <c r="I96" i="21"/>
  <c r="G96" i="22"/>
  <c r="H96" i="22"/>
  <c r="C96" i="22"/>
  <c r="B96" i="22"/>
  <c r="U96" i="22"/>
  <c r="V96" i="22"/>
  <c r="W96" i="22"/>
  <c r="I97" i="21"/>
  <c r="G97" i="22"/>
  <c r="H97" i="22"/>
  <c r="C97" i="22"/>
  <c r="B97" i="22"/>
  <c r="U97" i="22"/>
  <c r="V97" i="22"/>
  <c r="W97" i="22"/>
  <c r="I98" i="21"/>
  <c r="G98" i="22"/>
  <c r="H98" i="22"/>
  <c r="C98" i="22"/>
  <c r="B98" i="22"/>
  <c r="U98" i="22"/>
  <c r="V98" i="22"/>
  <c r="W98" i="22"/>
  <c r="I99" i="21"/>
  <c r="G99" i="22"/>
  <c r="H99" i="22"/>
  <c r="C99" i="22"/>
  <c r="B99" i="22"/>
  <c r="U99" i="22"/>
  <c r="V99" i="22"/>
  <c r="W99" i="22"/>
  <c r="I100" i="21"/>
  <c r="G100" i="22"/>
  <c r="H100" i="22"/>
  <c r="C100" i="22"/>
  <c r="B100" i="22"/>
  <c r="U100" i="22"/>
  <c r="V100" i="22"/>
  <c r="W100" i="22"/>
  <c r="I101" i="21"/>
  <c r="G101" i="22"/>
  <c r="H101" i="22"/>
  <c r="C101" i="22"/>
  <c r="B101" i="22"/>
  <c r="U101" i="22"/>
  <c r="V101" i="22"/>
  <c r="W101" i="22"/>
  <c r="I102" i="21"/>
  <c r="G102" i="22"/>
  <c r="H102" i="22"/>
  <c r="C102" i="22"/>
  <c r="B102" i="22"/>
  <c r="U102" i="22"/>
  <c r="V102" i="22"/>
  <c r="W102" i="22"/>
  <c r="I103" i="21"/>
  <c r="G103" i="22"/>
  <c r="H103" i="22"/>
  <c r="C103" i="22"/>
  <c r="B103" i="22"/>
  <c r="U103" i="22"/>
  <c r="V103" i="22"/>
  <c r="W103" i="22"/>
  <c r="I104" i="21"/>
  <c r="G104" i="22"/>
  <c r="H104" i="22"/>
  <c r="C104" i="22"/>
  <c r="B104" i="22"/>
  <c r="U104" i="22"/>
  <c r="V104" i="22"/>
  <c r="W104" i="22"/>
  <c r="I105" i="21"/>
  <c r="G105" i="22"/>
  <c r="H105" i="22"/>
  <c r="C105" i="22"/>
  <c r="B105" i="22"/>
  <c r="U105" i="22"/>
  <c r="V105" i="22"/>
  <c r="W105" i="22"/>
  <c r="I106" i="21"/>
  <c r="G106" i="22"/>
  <c r="H106" i="22"/>
  <c r="C106" i="22"/>
  <c r="B106" i="22"/>
  <c r="U106" i="22"/>
  <c r="V106" i="22"/>
  <c r="W106" i="22"/>
  <c r="I107" i="21"/>
  <c r="G107" i="22"/>
  <c r="H107" i="22"/>
  <c r="C107" i="22"/>
  <c r="B107" i="22"/>
  <c r="U107" i="22"/>
  <c r="V107" i="22"/>
  <c r="W107" i="22"/>
  <c r="I108" i="21"/>
  <c r="G108" i="22"/>
  <c r="H108" i="22"/>
  <c r="C108" i="22"/>
  <c r="B108" i="22"/>
  <c r="U108" i="22"/>
  <c r="V108" i="22"/>
  <c r="W108" i="22"/>
  <c r="I109" i="21"/>
  <c r="G109" i="22"/>
  <c r="H109" i="22"/>
  <c r="C109" i="22"/>
  <c r="B109" i="22"/>
  <c r="U109" i="22"/>
  <c r="V109" i="22"/>
  <c r="W109" i="22"/>
  <c r="I110" i="21"/>
  <c r="G110" i="22"/>
  <c r="H110" i="22"/>
  <c r="C110" i="22"/>
  <c r="B110" i="22"/>
  <c r="U110" i="22"/>
  <c r="V110" i="22"/>
  <c r="W110" i="22"/>
  <c r="I111" i="21"/>
  <c r="G111" i="22"/>
  <c r="H111" i="22"/>
  <c r="C111" i="22"/>
  <c r="B111" i="22"/>
  <c r="U111" i="22"/>
  <c r="V111" i="22"/>
  <c r="W111" i="22"/>
  <c r="I112" i="21"/>
  <c r="G112" i="22"/>
  <c r="H112" i="22"/>
  <c r="C112" i="22"/>
  <c r="B112" i="22"/>
  <c r="U112" i="22"/>
  <c r="V112" i="22"/>
  <c r="W112" i="22"/>
  <c r="I113" i="21"/>
  <c r="G113" i="22"/>
  <c r="H113" i="22"/>
  <c r="C113" i="22"/>
  <c r="B113" i="22"/>
  <c r="U113" i="22"/>
  <c r="V113" i="22"/>
  <c r="W113" i="22"/>
  <c r="I114" i="21"/>
  <c r="G114" i="22"/>
  <c r="H114" i="22"/>
  <c r="C114" i="22"/>
  <c r="B114" i="22"/>
  <c r="U114" i="22"/>
  <c r="V114" i="22"/>
  <c r="W114" i="22"/>
  <c r="I115" i="21"/>
  <c r="G115" i="22"/>
  <c r="H115" i="22"/>
  <c r="C115" i="22"/>
  <c r="B115" i="22"/>
  <c r="U115" i="22"/>
  <c r="V115" i="22"/>
  <c r="W115" i="22"/>
  <c r="I116" i="21"/>
  <c r="G116" i="22"/>
  <c r="H116" i="22"/>
  <c r="C116" i="22"/>
  <c r="B116" i="22"/>
  <c r="U116" i="22"/>
  <c r="V116" i="22"/>
  <c r="W116" i="22"/>
  <c r="I117" i="21"/>
  <c r="G117" i="22"/>
  <c r="H117" i="22"/>
  <c r="C117" i="22"/>
  <c r="B117" i="22"/>
  <c r="U117" i="22"/>
  <c r="V117" i="22"/>
  <c r="W117" i="22"/>
  <c r="I118" i="21"/>
  <c r="G118" i="22"/>
  <c r="H118" i="22"/>
  <c r="V118" i="22"/>
  <c r="I119" i="21"/>
  <c r="G119" i="22"/>
  <c r="H119" i="22"/>
  <c r="C119" i="22"/>
  <c r="B119" i="22"/>
  <c r="U119" i="22"/>
  <c r="V119" i="22"/>
  <c r="W119" i="22"/>
  <c r="I120" i="21"/>
  <c r="G120" i="22"/>
  <c r="H120" i="22"/>
  <c r="C120" i="22"/>
  <c r="B120" i="22"/>
  <c r="U120" i="22"/>
  <c r="V120" i="22"/>
  <c r="W120" i="22"/>
  <c r="I121" i="21"/>
  <c r="G121" i="22"/>
  <c r="H121" i="22"/>
  <c r="C121" i="22"/>
  <c r="B121" i="22"/>
  <c r="U121" i="22"/>
  <c r="V121" i="22"/>
  <c r="W121" i="22"/>
  <c r="I122" i="21"/>
  <c r="G122" i="22"/>
  <c r="H122" i="22"/>
  <c r="C122" i="22"/>
  <c r="B122" i="22"/>
  <c r="U122" i="22"/>
  <c r="V122" i="22"/>
  <c r="W122" i="22"/>
  <c r="I123" i="21"/>
  <c r="G123" i="22"/>
  <c r="H123" i="22"/>
  <c r="C123" i="22"/>
  <c r="B123" i="22"/>
  <c r="U123" i="22"/>
  <c r="V123" i="22"/>
  <c r="W123" i="22"/>
  <c r="I124" i="21"/>
  <c r="G124" i="22"/>
  <c r="H124" i="22"/>
  <c r="C124" i="22"/>
  <c r="B124" i="22"/>
  <c r="U124" i="22"/>
  <c r="V124" i="22"/>
  <c r="W124" i="22"/>
  <c r="I125" i="21"/>
  <c r="G125" i="22"/>
  <c r="H125" i="22"/>
  <c r="C125" i="22"/>
  <c r="B125" i="22"/>
  <c r="U125" i="22"/>
  <c r="V125" i="22"/>
  <c r="W125" i="22"/>
  <c r="I126" i="21"/>
  <c r="G126" i="22"/>
  <c r="H126" i="22"/>
  <c r="C126" i="22"/>
  <c r="B126" i="22"/>
  <c r="U126" i="22"/>
  <c r="V126" i="22"/>
  <c r="W126" i="22"/>
  <c r="I127" i="21"/>
  <c r="G127" i="22"/>
  <c r="H127" i="22"/>
  <c r="C127" i="22"/>
  <c r="B127" i="22"/>
  <c r="U127" i="22"/>
  <c r="V127" i="22"/>
  <c r="W127" i="22"/>
  <c r="I128" i="21"/>
  <c r="G128" i="22"/>
  <c r="H128" i="22"/>
  <c r="C128" i="22"/>
  <c r="B128" i="22"/>
  <c r="U128" i="22"/>
  <c r="V128" i="22"/>
  <c r="W128" i="22"/>
  <c r="I129" i="21"/>
  <c r="G129" i="22"/>
  <c r="H129" i="22"/>
  <c r="C129" i="22"/>
  <c r="B129" i="22"/>
  <c r="U129" i="22"/>
  <c r="V129" i="22"/>
  <c r="W129" i="22"/>
  <c r="I130" i="21"/>
  <c r="G130" i="22"/>
  <c r="H130" i="22"/>
  <c r="C130" i="22"/>
  <c r="B130" i="22"/>
  <c r="U130" i="22"/>
  <c r="V130" i="22"/>
  <c r="W130" i="22"/>
  <c r="I131" i="21"/>
  <c r="G131" i="22"/>
  <c r="H131" i="22"/>
  <c r="C131" i="22"/>
  <c r="B131" i="22"/>
  <c r="U131" i="22"/>
  <c r="V131" i="22"/>
  <c r="W131" i="22"/>
  <c r="I132" i="21"/>
  <c r="G132" i="22"/>
  <c r="H132" i="22"/>
  <c r="C132" i="22"/>
  <c r="B132" i="22"/>
  <c r="U132" i="22"/>
  <c r="V132" i="22"/>
  <c r="W132" i="22"/>
  <c r="I133" i="21"/>
  <c r="G133" i="22"/>
  <c r="H133" i="22"/>
  <c r="C133" i="22"/>
  <c r="B133" i="22"/>
  <c r="U133" i="22"/>
  <c r="V133" i="22"/>
  <c r="W133" i="22"/>
  <c r="I134" i="21"/>
  <c r="G134" i="22"/>
  <c r="H134" i="22"/>
  <c r="C134" i="22"/>
  <c r="B134" i="22"/>
  <c r="U134" i="22"/>
  <c r="V134" i="22"/>
  <c r="W134" i="22"/>
  <c r="I135" i="21"/>
  <c r="G135" i="22"/>
  <c r="H135" i="22"/>
  <c r="C135" i="22"/>
  <c r="B135" i="22"/>
  <c r="U135" i="22"/>
  <c r="V135" i="22"/>
  <c r="W135" i="22"/>
  <c r="I136" i="21"/>
  <c r="G136" i="22"/>
  <c r="H136" i="22"/>
  <c r="C136" i="22"/>
  <c r="B136" i="22"/>
  <c r="U136" i="22"/>
  <c r="V136" i="22"/>
  <c r="W136" i="22"/>
  <c r="I137" i="21"/>
  <c r="G137" i="22"/>
  <c r="H137" i="22"/>
  <c r="C137" i="22"/>
  <c r="B137" i="22"/>
  <c r="U137" i="22"/>
  <c r="V137" i="22"/>
  <c r="W137" i="22"/>
  <c r="I138" i="21"/>
  <c r="G138" i="22"/>
  <c r="H138" i="22"/>
  <c r="C138" i="22"/>
  <c r="B138" i="22"/>
  <c r="U138" i="22"/>
  <c r="V138" i="22"/>
  <c r="W138" i="22"/>
  <c r="I139" i="21"/>
  <c r="G139" i="22"/>
  <c r="H139" i="22"/>
  <c r="C139" i="22"/>
  <c r="B139" i="22"/>
  <c r="U139" i="22"/>
  <c r="V139" i="22"/>
  <c r="W139" i="22"/>
  <c r="I140" i="21"/>
  <c r="G140" i="22"/>
  <c r="H140" i="22"/>
  <c r="C140" i="22"/>
  <c r="B140" i="22"/>
  <c r="U140" i="22"/>
  <c r="V140" i="22"/>
  <c r="W140" i="22"/>
  <c r="I141" i="21"/>
  <c r="G141" i="22"/>
  <c r="H141" i="22"/>
  <c r="C141" i="22"/>
  <c r="B141" i="22"/>
  <c r="U141" i="22"/>
  <c r="V141" i="22"/>
  <c r="W141" i="22"/>
  <c r="I142" i="21"/>
  <c r="G142" i="22"/>
  <c r="H142" i="22"/>
  <c r="C142" i="22"/>
  <c r="B142" i="22"/>
  <c r="U142" i="22"/>
  <c r="V142" i="22"/>
  <c r="W142" i="22"/>
  <c r="I143" i="21"/>
  <c r="G143" i="22"/>
  <c r="H143" i="22"/>
  <c r="C143" i="22"/>
  <c r="B143" i="22"/>
  <c r="U143" i="22"/>
  <c r="V143" i="22"/>
  <c r="W143" i="22"/>
  <c r="I144" i="21"/>
  <c r="G144" i="22"/>
  <c r="H144" i="22"/>
  <c r="C144" i="22"/>
  <c r="B144" i="22"/>
  <c r="U144" i="22"/>
  <c r="V144" i="22"/>
  <c r="W144" i="22"/>
  <c r="I145" i="21"/>
  <c r="G145" i="22"/>
  <c r="H145" i="22"/>
  <c r="C145" i="22"/>
  <c r="B145" i="22"/>
  <c r="U145" i="22"/>
  <c r="V145" i="22"/>
  <c r="W145" i="22"/>
  <c r="I146" i="21"/>
  <c r="G146" i="22"/>
  <c r="H146" i="22"/>
  <c r="C146" i="22"/>
  <c r="B146" i="22"/>
  <c r="U146" i="22"/>
  <c r="V146" i="22"/>
  <c r="W146" i="22"/>
  <c r="I147" i="21"/>
  <c r="G147" i="22"/>
  <c r="H147" i="22"/>
  <c r="C147" i="22"/>
  <c r="B147" i="22"/>
  <c r="U147" i="22"/>
  <c r="V147" i="22"/>
  <c r="W147" i="22"/>
  <c r="I148" i="21"/>
  <c r="G148" i="22"/>
  <c r="H148" i="22"/>
  <c r="C148" i="22"/>
  <c r="B148" i="22"/>
  <c r="U148" i="22"/>
  <c r="V148" i="22"/>
  <c r="W148" i="22"/>
  <c r="I149" i="21"/>
  <c r="G149" i="22"/>
  <c r="H149" i="22"/>
  <c r="C149" i="22"/>
  <c r="B149" i="22"/>
  <c r="U149" i="22"/>
  <c r="V149" i="22"/>
  <c r="W149" i="22"/>
  <c r="I150" i="21"/>
  <c r="G150" i="22"/>
  <c r="H150" i="22"/>
  <c r="C150" i="22"/>
  <c r="B150" i="22"/>
  <c r="U150" i="22"/>
  <c r="V150" i="22"/>
  <c r="W150" i="22"/>
  <c r="I151" i="21"/>
  <c r="G151" i="22"/>
  <c r="H151" i="22"/>
  <c r="C151" i="22"/>
  <c r="B151" i="22"/>
  <c r="U151" i="22"/>
  <c r="V151" i="22"/>
  <c r="W151" i="22"/>
  <c r="I152" i="21"/>
  <c r="G152" i="22"/>
  <c r="H152" i="22"/>
  <c r="C152" i="22"/>
  <c r="B152" i="22"/>
  <c r="U152" i="22"/>
  <c r="V152" i="22"/>
  <c r="W152" i="22"/>
  <c r="I153" i="21"/>
  <c r="G153" i="22"/>
  <c r="H153" i="22"/>
  <c r="C153" i="22"/>
  <c r="B153" i="22"/>
  <c r="U153" i="22"/>
  <c r="V153" i="22"/>
  <c r="W153" i="22"/>
  <c r="I154" i="21"/>
  <c r="G154" i="22"/>
  <c r="H154" i="22"/>
  <c r="C154" i="22"/>
  <c r="B154" i="22"/>
  <c r="U154" i="22"/>
  <c r="V154" i="22"/>
  <c r="W154" i="22"/>
  <c r="I155" i="21"/>
  <c r="G155" i="22"/>
  <c r="H155" i="22"/>
  <c r="C155" i="22"/>
  <c r="B155" i="22"/>
  <c r="U155" i="22"/>
  <c r="V155" i="22"/>
  <c r="W155" i="22"/>
  <c r="I156" i="21"/>
  <c r="G156" i="22"/>
  <c r="H156" i="22"/>
  <c r="C156" i="22"/>
  <c r="B156" i="22"/>
  <c r="U156" i="22"/>
  <c r="V156" i="22"/>
  <c r="W156" i="22"/>
  <c r="I157" i="21"/>
  <c r="G157" i="22"/>
  <c r="H157" i="22"/>
  <c r="C157" i="22"/>
  <c r="B157" i="22"/>
  <c r="U157" i="22"/>
  <c r="V157" i="22"/>
  <c r="W157" i="22"/>
  <c r="I158" i="21"/>
  <c r="G158" i="22"/>
  <c r="H158" i="22"/>
  <c r="C158" i="22"/>
  <c r="B158" i="22"/>
  <c r="U158" i="22"/>
  <c r="V158" i="22"/>
  <c r="W158" i="22"/>
  <c r="I159" i="21"/>
  <c r="G159" i="22"/>
  <c r="H159" i="22"/>
  <c r="C159" i="22"/>
  <c r="B159" i="22"/>
  <c r="U159" i="22"/>
  <c r="V159" i="22"/>
  <c r="W159" i="22"/>
  <c r="I160" i="21"/>
  <c r="G160" i="22"/>
  <c r="H160" i="22"/>
  <c r="C160" i="22"/>
  <c r="B160" i="22"/>
  <c r="U160" i="22"/>
  <c r="V160" i="22"/>
  <c r="W160" i="22"/>
  <c r="I161" i="21"/>
  <c r="G161" i="22"/>
  <c r="H161" i="22"/>
  <c r="C161" i="22"/>
  <c r="B161" i="22"/>
  <c r="U161" i="22"/>
  <c r="V161" i="22"/>
  <c r="W161" i="22"/>
  <c r="I162" i="21"/>
  <c r="G162" i="22"/>
  <c r="H162" i="22"/>
  <c r="C162" i="22"/>
  <c r="B162" i="22"/>
  <c r="U162" i="22"/>
  <c r="V162" i="22"/>
  <c r="W162" i="22"/>
  <c r="I163" i="21"/>
  <c r="G163" i="22"/>
  <c r="H163" i="22"/>
  <c r="C163" i="22"/>
  <c r="B163" i="22"/>
  <c r="U163" i="22"/>
  <c r="V163" i="22"/>
  <c r="W163" i="22"/>
  <c r="I164" i="21"/>
  <c r="G164" i="22"/>
  <c r="H164" i="22"/>
  <c r="C164" i="22"/>
  <c r="B164" i="22"/>
  <c r="U164" i="22"/>
  <c r="V164" i="22"/>
  <c r="W164" i="22"/>
  <c r="I165" i="21"/>
  <c r="G165" i="22"/>
  <c r="H165" i="22"/>
  <c r="C165" i="22"/>
  <c r="B165" i="22"/>
  <c r="U165" i="22"/>
  <c r="V165" i="22"/>
  <c r="W165" i="22"/>
  <c r="I166" i="21"/>
  <c r="G166" i="22"/>
  <c r="H166" i="22"/>
  <c r="C166" i="22"/>
  <c r="B166" i="22"/>
  <c r="U166" i="22"/>
  <c r="V166" i="22"/>
  <c r="W166" i="22"/>
  <c r="I167" i="21"/>
  <c r="G167" i="22"/>
  <c r="H167" i="22"/>
  <c r="C167" i="22"/>
  <c r="B167" i="22"/>
  <c r="U167" i="22"/>
  <c r="V167" i="22"/>
  <c r="W167" i="22"/>
  <c r="I168" i="21"/>
  <c r="G168" i="22"/>
  <c r="H168" i="22"/>
  <c r="C168" i="22"/>
  <c r="B168" i="22"/>
  <c r="U168" i="22"/>
  <c r="V168" i="22"/>
  <c r="W168" i="22"/>
  <c r="I169" i="21"/>
  <c r="G169" i="22"/>
  <c r="H169" i="22"/>
  <c r="C169" i="22"/>
  <c r="B169" i="22"/>
  <c r="U169" i="22"/>
  <c r="V169" i="22"/>
  <c r="W169" i="22"/>
  <c r="I170" i="21"/>
  <c r="G170" i="22"/>
  <c r="H170" i="22"/>
  <c r="C170" i="22"/>
  <c r="B170" i="22"/>
  <c r="U170" i="22"/>
  <c r="V170" i="22"/>
  <c r="W170" i="22"/>
  <c r="I171" i="21"/>
  <c r="G171" i="22"/>
  <c r="H171" i="22"/>
  <c r="C171" i="22"/>
  <c r="B171" i="22"/>
  <c r="U171" i="22"/>
  <c r="V171" i="22"/>
  <c r="W171" i="22"/>
  <c r="I172" i="21"/>
  <c r="G172" i="22"/>
  <c r="H172" i="22"/>
  <c r="C172" i="22"/>
  <c r="B172" i="22"/>
  <c r="U172" i="22"/>
  <c r="V172" i="22"/>
  <c r="W172" i="22"/>
  <c r="I173" i="21"/>
  <c r="G173" i="22"/>
  <c r="H173" i="22"/>
  <c r="C173" i="22"/>
  <c r="B173" i="22"/>
  <c r="U173" i="22"/>
  <c r="V173" i="22"/>
  <c r="W173" i="22"/>
  <c r="I174" i="21"/>
  <c r="G174" i="22"/>
  <c r="H174" i="22"/>
  <c r="C174" i="22"/>
  <c r="B174" i="22"/>
  <c r="U174" i="22"/>
  <c r="V174" i="22"/>
  <c r="W174" i="22"/>
  <c r="I175" i="21"/>
  <c r="G175" i="22"/>
  <c r="H175" i="22"/>
  <c r="C175" i="22"/>
  <c r="B175" i="22"/>
  <c r="U175" i="22"/>
  <c r="V175" i="22"/>
  <c r="W175" i="22"/>
  <c r="I176" i="21"/>
  <c r="G176" i="22"/>
  <c r="H176" i="22"/>
  <c r="C176" i="22"/>
  <c r="B176" i="22"/>
  <c r="U176" i="22"/>
  <c r="V176" i="22"/>
  <c r="W176" i="22"/>
  <c r="I177" i="21"/>
  <c r="G177" i="22"/>
  <c r="H177" i="22"/>
  <c r="C177" i="22"/>
  <c r="B177" i="22"/>
  <c r="U177" i="22"/>
  <c r="V177" i="22"/>
  <c r="W177" i="22"/>
  <c r="I178" i="21"/>
  <c r="G178" i="22"/>
  <c r="H178" i="22"/>
  <c r="C178" i="22"/>
  <c r="B178" i="22"/>
  <c r="U178" i="22"/>
  <c r="V178" i="22"/>
  <c r="W178" i="22"/>
  <c r="I179" i="21"/>
  <c r="G179" i="22"/>
  <c r="H179" i="22"/>
  <c r="C179" i="22"/>
  <c r="B179" i="22"/>
  <c r="U179" i="22"/>
  <c r="V179" i="22"/>
  <c r="W179" i="22"/>
  <c r="I180" i="21"/>
  <c r="G180" i="22"/>
  <c r="H180" i="22"/>
  <c r="C180" i="22"/>
  <c r="B180" i="22"/>
  <c r="U180" i="22"/>
  <c r="V180" i="22"/>
  <c r="W180" i="22"/>
  <c r="I181" i="21"/>
  <c r="G181" i="22"/>
  <c r="H181" i="22"/>
  <c r="C181" i="22"/>
  <c r="B181" i="22"/>
  <c r="U181" i="22"/>
  <c r="V181" i="22"/>
  <c r="W181"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25" i="22"/>
  <c r="I26" i="21"/>
  <c r="G26" i="22"/>
  <c r="V26" i="22"/>
  <c r="I27" i="21"/>
  <c r="G27" i="22"/>
  <c r="V27" i="22"/>
  <c r="I28" i="21"/>
  <c r="G28" i="22"/>
  <c r="V28" i="22"/>
  <c r="I29" i="21"/>
  <c r="G29" i="22"/>
  <c r="V29" i="22"/>
  <c r="I30" i="21"/>
  <c r="G30" i="22"/>
  <c r="V30" i="22"/>
  <c r="I31" i="21"/>
  <c r="G31" i="22"/>
  <c r="V31" i="22"/>
  <c r="I32" i="21"/>
  <c r="G32" i="22"/>
  <c r="V32" i="22"/>
  <c r="I33" i="21"/>
  <c r="G33" i="22"/>
  <c r="V33" i="22"/>
  <c r="I34" i="21"/>
  <c r="G34" i="22"/>
  <c r="V34" i="22"/>
  <c r="I35" i="21"/>
  <c r="G35" i="22"/>
  <c r="V35" i="22"/>
  <c r="I36" i="21"/>
  <c r="G36" i="22"/>
  <c r="V36" i="22"/>
  <c r="I37" i="21"/>
  <c r="G37" i="22"/>
  <c r="V37" i="22"/>
  <c r="I38" i="21"/>
  <c r="G38" i="22"/>
  <c r="V38" i="22"/>
  <c r="I39" i="21"/>
  <c r="G39" i="22"/>
  <c r="V39" i="22"/>
  <c r="I40" i="21"/>
  <c r="G40" i="22"/>
  <c r="V40" i="22"/>
  <c r="I41" i="21"/>
  <c r="G41" i="22"/>
  <c r="V41" i="22"/>
  <c r="I42" i="21"/>
  <c r="G42" i="22"/>
  <c r="V42" i="22"/>
  <c r="I43" i="21"/>
  <c r="G43" i="22"/>
  <c r="V43" i="22"/>
  <c r="I44" i="21"/>
  <c r="G44" i="22"/>
  <c r="V44" i="22"/>
  <c r="I45" i="21"/>
  <c r="G45" i="22"/>
  <c r="V45" i="22"/>
  <c r="I46" i="21"/>
  <c r="G46" i="22"/>
  <c r="V46" i="22"/>
  <c r="I47" i="21"/>
  <c r="G47" i="22"/>
  <c r="V47" i="22"/>
  <c r="I48" i="21"/>
  <c r="G48" i="22"/>
  <c r="V48" i="22"/>
  <c r="I49" i="21"/>
  <c r="G49" i="22"/>
  <c r="V49" i="22"/>
  <c r="I50" i="21"/>
  <c r="G50" i="22"/>
  <c r="V50" i="22"/>
  <c r="I51" i="21"/>
  <c r="G51" i="22"/>
  <c r="V51" i="22"/>
  <c r="I52" i="21"/>
  <c r="G52" i="22"/>
  <c r="V52" i="22"/>
  <c r="I53" i="21"/>
  <c r="G53" i="22"/>
  <c r="V53" i="22"/>
  <c r="I54" i="21"/>
  <c r="G54" i="22"/>
  <c r="V54" i="22"/>
  <c r="I55" i="21"/>
  <c r="G55" i="22"/>
  <c r="V55" i="22"/>
  <c r="I56" i="21"/>
  <c r="G56" i="22"/>
  <c r="V56" i="22"/>
  <c r="I57" i="21"/>
  <c r="G57" i="22"/>
  <c r="V57" i="22"/>
  <c r="I58" i="21"/>
  <c r="G58" i="22"/>
  <c r="V58" i="22"/>
  <c r="I59" i="21"/>
  <c r="G59" i="22"/>
  <c r="V59" i="22"/>
  <c r="I60" i="21"/>
  <c r="G60" i="22"/>
  <c r="V60" i="22"/>
  <c r="I61" i="21"/>
  <c r="G61" i="22"/>
  <c r="V61" i="22"/>
  <c r="I62" i="21"/>
  <c r="G62" i="22"/>
  <c r="V62" i="22"/>
  <c r="I63" i="21"/>
  <c r="G63" i="22"/>
  <c r="V63" i="22"/>
  <c r="I64" i="21"/>
  <c r="G64" i="22"/>
  <c r="V64" i="22"/>
  <c r="I65" i="21"/>
  <c r="G65" i="22"/>
  <c r="V65" i="22"/>
  <c r="I66" i="21"/>
  <c r="G66" i="22"/>
  <c r="V66" i="22"/>
  <c r="I67" i="21"/>
  <c r="G67" i="22"/>
  <c r="V67" i="22"/>
  <c r="I68" i="21"/>
  <c r="G68" i="22"/>
  <c r="V68" i="22"/>
  <c r="I69" i="21"/>
  <c r="G69" i="22"/>
  <c r="V69" i="22"/>
  <c r="I70" i="21"/>
  <c r="G70" i="22"/>
  <c r="V70" i="22"/>
  <c r="I71" i="21"/>
  <c r="G71" i="22"/>
  <c r="V71" i="22"/>
  <c r="I72" i="21"/>
  <c r="G72" i="22"/>
  <c r="V72" i="22"/>
  <c r="I73" i="21"/>
  <c r="G73" i="22"/>
  <c r="V73" i="22"/>
  <c r="I74" i="21"/>
  <c r="G74" i="22"/>
  <c r="V74" i="22"/>
  <c r="I75" i="21"/>
  <c r="G75" i="22"/>
  <c r="V75" i="22"/>
  <c r="I76" i="21"/>
  <c r="G76" i="22"/>
  <c r="V76" i="22"/>
  <c r="I77" i="21"/>
  <c r="G77" i="22"/>
  <c r="V77" i="22"/>
  <c r="I78" i="21"/>
  <c r="G78" i="22"/>
  <c r="V78" i="22"/>
  <c r="I79" i="21"/>
  <c r="G79" i="22"/>
  <c r="V79" i="22"/>
  <c r="I80" i="21"/>
  <c r="G80" i="22"/>
  <c r="V80" i="22"/>
  <c r="I81" i="21"/>
  <c r="G81" i="22"/>
  <c r="V81" i="22"/>
  <c r="I82" i="21"/>
  <c r="G82" i="22"/>
  <c r="V82" i="22"/>
  <c r="I83" i="21"/>
  <c r="G83" i="22"/>
  <c r="V83" i="22"/>
  <c r="I84" i="21"/>
  <c r="G84" i="22"/>
  <c r="V84" i="22"/>
  <c r="I85" i="21"/>
  <c r="G85" i="22"/>
  <c r="V85" i="22"/>
  <c r="I86" i="21"/>
  <c r="G86" i="22"/>
  <c r="V86" i="22"/>
  <c r="I87" i="21"/>
  <c r="G87" i="22"/>
  <c r="V87" i="22"/>
  <c r="I25" i="21"/>
  <c r="G25" i="22"/>
  <c r="V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C60" i="22"/>
  <c r="B60" i="22"/>
  <c r="U60" i="22"/>
  <c r="H61" i="22"/>
  <c r="C61" i="22"/>
  <c r="B61" i="22"/>
  <c r="U61" i="22"/>
  <c r="H62" i="22"/>
  <c r="C62" i="22"/>
  <c r="B62" i="22"/>
  <c r="U62" i="22"/>
  <c r="H63" i="22"/>
  <c r="C63" i="22"/>
  <c r="B63" i="22"/>
  <c r="U63" i="22"/>
  <c r="H64" i="22"/>
  <c r="C64" i="22"/>
  <c r="B64" i="22"/>
  <c r="U64" i="22"/>
  <c r="H65" i="22"/>
  <c r="C65" i="22"/>
  <c r="B65" i="22"/>
  <c r="U65" i="22"/>
  <c r="H66" i="22"/>
  <c r="C66" i="22"/>
  <c r="B66" i="22"/>
  <c r="U66" i="22"/>
  <c r="H67" i="22"/>
  <c r="C67" i="22"/>
  <c r="B67" i="22"/>
  <c r="U67" i="22"/>
  <c r="H68" i="22"/>
  <c r="C68" i="22"/>
  <c r="B68" i="22"/>
  <c r="U68" i="22"/>
  <c r="H69" i="22"/>
  <c r="C69" i="22"/>
  <c r="B69" i="22"/>
  <c r="U69" i="22"/>
  <c r="H70" i="22"/>
  <c r="C70" i="22"/>
  <c r="B70" i="22"/>
  <c r="U70" i="22"/>
  <c r="H71" i="22"/>
  <c r="C71" i="22"/>
  <c r="B71" i="22"/>
  <c r="U71" i="22"/>
  <c r="H72" i="22"/>
  <c r="C72" i="22"/>
  <c r="B72" i="22"/>
  <c r="U72" i="22"/>
  <c r="H73" i="22"/>
  <c r="C73" i="22"/>
  <c r="B73" i="22"/>
  <c r="U73" i="22"/>
  <c r="H74" i="22"/>
  <c r="C74" i="22"/>
  <c r="B74" i="22"/>
  <c r="U74" i="22"/>
  <c r="H75" i="22"/>
  <c r="C75" i="22"/>
  <c r="B75" i="22"/>
  <c r="U75" i="22"/>
  <c r="H76" i="22"/>
  <c r="C76" i="22"/>
  <c r="B76" i="22"/>
  <c r="U76" i="22"/>
  <c r="H77" i="22"/>
  <c r="C77" i="22"/>
  <c r="B77" i="22"/>
  <c r="U77" i="22"/>
  <c r="H78" i="22"/>
  <c r="C78" i="22"/>
  <c r="B78" i="22"/>
  <c r="U78" i="22"/>
  <c r="H79" i="22"/>
  <c r="C79" i="22"/>
  <c r="B79" i="22"/>
  <c r="U79" i="22"/>
  <c r="H80" i="22"/>
  <c r="C80" i="22"/>
  <c r="B80" i="22"/>
  <c r="U80" i="22"/>
  <c r="H81" i="22"/>
  <c r="C81" i="22"/>
  <c r="B81" i="22"/>
  <c r="U81" i="22"/>
  <c r="H82" i="22"/>
  <c r="C82" i="22"/>
  <c r="B82" i="22"/>
  <c r="U82" i="22"/>
  <c r="H83" i="22"/>
  <c r="C83" i="22"/>
  <c r="B83" i="22"/>
  <c r="U83" i="22"/>
  <c r="H84" i="22"/>
  <c r="C84" i="22"/>
  <c r="B84" i="22"/>
  <c r="U84" i="22"/>
  <c r="H85" i="22"/>
  <c r="C85" i="22"/>
  <c r="B85" i="22"/>
  <c r="U85" i="22"/>
  <c r="H86" i="22"/>
  <c r="C86" i="22"/>
  <c r="B86" i="22"/>
  <c r="U86" i="22"/>
  <c r="H87" i="22"/>
  <c r="C87" i="22"/>
  <c r="B87" i="22"/>
  <c r="U87" i="22"/>
  <c r="H25" i="22"/>
  <c r="C25" i="22"/>
  <c r="B25" i="22"/>
  <c r="U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25" i="22"/>
  <c r="G246" i="25"/>
  <c r="D79" i="27"/>
  <c r="G243" i="25"/>
  <c r="D76" i="27"/>
  <c r="G237" i="25"/>
  <c r="D70" i="27"/>
  <c r="G234" i="25"/>
  <c r="D67" i="27"/>
  <c r="G231" i="25"/>
  <c r="D64" i="27"/>
  <c r="G228" i="25"/>
  <c r="D61" i="27"/>
  <c r="G219" i="25"/>
  <c r="D52" i="27"/>
  <c r="B18" i="40"/>
  <c r="B17" i="40"/>
  <c r="B16" i="40"/>
  <c r="E25" i="6"/>
  <c r="J79" i="27"/>
  <c r="K79" i="27"/>
  <c r="O79" i="27"/>
  <c r="J76" i="27"/>
  <c r="K76" i="27"/>
  <c r="O76" i="27"/>
  <c r="J70" i="27"/>
  <c r="K70" i="27"/>
  <c r="O70" i="27"/>
  <c r="J67" i="27"/>
  <c r="K67" i="27"/>
  <c r="O67" i="27"/>
  <c r="J64" i="27"/>
  <c r="K64" i="27"/>
  <c r="O64" i="27"/>
  <c r="J61" i="27"/>
  <c r="K61" i="27"/>
  <c r="O61" i="27"/>
  <c r="J52" i="27"/>
  <c r="K52" i="27"/>
  <c r="O52" i="27"/>
  <c r="J46" i="27"/>
  <c r="K46" i="27"/>
  <c r="O46" i="27"/>
  <c r="H22" i="27"/>
  <c r="H13" i="27"/>
  <c r="B15" i="40"/>
  <c r="B14" i="40"/>
  <c r="B12" i="40"/>
  <c r="B11" i="40"/>
  <c r="B10" i="40"/>
  <c r="J22" i="6"/>
  <c r="J10" i="6"/>
  <c r="J166" i="5"/>
  <c r="J176" i="6"/>
  <c r="J65" i="5"/>
  <c r="T176" i="6"/>
  <c r="S166" i="5"/>
  <c r="S176" i="6"/>
  <c r="R176" i="6"/>
  <c r="C19" i="30"/>
  <c r="C18" i="30"/>
  <c r="S15" i="5"/>
  <c r="S16" i="5"/>
  <c r="C29" i="30"/>
  <c r="C20" i="30"/>
  <c r="S17" i="5"/>
  <c r="C21" i="30"/>
  <c r="S18" i="5"/>
  <c r="C22" i="30"/>
  <c r="S19" i="5"/>
  <c r="C23" i="30"/>
  <c r="S20" i="5"/>
  <c r="C24" i="30"/>
  <c r="S21" i="5"/>
  <c r="C25" i="30"/>
  <c r="S22" i="5"/>
  <c r="C26" i="30"/>
  <c r="S23" i="5"/>
  <c r="C27" i="30"/>
  <c r="S24" i="5"/>
  <c r="C28" i="30"/>
  <c r="S25" i="5"/>
  <c r="S26" i="5"/>
  <c r="C39" i="30"/>
  <c r="C30" i="30"/>
  <c r="S27" i="5"/>
  <c r="C31" i="30"/>
  <c r="S28" i="5"/>
  <c r="C32" i="30"/>
  <c r="S29" i="5"/>
  <c r="C33" i="30"/>
  <c r="S30" i="5"/>
  <c r="C34" i="30"/>
  <c r="S31" i="5"/>
  <c r="C35" i="30"/>
  <c r="S32" i="5"/>
  <c r="C36" i="30"/>
  <c r="S33" i="5"/>
  <c r="C37" i="30"/>
  <c r="S34" i="5"/>
  <c r="C38" i="30"/>
  <c r="S35" i="5"/>
  <c r="S36" i="5"/>
  <c r="C49" i="30"/>
  <c r="C40" i="30"/>
  <c r="S37" i="5"/>
  <c r="C41" i="30"/>
  <c r="S38" i="5"/>
  <c r="C42" i="30"/>
  <c r="S39" i="5"/>
  <c r="C43" i="30"/>
  <c r="S40" i="5"/>
  <c r="C44" i="30"/>
  <c r="S41" i="5"/>
  <c r="C45" i="30"/>
  <c r="S42" i="5"/>
  <c r="C46" i="30"/>
  <c r="S43" i="5"/>
  <c r="C47" i="30"/>
  <c r="S44" i="5"/>
  <c r="C48" i="30"/>
  <c r="S45" i="5"/>
  <c r="L45" i="5"/>
  <c r="S46" i="5"/>
  <c r="L46" i="5"/>
  <c r="C58" i="30"/>
  <c r="C50" i="30"/>
  <c r="S47" i="5"/>
  <c r="L47" i="5"/>
  <c r="C51" i="30"/>
  <c r="S48" i="5"/>
  <c r="L48" i="5"/>
  <c r="C52" i="30"/>
  <c r="S49" i="5"/>
  <c r="L49" i="5"/>
  <c r="C53" i="30"/>
  <c r="S50" i="5"/>
  <c r="L50" i="5"/>
  <c r="C54" i="30"/>
  <c r="S51" i="5"/>
  <c r="L51" i="5"/>
  <c r="C55" i="30"/>
  <c r="S52" i="5"/>
  <c r="L52" i="5"/>
  <c r="C56" i="30"/>
  <c r="S53" i="5"/>
  <c r="L53" i="5"/>
  <c r="C57" i="30"/>
  <c r="S54" i="5"/>
  <c r="L54" i="5"/>
  <c r="S55" i="5"/>
  <c r="L55" i="5"/>
  <c r="C68" i="30"/>
  <c r="C59" i="30"/>
  <c r="S56" i="5"/>
  <c r="L56" i="5"/>
  <c r="C60" i="30"/>
  <c r="S57" i="5"/>
  <c r="L57" i="5"/>
  <c r="C61" i="30"/>
  <c r="S58" i="5"/>
  <c r="L58" i="5"/>
  <c r="C62" i="30"/>
  <c r="S59" i="5"/>
  <c r="L59" i="5"/>
  <c r="C63" i="30"/>
  <c r="S60" i="5"/>
  <c r="L60" i="5"/>
  <c r="C64" i="30"/>
  <c r="S61" i="5"/>
  <c r="L61" i="5"/>
  <c r="C65" i="30"/>
  <c r="S62" i="5"/>
  <c r="L62" i="5"/>
  <c r="C66" i="30"/>
  <c r="S63" i="5"/>
  <c r="L63" i="5"/>
  <c r="C67" i="30"/>
  <c r="S64" i="5"/>
  <c r="L64" i="5"/>
  <c r="Q104" i="5"/>
  <c r="Q105" i="5"/>
  <c r="Q106" i="5"/>
  <c r="Q107" i="5"/>
  <c r="Q108" i="5"/>
  <c r="Q109" i="5"/>
  <c r="Q110" i="5"/>
  <c r="Q111" i="5"/>
  <c r="Q112" i="5"/>
  <c r="Q113" i="5"/>
  <c r="Q114" i="5"/>
  <c r="Q115" i="5"/>
  <c r="C13" i="30"/>
  <c r="S10" i="5"/>
  <c r="L10" i="5"/>
  <c r="C14" i="30"/>
  <c r="S11" i="5"/>
  <c r="C15" i="30"/>
  <c r="S12" i="5"/>
  <c r="C16" i="30"/>
  <c r="S13" i="5"/>
  <c r="C17" i="30"/>
  <c r="S14" i="5"/>
  <c r="S65" i="5"/>
  <c r="L65" i="5"/>
  <c r="C79" i="30"/>
  <c r="C78" i="30"/>
  <c r="C69" i="30"/>
  <c r="S66" i="5"/>
  <c r="L66" i="5"/>
  <c r="C70" i="30"/>
  <c r="S67" i="5"/>
  <c r="L67" i="5"/>
  <c r="C71" i="30"/>
  <c r="S68" i="5"/>
  <c r="L68" i="5"/>
  <c r="C72" i="30"/>
  <c r="S69" i="5"/>
  <c r="L69" i="5"/>
  <c r="C73" i="30"/>
  <c r="S70" i="5"/>
  <c r="L70" i="5"/>
  <c r="C74" i="30"/>
  <c r="S71" i="5"/>
  <c r="L71" i="5"/>
  <c r="C75" i="30"/>
  <c r="S72" i="5"/>
  <c r="L72" i="5"/>
  <c r="C76" i="30"/>
  <c r="S73" i="5"/>
  <c r="L73" i="5"/>
  <c r="C77" i="30"/>
  <c r="S74" i="5"/>
  <c r="L74" i="5"/>
  <c r="S75" i="5"/>
  <c r="L75" i="5"/>
  <c r="I166" i="39"/>
  <c r="H166" i="39"/>
  <c r="G165" i="39"/>
  <c r="I165" i="39"/>
  <c r="H165" i="39"/>
  <c r="G164" i="39"/>
  <c r="I164" i="39"/>
  <c r="H164" i="39"/>
  <c r="G163" i="39"/>
  <c r="I163" i="39"/>
  <c r="H163" i="39"/>
  <c r="G162" i="39"/>
  <c r="I162" i="39"/>
  <c r="H162" i="39"/>
  <c r="G161" i="39"/>
  <c r="I161" i="39"/>
  <c r="H161" i="39"/>
  <c r="G160" i="39"/>
  <c r="I160" i="39"/>
  <c r="H160" i="39"/>
  <c r="G159" i="39"/>
  <c r="I159" i="39"/>
  <c r="H159" i="39"/>
  <c r="G158" i="39"/>
  <c r="I158" i="39"/>
  <c r="H158" i="39"/>
  <c r="G157" i="39"/>
  <c r="I157" i="39"/>
  <c r="H157" i="39"/>
  <c r="I156" i="39"/>
  <c r="H156" i="39"/>
  <c r="G155" i="39"/>
  <c r="I155" i="39"/>
  <c r="H155" i="39"/>
  <c r="G154" i="39"/>
  <c r="I154" i="39"/>
  <c r="H154" i="39"/>
  <c r="G153" i="39"/>
  <c r="I153" i="39"/>
  <c r="H153" i="39"/>
  <c r="G152" i="39"/>
  <c r="I152" i="39"/>
  <c r="H152" i="39"/>
  <c r="G151" i="39"/>
  <c r="I151" i="39"/>
  <c r="H151" i="39"/>
  <c r="G150" i="39"/>
  <c r="I150" i="39"/>
  <c r="H150" i="39"/>
  <c r="G149" i="39"/>
  <c r="I149" i="39"/>
  <c r="H149" i="39"/>
  <c r="G148" i="39"/>
  <c r="I148" i="39"/>
  <c r="H148" i="39"/>
  <c r="G147" i="39"/>
  <c r="I147" i="39"/>
  <c r="H147" i="39"/>
  <c r="I146" i="39"/>
  <c r="H146" i="39"/>
  <c r="G145" i="39"/>
  <c r="I145" i="39"/>
  <c r="H145" i="39"/>
  <c r="G144" i="39"/>
  <c r="I144" i="39"/>
  <c r="H144" i="39"/>
  <c r="G143" i="39"/>
  <c r="I143" i="39"/>
  <c r="H143" i="39"/>
  <c r="G142" i="39"/>
  <c r="I142" i="39"/>
  <c r="H142" i="39"/>
  <c r="G141" i="39"/>
  <c r="I141" i="39"/>
  <c r="H141" i="39"/>
  <c r="G140" i="39"/>
  <c r="I140" i="39"/>
  <c r="H140" i="39"/>
  <c r="G139" i="39"/>
  <c r="I139" i="39"/>
  <c r="H139" i="39"/>
  <c r="G138" i="39"/>
  <c r="I138" i="39"/>
  <c r="H138" i="39"/>
  <c r="G137" i="39"/>
  <c r="I137" i="39"/>
  <c r="H137" i="39"/>
  <c r="G135" i="39"/>
  <c r="I135" i="39"/>
  <c r="H135" i="39"/>
  <c r="G134" i="39"/>
  <c r="I134" i="39"/>
  <c r="H134" i="39"/>
  <c r="G133" i="39"/>
  <c r="I133" i="39"/>
  <c r="H133" i="39"/>
  <c r="G132" i="39"/>
  <c r="I132" i="39"/>
  <c r="H132" i="39"/>
  <c r="G131" i="39"/>
  <c r="I131" i="39"/>
  <c r="H131" i="39"/>
  <c r="G130" i="39"/>
  <c r="I130" i="39"/>
  <c r="H130" i="39"/>
  <c r="G129" i="39"/>
  <c r="I129" i="39"/>
  <c r="H129" i="39"/>
  <c r="G128" i="39"/>
  <c r="I128" i="39"/>
  <c r="H128" i="39"/>
  <c r="G127" i="39"/>
  <c r="I127" i="39"/>
  <c r="H127" i="39"/>
  <c r="I126" i="39"/>
  <c r="H126" i="39"/>
  <c r="G125" i="39"/>
  <c r="I125" i="39"/>
  <c r="H125" i="39"/>
  <c r="G124" i="39"/>
  <c r="I124" i="39"/>
  <c r="H124" i="39"/>
  <c r="G123" i="39"/>
  <c r="I123" i="39"/>
  <c r="H123" i="39"/>
  <c r="G122" i="39"/>
  <c r="I122" i="39"/>
  <c r="H122" i="39"/>
  <c r="G121" i="39"/>
  <c r="I121" i="39"/>
  <c r="H121" i="39"/>
  <c r="G120" i="39"/>
  <c r="I120" i="39"/>
  <c r="H120" i="39"/>
  <c r="G119" i="39"/>
  <c r="I119" i="39"/>
  <c r="H119" i="39"/>
  <c r="G118" i="39"/>
  <c r="I118" i="39"/>
  <c r="H118" i="39"/>
  <c r="G117" i="39"/>
  <c r="I117" i="39"/>
  <c r="H117" i="39"/>
  <c r="I116" i="39"/>
  <c r="H116" i="39"/>
  <c r="G115" i="39"/>
  <c r="I115" i="39"/>
  <c r="H115" i="39"/>
  <c r="G114" i="39"/>
  <c r="I114" i="39"/>
  <c r="H114" i="39"/>
  <c r="G113" i="39"/>
  <c r="I113" i="39"/>
  <c r="H113" i="39"/>
  <c r="G112" i="39"/>
  <c r="I112" i="39"/>
  <c r="H112" i="39"/>
  <c r="G111" i="39"/>
  <c r="I111" i="39"/>
  <c r="H111" i="39"/>
  <c r="G110" i="39"/>
  <c r="I110" i="39"/>
  <c r="H110" i="39"/>
  <c r="G109" i="39"/>
  <c r="I109" i="39"/>
  <c r="H109" i="39"/>
  <c r="G108" i="39"/>
  <c r="I108" i="39"/>
  <c r="H108" i="39"/>
  <c r="G107" i="39"/>
  <c r="I107" i="39"/>
  <c r="H107" i="39"/>
  <c r="G105" i="39"/>
  <c r="I105" i="39"/>
  <c r="H105" i="39"/>
  <c r="G104" i="39"/>
  <c r="I104" i="39"/>
  <c r="H104" i="39"/>
  <c r="G103" i="39"/>
  <c r="I103" i="39"/>
  <c r="H103" i="39"/>
  <c r="G102" i="39"/>
  <c r="I102" i="39"/>
  <c r="H102" i="39"/>
  <c r="G101" i="39"/>
  <c r="I101" i="39"/>
  <c r="H101" i="39"/>
  <c r="G100" i="39"/>
  <c r="I100" i="39"/>
  <c r="H100" i="39"/>
  <c r="G99" i="39"/>
  <c r="I99" i="39"/>
  <c r="H99" i="39"/>
  <c r="G98" i="39"/>
  <c r="I98" i="39"/>
  <c r="H98" i="39"/>
  <c r="G97" i="39"/>
  <c r="I97" i="39"/>
  <c r="H97" i="39"/>
  <c r="G95" i="39"/>
  <c r="I95" i="39"/>
  <c r="H95" i="39"/>
  <c r="G94" i="39"/>
  <c r="I94" i="39"/>
  <c r="H94" i="39"/>
  <c r="G93" i="39"/>
  <c r="I93" i="39"/>
  <c r="H93" i="39"/>
  <c r="G92" i="39"/>
  <c r="I92" i="39"/>
  <c r="H92" i="39"/>
  <c r="G91" i="39"/>
  <c r="I91" i="39"/>
  <c r="H91" i="39"/>
  <c r="G90" i="39"/>
  <c r="I90" i="39"/>
  <c r="H90" i="39"/>
  <c r="G89" i="39"/>
  <c r="I89" i="39"/>
  <c r="H89" i="39"/>
  <c r="G88" i="39"/>
  <c r="I88" i="39"/>
  <c r="H88" i="39"/>
  <c r="G87" i="39"/>
  <c r="I87" i="39"/>
  <c r="H87" i="39"/>
  <c r="G85" i="39"/>
  <c r="I85" i="39"/>
  <c r="H85" i="39"/>
  <c r="G84" i="39"/>
  <c r="I84" i="39"/>
  <c r="H84" i="39"/>
  <c r="G83" i="39"/>
  <c r="I83" i="39"/>
  <c r="H83" i="39"/>
  <c r="G82" i="39"/>
  <c r="I82" i="39"/>
  <c r="H82" i="39"/>
  <c r="G81" i="39"/>
  <c r="I81" i="39"/>
  <c r="H81" i="39"/>
  <c r="G80" i="39"/>
  <c r="I80" i="39"/>
  <c r="H80" i="39"/>
  <c r="G79" i="39"/>
  <c r="I79" i="39"/>
  <c r="H79" i="39"/>
  <c r="G78" i="39"/>
  <c r="I78" i="39"/>
  <c r="H78" i="39"/>
  <c r="G77" i="39"/>
  <c r="I77" i="39"/>
  <c r="H77" i="39"/>
  <c r="G75" i="39"/>
  <c r="I75" i="39"/>
  <c r="H75" i="39"/>
  <c r="G74" i="39"/>
  <c r="I74" i="39"/>
  <c r="H74" i="39"/>
  <c r="G73" i="39"/>
  <c r="I73" i="39"/>
  <c r="H73" i="39"/>
  <c r="G72" i="39"/>
  <c r="I72" i="39"/>
  <c r="H72" i="39"/>
  <c r="G71" i="39"/>
  <c r="I71" i="39"/>
  <c r="H71" i="39"/>
  <c r="G70" i="39"/>
  <c r="I70" i="39"/>
  <c r="H70" i="39"/>
  <c r="G69" i="39"/>
  <c r="I69" i="39"/>
  <c r="H69" i="39"/>
  <c r="G68" i="39"/>
  <c r="I68" i="39"/>
  <c r="H68" i="39"/>
  <c r="G67" i="39"/>
  <c r="I67" i="39"/>
  <c r="H67" i="39"/>
  <c r="G65" i="39"/>
  <c r="I65" i="39"/>
  <c r="H65" i="39"/>
  <c r="G64" i="39"/>
  <c r="I64" i="39"/>
  <c r="H64" i="39"/>
  <c r="G63" i="39"/>
  <c r="I63" i="39"/>
  <c r="H63" i="39"/>
  <c r="G62" i="39"/>
  <c r="I62" i="39"/>
  <c r="H62" i="39"/>
  <c r="G61" i="39"/>
  <c r="I61" i="39"/>
  <c r="H61" i="39"/>
  <c r="G60" i="39"/>
  <c r="I60" i="39"/>
  <c r="H60" i="39"/>
  <c r="G59" i="39"/>
  <c r="I59" i="39"/>
  <c r="H59" i="39"/>
  <c r="G58" i="39"/>
  <c r="I58" i="39"/>
  <c r="H58" i="39"/>
  <c r="G57" i="39"/>
  <c r="I57" i="39"/>
  <c r="H57" i="39"/>
  <c r="G55" i="39"/>
  <c r="I55" i="39"/>
  <c r="H55" i="39"/>
  <c r="G54" i="39"/>
  <c r="I54" i="39"/>
  <c r="H54" i="39"/>
  <c r="G53" i="39"/>
  <c r="I53" i="39"/>
  <c r="H53" i="39"/>
  <c r="G52" i="39"/>
  <c r="I52" i="39"/>
  <c r="H52" i="39"/>
  <c r="G51" i="39"/>
  <c r="I51" i="39"/>
  <c r="H51" i="39"/>
  <c r="G50" i="39"/>
  <c r="I50" i="39"/>
  <c r="H50" i="39"/>
  <c r="G49" i="39"/>
  <c r="I49" i="39"/>
  <c r="H49" i="39"/>
  <c r="G48" i="39"/>
  <c r="I48" i="39"/>
  <c r="H48" i="39"/>
  <c r="G47" i="39"/>
  <c r="I47" i="39"/>
  <c r="H47" i="39"/>
  <c r="G45" i="39"/>
  <c r="I45" i="39"/>
  <c r="H45" i="39"/>
  <c r="G44" i="39"/>
  <c r="I44" i="39"/>
  <c r="H44" i="39"/>
  <c r="G43" i="39"/>
  <c r="I43" i="39"/>
  <c r="H43" i="39"/>
  <c r="G42" i="39"/>
  <c r="I42" i="39"/>
  <c r="H42" i="39"/>
  <c r="G41" i="39"/>
  <c r="I41" i="39"/>
  <c r="H41" i="39"/>
  <c r="G40" i="39"/>
  <c r="I40" i="39"/>
  <c r="H40" i="39"/>
  <c r="G39" i="39"/>
  <c r="I39" i="39"/>
  <c r="H39" i="39"/>
  <c r="G38" i="39"/>
  <c r="I38" i="39"/>
  <c r="H38" i="39"/>
  <c r="G37" i="39"/>
  <c r="I37" i="39"/>
  <c r="H37" i="39"/>
  <c r="G35" i="39"/>
  <c r="I35" i="39"/>
  <c r="H35" i="39"/>
  <c r="G34" i="39"/>
  <c r="I34" i="39"/>
  <c r="H34" i="39"/>
  <c r="G33" i="39"/>
  <c r="I33" i="39"/>
  <c r="H33" i="39"/>
  <c r="G32" i="39"/>
  <c r="I32" i="39"/>
  <c r="H32" i="39"/>
  <c r="G31" i="39"/>
  <c r="I31" i="39"/>
  <c r="H31" i="39"/>
  <c r="G30" i="39"/>
  <c r="I30" i="39"/>
  <c r="H30" i="39"/>
  <c r="G29" i="39"/>
  <c r="I29" i="39"/>
  <c r="H29" i="39"/>
  <c r="G28" i="39"/>
  <c r="I28" i="39"/>
  <c r="H28" i="39"/>
  <c r="G27" i="39"/>
  <c r="I27" i="39"/>
  <c r="H27" i="39"/>
  <c r="J32" i="38"/>
  <c r="J29" i="38"/>
  <c r="K29" i="38"/>
  <c r="G32" i="38"/>
  <c r="K32" i="38"/>
  <c r="T136" i="5"/>
  <c r="I47" i="38"/>
  <c r="T106" i="5"/>
  <c r="I44" i="38"/>
  <c r="I41" i="38"/>
  <c r="T65" i="5"/>
  <c r="I38" i="38"/>
  <c r="I35" i="38"/>
  <c r="T25" i="5"/>
  <c r="I32" i="38"/>
  <c r="I29" i="38"/>
  <c r="S136" i="5"/>
  <c r="H47" i="38"/>
  <c r="S106" i="5"/>
  <c r="H44" i="38"/>
  <c r="H41" i="38"/>
  <c r="H38" i="38"/>
  <c r="H35" i="38"/>
  <c r="H32" i="38"/>
  <c r="H29" i="38"/>
  <c r="G38" i="38"/>
  <c r="D201" i="34"/>
  <c r="B201" i="25"/>
  <c r="D192" i="34"/>
  <c r="D207" i="34"/>
  <c r="D204" i="34"/>
  <c r="R36" i="6"/>
  <c r="S36" i="6"/>
  <c r="T26" i="5"/>
  <c r="T27" i="5"/>
  <c r="T28" i="5"/>
  <c r="T29" i="5"/>
  <c r="T30" i="5"/>
  <c r="T31" i="5"/>
  <c r="T32" i="5"/>
  <c r="T33" i="5"/>
  <c r="T34" i="5"/>
  <c r="T36" i="6"/>
  <c r="J10" i="25"/>
  <c r="N180" i="32"/>
  <c r="N179" i="32"/>
  <c r="N178" i="32"/>
  <c r="N177" i="32"/>
  <c r="N176" i="32"/>
  <c r="N175" i="32"/>
  <c r="N174" i="32"/>
  <c r="N173" i="32"/>
  <c r="N172" i="32"/>
  <c r="N171" i="32"/>
  <c r="N170" i="32"/>
  <c r="N169" i="32"/>
  <c r="N168" i="32"/>
  <c r="N167" i="32"/>
  <c r="N166" i="32"/>
  <c r="N165" i="32"/>
  <c r="N164" i="32"/>
  <c r="N163" i="32"/>
  <c r="N162" i="32"/>
  <c r="N161" i="32"/>
  <c r="N160" i="32"/>
  <c r="N159" i="32"/>
  <c r="N158" i="32"/>
  <c r="N157" i="32"/>
  <c r="N156" i="32"/>
  <c r="N155" i="32"/>
  <c r="N154" i="32"/>
  <c r="N153" i="32"/>
  <c r="N152" i="32"/>
  <c r="N151" i="32"/>
  <c r="N150" i="32"/>
  <c r="N149" i="32"/>
  <c r="N148" i="32"/>
  <c r="N147" i="32"/>
  <c r="N146" i="32"/>
  <c r="N145" i="32"/>
  <c r="N144" i="32"/>
  <c r="N143" i="32"/>
  <c r="N142" i="32"/>
  <c r="N141" i="32"/>
  <c r="N140" i="32"/>
  <c r="N139" i="32"/>
  <c r="N138" i="32"/>
  <c r="N137" i="32"/>
  <c r="N136" i="32"/>
  <c r="N135" i="32"/>
  <c r="N134" i="32"/>
  <c r="N133" i="32"/>
  <c r="N132" i="32"/>
  <c r="N131" i="32"/>
  <c r="N130" i="32"/>
  <c r="N129" i="32"/>
  <c r="N128" i="32"/>
  <c r="N127" i="32"/>
  <c r="N126" i="32"/>
  <c r="N125" i="32"/>
  <c r="N124" i="32"/>
  <c r="N123" i="32"/>
  <c r="N122" i="32"/>
  <c r="N121" i="32"/>
  <c r="N120" i="32"/>
  <c r="N119" i="32"/>
  <c r="N118" i="32"/>
  <c r="N117" i="32"/>
  <c r="N116" i="32"/>
  <c r="N115" i="32"/>
  <c r="N114" i="32"/>
  <c r="N113" i="32"/>
  <c r="N112" i="32"/>
  <c r="N111" i="32"/>
  <c r="N110" i="32"/>
  <c r="N109" i="32"/>
  <c r="N108" i="32"/>
  <c r="N107" i="32"/>
  <c r="N106" i="32"/>
  <c r="N105" i="32"/>
  <c r="N104" i="32"/>
  <c r="N103" i="32"/>
  <c r="N102" i="32"/>
  <c r="N101" i="32"/>
  <c r="N100" i="32"/>
  <c r="N99" i="32"/>
  <c r="N98" i="32"/>
  <c r="N97" i="32"/>
  <c r="N96" i="32"/>
  <c r="N95" i="32"/>
  <c r="N94" i="32"/>
  <c r="N93" i="32"/>
  <c r="N92" i="32"/>
  <c r="N89" i="32"/>
  <c r="N88" i="32"/>
  <c r="N87" i="32"/>
  <c r="N86" i="32"/>
  <c r="N85" i="32"/>
  <c r="N84" i="32"/>
  <c r="N83" i="32"/>
  <c r="N82" i="32"/>
  <c r="N81" i="32"/>
  <c r="N80" i="32"/>
  <c r="N79" i="32"/>
  <c r="N78" i="32"/>
  <c r="N77" i="32"/>
  <c r="N76" i="32"/>
  <c r="N75" i="32"/>
  <c r="N74" i="32"/>
  <c r="N73" i="32"/>
  <c r="N72" i="32"/>
  <c r="N71" i="32"/>
  <c r="N70" i="32"/>
  <c r="N69" i="32"/>
  <c r="N68" i="32"/>
  <c r="N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N41" i="32"/>
  <c r="N40" i="32"/>
  <c r="N39" i="32"/>
  <c r="N38" i="32"/>
  <c r="N37" i="32"/>
  <c r="N36" i="32"/>
  <c r="N35" i="32"/>
  <c r="N34" i="32"/>
  <c r="N33" i="32"/>
  <c r="N32" i="32"/>
  <c r="N31" i="32"/>
  <c r="N30" i="32"/>
  <c r="N29" i="32"/>
  <c r="N28" i="32"/>
  <c r="N27" i="32"/>
  <c r="N26" i="32"/>
  <c r="M181" i="32"/>
  <c r="N181" i="32"/>
  <c r="H43" i="35"/>
  <c r="H46" i="35"/>
  <c r="H49" i="35"/>
  <c r="H52" i="35"/>
  <c r="H55" i="35"/>
  <c r="M246" i="34"/>
  <c r="J78" i="37"/>
  <c r="M243" i="34"/>
  <c r="J75" i="37"/>
  <c r="M237" i="34"/>
  <c r="J69" i="37"/>
  <c r="M228" i="34"/>
  <c r="J60" i="37"/>
  <c r="C18" i="36"/>
  <c r="C31" i="33"/>
  <c r="C9" i="36"/>
  <c r="M165" i="34"/>
  <c r="U247" i="34"/>
  <c r="T247" i="34"/>
  <c r="U244" i="34"/>
  <c r="T244" i="34"/>
  <c r="U238" i="34"/>
  <c r="T238" i="34"/>
  <c r="U229" i="34"/>
  <c r="T229" i="34"/>
  <c r="C9" i="35"/>
  <c r="I50" i="38"/>
  <c r="T116" i="5"/>
  <c r="I62" i="38"/>
  <c r="B77" i="38"/>
  <c r="G77" i="38"/>
  <c r="D77" i="38"/>
  <c r="T156" i="5"/>
  <c r="I77" i="38"/>
  <c r="F77" i="38"/>
  <c r="B74" i="38"/>
  <c r="G74" i="38"/>
  <c r="D74" i="38"/>
  <c r="T146" i="5"/>
  <c r="I74" i="38"/>
  <c r="F74" i="38"/>
  <c r="B71" i="38"/>
  <c r="G71" i="38"/>
  <c r="D71" i="38"/>
  <c r="I71" i="38"/>
  <c r="F71" i="38"/>
  <c r="B68" i="38"/>
  <c r="G68" i="38"/>
  <c r="D68" i="38"/>
  <c r="I68" i="38"/>
  <c r="F68" i="38"/>
  <c r="B65" i="38"/>
  <c r="G65" i="38"/>
  <c r="D65" i="38"/>
  <c r="I65" i="38"/>
  <c r="F65" i="38"/>
  <c r="B62" i="38"/>
  <c r="G62" i="38"/>
  <c r="D62" i="38"/>
  <c r="F62" i="38"/>
  <c r="G59" i="38"/>
  <c r="D59" i="38"/>
  <c r="I59" i="38"/>
  <c r="F59" i="38"/>
  <c r="G56" i="38"/>
  <c r="D56" i="38"/>
  <c r="I56" i="38"/>
  <c r="F56" i="38"/>
  <c r="G50" i="38"/>
  <c r="D50" i="38"/>
  <c r="F50" i="38"/>
  <c r="B47" i="38"/>
  <c r="G47" i="38"/>
  <c r="D47" i="38"/>
  <c r="F47" i="38"/>
  <c r="B44" i="38"/>
  <c r="G44" i="38"/>
  <c r="D44" i="38"/>
  <c r="F44" i="38"/>
  <c r="G41" i="38"/>
  <c r="D41" i="38"/>
  <c r="F41" i="38"/>
  <c r="D38" i="38"/>
  <c r="T66" i="5"/>
  <c r="F38" i="38"/>
  <c r="F35" i="38"/>
  <c r="B26" i="38"/>
  <c r="R16" i="5"/>
  <c r="G26" i="38"/>
  <c r="D26" i="38"/>
  <c r="T16" i="5"/>
  <c r="I26" i="38"/>
  <c r="F26" i="38"/>
  <c r="R10" i="5"/>
  <c r="R25" i="6"/>
  <c r="G23" i="38"/>
  <c r="D23" i="38"/>
  <c r="S25" i="6"/>
  <c r="S10" i="6"/>
  <c r="S22" i="6"/>
  <c r="S21" i="6"/>
  <c r="I23" i="38"/>
  <c r="F23" i="38"/>
  <c r="I20" i="38"/>
  <c r="F20" i="38"/>
  <c r="I17" i="38"/>
  <c r="F17" i="38"/>
  <c r="T21" i="6"/>
  <c r="T10" i="6"/>
  <c r="I14" i="38"/>
  <c r="F14" i="38"/>
  <c r="D11" i="38"/>
  <c r="I11" i="38"/>
  <c r="F11" i="38"/>
  <c r="I8" i="38"/>
  <c r="F8" i="38"/>
  <c r="S23" i="6"/>
  <c r="T23" i="6"/>
  <c r="T22" i="6"/>
  <c r="S20" i="6"/>
  <c r="T20" i="6"/>
  <c r="S19" i="6"/>
  <c r="T19" i="6"/>
  <c r="S18" i="6"/>
  <c r="T18" i="6"/>
  <c r="S17" i="6"/>
  <c r="T17" i="6"/>
  <c r="S16" i="6"/>
  <c r="T16" i="6"/>
  <c r="S15" i="6"/>
  <c r="T15" i="6"/>
  <c r="S14" i="6"/>
  <c r="T14" i="6"/>
  <c r="S13" i="6"/>
  <c r="T13" i="6"/>
  <c r="S12" i="6"/>
  <c r="T12" i="6"/>
  <c r="S11" i="6"/>
  <c r="T11" i="6"/>
  <c r="S24" i="6"/>
  <c r="T24" i="6"/>
  <c r="T165" i="5"/>
  <c r="T164" i="5"/>
  <c r="T163" i="5"/>
  <c r="T162" i="5"/>
  <c r="T161" i="5"/>
  <c r="T160" i="5"/>
  <c r="T159" i="5"/>
  <c r="T158" i="5"/>
  <c r="T157" i="5"/>
  <c r="T166" i="6"/>
  <c r="T155" i="5"/>
  <c r="T154" i="5"/>
  <c r="T153" i="5"/>
  <c r="T152" i="5"/>
  <c r="T151" i="5"/>
  <c r="T150" i="5"/>
  <c r="T149" i="5"/>
  <c r="T148" i="5"/>
  <c r="T147" i="5"/>
  <c r="T156" i="6"/>
  <c r="T145" i="5"/>
  <c r="T144" i="5"/>
  <c r="T143" i="5"/>
  <c r="T142" i="5"/>
  <c r="T141" i="5"/>
  <c r="T140" i="5"/>
  <c r="T139" i="5"/>
  <c r="T138" i="5"/>
  <c r="T137" i="5"/>
  <c r="T146" i="6"/>
  <c r="T135" i="5"/>
  <c r="T134" i="5"/>
  <c r="T133" i="5"/>
  <c r="T132" i="5"/>
  <c r="T131" i="5"/>
  <c r="T130" i="5"/>
  <c r="T129" i="5"/>
  <c r="T128" i="5"/>
  <c r="T127" i="5"/>
  <c r="T136" i="6"/>
  <c r="T125" i="5"/>
  <c r="T124" i="5"/>
  <c r="T123" i="5"/>
  <c r="T122" i="5"/>
  <c r="T121" i="5"/>
  <c r="T120" i="5"/>
  <c r="T119" i="5"/>
  <c r="T118" i="5"/>
  <c r="T117" i="5"/>
  <c r="T126" i="6"/>
  <c r="T115" i="5"/>
  <c r="T114" i="5"/>
  <c r="T113" i="5"/>
  <c r="T112" i="5"/>
  <c r="T111" i="5"/>
  <c r="T110" i="5"/>
  <c r="T109" i="5"/>
  <c r="T108" i="5"/>
  <c r="T107" i="5"/>
  <c r="T116" i="6"/>
  <c r="T105" i="5"/>
  <c r="T104" i="5"/>
  <c r="T103" i="5"/>
  <c r="T102" i="5"/>
  <c r="T101" i="5"/>
  <c r="T100" i="5"/>
  <c r="T99" i="5"/>
  <c r="T98" i="5"/>
  <c r="T97" i="5"/>
  <c r="T96" i="5"/>
  <c r="T106" i="6"/>
  <c r="T95" i="5"/>
  <c r="T94" i="5"/>
  <c r="T93" i="5"/>
  <c r="T92" i="5"/>
  <c r="T91" i="5"/>
  <c r="T90" i="5"/>
  <c r="T89" i="5"/>
  <c r="T88" i="5"/>
  <c r="T87" i="5"/>
  <c r="T86" i="5"/>
  <c r="T96" i="6"/>
  <c r="T85" i="5"/>
  <c r="T84" i="5"/>
  <c r="T83" i="5"/>
  <c r="T82" i="5"/>
  <c r="T81" i="5"/>
  <c r="T80" i="5"/>
  <c r="T79" i="5"/>
  <c r="T78" i="5"/>
  <c r="T77" i="5"/>
  <c r="T76" i="5"/>
  <c r="T86" i="6"/>
  <c r="T74" i="5"/>
  <c r="T75" i="5"/>
  <c r="T73" i="5"/>
  <c r="T72" i="5"/>
  <c r="T71" i="5"/>
  <c r="T70" i="5"/>
  <c r="T69" i="5"/>
  <c r="T68" i="5"/>
  <c r="T67" i="5"/>
  <c r="T76" i="6"/>
  <c r="T64" i="5"/>
  <c r="T63" i="5"/>
  <c r="T62" i="5"/>
  <c r="T61" i="5"/>
  <c r="T60" i="5"/>
  <c r="T59" i="5"/>
  <c r="T58" i="5"/>
  <c r="T57" i="5"/>
  <c r="T56" i="5"/>
  <c r="T55" i="5"/>
  <c r="T66" i="6"/>
  <c r="T54" i="5"/>
  <c r="T53" i="5"/>
  <c r="T52" i="5"/>
  <c r="T51" i="5"/>
  <c r="T50" i="5"/>
  <c r="T49" i="5"/>
  <c r="T48" i="5"/>
  <c r="T47" i="5"/>
  <c r="T46" i="5"/>
  <c r="T45" i="5"/>
  <c r="T56" i="6"/>
  <c r="T44" i="5"/>
  <c r="T43" i="5"/>
  <c r="T42" i="5"/>
  <c r="T41" i="5"/>
  <c r="T40" i="5"/>
  <c r="T39" i="5"/>
  <c r="T38" i="5"/>
  <c r="T37" i="5"/>
  <c r="T36" i="5"/>
  <c r="T35" i="5"/>
  <c r="T46" i="6"/>
  <c r="T24" i="5"/>
  <c r="T23" i="5"/>
  <c r="T22" i="5"/>
  <c r="T21" i="5"/>
  <c r="T20" i="5"/>
  <c r="T19" i="5"/>
  <c r="T18" i="5"/>
  <c r="T17" i="5"/>
  <c r="T15" i="5"/>
  <c r="T26" i="6"/>
  <c r="T10" i="5"/>
  <c r="T25" i="6"/>
  <c r="L53" i="38"/>
  <c r="D43" i="35"/>
  <c r="D46" i="35"/>
  <c r="D49" i="35"/>
  <c r="D52" i="35"/>
  <c r="D55" i="35"/>
  <c r="J77" i="38"/>
  <c r="K77" i="38"/>
  <c r="E77" i="38"/>
  <c r="J74" i="38"/>
  <c r="K74" i="38"/>
  <c r="E74" i="38"/>
  <c r="J71" i="38"/>
  <c r="K71" i="38"/>
  <c r="E71" i="38"/>
  <c r="J68" i="38"/>
  <c r="K68" i="38"/>
  <c r="E68" i="38"/>
  <c r="J65" i="38"/>
  <c r="K65" i="38"/>
  <c r="E65" i="38"/>
  <c r="J62" i="38"/>
  <c r="K62" i="38"/>
  <c r="E62" i="38"/>
  <c r="J59" i="38"/>
  <c r="K59" i="38"/>
  <c r="E59" i="38"/>
  <c r="J56" i="38"/>
  <c r="K56" i="38"/>
  <c r="E56" i="38"/>
  <c r="J50" i="38"/>
  <c r="K50" i="38"/>
  <c r="E50" i="38"/>
  <c r="J47" i="38"/>
  <c r="K47" i="38"/>
  <c r="E47" i="38"/>
  <c r="J44" i="38"/>
  <c r="K44" i="38"/>
  <c r="E44" i="38"/>
  <c r="J41" i="38"/>
  <c r="K41" i="38"/>
  <c r="E41" i="38"/>
  <c r="J38" i="38"/>
  <c r="K38" i="38"/>
  <c r="E38" i="38"/>
  <c r="J35" i="38"/>
  <c r="K35" i="38"/>
  <c r="E35" i="38"/>
  <c r="J26" i="38"/>
  <c r="K26" i="38"/>
  <c r="E26" i="38"/>
  <c r="J23" i="38"/>
  <c r="K23" i="38"/>
  <c r="E23" i="38"/>
  <c r="J20" i="38"/>
  <c r="K20" i="38"/>
  <c r="E20" i="38"/>
  <c r="J17" i="38"/>
  <c r="K17" i="38"/>
  <c r="E17" i="38"/>
  <c r="J14" i="38"/>
  <c r="K14" i="38"/>
  <c r="E14" i="38"/>
  <c r="J11" i="38"/>
  <c r="K11" i="38"/>
  <c r="E11" i="38"/>
  <c r="J8" i="38"/>
  <c r="K8" i="38"/>
  <c r="E8" i="38"/>
  <c r="C75" i="5"/>
  <c r="E75" i="5"/>
  <c r="C74" i="5"/>
  <c r="E74" i="5"/>
  <c r="C73" i="5"/>
  <c r="E73" i="5"/>
  <c r="C72" i="5"/>
  <c r="E72" i="5"/>
  <c r="C71" i="5"/>
  <c r="E71" i="5"/>
  <c r="C70" i="5"/>
  <c r="E70" i="5"/>
  <c r="C69" i="5"/>
  <c r="E69" i="5"/>
  <c r="C10" i="5"/>
  <c r="E10" i="5"/>
  <c r="HV105" i="4"/>
  <c r="HV104" i="4"/>
  <c r="HV103" i="4"/>
  <c r="HV102" i="4"/>
  <c r="HV101" i="4"/>
  <c r="HV100" i="4"/>
  <c r="HV99" i="4"/>
  <c r="HV98" i="4"/>
  <c r="HV97" i="4"/>
  <c r="HV96" i="4"/>
  <c r="HV95" i="4"/>
  <c r="HV94" i="4"/>
  <c r="HV93" i="4"/>
  <c r="HV92" i="4"/>
  <c r="HV91" i="4"/>
  <c r="HV90" i="4"/>
  <c r="HV89" i="4"/>
  <c r="HV88" i="4"/>
  <c r="HV87" i="4"/>
  <c r="HV86" i="4"/>
  <c r="HV85" i="4"/>
  <c r="HV84" i="4"/>
  <c r="HV83" i="4"/>
  <c r="HV82" i="4"/>
  <c r="HV81" i="4"/>
  <c r="HV80" i="4"/>
  <c r="HV79" i="4"/>
  <c r="HV78" i="4"/>
  <c r="HV77" i="4"/>
  <c r="HV76" i="4"/>
  <c r="HV75" i="4"/>
  <c r="HV74" i="4"/>
  <c r="HV73" i="4"/>
  <c r="HV72" i="4"/>
  <c r="HV71" i="4"/>
  <c r="HV70" i="4"/>
  <c r="HV69" i="4"/>
  <c r="HV68" i="4"/>
  <c r="HV67" i="4"/>
  <c r="HV66" i="4"/>
  <c r="HV65" i="4"/>
  <c r="HV64" i="4"/>
  <c r="HV63" i="4"/>
  <c r="HV62" i="4"/>
  <c r="HV61" i="4"/>
  <c r="HV60" i="4"/>
  <c r="HV59" i="4"/>
  <c r="HV58" i="4"/>
  <c r="HV57" i="4"/>
  <c r="HV56" i="4"/>
  <c r="HV55" i="4"/>
  <c r="HV54" i="4"/>
  <c r="HV53" i="4"/>
  <c r="HV52" i="4"/>
  <c r="HV51" i="4"/>
  <c r="HV50" i="4"/>
  <c r="HV49" i="4"/>
  <c r="HV48" i="4"/>
  <c r="HV47" i="4"/>
  <c r="HV46" i="4"/>
  <c r="HV45" i="4"/>
  <c r="HV44" i="4"/>
  <c r="HV43" i="4"/>
  <c r="HV42" i="4"/>
  <c r="HV41" i="4"/>
  <c r="HV40" i="4"/>
  <c r="HV39" i="4"/>
  <c r="HV38" i="4"/>
  <c r="HV37" i="4"/>
  <c r="HV36" i="4"/>
  <c r="HV35" i="4"/>
  <c r="HV34" i="4"/>
  <c r="HV33" i="4"/>
  <c r="HV32" i="4"/>
  <c r="HV31" i="4"/>
  <c r="HV30" i="4"/>
  <c r="HV29" i="4"/>
  <c r="HV28" i="4"/>
  <c r="HV27" i="4"/>
  <c r="HV26" i="4"/>
  <c r="HV25" i="4"/>
  <c r="HV24" i="4"/>
  <c r="HV23" i="4"/>
  <c r="HV22" i="4"/>
  <c r="HV21" i="4"/>
  <c r="HV20" i="4"/>
  <c r="HV19" i="4"/>
  <c r="HV18" i="4"/>
  <c r="HV17" i="4"/>
  <c r="HV16" i="4"/>
  <c r="HV15" i="4"/>
  <c r="HV14" i="4"/>
  <c r="HV13" i="4"/>
  <c r="HV106" i="4"/>
  <c r="P247" i="25"/>
  <c r="N247" i="25"/>
  <c r="P244" i="25"/>
  <c r="N244" i="25"/>
  <c r="P238" i="25"/>
  <c r="N238" i="25"/>
  <c r="P235" i="25"/>
  <c r="N235" i="25"/>
  <c r="P232" i="25"/>
  <c r="N232" i="25"/>
  <c r="P229" i="25"/>
  <c r="N229" i="25"/>
  <c r="P220" i="25"/>
  <c r="N220" i="25"/>
  <c r="P214" i="25"/>
  <c r="N214" i="25"/>
  <c r="J187" i="25"/>
  <c r="J184" i="25"/>
  <c r="H23" i="38"/>
  <c r="H26" i="38"/>
  <c r="H20" i="38"/>
  <c r="H14" i="38"/>
  <c r="H11" i="38"/>
  <c r="H8" i="38"/>
  <c r="H17" i="38"/>
  <c r="L41" i="38"/>
  <c r="L44" i="38"/>
  <c r="L47" i="38"/>
  <c r="L50" i="38"/>
  <c r="S126" i="5"/>
  <c r="H50" i="38"/>
  <c r="H53" i="38"/>
  <c r="L56" i="38"/>
  <c r="S146" i="5"/>
  <c r="H56" i="38"/>
  <c r="L59" i="38"/>
  <c r="H59" i="38"/>
  <c r="L62" i="38"/>
  <c r="S116" i="5"/>
  <c r="H62" i="38"/>
  <c r="L65" i="38"/>
  <c r="H65" i="38"/>
  <c r="L68" i="38"/>
  <c r="H68" i="38"/>
  <c r="L71" i="38"/>
  <c r="H71" i="38"/>
  <c r="L74" i="38"/>
  <c r="S156" i="5"/>
  <c r="H74" i="38"/>
  <c r="L77" i="38"/>
  <c r="H77" i="38"/>
  <c r="C41" i="38"/>
  <c r="C44" i="38"/>
  <c r="C47" i="38"/>
  <c r="C50" i="38"/>
  <c r="C53" i="38"/>
  <c r="C56" i="38"/>
  <c r="C59" i="38"/>
  <c r="C62" i="38"/>
  <c r="C65" i="38"/>
  <c r="C68" i="38"/>
  <c r="C71" i="38"/>
  <c r="C74" i="38"/>
  <c r="C77" i="38"/>
  <c r="B15" i="37"/>
  <c r="B24" i="37"/>
  <c r="B27" i="37"/>
  <c r="B21" i="37"/>
  <c r="B12" i="37"/>
  <c r="B39" i="37"/>
  <c r="D210" i="34"/>
  <c r="B42" i="37"/>
  <c r="B36" i="37"/>
  <c r="B9" i="37"/>
  <c r="B18" i="37"/>
  <c r="D213" i="34"/>
  <c r="B45" i="37"/>
  <c r="D216" i="34"/>
  <c r="B48" i="37"/>
  <c r="D219" i="34"/>
  <c r="B51" i="37"/>
  <c r="D222" i="34"/>
  <c r="B54" i="37"/>
  <c r="D225" i="34"/>
  <c r="B57" i="37"/>
  <c r="Q61" i="37"/>
  <c r="P61" i="37"/>
  <c r="S228" i="34"/>
  <c r="O60" i="37"/>
  <c r="D228" i="34"/>
  <c r="B60" i="37"/>
  <c r="D231" i="34"/>
  <c r="B63" i="37"/>
  <c r="D234" i="34"/>
  <c r="B66" i="37"/>
  <c r="Q70" i="37"/>
  <c r="P70" i="37"/>
  <c r="S237" i="34"/>
  <c r="O69" i="37"/>
  <c r="D237" i="34"/>
  <c r="B69" i="37"/>
  <c r="D240" i="34"/>
  <c r="B72" i="37"/>
  <c r="Q76" i="37"/>
  <c r="P76" i="37"/>
  <c r="S243" i="34"/>
  <c r="O75" i="37"/>
  <c r="D243" i="34"/>
  <c r="B75" i="37"/>
  <c r="S246" i="34"/>
  <c r="O78" i="37"/>
  <c r="D246" i="34"/>
  <c r="B78" i="37"/>
  <c r="P79" i="37"/>
  <c r="Q79" i="37"/>
  <c r="E46" i="36"/>
  <c r="E52" i="36"/>
  <c r="D49" i="36"/>
  <c r="D55" i="36"/>
  <c r="D58" i="36"/>
  <c r="G61" i="36"/>
  <c r="E61" i="36"/>
  <c r="D61" i="36"/>
  <c r="D67" i="36"/>
  <c r="G70" i="36"/>
  <c r="E70" i="36"/>
  <c r="D70" i="36"/>
  <c r="D73" i="36"/>
  <c r="G76" i="36"/>
  <c r="E76" i="36"/>
  <c r="D76" i="36"/>
  <c r="E25" i="36"/>
  <c r="D79" i="36"/>
  <c r="E79" i="36"/>
  <c r="G79" i="36"/>
  <c r="C124" i="34"/>
  <c r="C123" i="34"/>
  <c r="C122" i="34"/>
  <c r="C121" i="34"/>
  <c r="C120" i="34"/>
  <c r="C119" i="34"/>
  <c r="C118" i="34"/>
  <c r="C117" i="34"/>
  <c r="C116" i="34"/>
  <c r="C114" i="34"/>
  <c r="C113"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18" i="35"/>
  <c r="H61" i="35"/>
  <c r="H58" i="35"/>
  <c r="D58" i="35"/>
  <c r="D61" i="35"/>
  <c r="H64" i="35"/>
  <c r="D64" i="35"/>
  <c r="H67" i="35"/>
  <c r="D67" i="35"/>
  <c r="H70" i="35"/>
  <c r="D70" i="35"/>
  <c r="H73" i="35"/>
  <c r="D73" i="35"/>
  <c r="H76" i="35"/>
  <c r="D76" i="35"/>
  <c r="D79" i="35"/>
  <c r="H79" i="35"/>
  <c r="S165" i="34"/>
  <c r="C164" i="34"/>
  <c r="C163" i="34"/>
  <c r="C162" i="34"/>
  <c r="C161" i="34"/>
  <c r="C160" i="34"/>
  <c r="C159" i="34"/>
  <c r="C158" i="34"/>
  <c r="C157" i="34"/>
  <c r="C156" i="34"/>
  <c r="C154" i="34"/>
  <c r="C153" i="34"/>
  <c r="C152" i="34"/>
  <c r="C151" i="34"/>
  <c r="C150" i="34"/>
  <c r="C149" i="34"/>
  <c r="C148" i="34"/>
  <c r="C147" i="34"/>
  <c r="C146" i="34"/>
  <c r="C144" i="34"/>
  <c r="C143" i="34"/>
  <c r="C139" i="34"/>
  <c r="C138" i="34"/>
  <c r="C137" i="34"/>
  <c r="C136" i="34"/>
  <c r="C134" i="34"/>
  <c r="C133" i="34"/>
  <c r="C132" i="34"/>
  <c r="C131" i="34"/>
  <c r="C130" i="34"/>
  <c r="C129" i="34"/>
  <c r="C128" i="34"/>
  <c r="C127" i="34"/>
  <c r="C126" i="34"/>
  <c r="A11" i="34"/>
  <c r="AN11" i="34"/>
  <c r="AO11" i="34"/>
  <c r="AP11" i="34"/>
  <c r="A12" i="34"/>
  <c r="AN12" i="34"/>
  <c r="AO12" i="34"/>
  <c r="AP12" i="34"/>
  <c r="A13" i="34"/>
  <c r="AN13" i="34"/>
  <c r="AO13" i="34"/>
  <c r="AP13" i="34"/>
  <c r="A14" i="34"/>
  <c r="AN14" i="34"/>
  <c r="AO14" i="34"/>
  <c r="AP14" i="34"/>
  <c r="A15" i="34"/>
  <c r="AN15" i="34"/>
  <c r="AO15" i="34"/>
  <c r="AP15" i="34"/>
  <c r="A16" i="34"/>
  <c r="AN16" i="34"/>
  <c r="AO16" i="34"/>
  <c r="AP16" i="34"/>
  <c r="A17" i="34"/>
  <c r="AN17" i="34"/>
  <c r="AO17" i="34"/>
  <c r="AP17" i="34"/>
  <c r="A18" i="34"/>
  <c r="AN18" i="34"/>
  <c r="AO18" i="34"/>
  <c r="AP18" i="34"/>
  <c r="A19" i="34"/>
  <c r="AN19" i="34"/>
  <c r="AO19" i="34"/>
  <c r="AP19" i="34"/>
  <c r="A20" i="34"/>
  <c r="AN20" i="34"/>
  <c r="AO20" i="34"/>
  <c r="AP20" i="34"/>
  <c r="A21" i="34"/>
  <c r="AN21" i="34"/>
  <c r="AO21" i="34"/>
  <c r="AP21" i="34"/>
  <c r="A22" i="34"/>
  <c r="AN22" i="34"/>
  <c r="AO22" i="34"/>
  <c r="AP22" i="34"/>
  <c r="A23" i="34"/>
  <c r="AN23" i="34"/>
  <c r="AO23" i="34"/>
  <c r="AP23" i="34"/>
  <c r="A24" i="34"/>
  <c r="AN24" i="34"/>
  <c r="AO24" i="34"/>
  <c r="AP24" i="34"/>
  <c r="A25" i="34"/>
  <c r="AN25" i="34"/>
  <c r="AO25" i="34"/>
  <c r="AP25" i="34"/>
  <c r="A26" i="34"/>
  <c r="AN26" i="34"/>
  <c r="AO26" i="34"/>
  <c r="AP26" i="34"/>
  <c r="A27" i="34"/>
  <c r="AN27" i="34"/>
  <c r="AO27" i="34"/>
  <c r="AP27" i="34"/>
  <c r="A28" i="34"/>
  <c r="AN28" i="34"/>
  <c r="AO28" i="34"/>
  <c r="AP28" i="34"/>
  <c r="A29" i="34"/>
  <c r="AN29" i="34"/>
  <c r="AO29" i="34"/>
  <c r="AP29" i="34"/>
  <c r="A30" i="34"/>
  <c r="AN30" i="34"/>
  <c r="AO30" i="34"/>
  <c r="AP30" i="34"/>
  <c r="A31" i="34"/>
  <c r="AN31" i="34"/>
  <c r="AO31" i="34"/>
  <c r="AP31" i="34"/>
  <c r="A32" i="34"/>
  <c r="AN32" i="34"/>
  <c r="AO32" i="34"/>
  <c r="AP32" i="34"/>
  <c r="A33" i="34"/>
  <c r="AN33" i="34"/>
  <c r="AO33" i="34"/>
  <c r="AP33" i="34"/>
  <c r="A34" i="34"/>
  <c r="AN34" i="34"/>
  <c r="AO34" i="34"/>
  <c r="AP34" i="34"/>
  <c r="A35" i="34"/>
  <c r="AN35" i="34"/>
  <c r="AO35" i="34"/>
  <c r="AP35" i="34"/>
  <c r="A36" i="34"/>
  <c r="AN36" i="34"/>
  <c r="AO36" i="34"/>
  <c r="AP36" i="34"/>
  <c r="A37" i="34"/>
  <c r="AN37" i="34"/>
  <c r="AO37" i="34"/>
  <c r="AP37" i="34"/>
  <c r="A38" i="34"/>
  <c r="AN38" i="34"/>
  <c r="AO38" i="34"/>
  <c r="AP38" i="34"/>
  <c r="A39" i="34"/>
  <c r="AN39" i="34"/>
  <c r="AO39" i="34"/>
  <c r="AP39" i="34"/>
  <c r="A40" i="34"/>
  <c r="AN40" i="34"/>
  <c r="AO40" i="34"/>
  <c r="AP40" i="34"/>
  <c r="A41" i="34"/>
  <c r="AN41" i="34"/>
  <c r="AO41" i="34"/>
  <c r="AP41" i="34"/>
  <c r="A42" i="34"/>
  <c r="AN42" i="34"/>
  <c r="AO42" i="34"/>
  <c r="AP42" i="34"/>
  <c r="A43" i="34"/>
  <c r="AN43" i="34"/>
  <c r="AO43" i="34"/>
  <c r="AP43" i="34"/>
  <c r="A44" i="34"/>
  <c r="AN44" i="34"/>
  <c r="AO44" i="34"/>
  <c r="AP44" i="34"/>
  <c r="A45" i="34"/>
  <c r="AN45" i="34"/>
  <c r="AO45" i="34"/>
  <c r="AP45" i="34"/>
  <c r="A46" i="34"/>
  <c r="AN46" i="34"/>
  <c r="AO46" i="34"/>
  <c r="AP46" i="34"/>
  <c r="A47" i="34"/>
  <c r="AN47" i="34"/>
  <c r="AO47" i="34"/>
  <c r="AP47" i="34"/>
  <c r="A48" i="34"/>
  <c r="AN48" i="34"/>
  <c r="AO48" i="34"/>
  <c r="AP48" i="34"/>
  <c r="A49" i="34"/>
  <c r="AN49" i="34"/>
  <c r="AO49" i="34"/>
  <c r="AP49" i="34"/>
  <c r="A50" i="34"/>
  <c r="AN50" i="34"/>
  <c r="AO50" i="34"/>
  <c r="AP50" i="34"/>
  <c r="AN51" i="34"/>
  <c r="AO51" i="34"/>
  <c r="AP51" i="34"/>
  <c r="A52" i="34"/>
  <c r="AN52" i="34"/>
  <c r="AO52" i="34"/>
  <c r="AP52" i="34"/>
  <c r="A53" i="34"/>
  <c r="AN53" i="34"/>
  <c r="AO53" i="34"/>
  <c r="AP53" i="34"/>
  <c r="A54" i="34"/>
  <c r="AN54" i="34"/>
  <c r="AO54" i="34"/>
  <c r="AP54" i="34"/>
  <c r="A55" i="34"/>
  <c r="AN55" i="34"/>
  <c r="AO55" i="34"/>
  <c r="AP55" i="34"/>
  <c r="A56" i="34"/>
  <c r="AN56" i="34"/>
  <c r="AO56" i="34"/>
  <c r="AP56" i="34"/>
  <c r="A57" i="34"/>
  <c r="AN57" i="34"/>
  <c r="AO57" i="34"/>
  <c r="AP57" i="34"/>
  <c r="A58" i="34"/>
  <c r="AN58" i="34"/>
  <c r="AO58" i="34"/>
  <c r="AP58" i="34"/>
  <c r="A59" i="34"/>
  <c r="AN59" i="34"/>
  <c r="AO59" i="34"/>
  <c r="AP59" i="34"/>
  <c r="A60" i="34"/>
  <c r="AN60" i="34"/>
  <c r="AO60" i="34"/>
  <c r="AP60" i="34"/>
  <c r="A61" i="34"/>
  <c r="AN61" i="34"/>
  <c r="AO61" i="34"/>
  <c r="AP61" i="34"/>
  <c r="A62" i="34"/>
  <c r="AN62" i="34"/>
  <c r="AO62" i="34"/>
  <c r="AP62" i="34"/>
  <c r="A63" i="34"/>
  <c r="AN63" i="34"/>
  <c r="AO63" i="34"/>
  <c r="AP63" i="34"/>
  <c r="A64" i="34"/>
  <c r="AN64" i="34"/>
  <c r="AO64" i="34"/>
  <c r="AP64" i="34"/>
  <c r="A65" i="34"/>
  <c r="AN65" i="34"/>
  <c r="AO65" i="34"/>
  <c r="AP65" i="34"/>
  <c r="A66" i="34"/>
  <c r="AN66" i="34"/>
  <c r="AO66" i="34"/>
  <c r="AP66" i="34"/>
  <c r="A67" i="34"/>
  <c r="AN67" i="34"/>
  <c r="AO67" i="34"/>
  <c r="AP67" i="34"/>
  <c r="A68" i="34"/>
  <c r="AN68" i="34"/>
  <c r="AO68" i="34"/>
  <c r="AP68" i="34"/>
  <c r="A69" i="34"/>
  <c r="C69" i="34"/>
  <c r="AF69" i="34"/>
  <c r="AN69" i="34"/>
  <c r="AO69" i="34"/>
  <c r="AP69" i="34"/>
  <c r="A70" i="34"/>
  <c r="C70" i="34"/>
  <c r="AF70" i="34"/>
  <c r="AN70" i="34"/>
  <c r="AO70" i="34"/>
  <c r="AP70" i="34"/>
  <c r="A71" i="34"/>
  <c r="C71" i="34"/>
  <c r="AF71" i="34"/>
  <c r="AN71" i="34"/>
  <c r="AO71" i="34"/>
  <c r="AP71" i="34"/>
  <c r="A72" i="34"/>
  <c r="C72" i="34"/>
  <c r="AF72" i="34"/>
  <c r="AN72" i="34"/>
  <c r="AO72" i="34"/>
  <c r="AP72" i="34"/>
  <c r="A73" i="34"/>
  <c r="C73" i="34"/>
  <c r="AF73" i="34"/>
  <c r="AN73" i="34"/>
  <c r="AO73" i="34"/>
  <c r="AP73" i="34"/>
  <c r="C74" i="34"/>
  <c r="AF74" i="34"/>
  <c r="AN74" i="34"/>
  <c r="AO74" i="34"/>
  <c r="AP74" i="34"/>
  <c r="AF75" i="34"/>
  <c r="AN75" i="34"/>
  <c r="AO75" i="34"/>
  <c r="AP75" i="34"/>
  <c r="AF76" i="34"/>
  <c r="AN76" i="34"/>
  <c r="AO76" i="34"/>
  <c r="AP76" i="34"/>
  <c r="A77" i="34"/>
  <c r="AF77" i="34"/>
  <c r="AN77" i="34"/>
  <c r="AO77" i="34"/>
  <c r="AP77" i="34"/>
  <c r="A78" i="34"/>
  <c r="AF78" i="34"/>
  <c r="AN78" i="34"/>
  <c r="AO78" i="34"/>
  <c r="AP78" i="34"/>
  <c r="A79" i="34"/>
  <c r="AF79" i="34"/>
  <c r="AN79" i="34"/>
  <c r="AO79" i="34"/>
  <c r="AP79" i="34"/>
  <c r="A80" i="34"/>
  <c r="AF80" i="34"/>
  <c r="AN80" i="34"/>
  <c r="AO80" i="34"/>
  <c r="AP80" i="34"/>
  <c r="A81" i="34"/>
  <c r="AF81" i="34"/>
  <c r="AN81" i="34"/>
  <c r="AO81" i="34"/>
  <c r="AP81" i="34"/>
  <c r="A82" i="34"/>
  <c r="AF82" i="34"/>
  <c r="AN82" i="34"/>
  <c r="AO82" i="34"/>
  <c r="AP82" i="34"/>
  <c r="A83" i="34"/>
  <c r="AF83" i="34"/>
  <c r="AN83" i="34"/>
  <c r="AO83" i="34"/>
  <c r="AP83" i="34"/>
  <c r="A84" i="34"/>
  <c r="AF84" i="34"/>
  <c r="AN84" i="34"/>
  <c r="AO84" i="34"/>
  <c r="AP84" i="34"/>
  <c r="A85" i="34"/>
  <c r="AF85" i="34"/>
  <c r="AN85" i="34"/>
  <c r="AO85" i="34"/>
  <c r="AP85" i="34"/>
  <c r="A86" i="34"/>
  <c r="AF86" i="34"/>
  <c r="AN86" i="34"/>
  <c r="AO86" i="34"/>
  <c r="AP86" i="34"/>
  <c r="A87" i="34"/>
  <c r="AF87" i="34"/>
  <c r="AN87" i="34"/>
  <c r="AO87" i="34"/>
  <c r="AP87" i="34"/>
  <c r="A88" i="34"/>
  <c r="AF88" i="34"/>
  <c r="AN88" i="34"/>
  <c r="AO88" i="34"/>
  <c r="AP88" i="34"/>
  <c r="A89" i="34"/>
  <c r="AF89" i="34"/>
  <c r="AN89" i="34"/>
  <c r="AO89" i="34"/>
  <c r="AP89" i="34"/>
  <c r="A90" i="34"/>
  <c r="AF90" i="34"/>
  <c r="AN90" i="34"/>
  <c r="AO90" i="34"/>
  <c r="AP90" i="34"/>
  <c r="A91" i="34"/>
  <c r="AF91" i="34"/>
  <c r="AN91" i="34"/>
  <c r="AO91" i="34"/>
  <c r="AP91" i="34"/>
  <c r="A92" i="34"/>
  <c r="AF92" i="34"/>
  <c r="AN92" i="34"/>
  <c r="AO92" i="34"/>
  <c r="AP92" i="34"/>
  <c r="A93" i="34"/>
  <c r="AF93" i="34"/>
  <c r="AN93" i="34"/>
  <c r="AO93" i="34"/>
  <c r="AP93" i="34"/>
  <c r="A94" i="34"/>
  <c r="AF94" i="34"/>
  <c r="AN94" i="34"/>
  <c r="AO94" i="34"/>
  <c r="AP94" i="34"/>
  <c r="A95" i="34"/>
  <c r="AF95" i="34"/>
  <c r="AN95" i="34"/>
  <c r="AO95" i="34"/>
  <c r="AP95" i="34"/>
  <c r="A96" i="34"/>
  <c r="AF96" i="34"/>
  <c r="AN96" i="34"/>
  <c r="AO96" i="34"/>
  <c r="AP96" i="34"/>
  <c r="A97" i="34"/>
  <c r="AF97" i="34"/>
  <c r="AN97" i="34"/>
  <c r="AO97" i="34"/>
  <c r="AP97" i="34"/>
  <c r="A98" i="34"/>
  <c r="AF98" i="34"/>
  <c r="AN98" i="34"/>
  <c r="AO98" i="34"/>
  <c r="AP98" i="34"/>
  <c r="A99" i="34"/>
  <c r="AF99" i="34"/>
  <c r="AN99" i="34"/>
  <c r="AO99" i="34"/>
  <c r="AP99" i="34"/>
  <c r="A100" i="34"/>
  <c r="AF100" i="34"/>
  <c r="AN100" i="34"/>
  <c r="AO100" i="34"/>
  <c r="AP100" i="34"/>
  <c r="A101" i="34"/>
  <c r="AF101" i="34"/>
  <c r="AN101" i="34"/>
  <c r="AO101" i="34"/>
  <c r="AP101" i="34"/>
  <c r="A102" i="34"/>
  <c r="AN102" i="34"/>
  <c r="AO102" i="34"/>
  <c r="AP102" i="34"/>
  <c r="A103" i="34"/>
  <c r="AN103" i="34"/>
  <c r="AO103" i="34"/>
  <c r="AP103" i="34"/>
  <c r="AN104" i="34"/>
  <c r="AO104" i="34"/>
  <c r="AP104" i="34"/>
  <c r="AN105" i="34"/>
  <c r="AO105" i="34"/>
  <c r="AP105" i="34"/>
  <c r="A106" i="34"/>
  <c r="AN106" i="34"/>
  <c r="AO106" i="34"/>
  <c r="AP106" i="34"/>
  <c r="A107" i="34"/>
  <c r="AN107" i="34"/>
  <c r="AO107" i="34"/>
  <c r="AP107" i="34"/>
  <c r="A108" i="34"/>
  <c r="AN108" i="34"/>
  <c r="AO108" i="34"/>
  <c r="AP108" i="34"/>
  <c r="A109" i="34"/>
  <c r="AN109" i="34"/>
  <c r="AO109" i="34"/>
  <c r="AP109" i="34"/>
  <c r="A110" i="34"/>
  <c r="AN110" i="34"/>
  <c r="AO110" i="34"/>
  <c r="AP110" i="34"/>
  <c r="A111" i="34"/>
  <c r="AN111" i="34"/>
  <c r="AO111" i="34"/>
  <c r="AP111" i="34"/>
  <c r="A112" i="34"/>
  <c r="AN112" i="34"/>
  <c r="AO112" i="34"/>
  <c r="AP112" i="34"/>
  <c r="A113" i="34"/>
  <c r="AN113" i="34"/>
  <c r="AO113" i="34"/>
  <c r="AP113" i="34"/>
  <c r="A114" i="34"/>
  <c r="AF114" i="34"/>
  <c r="AN114" i="34"/>
  <c r="AO114" i="34"/>
  <c r="AP114" i="34"/>
  <c r="A115" i="34"/>
  <c r="AF115" i="34"/>
  <c r="AN115" i="34"/>
  <c r="AO115" i="34"/>
  <c r="AP115" i="34"/>
  <c r="A116" i="34"/>
  <c r="AF116" i="34"/>
  <c r="AN116" i="34"/>
  <c r="AO116" i="34"/>
  <c r="AP116" i="34"/>
  <c r="A117" i="34"/>
  <c r="AF117" i="34"/>
  <c r="AN117" i="34"/>
  <c r="AO117" i="34"/>
  <c r="AP117" i="34"/>
  <c r="A118" i="34"/>
  <c r="AF118" i="34"/>
  <c r="AN118" i="34"/>
  <c r="AO118" i="34"/>
  <c r="AP118" i="34"/>
  <c r="A119" i="34"/>
  <c r="AF119" i="34"/>
  <c r="AN119" i="34"/>
  <c r="AO119" i="34"/>
  <c r="AP119" i="34"/>
  <c r="A120" i="34"/>
  <c r="AF120" i="34"/>
  <c r="AN120" i="34"/>
  <c r="AO120" i="34"/>
  <c r="AP120" i="34"/>
  <c r="A121" i="34"/>
  <c r="AF121" i="34"/>
  <c r="AN121" i="34"/>
  <c r="AO121" i="34"/>
  <c r="AP121" i="34"/>
  <c r="A122" i="34"/>
  <c r="AF122" i="34"/>
  <c r="AN122" i="34"/>
  <c r="AO122" i="34"/>
  <c r="AP122" i="34"/>
  <c r="A123" i="34"/>
  <c r="AF123" i="34"/>
  <c r="AN123" i="34"/>
  <c r="AO123" i="34"/>
  <c r="AP123" i="34"/>
  <c r="A124" i="34"/>
  <c r="AF124" i="34"/>
  <c r="AN124" i="34"/>
  <c r="AO124" i="34"/>
  <c r="AP124" i="34"/>
  <c r="A125" i="34"/>
  <c r="Z125" i="34"/>
  <c r="AB125" i="34"/>
  <c r="AF125" i="34"/>
  <c r="AN125" i="34"/>
  <c r="AO125" i="34"/>
  <c r="AP125" i="34"/>
  <c r="AA126" i="34"/>
  <c r="Z126" i="34"/>
  <c r="AC126" i="34"/>
  <c r="AB126" i="34"/>
  <c r="AN126" i="34"/>
  <c r="AA127" i="34"/>
  <c r="Z127" i="34"/>
  <c r="AC127" i="34"/>
  <c r="AB127" i="34"/>
  <c r="AF127" i="34"/>
  <c r="AN127" i="34"/>
  <c r="AA128" i="34"/>
  <c r="Z128" i="34"/>
  <c r="AC128" i="34"/>
  <c r="AB128" i="34"/>
  <c r="AF128" i="34"/>
  <c r="AN128" i="34"/>
  <c r="AA129" i="34"/>
  <c r="Z129" i="34"/>
  <c r="AC129" i="34"/>
  <c r="AB129" i="34"/>
  <c r="AF129" i="34"/>
  <c r="AN129" i="34"/>
  <c r="AA130" i="34"/>
  <c r="Z130" i="34"/>
  <c r="AC130" i="34"/>
  <c r="AB130" i="34"/>
  <c r="AF130" i="34"/>
  <c r="AN130" i="34"/>
  <c r="AA131" i="34"/>
  <c r="Z131" i="34"/>
  <c r="AC131" i="34"/>
  <c r="AB131" i="34"/>
  <c r="AF131" i="34"/>
  <c r="AN131" i="34"/>
  <c r="AA132" i="34"/>
  <c r="Z132" i="34"/>
  <c r="AC132" i="34"/>
  <c r="AB132" i="34"/>
  <c r="AF132" i="34"/>
  <c r="AN132" i="34"/>
  <c r="AA133" i="34"/>
  <c r="Z133" i="34"/>
  <c r="AC133" i="34"/>
  <c r="AB133" i="34"/>
  <c r="AF133" i="34"/>
  <c r="AN133" i="34"/>
  <c r="AA134" i="34"/>
  <c r="Z134" i="34"/>
  <c r="AC134" i="34"/>
  <c r="AB134" i="34"/>
  <c r="AF134" i="34"/>
  <c r="AN134" i="34"/>
  <c r="AA135" i="34"/>
  <c r="Z135" i="34"/>
  <c r="AC135" i="34"/>
  <c r="AB135" i="34"/>
  <c r="AF135" i="34"/>
  <c r="AN135" i="34"/>
  <c r="AA136" i="34"/>
  <c r="Z136" i="34"/>
  <c r="AC136" i="34"/>
  <c r="AB136" i="34"/>
  <c r="AF136" i="34"/>
  <c r="AN136" i="34"/>
  <c r="AA137" i="34"/>
  <c r="Z137" i="34"/>
  <c r="AC137" i="34"/>
  <c r="AB137" i="34"/>
  <c r="AF137" i="34"/>
  <c r="AN137" i="34"/>
  <c r="AA138" i="34"/>
  <c r="Z138" i="34"/>
  <c r="AC138" i="34"/>
  <c r="AB138" i="34"/>
  <c r="AF138" i="34"/>
  <c r="AN138" i="34"/>
  <c r="AA139" i="34"/>
  <c r="Z139" i="34"/>
  <c r="AC139" i="34"/>
  <c r="AB139" i="34"/>
  <c r="AF139" i="34"/>
  <c r="AN139" i="34"/>
  <c r="AA140" i="34"/>
  <c r="Z140" i="34"/>
  <c r="AC140" i="34"/>
  <c r="AB140" i="34"/>
  <c r="AA141" i="34"/>
  <c r="AC141" i="34"/>
  <c r="AA142" i="34"/>
  <c r="AC142" i="34"/>
  <c r="AA143" i="34"/>
  <c r="AC143" i="34"/>
  <c r="AA144" i="34"/>
  <c r="AC144" i="34"/>
  <c r="AF144" i="34"/>
  <c r="AN144" i="34"/>
  <c r="AA145" i="34"/>
  <c r="AC145" i="34"/>
  <c r="AF145" i="34"/>
  <c r="AN145" i="34"/>
  <c r="AA146" i="34"/>
  <c r="AC146" i="34"/>
  <c r="AF146" i="34"/>
  <c r="AN146" i="34"/>
  <c r="AA147" i="34"/>
  <c r="AC147" i="34"/>
  <c r="AF147" i="34"/>
  <c r="AN147" i="34"/>
  <c r="AA148" i="34"/>
  <c r="AC148" i="34"/>
  <c r="AF148" i="34"/>
  <c r="AN148" i="34"/>
  <c r="AA149" i="34"/>
  <c r="AC149" i="34"/>
  <c r="AF149" i="34"/>
  <c r="AN149" i="34"/>
  <c r="AA150" i="34"/>
  <c r="AC150" i="34"/>
  <c r="AF150" i="34"/>
  <c r="AN150" i="34"/>
  <c r="AA151" i="34"/>
  <c r="AC151" i="34"/>
  <c r="AF151" i="34"/>
  <c r="AN151" i="34"/>
  <c r="AA152" i="34"/>
  <c r="AC152" i="34"/>
  <c r="AF152" i="34"/>
  <c r="AN152" i="34"/>
  <c r="AA153" i="34"/>
  <c r="AC153" i="34"/>
  <c r="AF153" i="34"/>
  <c r="AN153" i="34"/>
  <c r="A154" i="34"/>
  <c r="AA154" i="34"/>
  <c r="AC154" i="34"/>
  <c r="AF154" i="34"/>
  <c r="AN154" i="34"/>
  <c r="A155" i="34"/>
  <c r="AA155" i="34"/>
  <c r="AC155" i="34"/>
  <c r="AF155" i="34"/>
  <c r="AN155" i="34"/>
  <c r="A156" i="34"/>
  <c r="AA156" i="34"/>
  <c r="AC156" i="34"/>
  <c r="AF156" i="34"/>
  <c r="AN156" i="34"/>
  <c r="A157" i="34"/>
  <c r="AA157" i="34"/>
  <c r="AC157" i="34"/>
  <c r="AF157" i="34"/>
  <c r="AN157" i="34"/>
  <c r="A158" i="34"/>
  <c r="AA158" i="34"/>
  <c r="AC158" i="34"/>
  <c r="AF158" i="34"/>
  <c r="AN158" i="34"/>
  <c r="A159" i="34"/>
  <c r="AA159" i="34"/>
  <c r="AC159" i="34"/>
  <c r="AF159" i="34"/>
  <c r="AN159" i="34"/>
  <c r="A160" i="34"/>
  <c r="AA160" i="34"/>
  <c r="AC160" i="34"/>
  <c r="AF160" i="34"/>
  <c r="AN160" i="34"/>
  <c r="A161" i="34"/>
  <c r="AA161" i="34"/>
  <c r="AC161" i="34"/>
  <c r="AF161" i="34"/>
  <c r="AN161" i="34"/>
  <c r="A162" i="34"/>
  <c r="AA162" i="34"/>
  <c r="AC162" i="34"/>
  <c r="AF162" i="34"/>
  <c r="AN162" i="34"/>
  <c r="AA163" i="34"/>
  <c r="AC163" i="34"/>
  <c r="AF163" i="34"/>
  <c r="AN163" i="34"/>
  <c r="AA164" i="34"/>
  <c r="AC164" i="34"/>
  <c r="AF164" i="34"/>
  <c r="AN164" i="34"/>
  <c r="AA165" i="34"/>
  <c r="AC165" i="34"/>
  <c r="AF165" i="34"/>
  <c r="AN165" i="34"/>
  <c r="D169" i="34"/>
  <c r="D172" i="34"/>
  <c r="D175" i="34"/>
  <c r="D178" i="34"/>
  <c r="D181" i="34"/>
  <c r="G181" i="34"/>
  <c r="K47" i="27"/>
  <c r="J47" i="27"/>
  <c r="K53" i="27"/>
  <c r="J53" i="27"/>
  <c r="K62" i="27"/>
  <c r="J62" i="27"/>
  <c r="K65" i="27"/>
  <c r="J65" i="27"/>
  <c r="K68" i="27"/>
  <c r="J68" i="27"/>
  <c r="K71" i="27"/>
  <c r="J71" i="27"/>
  <c r="K77" i="27"/>
  <c r="J77" i="27"/>
  <c r="K80" i="27"/>
  <c r="J80" i="27"/>
  <c r="L24" i="6"/>
  <c r="R24" i="6"/>
  <c r="J24" i="6"/>
  <c r="H24" i="6"/>
  <c r="F24" i="6"/>
  <c r="L23" i="6"/>
  <c r="R23" i="6"/>
  <c r="J23" i="6"/>
  <c r="H23" i="6"/>
  <c r="F23" i="6"/>
  <c r="L22" i="6"/>
  <c r="H22" i="6"/>
  <c r="F22" i="6"/>
  <c r="L21" i="6"/>
  <c r="J21" i="6"/>
  <c r="H21" i="6"/>
  <c r="F21" i="6"/>
  <c r="L20" i="6"/>
  <c r="R20" i="6"/>
  <c r="J20" i="6"/>
  <c r="H20" i="6"/>
  <c r="F20" i="6"/>
  <c r="L19" i="6"/>
  <c r="R19" i="6"/>
  <c r="J19" i="6"/>
  <c r="H19" i="6"/>
  <c r="F19" i="6"/>
  <c r="L18" i="6"/>
  <c r="R18" i="6"/>
  <c r="J18" i="6"/>
  <c r="H18" i="6"/>
  <c r="F18" i="6"/>
  <c r="L17" i="6"/>
  <c r="R17" i="6"/>
  <c r="J17" i="6"/>
  <c r="H17" i="6"/>
  <c r="F17" i="6"/>
  <c r="L16" i="6"/>
  <c r="R16" i="6"/>
  <c r="J16" i="6"/>
  <c r="H16" i="6"/>
  <c r="F16" i="6"/>
  <c r="L14" i="6"/>
  <c r="R14" i="6"/>
  <c r="J14" i="6"/>
  <c r="H14" i="6"/>
  <c r="F14" i="6"/>
  <c r="L13" i="6"/>
  <c r="R13" i="6"/>
  <c r="J13" i="6"/>
  <c r="H13" i="6"/>
  <c r="F13" i="6"/>
  <c r="L12" i="6"/>
  <c r="R12" i="6"/>
  <c r="J12" i="6"/>
  <c r="H12" i="6"/>
  <c r="F12" i="6"/>
  <c r="L11" i="6"/>
  <c r="R11" i="6"/>
  <c r="J11" i="6"/>
  <c r="H11" i="6"/>
  <c r="F11" i="6"/>
  <c r="L10" i="6"/>
  <c r="H10" i="6"/>
  <c r="F10" i="6"/>
  <c r="M25" i="6"/>
  <c r="L25" i="6"/>
  <c r="K25" i="6"/>
  <c r="J25" i="6"/>
  <c r="F25" i="6"/>
  <c r="C25" i="6"/>
  <c r="I25" i="6"/>
  <c r="H25" i="6"/>
  <c r="G25" i="6"/>
  <c r="L56" i="6"/>
  <c r="J45" i="5"/>
  <c r="J46" i="5"/>
  <c r="J47" i="5"/>
  <c r="J48" i="5"/>
  <c r="J49" i="5"/>
  <c r="J50" i="5"/>
  <c r="J51" i="5"/>
  <c r="J52" i="5"/>
  <c r="J53" i="5"/>
  <c r="J54" i="5"/>
  <c r="J56" i="6"/>
  <c r="H45" i="5"/>
  <c r="H46" i="5"/>
  <c r="H47" i="5"/>
  <c r="H48" i="5"/>
  <c r="H49" i="5"/>
  <c r="H50" i="5"/>
  <c r="H51" i="5"/>
  <c r="H52" i="5"/>
  <c r="H53" i="5"/>
  <c r="H54" i="5"/>
  <c r="H56" i="6"/>
  <c r="F45" i="5"/>
  <c r="F46" i="5"/>
  <c r="F47" i="5"/>
  <c r="F48" i="5"/>
  <c r="F49" i="5"/>
  <c r="F50" i="5"/>
  <c r="F51" i="5"/>
  <c r="F52" i="5"/>
  <c r="F53" i="5"/>
  <c r="F54" i="5"/>
  <c r="F56" i="6"/>
  <c r="R23" i="5"/>
  <c r="R22" i="5"/>
  <c r="R21" i="5"/>
  <c r="R20" i="5"/>
  <c r="R19" i="5"/>
  <c r="R18" i="5"/>
  <c r="R17" i="5"/>
  <c r="R15" i="5"/>
  <c r="C10" i="26"/>
  <c r="L30" i="33"/>
  <c r="L29" i="33"/>
  <c r="G30" i="33"/>
  <c r="F30" i="33"/>
  <c r="E30" i="33"/>
  <c r="D30" i="33"/>
  <c r="C11" i="33"/>
  <c r="C30" i="33"/>
  <c r="B30" i="33"/>
  <c r="G29" i="33"/>
  <c r="F10" i="33"/>
  <c r="F29" i="33"/>
  <c r="E29" i="33"/>
  <c r="D10" i="33"/>
  <c r="D29" i="33"/>
  <c r="C10" i="33"/>
  <c r="C29" i="33"/>
  <c r="B29" i="33"/>
  <c r="L12" i="33"/>
  <c r="H46" i="33"/>
  <c r="I26" i="33"/>
  <c r="J26" i="33"/>
  <c r="H26" i="33"/>
  <c r="H45" i="33"/>
  <c r="H44" i="33"/>
  <c r="H42" i="33"/>
  <c r="H40" i="33"/>
  <c r="H39" i="33"/>
  <c r="J46" i="33"/>
  <c r="I46" i="33"/>
  <c r="J45" i="33"/>
  <c r="I45" i="33"/>
  <c r="J44" i="33"/>
  <c r="I44" i="33"/>
  <c r="J42" i="33"/>
  <c r="I42" i="33"/>
  <c r="J51" i="23"/>
  <c r="I51" i="23"/>
  <c r="A69" i="23"/>
  <c r="A68" i="23"/>
  <c r="A67" i="23"/>
  <c r="A66" i="23"/>
  <c r="A65" i="23"/>
  <c r="A64" i="23"/>
  <c r="A63" i="23"/>
  <c r="A62" i="23"/>
  <c r="A61" i="23"/>
  <c r="A60" i="23"/>
  <c r="A59" i="23"/>
  <c r="A58" i="23"/>
  <c r="A57" i="23"/>
  <c r="A56" i="23"/>
  <c r="A55" i="23"/>
  <c r="A54" i="23"/>
  <c r="A53" i="23"/>
  <c r="A52" i="23"/>
  <c r="A51" i="23"/>
  <c r="J50" i="23"/>
  <c r="I50" i="23"/>
  <c r="A50" i="23"/>
  <c r="J49" i="23"/>
  <c r="I49" i="23"/>
  <c r="A49" i="23"/>
  <c r="A48" i="23"/>
  <c r="A47" i="23"/>
  <c r="A46" i="23"/>
  <c r="A45" i="23"/>
  <c r="A44" i="23"/>
  <c r="A43" i="23"/>
  <c r="A42" i="23"/>
  <c r="A41" i="23"/>
  <c r="A40" i="23"/>
  <c r="A39" i="23"/>
  <c r="L21" i="33"/>
  <c r="L22" i="33"/>
  <c r="L23" i="33"/>
  <c r="L24" i="33"/>
  <c r="G24" i="33"/>
  <c r="K42" i="33"/>
  <c r="L42" i="33"/>
  <c r="B42" i="33"/>
  <c r="K41" i="33"/>
  <c r="L41" i="33"/>
  <c r="B41" i="33"/>
  <c r="K40" i="33"/>
  <c r="L40" i="33"/>
  <c r="B40" i="33"/>
  <c r="B46" i="33"/>
  <c r="B45" i="33"/>
  <c r="B44" i="33"/>
  <c r="B39" i="33"/>
  <c r="B38" i="33"/>
  <c r="B37" i="33"/>
  <c r="B34" i="33"/>
  <c r="B33" i="33"/>
  <c r="B31" i="33"/>
  <c r="M153" i="29"/>
  <c r="M154" i="29"/>
  <c r="L154" i="29"/>
  <c r="M155" i="29"/>
  <c r="L155" i="29"/>
  <c r="M156" i="29"/>
  <c r="L156" i="29"/>
  <c r="M157" i="29"/>
  <c r="L157" i="29"/>
  <c r="M158" i="29"/>
  <c r="L158" i="29"/>
  <c r="L25" i="33"/>
  <c r="K44" i="33"/>
  <c r="L44" i="33"/>
  <c r="K46" i="33"/>
  <c r="C166" i="6"/>
  <c r="K26" i="33"/>
  <c r="K45" i="33"/>
  <c r="M159" i="29"/>
  <c r="L159" i="29"/>
  <c r="M160" i="29"/>
  <c r="L160" i="29"/>
  <c r="M161" i="29"/>
  <c r="L161" i="29"/>
  <c r="M162" i="29"/>
  <c r="L162" i="29"/>
  <c r="M163" i="29"/>
  <c r="L163" i="29"/>
  <c r="M164" i="29"/>
  <c r="L164" i="29"/>
  <c r="M165" i="29"/>
  <c r="L165" i="29"/>
  <c r="M166" i="29"/>
  <c r="L166" i="29"/>
  <c r="M167" i="29"/>
  <c r="L167" i="29"/>
  <c r="M168" i="29"/>
  <c r="L168" i="29"/>
  <c r="L26" i="33"/>
  <c r="G26" i="33"/>
  <c r="C26" i="33"/>
  <c r="F26" i="33"/>
  <c r="L45" i="33"/>
  <c r="G45" i="33"/>
  <c r="F45" i="33"/>
  <c r="C45" i="33"/>
  <c r="M169" i="29"/>
  <c r="L169" i="29"/>
  <c r="M170" i="29"/>
  <c r="L170" i="29"/>
  <c r="L27" i="33"/>
  <c r="L46" i="33"/>
  <c r="L33" i="33"/>
  <c r="L38" i="33"/>
  <c r="L39" i="33"/>
  <c r="F38" i="33"/>
  <c r="C38" i="33"/>
  <c r="L34" i="33"/>
  <c r="C16" i="33"/>
  <c r="L31" i="33"/>
  <c r="F31" i="33"/>
  <c r="E31" i="33"/>
  <c r="D31" i="33"/>
  <c r="D56" i="6"/>
  <c r="S76" i="6"/>
  <c r="R76" i="6"/>
  <c r="S165" i="5"/>
  <c r="S164" i="5"/>
  <c r="S163" i="5"/>
  <c r="S162" i="5"/>
  <c r="S161" i="5"/>
  <c r="S160" i="5"/>
  <c r="S159" i="5"/>
  <c r="S158" i="5"/>
  <c r="S157" i="5"/>
  <c r="S166" i="6"/>
  <c r="R166" i="6"/>
  <c r="S155" i="5"/>
  <c r="S154" i="5"/>
  <c r="S153" i="5"/>
  <c r="S152" i="5"/>
  <c r="S151" i="5"/>
  <c r="S150" i="5"/>
  <c r="S149" i="5"/>
  <c r="S148" i="5"/>
  <c r="S147" i="5"/>
  <c r="S156" i="6"/>
  <c r="R156" i="6"/>
  <c r="S145" i="5"/>
  <c r="S144" i="5"/>
  <c r="S143" i="5"/>
  <c r="S142" i="5"/>
  <c r="S141" i="5"/>
  <c r="S140" i="5"/>
  <c r="S139" i="5"/>
  <c r="S138" i="5"/>
  <c r="S137" i="5"/>
  <c r="S146" i="6"/>
  <c r="R146" i="6"/>
  <c r="S135" i="5"/>
  <c r="S134" i="5"/>
  <c r="S133" i="5"/>
  <c r="S132" i="5"/>
  <c r="S131" i="5"/>
  <c r="S130" i="5"/>
  <c r="S129" i="5"/>
  <c r="S128" i="5"/>
  <c r="S127" i="5"/>
  <c r="S136" i="6"/>
  <c r="R136" i="6"/>
  <c r="S125" i="5"/>
  <c r="S124" i="5"/>
  <c r="S123" i="5"/>
  <c r="S122" i="5"/>
  <c r="S121" i="5"/>
  <c r="S120" i="5"/>
  <c r="S119" i="5"/>
  <c r="S118" i="5"/>
  <c r="S117" i="5"/>
  <c r="S126" i="6"/>
  <c r="R126" i="6"/>
  <c r="S115" i="5"/>
  <c r="S114" i="5"/>
  <c r="S113" i="5"/>
  <c r="S112" i="5"/>
  <c r="S111" i="5"/>
  <c r="S110" i="5"/>
  <c r="S109" i="5"/>
  <c r="S108" i="5"/>
  <c r="S107" i="5"/>
  <c r="S116" i="6"/>
  <c r="R116" i="6"/>
  <c r="C99" i="30"/>
  <c r="C100" i="30"/>
  <c r="C101" i="30"/>
  <c r="C102" i="30"/>
  <c r="C103" i="30"/>
  <c r="C104" i="30"/>
  <c r="C105" i="30"/>
  <c r="C106" i="30"/>
  <c r="C107" i="30"/>
  <c r="C108" i="30"/>
  <c r="S105" i="5"/>
  <c r="S104" i="5"/>
  <c r="S103" i="5"/>
  <c r="S102" i="5"/>
  <c r="S101" i="5"/>
  <c r="S100" i="5"/>
  <c r="S99" i="5"/>
  <c r="S98" i="5"/>
  <c r="S97" i="5"/>
  <c r="S96" i="5"/>
  <c r="S106" i="6"/>
  <c r="R106" i="6"/>
  <c r="C89" i="30"/>
  <c r="C90" i="30"/>
  <c r="C91" i="30"/>
  <c r="C92" i="30"/>
  <c r="C93" i="30"/>
  <c r="C94" i="30"/>
  <c r="C95" i="30"/>
  <c r="C96" i="30"/>
  <c r="C97" i="30"/>
  <c r="C98" i="30"/>
  <c r="S95" i="5"/>
  <c r="S94" i="5"/>
  <c r="S93" i="5"/>
  <c r="S92" i="5"/>
  <c r="S91" i="5"/>
  <c r="S90" i="5"/>
  <c r="S89" i="5"/>
  <c r="S88" i="5"/>
  <c r="S87" i="5"/>
  <c r="S86" i="5"/>
  <c r="S96" i="6"/>
  <c r="R96" i="6"/>
  <c r="C80" i="30"/>
  <c r="C81" i="30"/>
  <c r="C82" i="30"/>
  <c r="C83" i="30"/>
  <c r="C84" i="30"/>
  <c r="C85" i="30"/>
  <c r="C86" i="30"/>
  <c r="C87" i="30"/>
  <c r="C88" i="30"/>
  <c r="S85" i="5"/>
  <c r="S84" i="5"/>
  <c r="S83" i="5"/>
  <c r="S82" i="5"/>
  <c r="S81" i="5"/>
  <c r="S80" i="5"/>
  <c r="S79" i="5"/>
  <c r="S78" i="5"/>
  <c r="S77" i="5"/>
  <c r="S76" i="5"/>
  <c r="S86" i="6"/>
  <c r="R76" i="5"/>
  <c r="R86" i="6"/>
  <c r="S66" i="6"/>
  <c r="S56" i="6"/>
  <c r="R56" i="6"/>
  <c r="S46" i="6"/>
  <c r="R46" i="6"/>
  <c r="S26" i="6"/>
  <c r="R26" i="6"/>
  <c r="R66" i="6"/>
  <c r="L37" i="33"/>
  <c r="F18" i="33"/>
  <c r="F37" i="33"/>
  <c r="F16" i="33"/>
  <c r="FJ78" i="4"/>
  <c r="FI78" i="4"/>
  <c r="B190" i="22"/>
  <c r="D190" i="22"/>
  <c r="B191" i="32"/>
  <c r="D191" i="32"/>
  <c r="B207" i="25"/>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95" i="32"/>
  <c r="H96" i="32"/>
  <c r="H97" i="32"/>
  <c r="H98" i="32"/>
  <c r="H99" i="32"/>
  <c r="H100" i="32"/>
  <c r="H101" i="32"/>
  <c r="H102" i="32"/>
  <c r="H103" i="32"/>
  <c r="H104" i="32"/>
  <c r="H105" i="32"/>
  <c r="H106" i="32"/>
  <c r="H107" i="32"/>
  <c r="H108" i="32"/>
  <c r="B56" i="6"/>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B11" i="25"/>
  <c r="AE10" i="25"/>
  <c r="G181" i="25"/>
  <c r="B181" i="25"/>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40" i="25"/>
  <c r="A41" i="25"/>
  <c r="A42" i="25"/>
  <c r="A43" i="25"/>
  <c r="A44" i="25"/>
  <c r="A45" i="25"/>
  <c r="A46" i="25"/>
  <c r="A47" i="25"/>
  <c r="A48" i="25"/>
  <c r="A49" i="25"/>
  <c r="A50" i="25"/>
  <c r="B169" i="25"/>
  <c r="B178" i="25"/>
  <c r="B175" i="25"/>
  <c r="B172" i="25"/>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H105" i="29"/>
  <c r="I105" i="29"/>
  <c r="E105" i="29"/>
  <c r="G105" i="29"/>
  <c r="H104" i="29"/>
  <c r="I104" i="29"/>
  <c r="E104" i="29"/>
  <c r="G104" i="29"/>
  <c r="H103" i="29"/>
  <c r="I103" i="29"/>
  <c r="E103" i="29"/>
  <c r="G103" i="29"/>
  <c r="H102" i="29"/>
  <c r="I102" i="29"/>
  <c r="E102" i="29"/>
  <c r="G102" i="29"/>
  <c r="H101" i="29"/>
  <c r="I101" i="29"/>
  <c r="E101" i="29"/>
  <c r="G101" i="29"/>
  <c r="H100" i="29"/>
  <c r="I100" i="29"/>
  <c r="E100" i="29"/>
  <c r="G100" i="29"/>
  <c r="H99" i="29"/>
  <c r="I99" i="29"/>
  <c r="E99" i="29"/>
  <c r="G99" i="29"/>
  <c r="H98" i="29"/>
  <c r="I98" i="29"/>
  <c r="E98" i="29"/>
  <c r="G98" i="29"/>
  <c r="H97" i="29"/>
  <c r="I97" i="29"/>
  <c r="E97" i="29"/>
  <c r="G97" i="29"/>
  <c r="H96" i="29"/>
  <c r="I96" i="29"/>
  <c r="E96" i="29"/>
  <c r="G96" i="29"/>
  <c r="H95" i="29"/>
  <c r="I95" i="29"/>
  <c r="E95" i="29"/>
  <c r="G95" i="29"/>
  <c r="H94" i="29"/>
  <c r="I94" i="29"/>
  <c r="E94" i="29"/>
  <c r="G94" i="29"/>
  <c r="H93" i="29"/>
  <c r="I93" i="29"/>
  <c r="E93" i="29"/>
  <c r="G93" i="29"/>
  <c r="H92" i="29"/>
  <c r="I92" i="29"/>
  <c r="E92" i="29"/>
  <c r="G92" i="29"/>
  <c r="H91" i="29"/>
  <c r="I91" i="29"/>
  <c r="E91" i="29"/>
  <c r="G91" i="29"/>
  <c r="H90" i="29"/>
  <c r="I90" i="29"/>
  <c r="E90" i="29"/>
  <c r="G90" i="29"/>
  <c r="H89" i="29"/>
  <c r="I89" i="29"/>
  <c r="E89" i="29"/>
  <c r="G89" i="29"/>
  <c r="H88" i="29"/>
  <c r="I88" i="29"/>
  <c r="E88" i="29"/>
  <c r="G88" i="29"/>
  <c r="H87" i="29"/>
  <c r="I87" i="29"/>
  <c r="E87" i="29"/>
  <c r="G87" i="29"/>
  <c r="H86" i="29"/>
  <c r="I86" i="29"/>
  <c r="E86" i="29"/>
  <c r="G86" i="29"/>
  <c r="H85" i="29"/>
  <c r="I85" i="29"/>
  <c r="E85" i="29"/>
  <c r="G85" i="29"/>
  <c r="H84" i="29"/>
  <c r="I84" i="29"/>
  <c r="E84" i="29"/>
  <c r="G84" i="29"/>
  <c r="H83" i="29"/>
  <c r="I83" i="29"/>
  <c r="E83" i="29"/>
  <c r="G83" i="29"/>
  <c r="H82" i="29"/>
  <c r="I82" i="29"/>
  <c r="E82" i="29"/>
  <c r="G82" i="29"/>
  <c r="H81" i="29"/>
  <c r="I81" i="29"/>
  <c r="E81" i="29"/>
  <c r="G81" i="29"/>
  <c r="H80" i="29"/>
  <c r="I80" i="29"/>
  <c r="E80" i="29"/>
  <c r="G80" i="29"/>
  <c r="I79" i="29"/>
  <c r="E79" i="29"/>
  <c r="G79" i="29"/>
  <c r="E106" i="29"/>
  <c r="U108" i="29"/>
  <c r="V108" i="29"/>
  <c r="U109" i="29"/>
  <c r="V109" i="29"/>
  <c r="X109" i="29"/>
  <c r="X108" i="29"/>
  <c r="AG108" i="29"/>
  <c r="AH108" i="29"/>
  <c r="AG109" i="29"/>
  <c r="AH109" i="29"/>
  <c r="AB109" i="29"/>
  <c r="AD109" i="29"/>
  <c r="AB108" i="29"/>
  <c r="AD108" i="29"/>
  <c r="AQ109" i="29"/>
  <c r="AE109" i="29"/>
  <c r="AF109" i="29"/>
  <c r="AQ108" i="29"/>
  <c r="AE108" i="29"/>
  <c r="AF108" i="29"/>
  <c r="AQ107" i="29"/>
  <c r="AE107" i="29"/>
  <c r="AF107" i="29"/>
  <c r="AQ106" i="29"/>
  <c r="AE106" i="29"/>
  <c r="AQ105" i="29"/>
  <c r="AE105" i="29"/>
  <c r="AF105" i="29"/>
  <c r="AQ104" i="29"/>
  <c r="AE104" i="29"/>
  <c r="AF104" i="29"/>
  <c r="AQ103" i="29"/>
  <c r="AE103" i="29"/>
  <c r="AF103" i="29"/>
  <c r="AQ102" i="29"/>
  <c r="AE102" i="29"/>
  <c r="AF102" i="29"/>
  <c r="AQ101" i="29"/>
  <c r="AE101" i="29"/>
  <c r="AF101" i="29"/>
  <c r="AQ100" i="29"/>
  <c r="AE100" i="29"/>
  <c r="AF100" i="29"/>
  <c r="AQ99" i="29"/>
  <c r="AE99" i="29"/>
  <c r="AF99" i="29"/>
  <c r="AQ98" i="29"/>
  <c r="AE98" i="29"/>
  <c r="AF98" i="29"/>
  <c r="AQ97" i="29"/>
  <c r="AE97" i="29"/>
  <c r="AF97" i="29"/>
  <c r="AQ96" i="29"/>
  <c r="AE96" i="29"/>
  <c r="AF96" i="29"/>
  <c r="AQ95" i="29"/>
  <c r="AE95" i="29"/>
  <c r="AF95" i="29"/>
  <c r="AQ94" i="29"/>
  <c r="AE94" i="29"/>
  <c r="AF94" i="29"/>
  <c r="AQ93" i="29"/>
  <c r="AE93" i="29"/>
  <c r="AF93" i="29"/>
  <c r="AQ92" i="29"/>
  <c r="AE92" i="29"/>
  <c r="AF92" i="29"/>
  <c r="AQ91" i="29"/>
  <c r="AE91" i="29"/>
  <c r="AF91" i="29"/>
  <c r="AQ90" i="29"/>
  <c r="AE90" i="29"/>
  <c r="AF90" i="29"/>
  <c r="AQ89" i="29"/>
  <c r="AE89" i="29"/>
  <c r="AF89" i="29"/>
  <c r="AQ88" i="29"/>
  <c r="AE88" i="29"/>
  <c r="AF88" i="29"/>
  <c r="AQ87" i="29"/>
  <c r="AE87" i="29"/>
  <c r="AF87" i="29"/>
  <c r="AQ86" i="29"/>
  <c r="AE86" i="29"/>
  <c r="AF86" i="29"/>
  <c r="AQ85" i="29"/>
  <c r="AE85" i="29"/>
  <c r="AF85" i="29"/>
  <c r="AQ84" i="29"/>
  <c r="AE84" i="29"/>
  <c r="AF84" i="29"/>
  <c r="AQ83" i="29"/>
  <c r="AE83" i="29"/>
  <c r="AF83" i="29"/>
  <c r="AQ82" i="29"/>
  <c r="AE82" i="29"/>
  <c r="AF82" i="29"/>
  <c r="AQ81" i="29"/>
  <c r="AE81" i="29"/>
  <c r="AF81" i="29"/>
  <c r="AQ80" i="29"/>
  <c r="AE80" i="29"/>
  <c r="AF80" i="29"/>
  <c r="AQ79" i="29"/>
  <c r="AE79" i="29"/>
  <c r="AF79" i="29"/>
  <c r="AC109" i="29"/>
  <c r="AC108" i="29"/>
  <c r="AC107" i="29"/>
  <c r="AC105" i="29"/>
  <c r="AC104" i="29"/>
  <c r="AC103" i="29"/>
  <c r="AC102" i="29"/>
  <c r="AC101" i="29"/>
  <c r="AC100" i="29"/>
  <c r="AC99" i="29"/>
  <c r="AC98" i="29"/>
  <c r="AC97" i="29"/>
  <c r="AC96" i="29"/>
  <c r="AC95" i="29"/>
  <c r="AC94" i="29"/>
  <c r="AC93" i="29"/>
  <c r="AC92" i="29"/>
  <c r="AC91" i="29"/>
  <c r="AC90" i="29"/>
  <c r="AC89" i="29"/>
  <c r="AC88" i="29"/>
  <c r="AC87" i="29"/>
  <c r="AC86" i="29"/>
  <c r="AC85" i="29"/>
  <c r="AC84" i="29"/>
  <c r="AC83" i="29"/>
  <c r="AC82" i="29"/>
  <c r="AC81" i="29"/>
  <c r="AC80" i="29"/>
  <c r="AC79" i="29"/>
  <c r="AR109" i="29"/>
  <c r="AR108" i="29"/>
  <c r="AR107" i="29"/>
  <c r="AR105" i="29"/>
  <c r="AR104" i="29"/>
  <c r="AR103" i="29"/>
  <c r="AR102" i="29"/>
  <c r="AR101" i="29"/>
  <c r="AR100" i="29"/>
  <c r="AR99" i="29"/>
  <c r="AR98" i="29"/>
  <c r="AR97" i="29"/>
  <c r="AR96" i="29"/>
  <c r="AR95" i="29"/>
  <c r="AR94" i="29"/>
  <c r="AR93" i="29"/>
  <c r="AR92" i="29"/>
  <c r="AR91" i="29"/>
  <c r="AR90" i="29"/>
  <c r="AR89" i="29"/>
  <c r="AR88" i="29"/>
  <c r="AR87" i="29"/>
  <c r="AR86" i="29"/>
  <c r="AR85" i="29"/>
  <c r="AR84" i="29"/>
  <c r="AR83" i="29"/>
  <c r="AR82" i="29"/>
  <c r="AR81" i="29"/>
  <c r="AR80" i="29"/>
  <c r="AR79" i="29"/>
  <c r="AL79" i="29"/>
  <c r="AL109" i="29"/>
  <c r="AL108" i="29"/>
  <c r="AL105" i="29"/>
  <c r="AL104" i="29"/>
  <c r="AL103" i="29"/>
  <c r="AL102" i="29"/>
  <c r="AL101" i="29"/>
  <c r="AL100" i="29"/>
  <c r="AL99" i="29"/>
  <c r="AL98" i="29"/>
  <c r="AL97" i="29"/>
  <c r="AL96" i="29"/>
  <c r="AL95" i="29"/>
  <c r="AL94" i="29"/>
  <c r="AL93" i="29"/>
  <c r="AL92" i="29"/>
  <c r="AL91" i="29"/>
  <c r="AL90" i="29"/>
  <c r="AL89" i="29"/>
  <c r="AL88" i="29"/>
  <c r="AL87" i="29"/>
  <c r="AL86" i="29"/>
  <c r="AL85" i="29"/>
  <c r="AL84" i="29"/>
  <c r="AL83" i="29"/>
  <c r="AL82" i="29"/>
  <c r="AL81" i="29"/>
  <c r="AL80" i="29"/>
  <c r="AL107" i="29"/>
  <c r="AJ109" i="29"/>
  <c r="AJ108" i="29"/>
  <c r="AJ107" i="29"/>
  <c r="AJ105" i="29"/>
  <c r="AJ104" i="29"/>
  <c r="AJ103" i="29"/>
  <c r="AJ102" i="29"/>
  <c r="AJ101" i="29"/>
  <c r="AJ100" i="29"/>
  <c r="AJ99" i="29"/>
  <c r="AJ98" i="29"/>
  <c r="AJ97" i="29"/>
  <c r="AJ96" i="29"/>
  <c r="AJ95" i="29"/>
  <c r="AJ94" i="29"/>
  <c r="AJ93" i="29"/>
  <c r="AJ92" i="29"/>
  <c r="AJ91" i="29"/>
  <c r="AJ90" i="29"/>
  <c r="AJ89" i="29"/>
  <c r="AJ88" i="29"/>
  <c r="AJ87" i="29"/>
  <c r="AJ86" i="29"/>
  <c r="AJ85" i="29"/>
  <c r="AJ84" i="29"/>
  <c r="AJ83" i="29"/>
  <c r="AJ82" i="29"/>
  <c r="AJ81" i="29"/>
  <c r="AJ80" i="29"/>
  <c r="AJ79"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I24" i="3"/>
  <c r="I23" i="3"/>
  <c r="I22" i="3"/>
  <c r="I21" i="3"/>
  <c r="I20" i="3"/>
  <c r="I19" i="3"/>
  <c r="I18" i="3"/>
  <c r="I17" i="3"/>
  <c r="I16" i="3"/>
  <c r="I15" i="3"/>
  <c r="I14" i="3"/>
  <c r="I13" i="3"/>
  <c r="I12" i="3"/>
  <c r="I11" i="3"/>
  <c r="I10" i="3"/>
  <c r="P24" i="3"/>
  <c r="P23" i="3"/>
  <c r="P22" i="3"/>
  <c r="P21" i="3"/>
  <c r="P20" i="3"/>
  <c r="P19" i="3"/>
  <c r="P18" i="3"/>
  <c r="P17" i="3"/>
  <c r="P16" i="3"/>
  <c r="P15" i="3"/>
  <c r="P14" i="3"/>
  <c r="P13" i="3"/>
  <c r="P12" i="3"/>
  <c r="P11" i="3"/>
  <c r="P10" i="3"/>
  <c r="U124" i="2"/>
  <c r="S124" i="2"/>
  <c r="P124" i="2"/>
  <c r="O124" i="2"/>
  <c r="N124" i="2"/>
  <c r="U123" i="2"/>
  <c r="S123" i="2"/>
  <c r="P123" i="2"/>
  <c r="O123" i="2"/>
  <c r="N123" i="2"/>
  <c r="U122" i="2"/>
  <c r="S122" i="2"/>
  <c r="P122" i="2"/>
  <c r="O122" i="2"/>
  <c r="N122" i="2"/>
  <c r="BX170" i="29"/>
  <c r="BH170" i="29"/>
  <c r="CI170" i="29"/>
  <c r="BX169" i="29"/>
  <c r="BH169" i="29"/>
  <c r="CI169" i="29"/>
  <c r="BX168" i="29"/>
  <c r="BH168" i="29"/>
  <c r="CI168" i="29"/>
  <c r="BX167" i="29"/>
  <c r="BH167" i="29"/>
  <c r="CI167" i="29"/>
  <c r="BX166" i="29"/>
  <c r="BH166" i="29"/>
  <c r="CI166" i="29"/>
  <c r="BX165" i="29"/>
  <c r="BH165" i="29"/>
  <c r="CI165" i="29"/>
  <c r="BX164" i="29"/>
  <c r="BH164" i="29"/>
  <c r="CI164" i="29"/>
  <c r="BX163" i="29"/>
  <c r="BH163" i="29"/>
  <c r="CI163" i="29"/>
  <c r="BX162" i="29"/>
  <c r="BH162" i="29"/>
  <c r="CI162" i="29"/>
  <c r="BX161" i="29"/>
  <c r="BH161" i="29"/>
  <c r="CI161" i="29"/>
  <c r="BX160" i="29"/>
  <c r="BH160" i="29"/>
  <c r="CI160" i="29"/>
  <c r="BX159" i="29"/>
  <c r="BH159" i="29"/>
  <c r="CI159" i="29"/>
  <c r="BX158" i="29"/>
  <c r="BH158" i="29"/>
  <c r="CI158" i="29"/>
  <c r="BX157" i="29"/>
  <c r="BH157" i="29"/>
  <c r="CI157" i="29"/>
  <c r="BX156" i="29"/>
  <c r="BH156" i="29"/>
  <c r="CI156" i="29"/>
  <c r="BX155" i="29"/>
  <c r="BH155" i="29"/>
  <c r="CI155" i="29"/>
  <c r="BX154" i="29"/>
  <c r="BH154" i="29"/>
  <c r="CI154" i="29"/>
  <c r="BX153" i="29"/>
  <c r="BH153" i="29"/>
  <c r="CI153" i="29"/>
  <c r="BX152" i="29"/>
  <c r="BH152" i="29"/>
  <c r="CI152" i="29"/>
  <c r="BX151" i="29"/>
  <c r="BH151" i="29"/>
  <c r="CI151" i="29"/>
  <c r="BX150" i="29"/>
  <c r="BH150" i="29"/>
  <c r="CI150" i="29"/>
  <c r="BX149" i="29"/>
  <c r="BH149" i="29"/>
  <c r="CI149" i="29"/>
  <c r="BX148" i="29"/>
  <c r="BH148" i="29"/>
  <c r="CI148" i="29"/>
  <c r="CH170" i="29"/>
  <c r="CH169" i="29"/>
  <c r="CH168" i="29"/>
  <c r="CH167" i="29"/>
  <c r="CH166" i="29"/>
  <c r="CH165" i="29"/>
  <c r="CH164" i="29"/>
  <c r="CH163" i="29"/>
  <c r="CH162" i="29"/>
  <c r="CH161" i="29"/>
  <c r="CH160" i="29"/>
  <c r="CH159" i="29"/>
  <c r="CH158" i="29"/>
  <c r="CH157" i="29"/>
  <c r="CH156" i="29"/>
  <c r="CH155" i="29"/>
  <c r="CH154" i="29"/>
  <c r="CH153" i="29"/>
  <c r="CH152" i="29"/>
  <c r="CH151" i="29"/>
  <c r="CH150" i="29"/>
  <c r="CH149" i="29"/>
  <c r="CH148" i="29"/>
  <c r="BX147" i="29"/>
  <c r="CH147" i="29"/>
  <c r="BX146" i="29"/>
  <c r="BX145" i="29"/>
  <c r="BX144" i="29"/>
  <c r="CH144" i="29"/>
  <c r="BX143" i="29"/>
  <c r="CH143" i="29"/>
  <c r="BX142" i="29"/>
  <c r="CH142" i="29"/>
  <c r="BX141" i="29"/>
  <c r="CH141" i="29"/>
  <c r="BX140" i="29"/>
  <c r="CH140" i="29"/>
  <c r="BX139" i="29"/>
  <c r="CH139" i="29"/>
  <c r="BX138" i="29"/>
  <c r="CH138" i="29"/>
  <c r="BX137" i="29"/>
  <c r="CH137" i="29"/>
  <c r="BX136" i="29"/>
  <c r="CH136" i="29"/>
  <c r="BX135" i="29"/>
  <c r="CH135" i="29"/>
  <c r="BX134" i="29"/>
  <c r="CH134" i="29"/>
  <c r="BX133" i="29"/>
  <c r="CH133" i="29"/>
  <c r="BX132" i="29"/>
  <c r="CH132" i="29"/>
  <c r="BX131" i="29"/>
  <c r="CH131" i="29"/>
  <c r="BX130" i="29"/>
  <c r="CH130" i="29"/>
  <c r="BX129" i="29"/>
  <c r="CH129" i="29"/>
  <c r="CI131" i="29"/>
  <c r="CI130" i="29"/>
  <c r="CI129" i="29"/>
  <c r="BX123" i="29"/>
  <c r="CC123" i="29"/>
  <c r="BY123" i="29"/>
  <c r="BX125" i="29"/>
  <c r="CC125" i="29"/>
  <c r="BY125" i="29"/>
  <c r="BX124" i="29"/>
  <c r="CC124" i="29"/>
  <c r="BY124" i="29"/>
  <c r="CC122" i="29"/>
  <c r="CC121" i="29"/>
  <c r="CC120" i="29"/>
  <c r="CC119" i="29"/>
  <c r="CC118" i="29"/>
  <c r="CC117" i="29"/>
  <c r="CI135" i="29"/>
  <c r="CI134" i="29"/>
  <c r="CI133" i="29"/>
  <c r="CI132" i="29"/>
  <c r="CI144" i="29"/>
  <c r="CI143" i="29"/>
  <c r="CI142" i="29"/>
  <c r="CI141" i="29"/>
  <c r="CI140" i="29"/>
  <c r="CI139" i="29"/>
  <c r="CI138" i="29"/>
  <c r="CI137" i="29"/>
  <c r="CI136" i="29"/>
  <c r="CI147" i="29"/>
  <c r="CC126" i="29"/>
  <c r="BH126" i="29"/>
  <c r="BH123" i="29"/>
  <c r="BH120" i="29"/>
  <c r="BH117" i="29"/>
  <c r="CJ144" i="29"/>
  <c r="CJ143" i="29"/>
  <c r="CJ142" i="29"/>
  <c r="CJ141" i="29"/>
  <c r="CJ140" i="29"/>
  <c r="CJ139" i="29"/>
  <c r="CJ138" i="29"/>
  <c r="CJ137" i="29"/>
  <c r="CJ136" i="29"/>
  <c r="CJ135" i="29"/>
  <c r="CJ132" i="29"/>
  <c r="CJ129" i="29"/>
  <c r="CJ126" i="29"/>
  <c r="CJ123" i="29"/>
  <c r="CJ120" i="29"/>
  <c r="CJ117" i="29"/>
  <c r="CK170" i="29"/>
  <c r="CJ170" i="29"/>
  <c r="CK169" i="29"/>
  <c r="CJ169" i="29"/>
  <c r="CK168" i="29"/>
  <c r="CJ168" i="29"/>
  <c r="CK167" i="29"/>
  <c r="CJ167" i="29"/>
  <c r="CK166" i="29"/>
  <c r="CJ166" i="29"/>
  <c r="CK165" i="29"/>
  <c r="CJ165" i="29"/>
  <c r="CK164" i="29"/>
  <c r="CJ164" i="29"/>
  <c r="CK163" i="29"/>
  <c r="CJ163" i="29"/>
  <c r="CK162" i="29"/>
  <c r="CJ162" i="29"/>
  <c r="CK161" i="29"/>
  <c r="CJ161" i="29"/>
  <c r="CK160" i="29"/>
  <c r="CJ160" i="29"/>
  <c r="CK159" i="29"/>
  <c r="CJ159" i="29"/>
  <c r="CK158" i="29"/>
  <c r="CJ158" i="29"/>
  <c r="CK157" i="29"/>
  <c r="CJ157" i="29"/>
  <c r="CK156" i="29"/>
  <c r="CJ156" i="29"/>
  <c r="CK155" i="29"/>
  <c r="CJ155" i="29"/>
  <c r="CK154" i="29"/>
  <c r="CJ154" i="29"/>
  <c r="CK153" i="29"/>
  <c r="CJ153" i="29"/>
  <c r="CK152" i="29"/>
  <c r="CJ152" i="29"/>
  <c r="CK151" i="29"/>
  <c r="CJ151" i="29"/>
  <c r="CK150" i="29"/>
  <c r="CJ150" i="29"/>
  <c r="CK149" i="29"/>
  <c r="CJ149" i="29"/>
  <c r="CK148" i="29"/>
  <c r="CJ148" i="29"/>
  <c r="CK147" i="29"/>
  <c r="CJ147" i="29"/>
  <c r="CC169" i="29"/>
  <c r="BY169" i="29"/>
  <c r="CC168" i="29"/>
  <c r="BY168" i="29"/>
  <c r="CC167" i="29"/>
  <c r="BY167" i="29"/>
  <c r="CC166" i="29"/>
  <c r="BY166" i="29"/>
  <c r="CC165" i="29"/>
  <c r="BY165" i="29"/>
  <c r="CC164" i="29"/>
  <c r="BY164" i="29"/>
  <c r="CC163" i="29"/>
  <c r="BY163" i="29"/>
  <c r="CC162" i="29"/>
  <c r="BY162" i="29"/>
  <c r="CC161" i="29"/>
  <c r="BY161" i="29"/>
  <c r="CC160" i="29"/>
  <c r="BY160" i="29"/>
  <c r="CC159" i="29"/>
  <c r="BY159" i="29"/>
  <c r="CC158" i="29"/>
  <c r="BY158" i="29"/>
  <c r="CC157" i="29"/>
  <c r="BY157" i="29"/>
  <c r="CC156" i="29"/>
  <c r="BY156" i="29"/>
  <c r="CC155" i="29"/>
  <c r="BY155" i="29"/>
  <c r="CC154" i="29"/>
  <c r="BY154" i="29"/>
  <c r="CC153" i="29"/>
  <c r="BY153" i="29"/>
  <c r="CC152" i="29"/>
  <c r="BY152" i="29"/>
  <c r="CC151" i="29"/>
  <c r="BY151" i="29"/>
  <c r="CC150" i="29"/>
  <c r="BY150" i="29"/>
  <c r="CC149" i="29"/>
  <c r="BY149" i="29"/>
  <c r="CC148" i="29"/>
  <c r="BY148" i="29"/>
  <c r="CC147" i="29"/>
  <c r="BY147" i="29"/>
  <c r="BY146" i="29"/>
  <c r="BY145" i="29"/>
  <c r="BY144" i="29"/>
  <c r="BY143" i="29"/>
  <c r="BY142" i="29"/>
  <c r="BY141" i="29"/>
  <c r="BY140" i="29"/>
  <c r="BY139" i="29"/>
  <c r="BY138" i="29"/>
  <c r="BY137" i="29"/>
  <c r="BY136" i="29"/>
  <c r="BY135" i="29"/>
  <c r="BY134" i="29"/>
  <c r="BY133" i="29"/>
  <c r="BY132" i="29"/>
  <c r="BY131" i="29"/>
  <c r="BY130" i="29"/>
  <c r="BY129" i="29"/>
  <c r="BX128" i="29"/>
  <c r="CC128" i="29"/>
  <c r="BY128" i="29"/>
  <c r="BX127" i="29"/>
  <c r="CC127" i="29"/>
  <c r="BY127" i="29"/>
  <c r="BX126" i="29"/>
  <c r="BY126" i="29"/>
  <c r="CC170" i="29"/>
  <c r="BY170" i="29"/>
  <c r="G169" i="29"/>
  <c r="G168" i="29"/>
  <c r="G167" i="29"/>
  <c r="G166" i="29"/>
  <c r="G165" i="29"/>
  <c r="G164" i="29"/>
  <c r="G163" i="29"/>
  <c r="G162" i="29"/>
  <c r="G161" i="29"/>
  <c r="G160" i="29"/>
  <c r="G159" i="29"/>
  <c r="G158" i="29"/>
  <c r="G157" i="29"/>
  <c r="G156" i="29"/>
  <c r="G155" i="29"/>
  <c r="G154" i="29"/>
  <c r="G153" i="29"/>
  <c r="G152" i="29"/>
  <c r="G151" i="29"/>
  <c r="G150" i="29"/>
  <c r="G149" i="29"/>
  <c r="G148"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4" i="29"/>
  <c r="Q143" i="29"/>
  <c r="Q142" i="29"/>
  <c r="Q141" i="29"/>
  <c r="Q140" i="29"/>
  <c r="Q139" i="29"/>
  <c r="Q138" i="29"/>
  <c r="Q137" i="29"/>
  <c r="Q136" i="29"/>
  <c r="Q135" i="29"/>
  <c r="Q132" i="29"/>
  <c r="Q129" i="29"/>
  <c r="Q126" i="29"/>
  <c r="Q123" i="29"/>
  <c r="Q120" i="29"/>
  <c r="Q117" i="29"/>
  <c r="R169" i="29"/>
  <c r="R168" i="29"/>
  <c r="R167" i="29"/>
  <c r="R166" i="29"/>
  <c r="R165" i="29"/>
  <c r="R164" i="29"/>
  <c r="R163" i="29"/>
  <c r="R162" i="29"/>
  <c r="R161" i="29"/>
  <c r="R160" i="29"/>
  <c r="R159" i="29"/>
  <c r="R158" i="29"/>
  <c r="R157" i="29"/>
  <c r="R156" i="29"/>
  <c r="R155" i="29"/>
  <c r="R154" i="29"/>
  <c r="R153" i="29"/>
  <c r="R152" i="29"/>
  <c r="R151" i="29"/>
  <c r="R150" i="29"/>
  <c r="R149" i="29"/>
  <c r="R148" i="29"/>
  <c r="R147" i="29"/>
  <c r="BI170" i="29"/>
  <c r="BI169" i="29"/>
  <c r="BI168" i="29"/>
  <c r="BI167" i="29"/>
  <c r="BI166" i="29"/>
  <c r="BI165" i="29"/>
  <c r="BI164" i="29"/>
  <c r="BI163" i="29"/>
  <c r="BI162" i="29"/>
  <c r="BI161" i="29"/>
  <c r="BI160" i="29"/>
  <c r="BI159" i="29"/>
  <c r="BI158" i="29"/>
  <c r="BI157" i="29"/>
  <c r="BI156" i="29"/>
  <c r="BI155" i="29"/>
  <c r="BI154" i="29"/>
  <c r="BI153" i="29"/>
  <c r="BI152" i="29"/>
  <c r="BI151" i="29"/>
  <c r="BI150" i="29"/>
  <c r="BI149" i="29"/>
  <c r="BI148" i="29"/>
  <c r="BI147" i="29"/>
  <c r="M165" i="25"/>
  <c r="H180" i="32"/>
  <c r="W180" i="32"/>
  <c r="H179" i="32"/>
  <c r="W179" i="32"/>
  <c r="H178" i="32"/>
  <c r="W178" i="32"/>
  <c r="H177" i="32"/>
  <c r="W177" i="32"/>
  <c r="H176" i="32"/>
  <c r="W176" i="32"/>
  <c r="H175" i="32"/>
  <c r="W175" i="32"/>
  <c r="H174" i="32"/>
  <c r="W174" i="32"/>
  <c r="H173" i="32"/>
  <c r="W173" i="32"/>
  <c r="H172" i="32"/>
  <c r="W172" i="32"/>
  <c r="H171" i="32"/>
  <c r="W171" i="32"/>
  <c r="H170" i="32"/>
  <c r="W170" i="32"/>
  <c r="H169" i="32"/>
  <c r="W169" i="32"/>
  <c r="H168" i="32"/>
  <c r="W168" i="32"/>
  <c r="H167" i="32"/>
  <c r="W167" i="32"/>
  <c r="H166" i="32"/>
  <c r="W166" i="32"/>
  <c r="H165" i="32"/>
  <c r="W165" i="32"/>
  <c r="H164" i="32"/>
  <c r="W164" i="32"/>
  <c r="H163" i="32"/>
  <c r="W163" i="32"/>
  <c r="H162" i="32"/>
  <c r="W162" i="32"/>
  <c r="H161" i="32"/>
  <c r="W161" i="32"/>
  <c r="H160" i="32"/>
  <c r="W160" i="32"/>
  <c r="H159" i="32"/>
  <c r="W159" i="32"/>
  <c r="H158" i="32"/>
  <c r="W158" i="32"/>
  <c r="H157" i="32"/>
  <c r="W157" i="32"/>
  <c r="H156" i="32"/>
  <c r="W156" i="32"/>
  <c r="H155" i="32"/>
  <c r="W155" i="32"/>
  <c r="H154" i="32"/>
  <c r="W154" i="32"/>
  <c r="H153" i="32"/>
  <c r="W153" i="32"/>
  <c r="H152" i="32"/>
  <c r="W152" i="32"/>
  <c r="H151" i="32"/>
  <c r="W151" i="32"/>
  <c r="H150" i="32"/>
  <c r="W150" i="32"/>
  <c r="H149" i="32"/>
  <c r="W149" i="32"/>
  <c r="H148" i="32"/>
  <c r="W148" i="32"/>
  <c r="H147" i="32"/>
  <c r="W147" i="32"/>
  <c r="H146" i="32"/>
  <c r="W146" i="32"/>
  <c r="H145" i="32"/>
  <c r="W145" i="32"/>
  <c r="W144" i="32"/>
  <c r="W143" i="32"/>
  <c r="W142" i="32"/>
  <c r="W141" i="32"/>
  <c r="W140" i="32"/>
  <c r="W139" i="32"/>
  <c r="W138" i="32"/>
  <c r="W137" i="32"/>
  <c r="W136" i="32"/>
  <c r="W135" i="32"/>
  <c r="W134" i="32"/>
  <c r="W133" i="32"/>
  <c r="W132" i="32"/>
  <c r="W131" i="32"/>
  <c r="W130" i="32"/>
  <c r="W129" i="32"/>
  <c r="W128" i="32"/>
  <c r="W127" i="32"/>
  <c r="W126" i="32"/>
  <c r="W125" i="32"/>
  <c r="W124" i="32"/>
  <c r="W123" i="32"/>
  <c r="W122" i="32"/>
  <c r="H121" i="32"/>
  <c r="W121" i="32"/>
  <c r="H120" i="32"/>
  <c r="W120" i="32"/>
  <c r="H119" i="32"/>
  <c r="W119" i="32"/>
  <c r="H118" i="32"/>
  <c r="W118" i="32"/>
  <c r="H117" i="32"/>
  <c r="W117" i="32"/>
  <c r="H109" i="32"/>
  <c r="W109" i="32"/>
  <c r="W108" i="32"/>
  <c r="W107" i="32"/>
  <c r="W106" i="32"/>
  <c r="W105" i="32"/>
  <c r="W104" i="32"/>
  <c r="W103" i="32"/>
  <c r="W102" i="32"/>
  <c r="W101" i="32"/>
  <c r="W100" i="32"/>
  <c r="W99" i="32"/>
  <c r="W98" i="32"/>
  <c r="W97" i="32"/>
  <c r="W96" i="32"/>
  <c r="W95" i="32"/>
  <c r="H94" i="32"/>
  <c r="W94" i="32"/>
  <c r="H93" i="32"/>
  <c r="W93" i="32"/>
  <c r="H92" i="32"/>
  <c r="W92" i="32"/>
  <c r="W91" i="32"/>
  <c r="H181" i="32"/>
  <c r="W181"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1" i="32"/>
  <c r="A122" i="32"/>
  <c r="A123" i="32"/>
  <c r="A124" i="32"/>
  <c r="A125" i="32"/>
  <c r="A126" i="32"/>
  <c r="A127" i="32"/>
  <c r="A128" i="32"/>
  <c r="A129" i="32"/>
  <c r="A130" i="32"/>
  <c r="A131" i="32"/>
  <c r="A132" i="32"/>
  <c r="A133" i="32"/>
  <c r="A134" i="32"/>
  <c r="A135" i="32"/>
  <c r="A136" i="32"/>
  <c r="A137" i="32"/>
  <c r="A138" i="32"/>
  <c r="A139" i="32"/>
  <c r="A140" i="32"/>
  <c r="A141" i="32"/>
  <c r="A170" i="32"/>
  <c r="A171" i="32"/>
  <c r="A172" i="32"/>
  <c r="A173" i="32"/>
  <c r="A174" i="32"/>
  <c r="A175" i="32"/>
  <c r="A176" i="32"/>
  <c r="A177" i="32"/>
  <c r="A178" i="32"/>
  <c r="A179" i="32"/>
  <c r="A180" i="32"/>
  <c r="A181" i="32"/>
  <c r="EF108" i="4"/>
  <c r="EF107" i="4"/>
  <c r="EE124" i="4"/>
  <c r="EE123" i="4"/>
  <c r="EE122" i="4"/>
  <c r="EE121" i="4"/>
  <c r="EE120" i="4"/>
  <c r="EE119" i="4"/>
  <c r="EE118" i="4"/>
  <c r="EE117" i="4"/>
  <c r="EE116" i="4"/>
  <c r="EE115" i="4"/>
  <c r="EE114" i="4"/>
  <c r="EE113" i="4"/>
  <c r="EE112" i="4"/>
  <c r="EE111" i="4"/>
  <c r="EE110" i="4"/>
  <c r="EE109" i="4"/>
  <c r="EE108" i="4"/>
  <c r="EE107" i="4"/>
  <c r="EE106" i="4"/>
  <c r="EE105" i="4"/>
  <c r="EF169" i="4"/>
  <c r="EF168" i="4"/>
  <c r="EF167" i="4"/>
  <c r="EF166" i="4"/>
  <c r="EF165" i="4"/>
  <c r="EF164" i="4"/>
  <c r="EF163" i="4"/>
  <c r="EF162" i="4"/>
  <c r="EF161" i="4"/>
  <c r="EF160" i="4"/>
  <c r="EF159" i="4"/>
  <c r="EF158" i="4"/>
  <c r="EF157" i="4"/>
  <c r="EF156" i="4"/>
  <c r="EF155" i="4"/>
  <c r="EF154" i="4"/>
  <c r="EF153" i="4"/>
  <c r="EF152" i="4"/>
  <c r="EF151" i="4"/>
  <c r="EF150" i="4"/>
  <c r="EF149" i="4"/>
  <c r="EF148" i="4"/>
  <c r="EF147" i="4"/>
  <c r="EF146" i="4"/>
  <c r="EF145" i="4"/>
  <c r="EF144" i="4"/>
  <c r="EF143" i="4"/>
  <c r="EF142" i="4"/>
  <c r="EF141" i="4"/>
  <c r="EF140" i="4"/>
  <c r="EF139" i="4"/>
  <c r="EF138" i="4"/>
  <c r="EF137" i="4"/>
  <c r="EF136" i="4"/>
  <c r="EF135" i="4"/>
  <c r="EF134" i="4"/>
  <c r="EF133" i="4"/>
  <c r="EF132" i="4"/>
  <c r="EF131" i="4"/>
  <c r="EF130" i="4"/>
  <c r="EF129" i="4"/>
  <c r="EF128" i="4"/>
  <c r="EF127" i="4"/>
  <c r="EF126" i="4"/>
  <c r="EF125" i="4"/>
  <c r="EF124" i="4"/>
  <c r="EF123" i="4"/>
  <c r="EF122" i="4"/>
  <c r="EF121" i="4"/>
  <c r="EF120" i="4"/>
  <c r="EF119" i="4"/>
  <c r="EF118" i="4"/>
  <c r="EF117" i="4"/>
  <c r="EF116" i="4"/>
  <c r="EF115" i="4"/>
  <c r="EF114" i="4"/>
  <c r="EF113" i="4"/>
  <c r="EF112" i="4"/>
  <c r="EF111" i="4"/>
  <c r="EF110" i="4"/>
  <c r="EF109" i="4"/>
  <c r="BX105" i="4"/>
  <c r="BX104" i="4"/>
  <c r="BX103" i="4"/>
  <c r="BX102" i="4"/>
  <c r="BX101" i="4"/>
  <c r="BX100" i="4"/>
  <c r="BX99" i="4"/>
  <c r="BX98" i="4"/>
  <c r="BX97" i="4"/>
  <c r="BX96" i="4"/>
  <c r="BX95" i="4"/>
  <c r="BX94" i="4"/>
  <c r="BX93" i="4"/>
  <c r="BX92" i="4"/>
  <c r="BX91" i="4"/>
  <c r="BX90" i="4"/>
  <c r="BX89" i="4"/>
  <c r="BX88" i="4"/>
  <c r="BX87" i="4"/>
  <c r="BX86" i="4"/>
  <c r="BX85" i="4"/>
  <c r="BX84" i="4"/>
  <c r="BX83" i="4"/>
  <c r="BX82" i="4"/>
  <c r="BX81" i="4"/>
  <c r="BX80" i="4"/>
  <c r="BX79" i="4"/>
  <c r="BX78" i="4"/>
  <c r="BX77" i="4"/>
  <c r="BX76" i="4"/>
  <c r="BX75" i="4"/>
  <c r="BX74" i="4"/>
  <c r="BX73" i="4"/>
  <c r="BX72" i="4"/>
  <c r="BX71" i="4"/>
  <c r="BX70" i="4"/>
  <c r="BX69" i="4"/>
  <c r="BX68" i="4"/>
  <c r="BX67" i="4"/>
  <c r="BX66" i="4"/>
  <c r="BX65" i="4"/>
  <c r="BX64" i="4"/>
  <c r="BX63" i="4"/>
  <c r="BX62" i="4"/>
  <c r="BX61" i="4"/>
  <c r="BX60" i="4"/>
  <c r="BX59" i="4"/>
  <c r="BX58" i="4"/>
  <c r="BX57" i="4"/>
  <c r="BX56" i="4"/>
  <c r="BX55" i="4"/>
  <c r="BX54" i="4"/>
  <c r="BX53" i="4"/>
  <c r="BX52" i="4"/>
  <c r="BX51" i="4"/>
  <c r="BX50" i="4"/>
  <c r="BX49" i="4"/>
  <c r="BX48" i="4"/>
  <c r="BX13" i="4"/>
  <c r="C181" i="21"/>
  <c r="D181" i="21"/>
  <c r="B181" i="21"/>
  <c r="S181" i="21"/>
  <c r="C180" i="21"/>
  <c r="D180" i="21"/>
  <c r="B180" i="21"/>
  <c r="S180" i="21"/>
  <c r="C179" i="21"/>
  <c r="D179" i="21"/>
  <c r="B179" i="21"/>
  <c r="S179" i="21"/>
  <c r="C178" i="21"/>
  <c r="D178" i="21"/>
  <c r="B178" i="21"/>
  <c r="S178" i="21"/>
  <c r="C177" i="21"/>
  <c r="D177" i="21"/>
  <c r="B177" i="21"/>
  <c r="S177" i="21"/>
  <c r="C176" i="21"/>
  <c r="D176" i="21"/>
  <c r="B176" i="21"/>
  <c r="S176" i="21"/>
  <c r="C175" i="21"/>
  <c r="D175" i="21"/>
  <c r="B175" i="21"/>
  <c r="S175" i="21"/>
  <c r="C174" i="21"/>
  <c r="D174" i="21"/>
  <c r="B174" i="21"/>
  <c r="S174" i="21"/>
  <c r="C173" i="21"/>
  <c r="D173" i="21"/>
  <c r="B173" i="21"/>
  <c r="S173" i="21"/>
  <c r="C172" i="21"/>
  <c r="D172" i="21"/>
  <c r="B172" i="21"/>
  <c r="S172" i="21"/>
  <c r="C171" i="21"/>
  <c r="D171" i="21"/>
  <c r="B171" i="21"/>
  <c r="S171" i="21"/>
  <c r="C170" i="21"/>
  <c r="D170" i="21"/>
  <c r="B170" i="21"/>
  <c r="S170" i="21"/>
  <c r="C169" i="21"/>
  <c r="D169" i="21"/>
  <c r="B169" i="21"/>
  <c r="S169" i="21"/>
  <c r="C168" i="21"/>
  <c r="D168" i="21"/>
  <c r="B168" i="21"/>
  <c r="S168" i="21"/>
  <c r="C167" i="21"/>
  <c r="D167" i="21"/>
  <c r="B167" i="21"/>
  <c r="S167" i="21"/>
  <c r="C166" i="21"/>
  <c r="D166" i="21"/>
  <c r="B166" i="21"/>
  <c r="S166" i="21"/>
  <c r="C165" i="21"/>
  <c r="D165" i="21"/>
  <c r="B165" i="21"/>
  <c r="S165" i="21"/>
  <c r="C164" i="21"/>
  <c r="D164" i="21"/>
  <c r="B164" i="21"/>
  <c r="S164" i="21"/>
  <c r="C163" i="21"/>
  <c r="D163" i="21"/>
  <c r="B163" i="21"/>
  <c r="S163" i="21"/>
  <c r="C162" i="21"/>
  <c r="D162" i="21"/>
  <c r="B162" i="21"/>
  <c r="S162" i="21"/>
  <c r="C161" i="21"/>
  <c r="D161" i="21"/>
  <c r="B161" i="21"/>
  <c r="S161" i="21"/>
  <c r="C160" i="21"/>
  <c r="D160" i="21"/>
  <c r="B160" i="21"/>
  <c r="S160" i="21"/>
  <c r="C159" i="21"/>
  <c r="D159" i="21"/>
  <c r="B159" i="21"/>
  <c r="S159" i="21"/>
  <c r="C158" i="21"/>
  <c r="D158" i="21"/>
  <c r="B158" i="21"/>
  <c r="S158" i="21"/>
  <c r="C157" i="21"/>
  <c r="D157" i="21"/>
  <c r="B157" i="21"/>
  <c r="S157" i="21"/>
  <c r="C156" i="21"/>
  <c r="D156" i="21"/>
  <c r="B156" i="21"/>
  <c r="S156" i="21"/>
  <c r="C155" i="21"/>
  <c r="D155" i="21"/>
  <c r="B155" i="21"/>
  <c r="S155" i="21"/>
  <c r="C154" i="21"/>
  <c r="D154" i="21"/>
  <c r="B154" i="21"/>
  <c r="S154" i="21"/>
  <c r="C153" i="21"/>
  <c r="D153" i="21"/>
  <c r="B153" i="21"/>
  <c r="S153" i="21"/>
  <c r="C152" i="21"/>
  <c r="D152" i="21"/>
  <c r="B152" i="21"/>
  <c r="S152" i="21"/>
  <c r="C151" i="21"/>
  <c r="D151" i="21"/>
  <c r="B151" i="21"/>
  <c r="S151" i="21"/>
  <c r="C150" i="21"/>
  <c r="D150" i="21"/>
  <c r="B150" i="21"/>
  <c r="S150" i="21"/>
  <c r="C149" i="21"/>
  <c r="D149" i="21"/>
  <c r="B149" i="21"/>
  <c r="S149" i="21"/>
  <c r="C148" i="21"/>
  <c r="D148" i="21"/>
  <c r="B148" i="21"/>
  <c r="S148" i="21"/>
  <c r="C147" i="21"/>
  <c r="D147" i="21"/>
  <c r="B147" i="21"/>
  <c r="S147" i="21"/>
  <c r="C146" i="21"/>
  <c r="D146" i="21"/>
  <c r="B146" i="21"/>
  <c r="S146" i="21"/>
  <c r="C145" i="21"/>
  <c r="D145" i="21"/>
  <c r="B145" i="21"/>
  <c r="S145" i="21"/>
  <c r="C144" i="21"/>
  <c r="D144" i="21"/>
  <c r="B144" i="21"/>
  <c r="S144" i="21"/>
  <c r="C143" i="21"/>
  <c r="D143" i="21"/>
  <c r="B143" i="21"/>
  <c r="S143" i="21"/>
  <c r="C142" i="21"/>
  <c r="D142" i="21"/>
  <c r="B142" i="21"/>
  <c r="S142" i="21"/>
  <c r="C141" i="21"/>
  <c r="D141" i="21"/>
  <c r="B141" i="21"/>
  <c r="S141" i="21"/>
  <c r="C140" i="21"/>
  <c r="D140" i="21"/>
  <c r="B140" i="21"/>
  <c r="S140" i="21"/>
  <c r="C139" i="21"/>
  <c r="D139" i="21"/>
  <c r="B139" i="21"/>
  <c r="S139" i="21"/>
  <c r="C138" i="21"/>
  <c r="D138" i="21"/>
  <c r="B138" i="21"/>
  <c r="S138" i="21"/>
  <c r="C137" i="21"/>
  <c r="D137" i="21"/>
  <c r="B137" i="21"/>
  <c r="S137" i="21"/>
  <c r="C136" i="21"/>
  <c r="D136" i="21"/>
  <c r="B136" i="21"/>
  <c r="S136" i="21"/>
  <c r="C135" i="21"/>
  <c r="D135" i="21"/>
  <c r="B135" i="21"/>
  <c r="S135" i="21"/>
  <c r="C134" i="21"/>
  <c r="D134" i="21"/>
  <c r="B134" i="21"/>
  <c r="S134" i="21"/>
  <c r="C133" i="21"/>
  <c r="D133" i="21"/>
  <c r="B133" i="21"/>
  <c r="S133" i="21"/>
  <c r="C132" i="21"/>
  <c r="D132" i="21"/>
  <c r="B132" i="21"/>
  <c r="S132" i="21"/>
  <c r="C131" i="21"/>
  <c r="D131" i="21"/>
  <c r="B131" i="21"/>
  <c r="S131" i="21"/>
  <c r="C130" i="21"/>
  <c r="D130" i="21"/>
  <c r="B130" i="21"/>
  <c r="S130" i="21"/>
  <c r="C129" i="21"/>
  <c r="D129" i="21"/>
  <c r="B129" i="21"/>
  <c r="S129" i="21"/>
  <c r="C128" i="21"/>
  <c r="D128" i="21"/>
  <c r="B128" i="21"/>
  <c r="S128" i="21"/>
  <c r="C127" i="21"/>
  <c r="D127" i="21"/>
  <c r="B127" i="21"/>
  <c r="S127" i="21"/>
  <c r="C126" i="21"/>
  <c r="D126" i="21"/>
  <c r="B126" i="21"/>
  <c r="S126" i="21"/>
  <c r="C125" i="21"/>
  <c r="D125" i="21"/>
  <c r="B125" i="21"/>
  <c r="S125" i="21"/>
  <c r="C124" i="21"/>
  <c r="D124" i="21"/>
  <c r="B124" i="21"/>
  <c r="S124" i="21"/>
  <c r="C123" i="21"/>
  <c r="D123" i="21"/>
  <c r="B123" i="21"/>
  <c r="S123" i="21"/>
  <c r="C122" i="21"/>
  <c r="D122" i="21"/>
  <c r="B122" i="21"/>
  <c r="S122" i="21"/>
  <c r="C121" i="21"/>
  <c r="D121" i="21"/>
  <c r="B121" i="21"/>
  <c r="S121" i="21"/>
  <c r="C120" i="21"/>
  <c r="D120" i="21"/>
  <c r="B120" i="21"/>
  <c r="S120" i="21"/>
  <c r="C119" i="21"/>
  <c r="D119" i="21"/>
  <c r="B119" i="21"/>
  <c r="S119" i="21"/>
  <c r="C118" i="21"/>
  <c r="D118" i="21"/>
  <c r="B118" i="21"/>
  <c r="S118" i="21"/>
  <c r="C117" i="21"/>
  <c r="D117" i="21"/>
  <c r="B117" i="21"/>
  <c r="S117" i="21"/>
  <c r="C116" i="21"/>
  <c r="D116" i="21"/>
  <c r="B116" i="21"/>
  <c r="S116" i="21"/>
  <c r="C115" i="21"/>
  <c r="D115" i="21"/>
  <c r="B115" i="21"/>
  <c r="S115" i="21"/>
  <c r="C114" i="21"/>
  <c r="D114" i="21"/>
  <c r="B114" i="21"/>
  <c r="S114" i="21"/>
  <c r="C113" i="21"/>
  <c r="D113" i="21"/>
  <c r="B113" i="21"/>
  <c r="S113" i="21"/>
  <c r="C112" i="21"/>
  <c r="D112" i="21"/>
  <c r="B112" i="21"/>
  <c r="S112" i="21"/>
  <c r="C111" i="21"/>
  <c r="D111" i="21"/>
  <c r="B111" i="21"/>
  <c r="S111" i="21"/>
  <c r="C110" i="21"/>
  <c r="D110" i="21"/>
  <c r="B110" i="21"/>
  <c r="S110" i="21"/>
  <c r="C109" i="21"/>
  <c r="D109" i="21"/>
  <c r="B109" i="21"/>
  <c r="S109" i="21"/>
  <c r="C108" i="21"/>
  <c r="D108" i="21"/>
  <c r="B108" i="21"/>
  <c r="S108" i="21"/>
  <c r="C107" i="21"/>
  <c r="D107" i="21"/>
  <c r="B107" i="21"/>
  <c r="S107" i="21"/>
  <c r="C106" i="21"/>
  <c r="D106" i="21"/>
  <c r="B106" i="21"/>
  <c r="S106" i="21"/>
  <c r="C105" i="21"/>
  <c r="D105" i="21"/>
  <c r="B105" i="21"/>
  <c r="S105" i="21"/>
  <c r="C104" i="21"/>
  <c r="D104" i="21"/>
  <c r="B104" i="21"/>
  <c r="S104" i="21"/>
  <c r="C103" i="21"/>
  <c r="D103" i="21"/>
  <c r="B103" i="21"/>
  <c r="S103" i="21"/>
  <c r="C102" i="21"/>
  <c r="D102" i="21"/>
  <c r="B102" i="21"/>
  <c r="S102" i="21"/>
  <c r="C101" i="21"/>
  <c r="D101" i="21"/>
  <c r="B101" i="21"/>
  <c r="S101" i="21"/>
  <c r="C100" i="21"/>
  <c r="D100" i="21"/>
  <c r="B100" i="21"/>
  <c r="S100" i="21"/>
  <c r="C99" i="21"/>
  <c r="D99" i="21"/>
  <c r="B99" i="21"/>
  <c r="S99" i="21"/>
  <c r="C98" i="21"/>
  <c r="D98" i="21"/>
  <c r="B98" i="21"/>
  <c r="S98" i="21"/>
  <c r="C97" i="21"/>
  <c r="D97" i="21"/>
  <c r="B97" i="21"/>
  <c r="S97" i="21"/>
  <c r="C96" i="21"/>
  <c r="D96" i="21"/>
  <c r="B96" i="21"/>
  <c r="S96" i="21"/>
  <c r="C95" i="21"/>
  <c r="D95" i="21"/>
  <c r="B95" i="21"/>
  <c r="S95" i="21"/>
  <c r="C94" i="21"/>
  <c r="D94" i="21"/>
  <c r="B94" i="21"/>
  <c r="S94" i="21"/>
  <c r="C93" i="21"/>
  <c r="D93" i="21"/>
  <c r="B93" i="21"/>
  <c r="S93" i="21"/>
  <c r="C92" i="21"/>
  <c r="D92" i="21"/>
  <c r="B92" i="21"/>
  <c r="S92" i="21"/>
  <c r="C91" i="21"/>
  <c r="D91" i="21"/>
  <c r="B91" i="21"/>
  <c r="S91" i="21"/>
  <c r="C90" i="21"/>
  <c r="D90" i="21"/>
  <c r="B90" i="21"/>
  <c r="S90" i="21"/>
  <c r="C89" i="21"/>
  <c r="D89" i="21"/>
  <c r="B89" i="21"/>
  <c r="S89" i="21"/>
  <c r="C88" i="21"/>
  <c r="D88" i="21"/>
  <c r="B88" i="21"/>
  <c r="S88" i="21"/>
  <c r="C87" i="21"/>
  <c r="D87" i="21"/>
  <c r="B87" i="21"/>
  <c r="S87" i="21"/>
  <c r="C86" i="21"/>
  <c r="D86" i="21"/>
  <c r="B86" i="21"/>
  <c r="S86" i="21"/>
  <c r="C85" i="21"/>
  <c r="D85" i="21"/>
  <c r="B85" i="21"/>
  <c r="S85" i="21"/>
  <c r="C84" i="21"/>
  <c r="D84" i="21"/>
  <c r="B84" i="21"/>
  <c r="S84" i="21"/>
  <c r="C83" i="21"/>
  <c r="D83" i="21"/>
  <c r="B83" i="21"/>
  <c r="S83" i="21"/>
  <c r="C82" i="21"/>
  <c r="D82" i="21"/>
  <c r="B82" i="21"/>
  <c r="S82" i="21"/>
  <c r="C81" i="21"/>
  <c r="D81" i="21"/>
  <c r="B81" i="21"/>
  <c r="S81" i="21"/>
  <c r="C80" i="21"/>
  <c r="D80" i="21"/>
  <c r="B80" i="21"/>
  <c r="S80" i="21"/>
  <c r="C79" i="21"/>
  <c r="D79" i="21"/>
  <c r="B79" i="21"/>
  <c r="S79" i="21"/>
  <c r="C78" i="21"/>
  <c r="D78" i="21"/>
  <c r="B78" i="21"/>
  <c r="S78" i="21"/>
  <c r="C77" i="21"/>
  <c r="D77" i="21"/>
  <c r="B77" i="21"/>
  <c r="S77" i="21"/>
  <c r="C76" i="21"/>
  <c r="D76" i="21"/>
  <c r="B76" i="21"/>
  <c r="S76" i="21"/>
  <c r="C75" i="21"/>
  <c r="D75" i="21"/>
  <c r="B75" i="21"/>
  <c r="S75" i="21"/>
  <c r="C74" i="21"/>
  <c r="D74" i="21"/>
  <c r="B74" i="21"/>
  <c r="S74" i="21"/>
  <c r="C73" i="21"/>
  <c r="D73" i="21"/>
  <c r="B73" i="21"/>
  <c r="S73" i="21"/>
  <c r="C72" i="21"/>
  <c r="D72" i="21"/>
  <c r="B72" i="21"/>
  <c r="S72" i="21"/>
  <c r="C71" i="21"/>
  <c r="D71" i="21"/>
  <c r="B71" i="21"/>
  <c r="S71" i="21"/>
  <c r="C70" i="21"/>
  <c r="D70" i="21"/>
  <c r="B70" i="21"/>
  <c r="S70" i="21"/>
  <c r="C69" i="21"/>
  <c r="D69" i="21"/>
  <c r="B69" i="21"/>
  <c r="S69" i="21"/>
  <c r="C68" i="21"/>
  <c r="D68" i="21"/>
  <c r="B68" i="21"/>
  <c r="S68" i="21"/>
  <c r="C67" i="21"/>
  <c r="D67" i="21"/>
  <c r="B67" i="21"/>
  <c r="S67" i="21"/>
  <c r="C66" i="21"/>
  <c r="D66" i="21"/>
  <c r="B66" i="21"/>
  <c r="S66" i="21"/>
  <c r="C65" i="21"/>
  <c r="D65" i="21"/>
  <c r="B65" i="21"/>
  <c r="S65" i="21"/>
  <c r="C64" i="21"/>
  <c r="D64" i="21"/>
  <c r="B64" i="21"/>
  <c r="S64" i="21"/>
  <c r="C63" i="21"/>
  <c r="D63" i="21"/>
  <c r="B63" i="21"/>
  <c r="S63" i="21"/>
  <c r="C62" i="21"/>
  <c r="D62" i="21"/>
  <c r="B62" i="21"/>
  <c r="S62" i="21"/>
  <c r="C61" i="21"/>
  <c r="D61" i="21"/>
  <c r="B61" i="21"/>
  <c r="S61" i="21"/>
  <c r="C60" i="21"/>
  <c r="D60" i="21"/>
  <c r="B60" i="21"/>
  <c r="S60" i="21"/>
  <c r="C59" i="21"/>
  <c r="D59" i="21"/>
  <c r="B59" i="21"/>
  <c r="S59" i="21"/>
  <c r="C58" i="21"/>
  <c r="D58" i="21"/>
  <c r="B58" i="21"/>
  <c r="S58" i="21"/>
  <c r="C57" i="21"/>
  <c r="D57" i="21"/>
  <c r="B57" i="21"/>
  <c r="S57" i="21"/>
  <c r="C56" i="21"/>
  <c r="D56" i="21"/>
  <c r="B56" i="21"/>
  <c r="S56" i="21"/>
  <c r="C55" i="21"/>
  <c r="D55" i="21"/>
  <c r="B55" i="21"/>
  <c r="S55" i="21"/>
  <c r="C54" i="21"/>
  <c r="D54" i="21"/>
  <c r="B54" i="21"/>
  <c r="S54" i="21"/>
  <c r="C53" i="21"/>
  <c r="D53" i="21"/>
  <c r="B53" i="21"/>
  <c r="S53" i="21"/>
  <c r="C52" i="21"/>
  <c r="D52" i="21"/>
  <c r="B52" i="21"/>
  <c r="S52" i="21"/>
  <c r="C51" i="21"/>
  <c r="D51" i="21"/>
  <c r="B51" i="21"/>
  <c r="S51" i="21"/>
  <c r="C50" i="21"/>
  <c r="D50" i="21"/>
  <c r="B50" i="21"/>
  <c r="S50" i="21"/>
  <c r="C49" i="21"/>
  <c r="D49" i="21"/>
  <c r="B49" i="21"/>
  <c r="S49" i="21"/>
  <c r="C48" i="21"/>
  <c r="D48" i="21"/>
  <c r="B48" i="21"/>
  <c r="S48" i="21"/>
  <c r="C47" i="21"/>
  <c r="D47" i="21"/>
  <c r="B47" i="21"/>
  <c r="S47" i="21"/>
  <c r="C46" i="21"/>
  <c r="D46" i="21"/>
  <c r="B46" i="21"/>
  <c r="S46" i="21"/>
  <c r="C45" i="21"/>
  <c r="D45" i="21"/>
  <c r="B45" i="21"/>
  <c r="S45" i="21"/>
  <c r="C44" i="21"/>
  <c r="D44" i="21"/>
  <c r="B44" i="21"/>
  <c r="S44" i="21"/>
  <c r="C43" i="21"/>
  <c r="D43" i="21"/>
  <c r="B43" i="21"/>
  <c r="S43" i="21"/>
  <c r="C42" i="21"/>
  <c r="D42" i="21"/>
  <c r="B42" i="21"/>
  <c r="S42" i="21"/>
  <c r="C41" i="21"/>
  <c r="D41" i="21"/>
  <c r="B41" i="21"/>
  <c r="S41" i="21"/>
  <c r="C40" i="21"/>
  <c r="D40" i="21"/>
  <c r="B40" i="21"/>
  <c r="S40" i="21"/>
  <c r="C39" i="21"/>
  <c r="D39" i="21"/>
  <c r="B39" i="21"/>
  <c r="S39" i="21"/>
  <c r="C38" i="21"/>
  <c r="D38" i="21"/>
  <c r="B38" i="21"/>
  <c r="S38" i="21"/>
  <c r="C37" i="21"/>
  <c r="D37" i="21"/>
  <c r="B37" i="21"/>
  <c r="S37" i="21"/>
  <c r="C36" i="21"/>
  <c r="D36" i="21"/>
  <c r="B36" i="21"/>
  <c r="S36" i="21"/>
  <c r="C35" i="21"/>
  <c r="D35" i="21"/>
  <c r="B35" i="21"/>
  <c r="S35" i="21"/>
  <c r="C34" i="21"/>
  <c r="D34" i="21"/>
  <c r="B34" i="21"/>
  <c r="S34" i="21"/>
  <c r="C33" i="21"/>
  <c r="D33" i="21"/>
  <c r="B33" i="21"/>
  <c r="S33" i="21"/>
  <c r="C32" i="21"/>
  <c r="D32" i="21"/>
  <c r="B32" i="21"/>
  <c r="S32" i="21"/>
  <c r="C31" i="21"/>
  <c r="D31" i="21"/>
  <c r="B31" i="21"/>
  <c r="S31" i="21"/>
  <c r="C30" i="21"/>
  <c r="D30" i="21"/>
  <c r="B30" i="21"/>
  <c r="S30" i="21"/>
  <c r="C29" i="21"/>
  <c r="D29" i="21"/>
  <c r="B29" i="21"/>
  <c r="S29" i="21"/>
  <c r="C28" i="21"/>
  <c r="D28" i="21"/>
  <c r="B28" i="21"/>
  <c r="S28" i="21"/>
  <c r="C27" i="21"/>
  <c r="D27" i="21"/>
  <c r="B27" i="21"/>
  <c r="S27" i="21"/>
  <c r="C26" i="21"/>
  <c r="D26" i="21"/>
  <c r="B26" i="21"/>
  <c r="S26" i="21"/>
  <c r="FW107" i="4"/>
  <c r="FW108" i="4"/>
  <c r="FW109" i="4"/>
  <c r="FW110" i="4"/>
  <c r="FW111" i="4"/>
  <c r="FW112" i="4"/>
  <c r="FW113" i="4"/>
  <c r="FW114" i="4"/>
  <c r="FW115" i="4"/>
  <c r="FW116" i="4"/>
  <c r="FW117" i="4"/>
  <c r="FW118" i="4"/>
  <c r="FW119" i="4"/>
  <c r="FW120" i="4"/>
  <c r="FW121" i="4"/>
  <c r="FW122" i="4"/>
  <c r="FW123" i="4"/>
  <c r="K10" i="14"/>
  <c r="BN105" i="4"/>
  <c r="BN104" i="4"/>
  <c r="BN103" i="4"/>
  <c r="BN102" i="4"/>
  <c r="BN101" i="4"/>
  <c r="BN100" i="4"/>
  <c r="BN99" i="4"/>
  <c r="BN98" i="4"/>
  <c r="BN97" i="4"/>
  <c r="BN96" i="4"/>
  <c r="BN95" i="4"/>
  <c r="BN94" i="4"/>
  <c r="BN93" i="4"/>
  <c r="BN92" i="4"/>
  <c r="BN91" i="4"/>
  <c r="BN90" i="4"/>
  <c r="BN89" i="4"/>
  <c r="BN88" i="4"/>
  <c r="BN87" i="4"/>
  <c r="BN86" i="4"/>
  <c r="BN85" i="4"/>
  <c r="BN84" i="4"/>
  <c r="BN83" i="4"/>
  <c r="BN82" i="4"/>
  <c r="BN81" i="4"/>
  <c r="BN80" i="4"/>
  <c r="BN79" i="4"/>
  <c r="BN78" i="4"/>
  <c r="BN77" i="4"/>
  <c r="BN76" i="4"/>
  <c r="BN75" i="4"/>
  <c r="BN74" i="4"/>
  <c r="BN73" i="4"/>
  <c r="BN72" i="4"/>
  <c r="BN71" i="4"/>
  <c r="BN70" i="4"/>
  <c r="BN69" i="4"/>
  <c r="BN68" i="4"/>
  <c r="BN67" i="4"/>
  <c r="BN66" i="4"/>
  <c r="BN65" i="4"/>
  <c r="BN64" i="4"/>
  <c r="BN63" i="4"/>
  <c r="BN62" i="4"/>
  <c r="BN61" i="4"/>
  <c r="BN60" i="4"/>
  <c r="BN59" i="4"/>
  <c r="BN58" i="4"/>
  <c r="BN57" i="4"/>
  <c r="BN56" i="4"/>
  <c r="BN55" i="4"/>
  <c r="BN54" i="4"/>
  <c r="BN53" i="4"/>
  <c r="BN52" i="4"/>
  <c r="BN51" i="4"/>
  <c r="BN50" i="4"/>
  <c r="BN49" i="4"/>
  <c r="BN48" i="4"/>
  <c r="BN13" i="4"/>
  <c r="O10" i="14"/>
  <c r="L166" i="13"/>
  <c r="K166" i="13"/>
  <c r="M166" i="13"/>
  <c r="L165" i="13"/>
  <c r="K165" i="13"/>
  <c r="M165" i="13"/>
  <c r="L164" i="13"/>
  <c r="K164" i="13"/>
  <c r="M164" i="13"/>
  <c r="L163" i="13"/>
  <c r="K163" i="13"/>
  <c r="M163" i="13"/>
  <c r="L162" i="13"/>
  <c r="K162" i="13"/>
  <c r="M162" i="13"/>
  <c r="L161" i="13"/>
  <c r="K161" i="13"/>
  <c r="M161" i="13"/>
  <c r="L160" i="13"/>
  <c r="K160" i="13"/>
  <c r="M160" i="13"/>
  <c r="L159" i="13"/>
  <c r="K159" i="13"/>
  <c r="M159" i="13"/>
  <c r="L158" i="13"/>
  <c r="K158" i="13"/>
  <c r="M158" i="13"/>
  <c r="L157" i="13"/>
  <c r="K157" i="13"/>
  <c r="M157" i="13"/>
  <c r="L156" i="13"/>
  <c r="K156" i="13"/>
  <c r="M156" i="13"/>
  <c r="L155" i="13"/>
  <c r="K155" i="13"/>
  <c r="M155" i="13"/>
  <c r="L154" i="13"/>
  <c r="K154" i="13"/>
  <c r="M154" i="13"/>
  <c r="L153" i="13"/>
  <c r="K153" i="13"/>
  <c r="M153" i="13"/>
  <c r="L152" i="13"/>
  <c r="K152" i="13"/>
  <c r="M152" i="13"/>
  <c r="L151" i="13"/>
  <c r="K151" i="13"/>
  <c r="M151" i="13"/>
  <c r="L150" i="13"/>
  <c r="K150" i="13"/>
  <c r="M150" i="13"/>
  <c r="L149" i="13"/>
  <c r="K149" i="13"/>
  <c r="M149" i="13"/>
  <c r="L148" i="13"/>
  <c r="K148" i="13"/>
  <c r="M148" i="13"/>
  <c r="L147" i="13"/>
  <c r="K147" i="13"/>
  <c r="M147" i="13"/>
  <c r="L146" i="13"/>
  <c r="K146" i="13"/>
  <c r="M146" i="13"/>
  <c r="L145" i="13"/>
  <c r="K145" i="13"/>
  <c r="M145" i="13"/>
  <c r="L144" i="13"/>
  <c r="K144" i="13"/>
  <c r="M144" i="13"/>
  <c r="L143" i="13"/>
  <c r="L142" i="13"/>
  <c r="L141" i="13"/>
  <c r="K141" i="13"/>
  <c r="M141" i="13"/>
  <c r="L140" i="13"/>
  <c r="K140" i="13"/>
  <c r="M140" i="13"/>
  <c r="L139" i="13"/>
  <c r="K139" i="13"/>
  <c r="M139" i="13"/>
  <c r="L138" i="13"/>
  <c r="K138" i="13"/>
  <c r="M138" i="13"/>
  <c r="L137" i="13"/>
  <c r="K137" i="13"/>
  <c r="M137" i="13"/>
  <c r="L136" i="13"/>
  <c r="K136" i="13"/>
  <c r="M136" i="13"/>
  <c r="L135" i="13"/>
  <c r="K135" i="13"/>
  <c r="M135" i="13"/>
  <c r="L134" i="13"/>
  <c r="K134" i="13"/>
  <c r="M134" i="13"/>
  <c r="L133" i="13"/>
  <c r="K133" i="13"/>
  <c r="M133" i="13"/>
  <c r="L132" i="13"/>
  <c r="K132" i="13"/>
  <c r="M132" i="13"/>
  <c r="L131" i="13"/>
  <c r="K131" i="13"/>
  <c r="M131" i="13"/>
  <c r="L130" i="13"/>
  <c r="K130" i="13"/>
  <c r="M130" i="13"/>
  <c r="L129" i="13"/>
  <c r="K129" i="13"/>
  <c r="M129" i="13"/>
  <c r="L128" i="13"/>
  <c r="K128" i="13"/>
  <c r="M128" i="13"/>
  <c r="L127" i="13"/>
  <c r="K127" i="13"/>
  <c r="M127" i="13"/>
  <c r="L126" i="13"/>
  <c r="K126" i="13"/>
  <c r="M126" i="13"/>
  <c r="L125" i="13"/>
  <c r="K125" i="13"/>
  <c r="M125" i="13"/>
  <c r="L124" i="13"/>
  <c r="K124" i="13"/>
  <c r="M124" i="13"/>
  <c r="L123" i="13"/>
  <c r="K123" i="13"/>
  <c r="M123" i="13"/>
  <c r="L122" i="13"/>
  <c r="K122" i="13"/>
  <c r="M122" i="13"/>
  <c r="L121" i="13"/>
  <c r="K121" i="13"/>
  <c r="M121" i="13"/>
  <c r="L120" i="13"/>
  <c r="K120" i="13"/>
  <c r="M120" i="13"/>
  <c r="L119" i="13"/>
  <c r="K119" i="13"/>
  <c r="M119" i="13"/>
  <c r="L118" i="13"/>
  <c r="K118" i="13"/>
  <c r="M118" i="13"/>
  <c r="L117" i="13"/>
  <c r="K117" i="13"/>
  <c r="M117" i="13"/>
  <c r="L116" i="13"/>
  <c r="K116" i="13"/>
  <c r="M116" i="13"/>
  <c r="L115" i="13"/>
  <c r="K115" i="13"/>
  <c r="M115" i="13"/>
  <c r="L114" i="13"/>
  <c r="K114" i="13"/>
  <c r="M114" i="13"/>
  <c r="L113" i="13"/>
  <c r="K113" i="13"/>
  <c r="M113" i="13"/>
  <c r="L112" i="13"/>
  <c r="K112" i="13"/>
  <c r="M112" i="13"/>
  <c r="L111" i="13"/>
  <c r="K111" i="13"/>
  <c r="M111" i="13"/>
  <c r="L110" i="13"/>
  <c r="K110" i="13"/>
  <c r="M110" i="13"/>
  <c r="L109" i="13"/>
  <c r="K109" i="13"/>
  <c r="M109" i="13"/>
  <c r="L108" i="13"/>
  <c r="K108" i="13"/>
  <c r="M108" i="13"/>
  <c r="L107" i="13"/>
  <c r="K107" i="13"/>
  <c r="M107" i="13"/>
  <c r="L106" i="13"/>
  <c r="K106" i="13"/>
  <c r="M106" i="13"/>
  <c r="L105" i="13"/>
  <c r="K105" i="13"/>
  <c r="M105" i="13"/>
  <c r="L104" i="13"/>
  <c r="K104" i="13"/>
  <c r="M104" i="13"/>
  <c r="L103" i="13"/>
  <c r="K103" i="13"/>
  <c r="M103" i="13"/>
  <c r="L102" i="13"/>
  <c r="K102" i="13"/>
  <c r="M102" i="13"/>
  <c r="L101" i="13"/>
  <c r="K101" i="13"/>
  <c r="M101" i="13"/>
  <c r="L100" i="13"/>
  <c r="K100" i="13"/>
  <c r="M100" i="13"/>
  <c r="L99" i="13"/>
  <c r="K99" i="13"/>
  <c r="M99" i="13"/>
  <c r="L98" i="13"/>
  <c r="K98" i="13"/>
  <c r="M98" i="13"/>
  <c r="L97" i="13"/>
  <c r="K97" i="13"/>
  <c r="M97" i="13"/>
  <c r="L96" i="13"/>
  <c r="K96" i="13"/>
  <c r="M96" i="13"/>
  <c r="L95" i="13"/>
  <c r="K95" i="13"/>
  <c r="M95" i="13"/>
  <c r="L94" i="13"/>
  <c r="K94" i="13"/>
  <c r="M94" i="13"/>
  <c r="L93" i="13"/>
  <c r="K93" i="13"/>
  <c r="M93" i="13"/>
  <c r="L92" i="13"/>
  <c r="K92" i="13"/>
  <c r="M92" i="13"/>
  <c r="L91" i="13"/>
  <c r="K91" i="13"/>
  <c r="M91" i="13"/>
  <c r="L90" i="13"/>
  <c r="K90" i="13"/>
  <c r="M90" i="13"/>
  <c r="L89" i="13"/>
  <c r="K89" i="13"/>
  <c r="M89" i="13"/>
  <c r="L88" i="13"/>
  <c r="K88" i="13"/>
  <c r="M88" i="13"/>
  <c r="L87" i="13"/>
  <c r="K87" i="13"/>
  <c r="M87" i="13"/>
  <c r="L86" i="13"/>
  <c r="K86" i="13"/>
  <c r="M86" i="13"/>
  <c r="L85" i="13"/>
  <c r="K85" i="13"/>
  <c r="M85" i="13"/>
  <c r="L84" i="13"/>
  <c r="K84" i="13"/>
  <c r="M84" i="13"/>
  <c r="L83" i="13"/>
  <c r="K83" i="13"/>
  <c r="M83" i="13"/>
  <c r="L82" i="13"/>
  <c r="K82" i="13"/>
  <c r="M82" i="13"/>
  <c r="L81" i="13"/>
  <c r="K81" i="13"/>
  <c r="M81" i="13"/>
  <c r="L80" i="13"/>
  <c r="K80" i="13"/>
  <c r="M80" i="13"/>
  <c r="L79" i="13"/>
  <c r="K79" i="13"/>
  <c r="M79" i="13"/>
  <c r="L78" i="13"/>
  <c r="K78" i="13"/>
  <c r="M78" i="13"/>
  <c r="L77" i="13"/>
  <c r="K77" i="13"/>
  <c r="M77" i="13"/>
  <c r="L76" i="13"/>
  <c r="K76" i="13"/>
  <c r="M76" i="13"/>
  <c r="L75" i="13"/>
  <c r="K75" i="13"/>
  <c r="M75" i="13"/>
  <c r="L74" i="13"/>
  <c r="K74" i="13"/>
  <c r="M74" i="13"/>
  <c r="L73" i="13"/>
  <c r="K73" i="13"/>
  <c r="M73" i="13"/>
  <c r="L72" i="13"/>
  <c r="K72" i="13"/>
  <c r="M72" i="13"/>
  <c r="L71" i="13"/>
  <c r="K71" i="13"/>
  <c r="M71" i="13"/>
  <c r="L70" i="13"/>
  <c r="K70" i="13"/>
  <c r="M70" i="13"/>
  <c r="L69" i="13"/>
  <c r="K69" i="13"/>
  <c r="M69" i="13"/>
  <c r="L68" i="13"/>
  <c r="K68" i="13"/>
  <c r="M68" i="13"/>
  <c r="L67" i="13"/>
  <c r="K67" i="13"/>
  <c r="M67" i="13"/>
  <c r="L66" i="13"/>
  <c r="K66" i="13"/>
  <c r="M66" i="13"/>
  <c r="L65" i="13"/>
  <c r="K65" i="13"/>
  <c r="M65" i="13"/>
  <c r="L64" i="13"/>
  <c r="K64" i="13"/>
  <c r="M64" i="13"/>
  <c r="L63" i="13"/>
  <c r="K63" i="13"/>
  <c r="M63" i="13"/>
  <c r="L62" i="13"/>
  <c r="K62" i="13"/>
  <c r="M62" i="13"/>
  <c r="L61" i="13"/>
  <c r="K61" i="13"/>
  <c r="M61" i="13"/>
  <c r="L60" i="13"/>
  <c r="K60" i="13"/>
  <c r="M60" i="13"/>
  <c r="L59" i="13"/>
  <c r="K59" i="13"/>
  <c r="M59" i="13"/>
  <c r="L58" i="13"/>
  <c r="K58" i="13"/>
  <c r="M58" i="13"/>
  <c r="L57" i="13"/>
  <c r="K57" i="13"/>
  <c r="M57" i="13"/>
  <c r="L56" i="13"/>
  <c r="K56" i="13"/>
  <c r="M56" i="13"/>
  <c r="L55" i="13"/>
  <c r="K55" i="13"/>
  <c r="M55" i="13"/>
  <c r="L54" i="13"/>
  <c r="K54" i="13"/>
  <c r="M54" i="13"/>
  <c r="L53" i="13"/>
  <c r="K53" i="13"/>
  <c r="M53" i="13"/>
  <c r="L52" i="13"/>
  <c r="K52" i="13"/>
  <c r="M52" i="13"/>
  <c r="L51" i="13"/>
  <c r="K51" i="13"/>
  <c r="M51" i="13"/>
  <c r="L50" i="13"/>
  <c r="K50" i="13"/>
  <c r="M50" i="13"/>
  <c r="L49" i="13"/>
  <c r="K49" i="13"/>
  <c r="M49" i="13"/>
  <c r="L48" i="13"/>
  <c r="K48" i="13"/>
  <c r="M48" i="13"/>
  <c r="L47" i="13"/>
  <c r="K47" i="13"/>
  <c r="M47" i="13"/>
  <c r="L46" i="13"/>
  <c r="K46" i="13"/>
  <c r="M46" i="13"/>
  <c r="L45" i="13"/>
  <c r="K45" i="13"/>
  <c r="M45" i="13"/>
  <c r="L44" i="13"/>
  <c r="K44" i="13"/>
  <c r="M44" i="13"/>
  <c r="L43" i="13"/>
  <c r="K43" i="13"/>
  <c r="M43" i="13"/>
  <c r="L42" i="13"/>
  <c r="K42" i="13"/>
  <c r="M42" i="13"/>
  <c r="L41" i="13"/>
  <c r="K41" i="13"/>
  <c r="M41" i="13"/>
  <c r="L40" i="13"/>
  <c r="K40" i="13"/>
  <c r="M40" i="13"/>
  <c r="L39" i="13"/>
  <c r="K39" i="13"/>
  <c r="M39" i="13"/>
  <c r="L38" i="13"/>
  <c r="K38" i="13"/>
  <c r="M38" i="13"/>
  <c r="L37" i="13"/>
  <c r="K37" i="13"/>
  <c r="M37" i="13"/>
  <c r="L36" i="13"/>
  <c r="K36" i="13"/>
  <c r="M36" i="13"/>
  <c r="L35" i="13"/>
  <c r="K35" i="13"/>
  <c r="M35" i="13"/>
  <c r="L34" i="13"/>
  <c r="K34" i="13"/>
  <c r="M34" i="13"/>
  <c r="L33" i="13"/>
  <c r="K33" i="13"/>
  <c r="M33" i="13"/>
  <c r="L32" i="13"/>
  <c r="K32" i="13"/>
  <c r="M32" i="13"/>
  <c r="L31" i="13"/>
  <c r="K31" i="13"/>
  <c r="M31" i="13"/>
  <c r="L30" i="13"/>
  <c r="K30" i="13"/>
  <c r="M30" i="13"/>
  <c r="L29" i="13"/>
  <c r="K29" i="13"/>
  <c r="M29" i="13"/>
  <c r="L28" i="13"/>
  <c r="K28" i="13"/>
  <c r="M28" i="13"/>
  <c r="L27" i="13"/>
  <c r="K27" i="13"/>
  <c r="M27" i="13"/>
  <c r="L26" i="13"/>
  <c r="K26" i="13"/>
  <c r="M26" i="13"/>
  <c r="L25" i="13"/>
  <c r="K25" i="13"/>
  <c r="M25" i="13"/>
  <c r="L24" i="13"/>
  <c r="K24" i="13"/>
  <c r="M24" i="13"/>
  <c r="L23" i="13"/>
  <c r="K23" i="13"/>
  <c r="M23" i="13"/>
  <c r="L22" i="13"/>
  <c r="K22" i="13"/>
  <c r="M22" i="13"/>
  <c r="L21" i="13"/>
  <c r="K21" i="13"/>
  <c r="M21" i="13"/>
  <c r="L20" i="13"/>
  <c r="K20" i="13"/>
  <c r="M20" i="13"/>
  <c r="L19" i="13"/>
  <c r="K19" i="13"/>
  <c r="M19" i="13"/>
  <c r="L18" i="13"/>
  <c r="K18" i="13"/>
  <c r="M18" i="13"/>
  <c r="L17" i="13"/>
  <c r="K17" i="13"/>
  <c r="M17" i="13"/>
  <c r="L16" i="13"/>
  <c r="K16" i="13"/>
  <c r="M16" i="13"/>
  <c r="L15" i="13"/>
  <c r="K15" i="13"/>
  <c r="M15" i="13"/>
  <c r="L14" i="13"/>
  <c r="K14" i="13"/>
  <c r="M14" i="13"/>
  <c r="L13" i="13"/>
  <c r="K13" i="13"/>
  <c r="M13" i="13"/>
  <c r="L12" i="13"/>
  <c r="K12" i="13"/>
  <c r="M12" i="13"/>
  <c r="L11" i="13"/>
  <c r="K11" i="13"/>
  <c r="M11" i="13"/>
  <c r="L10" i="13"/>
  <c r="K10" i="13"/>
  <c r="M10" i="13"/>
  <c r="J169" i="4"/>
  <c r="J168" i="4"/>
  <c r="J167" i="4"/>
  <c r="J166" i="4"/>
  <c r="J165" i="4"/>
  <c r="J164" i="4"/>
  <c r="J163" i="4"/>
  <c r="J162" i="4"/>
  <c r="J161" i="4"/>
  <c r="J160" i="4"/>
  <c r="J159" i="4"/>
  <c r="J158" i="4"/>
  <c r="J157" i="4"/>
  <c r="J156" i="4"/>
  <c r="J155" i="4"/>
  <c r="J154" i="4"/>
  <c r="J153" i="4"/>
  <c r="J152" i="4"/>
  <c r="J151" i="4"/>
  <c r="J150" i="4"/>
  <c r="J149" i="4"/>
  <c r="J148" i="4"/>
  <c r="J147"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CS105" i="4"/>
  <c r="CS104" i="4"/>
  <c r="CS103" i="4"/>
  <c r="CS102" i="4"/>
  <c r="CS101" i="4"/>
  <c r="CS100" i="4"/>
  <c r="CS99" i="4"/>
  <c r="CS98" i="4"/>
  <c r="CS97" i="4"/>
  <c r="CS96" i="4"/>
  <c r="CS95" i="4"/>
  <c r="CS94" i="4"/>
  <c r="CS93" i="4"/>
  <c r="CS92" i="4"/>
  <c r="CS91" i="4"/>
  <c r="CS90" i="4"/>
  <c r="CS89" i="4"/>
  <c r="CS88" i="4"/>
  <c r="CS87" i="4"/>
  <c r="CS86" i="4"/>
  <c r="CS85" i="4"/>
  <c r="CS84" i="4"/>
  <c r="CS83" i="4"/>
  <c r="CS82" i="4"/>
  <c r="CS81" i="4"/>
  <c r="CS80" i="4"/>
  <c r="CS79" i="4"/>
  <c r="CS78" i="4"/>
  <c r="CS77" i="4"/>
  <c r="CS76" i="4"/>
  <c r="CS75" i="4"/>
  <c r="CS74" i="4"/>
  <c r="CS73" i="4"/>
  <c r="CS72" i="4"/>
  <c r="CS71" i="4"/>
  <c r="CS70" i="4"/>
  <c r="CS69" i="4"/>
  <c r="CS68" i="4"/>
  <c r="CS67" i="4"/>
  <c r="CS66" i="4"/>
  <c r="CS65" i="4"/>
  <c r="CS64" i="4"/>
  <c r="CS63" i="4"/>
  <c r="CS62" i="4"/>
  <c r="CS61" i="4"/>
  <c r="CS60" i="4"/>
  <c r="CS59" i="4"/>
  <c r="CS58" i="4"/>
  <c r="CS57" i="4"/>
  <c r="CS56" i="4"/>
  <c r="CS55" i="4"/>
  <c r="CS54" i="4"/>
  <c r="CS53" i="4"/>
  <c r="CS52" i="4"/>
  <c r="CS51" i="4"/>
  <c r="CS50" i="4"/>
  <c r="CS49" i="4"/>
  <c r="CS48" i="4"/>
  <c r="CS13" i="4"/>
  <c r="BO105" i="4"/>
  <c r="BO104" i="4"/>
  <c r="BO103" i="4"/>
  <c r="BO102" i="4"/>
  <c r="BO101" i="4"/>
  <c r="BO100" i="4"/>
  <c r="BO99" i="4"/>
  <c r="BO98" i="4"/>
  <c r="BO97" i="4"/>
  <c r="BO96" i="4"/>
  <c r="BO95" i="4"/>
  <c r="BO94" i="4"/>
  <c r="BO93" i="4"/>
  <c r="BO92" i="4"/>
  <c r="BO91" i="4"/>
  <c r="BO90" i="4"/>
  <c r="BO89" i="4"/>
  <c r="BO88" i="4"/>
  <c r="BO87" i="4"/>
  <c r="BO86" i="4"/>
  <c r="BO85" i="4"/>
  <c r="BO84" i="4"/>
  <c r="BO83" i="4"/>
  <c r="BO82" i="4"/>
  <c r="BO81" i="4"/>
  <c r="BO80" i="4"/>
  <c r="BO79" i="4"/>
  <c r="BO78" i="4"/>
  <c r="BO77" i="4"/>
  <c r="BO76" i="4"/>
  <c r="BO75" i="4"/>
  <c r="BO74" i="4"/>
  <c r="BO73" i="4"/>
  <c r="BO72" i="4"/>
  <c r="BO71" i="4"/>
  <c r="BO70" i="4"/>
  <c r="BO69" i="4"/>
  <c r="BO68" i="4"/>
  <c r="BO67" i="4"/>
  <c r="BO66" i="4"/>
  <c r="BO65" i="4"/>
  <c r="BO64" i="4"/>
  <c r="BO63" i="4"/>
  <c r="BO62" i="4"/>
  <c r="BO61" i="4"/>
  <c r="BO60" i="4"/>
  <c r="BO59" i="4"/>
  <c r="BO58" i="4"/>
  <c r="BO57" i="4"/>
  <c r="BO56" i="4"/>
  <c r="BO55" i="4"/>
  <c r="BO54" i="4"/>
  <c r="BO53" i="4"/>
  <c r="BO52" i="4"/>
  <c r="BO51" i="4"/>
  <c r="BO50" i="4"/>
  <c r="BO49" i="4"/>
  <c r="BO48" i="4"/>
  <c r="BO13" i="4"/>
  <c r="BO107"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W80" i="4"/>
  <c r="BW79" i="4"/>
  <c r="BW78" i="4"/>
  <c r="BW77" i="4"/>
  <c r="BW76" i="4"/>
  <c r="BW75" i="4"/>
  <c r="BW74" i="4"/>
  <c r="BW73" i="4"/>
  <c r="BW72" i="4"/>
  <c r="BW71" i="4"/>
  <c r="BW70" i="4"/>
  <c r="BW69" i="4"/>
  <c r="BW68" i="4"/>
  <c r="BW67" i="4"/>
  <c r="BW66" i="4"/>
  <c r="BW65" i="4"/>
  <c r="BW64" i="4"/>
  <c r="BW63" i="4"/>
  <c r="BW62" i="4"/>
  <c r="BW61" i="4"/>
  <c r="BW60" i="4"/>
  <c r="BW59" i="4"/>
  <c r="BW58" i="4"/>
  <c r="BW57" i="4"/>
  <c r="BW56" i="4"/>
  <c r="BW55" i="4"/>
  <c r="BW54" i="4"/>
  <c r="BW53" i="4"/>
  <c r="BW52" i="4"/>
  <c r="BW51" i="4"/>
  <c r="BW50" i="4"/>
  <c r="BW49" i="4"/>
  <c r="BW48" i="4"/>
  <c r="BW13" i="4"/>
  <c r="BR105" i="4"/>
  <c r="BR104" i="4"/>
  <c r="BR103" i="4"/>
  <c r="BR102" i="4"/>
  <c r="BR101" i="4"/>
  <c r="BR100" i="4"/>
  <c r="BR99" i="4"/>
  <c r="BR98" i="4"/>
  <c r="BR97" i="4"/>
  <c r="BR96" i="4"/>
  <c r="BR95" i="4"/>
  <c r="BR94" i="4"/>
  <c r="BR93" i="4"/>
  <c r="BR92" i="4"/>
  <c r="BR91" i="4"/>
  <c r="BR90" i="4"/>
  <c r="BR89" i="4"/>
  <c r="BR88" i="4"/>
  <c r="BR87" i="4"/>
  <c r="BR86" i="4"/>
  <c r="BR85" i="4"/>
  <c r="BR84" i="4"/>
  <c r="BR83" i="4"/>
  <c r="BR82" i="4"/>
  <c r="BR81" i="4"/>
  <c r="BR80" i="4"/>
  <c r="BR79" i="4"/>
  <c r="BR78" i="4"/>
  <c r="BR77" i="4"/>
  <c r="BR76" i="4"/>
  <c r="BR75" i="4"/>
  <c r="BR74" i="4"/>
  <c r="BR73" i="4"/>
  <c r="BR72" i="4"/>
  <c r="BR71" i="4"/>
  <c r="BR70" i="4"/>
  <c r="BR69" i="4"/>
  <c r="BR68" i="4"/>
  <c r="BR67" i="4"/>
  <c r="BR66" i="4"/>
  <c r="BR65" i="4"/>
  <c r="BR64" i="4"/>
  <c r="BR63" i="4"/>
  <c r="BR62" i="4"/>
  <c r="BR61" i="4"/>
  <c r="BR60" i="4"/>
  <c r="BR59" i="4"/>
  <c r="BR58" i="4"/>
  <c r="BR57" i="4"/>
  <c r="BR56" i="4"/>
  <c r="BR55" i="4"/>
  <c r="BR54" i="4"/>
  <c r="BR53" i="4"/>
  <c r="BR52" i="4"/>
  <c r="BR51" i="4"/>
  <c r="BR50" i="4"/>
  <c r="BR49" i="4"/>
  <c r="BR48" i="4"/>
  <c r="BR13"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BQ80" i="4"/>
  <c r="BQ79" i="4"/>
  <c r="BQ78" i="4"/>
  <c r="BQ77" i="4"/>
  <c r="BQ76" i="4"/>
  <c r="BQ75" i="4"/>
  <c r="BQ74" i="4"/>
  <c r="BQ73" i="4"/>
  <c r="BQ72" i="4"/>
  <c r="BQ71" i="4"/>
  <c r="BQ70" i="4"/>
  <c r="BQ69" i="4"/>
  <c r="BQ68" i="4"/>
  <c r="BQ67" i="4"/>
  <c r="BQ66" i="4"/>
  <c r="BQ65" i="4"/>
  <c r="BQ64" i="4"/>
  <c r="BQ63" i="4"/>
  <c r="BQ62" i="4"/>
  <c r="BQ61" i="4"/>
  <c r="BQ60" i="4"/>
  <c r="BQ59" i="4"/>
  <c r="BQ58" i="4"/>
  <c r="BQ57" i="4"/>
  <c r="BQ56" i="4"/>
  <c r="BQ55" i="4"/>
  <c r="BQ54" i="4"/>
  <c r="BQ53" i="4"/>
  <c r="BQ52" i="4"/>
  <c r="BQ51" i="4"/>
  <c r="BQ50" i="4"/>
  <c r="BQ49" i="4"/>
  <c r="BQ48" i="4"/>
  <c r="BQ13" i="4"/>
  <c r="BQ107" i="4"/>
  <c r="CA145" i="4"/>
  <c r="CA144" i="4"/>
  <c r="BQ144" i="4"/>
  <c r="CA143" i="4"/>
  <c r="BQ143" i="4"/>
  <c r="CA142" i="4"/>
  <c r="BQ142" i="4"/>
  <c r="CA141" i="4"/>
  <c r="BQ141" i="4"/>
  <c r="CA140" i="4"/>
  <c r="BQ140" i="4"/>
  <c r="CA139" i="4"/>
  <c r="BQ139" i="4"/>
  <c r="CA138" i="4"/>
  <c r="BQ138" i="4"/>
  <c r="CA137" i="4"/>
  <c r="BQ137" i="4"/>
  <c r="CA136" i="4"/>
  <c r="BQ136" i="4"/>
  <c r="CA135" i="4"/>
  <c r="BQ135" i="4"/>
  <c r="CA134" i="4"/>
  <c r="BQ134" i="4"/>
  <c r="CA133" i="4"/>
  <c r="BQ133" i="4"/>
  <c r="CA132" i="4"/>
  <c r="BQ132" i="4"/>
  <c r="CA131" i="4"/>
  <c r="BQ131" i="4"/>
  <c r="CA130" i="4"/>
  <c r="BQ130" i="4"/>
  <c r="CA129" i="4"/>
  <c r="BQ129" i="4"/>
  <c r="CA128" i="4"/>
  <c r="BQ128" i="4"/>
  <c r="CA127" i="4"/>
  <c r="BQ127" i="4"/>
  <c r="CA126" i="4"/>
  <c r="BQ126" i="4"/>
  <c r="CA125" i="4"/>
  <c r="BQ125" i="4"/>
  <c r="CA124" i="4"/>
  <c r="BQ124" i="4"/>
  <c r="CA123" i="4"/>
  <c r="BQ123" i="4"/>
  <c r="CA122" i="4"/>
  <c r="BQ122" i="4"/>
  <c r="CA121" i="4"/>
  <c r="BQ121" i="4"/>
  <c r="CA120" i="4"/>
  <c r="BQ120" i="4"/>
  <c r="CA119" i="4"/>
  <c r="BQ119" i="4"/>
  <c r="CA118" i="4"/>
  <c r="BQ118" i="4"/>
  <c r="CA117" i="4"/>
  <c r="BQ117" i="4"/>
  <c r="CA116" i="4"/>
  <c r="BQ116" i="4"/>
  <c r="CA115" i="4"/>
  <c r="BQ115" i="4"/>
  <c r="CA114" i="4"/>
  <c r="BQ114" i="4"/>
  <c r="CA113" i="4"/>
  <c r="BQ113" i="4"/>
  <c r="CA112" i="4"/>
  <c r="BQ112" i="4"/>
  <c r="CA111" i="4"/>
  <c r="BQ111" i="4"/>
  <c r="CA110" i="4"/>
  <c r="BQ110" i="4"/>
  <c r="CA109" i="4"/>
  <c r="BQ109" i="4"/>
  <c r="CA108" i="4"/>
  <c r="BQ108" i="4"/>
  <c r="AL105" i="30"/>
  <c r="AU105" i="30"/>
  <c r="AL104" i="30"/>
  <c r="AU104" i="30"/>
  <c r="AL103" i="30"/>
  <c r="AU103" i="30"/>
  <c r="AL102" i="30"/>
  <c r="AU102" i="30"/>
  <c r="AL101" i="30"/>
  <c r="AU101" i="30"/>
  <c r="AL100" i="30"/>
  <c r="AU100" i="30"/>
  <c r="AL99" i="30"/>
  <c r="AU99" i="30"/>
  <c r="AL98" i="30"/>
  <c r="AU98" i="30"/>
  <c r="AL97" i="30"/>
  <c r="AU97" i="30"/>
  <c r="AL96" i="30"/>
  <c r="AU96" i="30"/>
  <c r="AL95" i="30"/>
  <c r="AU95" i="30"/>
  <c r="AL94" i="30"/>
  <c r="AU94" i="30"/>
  <c r="AL93" i="30"/>
  <c r="AU93" i="30"/>
  <c r="AL92" i="30"/>
  <c r="AU92" i="30"/>
  <c r="AL91" i="30"/>
  <c r="AU91" i="30"/>
  <c r="AL90" i="30"/>
  <c r="AU90" i="30"/>
  <c r="AL89" i="30"/>
  <c r="AU89" i="30"/>
  <c r="AL88" i="30"/>
  <c r="AU88" i="30"/>
  <c r="AL87" i="30"/>
  <c r="AU87" i="30"/>
  <c r="AL86" i="30"/>
  <c r="AU86" i="30"/>
  <c r="AL85" i="30"/>
  <c r="AU85" i="30"/>
  <c r="AL84" i="30"/>
  <c r="AU84" i="30"/>
  <c r="AL83" i="30"/>
  <c r="AU83" i="30"/>
  <c r="AL82" i="30"/>
  <c r="AU82" i="30"/>
  <c r="AL81" i="30"/>
  <c r="AU81" i="30"/>
  <c r="AL80" i="30"/>
  <c r="AU80" i="30"/>
  <c r="AL79" i="30"/>
  <c r="AU79" i="30"/>
  <c r="AL78" i="30"/>
  <c r="AU78" i="30"/>
  <c r="AL77" i="30"/>
  <c r="AU77" i="30"/>
  <c r="AL76" i="30"/>
  <c r="AU76" i="30"/>
  <c r="AL75" i="30"/>
  <c r="AU75" i="30"/>
  <c r="AL74" i="30"/>
  <c r="AU74" i="30"/>
  <c r="AL73" i="30"/>
  <c r="AU73" i="30"/>
  <c r="AL72" i="30"/>
  <c r="AU72" i="30"/>
  <c r="AL71" i="30"/>
  <c r="AU71" i="30"/>
  <c r="AL70" i="30"/>
  <c r="AU70" i="30"/>
  <c r="AL69" i="30"/>
  <c r="AU69" i="30"/>
  <c r="AL68" i="30"/>
  <c r="AU68" i="30"/>
  <c r="AL67" i="30"/>
  <c r="AU67" i="30"/>
  <c r="AL66" i="30"/>
  <c r="AU66" i="30"/>
  <c r="AL65" i="30"/>
  <c r="AU65" i="30"/>
  <c r="AL64" i="30"/>
  <c r="AU64" i="30"/>
  <c r="AL63" i="30"/>
  <c r="AU63" i="30"/>
  <c r="AL62" i="30"/>
  <c r="AU62" i="30"/>
  <c r="AL61" i="30"/>
  <c r="AU61" i="30"/>
  <c r="AL60" i="30"/>
  <c r="AU60" i="30"/>
  <c r="AL59" i="30"/>
  <c r="AU59" i="30"/>
  <c r="AL58" i="30"/>
  <c r="AU58" i="30"/>
  <c r="AL57" i="30"/>
  <c r="AU57" i="30"/>
  <c r="AL56" i="30"/>
  <c r="AU56" i="30"/>
  <c r="AL55" i="30"/>
  <c r="AU55" i="30"/>
  <c r="AL54" i="30"/>
  <c r="AU54" i="30"/>
  <c r="AL53" i="30"/>
  <c r="AU53" i="30"/>
  <c r="AL52" i="30"/>
  <c r="AU52" i="30"/>
  <c r="AL51" i="30"/>
  <c r="AU51" i="30"/>
  <c r="AL50" i="30"/>
  <c r="AU50" i="30"/>
  <c r="AL49" i="30"/>
  <c r="AU49" i="30"/>
  <c r="AL48" i="30"/>
  <c r="AU48" i="30"/>
  <c r="AL13" i="30"/>
  <c r="AU13" i="30"/>
  <c r="BS168" i="4"/>
  <c r="BS167" i="4"/>
  <c r="BS166" i="4"/>
  <c r="BS165" i="4"/>
  <c r="BS164" i="4"/>
  <c r="BS163" i="4"/>
  <c r="BS162" i="4"/>
  <c r="BS161" i="4"/>
  <c r="BS160" i="4"/>
  <c r="BS159" i="4"/>
  <c r="BS158" i="4"/>
  <c r="BS157" i="4"/>
  <c r="BS156" i="4"/>
  <c r="BS155" i="4"/>
  <c r="BS154" i="4"/>
  <c r="BS153" i="4"/>
  <c r="BS152" i="4"/>
  <c r="BS151" i="4"/>
  <c r="BS150" i="4"/>
  <c r="BS149" i="4"/>
  <c r="BS148" i="4"/>
  <c r="BS147" i="4"/>
  <c r="BS169" i="4"/>
  <c r="BP168" i="4"/>
  <c r="BP167" i="4"/>
  <c r="BP166" i="4"/>
  <c r="BP165" i="4"/>
  <c r="BP164" i="4"/>
  <c r="BP163" i="4"/>
  <c r="BP162" i="4"/>
  <c r="BP161" i="4"/>
  <c r="BP160" i="4"/>
  <c r="BP159" i="4"/>
  <c r="BP158" i="4"/>
  <c r="BP157" i="4"/>
  <c r="BP156" i="4"/>
  <c r="BP155" i="4"/>
  <c r="BP154" i="4"/>
  <c r="BP153" i="4"/>
  <c r="BP152" i="4"/>
  <c r="BP151" i="4"/>
  <c r="BP150" i="4"/>
  <c r="BP149" i="4"/>
  <c r="BP148" i="4"/>
  <c r="BP147" i="4"/>
  <c r="BP144" i="4"/>
  <c r="BP143" i="4"/>
  <c r="BP142" i="4"/>
  <c r="BP141" i="4"/>
  <c r="BP140" i="4"/>
  <c r="BP139" i="4"/>
  <c r="BP138" i="4"/>
  <c r="BP137" i="4"/>
  <c r="BP136" i="4"/>
  <c r="BP135" i="4"/>
  <c r="BP134" i="4"/>
  <c r="BP133" i="4"/>
  <c r="BP132" i="4"/>
  <c r="BP131" i="4"/>
  <c r="BP130" i="4"/>
  <c r="BP129" i="4"/>
  <c r="BP128" i="4"/>
  <c r="BP127" i="4"/>
  <c r="BP126" i="4"/>
  <c r="BP125" i="4"/>
  <c r="BP124" i="4"/>
  <c r="BP123" i="4"/>
  <c r="BP122" i="4"/>
  <c r="BP121" i="4"/>
  <c r="BP120" i="4"/>
  <c r="BP119" i="4"/>
  <c r="BP118" i="4"/>
  <c r="BP117" i="4"/>
  <c r="BP116" i="4"/>
  <c r="BP115" i="4"/>
  <c r="BP114" i="4"/>
  <c r="BP113" i="4"/>
  <c r="BP112" i="4"/>
  <c r="BP111" i="4"/>
  <c r="BP110" i="4"/>
  <c r="BP109" i="4"/>
  <c r="BP108" i="4"/>
  <c r="BP107" i="4"/>
  <c r="BP105" i="4"/>
  <c r="BP104" i="4"/>
  <c r="BP103" i="4"/>
  <c r="BP102" i="4"/>
  <c r="BP101" i="4"/>
  <c r="BP100" i="4"/>
  <c r="BP99" i="4"/>
  <c r="BP98" i="4"/>
  <c r="BP97" i="4"/>
  <c r="BP96" i="4"/>
  <c r="BP95" i="4"/>
  <c r="BP94" i="4"/>
  <c r="BP93" i="4"/>
  <c r="BP92" i="4"/>
  <c r="BP91" i="4"/>
  <c r="BP90" i="4"/>
  <c r="BP89" i="4"/>
  <c r="BP88" i="4"/>
  <c r="BP87" i="4"/>
  <c r="BP86" i="4"/>
  <c r="BP85" i="4"/>
  <c r="BP84" i="4"/>
  <c r="BP83" i="4"/>
  <c r="BP82" i="4"/>
  <c r="BP81" i="4"/>
  <c r="BP80" i="4"/>
  <c r="BP79" i="4"/>
  <c r="BP78" i="4"/>
  <c r="BP77" i="4"/>
  <c r="BP76" i="4"/>
  <c r="BP75" i="4"/>
  <c r="BP74" i="4"/>
  <c r="BP73" i="4"/>
  <c r="BP72" i="4"/>
  <c r="BP71" i="4"/>
  <c r="BP70" i="4"/>
  <c r="BP69" i="4"/>
  <c r="BP68" i="4"/>
  <c r="BP67" i="4"/>
  <c r="BP66" i="4"/>
  <c r="BP65" i="4"/>
  <c r="BP64" i="4"/>
  <c r="BP63" i="4"/>
  <c r="BP62" i="4"/>
  <c r="BP61" i="4"/>
  <c r="BP60" i="4"/>
  <c r="BP59" i="4"/>
  <c r="BP58" i="4"/>
  <c r="BP57" i="4"/>
  <c r="BP56" i="4"/>
  <c r="BP55" i="4"/>
  <c r="BP54" i="4"/>
  <c r="BP53" i="4"/>
  <c r="BP52" i="4"/>
  <c r="BP51" i="4"/>
  <c r="BP50" i="4"/>
  <c r="BP49" i="4"/>
  <c r="BP48" i="4"/>
  <c r="BP13" i="4"/>
  <c r="BP169" i="4"/>
  <c r="CA146" i="4"/>
  <c r="CA107" i="4"/>
  <c r="V169" i="30"/>
  <c r="V168" i="30"/>
  <c r="V167" i="30"/>
  <c r="V166" i="30"/>
  <c r="V165" i="30"/>
  <c r="V164" i="30"/>
  <c r="V163" i="30"/>
  <c r="V162" i="30"/>
  <c r="V161" i="30"/>
  <c r="V160" i="30"/>
  <c r="V159" i="30"/>
  <c r="V158" i="30"/>
  <c r="V157" i="30"/>
  <c r="V156" i="30"/>
  <c r="V155" i="30"/>
  <c r="V154" i="30"/>
  <c r="V153" i="30"/>
  <c r="V152" i="30"/>
  <c r="V151" i="30"/>
  <c r="V150" i="30"/>
  <c r="V149" i="30"/>
  <c r="V148" i="30"/>
  <c r="V147" i="30"/>
  <c r="V146" i="30"/>
  <c r="V145" i="30"/>
  <c r="V144" i="30"/>
  <c r="V143" i="30"/>
  <c r="V142" i="30"/>
  <c r="V141" i="30"/>
  <c r="V140" i="30"/>
  <c r="V139" i="30"/>
  <c r="V138" i="30"/>
  <c r="V137" i="30"/>
  <c r="V136" i="30"/>
  <c r="V135" i="30"/>
  <c r="V134" i="30"/>
  <c r="V133" i="30"/>
  <c r="V132" i="30"/>
  <c r="V131" i="30"/>
  <c r="V130" i="30"/>
  <c r="V129" i="30"/>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V97" i="30"/>
  <c r="V80" i="30"/>
  <c r="V81" i="30"/>
  <c r="V82" i="30"/>
  <c r="V83" i="30"/>
  <c r="V84" i="30"/>
  <c r="V85" i="30"/>
  <c r="V86" i="30"/>
  <c r="V87" i="30"/>
  <c r="V88" i="30"/>
  <c r="V89" i="30"/>
  <c r="V90" i="30"/>
  <c r="V91" i="30"/>
  <c r="V92" i="30"/>
  <c r="V93" i="30"/>
  <c r="V94" i="30"/>
  <c r="V95" i="30"/>
  <c r="V96" i="30"/>
  <c r="V69" i="30"/>
  <c r="V70" i="30"/>
  <c r="V71" i="30"/>
  <c r="V72" i="30"/>
  <c r="V73" i="30"/>
  <c r="V74" i="30"/>
  <c r="V75" i="30"/>
  <c r="V76" i="30"/>
  <c r="V77" i="30"/>
  <c r="V78" i="30"/>
  <c r="V79"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29" i="30"/>
  <c r="V30" i="30"/>
  <c r="V31" i="30"/>
  <c r="V32" i="30"/>
  <c r="V33" i="30"/>
  <c r="V34" i="30"/>
  <c r="V35" i="30"/>
  <c r="V36" i="30"/>
  <c r="V37" i="30"/>
  <c r="V38" i="30"/>
  <c r="V19" i="30"/>
  <c r="V20" i="30"/>
  <c r="V21" i="30"/>
  <c r="V22" i="30"/>
  <c r="V23" i="30"/>
  <c r="V24" i="30"/>
  <c r="V25" i="30"/>
  <c r="V26" i="30"/>
  <c r="V27" i="30"/>
  <c r="V28" i="30"/>
  <c r="V13" i="30"/>
  <c r="V14" i="30"/>
  <c r="V15" i="30"/>
  <c r="V16" i="30"/>
  <c r="V17" i="30"/>
  <c r="V18" i="30"/>
  <c r="AK105" i="30"/>
  <c r="AT105" i="30"/>
  <c r="AK104" i="30"/>
  <c r="AT104" i="30"/>
  <c r="AK103" i="30"/>
  <c r="AT103" i="30"/>
  <c r="AK102" i="30"/>
  <c r="AT102" i="30"/>
  <c r="AK101" i="30"/>
  <c r="AT101" i="30"/>
  <c r="AK100" i="30"/>
  <c r="AT100" i="30"/>
  <c r="AK99" i="30"/>
  <c r="AT99" i="30"/>
  <c r="AK98" i="30"/>
  <c r="AT98" i="30"/>
  <c r="AK97" i="30"/>
  <c r="AT97" i="30"/>
  <c r="AK96" i="30"/>
  <c r="AT96" i="30"/>
  <c r="AK95" i="30"/>
  <c r="AT95" i="30"/>
  <c r="AK94" i="30"/>
  <c r="AT94" i="30"/>
  <c r="AK93" i="30"/>
  <c r="AT93" i="30"/>
  <c r="AK92" i="30"/>
  <c r="AT92" i="30"/>
  <c r="AK91" i="30"/>
  <c r="AT91" i="30"/>
  <c r="AK90" i="30"/>
  <c r="AT90" i="30"/>
  <c r="AK89" i="30"/>
  <c r="AT89" i="30"/>
  <c r="AK88" i="30"/>
  <c r="AT88" i="30"/>
  <c r="AK87" i="30"/>
  <c r="AT87" i="30"/>
  <c r="AK86" i="30"/>
  <c r="AT86" i="30"/>
  <c r="AK85" i="30"/>
  <c r="AT85" i="30"/>
  <c r="AK84" i="30"/>
  <c r="AT84" i="30"/>
  <c r="AK83" i="30"/>
  <c r="AT83" i="30"/>
  <c r="AK82" i="30"/>
  <c r="AT82" i="30"/>
  <c r="AK81" i="30"/>
  <c r="AT81" i="30"/>
  <c r="AK80" i="30"/>
  <c r="AT80" i="30"/>
  <c r="AK79" i="30"/>
  <c r="AT79" i="30"/>
  <c r="AK78" i="30"/>
  <c r="AT78" i="30"/>
  <c r="AK77" i="30"/>
  <c r="AT77" i="30"/>
  <c r="AK76" i="30"/>
  <c r="AT76" i="30"/>
  <c r="AK75" i="30"/>
  <c r="AT75" i="30"/>
  <c r="AK74" i="30"/>
  <c r="AT74" i="30"/>
  <c r="AK73" i="30"/>
  <c r="AT73" i="30"/>
  <c r="AK72" i="30"/>
  <c r="AT72" i="30"/>
  <c r="AK71" i="30"/>
  <c r="AT71" i="30"/>
  <c r="AK70" i="30"/>
  <c r="AT70" i="30"/>
  <c r="AK69" i="30"/>
  <c r="AT69" i="30"/>
  <c r="AK68" i="30"/>
  <c r="AT68" i="30"/>
  <c r="AK67" i="30"/>
  <c r="AT67" i="30"/>
  <c r="AK66" i="30"/>
  <c r="AT66" i="30"/>
  <c r="AK65" i="30"/>
  <c r="AT65" i="30"/>
  <c r="AK64" i="30"/>
  <c r="AT64" i="30"/>
  <c r="AK63" i="30"/>
  <c r="AT63" i="30"/>
  <c r="AK62" i="30"/>
  <c r="AT62" i="30"/>
  <c r="AK61" i="30"/>
  <c r="AT61" i="30"/>
  <c r="AK60" i="30"/>
  <c r="AT60" i="30"/>
  <c r="AK59" i="30"/>
  <c r="AT59" i="30"/>
  <c r="AK58" i="30"/>
  <c r="AT58" i="30"/>
  <c r="AK57" i="30"/>
  <c r="AT57" i="30"/>
  <c r="AK56" i="30"/>
  <c r="AT56" i="30"/>
  <c r="AK55" i="30"/>
  <c r="AT55" i="30"/>
  <c r="AK54" i="30"/>
  <c r="AT54" i="30"/>
  <c r="AK53" i="30"/>
  <c r="AT53" i="30"/>
  <c r="AK52" i="30"/>
  <c r="AT52" i="30"/>
  <c r="AK51" i="30"/>
  <c r="AT51" i="30"/>
  <c r="AK50" i="30"/>
  <c r="AT50" i="30"/>
  <c r="AK49" i="30"/>
  <c r="AT49" i="30"/>
  <c r="AK48" i="30"/>
  <c r="AT48" i="30"/>
  <c r="AK47" i="30"/>
  <c r="AT47" i="30"/>
  <c r="AK46" i="30"/>
  <c r="AT46" i="30"/>
  <c r="AK45" i="30"/>
  <c r="AT45" i="30"/>
  <c r="AK44" i="30"/>
  <c r="AT44" i="30"/>
  <c r="AK43" i="30"/>
  <c r="AT43" i="30"/>
  <c r="AK42" i="30"/>
  <c r="AT42" i="30"/>
  <c r="AK41" i="30"/>
  <c r="AT41" i="30"/>
  <c r="AK40" i="30"/>
  <c r="AT40" i="30"/>
  <c r="AK39" i="30"/>
  <c r="AT39" i="30"/>
  <c r="AK38" i="30"/>
  <c r="AT38" i="30"/>
  <c r="AK37" i="30"/>
  <c r="AT37" i="30"/>
  <c r="AK36" i="30"/>
  <c r="AT36" i="30"/>
  <c r="AK35" i="30"/>
  <c r="AT35" i="30"/>
  <c r="AK34" i="30"/>
  <c r="AT34" i="30"/>
  <c r="AK33" i="30"/>
  <c r="AT33" i="30"/>
  <c r="AK32" i="30"/>
  <c r="AT32" i="30"/>
  <c r="AK31" i="30"/>
  <c r="AT31" i="30"/>
  <c r="AK30" i="30"/>
  <c r="AT30" i="30"/>
  <c r="AK29" i="30"/>
  <c r="AT29" i="30"/>
  <c r="AK28" i="30"/>
  <c r="AT28" i="30"/>
  <c r="AK27" i="30"/>
  <c r="AT27" i="30"/>
  <c r="AK26" i="30"/>
  <c r="AT26" i="30"/>
  <c r="AK25" i="30"/>
  <c r="AT25" i="30"/>
  <c r="AK24" i="30"/>
  <c r="AT24" i="30"/>
  <c r="AK23" i="30"/>
  <c r="AT23" i="30"/>
  <c r="AK22" i="30"/>
  <c r="AT22" i="30"/>
  <c r="AK21" i="30"/>
  <c r="AT21" i="30"/>
  <c r="AK20" i="30"/>
  <c r="AT20" i="30"/>
  <c r="AK19" i="30"/>
  <c r="AT19" i="30"/>
  <c r="AK18" i="30"/>
  <c r="AT18" i="30"/>
  <c r="AK17" i="30"/>
  <c r="AT17" i="30"/>
  <c r="AK16" i="30"/>
  <c r="AT16" i="30"/>
  <c r="AK15" i="30"/>
  <c r="AT15" i="30"/>
  <c r="AK14" i="30"/>
  <c r="AT14" i="30"/>
  <c r="AK13" i="30"/>
  <c r="AT13" i="30"/>
  <c r="AJ13" i="30"/>
  <c r="AJ14" i="30"/>
  <c r="AJ15" i="30"/>
  <c r="AJ16" i="30"/>
  <c r="AJ17" i="30"/>
  <c r="AJ18" i="30"/>
  <c r="AJ19" i="30"/>
  <c r="AJ20" i="30"/>
  <c r="AJ21" i="30"/>
  <c r="AJ22" i="30"/>
  <c r="AJ23" i="30"/>
  <c r="AJ24" i="30"/>
  <c r="AJ25" i="30"/>
  <c r="AJ26" i="30"/>
  <c r="AJ27" i="30"/>
  <c r="AJ105" i="30"/>
  <c r="AS105" i="30"/>
  <c r="AJ104" i="30"/>
  <c r="AS104" i="30"/>
  <c r="AJ103" i="30"/>
  <c r="AS103" i="30"/>
  <c r="AJ102" i="30"/>
  <c r="AS102" i="30"/>
  <c r="AJ101" i="30"/>
  <c r="AS101" i="30"/>
  <c r="AJ100" i="30"/>
  <c r="AS100" i="30"/>
  <c r="AJ99" i="30"/>
  <c r="AS99" i="30"/>
  <c r="AJ98" i="30"/>
  <c r="AS98" i="30"/>
  <c r="AJ97" i="30"/>
  <c r="AS97" i="30"/>
  <c r="AJ96" i="30"/>
  <c r="AS96" i="30"/>
  <c r="AJ95" i="30"/>
  <c r="AS95" i="30"/>
  <c r="AJ94" i="30"/>
  <c r="AS94" i="30"/>
  <c r="AJ93" i="30"/>
  <c r="AS93" i="30"/>
  <c r="AJ92" i="30"/>
  <c r="AS92" i="30"/>
  <c r="AJ91" i="30"/>
  <c r="AS91" i="30"/>
  <c r="AJ90" i="30"/>
  <c r="AS90" i="30"/>
  <c r="AJ89" i="30"/>
  <c r="AS89" i="30"/>
  <c r="AJ88" i="30"/>
  <c r="AS88" i="30"/>
  <c r="AJ87" i="30"/>
  <c r="AS87" i="30"/>
  <c r="AJ86" i="30"/>
  <c r="AS86" i="30"/>
  <c r="AJ85" i="30"/>
  <c r="AS85" i="30"/>
  <c r="AJ84" i="30"/>
  <c r="AS84" i="30"/>
  <c r="AJ83" i="30"/>
  <c r="AS83" i="30"/>
  <c r="AJ82" i="30"/>
  <c r="AS82" i="30"/>
  <c r="AJ81" i="30"/>
  <c r="AS81" i="30"/>
  <c r="AJ80" i="30"/>
  <c r="AS80" i="30"/>
  <c r="AJ79" i="30"/>
  <c r="AS79" i="30"/>
  <c r="AJ78" i="30"/>
  <c r="AS78" i="30"/>
  <c r="AJ77" i="30"/>
  <c r="AS77" i="30"/>
  <c r="AJ76" i="30"/>
  <c r="AS76" i="30"/>
  <c r="AJ75" i="30"/>
  <c r="AS75" i="30"/>
  <c r="AJ74" i="30"/>
  <c r="AS74" i="30"/>
  <c r="AJ73" i="30"/>
  <c r="AS73" i="30"/>
  <c r="AJ72" i="30"/>
  <c r="AS72" i="30"/>
  <c r="AJ71" i="30"/>
  <c r="AS71" i="30"/>
  <c r="AJ70" i="30"/>
  <c r="AS70" i="30"/>
  <c r="AJ69" i="30"/>
  <c r="AS69" i="30"/>
  <c r="AJ68" i="30"/>
  <c r="AS68" i="30"/>
  <c r="AJ67" i="30"/>
  <c r="AS67" i="30"/>
  <c r="AJ66" i="30"/>
  <c r="AS66" i="30"/>
  <c r="AJ65" i="30"/>
  <c r="AS65" i="30"/>
  <c r="AJ64" i="30"/>
  <c r="AS64" i="30"/>
  <c r="AJ63" i="30"/>
  <c r="AS63" i="30"/>
  <c r="AJ62" i="30"/>
  <c r="AS62" i="30"/>
  <c r="AJ61" i="30"/>
  <c r="AS61" i="30"/>
  <c r="AJ60" i="30"/>
  <c r="AS60" i="30"/>
  <c r="AJ59" i="30"/>
  <c r="AS59" i="30"/>
  <c r="AJ58" i="30"/>
  <c r="AS58" i="30"/>
  <c r="AJ57" i="30"/>
  <c r="AS57" i="30"/>
  <c r="AJ56" i="30"/>
  <c r="AS56" i="30"/>
  <c r="AJ55" i="30"/>
  <c r="AS55" i="30"/>
  <c r="AJ54" i="30"/>
  <c r="AS54" i="30"/>
  <c r="AJ53" i="30"/>
  <c r="AS53" i="30"/>
  <c r="AJ52" i="30"/>
  <c r="AS52" i="30"/>
  <c r="AJ51" i="30"/>
  <c r="AS51" i="30"/>
  <c r="AJ50" i="30"/>
  <c r="AS50" i="30"/>
  <c r="AJ49" i="30"/>
  <c r="AS49" i="30"/>
  <c r="AJ48" i="30"/>
  <c r="AS48" i="30"/>
  <c r="AJ47" i="30"/>
  <c r="AS47" i="30"/>
  <c r="AJ46" i="30"/>
  <c r="AS46" i="30"/>
  <c r="AJ45" i="30"/>
  <c r="AS45" i="30"/>
  <c r="AJ44" i="30"/>
  <c r="AS44" i="30"/>
  <c r="AJ43" i="30"/>
  <c r="AS43" i="30"/>
  <c r="AJ42" i="30"/>
  <c r="AS42" i="30"/>
  <c r="AJ41" i="30"/>
  <c r="AS41" i="30"/>
  <c r="AJ40" i="30"/>
  <c r="AS40" i="30"/>
  <c r="AJ39" i="30"/>
  <c r="AS39" i="30"/>
  <c r="AJ38" i="30"/>
  <c r="AS38" i="30"/>
  <c r="AJ37" i="30"/>
  <c r="AS37" i="30"/>
  <c r="AJ36" i="30"/>
  <c r="AS36" i="30"/>
  <c r="AJ35" i="30"/>
  <c r="AS35" i="30"/>
  <c r="AJ34" i="30"/>
  <c r="AS34" i="30"/>
  <c r="AJ33" i="30"/>
  <c r="AS33" i="30"/>
  <c r="AJ32" i="30"/>
  <c r="AS32" i="30"/>
  <c r="AJ31" i="30"/>
  <c r="AS31" i="30"/>
  <c r="AJ30" i="30"/>
  <c r="AS30" i="30"/>
  <c r="AJ29" i="30"/>
  <c r="AS29" i="30"/>
  <c r="AJ28" i="30"/>
  <c r="AS28" i="30"/>
  <c r="AS27" i="30"/>
  <c r="AS26" i="30"/>
  <c r="AS25" i="30"/>
  <c r="AS24" i="30"/>
  <c r="AS23" i="30"/>
  <c r="AS22" i="30"/>
  <c r="AS21" i="30"/>
  <c r="AS20" i="30"/>
  <c r="AS19" i="30"/>
  <c r="AS18" i="30"/>
  <c r="AS17" i="30"/>
  <c r="AS16" i="30"/>
  <c r="AS15" i="30"/>
  <c r="AS14" i="30"/>
  <c r="AS13" i="30"/>
  <c r="AM13" i="30"/>
  <c r="AI169" i="30"/>
  <c r="AR169" i="30"/>
  <c r="AN169" i="30"/>
  <c r="AI168" i="30"/>
  <c r="AR168" i="30"/>
  <c r="AN168" i="30"/>
  <c r="AI167" i="30"/>
  <c r="AR167" i="30"/>
  <c r="AN167" i="30"/>
  <c r="AI166" i="30"/>
  <c r="AR166" i="30"/>
  <c r="AN166" i="30"/>
  <c r="AI165" i="30"/>
  <c r="AR165" i="30"/>
  <c r="AN165" i="30"/>
  <c r="AI164" i="30"/>
  <c r="AR164" i="30"/>
  <c r="AN164" i="30"/>
  <c r="AI163" i="30"/>
  <c r="AR163" i="30"/>
  <c r="AN163" i="30"/>
  <c r="AI162" i="30"/>
  <c r="AR162" i="30"/>
  <c r="AN162" i="30"/>
  <c r="AI161" i="30"/>
  <c r="AR161" i="30"/>
  <c r="AN161" i="30"/>
  <c r="AI160" i="30"/>
  <c r="AR160" i="30"/>
  <c r="AN160" i="30"/>
  <c r="AI159" i="30"/>
  <c r="AR159" i="30"/>
  <c r="AN159" i="30"/>
  <c r="AI158" i="30"/>
  <c r="AR158" i="30"/>
  <c r="AN158" i="30"/>
  <c r="AI157" i="30"/>
  <c r="AR157" i="30"/>
  <c r="AN157" i="30"/>
  <c r="AI156" i="30"/>
  <c r="AR156" i="30"/>
  <c r="AN156" i="30"/>
  <c r="AI155" i="30"/>
  <c r="AR155" i="30"/>
  <c r="AN155" i="30"/>
  <c r="AI154" i="30"/>
  <c r="AR154" i="30"/>
  <c r="AN154" i="30"/>
  <c r="AI153" i="30"/>
  <c r="AR153" i="30"/>
  <c r="AN153" i="30"/>
  <c r="AI152" i="30"/>
  <c r="AR152" i="30"/>
  <c r="AN152" i="30"/>
  <c r="AI151" i="30"/>
  <c r="AR151" i="30"/>
  <c r="AN151" i="30"/>
  <c r="AI150" i="30"/>
  <c r="AR150" i="30"/>
  <c r="AN150" i="30"/>
  <c r="AI149" i="30"/>
  <c r="AR149" i="30"/>
  <c r="AN149" i="30"/>
  <c r="AI148" i="30"/>
  <c r="AR148" i="30"/>
  <c r="AN148" i="30"/>
  <c r="AI147" i="30"/>
  <c r="AR147" i="30"/>
  <c r="AN147" i="30"/>
  <c r="AI146" i="30"/>
  <c r="AR146" i="30"/>
  <c r="AN146" i="30"/>
  <c r="AI145" i="30"/>
  <c r="AR145" i="30"/>
  <c r="AN145" i="30"/>
  <c r="AI144" i="30"/>
  <c r="AR144" i="30"/>
  <c r="AN144" i="30"/>
  <c r="AI143" i="30"/>
  <c r="AR143" i="30"/>
  <c r="AN143" i="30"/>
  <c r="AI142" i="30"/>
  <c r="AR142" i="30"/>
  <c r="AN142" i="30"/>
  <c r="AI141" i="30"/>
  <c r="AR141" i="30"/>
  <c r="AN141" i="30"/>
  <c r="AI140" i="30"/>
  <c r="AR140" i="30"/>
  <c r="AN140" i="30"/>
  <c r="AI139" i="30"/>
  <c r="AR139" i="30"/>
  <c r="AN139" i="30"/>
  <c r="AI138" i="30"/>
  <c r="AR138" i="30"/>
  <c r="AN138" i="30"/>
  <c r="AI137" i="30"/>
  <c r="AR137" i="30"/>
  <c r="AN137" i="30"/>
  <c r="AI136" i="30"/>
  <c r="AR136" i="30"/>
  <c r="AN136" i="30"/>
  <c r="AI135" i="30"/>
  <c r="AR135" i="30"/>
  <c r="AN135" i="30"/>
  <c r="AI134" i="30"/>
  <c r="AR134" i="30"/>
  <c r="AN134" i="30"/>
  <c r="AI133" i="30"/>
  <c r="AR133" i="30"/>
  <c r="AN133" i="30"/>
  <c r="AI132" i="30"/>
  <c r="AR132" i="30"/>
  <c r="AN132" i="30"/>
  <c r="AI131" i="30"/>
  <c r="AR131" i="30"/>
  <c r="AN131" i="30"/>
  <c r="AI130" i="30"/>
  <c r="AR130" i="30"/>
  <c r="AN130" i="30"/>
  <c r="AI129" i="30"/>
  <c r="AR129" i="30"/>
  <c r="AN129" i="30"/>
  <c r="AI128" i="30"/>
  <c r="AR128" i="30"/>
  <c r="AN128" i="30"/>
  <c r="AI127" i="30"/>
  <c r="AR127" i="30"/>
  <c r="AN127" i="30"/>
  <c r="AI126" i="30"/>
  <c r="AR126" i="30"/>
  <c r="AN126" i="30"/>
  <c r="AI125" i="30"/>
  <c r="AR125" i="30"/>
  <c r="AN125" i="30"/>
  <c r="AI124" i="30"/>
  <c r="AR124" i="30"/>
  <c r="AN124" i="30"/>
  <c r="AI123" i="30"/>
  <c r="AR123" i="30"/>
  <c r="AN123" i="30"/>
  <c r="AI122" i="30"/>
  <c r="AR122" i="30"/>
  <c r="AN122" i="30"/>
  <c r="AI121" i="30"/>
  <c r="AR121" i="30"/>
  <c r="AN121" i="30"/>
  <c r="AI120" i="30"/>
  <c r="AR120" i="30"/>
  <c r="AN120" i="30"/>
  <c r="AI119" i="30"/>
  <c r="AR119" i="30"/>
  <c r="AN119" i="30"/>
  <c r="AI118" i="30"/>
  <c r="AR118" i="30"/>
  <c r="AN118" i="30"/>
  <c r="AI117" i="30"/>
  <c r="AR117" i="30"/>
  <c r="AN117" i="30"/>
  <c r="AI116" i="30"/>
  <c r="AR116" i="30"/>
  <c r="AN116" i="30"/>
  <c r="AI115" i="30"/>
  <c r="AR115" i="30"/>
  <c r="AN115" i="30"/>
  <c r="AI114" i="30"/>
  <c r="AR114" i="30"/>
  <c r="AN114" i="30"/>
  <c r="AI113" i="30"/>
  <c r="AR113" i="30"/>
  <c r="AN113" i="30"/>
  <c r="AI112" i="30"/>
  <c r="AR112" i="30"/>
  <c r="AN112" i="30"/>
  <c r="AI111" i="30"/>
  <c r="AR111" i="30"/>
  <c r="AN111" i="30"/>
  <c r="AI110" i="30"/>
  <c r="AR110" i="30"/>
  <c r="AN110" i="30"/>
  <c r="AI109" i="30"/>
  <c r="AR109" i="30"/>
  <c r="AN109" i="30"/>
  <c r="AI108" i="30"/>
  <c r="AR108" i="30"/>
  <c r="AN108" i="30"/>
  <c r="AI107" i="30"/>
  <c r="AR107" i="30"/>
  <c r="AN107" i="30"/>
  <c r="AN106" i="30"/>
  <c r="AM105" i="30"/>
  <c r="AV105" i="30"/>
  <c r="AI105" i="30"/>
  <c r="AR105" i="30"/>
  <c r="AN105" i="30"/>
  <c r="AM104" i="30"/>
  <c r="AV104" i="30"/>
  <c r="AI104" i="30"/>
  <c r="AR104" i="30"/>
  <c r="AN104" i="30"/>
  <c r="AM103" i="30"/>
  <c r="AV103" i="30"/>
  <c r="AI103" i="30"/>
  <c r="AR103" i="30"/>
  <c r="AN103" i="30"/>
  <c r="AM102" i="30"/>
  <c r="AV102" i="30"/>
  <c r="AI102" i="30"/>
  <c r="AR102" i="30"/>
  <c r="AN102" i="30"/>
  <c r="AM101" i="30"/>
  <c r="AV101" i="30"/>
  <c r="AI101" i="30"/>
  <c r="AR101" i="30"/>
  <c r="AN101" i="30"/>
  <c r="AM100" i="30"/>
  <c r="AV100" i="30"/>
  <c r="AI100" i="30"/>
  <c r="AR100" i="30"/>
  <c r="AN100" i="30"/>
  <c r="AM99" i="30"/>
  <c r="AV99" i="30"/>
  <c r="AI99" i="30"/>
  <c r="AR99" i="30"/>
  <c r="AN99" i="30"/>
  <c r="AM98" i="30"/>
  <c r="AV98" i="30"/>
  <c r="AI98" i="30"/>
  <c r="AR98" i="30"/>
  <c r="AN98" i="30"/>
  <c r="AM97" i="30"/>
  <c r="AV97" i="30"/>
  <c r="AI97" i="30"/>
  <c r="AR97" i="30"/>
  <c r="AN97" i="30"/>
  <c r="AM96" i="30"/>
  <c r="AV96" i="30"/>
  <c r="AI96" i="30"/>
  <c r="AR96" i="30"/>
  <c r="AN96" i="30"/>
  <c r="AM95" i="30"/>
  <c r="AV95" i="30"/>
  <c r="AI95" i="30"/>
  <c r="AR95" i="30"/>
  <c r="AN95" i="30"/>
  <c r="AM94" i="30"/>
  <c r="AV94" i="30"/>
  <c r="AI94" i="30"/>
  <c r="AR94" i="30"/>
  <c r="AN94" i="30"/>
  <c r="AM93" i="30"/>
  <c r="AV93" i="30"/>
  <c r="AI93" i="30"/>
  <c r="AR93" i="30"/>
  <c r="AN93" i="30"/>
  <c r="AM92" i="30"/>
  <c r="AV92" i="30"/>
  <c r="AI92" i="30"/>
  <c r="AR92" i="30"/>
  <c r="AN92" i="30"/>
  <c r="AM91" i="30"/>
  <c r="AV91" i="30"/>
  <c r="AI91" i="30"/>
  <c r="AR91" i="30"/>
  <c r="AN91" i="30"/>
  <c r="AM90" i="30"/>
  <c r="AV90" i="30"/>
  <c r="AI90" i="30"/>
  <c r="AR90" i="30"/>
  <c r="AN90" i="30"/>
  <c r="AM89" i="30"/>
  <c r="AV89" i="30"/>
  <c r="AI89" i="30"/>
  <c r="AR89" i="30"/>
  <c r="AN89" i="30"/>
  <c r="AM88" i="30"/>
  <c r="AV88" i="30"/>
  <c r="AI88" i="30"/>
  <c r="AR88" i="30"/>
  <c r="AN88" i="30"/>
  <c r="AM87" i="30"/>
  <c r="AV87" i="30"/>
  <c r="AI87" i="30"/>
  <c r="AR87" i="30"/>
  <c r="AN87" i="30"/>
  <c r="AM86" i="30"/>
  <c r="AV86" i="30"/>
  <c r="AI86" i="30"/>
  <c r="AR86" i="30"/>
  <c r="AN86" i="30"/>
  <c r="AM85" i="30"/>
  <c r="AV85" i="30"/>
  <c r="AI85" i="30"/>
  <c r="AR85" i="30"/>
  <c r="AN85" i="30"/>
  <c r="AM84" i="30"/>
  <c r="AV84" i="30"/>
  <c r="AI84" i="30"/>
  <c r="AR84" i="30"/>
  <c r="AN84" i="30"/>
  <c r="AM83" i="30"/>
  <c r="AV83" i="30"/>
  <c r="AI83" i="30"/>
  <c r="AR83" i="30"/>
  <c r="AN83" i="30"/>
  <c r="AM82" i="30"/>
  <c r="AV82" i="30"/>
  <c r="AI82" i="30"/>
  <c r="AR82" i="30"/>
  <c r="AN82" i="30"/>
  <c r="AM81" i="30"/>
  <c r="AV81" i="30"/>
  <c r="AI81" i="30"/>
  <c r="AR81" i="30"/>
  <c r="AN81" i="30"/>
  <c r="AM80" i="30"/>
  <c r="AV80" i="30"/>
  <c r="AI80" i="30"/>
  <c r="AR80" i="30"/>
  <c r="AN80" i="30"/>
  <c r="AM79" i="30"/>
  <c r="AV79" i="30"/>
  <c r="AI79" i="30"/>
  <c r="AR79" i="30"/>
  <c r="AN79" i="30"/>
  <c r="AM78" i="30"/>
  <c r="AV78" i="30"/>
  <c r="AI78" i="30"/>
  <c r="AR78" i="30"/>
  <c r="AN78" i="30"/>
  <c r="AM77" i="30"/>
  <c r="AV77" i="30"/>
  <c r="AI77" i="30"/>
  <c r="AR77" i="30"/>
  <c r="AN77" i="30"/>
  <c r="AM76" i="30"/>
  <c r="AV76" i="30"/>
  <c r="AI76" i="30"/>
  <c r="AR76" i="30"/>
  <c r="AN76" i="30"/>
  <c r="AM75" i="30"/>
  <c r="AV75" i="30"/>
  <c r="AI75" i="30"/>
  <c r="AR75" i="30"/>
  <c r="AN75" i="30"/>
  <c r="AM74" i="30"/>
  <c r="AV74" i="30"/>
  <c r="AI74" i="30"/>
  <c r="AR74" i="30"/>
  <c r="AN74" i="30"/>
  <c r="AM73" i="30"/>
  <c r="AV73" i="30"/>
  <c r="AI73" i="30"/>
  <c r="AR73" i="30"/>
  <c r="AN73" i="30"/>
  <c r="AM72" i="30"/>
  <c r="AV72" i="30"/>
  <c r="AI72" i="30"/>
  <c r="AR72" i="30"/>
  <c r="AN72" i="30"/>
  <c r="AM71" i="30"/>
  <c r="AV71" i="30"/>
  <c r="AI71" i="30"/>
  <c r="AR71" i="30"/>
  <c r="AN71" i="30"/>
  <c r="AM70" i="30"/>
  <c r="AV70" i="30"/>
  <c r="AI70" i="30"/>
  <c r="AR70" i="30"/>
  <c r="AN70" i="30"/>
  <c r="AM69" i="30"/>
  <c r="AV69" i="30"/>
  <c r="AI69" i="30"/>
  <c r="AR69" i="30"/>
  <c r="AN69" i="30"/>
  <c r="AM68" i="30"/>
  <c r="AV68" i="30"/>
  <c r="AI68" i="30"/>
  <c r="AR68" i="30"/>
  <c r="AN68" i="30"/>
  <c r="AM67" i="30"/>
  <c r="AV67" i="30"/>
  <c r="AI67" i="30"/>
  <c r="AR67" i="30"/>
  <c r="AN67" i="30"/>
  <c r="AM66" i="30"/>
  <c r="AV66" i="30"/>
  <c r="AI66" i="30"/>
  <c r="AR66" i="30"/>
  <c r="AN66" i="30"/>
  <c r="AM65" i="30"/>
  <c r="AV65" i="30"/>
  <c r="AI65" i="30"/>
  <c r="AR65" i="30"/>
  <c r="AN65" i="30"/>
  <c r="AM64" i="30"/>
  <c r="AV64" i="30"/>
  <c r="AI64" i="30"/>
  <c r="AR64" i="30"/>
  <c r="AN64" i="30"/>
  <c r="AM63" i="30"/>
  <c r="AV63" i="30"/>
  <c r="AI63" i="30"/>
  <c r="AR63" i="30"/>
  <c r="AN63" i="30"/>
  <c r="AM62" i="30"/>
  <c r="AV62" i="30"/>
  <c r="AI62" i="30"/>
  <c r="AR62" i="30"/>
  <c r="AN62" i="30"/>
  <c r="AM61" i="30"/>
  <c r="AV61" i="30"/>
  <c r="AI61" i="30"/>
  <c r="AR61" i="30"/>
  <c r="AN61" i="30"/>
  <c r="AM60" i="30"/>
  <c r="AV60" i="30"/>
  <c r="AI60" i="30"/>
  <c r="AR60" i="30"/>
  <c r="AN60" i="30"/>
  <c r="AM59" i="30"/>
  <c r="AV59" i="30"/>
  <c r="AI59" i="30"/>
  <c r="AR59" i="30"/>
  <c r="AN59" i="30"/>
  <c r="AM58" i="30"/>
  <c r="AV58" i="30"/>
  <c r="AI58" i="30"/>
  <c r="AR58" i="30"/>
  <c r="AN58" i="30"/>
  <c r="AM57" i="30"/>
  <c r="AV57" i="30"/>
  <c r="AI57" i="30"/>
  <c r="AR57" i="30"/>
  <c r="AN57" i="30"/>
  <c r="AM56" i="30"/>
  <c r="AV56" i="30"/>
  <c r="AI56" i="30"/>
  <c r="AR56" i="30"/>
  <c r="AN56" i="30"/>
  <c r="AM55" i="30"/>
  <c r="AV55" i="30"/>
  <c r="AI55" i="30"/>
  <c r="AR55" i="30"/>
  <c r="AN55" i="30"/>
  <c r="AM54" i="30"/>
  <c r="AV54" i="30"/>
  <c r="AI54" i="30"/>
  <c r="AR54" i="30"/>
  <c r="AN54" i="30"/>
  <c r="AM53" i="30"/>
  <c r="AV53" i="30"/>
  <c r="AI53" i="30"/>
  <c r="AR53" i="30"/>
  <c r="AN53" i="30"/>
  <c r="AM52" i="30"/>
  <c r="AV52" i="30"/>
  <c r="AI52" i="30"/>
  <c r="AR52" i="30"/>
  <c r="AN52" i="30"/>
  <c r="AM51" i="30"/>
  <c r="AV51" i="30"/>
  <c r="AI51" i="30"/>
  <c r="AR51" i="30"/>
  <c r="AN51" i="30"/>
  <c r="AM50" i="30"/>
  <c r="AV50" i="30"/>
  <c r="AI50" i="30"/>
  <c r="AR50" i="30"/>
  <c r="AN50" i="30"/>
  <c r="AM49" i="30"/>
  <c r="AV49" i="30"/>
  <c r="AI49" i="30"/>
  <c r="AR49" i="30"/>
  <c r="AN49" i="30"/>
  <c r="AM48" i="30"/>
  <c r="AV48" i="30"/>
  <c r="AI48" i="30"/>
  <c r="AR48" i="30"/>
  <c r="AN48" i="30"/>
  <c r="AM47" i="30"/>
  <c r="AV47" i="30"/>
  <c r="AN47" i="30"/>
  <c r="AM46" i="30"/>
  <c r="AV46" i="30"/>
  <c r="AN46" i="30"/>
  <c r="AM45" i="30"/>
  <c r="AV45" i="30"/>
  <c r="AN45" i="30"/>
  <c r="AM44" i="30"/>
  <c r="AV44" i="30"/>
  <c r="AN44" i="30"/>
  <c r="AM43" i="30"/>
  <c r="AV43" i="30"/>
  <c r="AN43" i="30"/>
  <c r="AM42" i="30"/>
  <c r="AV42" i="30"/>
  <c r="AN42" i="30"/>
  <c r="AM41" i="30"/>
  <c r="AV41" i="30"/>
  <c r="AN41" i="30"/>
  <c r="AM40" i="30"/>
  <c r="AV40" i="30"/>
  <c r="AN40" i="30"/>
  <c r="AM39" i="30"/>
  <c r="AV39" i="30"/>
  <c r="AN39" i="30"/>
  <c r="AM38" i="30"/>
  <c r="AV38" i="30"/>
  <c r="AN38" i="30"/>
  <c r="AM37" i="30"/>
  <c r="AV37" i="30"/>
  <c r="AN37" i="30"/>
  <c r="AM36" i="30"/>
  <c r="AV36" i="30"/>
  <c r="AN36" i="30"/>
  <c r="AM35" i="30"/>
  <c r="AV35" i="30"/>
  <c r="AN35" i="30"/>
  <c r="AM34" i="30"/>
  <c r="AV34" i="30"/>
  <c r="AN34" i="30"/>
  <c r="AM33" i="30"/>
  <c r="AV33" i="30"/>
  <c r="AN33" i="30"/>
  <c r="AM32" i="30"/>
  <c r="AV32" i="30"/>
  <c r="AN32" i="30"/>
  <c r="AM31" i="30"/>
  <c r="AV31" i="30"/>
  <c r="AN31" i="30"/>
  <c r="AM30" i="30"/>
  <c r="AV30" i="30"/>
  <c r="AN30" i="30"/>
  <c r="AM29" i="30"/>
  <c r="AV29" i="30"/>
  <c r="AN29" i="30"/>
  <c r="AM28" i="30"/>
  <c r="AV28" i="30"/>
  <c r="AN28" i="30"/>
  <c r="AM27" i="30"/>
  <c r="AV27" i="30"/>
  <c r="AN27" i="30"/>
  <c r="AM26" i="30"/>
  <c r="AV26" i="30"/>
  <c r="AN26" i="30"/>
  <c r="AM25" i="30"/>
  <c r="AV25" i="30"/>
  <c r="AN25" i="30"/>
  <c r="AM24" i="30"/>
  <c r="AV24" i="30"/>
  <c r="AN24" i="30"/>
  <c r="AM23" i="30"/>
  <c r="AV23" i="30"/>
  <c r="AN23" i="30"/>
  <c r="AM22" i="30"/>
  <c r="AV22" i="30"/>
  <c r="AN22" i="30"/>
  <c r="AM21" i="30"/>
  <c r="AV21" i="30"/>
  <c r="AN21" i="30"/>
  <c r="AM20" i="30"/>
  <c r="AV20" i="30"/>
  <c r="AN20" i="30"/>
  <c r="AM19" i="30"/>
  <c r="AV19" i="30"/>
  <c r="AN19" i="30"/>
  <c r="AM18" i="30"/>
  <c r="AV18" i="30"/>
  <c r="AN18" i="30"/>
  <c r="AM17" i="30"/>
  <c r="AV17" i="30"/>
  <c r="AN17" i="30"/>
  <c r="AM16" i="30"/>
  <c r="AV16" i="30"/>
  <c r="AN16" i="30"/>
  <c r="AM15" i="30"/>
  <c r="AV15" i="30"/>
  <c r="AN15" i="30"/>
  <c r="AM14" i="30"/>
  <c r="AV14" i="30"/>
  <c r="AN14" i="30"/>
  <c r="AV13" i="30"/>
  <c r="AI13" i="30"/>
  <c r="AR13" i="30"/>
  <c r="AN13" i="30"/>
  <c r="AD169" i="30"/>
  <c r="AD168" i="30"/>
  <c r="AD167" i="30"/>
  <c r="AD166" i="30"/>
  <c r="AD165" i="30"/>
  <c r="AD164" i="30"/>
  <c r="AD163" i="30"/>
  <c r="AD162" i="30"/>
  <c r="AD161" i="30"/>
  <c r="AD160" i="30"/>
  <c r="AD159" i="30"/>
  <c r="AD158" i="30"/>
  <c r="AD157" i="30"/>
  <c r="AD156" i="30"/>
  <c r="AD155" i="30"/>
  <c r="AD154" i="30"/>
  <c r="AD153" i="30"/>
  <c r="AD152" i="30"/>
  <c r="AD151" i="30"/>
  <c r="AD150" i="30"/>
  <c r="AD149" i="30"/>
  <c r="AD148" i="30"/>
  <c r="AD147" i="30"/>
  <c r="AD146" i="30"/>
  <c r="AD145" i="30"/>
  <c r="AD144" i="30"/>
  <c r="AD143" i="30"/>
  <c r="AD142" i="30"/>
  <c r="AD141" i="30"/>
  <c r="AD140" i="30"/>
  <c r="AD139" i="30"/>
  <c r="AD138" i="30"/>
  <c r="AD137" i="30"/>
  <c r="AD136" i="30"/>
  <c r="AD135" i="30"/>
  <c r="AD134" i="30"/>
  <c r="AD133" i="30"/>
  <c r="AD132" i="30"/>
  <c r="AD131" i="30"/>
  <c r="AD130" i="30"/>
  <c r="AD129" i="30"/>
  <c r="AD128" i="30"/>
  <c r="AD127" i="30"/>
  <c r="AD126" i="30"/>
  <c r="AD125" i="30"/>
  <c r="AD124" i="30"/>
  <c r="AD123" i="30"/>
  <c r="AD122" i="30"/>
  <c r="AD121" i="30"/>
  <c r="AD120" i="30"/>
  <c r="AD119" i="30"/>
  <c r="AD118" i="30"/>
  <c r="AD117" i="30"/>
  <c r="AD116" i="30"/>
  <c r="AD115" i="30"/>
  <c r="AD114" i="30"/>
  <c r="AD113" i="30"/>
  <c r="AD112" i="30"/>
  <c r="AD111" i="30"/>
  <c r="AD110" i="30"/>
  <c r="AD109" i="30"/>
  <c r="AD108" i="30"/>
  <c r="AD107" i="30"/>
  <c r="AD105" i="30"/>
  <c r="AD104" i="30"/>
  <c r="AD103" i="30"/>
  <c r="AD102" i="30"/>
  <c r="AD101" i="30"/>
  <c r="AD100" i="30"/>
  <c r="AD99" i="30"/>
  <c r="AD98" i="30"/>
  <c r="AD97" i="30"/>
  <c r="AD96" i="30"/>
  <c r="AD95" i="30"/>
  <c r="AD94" i="30"/>
  <c r="AD93" i="30"/>
  <c r="AD92" i="30"/>
  <c r="AD91" i="30"/>
  <c r="AD90" i="30"/>
  <c r="AD89" i="30"/>
  <c r="AD88" i="30"/>
  <c r="AD87" i="30"/>
  <c r="AD86" i="30"/>
  <c r="AD85" i="30"/>
  <c r="AD84" i="30"/>
  <c r="AD83" i="30"/>
  <c r="AD82" i="30"/>
  <c r="AD81" i="30"/>
  <c r="AD80" i="30"/>
  <c r="AD79" i="30"/>
  <c r="AD78" i="30"/>
  <c r="AD77" i="30"/>
  <c r="AD76" i="30"/>
  <c r="AD75" i="30"/>
  <c r="AD74" i="30"/>
  <c r="AD73" i="30"/>
  <c r="AD72" i="30"/>
  <c r="AD71" i="30"/>
  <c r="AD70" i="30"/>
  <c r="AD69" i="30"/>
  <c r="AD68" i="30"/>
  <c r="AD67" i="30"/>
  <c r="AD66" i="30"/>
  <c r="AD65" i="30"/>
  <c r="AD64" i="30"/>
  <c r="AD63" i="30"/>
  <c r="AD62" i="30"/>
  <c r="AD61" i="30"/>
  <c r="AD60" i="30"/>
  <c r="AD59" i="30"/>
  <c r="AD58" i="30"/>
  <c r="AD57" i="30"/>
  <c r="AD56" i="30"/>
  <c r="AD55" i="30"/>
  <c r="AD54" i="30"/>
  <c r="AD53" i="30"/>
  <c r="AD52" i="30"/>
  <c r="AD51" i="30"/>
  <c r="AD50" i="30"/>
  <c r="AD49" i="30"/>
  <c r="AD48" i="30"/>
  <c r="AD13" i="30"/>
  <c r="T169" i="30"/>
  <c r="U169" i="30"/>
  <c r="AC169" i="30"/>
  <c r="T168" i="30"/>
  <c r="U168" i="30"/>
  <c r="AC168" i="30"/>
  <c r="T167" i="30"/>
  <c r="U167" i="30"/>
  <c r="AC167" i="30"/>
  <c r="T166" i="30"/>
  <c r="U166" i="30"/>
  <c r="AC166" i="30"/>
  <c r="T165" i="30"/>
  <c r="U165" i="30"/>
  <c r="AC165" i="30"/>
  <c r="T164" i="30"/>
  <c r="U164" i="30"/>
  <c r="AC164" i="30"/>
  <c r="T163" i="30"/>
  <c r="U163" i="30"/>
  <c r="AC163" i="30"/>
  <c r="T162" i="30"/>
  <c r="U162" i="30"/>
  <c r="AC162" i="30"/>
  <c r="T161" i="30"/>
  <c r="U161" i="30"/>
  <c r="AC161" i="30"/>
  <c r="T160" i="30"/>
  <c r="U160" i="30"/>
  <c r="AC160" i="30"/>
  <c r="T159" i="30"/>
  <c r="U159" i="30"/>
  <c r="AC159" i="30"/>
  <c r="T158" i="30"/>
  <c r="U158" i="30"/>
  <c r="AC158" i="30"/>
  <c r="T157" i="30"/>
  <c r="U157" i="30"/>
  <c r="AC157" i="30"/>
  <c r="T156" i="30"/>
  <c r="U156" i="30"/>
  <c r="AC156" i="30"/>
  <c r="T155" i="30"/>
  <c r="U155" i="30"/>
  <c r="AC155" i="30"/>
  <c r="T154" i="30"/>
  <c r="U154" i="30"/>
  <c r="AC154" i="30"/>
  <c r="T153" i="30"/>
  <c r="U153" i="30"/>
  <c r="AC153" i="30"/>
  <c r="T152" i="30"/>
  <c r="U152" i="30"/>
  <c r="AC152" i="30"/>
  <c r="T151" i="30"/>
  <c r="U151" i="30"/>
  <c r="AC151" i="30"/>
  <c r="T150" i="30"/>
  <c r="U150" i="30"/>
  <c r="AC150" i="30"/>
  <c r="T149" i="30"/>
  <c r="U149" i="30"/>
  <c r="AC149" i="30"/>
  <c r="T148" i="30"/>
  <c r="U148" i="30"/>
  <c r="AC148" i="30"/>
  <c r="T147" i="30"/>
  <c r="U147" i="30"/>
  <c r="AC147" i="30"/>
  <c r="T146" i="30"/>
  <c r="U146" i="30"/>
  <c r="AC146" i="30"/>
  <c r="T145" i="30"/>
  <c r="U145" i="30"/>
  <c r="AC145" i="30"/>
  <c r="T144" i="30"/>
  <c r="U144" i="30"/>
  <c r="AC144" i="30"/>
  <c r="T143" i="30"/>
  <c r="U143" i="30"/>
  <c r="AC143" i="30"/>
  <c r="T142" i="30"/>
  <c r="U142" i="30"/>
  <c r="AC142" i="30"/>
  <c r="T141" i="30"/>
  <c r="U141" i="30"/>
  <c r="AC141" i="30"/>
  <c r="T140" i="30"/>
  <c r="U140" i="30"/>
  <c r="AC140" i="30"/>
  <c r="T139" i="30"/>
  <c r="U139" i="30"/>
  <c r="AC139" i="30"/>
  <c r="T138" i="30"/>
  <c r="U138" i="30"/>
  <c r="AC138" i="30"/>
  <c r="T137" i="30"/>
  <c r="U137" i="30"/>
  <c r="AC137" i="30"/>
  <c r="T136" i="30"/>
  <c r="U136" i="30"/>
  <c r="AC136" i="30"/>
  <c r="T135" i="30"/>
  <c r="U135" i="30"/>
  <c r="AC135" i="30"/>
  <c r="T134" i="30"/>
  <c r="U134" i="30"/>
  <c r="AC134" i="30"/>
  <c r="T133" i="30"/>
  <c r="U133" i="30"/>
  <c r="AC133" i="30"/>
  <c r="T132" i="30"/>
  <c r="U132" i="30"/>
  <c r="AC132" i="30"/>
  <c r="T131" i="30"/>
  <c r="U131" i="30"/>
  <c r="AC131" i="30"/>
  <c r="T130" i="30"/>
  <c r="U130" i="30"/>
  <c r="AC130" i="30"/>
  <c r="T129" i="30"/>
  <c r="U129" i="30"/>
  <c r="AC129" i="30"/>
  <c r="T128" i="30"/>
  <c r="U128" i="30"/>
  <c r="AC128" i="30"/>
  <c r="T127" i="30"/>
  <c r="U127" i="30"/>
  <c r="AC127" i="30"/>
  <c r="T126" i="30"/>
  <c r="U126" i="30"/>
  <c r="AC126" i="30"/>
  <c r="T125" i="30"/>
  <c r="U125" i="30"/>
  <c r="AC125" i="30"/>
  <c r="T124" i="30"/>
  <c r="U124" i="30"/>
  <c r="AC124" i="30"/>
  <c r="T123" i="30"/>
  <c r="U123" i="30"/>
  <c r="AC123" i="30"/>
  <c r="T122" i="30"/>
  <c r="U122" i="30"/>
  <c r="AC122" i="30"/>
  <c r="T121" i="30"/>
  <c r="U121" i="30"/>
  <c r="AC121" i="30"/>
  <c r="T120" i="30"/>
  <c r="U120" i="30"/>
  <c r="AC120" i="30"/>
  <c r="T119" i="30"/>
  <c r="U119" i="30"/>
  <c r="AC119" i="30"/>
  <c r="T118" i="30"/>
  <c r="U118" i="30"/>
  <c r="AC118" i="30"/>
  <c r="T117" i="30"/>
  <c r="U117" i="30"/>
  <c r="AC117" i="30"/>
  <c r="T116" i="30"/>
  <c r="U116" i="30"/>
  <c r="AC116" i="30"/>
  <c r="T115" i="30"/>
  <c r="U115" i="30"/>
  <c r="AC115" i="30"/>
  <c r="T114" i="30"/>
  <c r="U114" i="30"/>
  <c r="AC114" i="30"/>
  <c r="T113" i="30"/>
  <c r="U113" i="30"/>
  <c r="AC113" i="30"/>
  <c r="T112" i="30"/>
  <c r="U112" i="30"/>
  <c r="AC112" i="30"/>
  <c r="T111" i="30"/>
  <c r="U111" i="30"/>
  <c r="AC111" i="30"/>
  <c r="T110" i="30"/>
  <c r="U110" i="30"/>
  <c r="AC110" i="30"/>
  <c r="T109" i="30"/>
  <c r="U109" i="30"/>
  <c r="AC109" i="30"/>
  <c r="T108" i="30"/>
  <c r="U108" i="30"/>
  <c r="AC108" i="30"/>
  <c r="T107" i="30"/>
  <c r="U107" i="30"/>
  <c r="AC107" i="30"/>
  <c r="T106" i="30"/>
  <c r="U106" i="30"/>
  <c r="AC106" i="30"/>
  <c r="T105" i="30"/>
  <c r="U105" i="30"/>
  <c r="AC105" i="30"/>
  <c r="T104" i="30"/>
  <c r="U104" i="30"/>
  <c r="AC104" i="30"/>
  <c r="T103" i="30"/>
  <c r="U103" i="30"/>
  <c r="AC103" i="30"/>
  <c r="T102" i="30"/>
  <c r="U102" i="30"/>
  <c r="AC102" i="30"/>
  <c r="T101" i="30"/>
  <c r="U101" i="30"/>
  <c r="AC101" i="30"/>
  <c r="T100" i="30"/>
  <c r="U100" i="30"/>
  <c r="AC100" i="30"/>
  <c r="T99" i="30"/>
  <c r="U99" i="30"/>
  <c r="AC99" i="30"/>
  <c r="T98" i="30"/>
  <c r="U98" i="30"/>
  <c r="AC98" i="30"/>
  <c r="T97" i="30"/>
  <c r="U97" i="30"/>
  <c r="AC97" i="30"/>
  <c r="T96" i="30"/>
  <c r="U96" i="30"/>
  <c r="AC96" i="30"/>
  <c r="T95" i="30"/>
  <c r="U95" i="30"/>
  <c r="AC95" i="30"/>
  <c r="T94" i="30"/>
  <c r="U94" i="30"/>
  <c r="AC94" i="30"/>
  <c r="T93" i="30"/>
  <c r="U93" i="30"/>
  <c r="AC93" i="30"/>
  <c r="T92" i="30"/>
  <c r="U92" i="30"/>
  <c r="AC92" i="30"/>
  <c r="T91" i="30"/>
  <c r="U91" i="30"/>
  <c r="AC91" i="30"/>
  <c r="T90" i="30"/>
  <c r="U90" i="30"/>
  <c r="AC90" i="30"/>
  <c r="T89" i="30"/>
  <c r="U89" i="30"/>
  <c r="AC89" i="30"/>
  <c r="T88" i="30"/>
  <c r="U88" i="30"/>
  <c r="AC88" i="30"/>
  <c r="T87" i="30"/>
  <c r="U87" i="30"/>
  <c r="AC87" i="30"/>
  <c r="T86" i="30"/>
  <c r="U86" i="30"/>
  <c r="AC86" i="30"/>
  <c r="T85" i="30"/>
  <c r="U85" i="30"/>
  <c r="AC85" i="30"/>
  <c r="T84" i="30"/>
  <c r="U84" i="30"/>
  <c r="AC84" i="30"/>
  <c r="T83" i="30"/>
  <c r="U83" i="30"/>
  <c r="AC83" i="30"/>
  <c r="T82" i="30"/>
  <c r="U82" i="30"/>
  <c r="AC82" i="30"/>
  <c r="T81" i="30"/>
  <c r="U81" i="30"/>
  <c r="AC81" i="30"/>
  <c r="T80" i="30"/>
  <c r="U80" i="30"/>
  <c r="AC80" i="30"/>
  <c r="T79" i="30"/>
  <c r="U79" i="30"/>
  <c r="AC79" i="30"/>
  <c r="T78" i="30"/>
  <c r="U78" i="30"/>
  <c r="AC78" i="30"/>
  <c r="T77" i="30"/>
  <c r="U77" i="30"/>
  <c r="AC77" i="30"/>
  <c r="T76" i="30"/>
  <c r="U76" i="30"/>
  <c r="AC76" i="30"/>
  <c r="T75" i="30"/>
  <c r="U75" i="30"/>
  <c r="AC75" i="30"/>
  <c r="T74" i="30"/>
  <c r="U74" i="30"/>
  <c r="AC74" i="30"/>
  <c r="T73" i="30"/>
  <c r="U73" i="30"/>
  <c r="AC73" i="30"/>
  <c r="T72" i="30"/>
  <c r="U72" i="30"/>
  <c r="AC72" i="30"/>
  <c r="T71" i="30"/>
  <c r="U71" i="30"/>
  <c r="AC71" i="30"/>
  <c r="T70" i="30"/>
  <c r="U70" i="30"/>
  <c r="AC70" i="30"/>
  <c r="T69" i="30"/>
  <c r="U69" i="30"/>
  <c r="AC69" i="30"/>
  <c r="T68" i="30"/>
  <c r="U68" i="30"/>
  <c r="AC68" i="30"/>
  <c r="T67" i="30"/>
  <c r="U67" i="30"/>
  <c r="AC67" i="30"/>
  <c r="T66" i="30"/>
  <c r="U66" i="30"/>
  <c r="AC66" i="30"/>
  <c r="T65" i="30"/>
  <c r="U65" i="30"/>
  <c r="AC65" i="30"/>
  <c r="T64" i="30"/>
  <c r="U64" i="30"/>
  <c r="AC64" i="30"/>
  <c r="T63" i="30"/>
  <c r="U63" i="30"/>
  <c r="AC63" i="30"/>
  <c r="T62" i="30"/>
  <c r="U62" i="30"/>
  <c r="AC62" i="30"/>
  <c r="T61" i="30"/>
  <c r="U61" i="30"/>
  <c r="AC61" i="30"/>
  <c r="T60" i="30"/>
  <c r="U60" i="30"/>
  <c r="AC60" i="30"/>
  <c r="T59" i="30"/>
  <c r="U59" i="30"/>
  <c r="AC59" i="30"/>
  <c r="T58" i="30"/>
  <c r="U58" i="30"/>
  <c r="AC58" i="30"/>
  <c r="T57" i="30"/>
  <c r="U57" i="30"/>
  <c r="AC57" i="30"/>
  <c r="T56" i="30"/>
  <c r="U56" i="30"/>
  <c r="AC56" i="30"/>
  <c r="T55" i="30"/>
  <c r="U55" i="30"/>
  <c r="AC55" i="30"/>
  <c r="T54" i="30"/>
  <c r="U54" i="30"/>
  <c r="AC54" i="30"/>
  <c r="T53" i="30"/>
  <c r="U53" i="30"/>
  <c r="AC53" i="30"/>
  <c r="T52" i="30"/>
  <c r="U52" i="30"/>
  <c r="AC52" i="30"/>
  <c r="T51" i="30"/>
  <c r="U51" i="30"/>
  <c r="AC51" i="30"/>
  <c r="T50" i="30"/>
  <c r="U50" i="30"/>
  <c r="AC50" i="30"/>
  <c r="T49" i="30"/>
  <c r="U49" i="30"/>
  <c r="AC49" i="30"/>
  <c r="T48" i="30"/>
  <c r="U48" i="30"/>
  <c r="AC48" i="30"/>
  <c r="T47" i="30"/>
  <c r="U47" i="30"/>
  <c r="AC47" i="30"/>
  <c r="T46" i="30"/>
  <c r="U46" i="30"/>
  <c r="AC46" i="30"/>
  <c r="T45" i="30"/>
  <c r="U45" i="30"/>
  <c r="AC45" i="30"/>
  <c r="T44" i="30"/>
  <c r="U44" i="30"/>
  <c r="AC44" i="30"/>
  <c r="T43" i="30"/>
  <c r="U43" i="30"/>
  <c r="AC43" i="30"/>
  <c r="T42" i="30"/>
  <c r="U42" i="30"/>
  <c r="AC42" i="30"/>
  <c r="T41" i="30"/>
  <c r="U41" i="30"/>
  <c r="AC41" i="30"/>
  <c r="T40" i="30"/>
  <c r="U40" i="30"/>
  <c r="AC40" i="30"/>
  <c r="T39" i="30"/>
  <c r="U39" i="30"/>
  <c r="AC39" i="30"/>
  <c r="T38" i="30"/>
  <c r="U38" i="30"/>
  <c r="AC38" i="30"/>
  <c r="T37" i="30"/>
  <c r="U37" i="30"/>
  <c r="AC37" i="30"/>
  <c r="T36" i="30"/>
  <c r="U36" i="30"/>
  <c r="AC36" i="30"/>
  <c r="T35" i="30"/>
  <c r="U35" i="30"/>
  <c r="AC35" i="30"/>
  <c r="T34" i="30"/>
  <c r="U34" i="30"/>
  <c r="AC34" i="30"/>
  <c r="T33" i="30"/>
  <c r="U33" i="30"/>
  <c r="AC33" i="30"/>
  <c r="T32" i="30"/>
  <c r="U32" i="30"/>
  <c r="AC32" i="30"/>
  <c r="T31" i="30"/>
  <c r="U31" i="30"/>
  <c r="AC31" i="30"/>
  <c r="T30" i="30"/>
  <c r="U30" i="30"/>
  <c r="AC30" i="30"/>
  <c r="T29" i="30"/>
  <c r="U29" i="30"/>
  <c r="AC29" i="30"/>
  <c r="T28" i="30"/>
  <c r="U28" i="30"/>
  <c r="AC28" i="30"/>
  <c r="T27" i="30"/>
  <c r="U27" i="30"/>
  <c r="AC27" i="30"/>
  <c r="T26" i="30"/>
  <c r="U26" i="30"/>
  <c r="AC26" i="30"/>
  <c r="T25" i="30"/>
  <c r="U25" i="30"/>
  <c r="AC25" i="30"/>
  <c r="T24" i="30"/>
  <c r="U24" i="30"/>
  <c r="AC24" i="30"/>
  <c r="T23" i="30"/>
  <c r="U23" i="30"/>
  <c r="AC23" i="30"/>
  <c r="T22" i="30"/>
  <c r="U22" i="30"/>
  <c r="AC22" i="30"/>
  <c r="T21" i="30"/>
  <c r="U21" i="30"/>
  <c r="AC21" i="30"/>
  <c r="T20" i="30"/>
  <c r="U20" i="30"/>
  <c r="AC20" i="30"/>
  <c r="T19" i="30"/>
  <c r="U19" i="30"/>
  <c r="AC19" i="30"/>
  <c r="T18" i="30"/>
  <c r="U18" i="30"/>
  <c r="AC18" i="30"/>
  <c r="T17" i="30"/>
  <c r="U17" i="30"/>
  <c r="AC17" i="30"/>
  <c r="T16" i="30"/>
  <c r="U16" i="30"/>
  <c r="AC16" i="30"/>
  <c r="T15" i="30"/>
  <c r="U15" i="30"/>
  <c r="AC15" i="30"/>
  <c r="T14" i="30"/>
  <c r="U14" i="30"/>
  <c r="AC14" i="30"/>
  <c r="T13" i="30"/>
  <c r="U13" i="30"/>
  <c r="AC13" i="30"/>
  <c r="BA105" i="4"/>
  <c r="BA104" i="4"/>
  <c r="BA103" i="4"/>
  <c r="BA102" i="4"/>
  <c r="BA101" i="4"/>
  <c r="BA100" i="4"/>
  <c r="BA99" i="4"/>
  <c r="BA98" i="4"/>
  <c r="BA97" i="4"/>
  <c r="BA96" i="4"/>
  <c r="BA95" i="4"/>
  <c r="BA94" i="4"/>
  <c r="BA93" i="4"/>
  <c r="BA92" i="4"/>
  <c r="BA91" i="4"/>
  <c r="BA90" i="4"/>
  <c r="BA89" i="4"/>
  <c r="BA88" i="4"/>
  <c r="BA87" i="4"/>
  <c r="BA86" i="4"/>
  <c r="BA85" i="4"/>
  <c r="BA84" i="4"/>
  <c r="BA83" i="4"/>
  <c r="BA82" i="4"/>
  <c r="BA81" i="4"/>
  <c r="BA80" i="4"/>
  <c r="BA79" i="4"/>
  <c r="BA71" i="4"/>
  <c r="BA70" i="4"/>
  <c r="BA69" i="4"/>
  <c r="BA68" i="4"/>
  <c r="BA67" i="4"/>
  <c r="BA66" i="4"/>
  <c r="BA65" i="4"/>
  <c r="BA64" i="4"/>
  <c r="BA63" i="4"/>
  <c r="BA62" i="4"/>
  <c r="BA61" i="4"/>
  <c r="BA60" i="4"/>
  <c r="BA59" i="4"/>
  <c r="BA58" i="4"/>
  <c r="BA57" i="4"/>
  <c r="BA56" i="4"/>
  <c r="BA55" i="4"/>
  <c r="BA54" i="4"/>
  <c r="BA53" i="4"/>
  <c r="BA52" i="4"/>
  <c r="BA51" i="4"/>
  <c r="BA50" i="4"/>
  <c r="BA49" i="4"/>
  <c r="BA48"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6" i="4"/>
  <c r="Y26" i="4"/>
  <c r="Z25" i="4"/>
  <c r="Y25" i="4"/>
  <c r="Z24" i="4"/>
  <c r="Y24" i="4"/>
  <c r="Z23" i="4"/>
  <c r="Y23" i="4"/>
  <c r="Z22" i="4"/>
  <c r="Y22" i="4"/>
  <c r="Z21" i="4"/>
  <c r="Y21" i="4"/>
  <c r="Z20" i="4"/>
  <c r="Y20" i="4"/>
  <c r="Z19" i="4"/>
  <c r="Y19" i="4"/>
  <c r="Z18" i="4"/>
  <c r="Y18" i="4"/>
  <c r="Z17" i="4"/>
  <c r="Y17" i="4"/>
  <c r="Z16" i="4"/>
  <c r="Y16" i="4"/>
  <c r="Z14" i="4"/>
  <c r="Y14" i="4"/>
  <c r="BR168" i="4"/>
  <c r="BR167" i="4"/>
  <c r="BR166" i="4"/>
  <c r="BR165" i="4"/>
  <c r="BR164" i="4"/>
  <c r="BR163" i="4"/>
  <c r="BR162" i="4"/>
  <c r="BR161" i="4"/>
  <c r="BR160" i="4"/>
  <c r="BR159" i="4"/>
  <c r="BR158" i="4"/>
  <c r="BR157" i="4"/>
  <c r="BR156" i="4"/>
  <c r="BR155" i="4"/>
  <c r="BR154" i="4"/>
  <c r="BR153" i="4"/>
  <c r="BR152" i="4"/>
  <c r="BR151" i="4"/>
  <c r="BR150" i="4"/>
  <c r="BR149" i="4"/>
  <c r="BR148" i="4"/>
  <c r="BR147" i="4"/>
  <c r="BR144" i="4"/>
  <c r="BR143" i="4"/>
  <c r="BR142" i="4"/>
  <c r="BR141" i="4"/>
  <c r="BR140" i="4"/>
  <c r="BR139" i="4"/>
  <c r="BR138" i="4"/>
  <c r="BR137" i="4"/>
  <c r="BR136" i="4"/>
  <c r="BR135" i="4"/>
  <c r="BR134" i="4"/>
  <c r="BR133" i="4"/>
  <c r="BR132" i="4"/>
  <c r="BR131" i="4"/>
  <c r="BR130" i="4"/>
  <c r="BR129" i="4"/>
  <c r="BR128" i="4"/>
  <c r="BR127" i="4"/>
  <c r="BR126" i="4"/>
  <c r="BR125" i="4"/>
  <c r="BR124" i="4"/>
  <c r="BR123" i="4"/>
  <c r="BR122" i="4"/>
  <c r="BR121" i="4"/>
  <c r="BR120" i="4"/>
  <c r="BR119" i="4"/>
  <c r="BR118" i="4"/>
  <c r="BR117" i="4"/>
  <c r="BR116" i="4"/>
  <c r="BR115" i="4"/>
  <c r="BR114" i="4"/>
  <c r="BR113" i="4"/>
  <c r="BR112" i="4"/>
  <c r="BR111" i="4"/>
  <c r="BR110" i="4"/>
  <c r="BR109" i="4"/>
  <c r="BR108" i="4"/>
  <c r="BR107" i="4"/>
  <c r="BR169" i="4"/>
  <c r="FJ106" i="4"/>
  <c r="FJ105" i="4"/>
  <c r="DM104" i="4"/>
  <c r="DL104" i="4"/>
  <c r="DM103" i="4"/>
  <c r="DL103" i="4"/>
  <c r="DM102" i="4"/>
  <c r="DL102" i="4"/>
  <c r="DM101" i="4"/>
  <c r="DL101" i="4"/>
  <c r="DM100" i="4"/>
  <c r="DL100" i="4"/>
  <c r="DM99" i="4"/>
  <c r="DL99" i="4"/>
  <c r="DM98" i="4"/>
  <c r="DL98" i="4"/>
  <c r="DM97" i="4"/>
  <c r="DL97" i="4"/>
  <c r="DM96" i="4"/>
  <c r="DL96" i="4"/>
  <c r="DM95" i="4"/>
  <c r="DL95" i="4"/>
  <c r="DM94" i="4"/>
  <c r="DL94" i="4"/>
  <c r="DM93" i="4"/>
  <c r="DL93" i="4"/>
  <c r="DM92" i="4"/>
  <c r="DL92" i="4"/>
  <c r="DM91" i="4"/>
  <c r="DL91" i="4"/>
  <c r="DM90" i="4"/>
  <c r="DL90" i="4"/>
  <c r="DM89" i="4"/>
  <c r="DL89" i="4"/>
  <c r="DM88" i="4"/>
  <c r="DL88" i="4"/>
  <c r="DM87" i="4"/>
  <c r="DL87" i="4"/>
  <c r="DM86" i="4"/>
  <c r="DL86" i="4"/>
  <c r="DM85" i="4"/>
  <c r="DL85" i="4"/>
  <c r="DM84" i="4"/>
  <c r="DL84" i="4"/>
  <c r="DM83" i="4"/>
  <c r="DL83" i="4"/>
  <c r="DM82" i="4"/>
  <c r="DL82" i="4"/>
  <c r="DM81" i="4"/>
  <c r="DL81" i="4"/>
  <c r="DM80" i="4"/>
  <c r="DL80" i="4"/>
  <c r="DM79" i="4"/>
  <c r="DL79" i="4"/>
  <c r="DM78" i="4"/>
  <c r="DL78" i="4"/>
  <c r="DM77" i="4"/>
  <c r="DL77" i="4"/>
  <c r="DM76" i="4"/>
  <c r="DL76" i="4"/>
  <c r="DM75" i="4"/>
  <c r="DL75" i="4"/>
  <c r="DM74" i="4"/>
  <c r="DL74" i="4"/>
  <c r="DM73" i="4"/>
  <c r="DL73" i="4"/>
  <c r="DM72" i="4"/>
  <c r="DL72" i="4"/>
  <c r="DM71" i="4"/>
  <c r="DL71" i="4"/>
  <c r="DM70" i="4"/>
  <c r="DL70" i="4"/>
  <c r="DM69" i="4"/>
  <c r="DL69" i="4"/>
  <c r="DM68" i="4"/>
  <c r="DL68" i="4"/>
  <c r="DM67" i="4"/>
  <c r="DL67" i="4"/>
  <c r="DM66" i="4"/>
  <c r="DL66" i="4"/>
  <c r="DM65" i="4"/>
  <c r="DL65" i="4"/>
  <c r="DM64" i="4"/>
  <c r="DL64" i="4"/>
  <c r="DM63" i="4"/>
  <c r="DL63" i="4"/>
  <c r="DM62" i="4"/>
  <c r="DL62" i="4"/>
  <c r="DM61" i="4"/>
  <c r="DL61" i="4"/>
  <c r="DM60" i="4"/>
  <c r="DL60" i="4"/>
  <c r="DM59" i="4"/>
  <c r="DL59" i="4"/>
  <c r="DM58" i="4"/>
  <c r="DL58" i="4"/>
  <c r="DM57" i="4"/>
  <c r="DL57" i="4"/>
  <c r="DM56" i="4"/>
  <c r="DL56" i="4"/>
  <c r="DM55" i="4"/>
  <c r="DL55" i="4"/>
  <c r="DM54" i="4"/>
  <c r="DL54" i="4"/>
  <c r="DM53" i="4"/>
  <c r="DL53" i="4"/>
  <c r="DM52" i="4"/>
  <c r="DL52" i="4"/>
  <c r="DM51" i="4"/>
  <c r="DL51" i="4"/>
  <c r="DM50" i="4"/>
  <c r="DL50" i="4"/>
  <c r="DM49" i="4"/>
  <c r="DL49" i="4"/>
  <c r="DM48" i="4"/>
  <c r="DL48" i="4"/>
  <c r="DM47" i="4"/>
  <c r="DL47" i="4"/>
  <c r="DM46" i="4"/>
  <c r="DM45" i="4"/>
  <c r="DL45" i="4"/>
  <c r="DM44" i="4"/>
  <c r="DL44" i="4"/>
  <c r="DM43" i="4"/>
  <c r="DL43" i="4"/>
  <c r="DM42" i="4"/>
  <c r="DL42" i="4"/>
  <c r="DM41" i="4"/>
  <c r="DL41" i="4"/>
  <c r="DM40" i="4"/>
  <c r="DL40" i="4"/>
  <c r="DM39" i="4"/>
  <c r="DL39" i="4"/>
  <c r="DM38" i="4"/>
  <c r="DL38" i="4"/>
  <c r="DM37" i="4"/>
  <c r="DL37" i="4"/>
  <c r="DM36" i="4"/>
  <c r="DL36" i="4"/>
  <c r="DM35" i="4"/>
  <c r="DL35" i="4"/>
  <c r="DM34" i="4"/>
  <c r="DL34" i="4"/>
  <c r="DM33" i="4"/>
  <c r="DL33" i="4"/>
  <c r="DM32" i="4"/>
  <c r="DL32" i="4"/>
  <c r="DM31" i="4"/>
  <c r="DL31" i="4"/>
  <c r="DM30" i="4"/>
  <c r="DL30" i="4"/>
  <c r="DM29" i="4"/>
  <c r="DL29" i="4"/>
  <c r="DM28" i="4"/>
  <c r="DL28" i="4"/>
  <c r="DM26" i="4"/>
  <c r="DL26" i="4"/>
  <c r="DM25" i="4"/>
  <c r="DL25" i="4"/>
  <c r="DM24" i="4"/>
  <c r="DL24" i="4"/>
  <c r="DM23" i="4"/>
  <c r="DL23" i="4"/>
  <c r="DM22" i="4"/>
  <c r="DL22" i="4"/>
  <c r="DM21" i="4"/>
  <c r="DL21" i="4"/>
  <c r="DM20" i="4"/>
  <c r="DL20" i="4"/>
  <c r="DM19" i="4"/>
  <c r="DL19" i="4"/>
  <c r="DM18" i="4"/>
  <c r="DL18" i="4"/>
  <c r="DM17" i="4"/>
  <c r="DL17" i="4"/>
  <c r="DM16" i="4"/>
  <c r="DL16" i="4"/>
  <c r="DM14" i="4"/>
  <c r="DL14" i="4"/>
  <c r="R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D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55" i="30"/>
  <c r="A56" i="30"/>
  <c r="A57" i="30"/>
  <c r="A58" i="30"/>
  <c r="A59" i="30"/>
  <c r="A60" i="30"/>
  <c r="A61" i="30"/>
  <c r="A62" i="30"/>
  <c r="A63" i="30"/>
  <c r="A64" i="30"/>
  <c r="A65" i="30"/>
  <c r="A66" i="30"/>
  <c r="A67" i="30"/>
  <c r="A68" i="30"/>
  <c r="A69" i="30"/>
  <c r="A70" i="30"/>
  <c r="A71" i="30"/>
  <c r="A72" i="30"/>
  <c r="A73" i="30"/>
  <c r="A74" i="30"/>
  <c r="A75" i="30"/>
  <c r="A76" i="30"/>
  <c r="A77"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R107" i="4"/>
  <c r="BG107" i="4"/>
  <c r="BG106" i="4"/>
  <c r="BG105" i="4"/>
  <c r="BG97" i="4"/>
  <c r="BG96" i="4"/>
  <c r="BG95" i="4"/>
  <c r="BG94" i="4"/>
  <c r="BG93" i="4"/>
  <c r="BG92" i="4"/>
  <c r="BG91" i="4"/>
  <c r="BG90" i="4"/>
  <c r="BG89" i="4"/>
  <c r="BG88" i="4"/>
  <c r="BG87" i="4"/>
  <c r="BG86" i="4"/>
  <c r="BG85" i="4"/>
  <c r="BG84" i="4"/>
  <c r="BG83" i="4"/>
  <c r="BG82" i="4"/>
  <c r="BG81" i="4"/>
  <c r="BG80" i="4"/>
  <c r="BG79" i="4"/>
  <c r="BE124" i="4"/>
  <c r="BE123" i="4"/>
  <c r="BE122" i="4"/>
  <c r="BE121" i="4"/>
  <c r="BE120" i="4"/>
  <c r="BE119" i="4"/>
  <c r="BE118" i="4"/>
  <c r="BE117" i="4"/>
  <c r="BE116" i="4"/>
  <c r="BE115" i="4"/>
  <c r="BE114" i="4"/>
  <c r="BE113" i="4"/>
  <c r="BE112" i="4"/>
  <c r="BE111" i="4"/>
  <c r="BE110" i="4"/>
  <c r="BE109" i="4"/>
  <c r="BE108" i="4"/>
  <c r="BE107" i="4"/>
  <c r="BH124" i="4"/>
  <c r="BH123" i="4"/>
  <c r="BH122" i="4"/>
  <c r="BH121" i="4"/>
  <c r="BH120" i="4"/>
  <c r="BH119" i="4"/>
  <c r="BH118" i="4"/>
  <c r="BH117" i="4"/>
  <c r="BH116" i="4"/>
  <c r="BH115" i="4"/>
  <c r="BH114" i="4"/>
  <c r="BH113" i="4"/>
  <c r="BH112" i="4"/>
  <c r="BH111" i="4"/>
  <c r="BH110" i="4"/>
  <c r="BH109" i="4"/>
  <c r="BH108" i="4"/>
  <c r="BH107" i="4"/>
  <c r="BD124" i="4"/>
  <c r="BD123" i="4"/>
  <c r="BD122" i="4"/>
  <c r="BD121" i="4"/>
  <c r="BD120" i="4"/>
  <c r="BD119" i="4"/>
  <c r="BD118" i="4"/>
  <c r="BD117" i="4"/>
  <c r="BD116" i="4"/>
  <c r="BD115" i="4"/>
  <c r="BD114" i="4"/>
  <c r="BD113" i="4"/>
  <c r="BD112" i="4"/>
  <c r="BD111" i="4"/>
  <c r="BD110" i="4"/>
  <c r="BD109" i="4"/>
  <c r="BD108" i="4"/>
  <c r="BG170" i="29"/>
  <c r="AU170" i="29"/>
  <c r="AU169" i="29"/>
  <c r="AU168" i="29"/>
  <c r="AU167" i="29"/>
  <c r="AU166" i="29"/>
  <c r="AU165" i="29"/>
  <c r="AU164" i="29"/>
  <c r="AU163" i="29"/>
  <c r="AU162" i="29"/>
  <c r="AU161" i="29"/>
  <c r="AU160" i="29"/>
  <c r="AU159" i="29"/>
  <c r="AU158" i="29"/>
  <c r="AU157" i="29"/>
  <c r="AU156" i="29"/>
  <c r="AU155" i="29"/>
  <c r="AU154" i="29"/>
  <c r="AU153" i="29"/>
  <c r="BD153" i="29"/>
  <c r="BB153" i="29"/>
  <c r="K153" i="29"/>
  <c r="AU152" i="29"/>
  <c r="BD152" i="29"/>
  <c r="BB152" i="29"/>
  <c r="M152" i="29"/>
  <c r="K152" i="29"/>
  <c r="AU151" i="29"/>
  <c r="BD151" i="29"/>
  <c r="BB151" i="29"/>
  <c r="M151" i="29"/>
  <c r="K151" i="29"/>
  <c r="AU150" i="29"/>
  <c r="BD150" i="29"/>
  <c r="BB150" i="29"/>
  <c r="M150" i="29"/>
  <c r="K150" i="29"/>
  <c r="AU149" i="29"/>
  <c r="BD149" i="29"/>
  <c r="BB149" i="29"/>
  <c r="M149" i="29"/>
  <c r="K149" i="29"/>
  <c r="AU148" i="29"/>
  <c r="BD148" i="29"/>
  <c r="BB148" i="29"/>
  <c r="M148" i="29"/>
  <c r="K148" i="29"/>
  <c r="AU147" i="29"/>
  <c r="BD147" i="29"/>
  <c r="BB147" i="29"/>
  <c r="M147" i="29"/>
  <c r="K147" i="29"/>
  <c r="BD146" i="29"/>
  <c r="BB146" i="29"/>
  <c r="K146" i="29"/>
  <c r="M144" i="29"/>
  <c r="M143" i="29"/>
  <c r="M142" i="29"/>
  <c r="M141" i="29"/>
  <c r="M140" i="29"/>
  <c r="M139" i="29"/>
  <c r="M138" i="29"/>
  <c r="M137" i="29"/>
  <c r="M136" i="29"/>
  <c r="M135" i="29"/>
  <c r="M134" i="29"/>
  <c r="M133" i="29"/>
  <c r="M132" i="29"/>
  <c r="M131" i="29"/>
  <c r="M130" i="29"/>
  <c r="M129" i="29"/>
  <c r="M128" i="29"/>
  <c r="M127" i="29"/>
  <c r="M126" i="29"/>
  <c r="M125" i="29"/>
  <c r="CP124" i="29"/>
  <c r="CN124" i="29"/>
  <c r="M124" i="29"/>
  <c r="CP123" i="29"/>
  <c r="CN123" i="29"/>
  <c r="M123" i="29"/>
  <c r="CP122" i="29"/>
  <c r="CN122" i="29"/>
  <c r="M122" i="29"/>
  <c r="CP121" i="29"/>
  <c r="DN122" i="4"/>
  <c r="CN121" i="29"/>
  <c r="M121" i="29"/>
  <c r="CP120" i="29"/>
  <c r="CN120" i="29"/>
  <c r="M120" i="29"/>
  <c r="CP119" i="29"/>
  <c r="CN119" i="29"/>
  <c r="M119" i="29"/>
  <c r="CP118" i="29"/>
  <c r="CN118" i="29"/>
  <c r="M118" i="29"/>
  <c r="CP117" i="29"/>
  <c r="CN117" i="29"/>
  <c r="M117" i="29"/>
  <c r="CP116" i="29"/>
  <c r="CN116" i="29"/>
  <c r="M116" i="29"/>
  <c r="CP115" i="29"/>
  <c r="CN115" i="29"/>
  <c r="M115" i="29"/>
  <c r="CP114" i="29"/>
  <c r="CN114" i="29"/>
  <c r="M114" i="29"/>
  <c r="CP113" i="29"/>
  <c r="CN113" i="29"/>
  <c r="M113" i="29"/>
  <c r="CP112" i="29"/>
  <c r="CN112" i="29"/>
  <c r="M112" i="29"/>
  <c r="CP111" i="29"/>
  <c r="CN111" i="29"/>
  <c r="M111" i="29"/>
  <c r="CP110" i="29"/>
  <c r="CN110" i="29"/>
  <c r="M110" i="29"/>
  <c r="CP109" i="29"/>
  <c r="CN109" i="29"/>
  <c r="M109" i="29"/>
  <c r="CP108" i="29"/>
  <c r="CN108" i="29"/>
  <c r="M108" i="29"/>
  <c r="CP107" i="29"/>
  <c r="CN107" i="29"/>
  <c r="M107" i="29"/>
  <c r="CN97" i="29"/>
  <c r="CN96" i="29"/>
  <c r="CN95" i="29"/>
  <c r="CN94" i="29"/>
  <c r="CN93" i="29"/>
  <c r="CN92" i="29"/>
  <c r="CN91" i="29"/>
  <c r="CN90" i="29"/>
  <c r="CN89" i="29"/>
  <c r="CN88" i="29"/>
  <c r="CN87" i="29"/>
  <c r="CN86" i="29"/>
  <c r="CN85" i="29"/>
  <c r="CN84" i="29"/>
  <c r="CN83" i="29"/>
  <c r="CN82" i="29"/>
  <c r="CN81" i="29"/>
  <c r="CN80" i="29"/>
  <c r="CN79" i="29"/>
  <c r="CN78" i="29"/>
  <c r="CN77" i="29"/>
  <c r="CN72" i="29"/>
  <c r="CN71" i="29"/>
  <c r="CN70" i="29"/>
  <c r="CN69" i="29"/>
  <c r="CN68" i="29"/>
  <c r="CN67" i="29"/>
  <c r="CN66" i="29"/>
  <c r="CN65" i="29"/>
  <c r="CN64" i="29"/>
  <c r="CN63" i="29"/>
  <c r="CN62" i="29"/>
  <c r="CN61" i="29"/>
  <c r="CN60" i="29"/>
  <c r="CN59" i="29"/>
  <c r="CN58" i="29"/>
  <c r="CN57" i="29"/>
  <c r="CN56" i="29"/>
  <c r="CN55" i="29"/>
  <c r="CN54" i="29"/>
  <c r="CN53" i="29"/>
  <c r="CN52" i="29"/>
  <c r="CN51" i="29"/>
  <c r="CN50" i="29"/>
  <c r="CN49" i="29"/>
  <c r="CN48" i="29"/>
  <c r="CN47" i="29"/>
  <c r="CN45" i="29"/>
  <c r="CN44" i="29"/>
  <c r="CN43" i="29"/>
  <c r="CN42" i="29"/>
  <c r="CN41" i="29"/>
  <c r="CN40" i="29"/>
  <c r="CN39" i="29"/>
  <c r="CN38" i="29"/>
  <c r="CN37" i="29"/>
  <c r="CN36" i="29"/>
  <c r="CN35" i="29"/>
  <c r="CN34" i="29"/>
  <c r="CN33" i="29"/>
  <c r="CN32" i="29"/>
  <c r="CN31" i="29"/>
  <c r="CN30" i="29"/>
  <c r="CN29" i="29"/>
  <c r="CN28" i="29"/>
  <c r="CN26" i="29"/>
  <c r="CN25" i="29"/>
  <c r="CN24" i="29"/>
  <c r="CN23" i="29"/>
  <c r="CN22" i="29"/>
  <c r="CN21" i="29"/>
  <c r="CN20" i="29"/>
  <c r="CN19" i="29"/>
  <c r="CN18" i="29"/>
  <c r="CN17" i="29"/>
  <c r="CN16" i="29"/>
  <c r="CN1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55" i="29"/>
  <c r="A56" i="29"/>
  <c r="A57" i="29"/>
  <c r="A58" i="29"/>
  <c r="A59" i="29"/>
  <c r="A60" i="29"/>
  <c r="A61" i="29"/>
  <c r="A62" i="29"/>
  <c r="A63" i="29"/>
  <c r="A64" i="29"/>
  <c r="A65" i="29"/>
  <c r="A66" i="29"/>
  <c r="A67" i="29"/>
  <c r="A68" i="29"/>
  <c r="A69" i="29"/>
  <c r="A70" i="29"/>
  <c r="A71" i="29"/>
  <c r="A72" i="29"/>
  <c r="A73" i="29"/>
  <c r="A74" i="29"/>
  <c r="A75" i="29"/>
  <c r="A76" i="29"/>
  <c r="A77"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BD107" i="4"/>
  <c r="BL105" i="4"/>
  <c r="BL104" i="4"/>
  <c r="BL103" i="4"/>
  <c r="BL102" i="4"/>
  <c r="BL101" i="4"/>
  <c r="BL100" i="4"/>
  <c r="BL99" i="4"/>
  <c r="BL98" i="4"/>
  <c r="BL97" i="4"/>
  <c r="BL96" i="4"/>
  <c r="BL95" i="4"/>
  <c r="BL94" i="4"/>
  <c r="BL93" i="4"/>
  <c r="BL92" i="4"/>
  <c r="BL91" i="4"/>
  <c r="BL90" i="4"/>
  <c r="BL89" i="4"/>
  <c r="BL88" i="4"/>
  <c r="BL87" i="4"/>
  <c r="BL86" i="4"/>
  <c r="BL85" i="4"/>
  <c r="BL84" i="4"/>
  <c r="BL83" i="4"/>
  <c r="BL82" i="4"/>
  <c r="BL81" i="4"/>
  <c r="BL80" i="4"/>
  <c r="BL79" i="4"/>
  <c r="BL78" i="4"/>
  <c r="BL77" i="4"/>
  <c r="BL76" i="4"/>
  <c r="BL75" i="4"/>
  <c r="BL74" i="4"/>
  <c r="BL73" i="4"/>
  <c r="BL72" i="4"/>
  <c r="BL71" i="4"/>
  <c r="BL70" i="4"/>
  <c r="BL69" i="4"/>
  <c r="BL68" i="4"/>
  <c r="BL67" i="4"/>
  <c r="BL66" i="4"/>
  <c r="BL65" i="4"/>
  <c r="BL64" i="4"/>
  <c r="BL63" i="4"/>
  <c r="BL62" i="4"/>
  <c r="BL61" i="4"/>
  <c r="BL60" i="4"/>
  <c r="BL59" i="4"/>
  <c r="BL58" i="4"/>
  <c r="BL57" i="4"/>
  <c r="BL56" i="4"/>
  <c r="BL55" i="4"/>
  <c r="BL54" i="4"/>
  <c r="BL53" i="4"/>
  <c r="BL52" i="4"/>
  <c r="BL51" i="4"/>
  <c r="BL50" i="4"/>
  <c r="BL49" i="4"/>
  <c r="BL48" i="4"/>
  <c r="BL47" i="4"/>
  <c r="BL46" i="4"/>
  <c r="BL45" i="4"/>
  <c r="BL44" i="4"/>
  <c r="BL43" i="4"/>
  <c r="BL42" i="4"/>
  <c r="BL41" i="4"/>
  <c r="BL40" i="4"/>
  <c r="BL39" i="4"/>
  <c r="BL38" i="4"/>
  <c r="BL37" i="4"/>
  <c r="BL36" i="4"/>
  <c r="BL35" i="4"/>
  <c r="BL34" i="4"/>
  <c r="BL33" i="4"/>
  <c r="BL32" i="4"/>
  <c r="BL31" i="4"/>
  <c r="BL30" i="4"/>
  <c r="BL29" i="4"/>
  <c r="BL28" i="4"/>
  <c r="BL27" i="4"/>
  <c r="BL26" i="4"/>
  <c r="BL25" i="4"/>
  <c r="BL24" i="4"/>
  <c r="BL23" i="4"/>
  <c r="BL22" i="4"/>
  <c r="BL21" i="4"/>
  <c r="BL20" i="4"/>
  <c r="BL19" i="4"/>
  <c r="BL18" i="4"/>
  <c r="BL17" i="4"/>
  <c r="BL16" i="4"/>
  <c r="BL15" i="4"/>
  <c r="BL14" i="4"/>
  <c r="BL13"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EH124" i="4"/>
  <c r="EH123" i="4"/>
  <c r="EH122" i="4"/>
  <c r="EH121" i="4"/>
  <c r="EH120" i="4"/>
  <c r="EH119" i="4"/>
  <c r="EH118" i="4"/>
  <c r="EH117" i="4"/>
  <c r="EH116" i="4"/>
  <c r="EH115" i="4"/>
  <c r="EH114" i="4"/>
  <c r="EH113" i="4"/>
  <c r="EH112" i="4"/>
  <c r="EH111" i="4"/>
  <c r="EH110" i="4"/>
  <c r="EH27" i="4"/>
  <c r="EH26" i="4"/>
  <c r="EH25" i="4"/>
  <c r="EH24" i="4"/>
  <c r="EH23" i="4"/>
  <c r="EH22" i="4"/>
  <c r="EH21" i="4"/>
  <c r="EH20" i="4"/>
  <c r="EH19" i="4"/>
  <c r="EH18" i="4"/>
  <c r="EH17" i="4"/>
  <c r="EH16" i="4"/>
  <c r="EH15" i="4"/>
  <c r="EH14" i="4"/>
  <c r="EH13" i="4"/>
  <c r="EH109" i="4"/>
  <c r="EH108" i="4"/>
  <c r="EH107" i="4"/>
  <c r="EH106" i="4"/>
  <c r="EH105" i="4"/>
  <c r="EH104" i="4"/>
  <c r="EH103" i="4"/>
  <c r="EH102" i="4"/>
  <c r="EH101" i="4"/>
  <c r="EH100" i="4"/>
  <c r="EH99" i="4"/>
  <c r="EH98" i="4"/>
  <c r="EH97" i="4"/>
  <c r="EH96" i="4"/>
  <c r="EH95" i="4"/>
  <c r="EH94" i="4"/>
  <c r="EH93" i="4"/>
  <c r="EH92" i="4"/>
  <c r="EH91" i="4"/>
  <c r="EH90" i="4"/>
  <c r="EH89" i="4"/>
  <c r="EH88" i="4"/>
  <c r="EH87" i="4"/>
  <c r="EH86" i="4"/>
  <c r="EH85" i="4"/>
  <c r="EH84" i="4"/>
  <c r="EH83" i="4"/>
  <c r="EH82" i="4"/>
  <c r="EH81" i="4"/>
  <c r="EH80" i="4"/>
  <c r="EH79" i="4"/>
  <c r="EH78" i="4"/>
  <c r="EH77" i="4"/>
  <c r="EH76" i="4"/>
  <c r="EH75" i="4"/>
  <c r="EH74" i="4"/>
  <c r="EH73" i="4"/>
  <c r="EH72" i="4"/>
  <c r="EH71" i="4"/>
  <c r="EH70" i="4"/>
  <c r="EH69" i="4"/>
  <c r="EH68" i="4"/>
  <c r="EH67" i="4"/>
  <c r="EH66" i="4"/>
  <c r="EH65" i="4"/>
  <c r="EH64" i="4"/>
  <c r="EH63" i="4"/>
  <c r="EH62" i="4"/>
  <c r="EH61" i="4"/>
  <c r="EH60" i="4"/>
  <c r="EH59" i="4"/>
  <c r="EH58" i="4"/>
  <c r="EH57" i="4"/>
  <c r="EH56" i="4"/>
  <c r="EH55" i="4"/>
  <c r="EH54" i="4"/>
  <c r="EH53" i="4"/>
  <c r="EH52" i="4"/>
  <c r="EH51" i="4"/>
  <c r="EH50" i="4"/>
  <c r="EH49" i="4"/>
  <c r="EH48" i="4"/>
  <c r="EH47" i="4"/>
  <c r="EH46" i="4"/>
  <c r="EH45" i="4"/>
  <c r="EH44" i="4"/>
  <c r="EH43" i="4"/>
  <c r="EH42" i="4"/>
  <c r="EH41" i="4"/>
  <c r="EH40" i="4"/>
  <c r="EH39" i="4"/>
  <c r="EH38" i="4"/>
  <c r="EH37" i="4"/>
  <c r="EH36" i="4"/>
  <c r="EH35" i="4"/>
  <c r="EH34" i="4"/>
  <c r="EH33" i="4"/>
  <c r="EH32" i="4"/>
  <c r="EH31" i="4"/>
  <c r="EH30" i="4"/>
  <c r="EH29" i="4"/>
  <c r="EH28" i="4"/>
  <c r="HM104" i="4"/>
  <c r="HM103" i="4"/>
  <c r="HM102" i="4"/>
  <c r="HM101" i="4"/>
  <c r="HM100" i="4"/>
  <c r="HM99" i="4"/>
  <c r="HM98" i="4"/>
  <c r="HM97" i="4"/>
  <c r="HM96" i="4"/>
  <c r="HM95" i="4"/>
  <c r="HM94" i="4"/>
  <c r="HM93" i="4"/>
  <c r="HM92" i="4"/>
  <c r="HM91" i="4"/>
  <c r="HM90" i="4"/>
  <c r="HM89" i="4"/>
  <c r="HM88" i="4"/>
  <c r="HM87" i="4"/>
  <c r="HM86" i="4"/>
  <c r="HM85" i="4"/>
  <c r="HM84" i="4"/>
  <c r="HM83" i="4"/>
  <c r="HM82" i="4"/>
  <c r="HM81" i="4"/>
  <c r="HM80" i="4"/>
  <c r="HM79" i="4"/>
  <c r="HM78" i="4"/>
  <c r="HM77" i="4"/>
  <c r="HM76" i="4"/>
  <c r="HM75" i="4"/>
  <c r="HM74" i="4"/>
  <c r="HM73" i="4"/>
  <c r="HM72" i="4"/>
  <c r="HM71" i="4"/>
  <c r="HM70" i="4"/>
  <c r="HM69" i="4"/>
  <c r="HM68" i="4"/>
  <c r="HM67" i="4"/>
  <c r="HM66" i="4"/>
  <c r="HM65" i="4"/>
  <c r="HM64" i="4"/>
  <c r="HM63" i="4"/>
  <c r="HM62" i="4"/>
  <c r="HM61" i="4"/>
  <c r="HM60" i="4"/>
  <c r="HM59" i="4"/>
  <c r="HM58" i="4"/>
  <c r="HM57" i="4"/>
  <c r="HM56" i="4"/>
  <c r="HM55" i="4"/>
  <c r="HM54" i="4"/>
  <c r="HM53" i="4"/>
  <c r="HM52" i="4"/>
  <c r="HM51" i="4"/>
  <c r="HM50" i="4"/>
  <c r="HM49" i="4"/>
  <c r="HM48" i="4"/>
  <c r="HM47" i="4"/>
  <c r="HM46" i="4"/>
  <c r="HM45" i="4"/>
  <c r="HM44" i="4"/>
  <c r="HM43" i="4"/>
  <c r="HM42" i="4"/>
  <c r="HM41" i="4"/>
  <c r="HM40" i="4"/>
  <c r="HM39" i="4"/>
  <c r="HM38" i="4"/>
  <c r="HM37" i="4"/>
  <c r="HM36" i="4"/>
  <c r="HM35" i="4"/>
  <c r="HM34" i="4"/>
  <c r="HM33" i="4"/>
  <c r="HM32" i="4"/>
  <c r="HM31" i="4"/>
  <c r="HM30" i="4"/>
  <c r="HM29" i="4"/>
  <c r="HM28" i="4"/>
  <c r="HM27" i="4"/>
  <c r="HM26" i="4"/>
  <c r="HM25" i="4"/>
  <c r="HM24" i="4"/>
  <c r="HM23" i="4"/>
  <c r="HM22" i="4"/>
  <c r="HM21" i="4"/>
  <c r="HM20" i="4"/>
  <c r="HM19" i="4"/>
  <c r="HM18" i="4"/>
  <c r="HM17" i="4"/>
  <c r="HM16" i="4"/>
  <c r="HM15" i="4"/>
  <c r="HM14" i="4"/>
  <c r="HM13" i="4"/>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H102" i="13"/>
  <c r="G102" i="13"/>
  <c r="H101" i="13"/>
  <c r="G101" i="13"/>
  <c r="H100" i="13"/>
  <c r="G100" i="13"/>
  <c r="H99" i="13"/>
  <c r="G99" i="13"/>
  <c r="H98" i="13"/>
  <c r="G98" i="13"/>
  <c r="H97" i="13"/>
  <c r="G97" i="13"/>
  <c r="H96" i="13"/>
  <c r="G96" i="13"/>
  <c r="H95" i="13"/>
  <c r="G95" i="13"/>
  <c r="H94" i="13"/>
  <c r="G94" i="13"/>
  <c r="H93" i="13"/>
  <c r="G93" i="13"/>
  <c r="H92" i="13"/>
  <c r="G92" i="13"/>
  <c r="H91" i="13"/>
  <c r="G91" i="13"/>
  <c r="H90" i="13"/>
  <c r="G90" i="13"/>
  <c r="H89" i="13"/>
  <c r="G89" i="13"/>
  <c r="H88" i="13"/>
  <c r="G88" i="13"/>
  <c r="H87" i="13"/>
  <c r="G87" i="13"/>
  <c r="H86" i="13"/>
  <c r="G86" i="13"/>
  <c r="H85" i="13"/>
  <c r="G85" i="13"/>
  <c r="H84" i="13"/>
  <c r="G84" i="13"/>
  <c r="H83" i="13"/>
  <c r="G83" i="13"/>
  <c r="H82" i="13"/>
  <c r="G82" i="13"/>
  <c r="H81" i="13"/>
  <c r="G81" i="13"/>
  <c r="H80" i="13"/>
  <c r="G80" i="13"/>
  <c r="H79" i="13"/>
  <c r="G79" i="13"/>
  <c r="H78" i="13"/>
  <c r="G78" i="13"/>
  <c r="H77" i="13"/>
  <c r="G77" i="13"/>
  <c r="H76" i="13"/>
  <c r="G76" i="13"/>
  <c r="H75" i="13"/>
  <c r="G75" i="13"/>
  <c r="H74" i="13"/>
  <c r="G74" i="13"/>
  <c r="H73" i="13"/>
  <c r="G73" i="13"/>
  <c r="H72" i="13"/>
  <c r="G72" i="13"/>
  <c r="H71" i="13"/>
  <c r="G71" i="13"/>
  <c r="H70" i="13"/>
  <c r="G70" i="13"/>
  <c r="H69" i="13"/>
  <c r="G69" i="13"/>
  <c r="H68" i="13"/>
  <c r="G68" i="13"/>
  <c r="H67" i="13"/>
  <c r="G67" i="13"/>
  <c r="H66" i="13"/>
  <c r="G66" i="13"/>
  <c r="H65" i="13"/>
  <c r="G65" i="13"/>
  <c r="H64" i="13"/>
  <c r="G64" i="13"/>
  <c r="H63" i="13"/>
  <c r="G63" i="13"/>
  <c r="H62" i="13"/>
  <c r="G62" i="13"/>
  <c r="H61" i="13"/>
  <c r="G61" i="13"/>
  <c r="H60" i="13"/>
  <c r="G60" i="13"/>
  <c r="H59" i="13"/>
  <c r="G59" i="13"/>
  <c r="H58" i="13"/>
  <c r="G58" i="13"/>
  <c r="H57" i="13"/>
  <c r="G57" i="13"/>
  <c r="H56" i="13"/>
  <c r="G56" i="13"/>
  <c r="H55" i="13"/>
  <c r="G55" i="13"/>
  <c r="H54" i="13"/>
  <c r="G54" i="13"/>
  <c r="H53" i="13"/>
  <c r="G53" i="13"/>
  <c r="H52" i="13"/>
  <c r="G52" i="13"/>
  <c r="H51" i="13"/>
  <c r="G51" i="13"/>
  <c r="H50" i="13"/>
  <c r="G50" i="13"/>
  <c r="H49" i="13"/>
  <c r="G49" i="13"/>
  <c r="H48" i="13"/>
  <c r="G48" i="13"/>
  <c r="H47" i="13"/>
  <c r="G47" i="13"/>
  <c r="H46" i="13"/>
  <c r="G46" i="13"/>
  <c r="H45" i="13"/>
  <c r="G45" i="13"/>
  <c r="M115" i="5"/>
  <c r="L115" i="5"/>
  <c r="K115" i="5"/>
  <c r="J115" i="5"/>
  <c r="I115" i="5"/>
  <c r="H115" i="5"/>
  <c r="M114" i="5"/>
  <c r="L114" i="5"/>
  <c r="K114" i="5"/>
  <c r="J114" i="5"/>
  <c r="I114" i="5"/>
  <c r="H114" i="5"/>
  <c r="M113" i="5"/>
  <c r="L113" i="5"/>
  <c r="K113" i="5"/>
  <c r="J113" i="5"/>
  <c r="I113" i="5"/>
  <c r="H113" i="5"/>
  <c r="M112" i="5"/>
  <c r="L112" i="5"/>
  <c r="K112" i="5"/>
  <c r="J112" i="5"/>
  <c r="I112" i="5"/>
  <c r="H112" i="5"/>
  <c r="M111" i="5"/>
  <c r="L111" i="5"/>
  <c r="K111" i="5"/>
  <c r="J111" i="5"/>
  <c r="I111" i="5"/>
  <c r="H111" i="5"/>
  <c r="M110" i="5"/>
  <c r="L110" i="5"/>
  <c r="K110" i="5"/>
  <c r="J110" i="5"/>
  <c r="I110" i="5"/>
  <c r="H110" i="5"/>
  <c r="M109" i="5"/>
  <c r="L109" i="5"/>
  <c r="K109" i="5"/>
  <c r="J109" i="5"/>
  <c r="I109" i="5"/>
  <c r="H109" i="5"/>
  <c r="M108" i="5"/>
  <c r="L108" i="5"/>
  <c r="K108" i="5"/>
  <c r="J108" i="5"/>
  <c r="I108" i="5"/>
  <c r="H108" i="5"/>
  <c r="M107" i="5"/>
  <c r="L107" i="5"/>
  <c r="K107" i="5"/>
  <c r="J107" i="5"/>
  <c r="I107" i="5"/>
  <c r="H107" i="5"/>
  <c r="M106" i="5"/>
  <c r="L106" i="5"/>
  <c r="K106" i="5"/>
  <c r="J106" i="5"/>
  <c r="I106" i="5"/>
  <c r="H106" i="5"/>
  <c r="M105" i="5"/>
  <c r="L105" i="5"/>
  <c r="K105" i="5"/>
  <c r="J105" i="5"/>
  <c r="I105" i="5"/>
  <c r="H105" i="5"/>
  <c r="M104" i="5"/>
  <c r="L104" i="5"/>
  <c r="K104" i="5"/>
  <c r="J104" i="5"/>
  <c r="I104" i="5"/>
  <c r="H104" i="5"/>
  <c r="M103" i="5"/>
  <c r="K103" i="5"/>
  <c r="I103" i="5"/>
  <c r="M102" i="5"/>
  <c r="L102" i="5"/>
  <c r="K102" i="5"/>
  <c r="J102" i="5"/>
  <c r="I102" i="5"/>
  <c r="H102" i="5"/>
  <c r="M101" i="5"/>
  <c r="L101" i="5"/>
  <c r="K101" i="5"/>
  <c r="J101" i="5"/>
  <c r="I101" i="5"/>
  <c r="H101" i="5"/>
  <c r="M100" i="5"/>
  <c r="L100" i="5"/>
  <c r="K100" i="5"/>
  <c r="J100" i="5"/>
  <c r="I100" i="5"/>
  <c r="H100" i="5"/>
  <c r="M99" i="5"/>
  <c r="L99" i="5"/>
  <c r="K99" i="5"/>
  <c r="J99" i="5"/>
  <c r="I99" i="5"/>
  <c r="H99" i="5"/>
  <c r="M98" i="5"/>
  <c r="L98" i="5"/>
  <c r="K98" i="5"/>
  <c r="J98" i="5"/>
  <c r="I98" i="5"/>
  <c r="H98" i="5"/>
  <c r="M97" i="5"/>
  <c r="L97" i="5"/>
  <c r="K97" i="5"/>
  <c r="J97" i="5"/>
  <c r="I97" i="5"/>
  <c r="H97" i="5"/>
  <c r="M96" i="5"/>
  <c r="L96" i="5"/>
  <c r="K96" i="5"/>
  <c r="J96" i="5"/>
  <c r="I96" i="5"/>
  <c r="H96" i="5"/>
  <c r="M95" i="5"/>
  <c r="L95" i="5"/>
  <c r="K95" i="5"/>
  <c r="J95" i="5"/>
  <c r="I95" i="5"/>
  <c r="H95" i="5"/>
  <c r="M94" i="5"/>
  <c r="L94" i="5"/>
  <c r="K94" i="5"/>
  <c r="J94" i="5"/>
  <c r="I94" i="5"/>
  <c r="H94" i="5"/>
  <c r="M93" i="5"/>
  <c r="L93" i="5"/>
  <c r="K93" i="5"/>
  <c r="J93" i="5"/>
  <c r="I93" i="5"/>
  <c r="H93" i="5"/>
  <c r="M92" i="5"/>
  <c r="L92" i="5"/>
  <c r="K92" i="5"/>
  <c r="J92" i="5"/>
  <c r="I92" i="5"/>
  <c r="H92" i="5"/>
  <c r="M91" i="5"/>
  <c r="L91" i="5"/>
  <c r="K91" i="5"/>
  <c r="J91" i="5"/>
  <c r="I91" i="5"/>
  <c r="H91" i="5"/>
  <c r="M90" i="5"/>
  <c r="L90" i="5"/>
  <c r="K90" i="5"/>
  <c r="J90" i="5"/>
  <c r="I90" i="5"/>
  <c r="H90" i="5"/>
  <c r="M89" i="5"/>
  <c r="L89" i="5"/>
  <c r="K89" i="5"/>
  <c r="J89" i="5"/>
  <c r="I89" i="5"/>
  <c r="H89" i="5"/>
  <c r="M88" i="5"/>
  <c r="L88" i="5"/>
  <c r="K88" i="5"/>
  <c r="J88" i="5"/>
  <c r="I88" i="5"/>
  <c r="H88" i="5"/>
  <c r="M87" i="5"/>
  <c r="L87" i="5"/>
  <c r="K87" i="5"/>
  <c r="J87" i="5"/>
  <c r="I87" i="5"/>
  <c r="H87" i="5"/>
  <c r="M86" i="5"/>
  <c r="L86" i="5"/>
  <c r="K86" i="5"/>
  <c r="J86" i="5"/>
  <c r="I86" i="5"/>
  <c r="H86" i="5"/>
  <c r="M85" i="5"/>
  <c r="L85" i="5"/>
  <c r="K85" i="5"/>
  <c r="J85" i="5"/>
  <c r="I85" i="5"/>
  <c r="H85" i="5"/>
  <c r="M84" i="5"/>
  <c r="L84" i="5"/>
  <c r="K84" i="5"/>
  <c r="J84" i="5"/>
  <c r="I84" i="5"/>
  <c r="H84" i="5"/>
  <c r="M83" i="5"/>
  <c r="L83" i="5"/>
  <c r="K83" i="5"/>
  <c r="J83" i="5"/>
  <c r="I83" i="5"/>
  <c r="H83" i="5"/>
  <c r="M82" i="5"/>
  <c r="L82" i="5"/>
  <c r="K82" i="5"/>
  <c r="J82" i="5"/>
  <c r="I82" i="5"/>
  <c r="H82" i="5"/>
  <c r="M81" i="5"/>
  <c r="L81" i="5"/>
  <c r="K81" i="5"/>
  <c r="J81" i="5"/>
  <c r="I81" i="5"/>
  <c r="H81" i="5"/>
  <c r="M80" i="5"/>
  <c r="L80" i="5"/>
  <c r="K80" i="5"/>
  <c r="J80" i="5"/>
  <c r="I80" i="5"/>
  <c r="H80" i="5"/>
  <c r="M79" i="5"/>
  <c r="L79" i="5"/>
  <c r="K79" i="5"/>
  <c r="J79" i="5"/>
  <c r="I79" i="5"/>
  <c r="H79" i="5"/>
  <c r="M78" i="5"/>
  <c r="L78" i="5"/>
  <c r="K78" i="5"/>
  <c r="J78" i="5"/>
  <c r="I78" i="5"/>
  <c r="H78" i="5"/>
  <c r="M77" i="5"/>
  <c r="L77" i="5"/>
  <c r="K77" i="5"/>
  <c r="J77" i="5"/>
  <c r="I77" i="5"/>
  <c r="H77" i="5"/>
  <c r="M76" i="5"/>
  <c r="L76" i="5"/>
  <c r="K76" i="5"/>
  <c r="J76" i="5"/>
  <c r="I76" i="5"/>
  <c r="H76" i="5"/>
  <c r="M75" i="5"/>
  <c r="K75" i="5"/>
  <c r="J75" i="5"/>
  <c r="I75" i="5"/>
  <c r="H75" i="5"/>
  <c r="M74" i="5"/>
  <c r="K74" i="5"/>
  <c r="J74" i="5"/>
  <c r="I74" i="5"/>
  <c r="H74" i="5"/>
  <c r="M73" i="5"/>
  <c r="K73" i="5"/>
  <c r="J73" i="5"/>
  <c r="I73" i="5"/>
  <c r="H73" i="5"/>
  <c r="M72" i="5"/>
  <c r="K72" i="5"/>
  <c r="J72" i="5"/>
  <c r="I72" i="5"/>
  <c r="H72" i="5"/>
  <c r="M71" i="5"/>
  <c r="K71" i="5"/>
  <c r="J71" i="5"/>
  <c r="I71" i="5"/>
  <c r="H71" i="5"/>
  <c r="M70" i="5"/>
  <c r="K70" i="5"/>
  <c r="J70" i="5"/>
  <c r="I70" i="5"/>
  <c r="H70" i="5"/>
  <c r="M69" i="5"/>
  <c r="K69" i="5"/>
  <c r="J69" i="5"/>
  <c r="I69" i="5"/>
  <c r="H69" i="5"/>
  <c r="M68" i="5"/>
  <c r="K68" i="5"/>
  <c r="J68" i="5"/>
  <c r="I68" i="5"/>
  <c r="H68" i="5"/>
  <c r="J67" i="5"/>
  <c r="H67" i="5"/>
  <c r="J66" i="5"/>
  <c r="H66" i="5"/>
  <c r="H65" i="5"/>
  <c r="J64" i="5"/>
  <c r="H64" i="5"/>
  <c r="J63" i="5"/>
  <c r="H63" i="5"/>
  <c r="J62" i="5"/>
  <c r="H62" i="5"/>
  <c r="J61" i="5"/>
  <c r="H61" i="5"/>
  <c r="J60" i="5"/>
  <c r="H60" i="5"/>
  <c r="J59" i="5"/>
  <c r="H59" i="5"/>
  <c r="J58" i="5"/>
  <c r="H58" i="5"/>
  <c r="J57" i="5"/>
  <c r="H57" i="5"/>
  <c r="J56" i="5"/>
  <c r="H56" i="5"/>
  <c r="J55" i="5"/>
  <c r="H55" i="5"/>
  <c r="R14" i="5"/>
  <c r="R13" i="5"/>
  <c r="R12" i="5"/>
  <c r="R11" i="5"/>
  <c r="M10" i="5"/>
  <c r="K10" i="5"/>
  <c r="I10" i="5"/>
  <c r="T14" i="5"/>
  <c r="T13" i="5"/>
  <c r="T12" i="5"/>
  <c r="T11" i="5"/>
  <c r="G115" i="5"/>
  <c r="F115" i="5"/>
  <c r="G114" i="5"/>
  <c r="F114" i="5"/>
  <c r="G113" i="5"/>
  <c r="F113" i="5"/>
  <c r="G112" i="5"/>
  <c r="F112" i="5"/>
  <c r="G111" i="5"/>
  <c r="F111" i="5"/>
  <c r="G110" i="5"/>
  <c r="F110" i="5"/>
  <c r="G109" i="5"/>
  <c r="F109" i="5"/>
  <c r="G108" i="5"/>
  <c r="F108" i="5"/>
  <c r="G107" i="5"/>
  <c r="F107" i="5"/>
  <c r="G106" i="5"/>
  <c r="F106" i="5"/>
  <c r="G105" i="5"/>
  <c r="F105" i="5"/>
  <c r="G104" i="5"/>
  <c r="F104" i="5"/>
  <c r="G103" i="5"/>
  <c r="G102" i="5"/>
  <c r="F102" i="5"/>
  <c r="G101" i="5"/>
  <c r="F101" i="5"/>
  <c r="G100" i="5"/>
  <c r="F100" i="5"/>
  <c r="G99" i="5"/>
  <c r="F99" i="5"/>
  <c r="G98" i="5"/>
  <c r="F98" i="5"/>
  <c r="G97" i="5"/>
  <c r="F97" i="5"/>
  <c r="G96" i="5"/>
  <c r="F96" i="5"/>
  <c r="G95" i="5"/>
  <c r="F95" i="5"/>
  <c r="G94" i="5"/>
  <c r="F94" i="5"/>
  <c r="G93" i="5"/>
  <c r="F93" i="5"/>
  <c r="G92" i="5"/>
  <c r="F92" i="5"/>
  <c r="G91" i="5"/>
  <c r="F91" i="5"/>
  <c r="G90" i="5"/>
  <c r="F90" i="5"/>
  <c r="G89" i="5"/>
  <c r="F89" i="5"/>
  <c r="G88" i="5"/>
  <c r="F88" i="5"/>
  <c r="G87" i="5"/>
  <c r="F87" i="5"/>
  <c r="G86" i="5"/>
  <c r="F86" i="5"/>
  <c r="G85" i="5"/>
  <c r="F85" i="5"/>
  <c r="G84" i="5"/>
  <c r="F84" i="5"/>
  <c r="G83" i="5"/>
  <c r="F83" i="5"/>
  <c r="G82" i="5"/>
  <c r="F82" i="5"/>
  <c r="G81" i="5"/>
  <c r="F81" i="5"/>
  <c r="G80" i="5"/>
  <c r="F80" i="5"/>
  <c r="G79" i="5"/>
  <c r="F79" i="5"/>
  <c r="G78" i="5"/>
  <c r="F78" i="5"/>
  <c r="G77" i="5"/>
  <c r="F77" i="5"/>
  <c r="G76" i="5"/>
  <c r="F76" i="5"/>
  <c r="G75" i="5"/>
  <c r="F75" i="5"/>
  <c r="G74" i="5"/>
  <c r="F74" i="5"/>
  <c r="G73" i="5"/>
  <c r="F73" i="5"/>
  <c r="G72" i="5"/>
  <c r="F72" i="5"/>
  <c r="G71" i="5"/>
  <c r="F71" i="5"/>
  <c r="G70" i="5"/>
  <c r="F70" i="5"/>
  <c r="G69" i="5"/>
  <c r="F69" i="5"/>
  <c r="G68" i="5"/>
  <c r="F68" i="5"/>
  <c r="F67" i="5"/>
  <c r="F66" i="5"/>
  <c r="F65" i="5"/>
  <c r="F64" i="5"/>
  <c r="F63" i="5"/>
  <c r="F62" i="5"/>
  <c r="F61" i="5"/>
  <c r="F60" i="5"/>
  <c r="F59" i="5"/>
  <c r="F58" i="5"/>
  <c r="F57" i="5"/>
  <c r="F56" i="5"/>
  <c r="F55" i="5"/>
  <c r="G10"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EU168" i="4"/>
  <c r="EU167" i="4"/>
  <c r="EU166" i="4"/>
  <c r="EU165" i="4"/>
  <c r="EU164" i="4"/>
  <c r="EU163" i="4"/>
  <c r="EU162" i="4"/>
  <c r="EU161" i="4"/>
  <c r="EU160" i="4"/>
  <c r="EU159" i="4"/>
  <c r="EU158" i="4"/>
  <c r="EU157" i="4"/>
  <c r="EU156" i="4"/>
  <c r="EU155" i="4"/>
  <c r="EU154" i="4"/>
  <c r="EU153" i="4"/>
  <c r="EU152" i="4"/>
  <c r="EU151" i="4"/>
  <c r="EU150" i="4"/>
  <c r="EU149" i="4"/>
  <c r="EU148" i="4"/>
  <c r="EU147" i="4"/>
  <c r="EU146" i="4"/>
  <c r="EU145" i="4"/>
  <c r="EU144" i="4"/>
  <c r="EU143" i="4"/>
  <c r="EU142" i="4"/>
  <c r="EU141" i="4"/>
  <c r="EU140" i="4"/>
  <c r="EU139" i="4"/>
  <c r="EU138" i="4"/>
  <c r="EU137" i="4"/>
  <c r="EU136" i="4"/>
  <c r="EU135" i="4"/>
  <c r="EU134" i="4"/>
  <c r="EU133" i="4"/>
  <c r="EU132" i="4"/>
  <c r="EU131" i="4"/>
  <c r="EU130" i="4"/>
  <c r="EU129" i="4"/>
  <c r="EU128" i="4"/>
  <c r="EU127" i="4"/>
  <c r="EU126" i="4"/>
  <c r="EU125" i="4"/>
  <c r="EU124" i="4"/>
  <c r="EU123" i="4"/>
  <c r="EU122" i="4"/>
  <c r="EU121" i="4"/>
  <c r="EU120" i="4"/>
  <c r="EU119" i="4"/>
  <c r="EU118" i="4"/>
  <c r="EU117" i="4"/>
  <c r="EU116" i="4"/>
  <c r="EU115" i="4"/>
  <c r="EU114" i="4"/>
  <c r="EU113" i="4"/>
  <c r="EU112" i="4"/>
  <c r="EU111" i="4"/>
  <c r="EU110" i="4"/>
  <c r="EU109" i="4"/>
  <c r="EU108" i="4"/>
  <c r="EU107" i="4"/>
  <c r="EU169" i="4"/>
  <c r="CA169" i="4"/>
  <c r="CA147" i="4"/>
  <c r="CA148" i="4"/>
  <c r="CA149" i="4"/>
  <c r="CA150" i="4"/>
  <c r="CA151" i="4"/>
  <c r="CA152" i="4"/>
  <c r="CA153" i="4"/>
  <c r="CA154" i="4"/>
  <c r="CA155" i="4"/>
  <c r="CA156" i="4"/>
  <c r="CA157" i="4"/>
  <c r="CA158" i="4"/>
  <c r="CA159" i="4"/>
  <c r="CA160" i="4"/>
  <c r="CA161" i="4"/>
  <c r="CA162" i="4"/>
  <c r="CA163" i="4"/>
  <c r="CA164" i="4"/>
  <c r="CA165" i="4"/>
  <c r="CA166" i="4"/>
  <c r="CA167" i="4"/>
  <c r="CA168" i="4"/>
  <c r="ET169" i="4"/>
  <c r="EV169" i="4"/>
  <c r="ET168" i="4"/>
  <c r="EV168" i="4"/>
  <c r="ET167" i="4"/>
  <c r="EV167" i="4"/>
  <c r="ET166" i="4"/>
  <c r="EV166" i="4"/>
  <c r="ET165" i="4"/>
  <c r="EV165" i="4"/>
  <c r="ET164" i="4"/>
  <c r="EV164" i="4"/>
  <c r="ET163" i="4"/>
  <c r="EV163" i="4"/>
  <c r="ET162" i="4"/>
  <c r="EV162" i="4"/>
  <c r="ET161" i="4"/>
  <c r="EV161" i="4"/>
  <c r="ET160" i="4"/>
  <c r="EV160" i="4"/>
  <c r="ET159" i="4"/>
  <c r="EV159" i="4"/>
  <c r="ET158" i="4"/>
  <c r="EV158" i="4"/>
  <c r="ET157" i="4"/>
  <c r="EV157" i="4"/>
  <c r="ET156" i="4"/>
  <c r="EV156" i="4"/>
  <c r="ET155" i="4"/>
  <c r="EV155" i="4"/>
  <c r="ET154" i="4"/>
  <c r="EV154" i="4"/>
  <c r="ET153" i="4"/>
  <c r="EV153" i="4"/>
  <c r="ET152" i="4"/>
  <c r="EV152" i="4"/>
  <c r="ET151" i="4"/>
  <c r="EV151" i="4"/>
  <c r="ET150" i="4"/>
  <c r="EV150" i="4"/>
  <c r="ET149" i="4"/>
  <c r="EV149" i="4"/>
  <c r="ET148" i="4"/>
  <c r="EV148" i="4"/>
  <c r="ET147" i="4"/>
  <c r="EV147" i="4"/>
  <c r="ET146" i="4"/>
  <c r="EV146" i="4"/>
  <c r="ET145" i="4"/>
  <c r="EV145" i="4"/>
  <c r="ET144" i="4"/>
  <c r="EV144" i="4"/>
  <c r="ET143" i="4"/>
  <c r="EV143" i="4"/>
  <c r="ET142" i="4"/>
  <c r="EV142" i="4"/>
  <c r="ET141" i="4"/>
  <c r="EV141" i="4"/>
  <c r="ET140" i="4"/>
  <c r="EV140" i="4"/>
  <c r="ET139" i="4"/>
  <c r="EV139" i="4"/>
  <c r="ET138" i="4"/>
  <c r="EV138" i="4"/>
  <c r="ET137" i="4"/>
  <c r="EV137" i="4"/>
  <c r="ET136" i="4"/>
  <c r="EV136" i="4"/>
  <c r="ET135" i="4"/>
  <c r="EV135" i="4"/>
  <c r="ET134" i="4"/>
  <c r="EV134" i="4"/>
  <c r="ET133" i="4"/>
  <c r="EV133" i="4"/>
  <c r="ET132" i="4"/>
  <c r="EV132" i="4"/>
  <c r="ET131" i="4"/>
  <c r="EV131" i="4"/>
  <c r="ET130" i="4"/>
  <c r="EV130" i="4"/>
  <c r="ET129" i="4"/>
  <c r="EV129" i="4"/>
  <c r="ET128" i="4"/>
  <c r="EV128" i="4"/>
  <c r="ET127" i="4"/>
  <c r="EV127" i="4"/>
  <c r="ET126" i="4"/>
  <c r="EV126" i="4"/>
  <c r="ET125" i="4"/>
  <c r="EV125" i="4"/>
  <c r="ET124" i="4"/>
  <c r="EV124" i="4"/>
  <c r="ET123" i="4"/>
  <c r="EV123" i="4"/>
  <c r="ET122" i="4"/>
  <c r="EV122" i="4"/>
  <c r="ET121" i="4"/>
  <c r="EV121" i="4"/>
  <c r="ET120" i="4"/>
  <c r="EV120" i="4"/>
  <c r="ET119" i="4"/>
  <c r="EV119" i="4"/>
  <c r="ET118" i="4"/>
  <c r="EV118" i="4"/>
  <c r="ET117" i="4"/>
  <c r="EV117" i="4"/>
  <c r="ET116" i="4"/>
  <c r="EV116" i="4"/>
  <c r="ET115" i="4"/>
  <c r="EV115" i="4"/>
  <c r="ET114" i="4"/>
  <c r="EV114" i="4"/>
  <c r="ET113" i="4"/>
  <c r="EV113" i="4"/>
  <c r="ET112" i="4"/>
  <c r="EV112" i="4"/>
  <c r="ET111" i="4"/>
  <c r="EV111" i="4"/>
  <c r="ET110" i="4"/>
  <c r="EV110" i="4"/>
  <c r="ET109" i="4"/>
  <c r="EV109" i="4"/>
  <c r="ET108" i="4"/>
  <c r="EV108" i="4"/>
  <c r="ET107" i="4"/>
  <c r="EV107" i="4"/>
  <c r="ER109" i="4"/>
  <c r="EQ109" i="4"/>
  <c r="ES109" i="4"/>
  <c r="ER108" i="4"/>
  <c r="EQ108" i="4"/>
  <c r="ES108" i="4"/>
  <c r="ER107" i="4"/>
  <c r="EQ107" i="4"/>
  <c r="ES107" i="4"/>
  <c r="ER106" i="4"/>
  <c r="EQ106" i="4"/>
  <c r="ES106" i="4"/>
  <c r="ER105" i="4"/>
  <c r="EQ105" i="4"/>
  <c r="ES105" i="4"/>
  <c r="ER104" i="4"/>
  <c r="EQ104" i="4"/>
  <c r="ES104" i="4"/>
  <c r="ER103" i="4"/>
  <c r="EQ103" i="4"/>
  <c r="ES103" i="4"/>
  <c r="ER102" i="4"/>
  <c r="EQ102" i="4"/>
  <c r="ES102" i="4"/>
  <c r="ER101" i="4"/>
  <c r="EQ101" i="4"/>
  <c r="ES101" i="4"/>
  <c r="ER100" i="4"/>
  <c r="EQ100" i="4"/>
  <c r="ES100" i="4"/>
  <c r="ER99" i="4"/>
  <c r="EQ99" i="4"/>
  <c r="ES99" i="4"/>
  <c r="ER98" i="4"/>
  <c r="EQ98" i="4"/>
  <c r="ES98" i="4"/>
  <c r="ER97" i="4"/>
  <c r="EQ97" i="4"/>
  <c r="ES97" i="4"/>
  <c r="ER96" i="4"/>
  <c r="EQ96" i="4"/>
  <c r="ES96" i="4"/>
  <c r="ER95" i="4"/>
  <c r="EQ95" i="4"/>
  <c r="ES95" i="4"/>
  <c r="ER94" i="4"/>
  <c r="EQ94" i="4"/>
  <c r="ES94" i="4"/>
  <c r="ER93" i="4"/>
  <c r="EQ93" i="4"/>
  <c r="ES93" i="4"/>
  <c r="ER92" i="4"/>
  <c r="EQ92" i="4"/>
  <c r="ES92" i="4"/>
  <c r="ER91" i="4"/>
  <c r="EQ91" i="4"/>
  <c r="ES91" i="4"/>
  <c r="ER90" i="4"/>
  <c r="EQ90" i="4"/>
  <c r="ES90" i="4"/>
  <c r="ER89" i="4"/>
  <c r="EQ89" i="4"/>
  <c r="ES89" i="4"/>
  <c r="ER88" i="4"/>
  <c r="EQ88" i="4"/>
  <c r="ES88" i="4"/>
  <c r="ER87" i="4"/>
  <c r="EQ87" i="4"/>
  <c r="ES87" i="4"/>
  <c r="ER86" i="4"/>
  <c r="EQ86" i="4"/>
  <c r="ES86" i="4"/>
  <c r="ER85" i="4"/>
  <c r="EQ85" i="4"/>
  <c r="ES85" i="4"/>
  <c r="ER84" i="4"/>
  <c r="EQ84" i="4"/>
  <c r="ES84" i="4"/>
  <c r="ER83" i="4"/>
  <c r="EQ83" i="4"/>
  <c r="ES83" i="4"/>
  <c r="ER82" i="4"/>
  <c r="EQ82" i="4"/>
  <c r="ES82" i="4"/>
  <c r="ER81" i="4"/>
  <c r="EQ81" i="4"/>
  <c r="ES81" i="4"/>
  <c r="ER80" i="4"/>
  <c r="EQ80" i="4"/>
  <c r="ES80" i="4"/>
  <c r="ER79" i="4"/>
  <c r="EQ79" i="4"/>
  <c r="ES79" i="4"/>
  <c r="ER78" i="4"/>
  <c r="EQ78" i="4"/>
  <c r="ES78" i="4"/>
  <c r="ER77" i="4"/>
  <c r="EQ77" i="4"/>
  <c r="ES77" i="4"/>
  <c r="ER76" i="4"/>
  <c r="EQ76" i="4"/>
  <c r="ES76" i="4"/>
  <c r="ER75" i="4"/>
  <c r="EQ75" i="4"/>
  <c r="ES75" i="4"/>
  <c r="ER74" i="4"/>
  <c r="EQ74" i="4"/>
  <c r="ES74" i="4"/>
  <c r="ER73" i="4"/>
  <c r="EQ73" i="4"/>
  <c r="ES73" i="4"/>
  <c r="ER72" i="4"/>
  <c r="EQ72" i="4"/>
  <c r="ES72" i="4"/>
  <c r="ER71" i="4"/>
  <c r="EQ71" i="4"/>
  <c r="ES71" i="4"/>
  <c r="ER70" i="4"/>
  <c r="EQ70" i="4"/>
  <c r="ES70" i="4"/>
  <c r="ER69" i="4"/>
  <c r="EQ69" i="4"/>
  <c r="ES69" i="4"/>
  <c r="ER68" i="4"/>
  <c r="EQ68" i="4"/>
  <c r="ES68" i="4"/>
  <c r="ER67" i="4"/>
  <c r="EQ67" i="4"/>
  <c r="ES67" i="4"/>
  <c r="ER66" i="4"/>
  <c r="EQ66" i="4"/>
  <c r="ES66" i="4"/>
  <c r="ER65" i="4"/>
  <c r="EQ65" i="4"/>
  <c r="ES65" i="4"/>
  <c r="ER64" i="4"/>
  <c r="EQ64" i="4"/>
  <c r="ES64" i="4"/>
  <c r="ER63" i="4"/>
  <c r="EQ63" i="4"/>
  <c r="ES63" i="4"/>
  <c r="ER62" i="4"/>
  <c r="EQ62" i="4"/>
  <c r="ES62" i="4"/>
  <c r="ER61" i="4"/>
  <c r="EQ61" i="4"/>
  <c r="ES61" i="4"/>
  <c r="ER60" i="4"/>
  <c r="EQ60" i="4"/>
  <c r="ES60" i="4"/>
  <c r="ER59" i="4"/>
  <c r="EQ59" i="4"/>
  <c r="ES59" i="4"/>
  <c r="ER58" i="4"/>
  <c r="EQ58" i="4"/>
  <c r="ES58" i="4"/>
  <c r="ER57" i="4"/>
  <c r="EQ57" i="4"/>
  <c r="ES57" i="4"/>
  <c r="ER56" i="4"/>
  <c r="EQ56" i="4"/>
  <c r="ES56" i="4"/>
  <c r="ER55" i="4"/>
  <c r="EQ55" i="4"/>
  <c r="ES55" i="4"/>
  <c r="ER54" i="4"/>
  <c r="EQ54" i="4"/>
  <c r="ES54" i="4"/>
  <c r="ER53" i="4"/>
  <c r="EQ53" i="4"/>
  <c r="ES53" i="4"/>
  <c r="ER52" i="4"/>
  <c r="EQ52" i="4"/>
  <c r="ES52" i="4"/>
  <c r="ER51" i="4"/>
  <c r="EQ51" i="4"/>
  <c r="ES51" i="4"/>
  <c r="ER50" i="4"/>
  <c r="EQ50" i="4"/>
  <c r="ES50" i="4"/>
  <c r="ER49" i="4"/>
  <c r="EQ49" i="4"/>
  <c r="ES49" i="4"/>
  <c r="ER48" i="4"/>
  <c r="EQ48" i="4"/>
  <c r="ES48" i="4"/>
  <c r="ER47" i="4"/>
  <c r="EQ47" i="4"/>
  <c r="ES47" i="4"/>
  <c r="EQ46" i="4"/>
  <c r="ER45" i="4"/>
  <c r="EQ45" i="4"/>
  <c r="ES45" i="4"/>
  <c r="ER44" i="4"/>
  <c r="EQ44" i="4"/>
  <c r="ES44" i="4"/>
  <c r="ER43" i="4"/>
  <c r="EQ43" i="4"/>
  <c r="ES43" i="4"/>
  <c r="ER42" i="4"/>
  <c r="EQ42" i="4"/>
  <c r="ES42" i="4"/>
  <c r="ER41" i="4"/>
  <c r="EQ41" i="4"/>
  <c r="ES41" i="4"/>
  <c r="ER40" i="4"/>
  <c r="EQ40" i="4"/>
  <c r="ES40" i="4"/>
  <c r="ER39" i="4"/>
  <c r="EQ39" i="4"/>
  <c r="ES39" i="4"/>
  <c r="ER38" i="4"/>
  <c r="EQ38" i="4"/>
  <c r="ES38" i="4"/>
  <c r="ER37" i="4"/>
  <c r="EQ37" i="4"/>
  <c r="ES37" i="4"/>
  <c r="ER36" i="4"/>
  <c r="EQ36" i="4"/>
  <c r="ES36" i="4"/>
  <c r="ER35" i="4"/>
  <c r="EQ35" i="4"/>
  <c r="ES35" i="4"/>
  <c r="ER34" i="4"/>
  <c r="EQ34" i="4"/>
  <c r="ES34" i="4"/>
  <c r="ER33" i="4"/>
  <c r="EQ33" i="4"/>
  <c r="ES33" i="4"/>
  <c r="ER32" i="4"/>
  <c r="EQ32" i="4"/>
  <c r="ES32" i="4"/>
  <c r="ER31" i="4"/>
  <c r="EQ31" i="4"/>
  <c r="ES31" i="4"/>
  <c r="ER30" i="4"/>
  <c r="EQ30" i="4"/>
  <c r="ES30" i="4"/>
  <c r="ER29" i="4"/>
  <c r="EQ29" i="4"/>
  <c r="ES29" i="4"/>
  <c r="ER28" i="4"/>
  <c r="EQ28" i="4"/>
  <c r="ES28" i="4"/>
  <c r="CC124" i="4"/>
  <c r="CC123" i="4"/>
  <c r="CC122" i="4"/>
  <c r="CC121" i="4"/>
  <c r="CC120" i="4"/>
  <c r="CC119" i="4"/>
  <c r="CC118" i="4"/>
  <c r="CC117" i="4"/>
  <c r="CC116" i="4"/>
  <c r="CC115" i="4"/>
  <c r="CC114" i="4"/>
  <c r="CC113" i="4"/>
  <c r="CC112" i="4"/>
  <c r="CC111" i="4"/>
  <c r="CC110" i="4"/>
  <c r="CC109" i="4"/>
  <c r="CC108" i="4"/>
  <c r="CC107" i="4"/>
  <c r="BC107" i="4"/>
  <c r="BB124" i="4"/>
  <c r="BB123" i="4"/>
  <c r="BB122" i="4"/>
  <c r="BB121" i="4"/>
  <c r="BB120" i="4"/>
  <c r="BB119" i="4"/>
  <c r="BB118" i="4"/>
  <c r="BB117" i="4"/>
  <c r="BB116" i="4"/>
  <c r="BB115" i="4"/>
  <c r="BB114" i="4"/>
  <c r="BB113" i="4"/>
  <c r="BB112" i="4"/>
  <c r="BB111" i="4"/>
  <c r="BB110" i="4"/>
  <c r="BB109" i="4"/>
  <c r="BB108" i="4"/>
  <c r="BB107" i="4"/>
  <c r="BC123" i="4"/>
  <c r="BC122" i="4"/>
  <c r="BC121" i="4"/>
  <c r="BC120" i="4"/>
  <c r="BC119" i="4"/>
  <c r="BC118" i="4"/>
  <c r="BC117" i="4"/>
  <c r="BC116" i="4"/>
  <c r="BC115" i="4"/>
  <c r="BC114" i="4"/>
  <c r="BC113" i="4"/>
  <c r="BC112" i="4"/>
  <c r="BC111" i="4"/>
  <c r="BC110" i="4"/>
  <c r="BC109" i="4"/>
  <c r="BC108" i="4"/>
  <c r="BC12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FV155" i="4"/>
  <c r="FV154" i="4"/>
  <c r="FV153" i="4"/>
  <c r="FV152" i="4"/>
  <c r="FV151" i="4"/>
  <c r="FV150" i="4"/>
  <c r="FV149" i="4"/>
  <c r="FV148" i="4"/>
  <c r="FV147" i="4"/>
  <c r="FV146" i="4"/>
  <c r="M246" i="25"/>
  <c r="I79" i="27"/>
  <c r="M243" i="25"/>
  <c r="I76" i="27"/>
  <c r="M237" i="25"/>
  <c r="I70" i="27"/>
  <c r="M234" i="25"/>
  <c r="I67" i="27"/>
  <c r="M231" i="25"/>
  <c r="I64" i="27"/>
  <c r="M228" i="25"/>
  <c r="I61" i="27"/>
  <c r="M219" i="25"/>
  <c r="I52" i="27"/>
  <c r="M213" i="25"/>
  <c r="I46" i="27"/>
  <c r="A52" i="25"/>
  <c r="A53" i="25"/>
  <c r="A54" i="25"/>
  <c r="A55" i="25"/>
  <c r="A56" i="25"/>
  <c r="A57" i="25"/>
  <c r="A58" i="25"/>
  <c r="A59" i="25"/>
  <c r="A60" i="25"/>
  <c r="A61" i="25"/>
  <c r="A62" i="25"/>
  <c r="A63" i="25"/>
  <c r="A64" i="25"/>
  <c r="A65" i="25"/>
  <c r="A66" i="25"/>
  <c r="A67" i="25"/>
  <c r="A68" i="25"/>
  <c r="D68" i="25"/>
  <c r="A69" i="25"/>
  <c r="C69" i="25"/>
  <c r="AB69" i="25"/>
  <c r="A70" i="25"/>
  <c r="C70" i="25"/>
  <c r="AB70" i="25"/>
  <c r="A71" i="25"/>
  <c r="C71" i="25"/>
  <c r="AB71" i="25"/>
  <c r="A72" i="25"/>
  <c r="C72" i="25"/>
  <c r="AB72" i="25"/>
  <c r="A73" i="25"/>
  <c r="C73" i="25"/>
  <c r="AB73" i="25"/>
  <c r="C74" i="25"/>
  <c r="AB74" i="25"/>
  <c r="AB75" i="25"/>
  <c r="AB76" i="25"/>
  <c r="AF76" i="25"/>
  <c r="A77" i="25"/>
  <c r="AB77" i="25"/>
  <c r="AF77" i="25"/>
  <c r="A78" i="25"/>
  <c r="AB78" i="25"/>
  <c r="AF78" i="25"/>
  <c r="A79" i="25"/>
  <c r="AB79" i="25"/>
  <c r="AF79" i="25"/>
  <c r="A80" i="25"/>
  <c r="AB80" i="25"/>
  <c r="AF80" i="25"/>
  <c r="A81" i="25"/>
  <c r="AB81" i="25"/>
  <c r="AF81" i="25"/>
  <c r="A82" i="25"/>
  <c r="AB82" i="25"/>
  <c r="AF82" i="25"/>
  <c r="A83" i="25"/>
  <c r="AB83" i="25"/>
  <c r="AF83" i="25"/>
  <c r="A84" i="25"/>
  <c r="AB84" i="25"/>
  <c r="AF84" i="25"/>
  <c r="A85" i="25"/>
  <c r="AB85" i="25"/>
  <c r="AF85" i="25"/>
  <c r="A86" i="25"/>
  <c r="AB86" i="25"/>
  <c r="AF86" i="25"/>
  <c r="A87" i="25"/>
  <c r="AB87" i="25"/>
  <c r="AF87" i="25"/>
  <c r="A88" i="25"/>
  <c r="AB88" i="25"/>
  <c r="AF88" i="25"/>
  <c r="A89" i="25"/>
  <c r="AB89" i="25"/>
  <c r="AF89" i="25"/>
  <c r="A90" i="25"/>
  <c r="AB90" i="25"/>
  <c r="AF90" i="25"/>
  <c r="A91" i="25"/>
  <c r="AB91" i="25"/>
  <c r="AF91" i="25"/>
  <c r="A92" i="25"/>
  <c r="AB92" i="25"/>
  <c r="AF92" i="25"/>
  <c r="A93" i="25"/>
  <c r="AB93" i="25"/>
  <c r="AF93" i="25"/>
  <c r="A94" i="25"/>
  <c r="AB94" i="25"/>
  <c r="AF94" i="25"/>
  <c r="A95" i="25"/>
  <c r="AB95" i="25"/>
  <c r="AF95" i="25"/>
  <c r="A96" i="25"/>
  <c r="AB96" i="25"/>
  <c r="AF96" i="25"/>
  <c r="A97" i="25"/>
  <c r="AB97" i="25"/>
  <c r="AF97" i="25"/>
  <c r="A98" i="25"/>
  <c r="AB98" i="25"/>
  <c r="AF98" i="25"/>
  <c r="A99" i="25"/>
  <c r="AB99" i="25"/>
  <c r="AF99" i="25"/>
  <c r="A100" i="25"/>
  <c r="AB100" i="25"/>
  <c r="AF100" i="25"/>
  <c r="A101" i="25"/>
  <c r="AB101" i="25"/>
  <c r="AF101" i="25"/>
  <c r="A102" i="25"/>
  <c r="A103" i="25"/>
  <c r="AB104" i="25"/>
  <c r="AF104" i="25"/>
  <c r="AB105" i="25"/>
  <c r="AF105" i="25"/>
  <c r="A106" i="25"/>
  <c r="AB106" i="25"/>
  <c r="AF106" i="25"/>
  <c r="A107" i="25"/>
  <c r="AB107" i="25"/>
  <c r="AF107" i="25"/>
  <c r="A108" i="25"/>
  <c r="AB108" i="25"/>
  <c r="AF108" i="25"/>
  <c r="A109" i="25"/>
  <c r="AB109" i="25"/>
  <c r="AF109" i="25"/>
  <c r="A110" i="25"/>
  <c r="AB110" i="25"/>
  <c r="AF110" i="25"/>
  <c r="A111" i="25"/>
  <c r="AB111" i="25"/>
  <c r="AF111" i="25"/>
  <c r="A112" i="25"/>
  <c r="AB112" i="25"/>
  <c r="AF112" i="25"/>
  <c r="A113" i="25"/>
  <c r="AB113" i="25"/>
  <c r="AF113" i="25"/>
  <c r="A114" i="25"/>
  <c r="AB114" i="25"/>
  <c r="AF114" i="25"/>
  <c r="A115" i="25"/>
  <c r="AB115" i="25"/>
  <c r="AF115" i="25"/>
  <c r="A116" i="25"/>
  <c r="AB116" i="25"/>
  <c r="AF116" i="25"/>
  <c r="A117" i="25"/>
  <c r="AB117" i="25"/>
  <c r="AF117" i="25"/>
  <c r="A118" i="25"/>
  <c r="AB118" i="25"/>
  <c r="AF118" i="25"/>
  <c r="A119" i="25"/>
  <c r="AB119" i="25"/>
  <c r="AF119" i="25"/>
  <c r="A120" i="25"/>
  <c r="AB120" i="25"/>
  <c r="AF120" i="25"/>
  <c r="A121" i="25"/>
  <c r="AB121" i="25"/>
  <c r="AF121" i="25"/>
  <c r="A122" i="25"/>
  <c r="AB122" i="25"/>
  <c r="AF122" i="25"/>
  <c r="A123" i="25"/>
  <c r="AB123" i="25"/>
  <c r="AF123" i="25"/>
  <c r="A124" i="25"/>
  <c r="AB124" i="25"/>
  <c r="AF124" i="25"/>
  <c r="A125" i="25"/>
  <c r="V125" i="25"/>
  <c r="X125" i="25"/>
  <c r="AB125" i="25"/>
  <c r="AF125" i="25"/>
  <c r="W126" i="25"/>
  <c r="V126" i="25"/>
  <c r="Y126" i="25"/>
  <c r="X126" i="25"/>
  <c r="AB126" i="25"/>
  <c r="AF126" i="25"/>
  <c r="W127" i="25"/>
  <c r="V127" i="25"/>
  <c r="Y127" i="25"/>
  <c r="X127" i="25"/>
  <c r="AB127" i="25"/>
  <c r="AF127" i="25"/>
  <c r="W128" i="25"/>
  <c r="V128" i="25"/>
  <c r="Y128" i="25"/>
  <c r="X128" i="25"/>
  <c r="AB128" i="25"/>
  <c r="AF128" i="25"/>
  <c r="W129" i="25"/>
  <c r="V129" i="25"/>
  <c r="Y129" i="25"/>
  <c r="X129" i="25"/>
  <c r="AB129" i="25"/>
  <c r="AF129" i="25"/>
  <c r="W130" i="25"/>
  <c r="V130" i="25"/>
  <c r="Y130" i="25"/>
  <c r="X130" i="25"/>
  <c r="AB130" i="25"/>
  <c r="AF130" i="25"/>
  <c r="W131" i="25"/>
  <c r="V131" i="25"/>
  <c r="Y131" i="25"/>
  <c r="X131" i="25"/>
  <c r="AB131" i="25"/>
  <c r="AF131" i="25"/>
  <c r="W132" i="25"/>
  <c r="V132" i="25"/>
  <c r="Y132" i="25"/>
  <c r="X132" i="25"/>
  <c r="AB132" i="25"/>
  <c r="AF132" i="25"/>
  <c r="W133" i="25"/>
  <c r="V133" i="25"/>
  <c r="Y133" i="25"/>
  <c r="X133" i="25"/>
  <c r="AB133" i="25"/>
  <c r="AF133" i="25"/>
  <c r="W134" i="25"/>
  <c r="V134" i="25"/>
  <c r="Y134" i="25"/>
  <c r="X134" i="25"/>
  <c r="AB134" i="25"/>
  <c r="AF134" i="25"/>
  <c r="W135" i="25"/>
  <c r="V135" i="25"/>
  <c r="Y135" i="25"/>
  <c r="X135" i="25"/>
  <c r="AB135" i="25"/>
  <c r="AF135" i="25"/>
  <c r="W136" i="25"/>
  <c r="V136" i="25"/>
  <c r="Y136" i="25"/>
  <c r="X136" i="25"/>
  <c r="AB136" i="25"/>
  <c r="AF136" i="25"/>
  <c r="W137" i="25"/>
  <c r="V137" i="25"/>
  <c r="Y137" i="25"/>
  <c r="X137" i="25"/>
  <c r="AB137" i="25"/>
  <c r="AF137" i="25"/>
  <c r="W138" i="25"/>
  <c r="V138" i="25"/>
  <c r="Y138" i="25"/>
  <c r="X138" i="25"/>
  <c r="AB138" i="25"/>
  <c r="AF138" i="25"/>
  <c r="W139" i="25"/>
  <c r="V139" i="25"/>
  <c r="Y139" i="25"/>
  <c r="X139" i="25"/>
  <c r="AB139" i="25"/>
  <c r="AF139" i="25"/>
  <c r="W140" i="25"/>
  <c r="V140" i="25"/>
  <c r="Y140" i="25"/>
  <c r="X140" i="25"/>
  <c r="W141" i="25"/>
  <c r="Y141" i="25"/>
  <c r="W142" i="25"/>
  <c r="Y142" i="25"/>
  <c r="W143" i="25"/>
  <c r="Y143" i="25"/>
  <c r="W144" i="25"/>
  <c r="Y144" i="25"/>
  <c r="AB144" i="25"/>
  <c r="AF144" i="25"/>
  <c r="W145" i="25"/>
  <c r="Y145" i="25"/>
  <c r="AB145" i="25"/>
  <c r="AF145" i="25"/>
  <c r="W146" i="25"/>
  <c r="Y146" i="25"/>
  <c r="AB146" i="25"/>
  <c r="AF146" i="25"/>
  <c r="W147" i="25"/>
  <c r="Y147" i="25"/>
  <c r="AB147" i="25"/>
  <c r="AF147" i="25"/>
  <c r="W148" i="25"/>
  <c r="Y148" i="25"/>
  <c r="AB148" i="25"/>
  <c r="AF148" i="25"/>
  <c r="W149" i="25"/>
  <c r="Y149" i="25"/>
  <c r="AB149" i="25"/>
  <c r="AF149" i="25"/>
  <c r="W150" i="25"/>
  <c r="Y150" i="25"/>
  <c r="AB150" i="25"/>
  <c r="AF150" i="25"/>
  <c r="W151" i="25"/>
  <c r="Y151" i="25"/>
  <c r="AB151" i="25"/>
  <c r="AF151" i="25"/>
  <c r="W152" i="25"/>
  <c r="Y152" i="25"/>
  <c r="AB152" i="25"/>
  <c r="AF152" i="25"/>
  <c r="W153" i="25"/>
  <c r="Y153" i="25"/>
  <c r="AB153" i="25"/>
  <c r="AF153" i="25"/>
  <c r="A154" i="25"/>
  <c r="W154" i="25"/>
  <c r="Y154" i="25"/>
  <c r="AB154" i="25"/>
  <c r="AF154" i="25"/>
  <c r="A155" i="25"/>
  <c r="W155" i="25"/>
  <c r="Y155" i="25"/>
  <c r="AB155" i="25"/>
  <c r="AF155" i="25"/>
  <c r="A156" i="25"/>
  <c r="W156" i="25"/>
  <c r="Y156" i="25"/>
  <c r="AB156" i="25"/>
  <c r="AF156" i="25"/>
  <c r="A157" i="25"/>
  <c r="W157" i="25"/>
  <c r="Y157" i="25"/>
  <c r="AB157" i="25"/>
  <c r="AF157" i="25"/>
  <c r="A158" i="25"/>
  <c r="W158" i="25"/>
  <c r="Y158" i="25"/>
  <c r="AB158" i="25"/>
  <c r="AF158" i="25"/>
  <c r="A159" i="25"/>
  <c r="W159" i="25"/>
  <c r="Y159" i="25"/>
  <c r="AB159" i="25"/>
  <c r="AF159" i="25"/>
  <c r="A160" i="25"/>
  <c r="W160" i="25"/>
  <c r="Y160" i="25"/>
  <c r="AB160" i="25"/>
  <c r="AF160" i="25"/>
  <c r="A161" i="25"/>
  <c r="W161" i="25"/>
  <c r="Y161" i="25"/>
  <c r="AB161" i="25"/>
  <c r="AF161" i="25"/>
  <c r="A162" i="25"/>
  <c r="W162" i="25"/>
  <c r="Y162" i="25"/>
  <c r="AB162" i="25"/>
  <c r="AF162" i="25"/>
  <c r="W163" i="25"/>
  <c r="Y163" i="25"/>
  <c r="AB163" i="25"/>
  <c r="AF163" i="25"/>
  <c r="W164" i="25"/>
  <c r="Y164" i="25"/>
  <c r="AB164" i="25"/>
  <c r="AF164" i="25"/>
  <c r="W165" i="25"/>
  <c r="Y165" i="25"/>
  <c r="AB165" i="25"/>
  <c r="AF165" i="25"/>
  <c r="Q176" i="6"/>
  <c r="L166" i="5"/>
  <c r="P166" i="5"/>
  <c r="P176" i="6"/>
  <c r="O176" i="6"/>
  <c r="M166" i="5"/>
  <c r="M176" i="6"/>
  <c r="L176" i="6"/>
  <c r="K166" i="5"/>
  <c r="K176" i="6"/>
  <c r="I166" i="5"/>
  <c r="I176" i="6"/>
  <c r="H166" i="5"/>
  <c r="H176" i="6"/>
  <c r="G166" i="5"/>
  <c r="G176" i="6"/>
  <c r="F166" i="5"/>
  <c r="F176" i="6"/>
  <c r="E176" i="6"/>
  <c r="D176" i="6"/>
  <c r="C176" i="6"/>
  <c r="B176" i="6"/>
  <c r="L155" i="5"/>
  <c r="P155" i="5"/>
  <c r="L156" i="5"/>
  <c r="P156" i="5"/>
  <c r="L157" i="5"/>
  <c r="P157" i="5"/>
  <c r="L158" i="5"/>
  <c r="P158" i="5"/>
  <c r="L159" i="5"/>
  <c r="P159" i="5"/>
  <c r="L160" i="5"/>
  <c r="P160" i="5"/>
  <c r="L161" i="5"/>
  <c r="P161" i="5"/>
  <c r="L162" i="5"/>
  <c r="P162" i="5"/>
  <c r="L163" i="5"/>
  <c r="P163" i="5"/>
  <c r="L164" i="5"/>
  <c r="P164" i="5"/>
  <c r="M155" i="5"/>
  <c r="M156" i="5"/>
  <c r="M157" i="5"/>
  <c r="M158" i="5"/>
  <c r="M159" i="5"/>
  <c r="M160" i="5"/>
  <c r="M161" i="5"/>
  <c r="M162" i="5"/>
  <c r="M163" i="5"/>
  <c r="M164" i="5"/>
  <c r="K155" i="5"/>
  <c r="K156" i="5"/>
  <c r="K157" i="5"/>
  <c r="K158" i="5"/>
  <c r="K159" i="5"/>
  <c r="K160" i="5"/>
  <c r="K161" i="5"/>
  <c r="K162" i="5"/>
  <c r="K163" i="5"/>
  <c r="K164" i="5"/>
  <c r="J155" i="5"/>
  <c r="J156" i="5"/>
  <c r="J157" i="5"/>
  <c r="J158" i="5"/>
  <c r="J159" i="5"/>
  <c r="J160" i="5"/>
  <c r="J161" i="5"/>
  <c r="J162" i="5"/>
  <c r="J163" i="5"/>
  <c r="J164" i="5"/>
  <c r="I155" i="5"/>
  <c r="I156" i="5"/>
  <c r="I157" i="5"/>
  <c r="I158" i="5"/>
  <c r="I159" i="5"/>
  <c r="I160" i="5"/>
  <c r="I161" i="5"/>
  <c r="I162" i="5"/>
  <c r="I163" i="5"/>
  <c r="I164" i="5"/>
  <c r="H155" i="5"/>
  <c r="H156" i="5"/>
  <c r="H157" i="5"/>
  <c r="H158" i="5"/>
  <c r="H159" i="5"/>
  <c r="H160" i="5"/>
  <c r="H161" i="5"/>
  <c r="H162" i="5"/>
  <c r="H163" i="5"/>
  <c r="H164" i="5"/>
  <c r="G155" i="5"/>
  <c r="G156" i="5"/>
  <c r="G157" i="5"/>
  <c r="G158" i="5"/>
  <c r="G159" i="5"/>
  <c r="G160" i="5"/>
  <c r="G161" i="5"/>
  <c r="G162" i="5"/>
  <c r="G163" i="5"/>
  <c r="G164" i="5"/>
  <c r="F155" i="5"/>
  <c r="F156" i="5"/>
  <c r="F157" i="5"/>
  <c r="F158" i="5"/>
  <c r="F159" i="5"/>
  <c r="F160" i="5"/>
  <c r="F161" i="5"/>
  <c r="F162" i="5"/>
  <c r="F163" i="5"/>
  <c r="F164" i="5"/>
  <c r="L154" i="5"/>
  <c r="P154" i="5"/>
  <c r="M154" i="5"/>
  <c r="K154" i="5"/>
  <c r="J154" i="5"/>
  <c r="I154" i="5"/>
  <c r="H154" i="5"/>
  <c r="G154" i="5"/>
  <c r="F154" i="5"/>
  <c r="L153" i="5"/>
  <c r="P153" i="5"/>
  <c r="M153" i="5"/>
  <c r="K153" i="5"/>
  <c r="J153" i="5"/>
  <c r="I153" i="5"/>
  <c r="H153" i="5"/>
  <c r="G153" i="5"/>
  <c r="F153" i="5"/>
  <c r="L152" i="5"/>
  <c r="P152" i="5"/>
  <c r="M152" i="5"/>
  <c r="K152" i="5"/>
  <c r="J152" i="5"/>
  <c r="I152" i="5"/>
  <c r="H152" i="5"/>
  <c r="G152" i="5"/>
  <c r="F152" i="5"/>
  <c r="L151" i="5"/>
  <c r="P151" i="5"/>
  <c r="M151" i="5"/>
  <c r="K151" i="5"/>
  <c r="J151" i="5"/>
  <c r="I151" i="5"/>
  <c r="H151" i="5"/>
  <c r="G151" i="5"/>
  <c r="F151" i="5"/>
  <c r="L150" i="5"/>
  <c r="P150" i="5"/>
  <c r="M150" i="5"/>
  <c r="K150" i="5"/>
  <c r="J150" i="5"/>
  <c r="I150" i="5"/>
  <c r="H150" i="5"/>
  <c r="G150" i="5"/>
  <c r="F150" i="5"/>
  <c r="L149" i="5"/>
  <c r="P149" i="5"/>
  <c r="M149" i="5"/>
  <c r="K149" i="5"/>
  <c r="J149" i="5"/>
  <c r="I149" i="5"/>
  <c r="H149" i="5"/>
  <c r="G149" i="5"/>
  <c r="F149" i="5"/>
  <c r="L148" i="5"/>
  <c r="P148" i="5"/>
  <c r="M148" i="5"/>
  <c r="K148" i="5"/>
  <c r="J148" i="5"/>
  <c r="I148" i="5"/>
  <c r="H148" i="5"/>
  <c r="G148" i="5"/>
  <c r="F148" i="5"/>
  <c r="L147" i="5"/>
  <c r="P147" i="5"/>
  <c r="M147" i="5"/>
  <c r="K147" i="5"/>
  <c r="J147" i="5"/>
  <c r="I147" i="5"/>
  <c r="H147" i="5"/>
  <c r="G147" i="5"/>
  <c r="F147" i="5"/>
  <c r="Q156" i="6"/>
  <c r="L146" i="5"/>
  <c r="P146" i="5"/>
  <c r="P156" i="6"/>
  <c r="O156" i="6"/>
  <c r="M146" i="5"/>
  <c r="M156" i="6"/>
  <c r="L156" i="6"/>
  <c r="K146" i="5"/>
  <c r="K156" i="6"/>
  <c r="J146" i="5"/>
  <c r="J156" i="6"/>
  <c r="I146" i="5"/>
  <c r="I156" i="6"/>
  <c r="H146" i="5"/>
  <c r="H156" i="6"/>
  <c r="G146" i="5"/>
  <c r="G156" i="6"/>
  <c r="F146" i="5"/>
  <c r="F156" i="6"/>
  <c r="E156" i="6"/>
  <c r="D156" i="6"/>
  <c r="L145" i="5"/>
  <c r="P145" i="5"/>
  <c r="M145" i="5"/>
  <c r="K145" i="5"/>
  <c r="J145" i="5"/>
  <c r="I145" i="5"/>
  <c r="H145" i="5"/>
  <c r="G145" i="5"/>
  <c r="F145" i="5"/>
  <c r="L144" i="5"/>
  <c r="P144" i="5"/>
  <c r="M144" i="5"/>
  <c r="K144" i="5"/>
  <c r="J144" i="5"/>
  <c r="I144" i="5"/>
  <c r="H144" i="5"/>
  <c r="G144" i="5"/>
  <c r="F144" i="5"/>
  <c r="L141" i="5"/>
  <c r="P141" i="5"/>
  <c r="J141" i="5"/>
  <c r="H141" i="5"/>
  <c r="F141" i="5"/>
  <c r="L140" i="5"/>
  <c r="P140" i="5"/>
  <c r="M140" i="5"/>
  <c r="K140" i="5"/>
  <c r="J140" i="5"/>
  <c r="I140" i="5"/>
  <c r="H140" i="5"/>
  <c r="G140" i="5"/>
  <c r="F140" i="5"/>
  <c r="L139" i="5"/>
  <c r="P139" i="5"/>
  <c r="M139" i="5"/>
  <c r="K139" i="5"/>
  <c r="J139" i="5"/>
  <c r="I139" i="5"/>
  <c r="H139" i="5"/>
  <c r="G139" i="5"/>
  <c r="F139" i="5"/>
  <c r="L138" i="5"/>
  <c r="P138" i="5"/>
  <c r="M138" i="5"/>
  <c r="K138" i="5"/>
  <c r="J138" i="5"/>
  <c r="I138" i="5"/>
  <c r="H138" i="5"/>
  <c r="G138" i="5"/>
  <c r="F138" i="5"/>
  <c r="L137" i="5"/>
  <c r="P137" i="5"/>
  <c r="M137" i="5"/>
  <c r="K137" i="5"/>
  <c r="J137" i="5"/>
  <c r="I137" i="5"/>
  <c r="H137" i="5"/>
  <c r="G137" i="5"/>
  <c r="F137" i="5"/>
  <c r="L136" i="5"/>
  <c r="P136" i="5"/>
  <c r="M136" i="5"/>
  <c r="K136" i="5"/>
  <c r="J136" i="5"/>
  <c r="I136" i="5"/>
  <c r="H136" i="5"/>
  <c r="G136" i="5"/>
  <c r="F136" i="5"/>
  <c r="L135" i="5"/>
  <c r="P135" i="5"/>
  <c r="M135" i="5"/>
  <c r="K135" i="5"/>
  <c r="J135" i="5"/>
  <c r="I135" i="5"/>
  <c r="H135" i="5"/>
  <c r="G135" i="5"/>
  <c r="F135" i="5"/>
  <c r="L134" i="5"/>
  <c r="P134" i="5"/>
  <c r="M134" i="5"/>
  <c r="K134" i="5"/>
  <c r="J134" i="5"/>
  <c r="I134" i="5"/>
  <c r="H134" i="5"/>
  <c r="G134" i="5"/>
  <c r="F134" i="5"/>
  <c r="L133" i="5"/>
  <c r="P133" i="5"/>
  <c r="M133" i="5"/>
  <c r="K133" i="5"/>
  <c r="J133" i="5"/>
  <c r="I133" i="5"/>
  <c r="H133" i="5"/>
  <c r="G133" i="5"/>
  <c r="F133" i="5"/>
  <c r="L132" i="5"/>
  <c r="P132" i="5"/>
  <c r="M132" i="5"/>
  <c r="K132" i="5"/>
  <c r="J132" i="5"/>
  <c r="I132" i="5"/>
  <c r="H132" i="5"/>
  <c r="G132" i="5"/>
  <c r="F132" i="5"/>
  <c r="L131" i="5"/>
  <c r="P131" i="5"/>
  <c r="M131" i="5"/>
  <c r="K131" i="5"/>
  <c r="J131" i="5"/>
  <c r="I131" i="5"/>
  <c r="H131" i="5"/>
  <c r="G131" i="5"/>
  <c r="F131" i="5"/>
  <c r="L130" i="5"/>
  <c r="P130" i="5"/>
  <c r="M130" i="5"/>
  <c r="K130" i="5"/>
  <c r="J130" i="5"/>
  <c r="I130" i="5"/>
  <c r="H130" i="5"/>
  <c r="G130" i="5"/>
  <c r="F130" i="5"/>
  <c r="L129" i="5"/>
  <c r="P129" i="5"/>
  <c r="M129" i="5"/>
  <c r="K129" i="5"/>
  <c r="J129" i="5"/>
  <c r="I129" i="5"/>
  <c r="H129" i="5"/>
  <c r="G129" i="5"/>
  <c r="F129" i="5"/>
  <c r="L128" i="5"/>
  <c r="P128" i="5"/>
  <c r="M128" i="5"/>
  <c r="K128" i="5"/>
  <c r="J128" i="5"/>
  <c r="I128" i="5"/>
  <c r="H128" i="5"/>
  <c r="G128" i="5"/>
  <c r="F128" i="5"/>
  <c r="L127" i="5"/>
  <c r="P127" i="5"/>
  <c r="M127" i="5"/>
  <c r="K127" i="5"/>
  <c r="J127" i="5"/>
  <c r="I127" i="5"/>
  <c r="H127" i="5"/>
  <c r="G127" i="5"/>
  <c r="F127" i="5"/>
  <c r="Q136" i="6"/>
  <c r="L126" i="5"/>
  <c r="P126" i="5"/>
  <c r="P136" i="6"/>
  <c r="O136" i="6"/>
  <c r="M126" i="5"/>
  <c r="M136" i="6"/>
  <c r="L136" i="6"/>
  <c r="K126" i="5"/>
  <c r="K136" i="6"/>
  <c r="J126" i="5"/>
  <c r="J136" i="6"/>
  <c r="I126" i="5"/>
  <c r="I136" i="6"/>
  <c r="H126" i="5"/>
  <c r="H136" i="6"/>
  <c r="G126" i="5"/>
  <c r="G136" i="6"/>
  <c r="F126" i="5"/>
  <c r="F136" i="6"/>
  <c r="E136" i="6"/>
  <c r="D136" i="6"/>
  <c r="L125" i="5"/>
  <c r="P125" i="5"/>
  <c r="M125" i="5"/>
  <c r="K125" i="5"/>
  <c r="J125" i="5"/>
  <c r="I125" i="5"/>
  <c r="H125" i="5"/>
  <c r="G125" i="5"/>
  <c r="F125" i="5"/>
  <c r="L124" i="5"/>
  <c r="P124" i="5"/>
  <c r="M124" i="5"/>
  <c r="K124" i="5"/>
  <c r="J124" i="5"/>
  <c r="I124" i="5"/>
  <c r="H124" i="5"/>
  <c r="G124" i="5"/>
  <c r="F124" i="5"/>
  <c r="L123" i="5"/>
  <c r="P123" i="5"/>
  <c r="M123" i="5"/>
  <c r="K123" i="5"/>
  <c r="J123" i="5"/>
  <c r="I123" i="5"/>
  <c r="H123" i="5"/>
  <c r="G123" i="5"/>
  <c r="F123" i="5"/>
  <c r="L122" i="5"/>
  <c r="P122" i="5"/>
  <c r="M122" i="5"/>
  <c r="K122" i="5"/>
  <c r="J122" i="5"/>
  <c r="I122" i="5"/>
  <c r="H122" i="5"/>
  <c r="G122" i="5"/>
  <c r="F122" i="5"/>
  <c r="L121" i="5"/>
  <c r="P121" i="5"/>
  <c r="M121" i="5"/>
  <c r="K121" i="5"/>
  <c r="J121" i="5"/>
  <c r="I121" i="5"/>
  <c r="H121" i="5"/>
  <c r="G121" i="5"/>
  <c r="F121" i="5"/>
  <c r="L120" i="5"/>
  <c r="P120" i="5"/>
  <c r="M120" i="5"/>
  <c r="K120" i="5"/>
  <c r="J120" i="5"/>
  <c r="I120" i="5"/>
  <c r="H120" i="5"/>
  <c r="G120" i="5"/>
  <c r="F120" i="5"/>
  <c r="L119" i="5"/>
  <c r="P119" i="5"/>
  <c r="M119" i="5"/>
  <c r="K119" i="5"/>
  <c r="J119" i="5"/>
  <c r="I119" i="5"/>
  <c r="H119" i="5"/>
  <c r="G119" i="5"/>
  <c r="F119" i="5"/>
  <c r="L118" i="5"/>
  <c r="P118" i="5"/>
  <c r="M118" i="5"/>
  <c r="K118" i="5"/>
  <c r="J118" i="5"/>
  <c r="I118" i="5"/>
  <c r="H118" i="5"/>
  <c r="G118" i="5"/>
  <c r="F118" i="5"/>
  <c r="L117" i="5"/>
  <c r="P117" i="5"/>
  <c r="M117" i="5"/>
  <c r="K117" i="5"/>
  <c r="J117" i="5"/>
  <c r="I117" i="5"/>
  <c r="H117" i="5"/>
  <c r="G117" i="5"/>
  <c r="F117" i="5"/>
  <c r="Q126" i="6"/>
  <c r="L116" i="5"/>
  <c r="P116" i="5"/>
  <c r="P126" i="6"/>
  <c r="O126" i="6"/>
  <c r="M116" i="5"/>
  <c r="M126" i="6"/>
  <c r="L126" i="6"/>
  <c r="K116" i="5"/>
  <c r="K126" i="6"/>
  <c r="J116" i="5"/>
  <c r="J126" i="6"/>
  <c r="I116" i="5"/>
  <c r="I126" i="6"/>
  <c r="H116" i="5"/>
  <c r="H126" i="6"/>
  <c r="G116" i="5"/>
  <c r="G126" i="6"/>
  <c r="F116" i="5"/>
  <c r="F126" i="6"/>
  <c r="E126" i="6"/>
  <c r="D126" i="6"/>
  <c r="C126" i="6"/>
  <c r="B126" i="6"/>
  <c r="P115" i="5"/>
  <c r="P114" i="5"/>
  <c r="P113" i="5"/>
  <c r="P112" i="5"/>
  <c r="P111" i="5"/>
  <c r="P110" i="5"/>
  <c r="P109" i="5"/>
  <c r="P108" i="5"/>
  <c r="P107" i="5"/>
  <c r="Q116" i="6"/>
  <c r="P106" i="5"/>
  <c r="P116" i="6"/>
  <c r="O116" i="6"/>
  <c r="M116" i="6"/>
  <c r="L116" i="6"/>
  <c r="K116" i="6"/>
  <c r="J116" i="6"/>
  <c r="I116" i="6"/>
  <c r="H116" i="6"/>
  <c r="G116" i="6"/>
  <c r="F116" i="6"/>
  <c r="E116" i="6"/>
  <c r="D116" i="6"/>
  <c r="C116" i="6"/>
  <c r="B116" i="6"/>
  <c r="P105" i="5"/>
  <c r="P104" i="5"/>
  <c r="M106" i="6"/>
  <c r="K106" i="6"/>
  <c r="I106" i="6"/>
  <c r="G106" i="6"/>
  <c r="E106" i="6"/>
  <c r="C106" i="6"/>
  <c r="M96" i="6"/>
  <c r="L96" i="6"/>
  <c r="K96" i="6"/>
  <c r="J96" i="6"/>
  <c r="I96" i="6"/>
  <c r="H96" i="6"/>
  <c r="G96" i="6"/>
  <c r="F96" i="6"/>
  <c r="E96" i="6"/>
  <c r="D96" i="6"/>
  <c r="C96" i="6"/>
  <c r="B96" i="6"/>
  <c r="M86" i="6"/>
  <c r="L86" i="6"/>
  <c r="K86" i="6"/>
  <c r="J86" i="6"/>
  <c r="I86" i="6"/>
  <c r="H86" i="6"/>
  <c r="G86" i="6"/>
  <c r="F86" i="6"/>
  <c r="E86" i="6"/>
  <c r="D86" i="6"/>
  <c r="C86" i="6"/>
  <c r="B86" i="6"/>
  <c r="L76" i="6"/>
  <c r="J76" i="6"/>
  <c r="H76" i="6"/>
  <c r="F76" i="6"/>
  <c r="D76" i="6"/>
  <c r="B76" i="6"/>
  <c r="L66" i="6"/>
  <c r="J66" i="6"/>
  <c r="H66" i="6"/>
  <c r="F66" i="6"/>
  <c r="D66" i="6"/>
  <c r="B66" i="6"/>
  <c r="Q166" i="6"/>
  <c r="L165" i="5"/>
  <c r="P165" i="5"/>
  <c r="P166" i="6"/>
  <c r="O166" i="6"/>
  <c r="M165" i="5"/>
  <c r="M166" i="6"/>
  <c r="L166" i="6"/>
  <c r="K165" i="5"/>
  <c r="K166" i="6"/>
  <c r="J165" i="5"/>
  <c r="J166" i="6"/>
  <c r="I165" i="5"/>
  <c r="I166" i="6"/>
  <c r="H165" i="5"/>
  <c r="H166" i="6"/>
  <c r="G165" i="5"/>
  <c r="G166" i="6"/>
  <c r="F165" i="5"/>
  <c r="F166" i="6"/>
  <c r="E166" i="6"/>
  <c r="D166" i="6"/>
  <c r="O49" i="3"/>
  <c r="M49" i="3"/>
  <c r="O48" i="3"/>
  <c r="M48" i="3"/>
  <c r="O47" i="3"/>
  <c r="M47" i="3"/>
  <c r="O46" i="3"/>
  <c r="M46" i="3"/>
  <c r="O45" i="3"/>
  <c r="M45" i="3"/>
  <c r="O44" i="3"/>
  <c r="M44" i="3"/>
  <c r="O43" i="3"/>
  <c r="M43" i="3"/>
  <c r="O42" i="3"/>
  <c r="M42" i="3"/>
  <c r="O41" i="3"/>
  <c r="M41" i="3"/>
  <c r="O40" i="3"/>
  <c r="M40" i="3"/>
  <c r="O39" i="3"/>
  <c r="M39" i="3"/>
  <c r="O38" i="3"/>
  <c r="M38" i="3"/>
  <c r="O37" i="3"/>
  <c r="M37" i="3"/>
  <c r="O36" i="3"/>
  <c r="M36" i="3"/>
  <c r="O35" i="3"/>
  <c r="M35" i="3"/>
  <c r="O34" i="3"/>
  <c r="M34" i="3"/>
  <c r="O33" i="3"/>
  <c r="M33" i="3"/>
  <c r="O32" i="3"/>
  <c r="M32" i="3"/>
  <c r="O31" i="3"/>
  <c r="M31" i="3"/>
  <c r="O30" i="3"/>
  <c r="M30" i="3"/>
  <c r="O29" i="3"/>
  <c r="M29" i="3"/>
  <c r="O28" i="3"/>
  <c r="M28" i="3"/>
  <c r="O50" i="3"/>
  <c r="M50" i="3"/>
  <c r="J66" i="23"/>
  <c r="J65" i="23"/>
  <c r="J64" i="23"/>
  <c r="J63" i="23"/>
  <c r="J62" i="23"/>
  <c r="J61" i="23"/>
  <c r="J60" i="23"/>
  <c r="J59" i="23"/>
  <c r="J58" i="23"/>
  <c r="J57" i="23"/>
  <c r="J56" i="23"/>
  <c r="J55" i="23"/>
  <c r="J54" i="23"/>
  <c r="J53" i="23"/>
  <c r="J52" i="23"/>
  <c r="P140" i="2"/>
  <c r="O140" i="2"/>
  <c r="U139" i="2"/>
  <c r="S139" i="2"/>
  <c r="P139" i="2"/>
  <c r="O139" i="2"/>
  <c r="N139" i="2"/>
  <c r="U138" i="2"/>
  <c r="S138" i="2"/>
  <c r="P138" i="2"/>
  <c r="O138" i="2"/>
  <c r="N138" i="2"/>
  <c r="U137" i="2"/>
  <c r="S137" i="2"/>
  <c r="P137" i="2"/>
  <c r="O137" i="2"/>
  <c r="N137" i="2"/>
  <c r="U136" i="2"/>
  <c r="S136" i="2"/>
  <c r="P136" i="2"/>
  <c r="O136" i="2"/>
  <c r="N136" i="2"/>
  <c r="U135" i="2"/>
  <c r="S135" i="2"/>
  <c r="P135" i="2"/>
  <c r="O135" i="2"/>
  <c r="N135" i="2"/>
  <c r="U134" i="2"/>
  <c r="S134" i="2"/>
  <c r="P134" i="2"/>
  <c r="O134" i="2"/>
  <c r="N134" i="2"/>
  <c r="U133" i="2"/>
  <c r="S133" i="2"/>
  <c r="P133" i="2"/>
  <c r="O133" i="2"/>
  <c r="N133" i="2"/>
  <c r="U132" i="2"/>
  <c r="S132" i="2"/>
  <c r="P132" i="2"/>
  <c r="O132" i="2"/>
  <c r="N132" i="2"/>
  <c r="U131" i="2"/>
  <c r="S131" i="2"/>
  <c r="P131" i="2"/>
  <c r="O131" i="2"/>
  <c r="N131" i="2"/>
  <c r="U130" i="2"/>
  <c r="S130" i="2"/>
  <c r="P130" i="2"/>
  <c r="O130" i="2"/>
  <c r="N130" i="2"/>
  <c r="U129" i="2"/>
  <c r="S129" i="2"/>
  <c r="P129" i="2"/>
  <c r="O129" i="2"/>
  <c r="N129" i="2"/>
  <c r="U128" i="2"/>
  <c r="S128" i="2"/>
  <c r="P128" i="2"/>
  <c r="O128" i="2"/>
  <c r="N128" i="2"/>
  <c r="U127" i="2"/>
  <c r="S127" i="2"/>
  <c r="P127" i="2"/>
  <c r="O127" i="2"/>
  <c r="N127" i="2"/>
  <c r="U126" i="2"/>
  <c r="S126" i="2"/>
  <c r="P126" i="2"/>
  <c r="O126" i="2"/>
  <c r="N126" i="2"/>
  <c r="U125" i="2"/>
  <c r="S125" i="2"/>
  <c r="P125" i="2"/>
  <c r="O125" i="2"/>
  <c r="N125" i="2"/>
  <c r="I52" i="23"/>
  <c r="I53" i="23"/>
  <c r="I54" i="23"/>
  <c r="I55" i="23"/>
  <c r="I56" i="23"/>
  <c r="I57" i="23"/>
  <c r="I58" i="23"/>
  <c r="I59" i="23"/>
  <c r="I60" i="23"/>
  <c r="I61" i="23"/>
  <c r="I62" i="23"/>
  <c r="I63" i="23"/>
  <c r="I64" i="23"/>
  <c r="I65" i="23"/>
  <c r="I66" i="23"/>
  <c r="I67" i="23"/>
  <c r="I70" i="23"/>
  <c r="J70" i="23"/>
  <c r="I71" i="23"/>
  <c r="J71" i="23"/>
  <c r="I72" i="23"/>
  <c r="J72" i="23"/>
  <c r="I73" i="23"/>
  <c r="J73" i="23"/>
  <c r="I74" i="23"/>
  <c r="J74" i="23"/>
  <c r="I75" i="23"/>
  <c r="J75" i="23"/>
  <c r="I76" i="23"/>
  <c r="J76" i="23"/>
  <c r="I77" i="23"/>
  <c r="J77" i="23"/>
  <c r="I78" i="23"/>
  <c r="J78" i="23"/>
  <c r="I79" i="23"/>
  <c r="J79" i="23"/>
  <c r="I80" i="23"/>
  <c r="J80" i="23"/>
  <c r="I81" i="23"/>
  <c r="J81" i="23"/>
  <c r="I82" i="23"/>
  <c r="J82" i="23"/>
  <c r="I83" i="23"/>
  <c r="J83" i="23"/>
  <c r="I84" i="23"/>
  <c r="J84" i="23"/>
  <c r="I85" i="23"/>
  <c r="J85" i="23"/>
  <c r="I86" i="23"/>
  <c r="J86" i="23"/>
  <c r="I87" i="23"/>
  <c r="J87" i="23"/>
  <c r="I88" i="23"/>
  <c r="J88" i="23"/>
  <c r="I89" i="23"/>
  <c r="J89" i="23"/>
  <c r="I90" i="23"/>
  <c r="J90" i="23"/>
  <c r="I91" i="23"/>
  <c r="J91" i="23"/>
  <c r="I92" i="23"/>
  <c r="J92" i="23"/>
  <c r="A81" i="23"/>
  <c r="A82" i="23"/>
  <c r="A83" i="23"/>
  <c r="A84" i="23"/>
  <c r="A85" i="23"/>
  <c r="A86" i="23"/>
  <c r="A87" i="23"/>
  <c r="A88" i="23"/>
  <c r="A89" i="23"/>
  <c r="I49" i="3"/>
  <c r="I48" i="3"/>
  <c r="I47" i="3"/>
  <c r="I46" i="3"/>
  <c r="I45" i="3"/>
  <c r="I44" i="3"/>
  <c r="I43" i="3"/>
  <c r="I42" i="3"/>
  <c r="I41" i="3"/>
  <c r="I40" i="3"/>
  <c r="I39" i="3"/>
  <c r="I38" i="3"/>
  <c r="I37" i="3"/>
  <c r="I36" i="3"/>
  <c r="I35" i="3"/>
  <c r="I34" i="3"/>
  <c r="I33" i="3"/>
  <c r="I32" i="3"/>
  <c r="I31" i="3"/>
  <c r="I30" i="3"/>
  <c r="GZ144" i="4"/>
  <c r="GZ143" i="4"/>
  <c r="GZ142" i="4"/>
  <c r="GZ141" i="4"/>
  <c r="GZ140" i="4"/>
  <c r="GZ139" i="4"/>
  <c r="GZ138" i="4"/>
  <c r="GZ137" i="4"/>
  <c r="GZ136" i="4"/>
  <c r="GZ135" i="4"/>
  <c r="GZ134" i="4"/>
  <c r="GZ133" i="4"/>
  <c r="GZ132" i="4"/>
  <c r="GZ131" i="4"/>
  <c r="GZ130" i="4"/>
  <c r="GZ129" i="4"/>
  <c r="GZ128" i="4"/>
  <c r="GZ127" i="4"/>
  <c r="GZ126" i="4"/>
  <c r="GZ125" i="4"/>
  <c r="GZ124" i="4"/>
  <c r="GZ123" i="4"/>
  <c r="GZ122" i="4"/>
  <c r="GZ145" i="4"/>
  <c r="HC168" i="4"/>
  <c r="HC167" i="4"/>
  <c r="HC166" i="4"/>
  <c r="HC165" i="4"/>
  <c r="HC164" i="4"/>
  <c r="HC163" i="4"/>
  <c r="HC162" i="4"/>
  <c r="HC161" i="4"/>
  <c r="HC160" i="4"/>
  <c r="HC159" i="4"/>
  <c r="HC158" i="4"/>
  <c r="HC157" i="4"/>
  <c r="HC156" i="4"/>
  <c r="HC155" i="4"/>
  <c r="HC154" i="4"/>
  <c r="HC153" i="4"/>
  <c r="HC152" i="4"/>
  <c r="HC151" i="4"/>
  <c r="HC150" i="4"/>
  <c r="HC149" i="4"/>
  <c r="HC148" i="4"/>
  <c r="HC147" i="4"/>
  <c r="HC146" i="4"/>
  <c r="HC169" i="4"/>
  <c r="GC169" i="4"/>
  <c r="GC168" i="4"/>
  <c r="GC167" i="4"/>
  <c r="GC166" i="4"/>
  <c r="GC165" i="4"/>
  <c r="GC164" i="4"/>
  <c r="GC163" i="4"/>
  <c r="GC162" i="4"/>
  <c r="GC161" i="4"/>
  <c r="GC160" i="4"/>
  <c r="GC159" i="4"/>
  <c r="GC158" i="4"/>
  <c r="GC157" i="4"/>
  <c r="GC156" i="4"/>
  <c r="GC155" i="4"/>
  <c r="GC154" i="4"/>
  <c r="GC153" i="4"/>
  <c r="GC152" i="4"/>
  <c r="GC151" i="4"/>
  <c r="GC150" i="4"/>
  <c r="GC149" i="4"/>
  <c r="GC148" i="4"/>
  <c r="GC147" i="4"/>
  <c r="GC146" i="4"/>
  <c r="GJ169" i="4"/>
  <c r="GJ168" i="4"/>
  <c r="GJ167" i="4"/>
  <c r="GJ166" i="4"/>
  <c r="GJ165" i="4"/>
  <c r="GJ164" i="4"/>
  <c r="GJ163" i="4"/>
  <c r="GJ162" i="4"/>
  <c r="GJ161" i="4"/>
  <c r="GJ160" i="4"/>
  <c r="GJ159" i="4"/>
  <c r="GJ158" i="4"/>
  <c r="GJ157" i="4"/>
  <c r="GJ156" i="4"/>
  <c r="GJ155" i="4"/>
  <c r="GJ154" i="4"/>
  <c r="GJ153" i="4"/>
  <c r="GJ152" i="4"/>
  <c r="GJ151" i="4"/>
  <c r="GJ150" i="4"/>
  <c r="GJ149" i="4"/>
  <c r="GJ148" i="4"/>
  <c r="GJ147" i="4"/>
  <c r="GJ146" i="4"/>
  <c r="FH169" i="4"/>
  <c r="FH168" i="4"/>
  <c r="FH167" i="4"/>
  <c r="FH166" i="4"/>
  <c r="FH165" i="4"/>
  <c r="FH164" i="4"/>
  <c r="FH163" i="4"/>
  <c r="FH162" i="4"/>
  <c r="FH161" i="4"/>
  <c r="FH160" i="4"/>
  <c r="FH159" i="4"/>
  <c r="FH158" i="4"/>
  <c r="FH157" i="4"/>
  <c r="FH156" i="4"/>
  <c r="FH155" i="4"/>
  <c r="FH154" i="4"/>
  <c r="FH153" i="4"/>
  <c r="FH152" i="4"/>
  <c r="FH151" i="4"/>
  <c r="FH150" i="4"/>
  <c r="FH149" i="4"/>
  <c r="FH148" i="4"/>
  <c r="FH147" i="4"/>
  <c r="FH146" i="4"/>
  <c r="HM168" i="4"/>
  <c r="HM167" i="4"/>
  <c r="HM166" i="4"/>
  <c r="HM165" i="4"/>
  <c r="HM164" i="4"/>
  <c r="HM163" i="4"/>
  <c r="HM162" i="4"/>
  <c r="HM161" i="4"/>
  <c r="HM160" i="4"/>
  <c r="HM159" i="4"/>
  <c r="HM158" i="4"/>
  <c r="HM157" i="4"/>
  <c r="HM156" i="4"/>
  <c r="HM155" i="4"/>
  <c r="HM154" i="4"/>
  <c r="HM153" i="4"/>
  <c r="HM152" i="4"/>
  <c r="HM151" i="4"/>
  <c r="HM150" i="4"/>
  <c r="HM149" i="4"/>
  <c r="HM148" i="4"/>
  <c r="HM147" i="4"/>
  <c r="HM146" i="4"/>
  <c r="HM145" i="4"/>
  <c r="HM144" i="4"/>
  <c r="HM143" i="4"/>
  <c r="HM142" i="4"/>
  <c r="HM141" i="4"/>
  <c r="HM140" i="4"/>
  <c r="HM139" i="4"/>
  <c r="HM138" i="4"/>
  <c r="HM137" i="4"/>
  <c r="HM136" i="4"/>
  <c r="HM135" i="4"/>
  <c r="HM134" i="4"/>
  <c r="HM133" i="4"/>
  <c r="HM132" i="4"/>
  <c r="HM131" i="4"/>
  <c r="HM130" i="4"/>
  <c r="HM129" i="4"/>
  <c r="HM128" i="4"/>
  <c r="HM127" i="4"/>
  <c r="HM126" i="4"/>
  <c r="HM125" i="4"/>
  <c r="HM124" i="4"/>
  <c r="HM123" i="4"/>
  <c r="HM122" i="4"/>
  <c r="HM121" i="4"/>
  <c r="HM120" i="4"/>
  <c r="HM119" i="4"/>
  <c r="HM118" i="4"/>
  <c r="HM117" i="4"/>
  <c r="HM116" i="4"/>
  <c r="HM115" i="4"/>
  <c r="HM114" i="4"/>
  <c r="HM113" i="4"/>
  <c r="HM112" i="4"/>
  <c r="HM111" i="4"/>
  <c r="HM110" i="4"/>
  <c r="HM109" i="4"/>
  <c r="HM108" i="4"/>
  <c r="HM107" i="4"/>
  <c r="HM106" i="4"/>
  <c r="HM105" i="4"/>
  <c r="HM169" i="4"/>
  <c r="A170" i="22"/>
  <c r="A171" i="22"/>
  <c r="A172" i="22"/>
  <c r="A173" i="22"/>
  <c r="A174" i="22"/>
  <c r="A175" i="22"/>
  <c r="A176" i="22"/>
  <c r="A177" i="22"/>
  <c r="A178" i="22"/>
  <c r="A179" i="22"/>
  <c r="A180" i="22"/>
  <c r="A181" i="22"/>
  <c r="GT169" i="4"/>
  <c r="GT168" i="4"/>
  <c r="GT167" i="4"/>
  <c r="GT166" i="4"/>
  <c r="GT165" i="4"/>
  <c r="GT164" i="4"/>
  <c r="GT163" i="4"/>
  <c r="GT162" i="4"/>
  <c r="GT161" i="4"/>
  <c r="GT160" i="4"/>
  <c r="GT159" i="4"/>
  <c r="GT158" i="4"/>
  <c r="GT157" i="4"/>
  <c r="GT156" i="4"/>
  <c r="GT155" i="4"/>
  <c r="GT154" i="4"/>
  <c r="GT153" i="4"/>
  <c r="GT152" i="4"/>
  <c r="GT151" i="4"/>
  <c r="GT150" i="4"/>
  <c r="GT149" i="4"/>
  <c r="GT148" i="4"/>
  <c r="GT147" i="4"/>
  <c r="GT146" i="4"/>
  <c r="FS169" i="4"/>
  <c r="FS168" i="4"/>
  <c r="FS167" i="4"/>
  <c r="FS166" i="4"/>
  <c r="FS165" i="4"/>
  <c r="FS164" i="4"/>
  <c r="FS163" i="4"/>
  <c r="FS162" i="4"/>
  <c r="FS161" i="4"/>
  <c r="FS160" i="4"/>
  <c r="FS159" i="4"/>
  <c r="FS158" i="4"/>
  <c r="FS157" i="4"/>
  <c r="FS156" i="4"/>
  <c r="FS155" i="4"/>
  <c r="FS154" i="4"/>
  <c r="FS153" i="4"/>
  <c r="FS152" i="4"/>
  <c r="FS151" i="4"/>
  <c r="FS150" i="4"/>
  <c r="FS149" i="4"/>
  <c r="FS148" i="4"/>
  <c r="FS147" i="4"/>
  <c r="FS146" i="4"/>
  <c r="P168" i="4"/>
  <c r="Q168" i="4"/>
  <c r="R168" i="4"/>
  <c r="O168" i="4"/>
  <c r="P167" i="4"/>
  <c r="Q167" i="4"/>
  <c r="R167" i="4"/>
  <c r="O167" i="4"/>
  <c r="P166" i="4"/>
  <c r="Q166" i="4"/>
  <c r="R166" i="4"/>
  <c r="O166" i="4"/>
  <c r="P165" i="4"/>
  <c r="Q165" i="4"/>
  <c r="R165" i="4"/>
  <c r="O165" i="4"/>
  <c r="P164" i="4"/>
  <c r="Q164" i="4"/>
  <c r="R164" i="4"/>
  <c r="O164" i="4"/>
  <c r="P163" i="4"/>
  <c r="Q163" i="4"/>
  <c r="R163" i="4"/>
  <c r="O163" i="4"/>
  <c r="P162" i="4"/>
  <c r="Q162" i="4"/>
  <c r="R162" i="4"/>
  <c r="O162" i="4"/>
  <c r="P161" i="4"/>
  <c r="Q161" i="4"/>
  <c r="R161" i="4"/>
  <c r="O161" i="4"/>
  <c r="P160" i="4"/>
  <c r="Q160" i="4"/>
  <c r="R160" i="4"/>
  <c r="O160" i="4"/>
  <c r="P159" i="4"/>
  <c r="Q159" i="4"/>
  <c r="R159" i="4"/>
  <c r="O159" i="4"/>
  <c r="P158" i="4"/>
  <c r="Q158" i="4"/>
  <c r="R158" i="4"/>
  <c r="O158" i="4"/>
  <c r="P157" i="4"/>
  <c r="Q157" i="4"/>
  <c r="R157" i="4"/>
  <c r="O157" i="4"/>
  <c r="P156" i="4"/>
  <c r="Q156" i="4"/>
  <c r="R156" i="4"/>
  <c r="O156" i="4"/>
  <c r="P155" i="4"/>
  <c r="Q155" i="4"/>
  <c r="R155" i="4"/>
  <c r="O155" i="4"/>
  <c r="P154" i="4"/>
  <c r="Q154" i="4"/>
  <c r="R154" i="4"/>
  <c r="O154" i="4"/>
  <c r="P153" i="4"/>
  <c r="Q153" i="4"/>
  <c r="R153" i="4"/>
  <c r="O153" i="4"/>
  <c r="P152" i="4"/>
  <c r="Q152" i="4"/>
  <c r="R152" i="4"/>
  <c r="O152" i="4"/>
  <c r="P151" i="4"/>
  <c r="Q151" i="4"/>
  <c r="R151" i="4"/>
  <c r="O151" i="4"/>
  <c r="P150" i="4"/>
  <c r="Q150" i="4"/>
  <c r="R150" i="4"/>
  <c r="O150" i="4"/>
  <c r="P149" i="4"/>
  <c r="Q149" i="4"/>
  <c r="R149" i="4"/>
  <c r="O149" i="4"/>
  <c r="P148" i="4"/>
  <c r="Q148" i="4"/>
  <c r="R148" i="4"/>
  <c r="O148" i="4"/>
  <c r="P147" i="4"/>
  <c r="Q147" i="4"/>
  <c r="R147" i="4"/>
  <c r="O147" i="4"/>
  <c r="P146" i="4"/>
  <c r="Q146" i="4"/>
  <c r="R146" i="4"/>
  <c r="O146" i="4"/>
  <c r="R145" i="4"/>
  <c r="Q145" i="4"/>
  <c r="O145" i="4"/>
  <c r="R144" i="4"/>
  <c r="Q144" i="4"/>
  <c r="O144" i="4"/>
  <c r="R143" i="4"/>
  <c r="Q143" i="4"/>
  <c r="O143" i="4"/>
  <c r="R142" i="4"/>
  <c r="Q142" i="4"/>
  <c r="O142" i="4"/>
  <c r="R141" i="4"/>
  <c r="Q141" i="4"/>
  <c r="O141" i="4"/>
  <c r="R140" i="4"/>
  <c r="Q140" i="4"/>
  <c r="O140" i="4"/>
  <c r="R139" i="4"/>
  <c r="Q139" i="4"/>
  <c r="O139" i="4"/>
  <c r="R138" i="4"/>
  <c r="Q138" i="4"/>
  <c r="O138" i="4"/>
  <c r="R137" i="4"/>
  <c r="Q137" i="4"/>
  <c r="O137" i="4"/>
  <c r="R136" i="4"/>
  <c r="Q136" i="4"/>
  <c r="O136" i="4"/>
  <c r="R135" i="4"/>
  <c r="Q135" i="4"/>
  <c r="O135" i="4"/>
  <c r="R134" i="4"/>
  <c r="Q134" i="4"/>
  <c r="O134" i="4"/>
  <c r="R133" i="4"/>
  <c r="Q133" i="4"/>
  <c r="O133" i="4"/>
  <c r="R132" i="4"/>
  <c r="Q132" i="4"/>
  <c r="O132" i="4"/>
  <c r="R131" i="4"/>
  <c r="Q131" i="4"/>
  <c r="O131" i="4"/>
  <c r="R130" i="4"/>
  <c r="Q130" i="4"/>
  <c r="O130" i="4"/>
  <c r="R129" i="4"/>
  <c r="Q129" i="4"/>
  <c r="O129" i="4"/>
  <c r="R128" i="4"/>
  <c r="Q128" i="4"/>
  <c r="O128" i="4"/>
  <c r="R127" i="4"/>
  <c r="Q127" i="4"/>
  <c r="O127" i="4"/>
  <c r="R126" i="4"/>
  <c r="Q126" i="4"/>
  <c r="O126" i="4"/>
  <c r="R125" i="4"/>
  <c r="Q125" i="4"/>
  <c r="O125" i="4"/>
  <c r="R124" i="4"/>
  <c r="Q124" i="4"/>
  <c r="O124" i="4"/>
  <c r="R123" i="4"/>
  <c r="Q123" i="4"/>
  <c r="O123" i="4"/>
  <c r="R122" i="4"/>
  <c r="Q122" i="4"/>
  <c r="O122" i="4"/>
  <c r="R121" i="4"/>
  <c r="Q121" i="4"/>
  <c r="O121" i="4"/>
  <c r="R120" i="4"/>
  <c r="Q120" i="4"/>
  <c r="O120" i="4"/>
  <c r="R119" i="4"/>
  <c r="Q119" i="4"/>
  <c r="O119" i="4"/>
  <c r="R118" i="4"/>
  <c r="Q118" i="4"/>
  <c r="O118" i="4"/>
  <c r="R117" i="4"/>
  <c r="Q117" i="4"/>
  <c r="O117" i="4"/>
  <c r="R116" i="4"/>
  <c r="Q116" i="4"/>
  <c r="O116" i="4"/>
  <c r="R115" i="4"/>
  <c r="Q115" i="4"/>
  <c r="O115" i="4"/>
  <c r="R114" i="4"/>
  <c r="Q114" i="4"/>
  <c r="O114" i="4"/>
  <c r="R113" i="4"/>
  <c r="Q113" i="4"/>
  <c r="O113" i="4"/>
  <c r="R112" i="4"/>
  <c r="Q112" i="4"/>
  <c r="O112" i="4"/>
  <c r="R111" i="4"/>
  <c r="Q111" i="4"/>
  <c r="O111" i="4"/>
  <c r="R110" i="4"/>
  <c r="Q110" i="4"/>
  <c r="O110" i="4"/>
  <c r="R109" i="4"/>
  <c r="Q109" i="4"/>
  <c r="O109" i="4"/>
  <c r="R108" i="4"/>
  <c r="Q108" i="4"/>
  <c r="O108" i="4"/>
  <c r="R107" i="4"/>
  <c r="Q107" i="4"/>
  <c r="O107" i="4"/>
  <c r="R106" i="4"/>
  <c r="Q106" i="4"/>
  <c r="O106" i="4"/>
  <c r="R105" i="4"/>
  <c r="Q105" i="4"/>
  <c r="O105" i="4"/>
  <c r="P169" i="4"/>
  <c r="Q169" i="4"/>
  <c r="R169" i="4"/>
  <c r="O169" i="4"/>
  <c r="CH107" i="4"/>
  <c r="FJ168" i="4"/>
  <c r="FJ167" i="4"/>
  <c r="FJ166" i="4"/>
  <c r="FJ165" i="4"/>
  <c r="FJ164" i="4"/>
  <c r="FJ163" i="4"/>
  <c r="FJ162" i="4"/>
  <c r="FJ161" i="4"/>
  <c r="FJ160" i="4"/>
  <c r="FJ159" i="4"/>
  <c r="FJ158" i="4"/>
  <c r="FJ157" i="4"/>
  <c r="FJ156" i="4"/>
  <c r="FJ155" i="4"/>
  <c r="FJ154" i="4"/>
  <c r="FJ153" i="4"/>
  <c r="FJ152" i="4"/>
  <c r="FJ151" i="4"/>
  <c r="FJ150" i="4"/>
  <c r="FJ149" i="4"/>
  <c r="FJ148" i="4"/>
  <c r="FJ147" i="4"/>
  <c r="FJ146" i="4"/>
  <c r="FJ145" i="4"/>
  <c r="FJ144" i="4"/>
  <c r="FJ143" i="4"/>
  <c r="FJ142" i="4"/>
  <c r="FJ141" i="4"/>
  <c r="FJ140" i="4"/>
  <c r="FJ139" i="4"/>
  <c r="FJ138" i="4"/>
  <c r="FJ137" i="4"/>
  <c r="FJ136" i="4"/>
  <c r="FJ135" i="4"/>
  <c r="FJ134" i="4"/>
  <c r="FJ133" i="4"/>
  <c r="FJ132" i="4"/>
  <c r="FJ131" i="4"/>
  <c r="FJ130" i="4"/>
  <c r="FJ129" i="4"/>
  <c r="FJ128" i="4"/>
  <c r="FJ127" i="4"/>
  <c r="FJ126" i="4"/>
  <c r="FJ125" i="4"/>
  <c r="FJ124" i="4"/>
  <c r="FJ123" i="4"/>
  <c r="FJ122" i="4"/>
  <c r="FJ121" i="4"/>
  <c r="FJ120" i="4"/>
  <c r="FJ119" i="4"/>
  <c r="FJ118" i="4"/>
  <c r="FJ117" i="4"/>
  <c r="FJ116" i="4"/>
  <c r="FJ115" i="4"/>
  <c r="FJ114" i="4"/>
  <c r="FJ113" i="4"/>
  <c r="FJ112" i="4"/>
  <c r="FJ111" i="4"/>
  <c r="FJ110" i="4"/>
  <c r="FJ109" i="4"/>
  <c r="FJ108" i="4"/>
  <c r="FJ107" i="4"/>
  <c r="FJ169" i="4"/>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1" i="21"/>
  <c r="A122" i="21"/>
  <c r="A123" i="21"/>
  <c r="A124" i="21"/>
  <c r="A125" i="21"/>
  <c r="A126" i="21"/>
  <c r="A127" i="21"/>
  <c r="A128" i="21"/>
  <c r="A129" i="21"/>
  <c r="A130" i="21"/>
  <c r="A131" i="21"/>
  <c r="A132" i="21"/>
  <c r="A133" i="21"/>
  <c r="A134" i="21"/>
  <c r="A135" i="21"/>
  <c r="A136" i="21"/>
  <c r="A137" i="21"/>
  <c r="A138" i="21"/>
  <c r="A139" i="21"/>
  <c r="A140" i="21"/>
  <c r="A141" i="21"/>
  <c r="A170" i="21"/>
  <c r="A171" i="21"/>
  <c r="A172" i="21"/>
  <c r="A173" i="21"/>
  <c r="A174" i="21"/>
  <c r="A175" i="21"/>
  <c r="A176" i="21"/>
  <c r="A177" i="21"/>
  <c r="A178" i="21"/>
  <c r="A179" i="21"/>
  <c r="A180" i="21"/>
  <c r="A181" i="21"/>
  <c r="CS169" i="4"/>
  <c r="CS168" i="4"/>
  <c r="CS167" i="4"/>
  <c r="CS166" i="4"/>
  <c r="CS165" i="4"/>
  <c r="CS164" i="4"/>
  <c r="CS163" i="4"/>
  <c r="CS162" i="4"/>
  <c r="CS161" i="4"/>
  <c r="CS160" i="4"/>
  <c r="CS159" i="4"/>
  <c r="CS158" i="4"/>
  <c r="CS157" i="4"/>
  <c r="CS156" i="4"/>
  <c r="CS155" i="4"/>
  <c r="CS154" i="4"/>
  <c r="CS153" i="4"/>
  <c r="CS152" i="4"/>
  <c r="CS151" i="4"/>
  <c r="CS150" i="4"/>
  <c r="CS149" i="4"/>
  <c r="CS148" i="4"/>
  <c r="CS147" i="4"/>
  <c r="CS144" i="4"/>
  <c r="CS143" i="4"/>
  <c r="CS142" i="4"/>
  <c r="CS141" i="4"/>
  <c r="CS140" i="4"/>
  <c r="CS139" i="4"/>
  <c r="CS138" i="4"/>
  <c r="CS137" i="4"/>
  <c r="CS136" i="4"/>
  <c r="CS135" i="4"/>
  <c r="CS134" i="4"/>
  <c r="CS133" i="4"/>
  <c r="CS132" i="4"/>
  <c r="CS131" i="4"/>
  <c r="CS130" i="4"/>
  <c r="CS129" i="4"/>
  <c r="CS128" i="4"/>
  <c r="CS127" i="4"/>
  <c r="CS126" i="4"/>
  <c r="CS125" i="4"/>
  <c r="CS124" i="4"/>
  <c r="CS123" i="4"/>
  <c r="CS122" i="4"/>
  <c r="CS121" i="4"/>
  <c r="CS120" i="4"/>
  <c r="CS119" i="4"/>
  <c r="CS118" i="4"/>
  <c r="CS117" i="4"/>
  <c r="CS116" i="4"/>
  <c r="CS115" i="4"/>
  <c r="CS114" i="4"/>
  <c r="CS113" i="4"/>
  <c r="CS112" i="4"/>
  <c r="CS111" i="4"/>
  <c r="CS110" i="4"/>
  <c r="CS109" i="4"/>
  <c r="CS108" i="4"/>
  <c r="CS107" i="4"/>
  <c r="BW169" i="4"/>
  <c r="BW168" i="4"/>
  <c r="BW167" i="4"/>
  <c r="BW166" i="4"/>
  <c r="BW165" i="4"/>
  <c r="BW164" i="4"/>
  <c r="BW163" i="4"/>
  <c r="BW162" i="4"/>
  <c r="BW161" i="4"/>
  <c r="BW160" i="4"/>
  <c r="BW159" i="4"/>
  <c r="BW158" i="4"/>
  <c r="BW157" i="4"/>
  <c r="BW156" i="4"/>
  <c r="BW155" i="4"/>
  <c r="BW154" i="4"/>
  <c r="BW153" i="4"/>
  <c r="BW152" i="4"/>
  <c r="BW151" i="4"/>
  <c r="BW150" i="4"/>
  <c r="BW149" i="4"/>
  <c r="BW148" i="4"/>
  <c r="BW147" i="4"/>
  <c r="BW144" i="4"/>
  <c r="BW143" i="4"/>
  <c r="BW142" i="4"/>
  <c r="BW141" i="4"/>
  <c r="BW140" i="4"/>
  <c r="BW139" i="4"/>
  <c r="BW138" i="4"/>
  <c r="BW137" i="4"/>
  <c r="BW136" i="4"/>
  <c r="BW135" i="4"/>
  <c r="BW134" i="4"/>
  <c r="BW133" i="4"/>
  <c r="BW132" i="4"/>
  <c r="BW131" i="4"/>
  <c r="BW130" i="4"/>
  <c r="BW129" i="4"/>
  <c r="BW128" i="4"/>
  <c r="BW127" i="4"/>
  <c r="BW126" i="4"/>
  <c r="BW125" i="4"/>
  <c r="BW124" i="4"/>
  <c r="BW123" i="4"/>
  <c r="BW122" i="4"/>
  <c r="BW121" i="4"/>
  <c r="BW120" i="4"/>
  <c r="BW119" i="4"/>
  <c r="BW118" i="4"/>
  <c r="BW117" i="4"/>
  <c r="BW116" i="4"/>
  <c r="BW115" i="4"/>
  <c r="BW114" i="4"/>
  <c r="BW113" i="4"/>
  <c r="BW112" i="4"/>
  <c r="BW111" i="4"/>
  <c r="BW110" i="4"/>
  <c r="BW109" i="4"/>
  <c r="BW108" i="4"/>
  <c r="BW107"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CO168" i="4"/>
  <c r="CO167" i="4"/>
  <c r="CO166" i="4"/>
  <c r="CO165" i="4"/>
  <c r="CO164" i="4"/>
  <c r="CO163" i="4"/>
  <c r="CO162" i="4"/>
  <c r="CO161" i="4"/>
  <c r="CO160" i="4"/>
  <c r="CO159" i="4"/>
  <c r="CO158" i="4"/>
  <c r="CO157" i="4"/>
  <c r="CO156" i="4"/>
  <c r="CO155" i="4"/>
  <c r="CO154" i="4"/>
  <c r="CO153" i="4"/>
  <c r="CO152" i="4"/>
  <c r="CO151" i="4"/>
  <c r="CO150" i="4"/>
  <c r="CO149" i="4"/>
  <c r="CO148" i="4"/>
  <c r="CO147" i="4"/>
  <c r="CO146" i="4"/>
  <c r="CO145" i="4"/>
  <c r="CO144" i="4"/>
  <c r="CO143" i="4"/>
  <c r="CO142" i="4"/>
  <c r="CO141" i="4"/>
  <c r="CO140" i="4"/>
  <c r="CO139" i="4"/>
  <c r="CO138" i="4"/>
  <c r="CO137" i="4"/>
  <c r="CO136" i="4"/>
  <c r="CO135" i="4"/>
  <c r="CO134" i="4"/>
  <c r="CO133" i="4"/>
  <c r="CO132" i="4"/>
  <c r="CO131" i="4"/>
  <c r="CO130" i="4"/>
  <c r="CO129" i="4"/>
  <c r="CO128" i="4"/>
  <c r="CO127" i="4"/>
  <c r="CO126" i="4"/>
  <c r="CO125" i="4"/>
  <c r="CO124" i="4"/>
  <c r="CO123" i="4"/>
  <c r="CO122" i="4"/>
  <c r="CO121" i="4"/>
  <c r="CO120" i="4"/>
  <c r="CO119" i="4"/>
  <c r="CO118" i="4"/>
  <c r="CO117" i="4"/>
  <c r="CO116" i="4"/>
  <c r="CO115" i="4"/>
  <c r="CO114" i="4"/>
  <c r="CO113" i="4"/>
  <c r="CO112" i="4"/>
  <c r="CO111" i="4"/>
  <c r="CO110" i="4"/>
  <c r="CO109" i="4"/>
  <c r="CO108" i="4"/>
  <c r="CO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69" i="4"/>
  <c r="Y168" i="4"/>
  <c r="Y167" i="4"/>
  <c r="Y166" i="4"/>
  <c r="Y165" i="4"/>
  <c r="Y164" i="4"/>
  <c r="Y163" i="4"/>
  <c r="Y162" i="4"/>
  <c r="Y161" i="4"/>
  <c r="Y160" i="4"/>
  <c r="Y159" i="4"/>
  <c r="Y158" i="4"/>
  <c r="Y157" i="4"/>
  <c r="Y156" i="4"/>
  <c r="Y155" i="4"/>
  <c r="Y154" i="4"/>
  <c r="Y153" i="4"/>
  <c r="Y152" i="4"/>
  <c r="Y151" i="4"/>
  <c r="Y150" i="4"/>
  <c r="Y149" i="4"/>
  <c r="Y148" i="4"/>
  <c r="Y147" i="4"/>
  <c r="Y146"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69" i="4"/>
  <c r="AH169" i="4"/>
  <c r="AG169" i="4"/>
  <c r="AF169" i="4"/>
  <c r="AH168" i="4"/>
  <c r="AG168" i="4"/>
  <c r="AF168" i="4"/>
  <c r="AH167" i="4"/>
  <c r="AG167" i="4"/>
  <c r="AF167" i="4"/>
  <c r="AH166" i="4"/>
  <c r="AG166" i="4"/>
  <c r="AF166" i="4"/>
  <c r="AH165" i="4"/>
  <c r="AG165" i="4"/>
  <c r="AF165" i="4"/>
  <c r="AH164" i="4"/>
  <c r="AG164" i="4"/>
  <c r="AF164" i="4"/>
  <c r="AH163" i="4"/>
  <c r="AG163" i="4"/>
  <c r="AF163" i="4"/>
  <c r="AH162" i="4"/>
  <c r="AG162" i="4"/>
  <c r="AF162" i="4"/>
  <c r="AH161" i="4"/>
  <c r="AG161" i="4"/>
  <c r="AF161" i="4"/>
  <c r="AH160" i="4"/>
  <c r="AG160" i="4"/>
  <c r="AF160" i="4"/>
  <c r="AH159" i="4"/>
  <c r="AG159" i="4"/>
  <c r="AF159" i="4"/>
  <c r="AH158" i="4"/>
  <c r="AG158" i="4"/>
  <c r="AF158" i="4"/>
  <c r="AH157" i="4"/>
  <c r="AG157" i="4"/>
  <c r="AF157" i="4"/>
  <c r="AH156" i="4"/>
  <c r="AG156" i="4"/>
  <c r="AF156" i="4"/>
  <c r="AH155" i="4"/>
  <c r="AG155" i="4"/>
  <c r="AF155" i="4"/>
  <c r="AH154" i="4"/>
  <c r="AG154" i="4"/>
  <c r="AF154" i="4"/>
  <c r="AH153" i="4"/>
  <c r="AG153" i="4"/>
  <c r="AF153" i="4"/>
  <c r="AH152" i="4"/>
  <c r="AG152" i="4"/>
  <c r="AF152" i="4"/>
  <c r="AH151" i="4"/>
  <c r="AG151" i="4"/>
  <c r="AF151" i="4"/>
  <c r="AH150" i="4"/>
  <c r="AG150" i="4"/>
  <c r="AF150" i="4"/>
  <c r="AH149" i="4"/>
  <c r="AG149" i="4"/>
  <c r="AF149" i="4"/>
  <c r="AH148" i="4"/>
  <c r="AG148" i="4"/>
  <c r="AF148" i="4"/>
  <c r="AH147" i="4"/>
  <c r="AG147" i="4"/>
  <c r="AF147" i="4"/>
  <c r="CH169" i="4"/>
  <c r="CH168" i="4"/>
  <c r="CH167" i="4"/>
  <c r="CH166" i="4"/>
  <c r="CH165" i="4"/>
  <c r="CH164" i="4"/>
  <c r="CH163" i="4"/>
  <c r="CH162" i="4"/>
  <c r="CH161" i="4"/>
  <c r="CH160" i="4"/>
  <c r="CH159" i="4"/>
  <c r="CH158" i="4"/>
  <c r="CH157" i="4"/>
  <c r="CH156" i="4"/>
  <c r="CH155" i="4"/>
  <c r="CH154" i="4"/>
  <c r="CH153" i="4"/>
  <c r="CH152" i="4"/>
  <c r="CH151" i="4"/>
  <c r="CH150" i="4"/>
  <c r="CH149" i="4"/>
  <c r="CH148" i="4"/>
  <c r="CH147" i="4"/>
  <c r="CH144" i="4"/>
  <c r="CH143" i="4"/>
  <c r="CH142" i="4"/>
  <c r="CH141" i="4"/>
  <c r="CH140" i="4"/>
  <c r="CH139" i="4"/>
  <c r="CH138" i="4"/>
  <c r="CH137" i="4"/>
  <c r="CH136" i="4"/>
  <c r="CH135" i="4"/>
  <c r="CH134" i="4"/>
  <c r="CH133" i="4"/>
  <c r="CH132" i="4"/>
  <c r="CH131" i="4"/>
  <c r="CH130" i="4"/>
  <c r="CH129" i="4"/>
  <c r="CH128" i="4"/>
  <c r="CH127" i="4"/>
  <c r="CH126" i="4"/>
  <c r="CH125" i="4"/>
  <c r="CH124" i="4"/>
  <c r="CH123" i="4"/>
  <c r="CH122" i="4"/>
  <c r="CH121" i="4"/>
  <c r="CH120" i="4"/>
  <c r="CH119" i="4"/>
  <c r="CH118" i="4"/>
  <c r="CH117" i="4"/>
  <c r="CH116" i="4"/>
  <c r="CH115" i="4"/>
  <c r="CH114" i="4"/>
  <c r="CH113" i="4"/>
  <c r="CH112" i="4"/>
  <c r="CH111" i="4"/>
  <c r="CH110" i="4"/>
  <c r="CH109" i="4"/>
  <c r="CH108" i="4"/>
  <c r="DN168" i="4"/>
  <c r="DN167" i="4"/>
  <c r="DN166" i="4"/>
  <c r="DN165" i="4"/>
  <c r="DN164" i="4"/>
  <c r="DN163" i="4"/>
  <c r="DN162" i="4"/>
  <c r="DN161" i="4"/>
  <c r="DN160" i="4"/>
  <c r="DN159" i="4"/>
  <c r="DN158" i="4"/>
  <c r="DN157" i="4"/>
  <c r="DN156" i="4"/>
  <c r="DN155" i="4"/>
  <c r="DN154" i="4"/>
  <c r="DN153" i="4"/>
  <c r="DN152" i="4"/>
  <c r="DN151" i="4"/>
  <c r="DN150" i="4"/>
  <c r="DN149" i="4"/>
  <c r="DN148" i="4"/>
  <c r="DN147" i="4"/>
  <c r="DN146" i="4"/>
  <c r="DN145" i="4"/>
  <c r="DN144" i="4"/>
  <c r="DN143" i="4"/>
  <c r="DN142" i="4"/>
  <c r="DN141" i="4"/>
  <c r="DN140" i="4"/>
  <c r="DN139" i="4"/>
  <c r="DN138" i="4"/>
  <c r="DN137" i="4"/>
  <c r="DN136" i="4"/>
  <c r="DN135" i="4"/>
  <c r="DN134" i="4"/>
  <c r="DN133" i="4"/>
  <c r="DN132" i="4"/>
  <c r="DN131" i="4"/>
  <c r="DN130" i="4"/>
  <c r="DN129" i="4"/>
  <c r="DN128" i="4"/>
  <c r="DN127" i="4"/>
  <c r="DN126" i="4"/>
  <c r="DN125" i="4"/>
  <c r="DN124" i="4"/>
  <c r="DN123" i="4"/>
  <c r="DN169" i="4"/>
  <c r="DL121" i="4"/>
  <c r="DL120" i="4"/>
  <c r="DL119" i="4"/>
  <c r="DL118" i="4"/>
  <c r="DL117" i="4"/>
  <c r="DL116" i="4"/>
  <c r="DL115" i="4"/>
  <c r="DL114" i="4"/>
  <c r="DL113" i="4"/>
  <c r="DL112" i="4"/>
  <c r="DL111" i="4"/>
  <c r="DL110" i="4"/>
  <c r="DL109" i="4"/>
  <c r="DL108" i="4"/>
  <c r="DL107" i="4"/>
  <c r="DL105" i="4"/>
  <c r="DM168" i="4"/>
  <c r="DM167" i="4"/>
  <c r="DM166" i="4"/>
  <c r="DM165" i="4"/>
  <c r="DM164" i="4"/>
  <c r="DM163" i="4"/>
  <c r="DM162" i="4"/>
  <c r="DM161" i="4"/>
  <c r="DM160" i="4"/>
  <c r="DM159" i="4"/>
  <c r="DM158" i="4"/>
  <c r="DM157" i="4"/>
  <c r="DM156" i="4"/>
  <c r="DM155" i="4"/>
  <c r="DM154" i="4"/>
  <c r="DM153" i="4"/>
  <c r="DM152" i="4"/>
  <c r="DM151" i="4"/>
  <c r="DM150" i="4"/>
  <c r="DM149" i="4"/>
  <c r="DM148" i="4"/>
  <c r="DM147" i="4"/>
  <c r="DM146" i="4"/>
  <c r="DM145" i="4"/>
  <c r="DM144" i="4"/>
  <c r="DM143" i="4"/>
  <c r="DM142" i="4"/>
  <c r="DM141" i="4"/>
  <c r="DM140" i="4"/>
  <c r="DM139" i="4"/>
  <c r="DM138" i="4"/>
  <c r="DM137" i="4"/>
  <c r="DM136" i="4"/>
  <c r="DM135" i="4"/>
  <c r="DM134" i="4"/>
  <c r="DM133" i="4"/>
  <c r="DM132" i="4"/>
  <c r="DM131" i="4"/>
  <c r="DM130" i="4"/>
  <c r="DM129" i="4"/>
  <c r="DM128" i="4"/>
  <c r="DM127" i="4"/>
  <c r="DM126" i="4"/>
  <c r="DM125" i="4"/>
  <c r="DM124" i="4"/>
  <c r="DM123" i="4"/>
  <c r="DM122" i="4"/>
  <c r="DM121" i="4"/>
  <c r="DM120" i="4"/>
  <c r="DM119" i="4"/>
  <c r="DM118" i="4"/>
  <c r="DM117" i="4"/>
  <c r="DM116" i="4"/>
  <c r="DM115" i="4"/>
  <c r="DM114" i="4"/>
  <c r="DM113" i="4"/>
  <c r="DM112" i="4"/>
  <c r="DM111" i="4"/>
  <c r="DM110" i="4"/>
  <c r="DM109" i="4"/>
  <c r="DM108" i="4"/>
  <c r="DM107" i="4"/>
  <c r="DM106" i="4"/>
  <c r="DM105" i="4"/>
  <c r="DM169" i="4"/>
  <c r="DL169" i="4"/>
  <c r="DL168" i="4"/>
  <c r="DL167" i="4"/>
  <c r="DL166" i="4"/>
  <c r="DL165" i="4"/>
  <c r="DL164" i="4"/>
  <c r="DL163" i="4"/>
  <c r="DL162" i="4"/>
  <c r="DL161" i="4"/>
  <c r="DL160" i="4"/>
  <c r="DL159" i="4"/>
  <c r="DL158" i="4"/>
  <c r="DL157" i="4"/>
  <c r="DL156" i="4"/>
  <c r="DL155" i="4"/>
  <c r="DL154" i="4"/>
  <c r="DL153" i="4"/>
  <c r="DL152" i="4"/>
  <c r="DL151" i="4"/>
  <c r="DL150" i="4"/>
  <c r="DL149" i="4"/>
  <c r="DL148" i="4"/>
  <c r="DL147" i="4"/>
  <c r="DL144" i="4"/>
  <c r="DL143" i="4"/>
  <c r="DL142" i="4"/>
  <c r="DL141" i="4"/>
  <c r="DL140" i="4"/>
  <c r="DL139" i="4"/>
  <c r="DL138" i="4"/>
  <c r="DL137" i="4"/>
  <c r="DL136" i="4"/>
  <c r="DL135" i="4"/>
  <c r="DL134" i="4"/>
  <c r="DL133" i="4"/>
  <c r="DL132" i="4"/>
  <c r="DL131" i="4"/>
  <c r="DL130" i="4"/>
  <c r="DL129" i="4"/>
  <c r="DL128" i="4"/>
  <c r="DL127" i="4"/>
  <c r="DL126" i="4"/>
  <c r="DL125" i="4"/>
  <c r="DL124" i="4"/>
  <c r="DL123" i="4"/>
  <c r="DL122" i="4"/>
  <c r="H166" i="13"/>
  <c r="G166" i="13"/>
  <c r="H165" i="13"/>
  <c r="G165" i="13"/>
  <c r="H164" i="13"/>
  <c r="G164" i="13"/>
  <c r="H163" i="13"/>
  <c r="G163" i="13"/>
  <c r="H162" i="13"/>
  <c r="G162" i="13"/>
  <c r="H161" i="13"/>
  <c r="G161" i="13"/>
  <c r="H160" i="13"/>
  <c r="G160" i="13"/>
  <c r="H159" i="13"/>
  <c r="G159" i="13"/>
  <c r="H158" i="13"/>
  <c r="G158" i="13"/>
  <c r="H157" i="13"/>
  <c r="G157" i="13"/>
  <c r="H156" i="13"/>
  <c r="G156" i="13"/>
  <c r="H155" i="13"/>
  <c r="G155" i="13"/>
  <c r="H154" i="13"/>
  <c r="G154" i="13"/>
  <c r="H153" i="13"/>
  <c r="G153" i="13"/>
  <c r="H152" i="13"/>
  <c r="G152" i="13"/>
  <c r="H151" i="13"/>
  <c r="G151" i="13"/>
  <c r="H150" i="13"/>
  <c r="G150" i="13"/>
  <c r="H149" i="13"/>
  <c r="G149" i="13"/>
  <c r="H148" i="13"/>
  <c r="G148" i="13"/>
  <c r="H147" i="13"/>
  <c r="G147" i="13"/>
  <c r="H146" i="13"/>
  <c r="G146" i="13"/>
  <c r="H145" i="13"/>
  <c r="G145" i="13"/>
  <c r="H144" i="13"/>
  <c r="G144" i="13"/>
  <c r="H141" i="13"/>
  <c r="G141" i="13"/>
  <c r="H140" i="13"/>
  <c r="G140" i="13"/>
  <c r="H139" i="13"/>
  <c r="G139" i="13"/>
  <c r="H138" i="13"/>
  <c r="G138" i="13"/>
  <c r="H137" i="13"/>
  <c r="G137" i="13"/>
  <c r="H136" i="13"/>
  <c r="G136" i="13"/>
  <c r="H135" i="13"/>
  <c r="G135" i="13"/>
  <c r="H134" i="13"/>
  <c r="G134" i="13"/>
  <c r="H133" i="13"/>
  <c r="G133" i="13"/>
  <c r="H132" i="13"/>
  <c r="G132" i="13"/>
  <c r="H131" i="13"/>
  <c r="G131" i="13"/>
  <c r="H130" i="13"/>
  <c r="G130" i="13"/>
  <c r="H129" i="13"/>
  <c r="G129" i="13"/>
  <c r="H128" i="13"/>
  <c r="G128" i="13"/>
  <c r="H127" i="13"/>
  <c r="G127" i="13"/>
  <c r="H126" i="13"/>
  <c r="G126" i="13"/>
  <c r="H125" i="13"/>
  <c r="G125" i="13"/>
  <c r="H124" i="13"/>
  <c r="G124" i="13"/>
  <c r="H123" i="13"/>
  <c r="G123" i="13"/>
  <c r="H122" i="13"/>
  <c r="G122" i="13"/>
  <c r="H121" i="13"/>
  <c r="G121" i="13"/>
  <c r="H120" i="13"/>
  <c r="G120" i="13"/>
  <c r="H119" i="13"/>
  <c r="G119" i="13"/>
  <c r="H118" i="13"/>
  <c r="G118" i="13"/>
  <c r="H117" i="13"/>
  <c r="G117" i="13"/>
  <c r="H116" i="13"/>
  <c r="G116" i="13"/>
  <c r="H115" i="13"/>
  <c r="G115" i="13"/>
  <c r="H114" i="13"/>
  <c r="G114" i="13"/>
  <c r="H113" i="13"/>
  <c r="G113" i="13"/>
  <c r="H112" i="13"/>
  <c r="G112" i="13"/>
  <c r="H111" i="13"/>
  <c r="G111" i="13"/>
  <c r="H110" i="13"/>
  <c r="G110" i="13"/>
  <c r="H109" i="13"/>
  <c r="G109" i="13"/>
  <c r="H108" i="13"/>
  <c r="G108" i="13"/>
  <c r="H107" i="13"/>
  <c r="G107" i="13"/>
  <c r="H106" i="13"/>
  <c r="G106" i="13"/>
  <c r="H105" i="13"/>
  <c r="G105" i="13"/>
  <c r="H104" i="13"/>
  <c r="G104" i="13"/>
  <c r="BQ168" i="4"/>
  <c r="BO168" i="4"/>
  <c r="BQ167" i="4"/>
  <c r="BO167" i="4"/>
  <c r="BQ166" i="4"/>
  <c r="BO166" i="4"/>
  <c r="BQ165" i="4"/>
  <c r="BO165" i="4"/>
  <c r="BQ164" i="4"/>
  <c r="BO164" i="4"/>
  <c r="BQ163" i="4"/>
  <c r="BO163" i="4"/>
  <c r="BQ162" i="4"/>
  <c r="BO162" i="4"/>
  <c r="BQ161" i="4"/>
  <c r="BO161" i="4"/>
  <c r="BQ160" i="4"/>
  <c r="BO160" i="4"/>
  <c r="BQ159" i="4"/>
  <c r="BO159" i="4"/>
  <c r="BQ158" i="4"/>
  <c r="BO158" i="4"/>
  <c r="BQ157" i="4"/>
  <c r="BO157" i="4"/>
  <c r="BQ156" i="4"/>
  <c r="BO156" i="4"/>
  <c r="BQ155" i="4"/>
  <c r="BO155" i="4"/>
  <c r="BQ154" i="4"/>
  <c r="BO154" i="4"/>
  <c r="BQ153" i="4"/>
  <c r="BO153" i="4"/>
  <c r="BQ152" i="4"/>
  <c r="BO152" i="4"/>
  <c r="BQ151" i="4"/>
  <c r="BO151" i="4"/>
  <c r="BQ150" i="4"/>
  <c r="BO150" i="4"/>
  <c r="BQ149" i="4"/>
  <c r="BO149" i="4"/>
  <c r="BQ148" i="4"/>
  <c r="BO148" i="4"/>
  <c r="BQ147" i="4"/>
  <c r="BO147" i="4"/>
  <c r="BO146" i="4"/>
  <c r="BO145" i="4"/>
  <c r="BO144" i="4"/>
  <c r="BO143" i="4"/>
  <c r="BO142" i="4"/>
  <c r="BO141" i="4"/>
  <c r="BO140" i="4"/>
  <c r="BO139" i="4"/>
  <c r="BO138" i="4"/>
  <c r="BO137" i="4"/>
  <c r="BO136" i="4"/>
  <c r="BO135" i="4"/>
  <c r="BO134" i="4"/>
  <c r="BO133" i="4"/>
  <c r="BO132" i="4"/>
  <c r="BO131" i="4"/>
  <c r="BO130" i="4"/>
  <c r="BO129" i="4"/>
  <c r="BO128" i="4"/>
  <c r="BO127" i="4"/>
  <c r="BO126" i="4"/>
  <c r="BO125" i="4"/>
  <c r="BO124" i="4"/>
  <c r="BO123" i="4"/>
  <c r="BO122" i="4"/>
  <c r="BO121" i="4"/>
  <c r="BO120" i="4"/>
  <c r="BO119" i="4"/>
  <c r="BO118" i="4"/>
  <c r="BO117" i="4"/>
  <c r="BO116" i="4"/>
  <c r="BO115" i="4"/>
  <c r="BO114" i="4"/>
  <c r="BO113" i="4"/>
  <c r="BO112" i="4"/>
  <c r="BO111" i="4"/>
  <c r="BO110" i="4"/>
  <c r="BO109" i="4"/>
  <c r="BO108" i="4"/>
  <c r="BQ169" i="4"/>
  <c r="BO169" i="4"/>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6" i="13"/>
  <c r="A107" i="13"/>
  <c r="A108" i="13"/>
  <c r="A109" i="13"/>
  <c r="A110" i="13"/>
  <c r="A111" i="13"/>
  <c r="A112" i="13"/>
  <c r="A113" i="13"/>
  <c r="A114" i="13"/>
  <c r="A115" i="13"/>
  <c r="A116" i="13"/>
  <c r="A117" i="13"/>
  <c r="A118" i="13"/>
  <c r="A119" i="13"/>
  <c r="A120" i="13"/>
  <c r="A121" i="13"/>
  <c r="A122" i="13"/>
  <c r="A123" i="13"/>
  <c r="A124" i="13"/>
  <c r="A125" i="13"/>
  <c r="A126" i="13"/>
  <c r="A155" i="13"/>
  <c r="A156" i="13"/>
  <c r="A157" i="13"/>
  <c r="A158" i="13"/>
  <c r="A159" i="13"/>
  <c r="A160" i="13"/>
  <c r="A161" i="13"/>
  <c r="A162" i="13"/>
  <c r="A163" i="13"/>
  <c r="A164" i="13"/>
  <c r="A165" i="13"/>
  <c r="A166" i="13"/>
  <c r="CT107" i="4"/>
  <c r="BV144" i="4"/>
  <c r="BV143" i="4"/>
  <c r="BV142" i="4"/>
  <c r="BV141" i="4"/>
  <c r="BV140" i="4"/>
  <c r="BV139" i="4"/>
  <c r="BV138" i="4"/>
  <c r="BV137" i="4"/>
  <c r="BV136" i="4"/>
  <c r="BV135" i="4"/>
  <c r="BV134" i="4"/>
  <c r="BV133" i="4"/>
  <c r="BV132" i="4"/>
  <c r="BV131" i="4"/>
  <c r="BV130" i="4"/>
  <c r="BV129" i="4"/>
  <c r="BV128" i="4"/>
  <c r="BV127" i="4"/>
  <c r="BV126" i="4"/>
  <c r="BV125" i="4"/>
  <c r="BV124" i="4"/>
  <c r="BV123" i="4"/>
  <c r="BV122" i="4"/>
  <c r="BV121" i="4"/>
  <c r="BV120" i="4"/>
  <c r="BV119" i="4"/>
  <c r="BV118" i="4"/>
  <c r="BV117" i="4"/>
  <c r="BV116" i="4"/>
  <c r="BV115" i="4"/>
  <c r="BV114" i="4"/>
  <c r="BV113" i="4"/>
  <c r="BV112" i="4"/>
  <c r="BV111" i="4"/>
  <c r="BV110" i="4"/>
  <c r="BV109" i="4"/>
  <c r="BV108" i="4"/>
  <c r="BV107" i="4"/>
  <c r="AA168" i="4"/>
  <c r="AA167" i="4"/>
  <c r="AA166" i="4"/>
  <c r="AA165" i="4"/>
  <c r="AA164" i="4"/>
  <c r="AA163" i="4"/>
  <c r="AA162" i="4"/>
  <c r="AA161" i="4"/>
  <c r="AA160" i="4"/>
  <c r="AA159" i="4"/>
  <c r="AA158" i="4"/>
  <c r="AA157" i="4"/>
  <c r="AA156" i="4"/>
  <c r="AA155" i="4"/>
  <c r="AA154" i="4"/>
  <c r="AA153" i="4"/>
  <c r="AA152" i="4"/>
  <c r="AA151" i="4"/>
  <c r="AA150" i="4"/>
  <c r="AA149" i="4"/>
  <c r="AA148" i="4"/>
  <c r="AA147" i="4"/>
  <c r="AA169" i="4"/>
  <c r="Z169" i="4"/>
  <c r="Z168" i="4"/>
  <c r="Z167" i="4"/>
  <c r="Z166" i="4"/>
  <c r="Z165" i="4"/>
  <c r="Z164" i="4"/>
  <c r="Z163" i="4"/>
  <c r="Z162" i="4"/>
  <c r="Z161" i="4"/>
  <c r="Z160" i="4"/>
  <c r="Z159" i="4"/>
  <c r="Z158" i="4"/>
  <c r="Z157" i="4"/>
  <c r="Z156" i="4"/>
  <c r="Z155" i="4"/>
  <c r="Z154" i="4"/>
  <c r="Z153" i="4"/>
  <c r="Z152" i="4"/>
  <c r="Z151" i="4"/>
  <c r="Z150" i="4"/>
  <c r="Z149" i="4"/>
  <c r="Z148" i="4"/>
  <c r="Z147" i="4"/>
  <c r="Z146"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A56" i="5"/>
  <c r="A57" i="5"/>
  <c r="A58" i="5"/>
  <c r="A59" i="5"/>
  <c r="A60" i="5"/>
  <c r="A61" i="5"/>
  <c r="A62" i="5"/>
  <c r="A63" i="5"/>
  <c r="A64" i="5"/>
  <c r="A65" i="5"/>
  <c r="A66" i="5"/>
  <c r="A67" i="5"/>
  <c r="A68" i="5"/>
  <c r="A69" i="5"/>
  <c r="A70" i="5"/>
  <c r="A71" i="5"/>
  <c r="A72" i="5"/>
  <c r="A73" i="5"/>
  <c r="A74"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6" i="5"/>
  <c r="A107" i="5"/>
  <c r="A108" i="5"/>
  <c r="A109" i="5"/>
  <c r="A110" i="5"/>
  <c r="A111" i="5"/>
  <c r="A112" i="5"/>
  <c r="A113" i="5"/>
  <c r="A114" i="5"/>
  <c r="A115" i="5"/>
  <c r="A116" i="5"/>
  <c r="A117" i="5"/>
  <c r="A118" i="5"/>
  <c r="A119" i="5"/>
  <c r="A120" i="5"/>
  <c r="A121" i="5"/>
  <c r="A122" i="5"/>
  <c r="A123" i="5"/>
  <c r="A124" i="5"/>
  <c r="A125" i="5"/>
  <c r="A126" i="5"/>
  <c r="A155" i="5"/>
  <c r="A156" i="5"/>
  <c r="A157" i="5"/>
  <c r="A158" i="5"/>
  <c r="A159" i="5"/>
  <c r="A160" i="5"/>
  <c r="A161" i="5"/>
  <c r="A162" i="5"/>
  <c r="A163" i="5"/>
  <c r="A55" i="4"/>
  <c r="A56" i="4"/>
  <c r="A57" i="4"/>
  <c r="A58" i="4"/>
  <c r="A59" i="4"/>
  <c r="A60" i="4"/>
  <c r="A61" i="4"/>
  <c r="A62" i="4"/>
  <c r="A63" i="4"/>
  <c r="A64" i="4"/>
  <c r="A65" i="4"/>
  <c r="A66" i="4"/>
  <c r="A67" i="4"/>
  <c r="A68" i="4"/>
  <c r="A69" i="4"/>
  <c r="A70" i="4"/>
  <c r="A71" i="4"/>
  <c r="A72" i="4"/>
  <c r="A73" i="4"/>
  <c r="A74" i="4"/>
  <c r="A75" i="4"/>
  <c r="A76" i="4"/>
  <c r="A77" i="4"/>
  <c r="A82" i="4"/>
  <c r="A83" i="4"/>
  <c r="A84" i="4"/>
  <c r="A85" i="4"/>
  <c r="A86" i="4"/>
  <c r="A87" i="4"/>
  <c r="A88" i="4"/>
  <c r="A89" i="4"/>
  <c r="A90" i="4"/>
  <c r="A91" i="4"/>
  <c r="A92" i="4"/>
  <c r="A93" i="4"/>
  <c r="A94" i="4"/>
  <c r="A95" i="4"/>
  <c r="A96" i="4"/>
  <c r="A97" i="4"/>
  <c r="A98" i="4"/>
  <c r="A99" i="4"/>
  <c r="A100" i="4"/>
  <c r="A101" i="4"/>
  <c r="A102" i="4"/>
  <c r="A103" i="4"/>
  <c r="A104" i="4"/>
  <c r="A105" i="4"/>
  <c r="A106" i="4"/>
  <c r="CT108" i="4"/>
  <c r="A109" i="4"/>
  <c r="CT109" i="4"/>
  <c r="A110" i="4"/>
  <c r="CT110" i="4"/>
  <c r="A111" i="4"/>
  <c r="CT111" i="4"/>
  <c r="A112" i="4"/>
  <c r="CT112" i="4"/>
  <c r="A113" i="4"/>
  <c r="CT113" i="4"/>
  <c r="A114" i="4"/>
  <c r="CT114" i="4"/>
  <c r="A115" i="4"/>
  <c r="CT115" i="4"/>
  <c r="A116" i="4"/>
  <c r="CT116" i="4"/>
  <c r="A117" i="4"/>
  <c r="CT117" i="4"/>
  <c r="A118" i="4"/>
  <c r="CT118" i="4"/>
  <c r="A119" i="4"/>
  <c r="CT119" i="4"/>
  <c r="A120" i="4"/>
  <c r="CT120" i="4"/>
  <c r="A121" i="4"/>
  <c r="CT121" i="4"/>
  <c r="A122" i="4"/>
  <c r="CT122" i="4"/>
  <c r="A123" i="4"/>
  <c r="CT123" i="4"/>
  <c r="A124" i="4"/>
  <c r="CT124" i="4"/>
  <c r="A125" i="4"/>
  <c r="CT125" i="4"/>
  <c r="A126" i="4"/>
  <c r="CT126" i="4"/>
  <c r="A127" i="4"/>
  <c r="CT127" i="4"/>
  <c r="A128" i="4"/>
  <c r="CT128" i="4"/>
  <c r="A129" i="4"/>
  <c r="CT129" i="4"/>
  <c r="A130" i="4"/>
  <c r="CT130" i="4"/>
  <c r="A131" i="4"/>
  <c r="CT131" i="4"/>
  <c r="A132" i="4"/>
  <c r="CT132" i="4"/>
  <c r="A133" i="4"/>
  <c r="CT133" i="4"/>
  <c r="A134" i="4"/>
  <c r="CT134" i="4"/>
  <c r="A135" i="4"/>
  <c r="CT135" i="4"/>
  <c r="A136" i="4"/>
  <c r="CT136" i="4"/>
  <c r="A137" i="4"/>
  <c r="CT137" i="4"/>
  <c r="A138" i="4"/>
  <c r="CT138" i="4"/>
  <c r="A139" i="4"/>
  <c r="CT139" i="4"/>
  <c r="A140" i="4"/>
  <c r="CT140" i="4"/>
  <c r="A141" i="4"/>
  <c r="CT141" i="4"/>
  <c r="A142" i="4"/>
  <c r="CT142" i="4"/>
  <c r="A143" i="4"/>
  <c r="CT143" i="4"/>
  <c r="A144" i="4"/>
  <c r="CT144" i="4"/>
  <c r="A145" i="4"/>
  <c r="A146" i="4"/>
  <c r="CT146" i="4"/>
  <c r="A147" i="4"/>
  <c r="BV147" i="4"/>
  <c r="CT147" i="4"/>
  <c r="A148" i="4"/>
  <c r="BV148" i="4"/>
  <c r="CT148" i="4"/>
  <c r="A149" i="4"/>
  <c r="BV149" i="4"/>
  <c r="CT149" i="4"/>
  <c r="A150" i="4"/>
  <c r="BV150" i="4"/>
  <c r="CT150" i="4"/>
  <c r="A151" i="4"/>
  <c r="BV151" i="4"/>
  <c r="CT151" i="4"/>
  <c r="A152" i="4"/>
  <c r="BV152" i="4"/>
  <c r="CT152" i="4"/>
  <c r="A153" i="4"/>
  <c r="BV153" i="4"/>
  <c r="CT153" i="4"/>
  <c r="A154" i="4"/>
  <c r="BV154" i="4"/>
  <c r="CT154" i="4"/>
  <c r="A155" i="4"/>
  <c r="BV155" i="4"/>
  <c r="CT155" i="4"/>
  <c r="A156" i="4"/>
  <c r="BV156" i="4"/>
  <c r="CT156" i="4"/>
  <c r="A157" i="4"/>
  <c r="BV157" i="4"/>
  <c r="CT157" i="4"/>
  <c r="A158" i="4"/>
  <c r="BV158" i="4"/>
  <c r="CT158" i="4"/>
  <c r="A159" i="4"/>
  <c r="BV159" i="4"/>
  <c r="CT159" i="4"/>
  <c r="A160" i="4"/>
  <c r="BV160" i="4"/>
  <c r="CT160" i="4"/>
  <c r="A161" i="4"/>
  <c r="BV161" i="4"/>
  <c r="CT161" i="4"/>
  <c r="A162" i="4"/>
  <c r="BV162" i="4"/>
  <c r="CT162" i="4"/>
  <c r="A163" i="4"/>
  <c r="BV163" i="4"/>
  <c r="CT163" i="4"/>
  <c r="A164" i="4"/>
  <c r="BV164" i="4"/>
  <c r="CT164" i="4"/>
  <c r="A165" i="4"/>
  <c r="BV165" i="4"/>
  <c r="CT165" i="4"/>
  <c r="A166" i="4"/>
  <c r="BV166" i="4"/>
  <c r="CT166" i="4"/>
  <c r="A167" i="4"/>
  <c r="BV167" i="4"/>
  <c r="CT167" i="4"/>
  <c r="A168" i="4"/>
  <c r="BV168" i="4"/>
  <c r="CT168" i="4"/>
  <c r="A169" i="4"/>
  <c r="BV169" i="4"/>
  <c r="CT169" i="4"/>
  <c r="A170" i="4"/>
  <c r="P50" i="3"/>
  <c r="I50" i="3"/>
  <c r="P49" i="3"/>
  <c r="P48" i="3"/>
  <c r="P47" i="3"/>
  <c r="P46" i="3"/>
  <c r="P45" i="3"/>
  <c r="P44" i="3"/>
  <c r="P43" i="3"/>
  <c r="P42" i="3"/>
  <c r="P41" i="3"/>
  <c r="P40" i="3"/>
  <c r="P39" i="3"/>
  <c r="P38" i="3"/>
  <c r="P37" i="3"/>
  <c r="P36" i="3"/>
  <c r="P35" i="3"/>
  <c r="P34" i="3"/>
  <c r="P33" i="3"/>
  <c r="P32" i="3"/>
  <c r="P31" i="3"/>
  <c r="P30" i="3"/>
  <c r="P29" i="3"/>
  <c r="P28" i="3"/>
  <c r="U165" i="2"/>
  <c r="S165" i="2"/>
  <c r="P165" i="2"/>
  <c r="O165" i="2"/>
  <c r="N165" i="2"/>
  <c r="U164" i="2"/>
  <c r="S164" i="2"/>
  <c r="P164" i="2"/>
  <c r="O164" i="2"/>
  <c r="N164" i="2"/>
  <c r="U163" i="2"/>
  <c r="S163" i="2"/>
  <c r="P163" i="2"/>
  <c r="O163" i="2"/>
  <c r="N163" i="2"/>
  <c r="U162" i="2"/>
  <c r="S162" i="2"/>
  <c r="P162" i="2"/>
  <c r="O162" i="2"/>
  <c r="N162" i="2"/>
  <c r="U161" i="2"/>
  <c r="S161" i="2"/>
  <c r="P161" i="2"/>
  <c r="O161" i="2"/>
  <c r="N161" i="2"/>
  <c r="U160" i="2"/>
  <c r="S160" i="2"/>
  <c r="P160" i="2"/>
  <c r="O160" i="2"/>
  <c r="N160" i="2"/>
  <c r="U159" i="2"/>
  <c r="S159" i="2"/>
  <c r="P159" i="2"/>
  <c r="O159" i="2"/>
  <c r="N159" i="2"/>
  <c r="U158" i="2"/>
  <c r="S158" i="2"/>
  <c r="P158" i="2"/>
  <c r="O158" i="2"/>
  <c r="N158" i="2"/>
  <c r="U157" i="2"/>
  <c r="S157" i="2"/>
  <c r="P157" i="2"/>
  <c r="O157" i="2"/>
  <c r="N157" i="2"/>
  <c r="U156" i="2"/>
  <c r="S156" i="2"/>
  <c r="P156" i="2"/>
  <c r="O156" i="2"/>
  <c r="N156" i="2"/>
  <c r="U155" i="2"/>
  <c r="S155" i="2"/>
  <c r="P155" i="2"/>
  <c r="O155" i="2"/>
  <c r="N155" i="2"/>
  <c r="U154" i="2"/>
  <c r="S154" i="2"/>
  <c r="P154" i="2"/>
  <c r="O154" i="2"/>
  <c r="N154" i="2"/>
  <c r="U153" i="2"/>
  <c r="S153" i="2"/>
  <c r="P153" i="2"/>
  <c r="O153" i="2"/>
  <c r="N153" i="2"/>
  <c r="U152" i="2"/>
  <c r="S152" i="2"/>
  <c r="P152" i="2"/>
  <c r="O152" i="2"/>
  <c r="N152" i="2"/>
  <c r="U151" i="2"/>
  <c r="S151" i="2"/>
  <c r="P151" i="2"/>
  <c r="O151" i="2"/>
  <c r="N151" i="2"/>
  <c r="U150" i="2"/>
  <c r="S150" i="2"/>
  <c r="P150" i="2"/>
  <c r="O150" i="2"/>
  <c r="N150" i="2"/>
  <c r="U149" i="2"/>
  <c r="S149" i="2"/>
  <c r="P149" i="2"/>
  <c r="O149" i="2"/>
  <c r="N149" i="2"/>
  <c r="U148" i="2"/>
  <c r="S148" i="2"/>
  <c r="P148" i="2"/>
  <c r="O148" i="2"/>
  <c r="N148" i="2"/>
  <c r="U147" i="2"/>
  <c r="S147" i="2"/>
  <c r="P147" i="2"/>
  <c r="O147" i="2"/>
  <c r="N147" i="2"/>
  <c r="U146" i="2"/>
  <c r="S146" i="2"/>
  <c r="P146" i="2"/>
  <c r="O146" i="2"/>
  <c r="N146" i="2"/>
  <c r="U145" i="2"/>
  <c r="S145" i="2"/>
  <c r="P145" i="2"/>
  <c r="O145" i="2"/>
  <c r="N145" i="2"/>
  <c r="U144" i="2"/>
  <c r="S144" i="2"/>
  <c r="P144" i="2"/>
  <c r="O144" i="2"/>
  <c r="N144" i="2"/>
  <c r="U143" i="2"/>
  <c r="S143" i="2"/>
  <c r="P143" i="2"/>
  <c r="O143" i="2"/>
  <c r="N143" i="2"/>
  <c r="A39" i="3"/>
  <c r="A40" i="3"/>
  <c r="A41" i="3"/>
  <c r="A42" i="3"/>
  <c r="A43" i="3"/>
  <c r="A44" i="3"/>
  <c r="A45" i="3"/>
  <c r="A46" i="3"/>
  <c r="A47" i="3"/>
  <c r="Y145" i="4"/>
  <c r="Z145" i="4"/>
  <c r="Z13" i="4"/>
  <c r="Y13" i="4"/>
  <c r="DM13" i="4"/>
  <c r="DL13" i="4"/>
  <c r="CN13" i="29"/>
  <c r="H10" i="13"/>
  <c r="G10" i="13"/>
  <c r="J10" i="5"/>
  <c r="H10" i="5"/>
  <c r="F10" i="5"/>
  <c r="Z15" i="4"/>
  <c r="Y15" i="4"/>
  <c r="DM15" i="4"/>
  <c r="DL15" i="4"/>
  <c r="CN15" i="29"/>
  <c r="Z27" i="4"/>
  <c r="Y27" i="4"/>
  <c r="DM27" i="4"/>
  <c r="DL27" i="4"/>
  <c r="CN27" i="29"/>
  <c r="ER46" i="4"/>
  <c r="ES46" i="4"/>
  <c r="U46" i="4"/>
  <c r="Z46" i="4"/>
  <c r="Y46" i="4"/>
  <c r="DL46" i="4"/>
  <c r="CN46" i="29"/>
  <c r="U106" i="4"/>
  <c r="DL106" i="4"/>
  <c r="Z106" i="4"/>
  <c r="Y106" i="4"/>
  <c r="I29" i="3"/>
  <c r="I28" i="3"/>
  <c r="E79" i="35"/>
  <c r="G79" i="35"/>
  <c r="E76" i="35"/>
  <c r="G76" i="35"/>
  <c r="E70" i="35"/>
  <c r="G70" i="35"/>
  <c r="E67" i="35"/>
  <c r="G67" i="35"/>
  <c r="E64" i="35"/>
  <c r="G64" i="35"/>
  <c r="E61" i="35"/>
  <c r="G61" i="35"/>
  <c r="E67" i="36"/>
  <c r="G67" i="36"/>
  <c r="E64" i="36"/>
  <c r="AF126" i="34"/>
  <c r="E52" i="35"/>
  <c r="G52" i="35"/>
  <c r="C45" i="41"/>
  <c r="F45" i="41"/>
  <c r="G219" i="34"/>
  <c r="D51" i="37"/>
  <c r="B51" i="41"/>
  <c r="J51" i="41"/>
  <c r="G228" i="34"/>
  <c r="D60" i="37"/>
  <c r="B60" i="41"/>
  <c r="C60" i="41"/>
  <c r="D60" i="41"/>
  <c r="F60" i="41"/>
  <c r="E60" i="41"/>
  <c r="J60" i="41"/>
  <c r="L60" i="41"/>
  <c r="G231" i="34"/>
  <c r="D63" i="37"/>
  <c r="B63" i="41"/>
  <c r="J63" i="41"/>
  <c r="G234" i="34"/>
  <c r="D66" i="37"/>
  <c r="B66" i="41"/>
  <c r="J66" i="41"/>
  <c r="L66" i="41"/>
  <c r="G237" i="34"/>
  <c r="D69" i="37"/>
  <c r="B69" i="41"/>
  <c r="C69" i="41"/>
  <c r="D69" i="41"/>
  <c r="F69" i="41"/>
  <c r="E69" i="41"/>
  <c r="J69" i="41"/>
  <c r="L69" i="41"/>
  <c r="G243" i="34"/>
  <c r="D75" i="37"/>
  <c r="B75" i="41"/>
  <c r="C75" i="41"/>
  <c r="D75" i="41"/>
  <c r="F75" i="41"/>
  <c r="E75" i="41"/>
  <c r="J75" i="41"/>
  <c r="L75" i="41"/>
  <c r="G246" i="34"/>
  <c r="D78" i="37"/>
  <c r="B78" i="41"/>
  <c r="C78" i="41"/>
  <c r="D78" i="41"/>
  <c r="F78" i="41"/>
  <c r="E78" i="41"/>
  <c r="J78" i="41"/>
  <c r="L78" i="41"/>
  <c r="K45" i="41"/>
  <c r="K51" i="41"/>
  <c r="K60" i="41"/>
  <c r="K66" i="41"/>
  <c r="K69" i="41"/>
  <c r="K75" i="41"/>
  <c r="K78" i="41"/>
  <c r="O98" i="48"/>
  <c r="O99" i="48"/>
  <c r="O100" i="48"/>
  <c r="O101" i="48"/>
  <c r="O102" i="48"/>
  <c r="O103" i="48"/>
  <c r="D181" i="42"/>
  <c r="D213" i="42"/>
  <c r="D219" i="42"/>
  <c r="D228" i="42"/>
  <c r="D231" i="42"/>
  <c r="D234" i="42"/>
  <c r="D237" i="42"/>
  <c r="D243" i="42"/>
  <c r="D246" i="42"/>
  <c r="F181" i="42"/>
  <c r="F213" i="42"/>
  <c r="F219" i="42"/>
  <c r="F228" i="42"/>
  <c r="F231" i="42"/>
  <c r="F234" i="42"/>
  <c r="F237" i="42"/>
  <c r="F243" i="42"/>
  <c r="F246" i="42"/>
  <c r="N23" i="32"/>
  <c r="N22" i="32"/>
  <c r="N21" i="32"/>
  <c r="N20" i="32"/>
  <c r="N19" i="32"/>
  <c r="N18" i="32"/>
  <c r="N17" i="32"/>
  <c r="N16" i="32"/>
  <c r="N13" i="32"/>
  <c r="N12" i="32"/>
  <c r="N11" i="32"/>
  <c r="AE11" i="44"/>
  <c r="AE12" i="44"/>
  <c r="AF12" i="44"/>
  <c r="AE13" i="44"/>
  <c r="AF13" i="44"/>
  <c r="AE14" i="44"/>
  <c r="AF14" i="44"/>
  <c r="AE15" i="44"/>
  <c r="AF15" i="44"/>
  <c r="AE16" i="44"/>
  <c r="AF16" i="44"/>
  <c r="AE17" i="44"/>
  <c r="AF17" i="44"/>
  <c r="AE18" i="44"/>
  <c r="AF18" i="44"/>
  <c r="AE19" i="44"/>
  <c r="AF19" i="44"/>
  <c r="AE20" i="44"/>
  <c r="AF20" i="44"/>
  <c r="AE21" i="44"/>
  <c r="AF21" i="44"/>
  <c r="AE22" i="44"/>
  <c r="AF22" i="44"/>
  <c r="AE23" i="44"/>
  <c r="AF23" i="44"/>
  <c r="AE24" i="44"/>
  <c r="AF24" i="44"/>
  <c r="AE25" i="44"/>
  <c r="AF25" i="44"/>
  <c r="AE26" i="44"/>
  <c r="AF26" i="44"/>
  <c r="AE27" i="44"/>
  <c r="AF27" i="44"/>
  <c r="AE28" i="44"/>
  <c r="AF28" i="44"/>
  <c r="AE29" i="44"/>
  <c r="AF29" i="44"/>
  <c r="AE30" i="44"/>
  <c r="AF30" i="44"/>
  <c r="AE31" i="44"/>
  <c r="AF31" i="44"/>
  <c r="AE32" i="44"/>
  <c r="AF32" i="44"/>
  <c r="AE33" i="44"/>
  <c r="AF33" i="44"/>
  <c r="AE34" i="44"/>
  <c r="AF34" i="44"/>
  <c r="AE35" i="44"/>
  <c r="AF35" i="44"/>
  <c r="AE36" i="44"/>
  <c r="AF36" i="44"/>
  <c r="AE37" i="44"/>
  <c r="AF37" i="44"/>
  <c r="AE38" i="44"/>
  <c r="AF38" i="44"/>
  <c r="AE39" i="44"/>
  <c r="AF39" i="44"/>
  <c r="AE40" i="44"/>
  <c r="AF40" i="44"/>
  <c r="AE41" i="44"/>
  <c r="AF41" i="44"/>
  <c r="AE42" i="44"/>
  <c r="AF42" i="44"/>
  <c r="AE43" i="44"/>
  <c r="AF43" i="44"/>
  <c r="AE44" i="44"/>
  <c r="AF44" i="44"/>
  <c r="AE45" i="44"/>
  <c r="AF45" i="44"/>
  <c r="AE46" i="44"/>
  <c r="AF46" i="44"/>
  <c r="AE47" i="44"/>
  <c r="AF47" i="44"/>
  <c r="AE48" i="44"/>
  <c r="AF48" i="44"/>
  <c r="AE49" i="44"/>
  <c r="AF49" i="44"/>
  <c r="AE50" i="44"/>
  <c r="AF50" i="44"/>
  <c r="AE51" i="44"/>
  <c r="AF51" i="44"/>
  <c r="AE52" i="44"/>
  <c r="AF11" i="44"/>
  <c r="AC22" i="44"/>
  <c r="AK22" i="44"/>
  <c r="AN22" i="44"/>
  <c r="AC23" i="44"/>
  <c r="AK23" i="44"/>
  <c r="AN23" i="44"/>
  <c r="AC24" i="44"/>
  <c r="AK24" i="44"/>
  <c r="AN24" i="44"/>
  <c r="AC25" i="44"/>
  <c r="AK25" i="44"/>
  <c r="AN25" i="44"/>
  <c r="AC26" i="44"/>
  <c r="AK26" i="44"/>
  <c r="AN26" i="44"/>
  <c r="AC27" i="44"/>
  <c r="AK27" i="44"/>
  <c r="AN27" i="44"/>
  <c r="AC28" i="44"/>
  <c r="AK28" i="44"/>
  <c r="AN28" i="44"/>
  <c r="AC29" i="44"/>
  <c r="AK29" i="44"/>
  <c r="AN29" i="44"/>
  <c r="AC30" i="44"/>
  <c r="AK30" i="44"/>
  <c r="AN30" i="44"/>
  <c r="AC32" i="44"/>
  <c r="AK32" i="44"/>
  <c r="AN32" i="44"/>
  <c r="AC33" i="44"/>
  <c r="AK33" i="44"/>
  <c r="AN33" i="44"/>
  <c r="AC34" i="44"/>
  <c r="AK34" i="44"/>
  <c r="AN34" i="44"/>
  <c r="AC35" i="44"/>
  <c r="AK35" i="44"/>
  <c r="AN35" i="44"/>
  <c r="AC36" i="44"/>
  <c r="AK36" i="44"/>
  <c r="AN36" i="44"/>
  <c r="AC37" i="44"/>
  <c r="AK37" i="44"/>
  <c r="AN37" i="44"/>
  <c r="AC38" i="44"/>
  <c r="AK38" i="44"/>
  <c r="AN38" i="44"/>
  <c r="AC39" i="44"/>
  <c r="AK39" i="44"/>
  <c r="AN39" i="44"/>
  <c r="AC40" i="44"/>
  <c r="AK40" i="44"/>
  <c r="AN40" i="44"/>
  <c r="AC42" i="44"/>
  <c r="AK42" i="44"/>
  <c r="AN42" i="44"/>
  <c r="AC43" i="44"/>
  <c r="AK43" i="44"/>
  <c r="AN43" i="44"/>
  <c r="AC44" i="44"/>
  <c r="AK44" i="44"/>
  <c r="AN44" i="44"/>
  <c r="AC45" i="44"/>
  <c r="AK45" i="44"/>
  <c r="AN45" i="44"/>
  <c r="AC46" i="44"/>
  <c r="AK46" i="44"/>
  <c r="AN46" i="44"/>
  <c r="AC47" i="44"/>
  <c r="AK47" i="44"/>
  <c r="AN47" i="44"/>
  <c r="AC48" i="44"/>
  <c r="AK48" i="44"/>
  <c r="AN48" i="44"/>
  <c r="AC49" i="44"/>
  <c r="AK49" i="44"/>
  <c r="AN49" i="44"/>
  <c r="AC50" i="44"/>
  <c r="AK50" i="44"/>
  <c r="AN50" i="44"/>
  <c r="AC72" i="44"/>
  <c r="AK72" i="44"/>
  <c r="AN72" i="44"/>
  <c r="AC73" i="44"/>
  <c r="AK73" i="44"/>
  <c r="AN73" i="44"/>
  <c r="AC74" i="44"/>
  <c r="AK74" i="44"/>
  <c r="AN74" i="44"/>
  <c r="AC75" i="44"/>
  <c r="AK75" i="44"/>
  <c r="AN75" i="44"/>
  <c r="AC76" i="44"/>
  <c r="AK76" i="44"/>
  <c r="AN76" i="44"/>
  <c r="AC77" i="44"/>
  <c r="AK77" i="44"/>
  <c r="AN77" i="44"/>
  <c r="AC78" i="44"/>
  <c r="AK78" i="44"/>
  <c r="AN78" i="44"/>
  <c r="AC79" i="44"/>
  <c r="AK79" i="44"/>
  <c r="AN79" i="44"/>
  <c r="AC80" i="44"/>
  <c r="AK80" i="44"/>
  <c r="AN80" i="44"/>
  <c r="AC82" i="44"/>
  <c r="AK82" i="44"/>
  <c r="AN82" i="44"/>
  <c r="AC83" i="44"/>
  <c r="AK83" i="44"/>
  <c r="AN83" i="44"/>
  <c r="AC84" i="44"/>
  <c r="AK84" i="44"/>
  <c r="AN84" i="44"/>
  <c r="AC85" i="44"/>
  <c r="AK85" i="44"/>
  <c r="AN85" i="44"/>
  <c r="AC86" i="44"/>
  <c r="AK86" i="44"/>
  <c r="AN86" i="44"/>
  <c r="AC87" i="44"/>
  <c r="AK87" i="44"/>
  <c r="AN87" i="44"/>
  <c r="AC88" i="44"/>
  <c r="AK88" i="44"/>
  <c r="AN88" i="44"/>
  <c r="AC89" i="44"/>
  <c r="AK89" i="44"/>
  <c r="AN89" i="44"/>
  <c r="AC90" i="44"/>
  <c r="AK90" i="44"/>
  <c r="AN90" i="44"/>
  <c r="AC92" i="44"/>
  <c r="AK92" i="44"/>
  <c r="AN92" i="44"/>
  <c r="AC93" i="44"/>
  <c r="AK93" i="44"/>
  <c r="AN93" i="44"/>
  <c r="AC94" i="44"/>
  <c r="AK94" i="44"/>
  <c r="AN94" i="44"/>
  <c r="AC95" i="44"/>
  <c r="AK95" i="44"/>
  <c r="AN95" i="44"/>
  <c r="AC96" i="44"/>
  <c r="AK96" i="44"/>
  <c r="AN96" i="44"/>
  <c r="AC97" i="44"/>
  <c r="AK97" i="44"/>
  <c r="AN97" i="44"/>
  <c r="AC98" i="44"/>
  <c r="AK98" i="44"/>
  <c r="AN98" i="44"/>
  <c r="AC99" i="44"/>
  <c r="AK99" i="44"/>
  <c r="AN99" i="44"/>
  <c r="AC100" i="44"/>
  <c r="AK100" i="44"/>
  <c r="AN100" i="44"/>
  <c r="AC102" i="44"/>
  <c r="AK102" i="44"/>
  <c r="AN102" i="44"/>
  <c r="AC103" i="44"/>
  <c r="AK103" i="44"/>
  <c r="AN103" i="44"/>
  <c r="AC104" i="44"/>
  <c r="AK104" i="44"/>
  <c r="AN104" i="44"/>
  <c r="AC105" i="44"/>
  <c r="AK105" i="44"/>
  <c r="AN105" i="44"/>
  <c r="AC106" i="44"/>
  <c r="AK106" i="44"/>
  <c r="AN106" i="44"/>
  <c r="AC107" i="44"/>
  <c r="AK107" i="44"/>
  <c r="AN107" i="44"/>
  <c r="AC108" i="44"/>
  <c r="AK108" i="44"/>
  <c r="AN108" i="44"/>
  <c r="AC109" i="44"/>
  <c r="AK109" i="44"/>
  <c r="AN109" i="44"/>
  <c r="AC110" i="44"/>
  <c r="AK110" i="44"/>
  <c r="AN110" i="44"/>
  <c r="AC112" i="44"/>
  <c r="AK112" i="44"/>
  <c r="AN112" i="44"/>
  <c r="AC113" i="44"/>
  <c r="AK113" i="44"/>
  <c r="AN113" i="44"/>
  <c r="AC114" i="44"/>
  <c r="AK114" i="44"/>
  <c r="AN114" i="44"/>
  <c r="AC115" i="44"/>
  <c r="AK115" i="44"/>
  <c r="AN115" i="44"/>
  <c r="AC116" i="44"/>
  <c r="AK116" i="44"/>
  <c r="AN116" i="44"/>
  <c r="AC117" i="44"/>
  <c r="AK117" i="44"/>
  <c r="AN117" i="44"/>
  <c r="AC118" i="44"/>
  <c r="AK118" i="44"/>
  <c r="AN118" i="44"/>
  <c r="AC119" i="44"/>
  <c r="AK119" i="44"/>
  <c r="AN119" i="44"/>
  <c r="AC120" i="44"/>
  <c r="AK120" i="44"/>
  <c r="AN120" i="44"/>
  <c r="AC12" i="44"/>
  <c r="AK12" i="44"/>
  <c r="AN12" i="44"/>
  <c r="AC13" i="44"/>
  <c r="AK13" i="44"/>
  <c r="AN13" i="44"/>
  <c r="AC14" i="44"/>
  <c r="AK14" i="44"/>
  <c r="AN14" i="44"/>
  <c r="AC15" i="44"/>
  <c r="AK15" i="44"/>
  <c r="AN15" i="44"/>
  <c r="AC16" i="44"/>
  <c r="AK16" i="44"/>
  <c r="AN16" i="44"/>
  <c r="AC17" i="44"/>
  <c r="AK17" i="44"/>
  <c r="AN17" i="44"/>
  <c r="AC18" i="44"/>
  <c r="AK18" i="44"/>
  <c r="AN18" i="44"/>
  <c r="AC19" i="44"/>
  <c r="AK19" i="44"/>
  <c r="AN19" i="44"/>
  <c r="AC20" i="44"/>
  <c r="AK20" i="44"/>
  <c r="AN20" i="44"/>
  <c r="AC71" i="44"/>
  <c r="AK71" i="44"/>
  <c r="AN71" i="44"/>
  <c r="AC81" i="44"/>
  <c r="AK81" i="44"/>
  <c r="AN81" i="44"/>
  <c r="AC91" i="44"/>
  <c r="AK91" i="44"/>
  <c r="AN91" i="44"/>
  <c r="AC101" i="44"/>
  <c r="AK101" i="44"/>
  <c r="AN101" i="44"/>
  <c r="J33" i="33"/>
  <c r="M12" i="44"/>
  <c r="M13" i="44"/>
  <c r="M14" i="44"/>
  <c r="M15" i="44"/>
  <c r="M16" i="44"/>
  <c r="M17" i="44"/>
  <c r="M18" i="44"/>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1" i="44"/>
  <c r="Q113" i="44"/>
  <c r="Q114" i="44"/>
  <c r="Q115" i="44"/>
  <c r="Q116" i="44"/>
  <c r="Q117" i="44"/>
  <c r="Q118" i="44"/>
  <c r="Q119" i="44"/>
  <c r="Q120" i="44"/>
  <c r="Q121" i="44"/>
  <c r="Q122" i="44"/>
  <c r="Q123" i="44"/>
  <c r="Q124" i="44"/>
  <c r="Q125" i="44"/>
  <c r="Q126" i="44"/>
  <c r="Q127" i="44"/>
  <c r="Q128" i="44"/>
  <c r="Q129" i="44"/>
  <c r="Q130" i="44"/>
  <c r="Q131" i="44"/>
  <c r="Q132" i="44"/>
  <c r="Q133" i="44"/>
  <c r="Q134" i="44"/>
  <c r="Q135" i="44"/>
  <c r="Q136" i="44"/>
  <c r="Q137" i="44"/>
  <c r="Q138" i="44"/>
  <c r="Q139" i="44"/>
  <c r="Q140" i="44"/>
  <c r="Q141" i="44"/>
  <c r="Q142" i="44"/>
  <c r="Q143" i="44"/>
  <c r="Q144" i="44"/>
  <c r="Q145" i="44"/>
  <c r="Q146" i="44"/>
  <c r="Q112" i="44"/>
  <c r="Q12" i="44"/>
  <c r="Q13" i="44"/>
  <c r="Q14" i="44"/>
  <c r="Q15" i="44"/>
  <c r="Q16" i="44"/>
  <c r="Q17" i="44"/>
  <c r="Q18" i="44"/>
  <c r="Q19" i="44"/>
  <c r="Q20" i="44"/>
  <c r="Q21" i="44"/>
  <c r="Q22" i="44"/>
  <c r="Q23" i="44"/>
  <c r="Q24" i="44"/>
  <c r="Q25" i="44"/>
  <c r="Q26" i="44"/>
  <c r="Q27" i="44"/>
  <c r="Q28" i="44"/>
  <c r="Q29" i="44"/>
  <c r="Q30" i="44"/>
  <c r="Q31" i="44"/>
  <c r="Q32" i="44"/>
  <c r="Q33" i="44"/>
  <c r="Q34" i="44"/>
  <c r="Q35" i="44"/>
  <c r="Q36" i="44"/>
  <c r="Q37" i="44"/>
  <c r="Q38" i="44"/>
  <c r="Q39" i="44"/>
  <c r="Q40" i="44"/>
  <c r="Q41" i="44"/>
  <c r="Q42" i="44"/>
  <c r="Q43" i="44"/>
  <c r="Q44" i="44"/>
  <c r="Q45" i="44"/>
  <c r="Q46" i="44"/>
  <c r="Q47" i="44"/>
  <c r="Q48" i="44"/>
  <c r="Q49" i="44"/>
  <c r="Q50" i="44"/>
  <c r="Q51" i="44"/>
  <c r="Q52" i="44"/>
  <c r="Q53" i="44"/>
  <c r="Q54" i="44"/>
  <c r="Q55" i="44"/>
  <c r="Q56" i="44"/>
  <c r="Q57" i="44"/>
  <c r="Q58" i="44"/>
  <c r="Q59" i="44"/>
  <c r="Q60" i="44"/>
  <c r="Q61" i="44"/>
  <c r="Q62" i="44"/>
  <c r="Q63" i="44"/>
  <c r="Q64" i="44"/>
  <c r="Q65" i="44"/>
  <c r="Q66" i="44"/>
  <c r="Q67" i="44"/>
  <c r="Q68" i="44"/>
  <c r="Q69" i="44"/>
  <c r="Q70" i="44"/>
  <c r="Q71" i="44"/>
  <c r="Q72" i="44"/>
  <c r="Q73" i="44"/>
  <c r="Q74" i="44"/>
  <c r="Q75" i="44"/>
  <c r="Q76" i="44"/>
  <c r="Q77" i="44"/>
  <c r="Q78" i="44"/>
  <c r="Q79" i="44"/>
  <c r="Q80" i="44"/>
  <c r="Q81" i="44"/>
  <c r="Q82" i="44"/>
  <c r="Q83" i="44"/>
  <c r="Q84" i="44"/>
  <c r="Q85" i="44"/>
  <c r="Q86" i="44"/>
  <c r="Q87" i="44"/>
  <c r="Q88" i="44"/>
  <c r="Q89" i="44"/>
  <c r="Q90" i="44"/>
  <c r="Q91" i="44"/>
  <c r="Q92" i="44"/>
  <c r="Q93" i="44"/>
  <c r="Q94" i="44"/>
  <c r="Q95" i="44"/>
  <c r="Q96" i="44"/>
  <c r="Q97" i="44"/>
  <c r="Q98" i="44"/>
  <c r="Q99" i="44"/>
  <c r="Q100" i="44"/>
  <c r="Q101" i="44"/>
  <c r="Q102" i="44"/>
  <c r="Q103" i="44"/>
  <c r="Q104" i="44"/>
  <c r="Q105" i="44"/>
  <c r="Q106" i="44"/>
  <c r="Q107" i="44"/>
  <c r="Q108" i="44"/>
  <c r="Q109" i="44"/>
  <c r="Q110" i="44"/>
  <c r="Q111" i="44"/>
  <c r="Q11" i="44"/>
  <c r="S113" i="44"/>
  <c r="S114" i="44"/>
  <c r="S115" i="44"/>
  <c r="S116" i="44"/>
  <c r="S117" i="44"/>
  <c r="S118" i="44"/>
  <c r="S119" i="44"/>
  <c r="S120" i="44"/>
  <c r="S121" i="44"/>
  <c r="S122" i="44"/>
  <c r="S123" i="44"/>
  <c r="S124" i="44"/>
  <c r="S125" i="44"/>
  <c r="S126" i="44"/>
  <c r="S127" i="44"/>
  <c r="S128" i="44"/>
  <c r="S129" i="44"/>
  <c r="S130" i="44"/>
  <c r="S131" i="44"/>
  <c r="S132" i="44"/>
  <c r="S133" i="44"/>
  <c r="S134" i="44"/>
  <c r="S135" i="44"/>
  <c r="S136" i="44"/>
  <c r="S137" i="44"/>
  <c r="S138" i="44"/>
  <c r="S139" i="44"/>
  <c r="S140" i="44"/>
  <c r="S141" i="44"/>
  <c r="S142" i="44"/>
  <c r="S143" i="44"/>
  <c r="S144" i="44"/>
  <c r="S145" i="44"/>
  <c r="S146" i="44"/>
  <c r="S112" i="44"/>
  <c r="S12" i="44"/>
  <c r="S13" i="44"/>
  <c r="S14" i="44"/>
  <c r="S15" i="44"/>
  <c r="S16" i="44"/>
  <c r="S17" i="44"/>
  <c r="S18" i="44"/>
  <c r="S19" i="44"/>
  <c r="S20" i="44"/>
  <c r="S21" i="44"/>
  <c r="S22" i="44"/>
  <c r="S23" i="44"/>
  <c r="S24" i="44"/>
  <c r="S25" i="44"/>
  <c r="S26" i="44"/>
  <c r="S27" i="44"/>
  <c r="S28" i="44"/>
  <c r="S29" i="44"/>
  <c r="S30" i="44"/>
  <c r="S31" i="44"/>
  <c r="S32" i="44"/>
  <c r="S33" i="44"/>
  <c r="S34" i="44"/>
  <c r="S35" i="44"/>
  <c r="S36" i="44"/>
  <c r="S37" i="44"/>
  <c r="S38" i="44"/>
  <c r="S39" i="44"/>
  <c r="S40" i="44"/>
  <c r="S41" i="44"/>
  <c r="S42" i="44"/>
  <c r="S43" i="44"/>
  <c r="S44" i="44"/>
  <c r="S45" i="44"/>
  <c r="S46" i="44"/>
  <c r="S47" i="44"/>
  <c r="S48" i="44"/>
  <c r="S49" i="44"/>
  <c r="S50" i="44"/>
  <c r="S51" i="44"/>
  <c r="S52" i="44"/>
  <c r="S53" i="44"/>
  <c r="S54" i="44"/>
  <c r="S55" i="44"/>
  <c r="S56" i="44"/>
  <c r="S57" i="44"/>
  <c r="S58" i="44"/>
  <c r="S59" i="44"/>
  <c r="S60" i="44"/>
  <c r="S61" i="44"/>
  <c r="S62" i="44"/>
  <c r="S63" i="44"/>
  <c r="S64" i="44"/>
  <c r="S65" i="44"/>
  <c r="S66" i="44"/>
  <c r="S67" i="44"/>
  <c r="S68" i="44"/>
  <c r="S69" i="44"/>
  <c r="S70" i="44"/>
  <c r="S71" i="44"/>
  <c r="S72" i="44"/>
  <c r="S73" i="44"/>
  <c r="S74" i="44"/>
  <c r="S75" i="44"/>
  <c r="S76" i="44"/>
  <c r="S77" i="44"/>
  <c r="S78" i="44"/>
  <c r="S79" i="44"/>
  <c r="S80" i="44"/>
  <c r="S81" i="44"/>
  <c r="S82" i="44"/>
  <c r="S83" i="44"/>
  <c r="S84" i="44"/>
  <c r="S85" i="44"/>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 i="44"/>
  <c r="E21" i="6"/>
  <c r="E10" i="6"/>
  <c r="AC111" i="44"/>
  <c r="AK111" i="44"/>
  <c r="AN111" i="44"/>
  <c r="C14" i="38"/>
  <c r="C23" i="38"/>
  <c r="D10" i="36"/>
  <c r="D16" i="36"/>
  <c r="D19" i="36"/>
  <c r="D25" i="36"/>
  <c r="G25" i="36"/>
  <c r="D10" i="35"/>
  <c r="D16" i="35"/>
  <c r="D19" i="35"/>
  <c r="E24" i="6"/>
  <c r="M24" i="6"/>
  <c r="K24" i="6"/>
  <c r="C24" i="6"/>
  <c r="I24" i="6"/>
  <c r="G24" i="6"/>
  <c r="E23" i="6"/>
  <c r="M23" i="6"/>
  <c r="K23" i="6"/>
  <c r="C23" i="6"/>
  <c r="I23" i="6"/>
  <c r="G23" i="6"/>
  <c r="E22" i="6"/>
  <c r="M22" i="6"/>
  <c r="K22" i="6"/>
  <c r="C22" i="6"/>
  <c r="I22" i="6"/>
  <c r="G22" i="6"/>
  <c r="M21" i="6"/>
  <c r="K21" i="6"/>
  <c r="C21" i="6"/>
  <c r="I21" i="6"/>
  <c r="G21" i="6"/>
  <c r="M10" i="6"/>
  <c r="K10" i="6"/>
  <c r="C10" i="6"/>
  <c r="I10" i="6"/>
  <c r="G10" i="6"/>
  <c r="U21" i="26"/>
  <c r="D25" i="35"/>
  <c r="AC11" i="44"/>
  <c r="AK11" i="44"/>
  <c r="AN11" i="44"/>
  <c r="AC21" i="44"/>
  <c r="AK21" i="44"/>
  <c r="AN21" i="44"/>
  <c r="AC31" i="44"/>
  <c r="AK31" i="44"/>
  <c r="AN31" i="44"/>
  <c r="AC41" i="44"/>
  <c r="AK41" i="44"/>
  <c r="AN41" i="44"/>
  <c r="AC51" i="44"/>
  <c r="AK51" i="44"/>
  <c r="AN51" i="44"/>
  <c r="D14" i="26"/>
  <c r="D13" i="26"/>
  <c r="D12" i="26"/>
  <c r="D11" i="26"/>
  <c r="N14" i="6"/>
  <c r="E14" i="6"/>
  <c r="M14" i="6"/>
  <c r="K14" i="6"/>
  <c r="C14" i="6"/>
  <c r="I14" i="6"/>
  <c r="G14" i="6"/>
  <c r="N13" i="6"/>
  <c r="E13" i="6"/>
  <c r="M13" i="6"/>
  <c r="K13" i="6"/>
  <c r="C13" i="6"/>
  <c r="I13" i="6"/>
  <c r="G13" i="6"/>
  <c r="N12" i="6"/>
  <c r="E12" i="6"/>
  <c r="M12" i="6"/>
  <c r="K12" i="6"/>
  <c r="C12" i="6"/>
  <c r="I12" i="6"/>
  <c r="G12" i="6"/>
  <c r="N11" i="6"/>
  <c r="E11" i="6"/>
  <c r="M11" i="6"/>
  <c r="K11" i="6"/>
  <c r="C11" i="6"/>
  <c r="I11" i="6"/>
  <c r="G11" i="6"/>
  <c r="E25" i="35"/>
  <c r="G25" i="35"/>
  <c r="D25" i="27"/>
  <c r="B24" i="41"/>
  <c r="J24" i="41"/>
  <c r="L24" i="41"/>
  <c r="C24" i="41"/>
  <c r="F24" i="41"/>
  <c r="D24" i="41"/>
  <c r="E24" i="41"/>
  <c r="K24" i="41"/>
  <c r="F63" i="41"/>
  <c r="K63" i="41"/>
  <c r="B24" i="52"/>
  <c r="I24" i="52"/>
  <c r="M24" i="52"/>
  <c r="C24" i="52"/>
  <c r="O24" i="52"/>
  <c r="J24" i="52"/>
  <c r="P24" i="52"/>
  <c r="C63" i="41"/>
  <c r="D63" i="41"/>
  <c r="E63" i="41"/>
  <c r="C66" i="41"/>
  <c r="D66" i="41"/>
  <c r="E66" i="41"/>
  <c r="C51" i="41"/>
  <c r="D51" i="41"/>
  <c r="E51" i="41"/>
  <c r="B15" i="39"/>
  <c r="G15" i="39"/>
  <c r="I15" i="39"/>
  <c r="F15" i="39"/>
  <c r="E15" i="39"/>
  <c r="D15" i="39"/>
  <c r="H15" i="39"/>
  <c r="B16" i="39"/>
  <c r="E16" i="39"/>
  <c r="D16" i="39"/>
  <c r="H16" i="39"/>
  <c r="B17" i="39"/>
  <c r="E17" i="39"/>
  <c r="D17" i="39"/>
  <c r="H17" i="39"/>
  <c r="B18" i="39"/>
  <c r="E18" i="39"/>
  <c r="D18" i="39"/>
  <c r="H18" i="39"/>
  <c r="B19" i="39"/>
  <c r="E19" i="39"/>
  <c r="D19" i="39"/>
  <c r="H19" i="39"/>
  <c r="B20" i="39"/>
  <c r="E20" i="39"/>
  <c r="D20" i="39"/>
  <c r="H20" i="39"/>
  <c r="C15" i="39"/>
  <c r="C16" i="39"/>
  <c r="C17" i="39"/>
  <c r="C18" i="39"/>
  <c r="C19" i="39"/>
  <c r="C20" i="39"/>
  <c r="F15" i="26"/>
  <c r="F21" i="26"/>
  <c r="M15" i="50"/>
  <c r="C15" i="26"/>
  <c r="V14" i="50"/>
  <c r="V15" i="50"/>
  <c r="U14" i="50"/>
  <c r="U15" i="50"/>
  <c r="J32" i="33"/>
  <c r="T15" i="50"/>
  <c r="L15" i="50"/>
  <c r="N15" i="50"/>
  <c r="AG52" i="44"/>
  <c r="AG53" i="44"/>
  <c r="AG54" i="44"/>
  <c r="AG55" i="44"/>
  <c r="AG56" i="44"/>
  <c r="AG57" i="44"/>
  <c r="AG58" i="44"/>
  <c r="AG59" i="44"/>
  <c r="AG60" i="44"/>
  <c r="AG61" i="44"/>
  <c r="AG62" i="44"/>
  <c r="AG63" i="44"/>
  <c r="AG64" i="44"/>
  <c r="AG65" i="44"/>
  <c r="AG66" i="44"/>
  <c r="AG67" i="44"/>
  <c r="AG68" i="44"/>
  <c r="AG69" i="44"/>
  <c r="AG70" i="44"/>
  <c r="M15" i="32"/>
  <c r="AL52" i="44"/>
  <c r="AL53" i="44"/>
  <c r="AL54" i="44"/>
  <c r="AL55" i="44"/>
  <c r="AL56" i="44"/>
  <c r="AL57" i="44"/>
  <c r="AL58" i="44"/>
  <c r="AL59" i="44"/>
  <c r="AL60" i="44"/>
  <c r="AL61" i="44"/>
  <c r="AL62" i="44"/>
  <c r="AL63" i="44"/>
  <c r="AL64" i="44"/>
  <c r="AL65" i="44"/>
  <c r="AL66" i="44"/>
  <c r="AL67" i="44"/>
  <c r="AL68" i="44"/>
  <c r="AL69" i="44"/>
  <c r="AL70" i="44"/>
  <c r="D15" i="6"/>
  <c r="L15" i="6"/>
  <c r="J15" i="6"/>
  <c r="H15" i="6"/>
  <c r="F15" i="6"/>
  <c r="B32" i="33"/>
  <c r="L32" i="33"/>
  <c r="N15" i="32"/>
  <c r="M14" i="32"/>
  <c r="N14" i="32"/>
  <c r="AF52" i="44"/>
  <c r="AE53" i="44"/>
  <c r="AF53" i="44"/>
  <c r="AE54" i="44"/>
  <c r="AF54" i="44"/>
  <c r="AE55" i="44"/>
  <c r="AF55" i="44"/>
  <c r="AE56" i="44"/>
  <c r="AF56" i="44"/>
  <c r="AE57" i="44"/>
  <c r="AF57" i="44"/>
  <c r="AE58" i="44"/>
  <c r="AF58" i="44"/>
  <c r="AE59" i="44"/>
  <c r="AF59" i="44"/>
  <c r="AE60" i="44"/>
  <c r="AF60" i="44"/>
  <c r="AE61" i="44"/>
  <c r="AF61" i="44"/>
  <c r="AE62" i="44"/>
  <c r="AF62" i="44"/>
  <c r="AE63" i="44"/>
  <c r="AF63" i="44"/>
  <c r="AE64" i="44"/>
  <c r="AF64" i="44"/>
  <c r="AE65" i="44"/>
  <c r="AF65" i="44"/>
  <c r="AE66" i="44"/>
  <c r="AF66" i="44"/>
  <c r="AE67" i="44"/>
  <c r="AF67" i="44"/>
  <c r="AE68" i="44"/>
  <c r="AF68" i="44"/>
  <c r="AE69" i="44"/>
  <c r="AF69" i="44"/>
  <c r="AE70" i="44"/>
  <c r="AF70" i="44"/>
  <c r="AE71" i="44"/>
  <c r="AF71" i="44"/>
  <c r="AE72" i="44"/>
  <c r="AF72" i="44"/>
  <c r="AE73" i="44"/>
  <c r="AF73" i="44"/>
  <c r="AE74" i="44"/>
  <c r="AF74" i="44"/>
  <c r="AE75" i="44"/>
  <c r="AF75" i="44"/>
  <c r="AE76" i="44"/>
  <c r="AF76" i="44"/>
  <c r="AE77" i="44"/>
  <c r="AF77" i="44"/>
  <c r="AE78" i="44"/>
  <c r="AF78" i="44"/>
  <c r="AE79" i="44"/>
  <c r="AF79" i="44"/>
  <c r="AE80" i="44"/>
  <c r="AF80" i="44"/>
  <c r="AE81" i="44"/>
  <c r="AF81" i="44"/>
  <c r="AE82" i="44"/>
  <c r="AF82" i="44"/>
  <c r="AE83" i="44"/>
  <c r="AF83" i="44"/>
  <c r="AE84" i="44"/>
  <c r="AF84" i="44"/>
  <c r="AE85" i="44"/>
  <c r="AF85" i="44"/>
  <c r="AE86" i="44"/>
  <c r="AF86" i="44"/>
  <c r="AE87" i="44"/>
  <c r="AF87" i="44"/>
  <c r="AE88" i="44"/>
  <c r="AF88" i="44"/>
  <c r="AE89" i="44"/>
  <c r="AF89" i="44"/>
  <c r="AE90" i="44"/>
  <c r="AF90" i="44"/>
  <c r="AE91" i="44"/>
  <c r="AF91" i="44"/>
  <c r="AE92" i="44"/>
  <c r="AF92" i="44"/>
  <c r="AE93" i="44"/>
  <c r="AF93" i="44"/>
  <c r="AE94" i="44"/>
  <c r="AF94" i="44"/>
  <c r="AE95" i="44"/>
  <c r="AF95" i="44"/>
  <c r="AE96" i="44"/>
  <c r="AF96" i="44"/>
  <c r="AE97" i="44"/>
  <c r="AF97" i="44"/>
  <c r="AE98" i="44"/>
  <c r="AF98" i="44"/>
  <c r="AE99" i="44"/>
  <c r="AF99" i="44"/>
  <c r="AE100" i="44"/>
  <c r="AF100" i="44"/>
  <c r="AE101" i="44"/>
  <c r="AF101" i="44"/>
  <c r="AE102" i="44"/>
  <c r="AF102" i="44"/>
  <c r="AE103" i="44"/>
  <c r="AF103" i="44"/>
  <c r="AE104" i="44"/>
  <c r="AF104" i="44"/>
  <c r="AE105" i="44"/>
  <c r="AF105" i="44"/>
  <c r="AE106" i="44"/>
  <c r="AF106" i="44"/>
  <c r="AE107" i="44"/>
  <c r="AF107" i="44"/>
  <c r="AE108" i="44"/>
  <c r="AF108" i="44"/>
  <c r="AE109" i="44"/>
  <c r="AF109" i="44"/>
  <c r="AE110" i="44"/>
  <c r="AF110" i="44"/>
  <c r="AE111" i="44"/>
  <c r="AF111" i="44"/>
  <c r="AE112" i="44"/>
  <c r="AF112" i="44"/>
  <c r="AE113" i="44"/>
  <c r="AF113" i="44"/>
  <c r="AE114" i="44"/>
  <c r="AF114" i="44"/>
  <c r="AE115" i="44"/>
  <c r="AF115" i="44"/>
  <c r="AE116" i="44"/>
  <c r="AF116" i="44"/>
  <c r="AE117" i="44"/>
  <c r="AF117" i="44"/>
  <c r="AE118" i="44"/>
  <c r="AF118" i="44"/>
  <c r="AE119" i="44"/>
  <c r="AF119" i="44"/>
  <c r="AE120" i="44"/>
  <c r="AF120" i="44"/>
  <c r="AE121" i="44"/>
  <c r="AF121" i="44"/>
  <c r="AE122" i="44"/>
  <c r="AF122" i="44"/>
  <c r="AE123" i="44"/>
  <c r="AF123" i="44"/>
  <c r="AE124" i="44"/>
  <c r="AF124" i="44"/>
  <c r="AE125" i="44"/>
  <c r="AF125" i="44"/>
  <c r="AE126" i="44"/>
  <c r="AF126" i="44"/>
  <c r="AE127" i="44"/>
  <c r="AF127" i="44"/>
  <c r="AE128" i="44"/>
  <c r="AF128" i="44"/>
  <c r="AE129" i="44"/>
  <c r="AF129" i="44"/>
  <c r="AE130" i="44"/>
  <c r="AF130" i="44"/>
  <c r="AE131" i="44"/>
  <c r="AF131" i="44"/>
  <c r="AE132" i="44"/>
  <c r="AF132" i="44"/>
  <c r="AE133" i="44"/>
  <c r="AF133" i="44"/>
  <c r="AE134" i="44"/>
  <c r="AF134" i="44"/>
  <c r="AE135" i="44"/>
  <c r="AF135" i="44"/>
  <c r="AE136" i="44"/>
  <c r="AF136" i="44"/>
  <c r="AE137" i="44"/>
  <c r="AF137" i="44"/>
  <c r="AE138" i="44"/>
  <c r="AF138" i="44"/>
  <c r="AE139" i="44"/>
  <c r="AF139" i="44"/>
  <c r="AE140" i="44"/>
  <c r="AF140" i="44"/>
  <c r="AE141" i="44"/>
  <c r="AF141" i="44"/>
  <c r="AE142" i="44"/>
  <c r="AF142" i="44"/>
  <c r="AE143" i="44"/>
  <c r="AF143" i="44"/>
  <c r="AE144" i="44"/>
  <c r="AF144" i="44"/>
  <c r="AE145" i="44"/>
  <c r="AF145" i="44"/>
  <c r="AE146" i="44"/>
  <c r="AF146" i="44"/>
  <c r="AE147" i="44"/>
  <c r="AF147" i="44"/>
  <c r="AE148" i="44"/>
  <c r="AF148" i="44"/>
  <c r="AE149" i="44"/>
  <c r="AF149" i="44"/>
  <c r="AE150" i="44"/>
  <c r="AF150" i="44"/>
  <c r="AE151" i="44"/>
  <c r="AF151" i="44"/>
  <c r="AE152" i="44"/>
  <c r="AF152" i="44"/>
  <c r="AE153" i="44"/>
  <c r="AF153" i="44"/>
  <c r="AE154" i="44"/>
  <c r="AF154" i="44"/>
  <c r="AE155" i="44"/>
  <c r="AF155" i="44"/>
  <c r="AE156" i="44"/>
  <c r="AF156" i="44"/>
  <c r="AE157" i="44"/>
  <c r="AF157" i="44"/>
  <c r="AE158" i="44"/>
  <c r="AF158" i="44"/>
  <c r="AE159" i="44"/>
  <c r="AF159" i="44"/>
  <c r="AE160" i="44"/>
  <c r="AF160" i="44"/>
  <c r="AE161" i="44"/>
  <c r="AF161" i="44"/>
  <c r="AE162" i="44"/>
  <c r="AF162" i="44"/>
  <c r="AE163" i="44"/>
  <c r="AF163" i="44"/>
  <c r="AE164" i="44"/>
  <c r="AF164" i="44"/>
  <c r="AE165" i="44"/>
  <c r="AF165" i="44"/>
  <c r="AE166" i="44"/>
  <c r="AF166" i="44"/>
  <c r="AE167" i="44"/>
  <c r="AC52" i="44"/>
  <c r="AK52" i="44"/>
  <c r="AN52" i="44"/>
  <c r="AC53" i="44"/>
  <c r="AK53" i="44"/>
  <c r="AN53" i="44"/>
  <c r="AC54" i="44"/>
  <c r="AK54" i="44"/>
  <c r="AN54" i="44"/>
  <c r="AC55" i="44"/>
  <c r="AK55" i="44"/>
  <c r="AN55" i="44"/>
  <c r="AC56" i="44"/>
  <c r="AK56" i="44"/>
  <c r="AN56" i="44"/>
  <c r="AC57" i="44"/>
  <c r="AK57" i="44"/>
  <c r="AN57" i="44"/>
  <c r="AC58" i="44"/>
  <c r="AK58" i="44"/>
  <c r="AN58" i="44"/>
  <c r="AC59" i="44"/>
  <c r="AK59" i="44"/>
  <c r="AN59" i="44"/>
  <c r="AC60" i="44"/>
  <c r="AK60" i="44"/>
  <c r="AN60" i="44"/>
  <c r="AC62" i="44"/>
  <c r="AK62" i="44"/>
  <c r="AN62" i="44"/>
  <c r="AC63" i="44"/>
  <c r="AK63" i="44"/>
  <c r="AN63" i="44"/>
  <c r="AC64" i="44"/>
  <c r="AK64" i="44"/>
  <c r="AN64" i="44"/>
  <c r="AC65" i="44"/>
  <c r="AK65" i="44"/>
  <c r="AN65" i="44"/>
  <c r="AC66" i="44"/>
  <c r="AK66" i="44"/>
  <c r="AN66" i="44"/>
  <c r="AC67" i="44"/>
  <c r="AK67" i="44"/>
  <c r="AN67" i="44"/>
  <c r="AC68" i="44"/>
  <c r="AK68" i="44"/>
  <c r="AN68" i="44"/>
  <c r="AC69" i="44"/>
  <c r="AK69" i="44"/>
  <c r="AN69" i="44"/>
  <c r="AC70" i="44"/>
  <c r="AK70" i="44"/>
  <c r="AN70" i="44"/>
  <c r="AC61" i="44"/>
  <c r="AK61" i="44"/>
  <c r="AN61" i="44"/>
  <c r="M52" i="44"/>
  <c r="M53" i="44"/>
  <c r="M54" i="44"/>
  <c r="M55" i="44"/>
  <c r="M56" i="44"/>
  <c r="M57" i="44"/>
  <c r="M58" i="44"/>
  <c r="M59" i="44"/>
  <c r="M60" i="44"/>
  <c r="M61" i="44"/>
  <c r="M62" i="44"/>
  <c r="M63" i="44"/>
  <c r="M64" i="44"/>
  <c r="M65" i="44"/>
  <c r="M66" i="44"/>
  <c r="M67" i="44"/>
  <c r="M68" i="44"/>
  <c r="M69" i="44"/>
  <c r="M70" i="44"/>
  <c r="U18" i="26"/>
  <c r="E16" i="36"/>
  <c r="G16" i="36"/>
  <c r="D20" i="26"/>
  <c r="D19" i="26"/>
  <c r="D18" i="26"/>
  <c r="D17" i="26"/>
  <c r="D16" i="26"/>
  <c r="D15" i="26"/>
  <c r="N20" i="6"/>
  <c r="E20" i="6"/>
  <c r="M20" i="6"/>
  <c r="K20" i="6"/>
  <c r="C20" i="6"/>
  <c r="I20" i="6"/>
  <c r="G20" i="6"/>
  <c r="N19" i="6"/>
  <c r="E19" i="6"/>
  <c r="M19" i="6"/>
  <c r="K19" i="6"/>
  <c r="C19" i="6"/>
  <c r="I19" i="6"/>
  <c r="G19" i="6"/>
  <c r="N18" i="6"/>
  <c r="E18" i="6"/>
  <c r="M18" i="6"/>
  <c r="K18" i="6"/>
  <c r="C18" i="6"/>
  <c r="I18" i="6"/>
  <c r="G18" i="6"/>
  <c r="N17" i="6"/>
  <c r="E17" i="6"/>
  <c r="M17" i="6"/>
  <c r="K17" i="6"/>
  <c r="C17" i="6"/>
  <c r="I17" i="6"/>
  <c r="G17" i="6"/>
  <c r="N16" i="6"/>
  <c r="E16" i="6"/>
  <c r="M16" i="6"/>
  <c r="K16" i="6"/>
  <c r="C16" i="6"/>
  <c r="I16" i="6"/>
  <c r="G16" i="6"/>
  <c r="N15" i="6"/>
  <c r="E15" i="6"/>
  <c r="M15" i="6"/>
  <c r="K15" i="6"/>
  <c r="C15" i="6"/>
  <c r="I15" i="6"/>
  <c r="G15" i="6"/>
  <c r="H32" i="33"/>
  <c r="U15" i="26"/>
  <c r="G16" i="35"/>
  <c r="E16" i="35"/>
  <c r="D16" i="27"/>
  <c r="D15" i="37"/>
  <c r="B15" i="41"/>
  <c r="J15" i="41"/>
  <c r="L15" i="41"/>
  <c r="C15" i="41"/>
  <c r="D15" i="41"/>
  <c r="F15" i="41"/>
  <c r="E15" i="41"/>
  <c r="B15" i="52"/>
  <c r="I15" i="52"/>
  <c r="C15" i="52"/>
  <c r="J15" i="52"/>
  <c r="D15" i="52"/>
  <c r="K15" i="52"/>
  <c r="E15" i="52"/>
  <c r="L15" i="52"/>
  <c r="K15" i="41"/>
  <c r="M15" i="52"/>
  <c r="O15" i="52"/>
  <c r="P15" i="52"/>
  <c r="E26" i="50" a="1"/>
  <c r="E25" i="50" a="1"/>
  <c r="F26" i="50" a="1"/>
  <c r="F25" i="50" a="1"/>
  <c r="F36" i="50"/>
  <c r="F35" i="50"/>
  <c r="F33" i="50"/>
  <c r="F32" i="50"/>
  <c r="F31" i="50"/>
  <c r="F29" i="50"/>
  <c r="F28" i="50"/>
  <c r="H29" i="50"/>
  <c r="F27" i="50"/>
  <c r="H28" i="50"/>
  <c r="E27" i="50"/>
  <c r="D27" i="50"/>
  <c r="M79" i="36"/>
  <c r="K79" i="36"/>
  <c r="K76" i="36"/>
  <c r="M76" i="36"/>
  <c r="K70" i="36"/>
  <c r="M70" i="36"/>
  <c r="K67" i="36"/>
  <c r="M67" i="36"/>
  <c r="K63" i="36"/>
  <c r="K64" i="36"/>
  <c r="K61" i="36"/>
  <c r="M61" i="36"/>
  <c r="K51" i="36"/>
  <c r="K52" i="36"/>
  <c r="K46" i="36"/>
  <c r="Q78" i="36"/>
  <c r="R78" i="36"/>
  <c r="R79" i="36"/>
  <c r="Q79" i="36"/>
  <c r="Q75" i="36"/>
  <c r="Q76" i="36"/>
  <c r="R75" i="36"/>
  <c r="R76" i="36"/>
  <c r="Q69" i="36"/>
  <c r="Q70" i="36"/>
  <c r="R69" i="36"/>
  <c r="R70" i="36"/>
  <c r="Q60" i="36"/>
  <c r="Q61" i="36"/>
  <c r="R60" i="36"/>
  <c r="R61" i="36"/>
  <c r="G46" i="35"/>
  <c r="E46" i="35"/>
  <c r="E28" i="50"/>
  <c r="D28" i="50"/>
  <c r="E29" i="50"/>
  <c r="D29" i="50"/>
  <c r="E31" i="50"/>
  <c r="D31" i="50"/>
  <c r="E32" i="50"/>
  <c r="D32" i="50"/>
  <c r="E33" i="50"/>
  <c r="D33" i="50"/>
  <c r="E35" i="50"/>
  <c r="D35" i="50"/>
  <c r="E36" i="50"/>
  <c r="D36" i="50"/>
  <c r="D45" i="41"/>
  <c r="E45" i="41"/>
  <c r="O45" i="52"/>
  <c r="P45" i="52"/>
  <c r="C39" i="52"/>
  <c r="J39" i="52"/>
  <c r="D39" i="52"/>
  <c r="K39" i="52"/>
  <c r="E39" i="52"/>
  <c r="L39" i="52"/>
  <c r="P39" i="52"/>
  <c r="O39" i="52"/>
  <c r="E30" i="50"/>
  <c r="F30" i="50"/>
  <c r="D30" i="50"/>
  <c r="K40" i="36"/>
  <c r="J42" i="36"/>
  <c r="M46" i="36"/>
  <c r="H51" i="36"/>
  <c r="J51" i="36"/>
  <c r="M51" i="36"/>
  <c r="M52" i="36"/>
  <c r="H63" i="36"/>
  <c r="J63" i="36"/>
  <c r="M63" i="36"/>
  <c r="M64" i="36"/>
  <c r="F207" i="42"/>
  <c r="F204" i="42"/>
  <c r="F178" i="42"/>
  <c r="D207" i="42"/>
  <c r="D204" i="42"/>
  <c r="D178" i="42"/>
  <c r="G63" i="41"/>
  <c r="I63" i="41"/>
  <c r="L63" i="41"/>
  <c r="G51" i="41"/>
  <c r="I51" i="41"/>
  <c r="L51" i="41"/>
  <c r="G42" i="41"/>
  <c r="I42" i="41"/>
  <c r="E40" i="35"/>
  <c r="B63" i="36"/>
  <c r="D63" i="36"/>
  <c r="G63" i="36"/>
  <c r="G64" i="36"/>
  <c r="BW106" i="4"/>
  <c r="CS106" i="4"/>
  <c r="B106" i="6"/>
  <c r="D106" i="6"/>
  <c r="F103" i="5"/>
  <c r="F106" i="6"/>
  <c r="H103" i="5"/>
  <c r="H106" i="6"/>
  <c r="J103" i="5"/>
  <c r="J106" i="6"/>
  <c r="L103" i="5"/>
  <c r="L106" i="6"/>
  <c r="L102" i="25"/>
  <c r="K103" i="25"/>
  <c r="AF103" i="25"/>
  <c r="AB103" i="25"/>
  <c r="G103" i="13"/>
  <c r="H103" i="13"/>
  <c r="BP106" i="4"/>
  <c r="BQ106" i="4"/>
  <c r="AN106" i="4"/>
  <c r="BO106" i="4"/>
  <c r="K102" i="25"/>
  <c r="AF102" i="25"/>
  <c r="AB102" i="25"/>
  <c r="AD106" i="30"/>
  <c r="AI106" i="30"/>
  <c r="AR106" i="30"/>
  <c r="BR106" i="4"/>
  <c r="BX106" i="4"/>
  <c r="M106" i="29"/>
  <c r="AJ106" i="29"/>
  <c r="AL106" i="29"/>
  <c r="AR106" i="29"/>
  <c r="AC106" i="29"/>
  <c r="AF106" i="29"/>
  <c r="G106" i="29"/>
  <c r="M102" i="25"/>
  <c r="G178" i="25"/>
  <c r="M178" i="25"/>
  <c r="G207" i="25"/>
  <c r="H107" i="29"/>
  <c r="H108" i="29"/>
  <c r="H110" i="29"/>
  <c r="H111" i="29"/>
  <c r="H112" i="29"/>
  <c r="H113" i="29"/>
  <c r="H114" i="29"/>
  <c r="H115" i="29"/>
  <c r="H116" i="29"/>
  <c r="H117" i="29"/>
  <c r="H118" i="29"/>
  <c r="H119" i="29"/>
  <c r="H120" i="29"/>
  <c r="H121" i="29"/>
  <c r="H122" i="29"/>
  <c r="H123" i="29"/>
  <c r="H124" i="29"/>
  <c r="H125" i="29"/>
  <c r="H126" i="29"/>
  <c r="H127" i="29"/>
  <c r="H128" i="29"/>
  <c r="I41" i="33"/>
  <c r="I22" i="33"/>
  <c r="H22" i="33"/>
  <c r="H41" i="33"/>
  <c r="G178" i="34"/>
  <c r="AF113" i="34"/>
  <c r="AF112" i="34"/>
  <c r="AF111" i="34"/>
  <c r="AF110" i="34"/>
  <c r="AF109" i="34"/>
  <c r="AF108" i="34"/>
  <c r="AF107" i="34"/>
  <c r="AF106" i="34"/>
  <c r="AF105" i="34"/>
  <c r="AF104" i="34"/>
  <c r="AF103" i="34"/>
  <c r="AF102" i="34"/>
  <c r="C102" i="34"/>
  <c r="C103" i="34"/>
  <c r="C104" i="34"/>
  <c r="C106" i="34"/>
  <c r="C107" i="34"/>
  <c r="C108" i="34"/>
  <c r="C109" i="34"/>
  <c r="C110" i="34"/>
  <c r="C111" i="34"/>
  <c r="C112" i="34"/>
  <c r="D64" i="36"/>
  <c r="B51" i="36"/>
  <c r="D51" i="36"/>
  <c r="D52" i="36"/>
  <c r="G51" i="36"/>
  <c r="G52" i="36"/>
  <c r="B45" i="36"/>
  <c r="D45" i="36"/>
  <c r="D46" i="36"/>
  <c r="G45" i="36"/>
  <c r="G46" i="36"/>
  <c r="B42" i="36"/>
  <c r="D42" i="36"/>
  <c r="D43" i="36"/>
  <c r="G207" i="34"/>
  <c r="H76" i="39"/>
  <c r="I76" i="39"/>
  <c r="H86" i="39"/>
  <c r="I86" i="39"/>
  <c r="H96" i="39"/>
  <c r="I96" i="39"/>
  <c r="H106" i="39"/>
  <c r="I106" i="39"/>
  <c r="M118" i="22"/>
  <c r="L118" i="22"/>
  <c r="W118" i="22"/>
  <c r="C118" i="22"/>
  <c r="B118" i="22"/>
  <c r="U118" i="22"/>
  <c r="X102" i="2"/>
  <c r="X118" i="32"/>
  <c r="F105" i="48"/>
  <c r="B105" i="48"/>
  <c r="N105" i="48"/>
  <c r="G105" i="48"/>
  <c r="H105" i="48"/>
  <c r="I105" i="48"/>
  <c r="P105" i="48"/>
  <c r="D105" i="48"/>
  <c r="E105" i="48"/>
  <c r="O105" i="48"/>
  <c r="G113" i="42"/>
  <c r="T153" i="42"/>
  <c r="N112" i="2"/>
  <c r="N111" i="2"/>
  <c r="N110" i="2"/>
  <c r="N109" i="2"/>
  <c r="N108" i="2"/>
  <c r="N107" i="2"/>
  <c r="N106" i="2"/>
  <c r="N105" i="2"/>
  <c r="N104" i="2"/>
  <c r="N103" i="2"/>
  <c r="N102" i="2"/>
  <c r="U112" i="2"/>
  <c r="S112" i="2"/>
  <c r="U111" i="2"/>
  <c r="S111" i="2"/>
  <c r="U110" i="2"/>
  <c r="S110" i="2"/>
  <c r="U109" i="2"/>
  <c r="S109" i="2"/>
  <c r="U108" i="2"/>
  <c r="S108" i="2"/>
  <c r="U107" i="2"/>
  <c r="S107" i="2"/>
  <c r="U106" i="2"/>
  <c r="S106" i="2"/>
  <c r="U105" i="2"/>
  <c r="S105" i="2"/>
  <c r="U104" i="2"/>
  <c r="S104" i="2"/>
  <c r="U103" i="2"/>
  <c r="S103" i="2"/>
  <c r="U102" i="2"/>
  <c r="S102" i="2"/>
  <c r="V113" i="42"/>
  <c r="V112" i="42"/>
  <c r="V111" i="42"/>
  <c r="V110" i="42"/>
  <c r="V109" i="42"/>
  <c r="V108" i="42"/>
  <c r="V107" i="42"/>
  <c r="V106" i="42"/>
  <c r="V105" i="42"/>
  <c r="V104" i="42"/>
  <c r="V103" i="42"/>
  <c r="V102" i="42"/>
  <c r="O103" i="42"/>
  <c r="J106" i="48"/>
  <c r="J105" i="48"/>
  <c r="C96" i="39"/>
  <c r="H178" i="34"/>
  <c r="J178" i="34"/>
  <c r="AD178" i="34"/>
  <c r="Y118" i="32"/>
  <c r="B258" i="44"/>
  <c r="AM258" i="44"/>
  <c r="W102" i="42"/>
  <c r="P103" i="42"/>
  <c r="S103" i="42"/>
  <c r="S102" i="42"/>
  <c r="Q102" i="42"/>
  <c r="M30" i="50"/>
  <c r="BF258" i="44"/>
  <c r="BG259" i="44"/>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P39" i="23"/>
  <c r="P38" i="23"/>
  <c r="P37" i="23"/>
  <c r="P36" i="23"/>
  <c r="P35" i="23"/>
  <c r="P34" i="23"/>
  <c r="P33" i="23"/>
  <c r="P32" i="23"/>
  <c r="P31" i="23"/>
  <c r="P30" i="23"/>
  <c r="P29" i="23"/>
  <c r="P28" i="23"/>
  <c r="P27" i="23"/>
  <c r="P26" i="23"/>
  <c r="P25" i="23"/>
  <c r="P24" i="23"/>
  <c r="P23" i="23"/>
  <c r="P22" i="23"/>
  <c r="P21" i="23"/>
  <c r="P20" i="23"/>
  <c r="P19" i="23"/>
  <c r="P18" i="23"/>
  <c r="P17" i="23"/>
  <c r="P16" i="23"/>
  <c r="P15" i="23"/>
  <c r="P14" i="23"/>
  <c r="P13" i="23"/>
  <c r="P12" i="23"/>
  <c r="P11" i="23"/>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Y84"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J30" i="50"/>
  <c r="L30" i="50"/>
  <c r="N30" i="50"/>
  <c r="I30" i="50"/>
  <c r="M76" i="39"/>
  <c r="M86" i="39"/>
  <c r="M96" i="39"/>
  <c r="M106" i="39"/>
  <c r="J64" i="36"/>
  <c r="J52" i="36"/>
  <c r="J46" i="36"/>
  <c r="J43" i="36"/>
  <c r="K178" i="34"/>
  <c r="I103" i="14"/>
  <c r="J103" i="14"/>
  <c r="L103" i="14"/>
  <c r="M103" i="14"/>
  <c r="G103" i="14"/>
  <c r="N103" i="14"/>
  <c r="T103" i="14"/>
  <c r="S103" i="14"/>
  <c r="C103" i="13"/>
  <c r="R103" i="13"/>
  <c r="E103" i="13"/>
  <c r="S103" i="13"/>
  <c r="O103" i="14"/>
  <c r="D103" i="15"/>
  <c r="E103" i="15"/>
  <c r="L103" i="15"/>
  <c r="K103" i="15"/>
  <c r="P106" i="16"/>
  <c r="Q106" i="16"/>
  <c r="S106" i="16"/>
  <c r="U106" i="16"/>
  <c r="H178" i="25"/>
  <c r="I178" i="25"/>
  <c r="J178" i="25"/>
  <c r="H179" i="25"/>
  <c r="I179" i="25"/>
  <c r="J179" i="25"/>
  <c r="S178" i="25"/>
  <c r="H207" i="25"/>
  <c r="I207" i="25"/>
  <c r="J207" i="25"/>
  <c r="H208" i="25"/>
  <c r="I208" i="25"/>
  <c r="J208" i="25"/>
  <c r="S207" i="25"/>
  <c r="N103" i="25"/>
  <c r="AG103" i="25"/>
  <c r="O102" i="25"/>
  <c r="AH103" i="25"/>
  <c r="P102" i="25"/>
  <c r="AI102" i="25"/>
  <c r="P103" i="25"/>
  <c r="AI103" i="25"/>
  <c r="N178" i="25"/>
  <c r="O178" i="25"/>
  <c r="P178" i="25"/>
  <c r="N179" i="25"/>
  <c r="O179" i="25"/>
  <c r="P179" i="25"/>
  <c r="T178" i="25"/>
  <c r="I178" i="34"/>
  <c r="H179" i="34"/>
  <c r="I179" i="34"/>
  <c r="J179" i="34"/>
  <c r="H207" i="34"/>
  <c r="I207" i="34"/>
  <c r="J207" i="34"/>
  <c r="H208" i="34"/>
  <c r="I208" i="34"/>
  <c r="J208" i="34"/>
  <c r="H213" i="34"/>
  <c r="I213" i="34"/>
  <c r="J213" i="34"/>
  <c r="H214" i="34"/>
  <c r="I214" i="34"/>
  <c r="J214" i="34"/>
  <c r="H219" i="34"/>
  <c r="I219" i="34"/>
  <c r="J219" i="34"/>
  <c r="H220" i="34"/>
  <c r="I220" i="34"/>
  <c r="J220" i="34"/>
  <c r="H231" i="34"/>
  <c r="I231" i="34"/>
  <c r="J231" i="34"/>
  <c r="H232" i="34"/>
  <c r="I232" i="34"/>
  <c r="J232" i="34"/>
  <c r="N178" i="34"/>
  <c r="O178" i="34"/>
  <c r="P178" i="34"/>
  <c r="N179" i="34"/>
  <c r="O179" i="34"/>
  <c r="P179" i="34"/>
  <c r="N207" i="34"/>
  <c r="O207" i="34"/>
  <c r="P207" i="34"/>
  <c r="N208" i="34"/>
  <c r="O208" i="34"/>
  <c r="P208" i="34"/>
  <c r="N214" i="34"/>
  <c r="O214" i="34"/>
  <c r="P214" i="34"/>
  <c r="N219" i="34"/>
  <c r="O219" i="34"/>
  <c r="P219" i="34"/>
  <c r="N220" i="34"/>
  <c r="O220" i="34"/>
  <c r="P220" i="34"/>
  <c r="N231" i="34"/>
  <c r="O231" i="34"/>
  <c r="P231" i="34"/>
  <c r="N232" i="34"/>
  <c r="O232" i="34"/>
  <c r="P232" i="34"/>
  <c r="E207" i="34"/>
  <c r="Z207" i="34"/>
  <c r="K207" i="34"/>
  <c r="AA207" i="34"/>
  <c r="E210" i="34"/>
  <c r="E213" i="34"/>
  <c r="Z213" i="34"/>
  <c r="AA213" i="34"/>
  <c r="E219" i="34"/>
  <c r="Z219" i="34"/>
  <c r="K219" i="34"/>
  <c r="AA219" i="34"/>
  <c r="E231" i="34"/>
  <c r="Z231" i="34"/>
  <c r="K231" i="34"/>
  <c r="AA231" i="34"/>
  <c r="F40" i="35"/>
  <c r="Q207" i="25"/>
  <c r="Q204" i="25"/>
  <c r="E40" i="27"/>
  <c r="L40" i="36"/>
  <c r="V178" i="34"/>
  <c r="V207" i="34"/>
  <c r="V204" i="34"/>
  <c r="E39" i="37"/>
  <c r="F45" i="37"/>
  <c r="H45" i="37"/>
  <c r="G45" i="37"/>
  <c r="F46" i="37"/>
  <c r="G46" i="37"/>
  <c r="H46" i="37"/>
  <c r="F51" i="37"/>
  <c r="H51" i="37"/>
  <c r="G51" i="37"/>
  <c r="F52" i="37"/>
  <c r="G52" i="37"/>
  <c r="H52" i="37"/>
  <c r="F63" i="37"/>
  <c r="H63" i="37"/>
  <c r="G63" i="37"/>
  <c r="F64" i="37"/>
  <c r="G64" i="37"/>
  <c r="H64" i="37"/>
  <c r="K46" i="37"/>
  <c r="L46" i="37"/>
  <c r="M46" i="37"/>
  <c r="K51" i="37"/>
  <c r="L51" i="37"/>
  <c r="M51" i="37"/>
  <c r="K52" i="37"/>
  <c r="L52" i="37"/>
  <c r="M52" i="37"/>
  <c r="K63" i="37"/>
  <c r="L63" i="37"/>
  <c r="M63" i="37"/>
  <c r="K64" i="37"/>
  <c r="L64" i="37"/>
  <c r="M64" i="37"/>
  <c r="C42" i="37"/>
  <c r="C45" i="37"/>
  <c r="T45" i="37"/>
  <c r="C51" i="37"/>
  <c r="T51" i="37"/>
  <c r="I51" i="37"/>
  <c r="U51" i="37"/>
  <c r="C63" i="37"/>
  <c r="T63" i="37"/>
  <c r="I63" i="37"/>
  <c r="U63" i="37"/>
  <c r="C22" i="33"/>
  <c r="C41" i="33"/>
  <c r="F22" i="33"/>
  <c r="F41" i="33"/>
  <c r="F23" i="33"/>
  <c r="F42" i="33"/>
  <c r="AH141" i="25"/>
  <c r="BV145" i="4"/>
  <c r="G142" i="13"/>
  <c r="H142" i="13"/>
  <c r="DL145" i="4"/>
  <c r="E145" i="4"/>
  <c r="CH145" i="4"/>
  <c r="AB145" i="4"/>
  <c r="BW145" i="4"/>
  <c r="CS145" i="4"/>
  <c r="CT145" i="4"/>
  <c r="I68" i="23"/>
  <c r="N140" i="2"/>
  <c r="S140" i="2"/>
  <c r="U140" i="2"/>
  <c r="O141" i="2"/>
  <c r="P141" i="2"/>
  <c r="J67" i="23"/>
  <c r="F142" i="5"/>
  <c r="G141" i="5"/>
  <c r="H142" i="5"/>
  <c r="I141" i="5"/>
  <c r="J142" i="5"/>
  <c r="K141" i="5"/>
  <c r="L142" i="5"/>
  <c r="M141" i="5"/>
  <c r="P142" i="5"/>
  <c r="X141" i="25"/>
  <c r="V141" i="25"/>
  <c r="AF140" i="25"/>
  <c r="AB140" i="25"/>
  <c r="M145" i="29"/>
  <c r="BR145" i="4"/>
  <c r="BP145" i="4"/>
  <c r="BQ145" i="4"/>
  <c r="J145" i="4"/>
  <c r="K142" i="13"/>
  <c r="M142" i="13"/>
  <c r="Q145" i="29"/>
  <c r="CJ145" i="29"/>
  <c r="CI145" i="29"/>
  <c r="CH145" i="29"/>
  <c r="P25" i="3"/>
  <c r="I25" i="3"/>
  <c r="AB141" i="34"/>
  <c r="Z141" i="34"/>
  <c r="Q140" i="34"/>
  <c r="AN140" i="34"/>
  <c r="AF140" i="34"/>
  <c r="C140" i="34"/>
  <c r="U140" i="34"/>
  <c r="AP140" i="34"/>
  <c r="X140" i="2"/>
  <c r="C141" i="42"/>
  <c r="G142" i="42"/>
  <c r="F145" i="29"/>
  <c r="O24" i="45"/>
  <c r="J25" i="45"/>
  <c r="I24" i="47"/>
  <c r="N24" i="47"/>
  <c r="G144" i="48"/>
  <c r="H144" i="48"/>
  <c r="I144" i="48"/>
  <c r="F144" i="48"/>
  <c r="P144" i="48"/>
  <c r="B144" i="48"/>
  <c r="D144" i="48"/>
  <c r="E144" i="48"/>
  <c r="O144" i="48"/>
  <c r="N144" i="48"/>
  <c r="O142" i="42"/>
  <c r="J144" i="48"/>
  <c r="B297" i="44"/>
  <c r="AM297" i="44"/>
  <c r="M142" i="42"/>
  <c r="P142" i="42"/>
  <c r="Q141" i="42"/>
  <c r="BF297" i="44"/>
  <c r="BG298" i="44"/>
  <c r="D68" i="23"/>
  <c r="P67" i="23"/>
  <c r="T140" i="2"/>
  <c r="Y141" i="2"/>
  <c r="N141" i="42"/>
  <c r="J145" i="16"/>
  <c r="K145" i="16"/>
  <c r="L145" i="16"/>
  <c r="O145" i="16"/>
  <c r="H145" i="16"/>
  <c r="Q145" i="16"/>
  <c r="S145" i="16"/>
  <c r="U145" i="16"/>
  <c r="L142" i="14"/>
  <c r="T142" i="14"/>
  <c r="S142" i="14"/>
  <c r="K142" i="15"/>
  <c r="D142" i="15"/>
  <c r="E142" i="15"/>
  <c r="L142" i="15"/>
  <c r="R142" i="13"/>
  <c r="E142" i="13"/>
  <c r="S142" i="13"/>
  <c r="O142" i="14"/>
  <c r="K240" i="34"/>
  <c r="I72" i="37"/>
  <c r="N240" i="34"/>
  <c r="K72" i="37"/>
  <c r="P240" i="34"/>
  <c r="M72" i="37"/>
  <c r="O240" i="34"/>
  <c r="L72" i="37"/>
  <c r="U72" i="37"/>
  <c r="H240" i="34"/>
  <c r="F72" i="37"/>
  <c r="J240" i="34"/>
  <c r="H72" i="37"/>
  <c r="I240" i="34"/>
  <c r="G72" i="37"/>
  <c r="T72" i="37"/>
  <c r="K225" i="34"/>
  <c r="I57" i="37"/>
  <c r="N225" i="34"/>
  <c r="K57" i="37"/>
  <c r="P225" i="34"/>
  <c r="M57" i="37"/>
  <c r="O225" i="34"/>
  <c r="L57" i="37"/>
  <c r="U57" i="37"/>
  <c r="H225" i="34"/>
  <c r="F57" i="37"/>
  <c r="J225" i="34"/>
  <c r="H57" i="37"/>
  <c r="I225" i="34"/>
  <c r="G57" i="37"/>
  <c r="T57" i="37"/>
  <c r="N222" i="34"/>
  <c r="K54" i="37"/>
  <c r="O222" i="34"/>
  <c r="L54" i="37"/>
  <c r="U54" i="37"/>
  <c r="J222" i="34"/>
  <c r="H54" i="37"/>
  <c r="I222" i="34"/>
  <c r="G54" i="37"/>
  <c r="T54" i="37"/>
  <c r="U48" i="37"/>
  <c r="H216" i="34"/>
  <c r="F48" i="37"/>
  <c r="J216" i="34"/>
  <c r="H48" i="37"/>
  <c r="I216" i="34"/>
  <c r="G48" i="37"/>
  <c r="T48" i="37"/>
  <c r="M73" i="37"/>
  <c r="L73" i="37"/>
  <c r="K73" i="37"/>
  <c r="M58" i="37"/>
  <c r="L58" i="37"/>
  <c r="K58" i="37"/>
  <c r="M55" i="37"/>
  <c r="L55" i="37"/>
  <c r="K55" i="37"/>
  <c r="M49" i="37"/>
  <c r="L49" i="37"/>
  <c r="K49" i="37"/>
  <c r="H73" i="37"/>
  <c r="G73" i="37"/>
  <c r="F73" i="37"/>
  <c r="H58" i="37"/>
  <c r="G58" i="37"/>
  <c r="F58" i="37"/>
  <c r="H55" i="37"/>
  <c r="G55" i="37"/>
  <c r="F55" i="37"/>
  <c r="H49" i="37"/>
  <c r="G49" i="37"/>
  <c r="F49" i="37"/>
  <c r="V240" i="34"/>
  <c r="E72" i="37"/>
  <c r="V225" i="34"/>
  <c r="E57" i="37"/>
  <c r="V222" i="34"/>
  <c r="E54" i="37"/>
  <c r="V216" i="34"/>
  <c r="E48" i="37"/>
  <c r="V210" i="34"/>
  <c r="E42" i="37"/>
  <c r="V172" i="34"/>
  <c r="H240" i="25"/>
  <c r="F73" i="27"/>
  <c r="J240" i="25"/>
  <c r="H73" i="27"/>
  <c r="I240" i="25"/>
  <c r="G73" i="27"/>
  <c r="N73" i="27"/>
  <c r="H225" i="25"/>
  <c r="F58" i="27"/>
  <c r="J225" i="25"/>
  <c r="H58" i="27"/>
  <c r="I225" i="25"/>
  <c r="G58" i="27"/>
  <c r="N58" i="27"/>
  <c r="I222" i="25"/>
  <c r="G55" i="27"/>
  <c r="N55" i="27"/>
  <c r="N49" i="27"/>
  <c r="H210" i="25"/>
  <c r="F43" i="27"/>
  <c r="J210" i="25"/>
  <c r="H43" i="27"/>
  <c r="I210" i="25"/>
  <c r="G43" i="27"/>
  <c r="N43" i="27"/>
  <c r="H74" i="27"/>
  <c r="G74" i="27"/>
  <c r="F74" i="27"/>
  <c r="H59" i="27"/>
  <c r="G59" i="27"/>
  <c r="F59" i="27"/>
  <c r="H56" i="27"/>
  <c r="G56" i="27"/>
  <c r="F56" i="27"/>
  <c r="H50" i="27"/>
  <c r="G50" i="27"/>
  <c r="F50" i="27"/>
  <c r="H44" i="27"/>
  <c r="G44" i="27"/>
  <c r="F44" i="27"/>
  <c r="Q240" i="25"/>
  <c r="Q225" i="25"/>
  <c r="Q222" i="25"/>
  <c r="Q216" i="25"/>
  <c r="Q210" i="25"/>
  <c r="AA240" i="34"/>
  <c r="Z240" i="34"/>
  <c r="AA225" i="34"/>
  <c r="Z225" i="34"/>
  <c r="AA222" i="34"/>
  <c r="Z222" i="34"/>
  <c r="AA216" i="34"/>
  <c r="Z216" i="34"/>
  <c r="P241" i="34"/>
  <c r="O241" i="34"/>
  <c r="N241" i="34"/>
  <c r="P226" i="34"/>
  <c r="O226" i="34"/>
  <c r="N226" i="34"/>
  <c r="P223" i="34"/>
  <c r="O223" i="34"/>
  <c r="N223" i="34"/>
  <c r="P217" i="34"/>
  <c r="O217" i="34"/>
  <c r="N217" i="34"/>
  <c r="P172" i="34"/>
  <c r="N172" i="34"/>
  <c r="O172" i="34"/>
  <c r="P173" i="34"/>
  <c r="O173" i="34"/>
  <c r="N173" i="34"/>
  <c r="J241" i="34"/>
  <c r="I241" i="34"/>
  <c r="H241" i="34"/>
  <c r="J226" i="34"/>
  <c r="I226" i="34"/>
  <c r="H226" i="34"/>
  <c r="J223" i="34"/>
  <c r="I223" i="34"/>
  <c r="H223" i="34"/>
  <c r="J217" i="34"/>
  <c r="I217" i="34"/>
  <c r="H217" i="34"/>
  <c r="J172" i="34"/>
  <c r="H172" i="34"/>
  <c r="I172" i="34"/>
  <c r="J173" i="34"/>
  <c r="I173" i="34"/>
  <c r="H173" i="34"/>
  <c r="AH142" i="25"/>
  <c r="AH143" i="25"/>
  <c r="O240" i="25"/>
  <c r="N240" i="25"/>
  <c r="P240" i="25"/>
  <c r="O241" i="25"/>
  <c r="O225" i="25"/>
  <c r="N225" i="25"/>
  <c r="P225" i="25"/>
  <c r="O226" i="25"/>
  <c r="O222" i="25"/>
  <c r="O223" i="25"/>
  <c r="O216" i="25"/>
  <c r="N216" i="25"/>
  <c r="P216" i="25"/>
  <c r="O217" i="25"/>
  <c r="O210" i="25"/>
  <c r="N210" i="25"/>
  <c r="P210" i="25"/>
  <c r="O211" i="25"/>
  <c r="N172" i="25"/>
  <c r="O172" i="25"/>
  <c r="P172" i="25"/>
  <c r="T172" i="25"/>
  <c r="P173" i="25"/>
  <c r="O173" i="25"/>
  <c r="N173" i="25"/>
  <c r="S240" i="25"/>
  <c r="S225" i="25"/>
  <c r="S222" i="25"/>
  <c r="S216" i="25"/>
  <c r="S210" i="25"/>
  <c r="J241" i="25"/>
  <c r="I241" i="25"/>
  <c r="H241" i="25"/>
  <c r="J226" i="25"/>
  <c r="I226" i="25"/>
  <c r="H226" i="25"/>
  <c r="J223" i="25"/>
  <c r="I223" i="25"/>
  <c r="H223" i="25"/>
  <c r="J217" i="25"/>
  <c r="I217" i="25"/>
  <c r="H217" i="25"/>
  <c r="J211" i="25"/>
  <c r="I211" i="25"/>
  <c r="H211" i="25"/>
  <c r="H172" i="25"/>
  <c r="I172" i="25"/>
  <c r="J172" i="25"/>
  <c r="S172" i="25"/>
  <c r="J173" i="25"/>
  <c r="I173" i="25"/>
  <c r="H173" i="25"/>
  <c r="K172" i="34"/>
  <c r="M136" i="39"/>
  <c r="M143" i="42"/>
  <c r="J34" i="50"/>
  <c r="N142" i="42"/>
  <c r="N143" i="42"/>
  <c r="K34" i="50"/>
  <c r="I34" i="50"/>
  <c r="O143" i="42"/>
  <c r="L34" i="50"/>
  <c r="N34" i="50"/>
  <c r="T141" i="2"/>
  <c r="P68" i="23"/>
  <c r="B72" i="52"/>
  <c r="I72" i="52"/>
  <c r="C72" i="52"/>
  <c r="J72" i="52"/>
  <c r="D72" i="52"/>
  <c r="K72" i="52"/>
  <c r="E72" i="52"/>
  <c r="L72" i="52"/>
  <c r="P72" i="52"/>
  <c r="B57" i="52"/>
  <c r="I57" i="52"/>
  <c r="C57" i="52"/>
  <c r="J57" i="52"/>
  <c r="D57" i="52"/>
  <c r="K57" i="52"/>
  <c r="E57" i="52"/>
  <c r="L57" i="52"/>
  <c r="P57" i="52"/>
  <c r="B42" i="52"/>
  <c r="I42" i="52"/>
  <c r="C42" i="52"/>
  <c r="J42" i="52"/>
  <c r="D42" i="52"/>
  <c r="K42" i="52"/>
  <c r="E42" i="52"/>
  <c r="L42" i="52"/>
  <c r="P42" i="52"/>
  <c r="O72" i="52"/>
  <c r="O57" i="52"/>
  <c r="O42" i="52"/>
  <c r="M72" i="52"/>
  <c r="M57" i="52"/>
  <c r="M42" i="52"/>
  <c r="Q142" i="42"/>
  <c r="M34" i="50"/>
  <c r="T240" i="34"/>
  <c r="P72" i="37"/>
  <c r="Q141" i="34"/>
  <c r="U141" i="34"/>
  <c r="AP141" i="34"/>
  <c r="Q142" i="34"/>
  <c r="U142" i="34"/>
  <c r="AP142" i="34"/>
  <c r="Q143" i="34"/>
  <c r="U143" i="34"/>
  <c r="AP143" i="34"/>
  <c r="U240" i="34"/>
  <c r="Q72" i="37"/>
  <c r="V72" i="37"/>
  <c r="T225" i="34"/>
  <c r="P57" i="37"/>
  <c r="U225" i="34"/>
  <c r="Q57" i="37"/>
  <c r="V57" i="37"/>
  <c r="U222" i="34"/>
  <c r="Q54" i="37"/>
  <c r="V54" i="37"/>
  <c r="T216" i="34"/>
  <c r="P48" i="37"/>
  <c r="U216" i="34"/>
  <c r="Q48" i="37"/>
  <c r="V48" i="37"/>
  <c r="AB240" i="34"/>
  <c r="AB225" i="34"/>
  <c r="AB222" i="34"/>
  <c r="AB216" i="34"/>
  <c r="AD172" i="34"/>
  <c r="C136" i="39"/>
  <c r="J145" i="48"/>
  <c r="T240" i="25"/>
  <c r="T225" i="25"/>
  <c r="T222" i="25"/>
  <c r="T216" i="25"/>
  <c r="T210" i="25"/>
  <c r="N25" i="47"/>
  <c r="I25" i="47"/>
  <c r="O25" i="45"/>
  <c r="C142" i="42"/>
  <c r="X141" i="2"/>
  <c r="J73" i="27"/>
  <c r="K73" i="27"/>
  <c r="O73" i="27"/>
  <c r="J58" i="27"/>
  <c r="K58" i="27"/>
  <c r="O58" i="27"/>
  <c r="O55" i="27"/>
  <c r="J49" i="27"/>
  <c r="K49" i="27"/>
  <c r="O49" i="27"/>
  <c r="J43" i="27"/>
  <c r="K43" i="27"/>
  <c r="O43" i="27"/>
  <c r="I136" i="39"/>
  <c r="H136" i="39"/>
  <c r="M240" i="34"/>
  <c r="J72" i="37"/>
  <c r="M225" i="34"/>
  <c r="J57" i="37"/>
  <c r="M222" i="34"/>
  <c r="J54" i="37"/>
  <c r="M216" i="34"/>
  <c r="J48" i="37"/>
  <c r="U241" i="34"/>
  <c r="T241" i="34"/>
  <c r="U226" i="34"/>
  <c r="T226" i="34"/>
  <c r="U223" i="34"/>
  <c r="T223" i="34"/>
  <c r="U217" i="34"/>
  <c r="T217" i="34"/>
  <c r="U172" i="34"/>
  <c r="T172" i="34"/>
  <c r="U173" i="34"/>
  <c r="T173" i="34"/>
  <c r="P241" i="25"/>
  <c r="N241" i="25"/>
  <c r="P226" i="25"/>
  <c r="N226" i="25"/>
  <c r="P223" i="25"/>
  <c r="N223" i="25"/>
  <c r="P217" i="25"/>
  <c r="N217" i="25"/>
  <c r="P211" i="25"/>
  <c r="N211" i="25"/>
  <c r="Q49" i="37"/>
  <c r="P49" i="37"/>
  <c r="S216" i="34"/>
  <c r="O48" i="37"/>
  <c r="Q55" i="37"/>
  <c r="P55" i="37"/>
  <c r="S222" i="34"/>
  <c r="O54" i="37"/>
  <c r="Q58" i="37"/>
  <c r="P58" i="37"/>
  <c r="S225" i="34"/>
  <c r="O57" i="37"/>
  <c r="Q73" i="37"/>
  <c r="P73" i="37"/>
  <c r="S240" i="34"/>
  <c r="O72" i="37"/>
  <c r="E42" i="36"/>
  <c r="E43" i="36"/>
  <c r="E48" i="36"/>
  <c r="G48" i="36"/>
  <c r="G49" i="36"/>
  <c r="E49" i="36"/>
  <c r="E57" i="36"/>
  <c r="G57" i="36"/>
  <c r="G58" i="36"/>
  <c r="E58" i="36"/>
  <c r="E72" i="36"/>
  <c r="G72" i="36"/>
  <c r="G73" i="36"/>
  <c r="E73" i="36"/>
  <c r="C141" i="34"/>
  <c r="AF141" i="34"/>
  <c r="AN141" i="34"/>
  <c r="AF142" i="34"/>
  <c r="AN142" i="34"/>
  <c r="G172" i="34"/>
  <c r="S172" i="34"/>
  <c r="Z142" i="34"/>
  <c r="Z143" i="34"/>
  <c r="Z144" i="34"/>
  <c r="Z145" i="34"/>
  <c r="Z146" i="34"/>
  <c r="Z147" i="34"/>
  <c r="Z148" i="34"/>
  <c r="Z149" i="34"/>
  <c r="Z150" i="34"/>
  <c r="Z151" i="34"/>
  <c r="Z152" i="34"/>
  <c r="Z153" i="34"/>
  <c r="Z154" i="34"/>
  <c r="Z155" i="34"/>
  <c r="Z156" i="34"/>
  <c r="Z157" i="34"/>
  <c r="Z158" i="34"/>
  <c r="Z159" i="34"/>
  <c r="Z160" i="34"/>
  <c r="Z161" i="34"/>
  <c r="Z162" i="34"/>
  <c r="Z163" i="34"/>
  <c r="Z164" i="34"/>
  <c r="Z165" i="34"/>
  <c r="AA173" i="34"/>
  <c r="AB142" i="34"/>
  <c r="AB143" i="34"/>
  <c r="AB144" i="34"/>
  <c r="AB145" i="34"/>
  <c r="AB146" i="34"/>
  <c r="AB147" i="34"/>
  <c r="AB148" i="34"/>
  <c r="AB149" i="34"/>
  <c r="AB150" i="34"/>
  <c r="AB151" i="34"/>
  <c r="AB152" i="34"/>
  <c r="AB153" i="34"/>
  <c r="AB154" i="34"/>
  <c r="AB155" i="34"/>
  <c r="AB156" i="34"/>
  <c r="AB157" i="34"/>
  <c r="AB158" i="34"/>
  <c r="AB159" i="34"/>
  <c r="AB160" i="34"/>
  <c r="AB161" i="34"/>
  <c r="AB162" i="34"/>
  <c r="AB163" i="34"/>
  <c r="AB164" i="34"/>
  <c r="AB165" i="34"/>
  <c r="AB173" i="34"/>
  <c r="K44" i="27"/>
  <c r="J44" i="27"/>
  <c r="K50" i="27"/>
  <c r="J50" i="27"/>
  <c r="K56" i="27"/>
  <c r="J56" i="27"/>
  <c r="K59" i="27"/>
  <c r="J59" i="27"/>
  <c r="K74" i="27"/>
  <c r="J74" i="27"/>
  <c r="I24" i="33"/>
  <c r="J24" i="33"/>
  <c r="H24" i="33"/>
  <c r="H43" i="33"/>
  <c r="J43" i="33"/>
  <c r="I43" i="33"/>
  <c r="C146" i="6"/>
  <c r="K24" i="33"/>
  <c r="K43" i="33"/>
  <c r="L43" i="33"/>
  <c r="G43" i="33"/>
  <c r="C24" i="33"/>
  <c r="C43" i="33"/>
  <c r="B43" i="33"/>
  <c r="M172" i="25"/>
  <c r="G172" i="25"/>
  <c r="I26" i="3"/>
  <c r="P26" i="3"/>
  <c r="M240" i="25"/>
  <c r="I73" i="27"/>
  <c r="M225" i="25"/>
  <c r="I58" i="27"/>
  <c r="M216" i="25"/>
  <c r="I49" i="27"/>
  <c r="M210" i="25"/>
  <c r="I43" i="27"/>
  <c r="AB141" i="25"/>
  <c r="AF141" i="25"/>
  <c r="AB142" i="25"/>
  <c r="AF142" i="25"/>
  <c r="V142" i="25"/>
  <c r="V143" i="25"/>
  <c r="V144" i="25"/>
  <c r="V145" i="25"/>
  <c r="V146" i="25"/>
  <c r="V147" i="25"/>
  <c r="V148" i="25"/>
  <c r="V149" i="25"/>
  <c r="V150" i="25"/>
  <c r="V151" i="25"/>
  <c r="V152" i="25"/>
  <c r="V153" i="25"/>
  <c r="V154" i="25"/>
  <c r="V155" i="25"/>
  <c r="V156" i="25"/>
  <c r="V157" i="25"/>
  <c r="V158" i="25"/>
  <c r="V159" i="25"/>
  <c r="V160" i="25"/>
  <c r="V161" i="25"/>
  <c r="V162" i="25"/>
  <c r="V163" i="25"/>
  <c r="V164" i="25"/>
  <c r="V165" i="25"/>
  <c r="W173"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73" i="25"/>
  <c r="Q146" i="6"/>
  <c r="L143" i="5"/>
  <c r="P143" i="5"/>
  <c r="P146" i="6"/>
  <c r="O146" i="6"/>
  <c r="M142" i="5"/>
  <c r="M143" i="5"/>
  <c r="M146" i="6"/>
  <c r="L146" i="6"/>
  <c r="K142" i="5"/>
  <c r="K143" i="5"/>
  <c r="K146" i="6"/>
  <c r="J143" i="5"/>
  <c r="J146" i="6"/>
  <c r="I142" i="5"/>
  <c r="I143" i="5"/>
  <c r="I146" i="6"/>
  <c r="H143" i="5"/>
  <c r="H146" i="6"/>
  <c r="G142" i="5"/>
  <c r="G143" i="5"/>
  <c r="G146" i="6"/>
  <c r="F143" i="5"/>
  <c r="F146" i="6"/>
  <c r="E146" i="6"/>
  <c r="D146" i="6"/>
  <c r="J68" i="23"/>
  <c r="U141" i="2"/>
  <c r="S141" i="2"/>
  <c r="N141" i="2"/>
  <c r="E72" i="35"/>
  <c r="E73" i="35"/>
  <c r="G72" i="35"/>
  <c r="G73" i="35"/>
  <c r="I72" i="35"/>
  <c r="I73" i="35"/>
  <c r="K72" i="35"/>
  <c r="K73" i="35"/>
  <c r="E57" i="35"/>
  <c r="E58" i="35"/>
  <c r="G57" i="35"/>
  <c r="G58" i="35"/>
  <c r="I57" i="35"/>
  <c r="I58" i="35"/>
  <c r="K57" i="35"/>
  <c r="K58" i="35"/>
  <c r="E54" i="36"/>
  <c r="E55" i="36"/>
  <c r="G54" i="36"/>
  <c r="G55" i="36"/>
  <c r="E42" i="35"/>
  <c r="E43" i="35"/>
  <c r="I42" i="35"/>
  <c r="K42" i="35"/>
  <c r="K43" i="35"/>
  <c r="I48" i="35"/>
  <c r="K48" i="35"/>
  <c r="K49" i="35"/>
  <c r="K55" i="35"/>
  <c r="I43" i="35"/>
  <c r="I49" i="35"/>
  <c r="I55" i="35"/>
  <c r="G42" i="35"/>
  <c r="G43" i="35"/>
  <c r="G210" i="25"/>
  <c r="D43" i="27"/>
  <c r="G225" i="34"/>
  <c r="D57" i="37"/>
  <c r="G225" i="25"/>
  <c r="D58" i="27"/>
  <c r="B57" i="41"/>
  <c r="C57" i="41"/>
  <c r="D57" i="41"/>
  <c r="F57" i="41"/>
  <c r="E57" i="41"/>
  <c r="J57" i="41"/>
  <c r="L57" i="41"/>
  <c r="G240" i="34"/>
  <c r="D72" i="37"/>
  <c r="G240" i="25"/>
  <c r="D73" i="27"/>
  <c r="B72" i="41"/>
  <c r="C72" i="41"/>
  <c r="D72" i="41"/>
  <c r="F72" i="41"/>
  <c r="E72" i="41"/>
  <c r="J72" i="41"/>
  <c r="L72" i="41"/>
  <c r="F48" i="41"/>
  <c r="K48" i="41"/>
  <c r="F54" i="41"/>
  <c r="K54" i="41"/>
  <c r="K57" i="41"/>
  <c r="K72" i="41"/>
  <c r="D172" i="42"/>
  <c r="D210" i="42"/>
  <c r="D216" i="42"/>
  <c r="D222" i="42"/>
  <c r="D225" i="42"/>
  <c r="D240" i="42"/>
  <c r="F172" i="42"/>
  <c r="F210" i="42"/>
  <c r="F216" i="42"/>
  <c r="F222" i="42"/>
  <c r="F225" i="42"/>
  <c r="F240" i="42"/>
  <c r="K72" i="36"/>
  <c r="K73" i="36"/>
  <c r="M72" i="36"/>
  <c r="M73" i="36"/>
  <c r="K57" i="36"/>
  <c r="K58" i="36"/>
  <c r="M57" i="36"/>
  <c r="M58" i="36"/>
  <c r="K49" i="36"/>
  <c r="M49" i="36"/>
  <c r="K42" i="36"/>
  <c r="K43" i="36"/>
  <c r="Q72" i="36"/>
  <c r="Q73" i="36"/>
  <c r="R72" i="36"/>
  <c r="R73" i="36"/>
  <c r="Q57" i="36"/>
  <c r="Q58" i="36"/>
  <c r="R57" i="36"/>
  <c r="R58" i="36"/>
  <c r="Q54" i="36"/>
  <c r="Q55" i="36"/>
  <c r="R54" i="36"/>
  <c r="R55" i="36"/>
  <c r="G49" i="35"/>
  <c r="E49" i="35"/>
  <c r="E34" i="50"/>
  <c r="F34" i="50"/>
  <c r="D34" i="50"/>
  <c r="C48" i="41"/>
  <c r="D48" i="41"/>
  <c r="E48" i="41"/>
  <c r="C48" i="52"/>
  <c r="D48" i="52"/>
  <c r="E48" i="52"/>
  <c r="O48" i="52"/>
  <c r="J48" i="52"/>
  <c r="K48" i="52"/>
  <c r="L48" i="52"/>
  <c r="P48" i="52"/>
  <c r="C54" i="41"/>
  <c r="G55" i="35"/>
  <c r="E55" i="35"/>
  <c r="C36" i="52"/>
  <c r="J36" i="52"/>
  <c r="D36" i="52"/>
  <c r="K36" i="52"/>
  <c r="E36" i="52"/>
  <c r="L36" i="52"/>
  <c r="P36" i="52"/>
  <c r="O36" i="52"/>
  <c r="C36" i="41"/>
  <c r="D36" i="41"/>
  <c r="F36" i="41"/>
  <c r="E36" i="41"/>
  <c r="K37" i="36"/>
  <c r="M42" i="36"/>
  <c r="M43" i="36"/>
  <c r="K36" i="41"/>
  <c r="E36" i="36"/>
  <c r="F36" i="36"/>
  <c r="F201" i="42"/>
  <c r="F175" i="42"/>
  <c r="F169" i="42"/>
  <c r="D201" i="42"/>
  <c r="D175" i="42"/>
  <c r="D169" i="42"/>
  <c r="E37" i="35"/>
  <c r="G175" i="25"/>
  <c r="M175" i="25"/>
  <c r="G169" i="25"/>
  <c r="F24" i="33"/>
  <c r="F43" i="33"/>
  <c r="G175" i="34"/>
  <c r="G169" i="34"/>
  <c r="G42" i="36"/>
  <c r="G43" i="36"/>
  <c r="E37" i="36"/>
  <c r="H169" i="34"/>
  <c r="J169" i="34"/>
  <c r="AD169" i="34"/>
  <c r="H175" i="34"/>
  <c r="J175" i="34"/>
  <c r="AD175" i="34"/>
  <c r="K169" i="34"/>
  <c r="K175" i="34"/>
  <c r="H169" i="25"/>
  <c r="I169" i="25"/>
  <c r="J169" i="25"/>
  <c r="H170" i="25"/>
  <c r="J170" i="25"/>
  <c r="I170" i="25"/>
  <c r="H175" i="25"/>
  <c r="I175" i="25"/>
  <c r="J175" i="25"/>
  <c r="H176" i="25"/>
  <c r="I176" i="25"/>
  <c r="J176" i="25"/>
  <c r="S169" i="25"/>
  <c r="S175" i="25"/>
  <c r="N175" i="25"/>
  <c r="O175" i="25"/>
  <c r="P175" i="25"/>
  <c r="N176" i="25"/>
  <c r="O176" i="25"/>
  <c r="P176" i="25"/>
  <c r="T175" i="25"/>
  <c r="I169" i="34"/>
  <c r="H170" i="34"/>
  <c r="J170" i="34"/>
  <c r="I170" i="34"/>
  <c r="I175" i="34"/>
  <c r="H176" i="34"/>
  <c r="I176" i="34"/>
  <c r="J176" i="34"/>
  <c r="H210" i="34"/>
  <c r="I210" i="34"/>
  <c r="J210" i="34"/>
  <c r="H211" i="34"/>
  <c r="I211" i="34"/>
  <c r="J211" i="34"/>
  <c r="N169" i="34"/>
  <c r="O169" i="34"/>
  <c r="P169" i="34"/>
  <c r="N170" i="34"/>
  <c r="P170" i="34"/>
  <c r="O170" i="34"/>
  <c r="N175" i="34"/>
  <c r="O175" i="34"/>
  <c r="P175" i="34"/>
  <c r="N176" i="34"/>
  <c r="O176" i="34"/>
  <c r="P176" i="34"/>
  <c r="N211" i="34"/>
  <c r="O211" i="34"/>
  <c r="P211" i="34"/>
  <c r="Z210" i="34"/>
  <c r="AA210" i="34"/>
  <c r="F37" i="35"/>
  <c r="Q201" i="25"/>
  <c r="E37" i="27"/>
  <c r="H10" i="27"/>
  <c r="H19" i="27"/>
  <c r="F37" i="36"/>
  <c r="L37" i="36"/>
  <c r="V169" i="34"/>
  <c r="V175" i="34"/>
  <c r="V201" i="34"/>
  <c r="E36" i="37"/>
  <c r="F42" i="37"/>
  <c r="H42" i="37"/>
  <c r="G42" i="37"/>
  <c r="F43" i="37"/>
  <c r="G43" i="37"/>
  <c r="H43" i="37"/>
  <c r="K43" i="37"/>
  <c r="L43" i="37"/>
  <c r="M43" i="37"/>
  <c r="T42" i="37"/>
  <c r="BV146" i="4"/>
  <c r="G143" i="13"/>
  <c r="H143" i="13"/>
  <c r="DL146" i="4"/>
  <c r="E146" i="4"/>
  <c r="CH146" i="4"/>
  <c r="AB146" i="4"/>
  <c r="BW146" i="4"/>
  <c r="CS146" i="4"/>
  <c r="I69" i="23"/>
  <c r="N142" i="2"/>
  <c r="O142" i="2"/>
  <c r="P142" i="2"/>
  <c r="S142" i="2"/>
  <c r="U142" i="2"/>
  <c r="J69" i="23"/>
  <c r="AF143" i="25"/>
  <c r="AB143" i="25"/>
  <c r="M146" i="29"/>
  <c r="BR146" i="4"/>
  <c r="BQ146" i="4"/>
  <c r="BP146" i="4"/>
  <c r="J146" i="4"/>
  <c r="K143" i="13"/>
  <c r="M143" i="13"/>
  <c r="Q146" i="29"/>
  <c r="CJ146" i="29"/>
  <c r="CI146" i="29"/>
  <c r="CH146" i="29"/>
  <c r="P27" i="3"/>
  <c r="I27" i="3"/>
  <c r="AN143" i="34"/>
  <c r="AF143" i="34"/>
  <c r="C142" i="34"/>
  <c r="X142" i="2"/>
  <c r="C143" i="42"/>
  <c r="G143" i="42"/>
  <c r="F146" i="29"/>
  <c r="O26" i="45"/>
  <c r="J26" i="45"/>
  <c r="I26" i="47"/>
  <c r="N26" i="47"/>
  <c r="G145" i="48"/>
  <c r="H145" i="48"/>
  <c r="I145" i="48"/>
  <c r="F145" i="48"/>
  <c r="P145" i="48"/>
  <c r="B145" i="48"/>
  <c r="D145" i="48"/>
  <c r="E145" i="48"/>
  <c r="O145" i="48"/>
  <c r="N145" i="48"/>
  <c r="J146" i="48"/>
  <c r="B298" i="44"/>
  <c r="AM298" i="44"/>
  <c r="P143" i="42"/>
  <c r="BF298" i="44"/>
  <c r="BG299" i="44"/>
  <c r="D69" i="23"/>
  <c r="P69" i="23"/>
  <c r="T142" i="2"/>
  <c r="Y142" i="2"/>
  <c r="J146" i="16"/>
  <c r="K146" i="16"/>
  <c r="L146" i="16"/>
  <c r="O146" i="16"/>
  <c r="H146" i="16"/>
  <c r="Q146" i="16"/>
  <c r="S146" i="16"/>
  <c r="U146" i="16"/>
  <c r="L143" i="14"/>
  <c r="T143" i="14"/>
  <c r="S143" i="14"/>
  <c r="R143" i="13"/>
  <c r="E143" i="13"/>
  <c r="S143" i="13"/>
  <c r="O143" i="14"/>
  <c r="F30" i="36"/>
  <c r="C36" i="37"/>
  <c r="F36" i="37"/>
  <c r="H36" i="37"/>
  <c r="G36" i="37"/>
  <c r="T36" i="37"/>
  <c r="T30" i="37"/>
  <c r="E192" i="34"/>
  <c r="C27" i="37"/>
  <c r="C21" i="37"/>
  <c r="C18" i="37"/>
  <c r="G11" i="34"/>
  <c r="I11" i="2"/>
  <c r="C14" i="48"/>
  <c r="J11" i="42"/>
  <c r="I11" i="42"/>
  <c r="M11" i="42"/>
  <c r="L11" i="42"/>
  <c r="J11" i="2"/>
  <c r="H11" i="2"/>
  <c r="B11" i="2"/>
  <c r="M11" i="2"/>
  <c r="F11" i="34"/>
  <c r="H12" i="34"/>
  <c r="AG12" i="34"/>
  <c r="G12" i="34"/>
  <c r="I12" i="2"/>
  <c r="C15" i="48"/>
  <c r="J12" i="42"/>
  <c r="I12" i="42"/>
  <c r="M12" i="42"/>
  <c r="L12" i="42"/>
  <c r="J12" i="2"/>
  <c r="H12" i="2"/>
  <c r="B12" i="2"/>
  <c r="M12" i="2"/>
  <c r="F12" i="34"/>
  <c r="H13" i="34"/>
  <c r="AG13" i="34"/>
  <c r="G13" i="34"/>
  <c r="I13" i="2"/>
  <c r="C16" i="48"/>
  <c r="J13" i="42"/>
  <c r="I13" i="42"/>
  <c r="M13" i="42"/>
  <c r="L13" i="42"/>
  <c r="J13" i="2"/>
  <c r="H13" i="2"/>
  <c r="B13" i="2"/>
  <c r="M13" i="2"/>
  <c r="F13" i="34"/>
  <c r="H14" i="34"/>
  <c r="AG14" i="34"/>
  <c r="AG15" i="34"/>
  <c r="AG16" i="34"/>
  <c r="AG17" i="34"/>
  <c r="AG18" i="34"/>
  <c r="AG19" i="34"/>
  <c r="AG20" i="34"/>
  <c r="AG21" i="34"/>
  <c r="AG22" i="34"/>
  <c r="AG23" i="34"/>
  <c r="AG24" i="34"/>
  <c r="AG25" i="34"/>
  <c r="H192" i="34"/>
  <c r="F27" i="37"/>
  <c r="F21" i="37"/>
  <c r="F18" i="37"/>
  <c r="B11" i="34"/>
  <c r="D11" i="34"/>
  <c r="E11" i="34"/>
  <c r="J11" i="34"/>
  <c r="AI11" i="34"/>
  <c r="B12" i="34"/>
  <c r="D12" i="34"/>
  <c r="E12" i="34"/>
  <c r="I11" i="34"/>
  <c r="J12" i="34"/>
  <c r="AI12" i="34"/>
  <c r="B13" i="34"/>
  <c r="D13" i="34"/>
  <c r="E13" i="34"/>
  <c r="I12" i="34"/>
  <c r="J13" i="34"/>
  <c r="AI13" i="34"/>
  <c r="D14" i="34"/>
  <c r="E14" i="34"/>
  <c r="I13" i="34"/>
  <c r="J14" i="34"/>
  <c r="AI14" i="34"/>
  <c r="AI15" i="34"/>
  <c r="AI16" i="34"/>
  <c r="AI17" i="34"/>
  <c r="AI18" i="34"/>
  <c r="AI19" i="34"/>
  <c r="AI20" i="34"/>
  <c r="AI21" i="34"/>
  <c r="AI22" i="34"/>
  <c r="AI23" i="34"/>
  <c r="AI24" i="34"/>
  <c r="AI25" i="34"/>
  <c r="J192" i="34"/>
  <c r="H27" i="37"/>
  <c r="H21" i="37"/>
  <c r="H18" i="37"/>
  <c r="AH12" i="34"/>
  <c r="AH13" i="34"/>
  <c r="AH14" i="34"/>
  <c r="AH15" i="34"/>
  <c r="AH16" i="34"/>
  <c r="AH17" i="34"/>
  <c r="AH18" i="34"/>
  <c r="AH19" i="34"/>
  <c r="AH20" i="34"/>
  <c r="AH21" i="34"/>
  <c r="AH22" i="34"/>
  <c r="AH23" i="34"/>
  <c r="AH24" i="34"/>
  <c r="AH25" i="34"/>
  <c r="I192" i="34"/>
  <c r="G27" i="37"/>
  <c r="G21" i="37"/>
  <c r="G18" i="37"/>
  <c r="T18" i="37"/>
  <c r="C12" i="37"/>
  <c r="C9" i="37"/>
  <c r="F12" i="37"/>
  <c r="F9" i="37"/>
  <c r="H12" i="37"/>
  <c r="H9" i="37"/>
  <c r="G12" i="37"/>
  <c r="G9" i="37"/>
  <c r="T9" i="37"/>
  <c r="M37" i="37"/>
  <c r="L37" i="37"/>
  <c r="K37" i="37"/>
  <c r="M31" i="37"/>
  <c r="L31" i="37"/>
  <c r="K31" i="37"/>
  <c r="H37" i="37"/>
  <c r="G37" i="37"/>
  <c r="F37" i="37"/>
  <c r="H31" i="37"/>
  <c r="G31" i="37"/>
  <c r="F31" i="37"/>
  <c r="H19" i="37"/>
  <c r="G19" i="37"/>
  <c r="F19" i="37"/>
  <c r="G10" i="37"/>
  <c r="H10" i="37"/>
  <c r="F10" i="37"/>
  <c r="V195" i="34"/>
  <c r="E30" i="37"/>
  <c r="C192" i="25"/>
  <c r="C28" i="27"/>
  <c r="F21" i="36"/>
  <c r="F18" i="36"/>
  <c r="E18" i="37"/>
  <c r="C65" i="5"/>
  <c r="E65" i="5"/>
  <c r="C22" i="27"/>
  <c r="F12" i="36"/>
  <c r="F9" i="36"/>
  <c r="E9" i="37"/>
  <c r="L31" i="36"/>
  <c r="F31" i="36"/>
  <c r="F19" i="36"/>
  <c r="F10" i="36"/>
  <c r="N37" i="27"/>
  <c r="N31" i="27"/>
  <c r="AC12" i="25"/>
  <c r="AC13" i="25"/>
  <c r="AC14" i="25"/>
  <c r="AC15" i="25"/>
  <c r="AC16" i="25"/>
  <c r="AC17" i="25"/>
  <c r="AC18" i="25"/>
  <c r="AC19" i="25"/>
  <c r="AC20" i="25"/>
  <c r="AC21" i="25"/>
  <c r="AC22" i="25"/>
  <c r="AC23" i="25"/>
  <c r="AC24" i="25"/>
  <c r="AC25" i="25"/>
  <c r="H192" i="25"/>
  <c r="F28" i="27"/>
  <c r="F22" i="27"/>
  <c r="F19" i="27"/>
  <c r="I11" i="25"/>
  <c r="AD12" i="25"/>
  <c r="I12" i="25"/>
  <c r="AD13" i="25"/>
  <c r="I13" i="25"/>
  <c r="AD14" i="25"/>
  <c r="I14" i="25"/>
  <c r="AD15" i="25"/>
  <c r="I15" i="25"/>
  <c r="AD16" i="25"/>
  <c r="I16" i="25"/>
  <c r="AD17" i="25"/>
  <c r="I17" i="25"/>
  <c r="AD18" i="25"/>
  <c r="I18" i="25"/>
  <c r="AD19" i="25"/>
  <c r="I19" i="25"/>
  <c r="AD20" i="25"/>
  <c r="I20" i="25"/>
  <c r="AD21" i="25"/>
  <c r="I21" i="25"/>
  <c r="AD22" i="25"/>
  <c r="I22" i="25"/>
  <c r="AD23" i="25"/>
  <c r="I23" i="25"/>
  <c r="AD24" i="25"/>
  <c r="I24" i="25"/>
  <c r="AD25" i="25"/>
  <c r="I192" i="25"/>
  <c r="G28" i="27"/>
  <c r="G22" i="27"/>
  <c r="G19" i="27"/>
  <c r="C19" i="27"/>
  <c r="N19" i="27"/>
  <c r="F13" i="27"/>
  <c r="F10" i="27"/>
  <c r="G13" i="27"/>
  <c r="G10" i="27"/>
  <c r="C13" i="27"/>
  <c r="C10" i="27"/>
  <c r="N10" i="27"/>
  <c r="H38" i="27"/>
  <c r="G38" i="27"/>
  <c r="F38" i="27"/>
  <c r="H32" i="27"/>
  <c r="G32" i="27"/>
  <c r="F32" i="27"/>
  <c r="H20" i="27"/>
  <c r="G20" i="27"/>
  <c r="F20" i="27"/>
  <c r="G11" i="27"/>
  <c r="H11" i="27"/>
  <c r="F11" i="27"/>
  <c r="F21" i="35"/>
  <c r="F12" i="35"/>
  <c r="F9" i="35"/>
  <c r="E10" i="27"/>
  <c r="F18" i="35"/>
  <c r="E19" i="27"/>
  <c r="Q195" i="25"/>
  <c r="E31" i="27"/>
  <c r="F31" i="35"/>
  <c r="F19" i="35"/>
  <c r="F10" i="35"/>
  <c r="K201" i="34"/>
  <c r="N201" i="34"/>
  <c r="P201" i="34"/>
  <c r="O201" i="34"/>
  <c r="AA201" i="34"/>
  <c r="J201" i="34"/>
  <c r="H201" i="34"/>
  <c r="I201" i="34"/>
  <c r="E201" i="34"/>
  <c r="Z201" i="34"/>
  <c r="AA195" i="34"/>
  <c r="Z195" i="34"/>
  <c r="P202" i="34"/>
  <c r="O202" i="34"/>
  <c r="N202" i="34"/>
  <c r="P196" i="34"/>
  <c r="O196" i="34"/>
  <c r="N196" i="34"/>
  <c r="J202" i="34"/>
  <c r="I202" i="34"/>
  <c r="H202" i="34"/>
  <c r="J196" i="34"/>
  <c r="I196" i="34"/>
  <c r="H196" i="34"/>
  <c r="C201" i="25"/>
  <c r="S201" i="25"/>
  <c r="S195" i="25"/>
  <c r="J202" i="25"/>
  <c r="I202" i="25"/>
  <c r="H202" i="25"/>
  <c r="J196" i="25"/>
  <c r="I196" i="25"/>
  <c r="H196" i="25"/>
  <c r="G31" i="35"/>
  <c r="E31" i="35"/>
  <c r="D36" i="36"/>
  <c r="G36" i="36"/>
  <c r="G37" i="36"/>
  <c r="E27" i="36"/>
  <c r="E21" i="36"/>
  <c r="E18" i="36"/>
  <c r="E19" i="36"/>
  <c r="G37" i="35"/>
  <c r="D195" i="42"/>
  <c r="F195" i="42"/>
  <c r="G18" i="36"/>
  <c r="G19" i="36"/>
  <c r="E27" i="35"/>
  <c r="E21" i="35"/>
  <c r="E18" i="35"/>
  <c r="E19" i="35"/>
  <c r="G18" i="35"/>
  <c r="G19" i="35"/>
  <c r="D18" i="37"/>
  <c r="D19" i="27"/>
  <c r="B18" i="41"/>
  <c r="C21" i="41"/>
  <c r="C18" i="41"/>
  <c r="D18" i="41"/>
  <c r="F27" i="41"/>
  <c r="F21" i="41"/>
  <c r="F18" i="41"/>
  <c r="E18" i="41"/>
  <c r="K21" i="41"/>
  <c r="K18" i="41"/>
  <c r="B9" i="52"/>
  <c r="C9" i="52"/>
  <c r="D9" i="52"/>
  <c r="E9" i="52"/>
  <c r="O9" i="52"/>
  <c r="E12" i="36"/>
  <c r="E9" i="36"/>
  <c r="E10" i="36"/>
  <c r="G9" i="36"/>
  <c r="G10" i="36"/>
  <c r="E12" i="35"/>
  <c r="E9" i="35"/>
  <c r="G9" i="35"/>
  <c r="G10" i="35"/>
  <c r="E10" i="35"/>
  <c r="D9" i="37"/>
  <c r="D10" i="27"/>
  <c r="B9" i="41"/>
  <c r="C9" i="41"/>
  <c r="D9" i="41"/>
  <c r="F9" i="41"/>
  <c r="E9" i="41"/>
  <c r="K12" i="41"/>
  <c r="K9" i="41"/>
  <c r="M37" i="36"/>
  <c r="K31" i="36"/>
  <c r="M31" i="36"/>
  <c r="B21" i="52"/>
  <c r="I21" i="52"/>
  <c r="I12" i="52"/>
  <c r="I9" i="52"/>
  <c r="M9" i="52"/>
  <c r="C21" i="52"/>
  <c r="J21" i="52"/>
  <c r="J12" i="52"/>
  <c r="J9" i="52"/>
  <c r="D21" i="52"/>
  <c r="K21" i="52"/>
  <c r="K12" i="52"/>
  <c r="K9" i="52"/>
  <c r="E21" i="52"/>
  <c r="L21" i="52"/>
  <c r="L12" i="52"/>
  <c r="L9" i="52"/>
  <c r="P9" i="52"/>
  <c r="D21" i="37"/>
  <c r="D22" i="27"/>
  <c r="B21" i="41"/>
  <c r="J21" i="41"/>
  <c r="J12" i="41"/>
  <c r="J9" i="41"/>
  <c r="L9" i="41"/>
  <c r="I18" i="52"/>
  <c r="J18" i="52"/>
  <c r="K18" i="52"/>
  <c r="L18" i="52"/>
  <c r="P18" i="52"/>
  <c r="B18" i="52"/>
  <c r="C18" i="52"/>
  <c r="D18" i="52"/>
  <c r="E18" i="52"/>
  <c r="O18" i="52"/>
  <c r="M18" i="52"/>
  <c r="J18" i="41"/>
  <c r="L18" i="41"/>
  <c r="C30" i="52"/>
  <c r="D30" i="52"/>
  <c r="E30" i="52"/>
  <c r="O30" i="52"/>
  <c r="J30" i="52"/>
  <c r="K30" i="52"/>
  <c r="L30" i="52"/>
  <c r="P30" i="52"/>
  <c r="T39" i="37"/>
  <c r="M40" i="37"/>
  <c r="L40" i="37"/>
  <c r="K40" i="37"/>
  <c r="H40" i="37"/>
  <c r="G40" i="37"/>
  <c r="F40" i="37"/>
  <c r="N40" i="27"/>
  <c r="H41" i="27"/>
  <c r="G41" i="27"/>
  <c r="F41" i="27"/>
  <c r="AA204" i="34"/>
  <c r="Z204" i="34"/>
  <c r="P205" i="34"/>
  <c r="O205" i="34"/>
  <c r="N205" i="34"/>
  <c r="J205" i="34"/>
  <c r="I205" i="34"/>
  <c r="H205" i="34"/>
  <c r="S204" i="25"/>
  <c r="J205" i="25"/>
  <c r="I205" i="25"/>
  <c r="H205" i="25"/>
  <c r="J40" i="36"/>
  <c r="D40" i="36"/>
  <c r="G40" i="35"/>
  <c r="M40" i="36"/>
  <c r="C33" i="52"/>
  <c r="J33" i="52"/>
  <c r="D33" i="52"/>
  <c r="K33" i="52"/>
  <c r="E33" i="52"/>
  <c r="L33" i="52"/>
  <c r="P33" i="52"/>
  <c r="O33" i="52"/>
  <c r="M34" i="36"/>
  <c r="K34" i="36"/>
  <c r="E25" i="50"/>
  <c r="F25" i="50"/>
  <c r="D25" i="50"/>
  <c r="E26" i="50"/>
  <c r="F26" i="50"/>
  <c r="D26" i="50"/>
  <c r="H26" i="50"/>
  <c r="G26" i="50"/>
  <c r="H27" i="50"/>
  <c r="U25" i="50"/>
  <c r="U26" i="50"/>
  <c r="M12" i="52"/>
  <c r="B12" i="52"/>
  <c r="C12" i="52"/>
  <c r="D12" i="52"/>
  <c r="E12" i="52"/>
  <c r="O12" i="52"/>
  <c r="P12" i="52"/>
  <c r="D12" i="37"/>
  <c r="D13" i="27"/>
  <c r="B12" i="41"/>
  <c r="C12" i="41"/>
  <c r="D12" i="41"/>
  <c r="F12" i="41"/>
  <c r="E12" i="41"/>
  <c r="L12" i="41"/>
  <c r="C12" i="35"/>
  <c r="E13" i="35"/>
  <c r="G12" i="35"/>
  <c r="G13" i="35"/>
  <c r="C12" i="36"/>
  <c r="G12" i="36"/>
  <c r="G13" i="36"/>
  <c r="B167" i="44"/>
  <c r="Y167" i="44"/>
  <c r="Z167" i="44"/>
  <c r="AA167" i="44"/>
  <c r="AD167" i="44"/>
  <c r="AE168" i="44"/>
  <c r="B168" i="44"/>
  <c r="Y168" i="44"/>
  <c r="Z168" i="44"/>
  <c r="AA168" i="44"/>
  <c r="AD168" i="44"/>
  <c r="AE169" i="44"/>
  <c r="B169" i="44"/>
  <c r="Y169" i="44"/>
  <c r="Z169" i="44"/>
  <c r="AA169" i="44"/>
  <c r="AD169" i="44"/>
  <c r="AE170" i="44"/>
  <c r="B170" i="44"/>
  <c r="Y170" i="44"/>
  <c r="Z170" i="44"/>
  <c r="AA170" i="44"/>
  <c r="AD170" i="44"/>
  <c r="AE171" i="44"/>
  <c r="B171" i="44"/>
  <c r="Y171" i="44"/>
  <c r="Z171" i="44"/>
  <c r="AA171" i="44"/>
  <c r="AD171" i="44"/>
  <c r="AE172" i="44"/>
  <c r="B172" i="44"/>
  <c r="Y172" i="44"/>
  <c r="Z172" i="44"/>
  <c r="AA172" i="44"/>
  <c r="AD172" i="44"/>
  <c r="AE173" i="44"/>
  <c r="B173" i="44"/>
  <c r="Y173" i="44"/>
  <c r="Z173" i="44"/>
  <c r="AA173" i="44"/>
  <c r="AD173" i="44"/>
  <c r="AE174" i="44"/>
  <c r="B174" i="44"/>
  <c r="Y174" i="44"/>
  <c r="Z174" i="44"/>
  <c r="AA174" i="44"/>
  <c r="AD174" i="44"/>
  <c r="AE175" i="44"/>
  <c r="B175" i="44"/>
  <c r="Y175" i="44"/>
  <c r="Z175" i="44"/>
  <c r="AA175" i="44"/>
  <c r="AD175" i="44"/>
  <c r="AE176" i="44"/>
  <c r="B176" i="44"/>
  <c r="Y176" i="44"/>
  <c r="Z176" i="44"/>
  <c r="AA176" i="44"/>
  <c r="AD176" i="44"/>
  <c r="AE177" i="44"/>
  <c r="B177" i="44"/>
  <c r="Y177" i="44"/>
  <c r="Z177" i="44"/>
  <c r="AA177" i="44"/>
  <c r="AD177" i="44"/>
  <c r="AE178" i="44"/>
  <c r="B178" i="44"/>
  <c r="Y178" i="44"/>
  <c r="Z178" i="44"/>
  <c r="AA178" i="44"/>
  <c r="AD178" i="44"/>
  <c r="AE179" i="44"/>
  <c r="B179" i="44"/>
  <c r="Y179" i="44"/>
  <c r="Z179" i="44"/>
  <c r="AA179" i="44"/>
  <c r="AD179" i="44"/>
  <c r="AE180" i="44"/>
  <c r="B180" i="44"/>
  <c r="Y180" i="44"/>
  <c r="Z180" i="44"/>
  <c r="AA180" i="44"/>
  <c r="AD180" i="44"/>
  <c r="AE181" i="44"/>
  <c r="B181" i="44"/>
  <c r="Y181" i="44"/>
  <c r="Z181" i="44"/>
  <c r="AA181" i="44"/>
  <c r="AD181" i="44"/>
  <c r="AE182" i="44"/>
  <c r="B182" i="44"/>
  <c r="Y182" i="44"/>
  <c r="Z182" i="44"/>
  <c r="AA182" i="44"/>
  <c r="AD182" i="44"/>
  <c r="AE183" i="44"/>
  <c r="B183" i="44"/>
  <c r="Y183" i="44"/>
  <c r="Z183" i="44"/>
  <c r="AA183" i="44"/>
  <c r="AD183" i="44"/>
  <c r="AE184" i="44"/>
  <c r="B184" i="44"/>
  <c r="Y184" i="44"/>
  <c r="Z184" i="44"/>
  <c r="AA184" i="44"/>
  <c r="AD184" i="44"/>
  <c r="AE185" i="44"/>
  <c r="B185" i="44"/>
  <c r="Y185" i="44"/>
  <c r="Z185" i="44"/>
  <c r="AA185" i="44"/>
  <c r="AD185" i="44"/>
  <c r="AE186" i="44"/>
  <c r="B186" i="44"/>
  <c r="Y186" i="44"/>
  <c r="Z186" i="44"/>
  <c r="AA186" i="44"/>
  <c r="AD186" i="44"/>
  <c r="AE187" i="44"/>
  <c r="B187" i="44"/>
  <c r="Y187" i="44"/>
  <c r="Z187" i="44"/>
  <c r="AA187" i="44"/>
  <c r="AD187" i="44"/>
  <c r="AE188" i="44"/>
  <c r="B188" i="44"/>
  <c r="Y188" i="44"/>
  <c r="Z188" i="44"/>
  <c r="AA188" i="44"/>
  <c r="AD188" i="44"/>
  <c r="AE189" i="44"/>
  <c r="B189" i="44"/>
  <c r="Y189" i="44"/>
  <c r="Z189" i="44"/>
  <c r="AA189" i="44"/>
  <c r="AD189" i="44"/>
  <c r="AE190" i="44"/>
  <c r="B190" i="44"/>
  <c r="Y190" i="44"/>
  <c r="Z190" i="44"/>
  <c r="AA190" i="44"/>
  <c r="AD190" i="44"/>
  <c r="AE191" i="44"/>
  <c r="B191" i="44"/>
  <c r="Y191" i="44"/>
  <c r="Z191" i="44"/>
  <c r="AA191" i="44"/>
  <c r="AD191" i="44"/>
  <c r="AE192" i="44"/>
  <c r="B192" i="44"/>
  <c r="Y192" i="44"/>
  <c r="Z192" i="44"/>
  <c r="AA192" i="44"/>
  <c r="AD192" i="44"/>
  <c r="AE193" i="44"/>
  <c r="B193" i="44"/>
  <c r="Y193" i="44"/>
  <c r="Z193" i="44"/>
  <c r="AA193" i="44"/>
  <c r="AD193" i="44"/>
  <c r="AE194" i="44"/>
  <c r="B194" i="44"/>
  <c r="Y194" i="44"/>
  <c r="Z194" i="44"/>
  <c r="AA194" i="44"/>
  <c r="AD194" i="44"/>
  <c r="AE195" i="44"/>
  <c r="B195" i="44"/>
  <c r="Y195" i="44"/>
  <c r="Z195" i="44"/>
  <c r="AA195" i="44"/>
  <c r="AD195" i="44"/>
  <c r="AE196" i="44"/>
  <c r="B196" i="44"/>
  <c r="Y196" i="44"/>
  <c r="Z196" i="44"/>
  <c r="AA196" i="44"/>
  <c r="AD196" i="44"/>
  <c r="AE197" i="44"/>
  <c r="B197" i="44"/>
  <c r="Y197" i="44"/>
  <c r="Z197" i="44"/>
  <c r="AA197" i="44"/>
  <c r="AD197" i="44"/>
  <c r="AE198" i="44"/>
  <c r="B198" i="44"/>
  <c r="Y198" i="44"/>
  <c r="Z198" i="44"/>
  <c r="AA198" i="44"/>
  <c r="AD198" i="44"/>
  <c r="AE199" i="44"/>
  <c r="B199" i="44"/>
  <c r="Y199" i="44"/>
  <c r="Z199" i="44"/>
  <c r="AA199" i="44"/>
  <c r="AD199" i="44"/>
  <c r="AE200" i="44"/>
  <c r="B200" i="44"/>
  <c r="Y200" i="44"/>
  <c r="Z200" i="44"/>
  <c r="AA200" i="44"/>
  <c r="AD200" i="44"/>
  <c r="AE201" i="44"/>
  <c r="AE202" i="44"/>
  <c r="AE203" i="44"/>
  <c r="AE204" i="44"/>
  <c r="AE205" i="44"/>
  <c r="AE206" i="44"/>
  <c r="AE207" i="44"/>
  <c r="AE208" i="44"/>
  <c r="AE209" i="44"/>
  <c r="AE210" i="44"/>
  <c r="AE211" i="44"/>
  <c r="AE212" i="44"/>
  <c r="AE213" i="44"/>
  <c r="AE214" i="44"/>
  <c r="AE215" i="44"/>
  <c r="AE216" i="44"/>
  <c r="AE217" i="44"/>
  <c r="AE218" i="44"/>
  <c r="AE219" i="44"/>
  <c r="AE220" i="44"/>
  <c r="AE221" i="44"/>
  <c r="AE222" i="44"/>
  <c r="AE223" i="44"/>
  <c r="AE224" i="44"/>
  <c r="AF224" i="44"/>
  <c r="AF223" i="44"/>
  <c r="AF222" i="44"/>
  <c r="AF221" i="44"/>
  <c r="AF220" i="44"/>
  <c r="AF219" i="44"/>
  <c r="AF218" i="44"/>
  <c r="AF217" i="44"/>
  <c r="AF216" i="44"/>
  <c r="AF215" i="44"/>
  <c r="AF214" i="44"/>
  <c r="AF213" i="44"/>
  <c r="AF212" i="44"/>
  <c r="AF211" i="44"/>
  <c r="AF210" i="44"/>
  <c r="AF209" i="44"/>
  <c r="AF208" i="44"/>
  <c r="AF207" i="44"/>
  <c r="AF206" i="44"/>
  <c r="AF205" i="44"/>
  <c r="AF204" i="44"/>
  <c r="AF203" i="44"/>
  <c r="AF202" i="44"/>
  <c r="AF201" i="44"/>
  <c r="AF200" i="44"/>
  <c r="AF199" i="44"/>
  <c r="AF198" i="44"/>
  <c r="AF197" i="44"/>
  <c r="AF196" i="44"/>
  <c r="AF195" i="44"/>
  <c r="AF194" i="44"/>
  <c r="AF193" i="44"/>
  <c r="AF192" i="44"/>
  <c r="AF191" i="44"/>
  <c r="AF190" i="44"/>
  <c r="AF189" i="44"/>
  <c r="AF188" i="44"/>
  <c r="AF187" i="44"/>
  <c r="AF186" i="44"/>
  <c r="AF185" i="44"/>
  <c r="AF184" i="44"/>
  <c r="AF183" i="44"/>
  <c r="AF182" i="44"/>
  <c r="AF181" i="44"/>
  <c r="AF180" i="44"/>
  <c r="AF179" i="44"/>
  <c r="AF178" i="44"/>
  <c r="AF177" i="44"/>
  <c r="AF176" i="44"/>
  <c r="AF175" i="44"/>
  <c r="AF174" i="44"/>
  <c r="AF173" i="44"/>
  <c r="AF172" i="44"/>
  <c r="AF171" i="44"/>
  <c r="AF170" i="44"/>
  <c r="AF169" i="44"/>
  <c r="AF168" i="44"/>
  <c r="AF167" i="44"/>
  <c r="E13" i="36"/>
  <c r="P21" i="52"/>
  <c r="O21" i="52"/>
  <c r="M21" i="52"/>
  <c r="K27" i="41"/>
  <c r="G192" i="34"/>
  <c r="D27" i="37"/>
  <c r="G192" i="25"/>
  <c r="D28" i="27"/>
  <c r="B27" i="41"/>
  <c r="C27" i="41"/>
  <c r="D27" i="41"/>
  <c r="E27" i="41"/>
  <c r="D21" i="41"/>
  <c r="E21" i="41"/>
  <c r="L21" i="41"/>
  <c r="C21" i="35"/>
  <c r="G21" i="35"/>
  <c r="G22" i="35"/>
  <c r="E22" i="35"/>
  <c r="D22" i="35"/>
  <c r="D13" i="35"/>
  <c r="C21" i="36"/>
  <c r="G21" i="36"/>
  <c r="G22" i="36"/>
  <c r="D22" i="36"/>
  <c r="D13" i="36"/>
  <c r="C20" i="38"/>
  <c r="C38" i="38"/>
  <c r="C35" i="38"/>
  <c r="C17" i="38"/>
  <c r="C11" i="38"/>
  <c r="C8" i="38"/>
  <c r="F198" i="42"/>
  <c r="F192" i="42"/>
  <c r="F187" i="42"/>
  <c r="F184" i="42"/>
  <c r="D198" i="42"/>
  <c r="D192" i="42"/>
  <c r="D187" i="42"/>
  <c r="D184" i="42"/>
  <c r="G25" i="26"/>
  <c r="H26" i="26"/>
  <c r="F26" i="26"/>
  <c r="E26" i="26"/>
  <c r="U24" i="26"/>
  <c r="AF11" i="34"/>
  <c r="U19" i="2"/>
  <c r="S19" i="2"/>
  <c r="G20" i="42"/>
  <c r="V20" i="42"/>
  <c r="V19" i="42"/>
  <c r="G184" i="25"/>
  <c r="G43" i="13"/>
  <c r="H43" i="13"/>
  <c r="BP46" i="4"/>
  <c r="BQ46" i="4"/>
  <c r="BW46" i="4"/>
  <c r="BO46" i="4"/>
  <c r="CS46" i="4"/>
  <c r="G24" i="13"/>
  <c r="H24" i="13"/>
  <c r="F12" i="5"/>
  <c r="H12" i="5"/>
  <c r="J12" i="5"/>
  <c r="G12" i="13"/>
  <c r="H12" i="13"/>
  <c r="C55" i="5"/>
  <c r="C56" i="5"/>
  <c r="C57" i="5"/>
  <c r="C58" i="5"/>
  <c r="C59" i="5"/>
  <c r="C60" i="5"/>
  <c r="C61" i="5"/>
  <c r="C62" i="5"/>
  <c r="C63" i="5"/>
  <c r="C64" i="5"/>
  <c r="C66" i="6"/>
  <c r="E55" i="5"/>
  <c r="E56" i="5"/>
  <c r="E57" i="5"/>
  <c r="E58" i="5"/>
  <c r="E59" i="5"/>
  <c r="E60" i="5"/>
  <c r="E61" i="5"/>
  <c r="E62" i="5"/>
  <c r="E63" i="5"/>
  <c r="E64" i="5"/>
  <c r="E66" i="6"/>
  <c r="G55" i="5"/>
  <c r="G56" i="5"/>
  <c r="G57" i="5"/>
  <c r="G58" i="5"/>
  <c r="G59" i="5"/>
  <c r="G60" i="5"/>
  <c r="G61" i="5"/>
  <c r="G62" i="5"/>
  <c r="G63" i="5"/>
  <c r="G64" i="5"/>
  <c r="G66" i="6"/>
  <c r="I55" i="5"/>
  <c r="I56" i="5"/>
  <c r="I57" i="5"/>
  <c r="I58" i="5"/>
  <c r="I59" i="5"/>
  <c r="I60" i="5"/>
  <c r="I61" i="5"/>
  <c r="I62" i="5"/>
  <c r="I63" i="5"/>
  <c r="I64" i="5"/>
  <c r="I66" i="6"/>
  <c r="K55" i="5"/>
  <c r="K56" i="5"/>
  <c r="K57" i="5"/>
  <c r="K58" i="5"/>
  <c r="K59" i="5"/>
  <c r="K60" i="5"/>
  <c r="K61" i="5"/>
  <c r="K62" i="5"/>
  <c r="K63" i="5"/>
  <c r="K64" i="5"/>
  <c r="K66" i="6"/>
  <c r="M55" i="5"/>
  <c r="M56" i="5"/>
  <c r="M57" i="5"/>
  <c r="M58" i="5"/>
  <c r="M59" i="5"/>
  <c r="M60" i="5"/>
  <c r="M61" i="5"/>
  <c r="M62" i="5"/>
  <c r="M63" i="5"/>
  <c r="M64" i="5"/>
  <c r="M66" i="6"/>
  <c r="C66" i="5"/>
  <c r="C67" i="5"/>
  <c r="C76" i="6"/>
  <c r="E66" i="5"/>
  <c r="E67" i="5"/>
  <c r="E76" i="6"/>
  <c r="G65" i="5"/>
  <c r="G66" i="5"/>
  <c r="G67" i="5"/>
  <c r="G76" i="6"/>
  <c r="I65" i="5"/>
  <c r="I66" i="5"/>
  <c r="I67" i="5"/>
  <c r="I76" i="6"/>
  <c r="K65" i="5"/>
  <c r="K66" i="5"/>
  <c r="K67" i="5"/>
  <c r="K76" i="6"/>
  <c r="M65" i="5"/>
  <c r="M66" i="5"/>
  <c r="M67" i="5"/>
  <c r="M76" i="6"/>
  <c r="E68" i="25"/>
  <c r="W180" i="25"/>
  <c r="AB68" i="25"/>
  <c r="AB67" i="25"/>
  <c r="AB66" i="25"/>
  <c r="AB65" i="25"/>
  <c r="AB64" i="25"/>
  <c r="AB63" i="25"/>
  <c r="AB62" i="25"/>
  <c r="AB61" i="25"/>
  <c r="AB60" i="25"/>
  <c r="AB59" i="25"/>
  <c r="AB58" i="25"/>
  <c r="AB57" i="25"/>
  <c r="AB56" i="25"/>
  <c r="AB55" i="25"/>
  <c r="AB54" i="25"/>
  <c r="AB53" i="25"/>
  <c r="AB52" i="25"/>
  <c r="F11" i="5"/>
  <c r="N11" i="5"/>
  <c r="C11" i="5"/>
  <c r="G11" i="5"/>
  <c r="N12" i="5"/>
  <c r="C12" i="5"/>
  <c r="G12" i="5"/>
  <c r="F13" i="5"/>
  <c r="N13" i="5"/>
  <c r="C13" i="5"/>
  <c r="G13" i="5"/>
  <c r="F14" i="5"/>
  <c r="N14" i="5"/>
  <c r="C14" i="5"/>
  <c r="G14" i="5"/>
  <c r="H11" i="5"/>
  <c r="I11" i="5"/>
  <c r="J11" i="5"/>
  <c r="E11" i="5"/>
  <c r="K11" i="5"/>
  <c r="M11" i="5"/>
  <c r="I12" i="5"/>
  <c r="E12" i="5"/>
  <c r="K12" i="5"/>
  <c r="M12" i="5"/>
  <c r="H13" i="5"/>
  <c r="I13" i="5"/>
  <c r="J13" i="5"/>
  <c r="E13" i="5"/>
  <c r="K13" i="5"/>
  <c r="M13" i="5"/>
  <c r="H14" i="5"/>
  <c r="I14" i="5"/>
  <c r="J14" i="5"/>
  <c r="E14" i="5"/>
  <c r="K14" i="5"/>
  <c r="M14" i="5"/>
  <c r="G13" i="13"/>
  <c r="H13" i="13"/>
  <c r="G14" i="13"/>
  <c r="H14" i="13"/>
  <c r="G15" i="13"/>
  <c r="H15" i="13"/>
  <c r="G16" i="13"/>
  <c r="H16" i="13"/>
  <c r="G17" i="13"/>
  <c r="H17" i="13"/>
  <c r="G18" i="13"/>
  <c r="H18" i="13"/>
  <c r="G19" i="13"/>
  <c r="H19" i="13"/>
  <c r="G20" i="13"/>
  <c r="H20" i="13"/>
  <c r="G21" i="13"/>
  <c r="H21" i="13"/>
  <c r="G22" i="13"/>
  <c r="H22" i="13"/>
  <c r="G23" i="13"/>
  <c r="H23" i="13"/>
  <c r="G25" i="13"/>
  <c r="H25" i="13"/>
  <c r="G26" i="13"/>
  <c r="H26" i="13"/>
  <c r="G27" i="13"/>
  <c r="H27" i="13"/>
  <c r="G28" i="13"/>
  <c r="H28" i="13"/>
  <c r="G29" i="13"/>
  <c r="H29" i="13"/>
  <c r="G30" i="13"/>
  <c r="H30" i="13"/>
  <c r="G31" i="13"/>
  <c r="H31" i="13"/>
  <c r="G32" i="13"/>
  <c r="H32" i="13"/>
  <c r="G33" i="13"/>
  <c r="H33" i="13"/>
  <c r="G34" i="13"/>
  <c r="H34" i="13"/>
  <c r="G35" i="13"/>
  <c r="H35" i="13"/>
  <c r="G36" i="13"/>
  <c r="H36" i="13"/>
  <c r="G37" i="13"/>
  <c r="H37" i="13"/>
  <c r="G38" i="13"/>
  <c r="H38" i="13"/>
  <c r="G39" i="13"/>
  <c r="H39" i="13"/>
  <c r="G40" i="13"/>
  <c r="H40" i="13"/>
  <c r="G41" i="13"/>
  <c r="H41" i="13"/>
  <c r="G42" i="13"/>
  <c r="H42" i="13"/>
  <c r="G44" i="13"/>
  <c r="H44" i="13"/>
  <c r="G11" i="13"/>
  <c r="H11" i="13"/>
  <c r="AD14" i="30"/>
  <c r="AD15" i="30"/>
  <c r="AD16" i="30"/>
  <c r="AD17" i="30"/>
  <c r="AD18" i="30"/>
  <c r="AD19" i="30"/>
  <c r="AD20" i="30"/>
  <c r="AD21" i="30"/>
  <c r="AD22" i="30"/>
  <c r="AD23" i="30"/>
  <c r="AD24" i="30"/>
  <c r="AD25" i="30"/>
  <c r="AD26" i="30"/>
  <c r="AD27" i="30"/>
  <c r="AD28" i="30"/>
  <c r="AD29" i="30"/>
  <c r="AD30" i="30"/>
  <c r="AD31" i="30"/>
  <c r="AD32" i="30"/>
  <c r="AD33" i="30"/>
  <c r="AD34" i="30"/>
  <c r="AD35" i="30"/>
  <c r="AD36" i="30"/>
  <c r="AD37" i="30"/>
  <c r="AD38" i="30"/>
  <c r="AD39" i="30"/>
  <c r="AD40" i="30"/>
  <c r="AD41" i="30"/>
  <c r="AD42" i="30"/>
  <c r="AD43" i="30"/>
  <c r="AD44" i="30"/>
  <c r="AD45" i="30"/>
  <c r="AD46" i="30"/>
  <c r="AD47" i="30"/>
  <c r="AI14" i="30"/>
  <c r="AR14" i="30"/>
  <c r="AI15" i="30"/>
  <c r="AR15" i="30"/>
  <c r="AI16" i="30"/>
  <c r="AR16" i="30"/>
  <c r="AI17" i="30"/>
  <c r="AR17" i="30"/>
  <c r="AI18" i="30"/>
  <c r="AR18" i="30"/>
  <c r="AI19" i="30"/>
  <c r="AR19" i="30"/>
  <c r="AI20" i="30"/>
  <c r="AR20" i="30"/>
  <c r="AI21" i="30"/>
  <c r="AR21" i="30"/>
  <c r="AI22" i="30"/>
  <c r="AR22" i="30"/>
  <c r="AI23" i="30"/>
  <c r="AR23" i="30"/>
  <c r="AI24" i="30"/>
  <c r="AR24" i="30"/>
  <c r="AI25" i="30"/>
  <c r="AR25" i="30"/>
  <c r="AI26" i="30"/>
  <c r="AR26" i="30"/>
  <c r="AI27" i="30"/>
  <c r="AR27" i="30"/>
  <c r="AI28" i="30"/>
  <c r="AR28" i="30"/>
  <c r="AI29" i="30"/>
  <c r="AR29" i="30"/>
  <c r="AI30" i="30"/>
  <c r="AR30" i="30"/>
  <c r="AI31" i="30"/>
  <c r="AR31" i="30"/>
  <c r="AI32" i="30"/>
  <c r="AR32" i="30"/>
  <c r="AI33" i="30"/>
  <c r="AR33" i="30"/>
  <c r="AI34" i="30"/>
  <c r="AR34" i="30"/>
  <c r="AI35" i="30"/>
  <c r="AR35" i="30"/>
  <c r="AI36" i="30"/>
  <c r="AR36" i="30"/>
  <c r="AI37" i="30"/>
  <c r="AR37" i="30"/>
  <c r="AI38" i="30"/>
  <c r="AR38" i="30"/>
  <c r="AI39" i="30"/>
  <c r="AR39" i="30"/>
  <c r="AI40" i="30"/>
  <c r="AR40" i="30"/>
  <c r="AI41" i="30"/>
  <c r="AR41" i="30"/>
  <c r="AI42" i="30"/>
  <c r="AR42" i="30"/>
  <c r="AI43" i="30"/>
  <c r="AR43" i="30"/>
  <c r="AI44" i="30"/>
  <c r="AR44" i="30"/>
  <c r="AI45" i="30"/>
  <c r="AR45" i="30"/>
  <c r="AI46" i="30"/>
  <c r="AR46" i="30"/>
  <c r="AI47" i="30"/>
  <c r="AR47" i="30"/>
  <c r="BP14" i="4"/>
  <c r="BP15" i="4"/>
  <c r="BP16" i="4"/>
  <c r="BP17" i="4"/>
  <c r="BP18" i="4"/>
  <c r="BP19" i="4"/>
  <c r="BP20" i="4"/>
  <c r="BP21" i="4"/>
  <c r="BP22" i="4"/>
  <c r="BP23" i="4"/>
  <c r="BP24" i="4"/>
  <c r="BP25" i="4"/>
  <c r="BP26" i="4"/>
  <c r="BP27" i="4"/>
  <c r="BP28" i="4"/>
  <c r="BP29" i="4"/>
  <c r="BP30" i="4"/>
  <c r="BP31" i="4"/>
  <c r="BP32" i="4"/>
  <c r="BP33" i="4"/>
  <c r="BP34" i="4"/>
  <c r="BP35" i="4"/>
  <c r="BP36" i="4"/>
  <c r="BP37" i="4"/>
  <c r="BP38" i="4"/>
  <c r="BP39" i="4"/>
  <c r="BP40" i="4"/>
  <c r="BP41" i="4"/>
  <c r="BP42" i="4"/>
  <c r="BP43" i="4"/>
  <c r="BP44" i="4"/>
  <c r="BP45" i="4"/>
  <c r="BP47" i="4"/>
  <c r="AL14" i="30"/>
  <c r="AU14" i="30"/>
  <c r="AL15" i="30"/>
  <c r="AU15" i="30"/>
  <c r="AL16" i="30"/>
  <c r="AU16" i="30"/>
  <c r="AL17" i="30"/>
  <c r="AU17" i="30"/>
  <c r="AL18" i="30"/>
  <c r="AU18" i="30"/>
  <c r="AL19" i="30"/>
  <c r="AU19" i="30"/>
  <c r="AL20" i="30"/>
  <c r="AU20" i="30"/>
  <c r="AL21" i="30"/>
  <c r="AU21" i="30"/>
  <c r="AL22" i="30"/>
  <c r="AU22" i="30"/>
  <c r="AL23" i="30"/>
  <c r="AU23" i="30"/>
  <c r="AL24" i="30"/>
  <c r="AU24" i="30"/>
  <c r="AL25" i="30"/>
  <c r="AU25" i="30"/>
  <c r="AL26" i="30"/>
  <c r="AU26" i="30"/>
  <c r="AL27" i="30"/>
  <c r="AU27" i="30"/>
  <c r="AL28" i="30"/>
  <c r="AU28" i="30"/>
  <c r="AL29" i="30"/>
  <c r="AU29" i="30"/>
  <c r="AL30" i="30"/>
  <c r="AU30" i="30"/>
  <c r="AL31" i="30"/>
  <c r="AU31" i="30"/>
  <c r="AL32" i="30"/>
  <c r="AU32" i="30"/>
  <c r="AL33" i="30"/>
  <c r="AU33" i="30"/>
  <c r="AL34" i="30"/>
  <c r="AU34" i="30"/>
  <c r="AL35" i="30"/>
  <c r="AU35" i="30"/>
  <c r="AL36" i="30"/>
  <c r="AU36" i="30"/>
  <c r="AL37" i="30"/>
  <c r="AU37" i="30"/>
  <c r="AL38" i="30"/>
  <c r="AU38" i="30"/>
  <c r="AL39" i="30"/>
  <c r="AU39" i="30"/>
  <c r="AL40" i="30"/>
  <c r="AU40" i="30"/>
  <c r="AL41" i="30"/>
  <c r="AU41" i="30"/>
  <c r="AL42" i="30"/>
  <c r="AU42" i="30"/>
  <c r="AL43" i="30"/>
  <c r="AU43" i="30"/>
  <c r="AL44" i="30"/>
  <c r="AU44" i="30"/>
  <c r="AL45" i="30"/>
  <c r="AU45" i="30"/>
  <c r="AL46" i="30"/>
  <c r="AU46" i="30"/>
  <c r="AL47" i="30"/>
  <c r="AU47" i="30"/>
  <c r="BQ14" i="4"/>
  <c r="BQ15" i="4"/>
  <c r="BQ16" i="4"/>
  <c r="BQ17" i="4"/>
  <c r="BQ18" i="4"/>
  <c r="BQ19" i="4"/>
  <c r="BQ20" i="4"/>
  <c r="BQ21" i="4"/>
  <c r="BQ22" i="4"/>
  <c r="BQ23" i="4"/>
  <c r="BQ24" i="4"/>
  <c r="BQ25" i="4"/>
  <c r="BQ26" i="4"/>
  <c r="BQ27" i="4"/>
  <c r="BQ28" i="4"/>
  <c r="BQ29" i="4"/>
  <c r="BQ30" i="4"/>
  <c r="BQ31" i="4"/>
  <c r="BQ32" i="4"/>
  <c r="BQ33" i="4"/>
  <c r="BQ34" i="4"/>
  <c r="BQ35" i="4"/>
  <c r="BQ36" i="4"/>
  <c r="BQ37" i="4"/>
  <c r="BQ38" i="4"/>
  <c r="BQ39" i="4"/>
  <c r="BQ40" i="4"/>
  <c r="BQ41" i="4"/>
  <c r="BQ42" i="4"/>
  <c r="BQ43" i="4"/>
  <c r="BQ44" i="4"/>
  <c r="BQ45" i="4"/>
  <c r="BQ47" i="4"/>
  <c r="BR14" i="4"/>
  <c r="BR15" i="4"/>
  <c r="BR16" i="4"/>
  <c r="BR17" i="4"/>
  <c r="BR18" i="4"/>
  <c r="BR19" i="4"/>
  <c r="BR20" i="4"/>
  <c r="BR21" i="4"/>
  <c r="BR22" i="4"/>
  <c r="BR23" i="4"/>
  <c r="BR24" i="4"/>
  <c r="BR25" i="4"/>
  <c r="BR26" i="4"/>
  <c r="BR27" i="4"/>
  <c r="BR28" i="4"/>
  <c r="BR29" i="4"/>
  <c r="BR30" i="4"/>
  <c r="BR31" i="4"/>
  <c r="BR32" i="4"/>
  <c r="BR33" i="4"/>
  <c r="BR34" i="4"/>
  <c r="BR35" i="4"/>
  <c r="BR36" i="4"/>
  <c r="BR37" i="4"/>
  <c r="BR38" i="4"/>
  <c r="BR39" i="4"/>
  <c r="BR40" i="4"/>
  <c r="BR41" i="4"/>
  <c r="BR42" i="4"/>
  <c r="BR43" i="4"/>
  <c r="BR44" i="4"/>
  <c r="BR45" i="4"/>
  <c r="BR46" i="4"/>
  <c r="BR47" i="4"/>
  <c r="BW14" i="4"/>
  <c r="BW15" i="4"/>
  <c r="BW16" i="4"/>
  <c r="BW17" i="4"/>
  <c r="BW18" i="4"/>
  <c r="BW19" i="4"/>
  <c r="BW20" i="4"/>
  <c r="BW21" i="4"/>
  <c r="BW22" i="4"/>
  <c r="BW23" i="4"/>
  <c r="BW24" i="4"/>
  <c r="BW25" i="4"/>
  <c r="BW26" i="4"/>
  <c r="BW27" i="4"/>
  <c r="BW28" i="4"/>
  <c r="BW29" i="4"/>
  <c r="BW30" i="4"/>
  <c r="BW31" i="4"/>
  <c r="BW32" i="4"/>
  <c r="BW33" i="4"/>
  <c r="BW34" i="4"/>
  <c r="BW35" i="4"/>
  <c r="BW36" i="4"/>
  <c r="BW37" i="4"/>
  <c r="BW38" i="4"/>
  <c r="BW39" i="4"/>
  <c r="BW40" i="4"/>
  <c r="BW41" i="4"/>
  <c r="BW42" i="4"/>
  <c r="BW43" i="4"/>
  <c r="BW44" i="4"/>
  <c r="BW45" i="4"/>
  <c r="BW47" i="4"/>
  <c r="BO14" i="4"/>
  <c r="BO15" i="4"/>
  <c r="BO16" i="4"/>
  <c r="BO17" i="4"/>
  <c r="BO18" i="4"/>
  <c r="BO19" i="4"/>
  <c r="BO20" i="4"/>
  <c r="BO21" i="4"/>
  <c r="BO22" i="4"/>
  <c r="BO23" i="4"/>
  <c r="BO24" i="4"/>
  <c r="BO25" i="4"/>
  <c r="BO26" i="4"/>
  <c r="BO27" i="4"/>
  <c r="BO28" i="4"/>
  <c r="BO29" i="4"/>
  <c r="BO30" i="4"/>
  <c r="BO31" i="4"/>
  <c r="BO32" i="4"/>
  <c r="BO33" i="4"/>
  <c r="BO34" i="4"/>
  <c r="BO35" i="4"/>
  <c r="BO36" i="4"/>
  <c r="BO37" i="4"/>
  <c r="BO38" i="4"/>
  <c r="BO39" i="4"/>
  <c r="BO40" i="4"/>
  <c r="BO41" i="4"/>
  <c r="BO42" i="4"/>
  <c r="BO43" i="4"/>
  <c r="BO44" i="4"/>
  <c r="BO45" i="4"/>
  <c r="BO47" i="4"/>
  <c r="CS14" i="4"/>
  <c r="CS15" i="4"/>
  <c r="CS16" i="4"/>
  <c r="CS17" i="4"/>
  <c r="CS18" i="4"/>
  <c r="CS19" i="4"/>
  <c r="CS20" i="4"/>
  <c r="CS21" i="4"/>
  <c r="CS22" i="4"/>
  <c r="CS23" i="4"/>
  <c r="CS24" i="4"/>
  <c r="CS25" i="4"/>
  <c r="CS26" i="4"/>
  <c r="CS27" i="4"/>
  <c r="CS28" i="4"/>
  <c r="CS29" i="4"/>
  <c r="CS30" i="4"/>
  <c r="CS31" i="4"/>
  <c r="CS32" i="4"/>
  <c r="CS33" i="4"/>
  <c r="CS34" i="4"/>
  <c r="CS35" i="4"/>
  <c r="CS36" i="4"/>
  <c r="CS37" i="4"/>
  <c r="CS38" i="4"/>
  <c r="CS39" i="4"/>
  <c r="CS40" i="4"/>
  <c r="CS41" i="4"/>
  <c r="CS42" i="4"/>
  <c r="CS43" i="4"/>
  <c r="CS44" i="4"/>
  <c r="CS45" i="4"/>
  <c r="CS47" i="4"/>
  <c r="BN14" i="4"/>
  <c r="BN15" i="4"/>
  <c r="BN16" i="4"/>
  <c r="BN17" i="4"/>
  <c r="BN18" i="4"/>
  <c r="BN19" i="4"/>
  <c r="BN20" i="4"/>
  <c r="BN21" i="4"/>
  <c r="BN22" i="4"/>
  <c r="BN23" i="4"/>
  <c r="BN24" i="4"/>
  <c r="BN25" i="4"/>
  <c r="BN26" i="4"/>
  <c r="BN27" i="4"/>
  <c r="BN28" i="4"/>
  <c r="BN29" i="4"/>
  <c r="BN30" i="4"/>
  <c r="BN31" i="4"/>
  <c r="BN32" i="4"/>
  <c r="BN33" i="4"/>
  <c r="BN34" i="4"/>
  <c r="BN35" i="4"/>
  <c r="BN36" i="4"/>
  <c r="BN37" i="4"/>
  <c r="BN38" i="4"/>
  <c r="BN39" i="4"/>
  <c r="BN40" i="4"/>
  <c r="BN41" i="4"/>
  <c r="BN42" i="4"/>
  <c r="BN43" i="4"/>
  <c r="BN44" i="4"/>
  <c r="BN45" i="4"/>
  <c r="BN46" i="4"/>
  <c r="BN47" i="4"/>
  <c r="BX14" i="4"/>
  <c r="BX15" i="4"/>
  <c r="BX16" i="4"/>
  <c r="BX17" i="4"/>
  <c r="BX18" i="4"/>
  <c r="BX19" i="4"/>
  <c r="BX20" i="4"/>
  <c r="BX21" i="4"/>
  <c r="BX22" i="4"/>
  <c r="BX23" i="4"/>
  <c r="BX24" i="4"/>
  <c r="BX25" i="4"/>
  <c r="BX26" i="4"/>
  <c r="BX27" i="4"/>
  <c r="BX28" i="4"/>
  <c r="BX29" i="4"/>
  <c r="BX30" i="4"/>
  <c r="BX31" i="4"/>
  <c r="BX32" i="4"/>
  <c r="BX33" i="4"/>
  <c r="BX34" i="4"/>
  <c r="BX35" i="4"/>
  <c r="BX36" i="4"/>
  <c r="BX37" i="4"/>
  <c r="BX38" i="4"/>
  <c r="BX39" i="4"/>
  <c r="BX40" i="4"/>
  <c r="BX41" i="4"/>
  <c r="BX42" i="4"/>
  <c r="BX43" i="4"/>
  <c r="BX44" i="4"/>
  <c r="BX45" i="4"/>
  <c r="BX46" i="4"/>
  <c r="BX47" i="4"/>
  <c r="B184" i="25"/>
  <c r="AB12" i="25"/>
  <c r="AB13" i="25"/>
  <c r="AB14" i="25"/>
  <c r="AB15" i="25"/>
  <c r="AB16" i="25"/>
  <c r="AB17" i="25"/>
  <c r="AB18" i="25"/>
  <c r="AB19" i="25"/>
  <c r="AB20" i="25"/>
  <c r="AB21" i="25"/>
  <c r="AB22" i="25"/>
  <c r="AB23" i="25"/>
  <c r="AB24" i="25"/>
  <c r="AB25" i="25"/>
  <c r="AB26" i="25"/>
  <c r="AB27" i="25"/>
  <c r="AB28" i="25"/>
  <c r="AB29" i="25"/>
  <c r="E30" i="25"/>
  <c r="AB30" i="25"/>
  <c r="AB31" i="25"/>
  <c r="AB32" i="25"/>
  <c r="AB33" i="25"/>
  <c r="AB34" i="25"/>
  <c r="AB35" i="25"/>
  <c r="AB36" i="25"/>
  <c r="AB37" i="25"/>
  <c r="AB38" i="25"/>
  <c r="AB39" i="25"/>
  <c r="E40" i="25"/>
  <c r="AB40" i="25"/>
  <c r="AB41" i="25"/>
  <c r="AB42" i="25"/>
  <c r="AB43" i="25"/>
  <c r="AB44" i="25"/>
  <c r="AB45" i="25"/>
  <c r="AB46" i="25"/>
  <c r="AB47" i="25"/>
  <c r="AB48" i="25"/>
  <c r="AB49" i="25"/>
  <c r="AB50" i="25"/>
  <c r="AB51" i="25"/>
  <c r="B187" i="25"/>
  <c r="G187" i="25"/>
  <c r="B26" i="6"/>
  <c r="B46" i="6"/>
  <c r="B189" i="32"/>
  <c r="D189" i="32"/>
  <c r="B190" i="32"/>
  <c r="D190" i="32"/>
  <c r="C26" i="22"/>
  <c r="B26" i="22"/>
  <c r="C27" i="22"/>
  <c r="B27" i="22"/>
  <c r="C28" i="22"/>
  <c r="B28" i="22"/>
  <c r="C29" i="22"/>
  <c r="B29" i="22"/>
  <c r="C30" i="22"/>
  <c r="B30" i="22"/>
  <c r="C31" i="22"/>
  <c r="B31" i="22"/>
  <c r="C32" i="22"/>
  <c r="B32" i="22"/>
  <c r="C33" i="22"/>
  <c r="B33" i="22"/>
  <c r="C34" i="22"/>
  <c r="B34" i="22"/>
  <c r="C35" i="22"/>
  <c r="B35" i="22"/>
  <c r="C36" i="22"/>
  <c r="B36" i="22"/>
  <c r="C37" i="22"/>
  <c r="B37" i="22"/>
  <c r="C38" i="22"/>
  <c r="B38" i="22"/>
  <c r="C39" i="22"/>
  <c r="B39" i="22"/>
  <c r="C40" i="22"/>
  <c r="B40" i="22"/>
  <c r="C41" i="22"/>
  <c r="B41" i="22"/>
  <c r="C42" i="22"/>
  <c r="B42" i="22"/>
  <c r="C43" i="22"/>
  <c r="B43" i="22"/>
  <c r="B188" i="22"/>
  <c r="D188" i="22"/>
  <c r="C44" i="22"/>
  <c r="B44" i="22"/>
  <c r="C45" i="22"/>
  <c r="B45" i="22"/>
  <c r="C46" i="22"/>
  <c r="B46" i="22"/>
  <c r="C47" i="22"/>
  <c r="B47" i="22"/>
  <c r="C48" i="22"/>
  <c r="B48" i="22"/>
  <c r="C49" i="22"/>
  <c r="B49" i="22"/>
  <c r="C50" i="22"/>
  <c r="B50" i="22"/>
  <c r="C51" i="22"/>
  <c r="B51" i="22"/>
  <c r="C52" i="22"/>
  <c r="B52" i="22"/>
  <c r="C53" i="22"/>
  <c r="B53" i="22"/>
  <c r="C54" i="22"/>
  <c r="B54" i="22"/>
  <c r="C55" i="22"/>
  <c r="B55" i="22"/>
  <c r="C56" i="22"/>
  <c r="B56" i="22"/>
  <c r="C57" i="22"/>
  <c r="B57" i="22"/>
  <c r="C58" i="22"/>
  <c r="B58" i="22"/>
  <c r="C59" i="22"/>
  <c r="B59" i="22"/>
  <c r="B189" i="22"/>
  <c r="D189" i="22"/>
  <c r="C35" i="33"/>
  <c r="F35" i="33"/>
  <c r="L35" i="33"/>
  <c r="L36" i="33"/>
  <c r="D26" i="6"/>
  <c r="D46" i="6"/>
  <c r="I35" i="33"/>
  <c r="I16" i="33"/>
  <c r="J35" i="33"/>
  <c r="J16" i="33"/>
  <c r="H16" i="33"/>
  <c r="K16" i="33"/>
  <c r="K35" i="33"/>
  <c r="B35" i="33"/>
  <c r="B36" i="33"/>
  <c r="H35" i="33"/>
  <c r="H36" i="33"/>
  <c r="H37" i="33"/>
  <c r="I38" i="33"/>
  <c r="I19" i="33"/>
  <c r="H19" i="33"/>
  <c r="H38" i="33"/>
  <c r="N76" i="6"/>
  <c r="N15" i="5"/>
  <c r="C15" i="5"/>
  <c r="N16" i="5"/>
  <c r="C16" i="5"/>
  <c r="N17" i="5"/>
  <c r="C17" i="5"/>
  <c r="N18" i="5"/>
  <c r="C18" i="5"/>
  <c r="N19" i="5"/>
  <c r="C19" i="5"/>
  <c r="N20" i="5"/>
  <c r="C20" i="5"/>
  <c r="N21" i="5"/>
  <c r="C21" i="5"/>
  <c r="N22" i="5"/>
  <c r="C22" i="5"/>
  <c r="N23" i="5"/>
  <c r="C23" i="5"/>
  <c r="N24" i="5"/>
  <c r="C24" i="5"/>
  <c r="C26" i="6"/>
  <c r="C35" i="5"/>
  <c r="C36" i="5"/>
  <c r="C37" i="5"/>
  <c r="C38" i="5"/>
  <c r="C39" i="5"/>
  <c r="C40" i="5"/>
  <c r="C41" i="5"/>
  <c r="C42" i="5"/>
  <c r="C43" i="5"/>
  <c r="C44" i="5"/>
  <c r="C46" i="6"/>
  <c r="C45" i="5"/>
  <c r="C46" i="5"/>
  <c r="C47" i="5"/>
  <c r="C48" i="5"/>
  <c r="C49" i="5"/>
  <c r="C50" i="5"/>
  <c r="C51" i="5"/>
  <c r="C52" i="5"/>
  <c r="C53" i="5"/>
  <c r="C54" i="5"/>
  <c r="C56" i="6"/>
  <c r="E15" i="5"/>
  <c r="E16" i="5"/>
  <c r="E17" i="5"/>
  <c r="E18" i="5"/>
  <c r="E19" i="5"/>
  <c r="E20" i="5"/>
  <c r="E21" i="5"/>
  <c r="E22" i="5"/>
  <c r="E23" i="5"/>
  <c r="E24" i="5"/>
  <c r="E26" i="6"/>
  <c r="E35" i="5"/>
  <c r="E36" i="5"/>
  <c r="E37" i="5"/>
  <c r="E38" i="5"/>
  <c r="E39" i="5"/>
  <c r="E40" i="5"/>
  <c r="E41" i="5"/>
  <c r="E42" i="5"/>
  <c r="E43" i="5"/>
  <c r="E44" i="5"/>
  <c r="E46" i="6"/>
  <c r="E45" i="5"/>
  <c r="E46" i="5"/>
  <c r="E47" i="5"/>
  <c r="E48" i="5"/>
  <c r="E49" i="5"/>
  <c r="E50" i="5"/>
  <c r="E51" i="5"/>
  <c r="E52" i="5"/>
  <c r="E53" i="5"/>
  <c r="E54" i="5"/>
  <c r="E56" i="6"/>
  <c r="F15" i="5"/>
  <c r="F16" i="5"/>
  <c r="F17" i="5"/>
  <c r="F18" i="5"/>
  <c r="F19" i="5"/>
  <c r="F20" i="5"/>
  <c r="F21" i="5"/>
  <c r="F22" i="5"/>
  <c r="F23" i="5"/>
  <c r="F24" i="5"/>
  <c r="F26" i="6"/>
  <c r="G15" i="5"/>
  <c r="G16" i="5"/>
  <c r="G17" i="5"/>
  <c r="G18" i="5"/>
  <c r="G19" i="5"/>
  <c r="G20" i="5"/>
  <c r="G21" i="5"/>
  <c r="G22" i="5"/>
  <c r="G23" i="5"/>
  <c r="G24" i="5"/>
  <c r="G26" i="6"/>
  <c r="H15" i="5"/>
  <c r="H16" i="5"/>
  <c r="H17" i="5"/>
  <c r="H18" i="5"/>
  <c r="H19" i="5"/>
  <c r="H20" i="5"/>
  <c r="H21" i="5"/>
  <c r="H22" i="5"/>
  <c r="H23" i="5"/>
  <c r="H24" i="5"/>
  <c r="H26" i="6"/>
  <c r="I15" i="5"/>
  <c r="I16" i="5"/>
  <c r="I17" i="5"/>
  <c r="I18" i="5"/>
  <c r="I19" i="5"/>
  <c r="I20" i="5"/>
  <c r="I21" i="5"/>
  <c r="I22" i="5"/>
  <c r="I23" i="5"/>
  <c r="I24" i="5"/>
  <c r="I26" i="6"/>
  <c r="J15" i="5"/>
  <c r="J16" i="5"/>
  <c r="J17" i="5"/>
  <c r="J18" i="5"/>
  <c r="J19" i="5"/>
  <c r="J20" i="5"/>
  <c r="J21" i="5"/>
  <c r="J22" i="5"/>
  <c r="J23" i="5"/>
  <c r="J24" i="5"/>
  <c r="J26" i="6"/>
  <c r="K15" i="5"/>
  <c r="K16" i="5"/>
  <c r="K17" i="5"/>
  <c r="K18" i="5"/>
  <c r="K19" i="5"/>
  <c r="K20" i="5"/>
  <c r="K21" i="5"/>
  <c r="K22" i="5"/>
  <c r="K23" i="5"/>
  <c r="K24" i="5"/>
  <c r="K26" i="6"/>
  <c r="L15" i="5"/>
  <c r="L16" i="5"/>
  <c r="L17" i="5"/>
  <c r="L18" i="5"/>
  <c r="L19" i="5"/>
  <c r="L20" i="5"/>
  <c r="L21" i="5"/>
  <c r="L22" i="5"/>
  <c r="L23" i="5"/>
  <c r="L24" i="5"/>
  <c r="L26" i="6"/>
  <c r="M15" i="5"/>
  <c r="M16" i="5"/>
  <c r="M17" i="5"/>
  <c r="M18" i="5"/>
  <c r="M19" i="5"/>
  <c r="M20" i="5"/>
  <c r="M21" i="5"/>
  <c r="M22" i="5"/>
  <c r="M23" i="5"/>
  <c r="M24" i="5"/>
  <c r="M26" i="6"/>
  <c r="F35" i="5"/>
  <c r="F36" i="5"/>
  <c r="F37" i="5"/>
  <c r="F38" i="5"/>
  <c r="F39" i="5"/>
  <c r="F40" i="5"/>
  <c r="F41" i="5"/>
  <c r="F42" i="5"/>
  <c r="F43" i="5"/>
  <c r="F44" i="5"/>
  <c r="F46" i="6"/>
  <c r="G35" i="5"/>
  <c r="G36" i="5"/>
  <c r="G37" i="5"/>
  <c r="G38" i="5"/>
  <c r="G39" i="5"/>
  <c r="G40" i="5"/>
  <c r="G41" i="5"/>
  <c r="G42" i="5"/>
  <c r="G43" i="5"/>
  <c r="G44" i="5"/>
  <c r="G46" i="6"/>
  <c r="H35" i="5"/>
  <c r="H36" i="5"/>
  <c r="H37" i="5"/>
  <c r="H38" i="5"/>
  <c r="H39" i="5"/>
  <c r="H40" i="5"/>
  <c r="H41" i="5"/>
  <c r="H42" i="5"/>
  <c r="H43" i="5"/>
  <c r="H44" i="5"/>
  <c r="H46" i="6"/>
  <c r="I35" i="5"/>
  <c r="I36" i="5"/>
  <c r="I37" i="5"/>
  <c r="I38" i="5"/>
  <c r="I39" i="5"/>
  <c r="I40" i="5"/>
  <c r="I41" i="5"/>
  <c r="I42" i="5"/>
  <c r="I43" i="5"/>
  <c r="I44" i="5"/>
  <c r="I46" i="6"/>
  <c r="J35" i="5"/>
  <c r="J36" i="5"/>
  <c r="J37" i="5"/>
  <c r="J38" i="5"/>
  <c r="J39" i="5"/>
  <c r="J40" i="5"/>
  <c r="J41" i="5"/>
  <c r="J42" i="5"/>
  <c r="J43" i="5"/>
  <c r="J44" i="5"/>
  <c r="J46" i="6"/>
  <c r="K35" i="5"/>
  <c r="K36" i="5"/>
  <c r="K37" i="5"/>
  <c r="K38" i="5"/>
  <c r="K39" i="5"/>
  <c r="K40" i="5"/>
  <c r="K41" i="5"/>
  <c r="K42" i="5"/>
  <c r="K43" i="5"/>
  <c r="K44" i="5"/>
  <c r="K46" i="6"/>
  <c r="L35" i="5"/>
  <c r="L36" i="5"/>
  <c r="L37" i="5"/>
  <c r="L38" i="5"/>
  <c r="L39" i="5"/>
  <c r="L40" i="5"/>
  <c r="L41" i="5"/>
  <c r="L42" i="5"/>
  <c r="L43" i="5"/>
  <c r="L44" i="5"/>
  <c r="L46" i="6"/>
  <c r="M35" i="5"/>
  <c r="M36" i="5"/>
  <c r="M37" i="5"/>
  <c r="M38" i="5"/>
  <c r="M39" i="5"/>
  <c r="M40" i="5"/>
  <c r="M41" i="5"/>
  <c r="M42" i="5"/>
  <c r="M43" i="5"/>
  <c r="M44" i="5"/>
  <c r="M46" i="6"/>
  <c r="G45" i="5"/>
  <c r="G46" i="5"/>
  <c r="G47" i="5"/>
  <c r="G48" i="5"/>
  <c r="G49" i="5"/>
  <c r="G50" i="5"/>
  <c r="G51" i="5"/>
  <c r="G52" i="5"/>
  <c r="G53" i="5"/>
  <c r="G54" i="5"/>
  <c r="G56" i="6"/>
  <c r="I45" i="5"/>
  <c r="I46" i="5"/>
  <c r="I47" i="5"/>
  <c r="I48" i="5"/>
  <c r="I49" i="5"/>
  <c r="I50" i="5"/>
  <c r="I51" i="5"/>
  <c r="I52" i="5"/>
  <c r="I53" i="5"/>
  <c r="I54" i="5"/>
  <c r="I56" i="6"/>
  <c r="K45" i="5"/>
  <c r="K46" i="5"/>
  <c r="K47" i="5"/>
  <c r="K48" i="5"/>
  <c r="K49" i="5"/>
  <c r="K50" i="5"/>
  <c r="K51" i="5"/>
  <c r="K52" i="5"/>
  <c r="K53" i="5"/>
  <c r="K54" i="5"/>
  <c r="K56" i="6"/>
  <c r="M45" i="5"/>
  <c r="M46" i="5"/>
  <c r="M47" i="5"/>
  <c r="M48" i="5"/>
  <c r="M49" i="5"/>
  <c r="M50" i="5"/>
  <c r="M51" i="5"/>
  <c r="M52" i="5"/>
  <c r="M53" i="5"/>
  <c r="M54" i="5"/>
  <c r="M56" i="6"/>
  <c r="D26" i="26"/>
  <c r="G187" i="34"/>
  <c r="D187" i="34"/>
  <c r="G184" i="34"/>
  <c r="D184" i="34"/>
  <c r="AF68" i="34"/>
  <c r="AF67" i="34"/>
  <c r="C67" i="34"/>
  <c r="AF66" i="34"/>
  <c r="C66" i="34"/>
  <c r="AF65" i="34"/>
  <c r="AF64" i="34"/>
  <c r="C64" i="34"/>
  <c r="AF63" i="34"/>
  <c r="C63" i="34"/>
  <c r="AF62" i="34"/>
  <c r="C62" i="34"/>
  <c r="AF61" i="34"/>
  <c r="C61" i="34"/>
  <c r="AF60" i="34"/>
  <c r="C60" i="34"/>
  <c r="AF59" i="34"/>
  <c r="C59" i="34"/>
  <c r="AF58" i="34"/>
  <c r="C58" i="34"/>
  <c r="AF57" i="34"/>
  <c r="C57" i="34"/>
  <c r="AF56" i="34"/>
  <c r="C56" i="34"/>
  <c r="AF55" i="34"/>
  <c r="C55" i="34"/>
  <c r="AF54" i="34"/>
  <c r="C54" i="34"/>
  <c r="AF53" i="34"/>
  <c r="C53" i="34"/>
  <c r="AF52" i="34"/>
  <c r="C52" i="34"/>
  <c r="AF51" i="34"/>
  <c r="C51" i="34"/>
  <c r="AF50" i="34"/>
  <c r="C50" i="34"/>
  <c r="AF49" i="34"/>
  <c r="C49" i="34"/>
  <c r="AF48" i="34"/>
  <c r="C48" i="34"/>
  <c r="AF47" i="34"/>
  <c r="C47" i="34"/>
  <c r="AF46" i="34"/>
  <c r="C46" i="34"/>
  <c r="AF45" i="34"/>
  <c r="C45" i="34"/>
  <c r="AF44" i="34"/>
  <c r="C44" i="34"/>
  <c r="AF43" i="34"/>
  <c r="C43" i="34"/>
  <c r="AF42" i="34"/>
  <c r="C42" i="34"/>
  <c r="AF41" i="34"/>
  <c r="C41" i="34"/>
  <c r="AF40" i="34"/>
  <c r="AF39" i="34"/>
  <c r="C39" i="34"/>
  <c r="AF38" i="34"/>
  <c r="C38" i="34"/>
  <c r="AF37" i="34"/>
  <c r="C37" i="34"/>
  <c r="AF36" i="34"/>
  <c r="C36" i="34"/>
  <c r="AF35" i="34"/>
  <c r="C35" i="34"/>
  <c r="AF34" i="34"/>
  <c r="C34" i="34"/>
  <c r="AF33" i="34"/>
  <c r="C33" i="34"/>
  <c r="AF32" i="34"/>
  <c r="C32" i="34"/>
  <c r="AF31" i="34"/>
  <c r="C31" i="34"/>
  <c r="AF30" i="34"/>
  <c r="C30" i="34"/>
  <c r="AF29" i="34"/>
  <c r="C29" i="34"/>
  <c r="AF28" i="34"/>
  <c r="C28" i="34"/>
  <c r="AF27" i="34"/>
  <c r="C27" i="34"/>
  <c r="AF26" i="34"/>
  <c r="C26" i="34"/>
  <c r="AF25" i="34"/>
  <c r="AF24" i="34"/>
  <c r="C24" i="34"/>
  <c r="AF23" i="34"/>
  <c r="C23" i="34"/>
  <c r="AF22" i="34"/>
  <c r="C22" i="34"/>
  <c r="AF21" i="34"/>
  <c r="C21" i="34"/>
  <c r="AF20" i="34"/>
  <c r="C20" i="34"/>
  <c r="AF19" i="34"/>
  <c r="C19" i="34"/>
  <c r="AF18" i="34"/>
  <c r="C18" i="34"/>
  <c r="AF17" i="34"/>
  <c r="C17" i="34"/>
  <c r="AF16" i="34"/>
  <c r="C16" i="34"/>
  <c r="AF15" i="34"/>
  <c r="C15" i="34"/>
  <c r="AF14" i="34"/>
  <c r="C14" i="34"/>
  <c r="AF13" i="34"/>
  <c r="C13" i="34"/>
  <c r="AF12" i="34"/>
  <c r="C12" i="34"/>
  <c r="C11" i="34"/>
  <c r="E22" i="36"/>
  <c r="D37" i="36"/>
  <c r="C27" i="36"/>
  <c r="D28" i="36"/>
  <c r="E28" i="36"/>
  <c r="G27" i="36"/>
  <c r="G28" i="36"/>
  <c r="C26" i="38"/>
  <c r="D40" i="35"/>
  <c r="D37" i="35"/>
  <c r="D28" i="35"/>
  <c r="E28" i="35"/>
  <c r="G27" i="35"/>
  <c r="G28" i="35"/>
  <c r="D30" i="25"/>
  <c r="W186" i="25"/>
  <c r="C25" i="5"/>
  <c r="E25" i="5"/>
  <c r="M25" i="5"/>
  <c r="C26" i="5"/>
  <c r="E26" i="5"/>
  <c r="M26" i="5"/>
  <c r="C27" i="5"/>
  <c r="E27" i="5"/>
  <c r="M27" i="5"/>
  <c r="C28" i="5"/>
  <c r="E28" i="5"/>
  <c r="M28" i="5"/>
  <c r="C29" i="5"/>
  <c r="E29" i="5"/>
  <c r="M29" i="5"/>
  <c r="C30" i="5"/>
  <c r="E30" i="5"/>
  <c r="M30" i="5"/>
  <c r="C31" i="5"/>
  <c r="E31" i="5"/>
  <c r="M31" i="5"/>
  <c r="C32" i="5"/>
  <c r="E32" i="5"/>
  <c r="M32" i="5"/>
  <c r="C33" i="5"/>
  <c r="E33" i="5"/>
  <c r="M33" i="5"/>
  <c r="C34" i="5"/>
  <c r="E34" i="5"/>
  <c r="M34" i="5"/>
  <c r="M36" i="6"/>
  <c r="L25" i="5"/>
  <c r="L26" i="5"/>
  <c r="L27" i="5"/>
  <c r="L28" i="5"/>
  <c r="L29" i="5"/>
  <c r="L30" i="5"/>
  <c r="L31" i="5"/>
  <c r="L32" i="5"/>
  <c r="L33" i="5"/>
  <c r="L34" i="5"/>
  <c r="L36" i="6"/>
  <c r="K25" i="5"/>
  <c r="K26" i="5"/>
  <c r="K27" i="5"/>
  <c r="K28" i="5"/>
  <c r="K29" i="5"/>
  <c r="K30" i="5"/>
  <c r="K31" i="5"/>
  <c r="K32" i="5"/>
  <c r="K33" i="5"/>
  <c r="K34" i="5"/>
  <c r="K36" i="6"/>
  <c r="J25" i="5"/>
  <c r="J26" i="5"/>
  <c r="J27" i="5"/>
  <c r="J28" i="5"/>
  <c r="J29" i="5"/>
  <c r="J30" i="5"/>
  <c r="J31" i="5"/>
  <c r="J32" i="5"/>
  <c r="J33" i="5"/>
  <c r="J34" i="5"/>
  <c r="J36" i="6"/>
  <c r="I25" i="5"/>
  <c r="I26" i="5"/>
  <c r="I27" i="5"/>
  <c r="I28" i="5"/>
  <c r="I29" i="5"/>
  <c r="I30" i="5"/>
  <c r="I31" i="5"/>
  <c r="I32" i="5"/>
  <c r="I33" i="5"/>
  <c r="I34" i="5"/>
  <c r="I36" i="6"/>
  <c r="H25" i="5"/>
  <c r="H26" i="5"/>
  <c r="H27" i="5"/>
  <c r="H28" i="5"/>
  <c r="H29" i="5"/>
  <c r="H30" i="5"/>
  <c r="H31" i="5"/>
  <c r="H32" i="5"/>
  <c r="H33" i="5"/>
  <c r="H34" i="5"/>
  <c r="H36" i="6"/>
  <c r="G25" i="5"/>
  <c r="G26" i="5"/>
  <c r="G27" i="5"/>
  <c r="G28" i="5"/>
  <c r="G29" i="5"/>
  <c r="G30" i="5"/>
  <c r="G31" i="5"/>
  <c r="G32" i="5"/>
  <c r="G33" i="5"/>
  <c r="G34" i="5"/>
  <c r="G36" i="6"/>
  <c r="F25" i="5"/>
  <c r="F26" i="5"/>
  <c r="F27" i="5"/>
  <c r="F28" i="5"/>
  <c r="F29" i="5"/>
  <c r="F30" i="5"/>
  <c r="F31" i="5"/>
  <c r="F32" i="5"/>
  <c r="F33" i="5"/>
  <c r="F34" i="5"/>
  <c r="F36" i="6"/>
  <c r="E36" i="6"/>
  <c r="D36" i="6"/>
  <c r="C36" i="6"/>
  <c r="B36" i="6"/>
  <c r="F29" i="38"/>
  <c r="D32" i="38"/>
  <c r="F32" i="38"/>
  <c r="D198" i="34"/>
  <c r="D195" i="34"/>
  <c r="B33" i="37"/>
  <c r="D31" i="35"/>
  <c r="D34" i="35"/>
  <c r="E34" i="35"/>
  <c r="G34" i="35"/>
  <c r="C32" i="38"/>
  <c r="C29" i="38"/>
  <c r="E32" i="38"/>
  <c r="E29" i="38"/>
  <c r="H26" i="39"/>
  <c r="I26" i="39"/>
  <c r="H36" i="39"/>
  <c r="I36" i="39"/>
  <c r="H46" i="39"/>
  <c r="I46" i="39"/>
  <c r="H56" i="39"/>
  <c r="I56" i="39"/>
  <c r="E66" i="39"/>
  <c r="D66" i="39"/>
  <c r="B66" i="39"/>
  <c r="H66" i="39"/>
  <c r="I66" i="39"/>
  <c r="B30" i="37"/>
  <c r="D33" i="36"/>
  <c r="D34" i="36"/>
  <c r="E33" i="36"/>
  <c r="E34" i="36"/>
  <c r="G33" i="36"/>
  <c r="G34" i="36"/>
  <c r="D31" i="36"/>
  <c r="L14" i="5"/>
  <c r="L13" i="5"/>
  <c r="L12" i="5"/>
  <c r="L11" i="5"/>
  <c r="C67" i="25"/>
  <c r="C66" i="25"/>
  <c r="C64" i="25"/>
  <c r="C63" i="25"/>
  <c r="C62" i="25"/>
  <c r="C61" i="25"/>
  <c r="C60" i="25"/>
  <c r="C59" i="25"/>
  <c r="C58" i="25"/>
  <c r="C57" i="25"/>
  <c r="C56" i="25"/>
  <c r="C55" i="25"/>
  <c r="C54" i="25"/>
  <c r="C53" i="25"/>
  <c r="C52" i="25"/>
  <c r="C51" i="25"/>
  <c r="C50" i="25"/>
  <c r="C49" i="25"/>
  <c r="C48" i="25"/>
  <c r="C47" i="25"/>
  <c r="C46" i="25"/>
  <c r="C45" i="25"/>
  <c r="C44" i="25"/>
  <c r="C43" i="25"/>
  <c r="C42" i="25"/>
  <c r="C41" i="25"/>
  <c r="C30" i="25"/>
  <c r="C11" i="25"/>
  <c r="C39" i="25"/>
  <c r="C38" i="25"/>
  <c r="C37" i="25"/>
  <c r="C36" i="25"/>
  <c r="C35" i="25"/>
  <c r="C34" i="25"/>
  <c r="C33" i="25"/>
  <c r="C32" i="25"/>
  <c r="C31" i="25"/>
  <c r="C29" i="25"/>
  <c r="C28" i="25"/>
  <c r="C27" i="25"/>
  <c r="C26" i="25"/>
  <c r="C24" i="25"/>
  <c r="C23" i="25"/>
  <c r="C22" i="25"/>
  <c r="C21" i="25"/>
  <c r="C20" i="25"/>
  <c r="C19" i="25"/>
  <c r="C18" i="25"/>
  <c r="C17" i="25"/>
  <c r="C16" i="25"/>
  <c r="C15" i="25"/>
  <c r="C14" i="25"/>
  <c r="C13" i="25"/>
  <c r="C12" i="25"/>
  <c r="U59" i="22"/>
  <c r="U58" i="22"/>
  <c r="U57" i="22"/>
  <c r="U56" i="22"/>
  <c r="U55" i="22"/>
  <c r="U54" i="22"/>
  <c r="U53" i="22"/>
  <c r="U52" i="22"/>
  <c r="U51" i="22"/>
  <c r="U50" i="22"/>
  <c r="U49" i="22"/>
  <c r="U48" i="22"/>
  <c r="U47" i="22"/>
  <c r="U46" i="22"/>
  <c r="U45" i="22"/>
  <c r="U44" i="22"/>
  <c r="U43" i="22"/>
  <c r="U42" i="22"/>
  <c r="U41" i="22"/>
  <c r="U40" i="22"/>
  <c r="U39" i="22"/>
  <c r="U38" i="22"/>
  <c r="U37" i="22"/>
  <c r="U36" i="22"/>
  <c r="U35" i="22"/>
  <c r="U34" i="22"/>
  <c r="U33" i="22"/>
  <c r="U32" i="22"/>
  <c r="U31" i="22"/>
  <c r="U30" i="22"/>
  <c r="U29" i="22"/>
  <c r="U28" i="22"/>
  <c r="U27" i="22"/>
  <c r="U26" i="22"/>
  <c r="L59" i="22"/>
  <c r="W59" i="22"/>
  <c r="L58" i="22"/>
  <c r="W58" i="22"/>
  <c r="L57" i="22"/>
  <c r="W57" i="22"/>
  <c r="L56" i="22"/>
  <c r="W56" i="22"/>
  <c r="L55" i="22"/>
  <c r="W55" i="22"/>
  <c r="L54" i="22"/>
  <c r="W54" i="22"/>
  <c r="L53" i="22"/>
  <c r="W53" i="22"/>
  <c r="L52" i="22"/>
  <c r="W52" i="22"/>
  <c r="L51" i="22"/>
  <c r="W51" i="22"/>
  <c r="L50" i="22"/>
  <c r="W50" i="22"/>
  <c r="L49" i="22"/>
  <c r="W49" i="22"/>
  <c r="L48" i="22"/>
  <c r="W48" i="22"/>
  <c r="L47" i="22"/>
  <c r="W47" i="22"/>
  <c r="L46" i="22"/>
  <c r="W46" i="22"/>
  <c r="L45" i="22"/>
  <c r="W45" i="22"/>
  <c r="L44" i="22"/>
  <c r="W44" i="22"/>
  <c r="L43" i="22"/>
  <c r="W43" i="22"/>
  <c r="L42" i="22"/>
  <c r="W42" i="22"/>
  <c r="L41" i="22"/>
  <c r="W41" i="22"/>
  <c r="L40" i="22"/>
  <c r="W40" i="22"/>
  <c r="L39" i="22"/>
  <c r="W39" i="22"/>
  <c r="L38" i="22"/>
  <c r="W38" i="22"/>
  <c r="L37" i="22"/>
  <c r="W37" i="22"/>
  <c r="L36" i="22"/>
  <c r="W36" i="22"/>
  <c r="L35" i="22"/>
  <c r="W35" i="22"/>
  <c r="L34" i="22"/>
  <c r="W34" i="22"/>
  <c r="L33" i="22"/>
  <c r="W33" i="22"/>
  <c r="L32" i="22"/>
  <c r="W32" i="22"/>
  <c r="L31" i="22"/>
  <c r="W31" i="22"/>
  <c r="L30" i="22"/>
  <c r="W30" i="22"/>
  <c r="L29" i="22"/>
  <c r="W29" i="22"/>
  <c r="L28" i="22"/>
  <c r="W28" i="22"/>
  <c r="L27" i="22"/>
  <c r="W27" i="22"/>
  <c r="L26" i="22"/>
  <c r="W26" i="2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G68" i="42"/>
  <c r="T150" i="42"/>
  <c r="X59" i="32"/>
  <c r="X58" i="32"/>
  <c r="X57" i="32"/>
  <c r="X56" i="32"/>
  <c r="X55" i="32"/>
  <c r="X54" i="32"/>
  <c r="X53" i="32"/>
  <c r="X52" i="32"/>
  <c r="X51" i="32"/>
  <c r="X50" i="32"/>
  <c r="X49" i="32"/>
  <c r="X48" i="32"/>
  <c r="X47" i="32"/>
  <c r="X46" i="32"/>
  <c r="X45" i="32"/>
  <c r="X44" i="32"/>
  <c r="X43" i="32"/>
  <c r="X42" i="32"/>
  <c r="X41" i="32"/>
  <c r="X40" i="32"/>
  <c r="X39" i="32"/>
  <c r="X38" i="32"/>
  <c r="X37" i="32"/>
  <c r="X36" i="32"/>
  <c r="X35" i="32"/>
  <c r="X34" i="32"/>
  <c r="X33" i="32"/>
  <c r="X32" i="32"/>
  <c r="X31" i="32"/>
  <c r="X30" i="32"/>
  <c r="X29" i="32"/>
  <c r="X28" i="32"/>
  <c r="X27" i="32"/>
  <c r="X26" i="32"/>
  <c r="G43" i="48"/>
  <c r="H43" i="48"/>
  <c r="I43" i="48"/>
  <c r="F43" i="48"/>
  <c r="D43" i="48"/>
  <c r="E43" i="48"/>
  <c r="B43" i="48"/>
  <c r="N43" i="48"/>
  <c r="G33" i="48"/>
  <c r="H33" i="48"/>
  <c r="I33" i="48"/>
  <c r="F33" i="48"/>
  <c r="D33" i="48"/>
  <c r="E33" i="48"/>
  <c r="B33" i="48"/>
  <c r="N33" i="48"/>
  <c r="P43" i="48"/>
  <c r="P33" i="48"/>
  <c r="O43" i="48"/>
  <c r="O33" i="48"/>
  <c r="G47" i="48"/>
  <c r="H47" i="48"/>
  <c r="I47" i="48"/>
  <c r="F47" i="48"/>
  <c r="P47" i="48"/>
  <c r="D47" i="48"/>
  <c r="E47" i="48"/>
  <c r="B47" i="48"/>
  <c r="O47" i="48"/>
  <c r="N47" i="48"/>
  <c r="G46" i="48"/>
  <c r="H46" i="48"/>
  <c r="I46" i="48"/>
  <c r="F46" i="48"/>
  <c r="P46" i="48"/>
  <c r="D46" i="48"/>
  <c r="E46" i="48"/>
  <c r="B46" i="48"/>
  <c r="O46" i="48"/>
  <c r="N46" i="48"/>
  <c r="G45" i="48"/>
  <c r="H45" i="48"/>
  <c r="I45" i="48"/>
  <c r="F45" i="48"/>
  <c r="P45" i="48"/>
  <c r="D45" i="48"/>
  <c r="E45" i="48"/>
  <c r="B45" i="48"/>
  <c r="O45" i="48"/>
  <c r="N45" i="48"/>
  <c r="G44" i="48"/>
  <c r="H44" i="48"/>
  <c r="I44" i="48"/>
  <c r="F44" i="48"/>
  <c r="P44" i="48"/>
  <c r="D44" i="48"/>
  <c r="E44" i="48"/>
  <c r="B44" i="48"/>
  <c r="O44" i="48"/>
  <c r="N44" i="48"/>
  <c r="G42" i="48"/>
  <c r="H42" i="48"/>
  <c r="I42" i="48"/>
  <c r="F42" i="48"/>
  <c r="P42" i="48"/>
  <c r="D42" i="48"/>
  <c r="E42" i="48"/>
  <c r="B42" i="48"/>
  <c r="O42" i="48"/>
  <c r="N42" i="48"/>
  <c r="G41" i="48"/>
  <c r="H41" i="48"/>
  <c r="I41" i="48"/>
  <c r="F41" i="48"/>
  <c r="P41" i="48"/>
  <c r="D41" i="48"/>
  <c r="E41" i="48"/>
  <c r="B41" i="48"/>
  <c r="O41" i="48"/>
  <c r="N41" i="48"/>
  <c r="G40" i="48"/>
  <c r="H40" i="48"/>
  <c r="I40" i="48"/>
  <c r="F40" i="48"/>
  <c r="P40" i="48"/>
  <c r="D40" i="48"/>
  <c r="E40" i="48"/>
  <c r="B40" i="48"/>
  <c r="O40" i="48"/>
  <c r="N40" i="48"/>
  <c r="G39" i="48"/>
  <c r="H39" i="48"/>
  <c r="I39" i="48"/>
  <c r="F39" i="48"/>
  <c r="P39" i="48"/>
  <c r="D39" i="48"/>
  <c r="E39" i="48"/>
  <c r="B39" i="48"/>
  <c r="O39" i="48"/>
  <c r="N39" i="48"/>
  <c r="G38" i="48"/>
  <c r="H38" i="48"/>
  <c r="I38" i="48"/>
  <c r="F38" i="48"/>
  <c r="P38" i="48"/>
  <c r="D38" i="48"/>
  <c r="E38" i="48"/>
  <c r="B38" i="48"/>
  <c r="O38" i="48"/>
  <c r="N38" i="48"/>
  <c r="G37" i="48"/>
  <c r="H37" i="48"/>
  <c r="I37" i="48"/>
  <c r="F37" i="48"/>
  <c r="P37" i="48"/>
  <c r="D37" i="48"/>
  <c r="E37" i="48"/>
  <c r="B37" i="48"/>
  <c r="O37" i="48"/>
  <c r="N37" i="48"/>
  <c r="G36" i="48"/>
  <c r="H36" i="48"/>
  <c r="I36" i="48"/>
  <c r="F36" i="48"/>
  <c r="P36" i="48"/>
  <c r="D36" i="48"/>
  <c r="E36" i="48"/>
  <c r="B36" i="48"/>
  <c r="O36" i="48"/>
  <c r="N36" i="48"/>
  <c r="G35" i="48"/>
  <c r="H35" i="48"/>
  <c r="I35" i="48"/>
  <c r="F35" i="48"/>
  <c r="P35" i="48"/>
  <c r="D35" i="48"/>
  <c r="E35" i="48"/>
  <c r="B35" i="48"/>
  <c r="O35" i="48"/>
  <c r="N35" i="48"/>
  <c r="G34" i="48"/>
  <c r="H34" i="48"/>
  <c r="I34" i="48"/>
  <c r="F34" i="48"/>
  <c r="P34" i="48"/>
  <c r="D34" i="48"/>
  <c r="E34" i="48"/>
  <c r="B34" i="48"/>
  <c r="O34" i="48"/>
  <c r="N34" i="48"/>
  <c r="G23" i="48"/>
  <c r="H23" i="48"/>
  <c r="I23" i="48"/>
  <c r="F23" i="48"/>
  <c r="P23" i="48"/>
  <c r="D23" i="48"/>
  <c r="E23" i="48"/>
  <c r="B23" i="48"/>
  <c r="O23" i="48"/>
  <c r="N23" i="48"/>
  <c r="G22" i="48"/>
  <c r="H22" i="48"/>
  <c r="I22" i="48"/>
  <c r="F22" i="48"/>
  <c r="P22" i="48"/>
  <c r="D22" i="48"/>
  <c r="E22" i="48"/>
  <c r="B22" i="48"/>
  <c r="O22" i="48"/>
  <c r="N22" i="48"/>
  <c r="G21" i="48"/>
  <c r="H21" i="48"/>
  <c r="I21" i="48"/>
  <c r="F21" i="48"/>
  <c r="P21" i="48"/>
  <c r="D21" i="48"/>
  <c r="E21" i="48"/>
  <c r="B21" i="48"/>
  <c r="O21" i="48"/>
  <c r="N21" i="48"/>
  <c r="G20" i="48"/>
  <c r="H20" i="48"/>
  <c r="I20" i="48"/>
  <c r="F20" i="48"/>
  <c r="P20" i="48"/>
  <c r="D20" i="48"/>
  <c r="E20" i="48"/>
  <c r="B20" i="48"/>
  <c r="O20" i="48"/>
  <c r="N20" i="48"/>
  <c r="G19" i="48"/>
  <c r="H19" i="48"/>
  <c r="I19" i="48"/>
  <c r="F19" i="48"/>
  <c r="P19" i="48"/>
  <c r="D19" i="48"/>
  <c r="E19" i="48"/>
  <c r="B19" i="48"/>
  <c r="O19" i="48"/>
  <c r="N19" i="48"/>
  <c r="G18" i="48"/>
  <c r="H18" i="48"/>
  <c r="I18" i="48"/>
  <c r="F18" i="48"/>
  <c r="P18" i="48"/>
  <c r="D18" i="48"/>
  <c r="E18" i="48"/>
  <c r="B18" i="48"/>
  <c r="O18" i="48"/>
  <c r="N18" i="48"/>
  <c r="G17" i="48"/>
  <c r="H17" i="48"/>
  <c r="I17" i="48"/>
  <c r="F17" i="48"/>
  <c r="P17" i="48"/>
  <c r="D17" i="48"/>
  <c r="E17" i="48"/>
  <c r="B17" i="48"/>
  <c r="O17" i="48"/>
  <c r="N17" i="48"/>
  <c r="G16" i="48"/>
  <c r="H16" i="48"/>
  <c r="I16" i="48"/>
  <c r="F16" i="48"/>
  <c r="P16" i="48"/>
  <c r="D16" i="48"/>
  <c r="E16" i="48"/>
  <c r="B16" i="48"/>
  <c r="O16" i="48"/>
  <c r="N16" i="48"/>
  <c r="G15" i="48"/>
  <c r="H15" i="48"/>
  <c r="I15" i="48"/>
  <c r="F15" i="48"/>
  <c r="P15" i="48"/>
  <c r="D15" i="48"/>
  <c r="E15" i="48"/>
  <c r="B15" i="48"/>
  <c r="O15" i="48"/>
  <c r="N15" i="48"/>
  <c r="G14" i="48"/>
  <c r="H14" i="48"/>
  <c r="I14" i="48"/>
  <c r="F14" i="48"/>
  <c r="P14" i="48"/>
  <c r="D14" i="48"/>
  <c r="E14" i="48"/>
  <c r="B14" i="48"/>
  <c r="O14" i="48"/>
  <c r="N14" i="48"/>
  <c r="G32" i="48"/>
  <c r="H32" i="48"/>
  <c r="I32" i="48"/>
  <c r="F32" i="48"/>
  <c r="P32" i="48"/>
  <c r="D32" i="48"/>
  <c r="E32" i="48"/>
  <c r="B32" i="48"/>
  <c r="O32" i="48"/>
  <c r="N32" i="48"/>
  <c r="G31" i="48"/>
  <c r="H31" i="48"/>
  <c r="I31" i="48"/>
  <c r="F31" i="48"/>
  <c r="P31" i="48"/>
  <c r="D31" i="48"/>
  <c r="E31" i="48"/>
  <c r="B31" i="48"/>
  <c r="O31" i="48"/>
  <c r="N31" i="48"/>
  <c r="G30" i="48"/>
  <c r="H30" i="48"/>
  <c r="I30" i="48"/>
  <c r="F30" i="48"/>
  <c r="P30" i="48"/>
  <c r="D30" i="48"/>
  <c r="E30" i="48"/>
  <c r="B30" i="48"/>
  <c r="O30" i="48"/>
  <c r="N30" i="48"/>
  <c r="G29" i="48"/>
  <c r="H29" i="48"/>
  <c r="I29" i="48"/>
  <c r="F29" i="48"/>
  <c r="P29" i="48"/>
  <c r="D29" i="48"/>
  <c r="E29" i="48"/>
  <c r="B29" i="48"/>
  <c r="O29" i="48"/>
  <c r="N29" i="48"/>
  <c r="G28" i="48"/>
  <c r="H28" i="48"/>
  <c r="I28" i="48"/>
  <c r="F28" i="48"/>
  <c r="P28" i="48"/>
  <c r="D28" i="48"/>
  <c r="E28" i="48"/>
  <c r="B28" i="48"/>
  <c r="O28" i="48"/>
  <c r="N28" i="48"/>
  <c r="G27" i="48"/>
  <c r="H27" i="48"/>
  <c r="I27" i="48"/>
  <c r="F27" i="48"/>
  <c r="P27" i="48"/>
  <c r="D27" i="48"/>
  <c r="E27" i="48"/>
  <c r="B27" i="48"/>
  <c r="O27" i="48"/>
  <c r="N27" i="48"/>
  <c r="G26" i="48"/>
  <c r="H26" i="48"/>
  <c r="I26" i="48"/>
  <c r="F26" i="48"/>
  <c r="P26" i="48"/>
  <c r="D26" i="48"/>
  <c r="E26" i="48"/>
  <c r="B26" i="48"/>
  <c r="O26" i="48"/>
  <c r="N26" i="48"/>
  <c r="G25" i="48"/>
  <c r="H25" i="48"/>
  <c r="I25" i="48"/>
  <c r="F25" i="48"/>
  <c r="P25" i="48"/>
  <c r="D25" i="48"/>
  <c r="E25" i="48"/>
  <c r="B25" i="48"/>
  <c r="O25" i="48"/>
  <c r="N25" i="48"/>
  <c r="G24" i="48"/>
  <c r="H24" i="48"/>
  <c r="I24" i="48"/>
  <c r="F24" i="48"/>
  <c r="P24" i="48"/>
  <c r="D24" i="48"/>
  <c r="E24" i="48"/>
  <c r="B24" i="48"/>
  <c r="O24" i="48"/>
  <c r="N24" i="48"/>
  <c r="U67" i="2"/>
  <c r="S67" i="2"/>
  <c r="U66" i="2"/>
  <c r="S66" i="2"/>
  <c r="U65" i="2"/>
  <c r="S65" i="2"/>
  <c r="U64" i="2"/>
  <c r="S64" i="2"/>
  <c r="U63" i="2"/>
  <c r="S63" i="2"/>
  <c r="U62" i="2"/>
  <c r="S62" i="2"/>
  <c r="U61" i="2"/>
  <c r="S61" i="2"/>
  <c r="U60" i="2"/>
  <c r="S60" i="2"/>
  <c r="U59" i="2"/>
  <c r="S59" i="2"/>
  <c r="U58" i="2"/>
  <c r="S58" i="2"/>
  <c r="U57" i="2"/>
  <c r="S57" i="2"/>
  <c r="U56" i="2"/>
  <c r="S56" i="2"/>
  <c r="U55" i="2"/>
  <c r="S55" i="2"/>
  <c r="U54" i="2"/>
  <c r="S54" i="2"/>
  <c r="U53" i="2"/>
  <c r="S53" i="2"/>
  <c r="U52" i="2"/>
  <c r="S52" i="2"/>
  <c r="U51" i="2"/>
  <c r="S51" i="2"/>
  <c r="U50" i="2"/>
  <c r="S50" i="2"/>
  <c r="U49" i="2"/>
  <c r="S49" i="2"/>
  <c r="U48" i="2"/>
  <c r="S48" i="2"/>
  <c r="U47" i="2"/>
  <c r="S47" i="2"/>
  <c r="U46" i="2"/>
  <c r="S46" i="2"/>
  <c r="U45" i="2"/>
  <c r="S45" i="2"/>
  <c r="U44" i="2"/>
  <c r="S44" i="2"/>
  <c r="U43" i="2"/>
  <c r="S43" i="2"/>
  <c r="U42" i="2"/>
  <c r="S42" i="2"/>
  <c r="U41" i="2"/>
  <c r="S41" i="2"/>
  <c r="U40" i="2"/>
  <c r="S40" i="2"/>
  <c r="U39" i="2"/>
  <c r="S39" i="2"/>
  <c r="U38" i="2"/>
  <c r="S38" i="2"/>
  <c r="U37" i="2"/>
  <c r="S37" i="2"/>
  <c r="U36" i="2"/>
  <c r="S36" i="2"/>
  <c r="U35" i="2"/>
  <c r="S35" i="2"/>
  <c r="U34" i="2"/>
  <c r="S34" i="2"/>
  <c r="U33" i="2"/>
  <c r="S33" i="2"/>
  <c r="U32" i="2"/>
  <c r="S32" i="2"/>
  <c r="U31" i="2"/>
  <c r="S31" i="2"/>
  <c r="U30" i="2"/>
  <c r="S30" i="2"/>
  <c r="U29" i="2"/>
  <c r="S29" i="2"/>
  <c r="U28" i="2"/>
  <c r="S28" i="2"/>
  <c r="U27" i="2"/>
  <c r="S27" i="2"/>
  <c r="U26" i="2"/>
  <c r="S26" i="2"/>
  <c r="U25" i="2"/>
  <c r="S25" i="2"/>
  <c r="U24" i="2"/>
  <c r="S24" i="2"/>
  <c r="U23" i="2"/>
  <c r="S23" i="2"/>
  <c r="U22" i="2"/>
  <c r="S22" i="2"/>
  <c r="U21" i="2"/>
  <c r="S21" i="2"/>
  <c r="U20" i="2"/>
  <c r="S20" i="2"/>
  <c r="U18" i="2"/>
  <c r="S18" i="2"/>
  <c r="U17" i="2"/>
  <c r="S17" i="2"/>
  <c r="U16" i="2"/>
  <c r="S16" i="2"/>
  <c r="U15" i="2"/>
  <c r="S15" i="2"/>
  <c r="U14" i="2"/>
  <c r="S14" i="2"/>
  <c r="U13" i="2"/>
  <c r="S13" i="2"/>
  <c r="U12" i="2"/>
  <c r="S12" i="2"/>
  <c r="U11" i="2"/>
  <c r="S11" i="2"/>
  <c r="V11" i="42"/>
  <c r="V68" i="42"/>
  <c r="V67" i="42"/>
  <c r="V66" i="42"/>
  <c r="V65" i="42"/>
  <c r="V64" i="42"/>
  <c r="V63" i="42"/>
  <c r="V62" i="42"/>
  <c r="V61" i="42"/>
  <c r="V60" i="42"/>
  <c r="V59" i="42"/>
  <c r="V58" i="42"/>
  <c r="V57" i="42"/>
  <c r="V56" i="42"/>
  <c r="V55" i="42"/>
  <c r="V54" i="42"/>
  <c r="V53" i="42"/>
  <c r="V52" i="42"/>
  <c r="V51" i="42"/>
  <c r="V50" i="42"/>
  <c r="V49" i="42"/>
  <c r="V48" i="42"/>
  <c r="V47" i="42"/>
  <c r="V46" i="42"/>
  <c r="V45" i="42"/>
  <c r="V44" i="42"/>
  <c r="V43" i="42"/>
  <c r="V42" i="42"/>
  <c r="V41" i="42"/>
  <c r="V40" i="42"/>
  <c r="V39" i="42"/>
  <c r="V38" i="42"/>
  <c r="V37" i="42"/>
  <c r="V36" i="42"/>
  <c r="V35" i="42"/>
  <c r="V34" i="42"/>
  <c r="V33" i="42"/>
  <c r="V32" i="42"/>
  <c r="V31" i="42"/>
  <c r="V30" i="42"/>
  <c r="V29" i="42"/>
  <c r="V28" i="42"/>
  <c r="V27" i="42"/>
  <c r="V26" i="42"/>
  <c r="V25" i="42"/>
  <c r="V24" i="42"/>
  <c r="V23" i="42"/>
  <c r="V22" i="42"/>
  <c r="V21" i="42"/>
  <c r="C20" i="42"/>
  <c r="V18" i="42"/>
  <c r="V17" i="42"/>
  <c r="V16" i="42"/>
  <c r="V15" i="42"/>
  <c r="V14" i="42"/>
  <c r="V13" i="42"/>
  <c r="V12" i="42"/>
  <c r="D40" i="25"/>
  <c r="W183" i="25"/>
  <c r="O11" i="42"/>
  <c r="J14" i="48"/>
  <c r="O44" i="42"/>
  <c r="J47" i="48"/>
  <c r="O43" i="42"/>
  <c r="J46" i="48"/>
  <c r="O42" i="42"/>
  <c r="J45" i="48"/>
  <c r="O41" i="42"/>
  <c r="J44" i="48"/>
  <c r="O40" i="42"/>
  <c r="J43" i="48"/>
  <c r="O39" i="42"/>
  <c r="J42" i="48"/>
  <c r="O38" i="42"/>
  <c r="J41" i="48"/>
  <c r="O37" i="42"/>
  <c r="J40" i="48"/>
  <c r="O36" i="42"/>
  <c r="J39" i="48"/>
  <c r="O35" i="42"/>
  <c r="J38" i="48"/>
  <c r="O34" i="42"/>
  <c r="J37" i="48"/>
  <c r="O33" i="42"/>
  <c r="J36" i="48"/>
  <c r="O32" i="42"/>
  <c r="J35" i="48"/>
  <c r="O31" i="42"/>
  <c r="J34" i="48"/>
  <c r="O30" i="42"/>
  <c r="J33" i="48"/>
  <c r="O29" i="42"/>
  <c r="J32" i="48"/>
  <c r="O28" i="42"/>
  <c r="J31" i="48"/>
  <c r="O27" i="42"/>
  <c r="J30" i="48"/>
  <c r="O26" i="42"/>
  <c r="J29" i="48"/>
  <c r="O25" i="42"/>
  <c r="J28" i="48"/>
  <c r="O24" i="42"/>
  <c r="J27" i="48"/>
  <c r="O23" i="42"/>
  <c r="J26" i="48"/>
  <c r="O22" i="42"/>
  <c r="J25" i="48"/>
  <c r="O21" i="42"/>
  <c r="J24" i="48"/>
  <c r="O20" i="42"/>
  <c r="J23" i="48"/>
  <c r="O19" i="42"/>
  <c r="J22" i="48"/>
  <c r="O18" i="42"/>
  <c r="J21" i="48"/>
  <c r="O17" i="42"/>
  <c r="J20" i="48"/>
  <c r="O16" i="42"/>
  <c r="J19" i="48"/>
  <c r="O15" i="42"/>
  <c r="J18" i="48"/>
  <c r="O14" i="42"/>
  <c r="J17" i="48"/>
  <c r="O13" i="42"/>
  <c r="J16" i="48"/>
  <c r="O12" i="42"/>
  <c r="J15" i="48"/>
  <c r="C26" i="39"/>
  <c r="C36" i="39"/>
  <c r="C46" i="39"/>
  <c r="C56" i="39"/>
  <c r="C66" i="39"/>
  <c r="C40" i="34"/>
  <c r="E184" i="34"/>
  <c r="H184" i="34"/>
  <c r="J184" i="34"/>
  <c r="AD184" i="34"/>
  <c r="E187" i="34"/>
  <c r="H187" i="34"/>
  <c r="J187" i="34"/>
  <c r="AD187" i="34"/>
  <c r="Y59" i="32"/>
  <c r="Y58" i="32"/>
  <c r="Y57" i="32"/>
  <c r="Y56" i="32"/>
  <c r="Y55" i="32"/>
  <c r="Y54" i="32"/>
  <c r="Y53" i="32"/>
  <c r="Y52" i="32"/>
  <c r="Y51" i="32"/>
  <c r="Y50" i="32"/>
  <c r="Y49" i="32"/>
  <c r="Y48" i="32"/>
  <c r="Y47" i="32"/>
  <c r="Y46" i="32"/>
  <c r="Y45" i="32"/>
  <c r="Y44" i="32"/>
  <c r="Y43" i="32"/>
  <c r="Y42" i="32"/>
  <c r="Y41" i="32"/>
  <c r="Y40" i="32"/>
  <c r="Y39" i="32"/>
  <c r="Y38" i="32"/>
  <c r="Y37" i="32"/>
  <c r="Y36" i="32"/>
  <c r="Y35" i="32"/>
  <c r="Y34" i="32"/>
  <c r="Y33" i="32"/>
  <c r="Y32" i="32"/>
  <c r="Y31" i="32"/>
  <c r="Y30" i="32"/>
  <c r="Y29" i="32"/>
  <c r="Y28" i="32"/>
  <c r="Y27" i="32"/>
  <c r="Y26" i="32"/>
  <c r="K19" i="33"/>
  <c r="K38" i="33"/>
  <c r="Q44" i="42"/>
  <c r="Q43" i="42"/>
  <c r="Q42" i="42"/>
  <c r="Q41" i="42"/>
  <c r="Q40" i="42"/>
  <c r="Q39" i="42"/>
  <c r="Q38" i="42"/>
  <c r="Q37" i="42"/>
  <c r="Q36" i="42"/>
  <c r="Q35" i="42"/>
  <c r="Q34" i="42"/>
  <c r="Q33" i="42"/>
  <c r="Q32" i="42"/>
  <c r="Q31" i="42"/>
  <c r="Q30" i="42"/>
  <c r="Q29" i="42"/>
  <c r="Q28" i="42"/>
  <c r="Q27" i="42"/>
  <c r="Q26" i="42"/>
  <c r="Q25" i="42"/>
  <c r="Q24" i="42"/>
  <c r="Q23" i="42"/>
  <c r="Q22" i="42"/>
  <c r="Q21" i="42"/>
  <c r="Q20" i="42"/>
  <c r="Q19" i="42"/>
  <c r="Q18" i="42"/>
  <c r="Q17" i="42"/>
  <c r="Q16" i="42"/>
  <c r="Q15" i="42"/>
  <c r="Q14" i="42"/>
  <c r="Q13" i="42"/>
  <c r="Q12" i="42"/>
  <c r="Q11" i="42"/>
  <c r="M200" i="44"/>
  <c r="M199" i="44"/>
  <c r="M198" i="44"/>
  <c r="M197" i="44"/>
  <c r="M196" i="44"/>
  <c r="M195" i="44"/>
  <c r="M194" i="44"/>
  <c r="M193" i="44"/>
  <c r="M192" i="44"/>
  <c r="M191" i="44"/>
  <c r="M190" i="44"/>
  <c r="M189" i="44"/>
  <c r="M188" i="44"/>
  <c r="M187" i="44"/>
  <c r="M186" i="44"/>
  <c r="M185" i="44"/>
  <c r="M184" i="44"/>
  <c r="M183" i="44"/>
  <c r="M182" i="44"/>
  <c r="M181" i="44"/>
  <c r="M180" i="44"/>
  <c r="M179" i="44"/>
  <c r="M178" i="44"/>
  <c r="M177" i="44"/>
  <c r="M176" i="44"/>
  <c r="M175" i="44"/>
  <c r="M174" i="44"/>
  <c r="M173" i="44"/>
  <c r="M172" i="44"/>
  <c r="M171" i="44"/>
  <c r="M170" i="44"/>
  <c r="M169" i="44"/>
  <c r="M168" i="44"/>
  <c r="M167" i="44"/>
  <c r="AM200" i="44"/>
  <c r="AM199" i="44"/>
  <c r="AM198" i="44"/>
  <c r="AM197" i="44"/>
  <c r="AM196" i="44"/>
  <c r="AM195" i="44"/>
  <c r="AM194" i="44"/>
  <c r="AM193" i="44"/>
  <c r="AM192" i="44"/>
  <c r="AM191" i="44"/>
  <c r="AM190" i="44"/>
  <c r="AM189" i="44"/>
  <c r="AM188" i="44"/>
  <c r="AM187" i="44"/>
  <c r="AM186" i="44"/>
  <c r="AM185" i="44"/>
  <c r="AM184" i="44"/>
  <c r="AM183" i="44"/>
  <c r="AM182" i="44"/>
  <c r="AM181" i="44"/>
  <c r="AM180" i="44"/>
  <c r="AM179" i="44"/>
  <c r="AM178" i="44"/>
  <c r="AM177" i="44"/>
  <c r="AM176" i="44"/>
  <c r="AM175" i="44"/>
  <c r="AM174" i="44"/>
  <c r="AM173" i="44"/>
  <c r="AM172" i="44"/>
  <c r="AM171" i="44"/>
  <c r="AM170" i="44"/>
  <c r="AM169" i="44"/>
  <c r="AM168" i="44"/>
  <c r="AM167" i="44"/>
  <c r="AC195" i="44"/>
  <c r="AK195" i="44"/>
  <c r="AN195" i="44"/>
  <c r="AC194" i="44"/>
  <c r="AK194" i="44"/>
  <c r="AN194" i="44"/>
  <c r="AC193" i="44"/>
  <c r="AK193" i="44"/>
  <c r="AN193" i="44"/>
  <c r="AC192" i="44"/>
  <c r="AK192" i="44"/>
  <c r="AN192" i="44"/>
  <c r="AC191" i="44"/>
  <c r="AK191" i="44"/>
  <c r="AN191" i="44"/>
  <c r="AC190" i="44"/>
  <c r="AK190" i="44"/>
  <c r="AN190" i="44"/>
  <c r="AC189" i="44"/>
  <c r="AK189" i="44"/>
  <c r="AN189" i="44"/>
  <c r="AC188" i="44"/>
  <c r="AK188" i="44"/>
  <c r="AN188" i="44"/>
  <c r="AC187" i="44"/>
  <c r="AK187" i="44"/>
  <c r="AN187" i="44"/>
  <c r="AC186" i="44"/>
  <c r="AK186" i="44"/>
  <c r="AN186" i="44"/>
  <c r="AC185" i="44"/>
  <c r="AK185" i="44"/>
  <c r="AN185" i="44"/>
  <c r="AC184" i="44"/>
  <c r="AK184" i="44"/>
  <c r="AN184" i="44"/>
  <c r="AC183" i="44"/>
  <c r="AK183" i="44"/>
  <c r="AN183" i="44"/>
  <c r="AC182" i="44"/>
  <c r="AK182" i="44"/>
  <c r="AN182" i="44"/>
  <c r="AC181" i="44"/>
  <c r="AK181" i="44"/>
  <c r="AN181" i="44"/>
  <c r="AC180" i="44"/>
  <c r="AK180" i="44"/>
  <c r="AN180" i="44"/>
  <c r="AC179" i="44"/>
  <c r="AK179" i="44"/>
  <c r="AN179" i="44"/>
  <c r="AC178" i="44"/>
  <c r="AK178" i="44"/>
  <c r="AN178" i="44"/>
  <c r="AC177" i="44"/>
  <c r="AK177" i="44"/>
  <c r="AN177" i="44"/>
  <c r="AC176" i="44"/>
  <c r="AK176" i="44"/>
  <c r="AN176" i="44"/>
  <c r="AC175" i="44"/>
  <c r="AK175" i="44"/>
  <c r="AN175" i="44"/>
  <c r="AC174" i="44"/>
  <c r="AK174" i="44"/>
  <c r="AN174" i="44"/>
  <c r="AC173" i="44"/>
  <c r="AK173" i="44"/>
  <c r="AN173" i="44"/>
  <c r="AC172" i="44"/>
  <c r="AK172" i="44"/>
  <c r="AN172" i="44"/>
  <c r="AC171" i="44"/>
  <c r="AK171" i="44"/>
  <c r="AN171" i="44"/>
  <c r="AC170" i="44"/>
  <c r="AK170" i="44"/>
  <c r="AN170" i="44"/>
  <c r="AC169" i="44"/>
  <c r="AK169" i="44"/>
  <c r="AN169" i="44"/>
  <c r="AC168" i="44"/>
  <c r="AK168" i="44"/>
  <c r="AN168" i="44"/>
  <c r="AC167" i="44"/>
  <c r="AK167" i="44"/>
  <c r="AN167" i="44"/>
  <c r="AC200" i="44"/>
  <c r="AK200" i="44"/>
  <c r="AN200" i="44"/>
  <c r="AC199" i="44"/>
  <c r="AK199" i="44"/>
  <c r="AN199" i="44"/>
  <c r="AC198" i="44"/>
  <c r="AK198" i="44"/>
  <c r="AN198" i="44"/>
  <c r="AC197" i="44"/>
  <c r="AK197" i="44"/>
  <c r="AN197" i="44"/>
  <c r="AC196" i="44"/>
  <c r="AK196" i="44"/>
  <c r="AN196" i="44"/>
  <c r="W44" i="42"/>
  <c r="W43" i="42"/>
  <c r="W42" i="42"/>
  <c r="W41" i="42"/>
  <c r="W40" i="42"/>
  <c r="W39" i="42"/>
  <c r="W38" i="42"/>
  <c r="W37" i="42"/>
  <c r="W36" i="42"/>
  <c r="W35" i="42"/>
  <c r="W34" i="42"/>
  <c r="W33" i="42"/>
  <c r="W32" i="42"/>
  <c r="W31" i="42"/>
  <c r="W30" i="42"/>
  <c r="W29" i="42"/>
  <c r="W28" i="42"/>
  <c r="W27" i="42"/>
  <c r="W26" i="42"/>
  <c r="W25" i="42"/>
  <c r="W24" i="42"/>
  <c r="W23" i="42"/>
  <c r="W22" i="42"/>
  <c r="W21" i="42"/>
  <c r="W20" i="42"/>
  <c r="W19" i="42"/>
  <c r="W18" i="42"/>
  <c r="W17" i="42"/>
  <c r="W16" i="42"/>
  <c r="W15" i="42"/>
  <c r="W14" i="42"/>
  <c r="W13" i="42"/>
  <c r="W12" i="42"/>
  <c r="W11" i="42"/>
  <c r="B184" i="42"/>
  <c r="B187" i="42"/>
  <c r="B195" i="42"/>
  <c r="B198" i="42"/>
  <c r="AG200" i="44"/>
  <c r="AG199" i="44"/>
  <c r="AG198" i="44"/>
  <c r="AG197" i="44"/>
  <c r="AG196" i="44"/>
  <c r="AG195" i="44"/>
  <c r="AG194" i="44"/>
  <c r="AG193" i="44"/>
  <c r="AG192" i="44"/>
  <c r="AG191" i="44"/>
  <c r="AG190" i="44"/>
  <c r="AG189" i="44"/>
  <c r="AG188" i="44"/>
  <c r="AG187" i="44"/>
  <c r="AG186" i="44"/>
  <c r="AG185" i="44"/>
  <c r="AG184" i="44"/>
  <c r="AG183" i="44"/>
  <c r="AG182" i="44"/>
  <c r="AG181" i="44"/>
  <c r="AG180" i="44"/>
  <c r="AG179" i="44"/>
  <c r="AG178" i="44"/>
  <c r="AG177" i="44"/>
  <c r="AG176" i="44"/>
  <c r="AG175" i="44"/>
  <c r="AG174" i="44"/>
  <c r="AG173" i="44"/>
  <c r="AG172" i="44"/>
  <c r="AG171" i="44"/>
  <c r="AG170" i="44"/>
  <c r="AG169" i="44"/>
  <c r="AG168" i="44"/>
  <c r="AG167" i="44"/>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J26" i="50"/>
  <c r="L26" i="50"/>
  <c r="N26" i="50"/>
  <c r="G26" i="26"/>
  <c r="H27" i="26"/>
  <c r="F27" i="26"/>
  <c r="U27" i="26"/>
  <c r="H27" i="41"/>
  <c r="J27" i="41"/>
  <c r="L27" i="41"/>
  <c r="M26" i="50"/>
  <c r="I26" i="50"/>
  <c r="K26" i="26"/>
  <c r="J26" i="26"/>
  <c r="L27" i="26"/>
  <c r="M26" i="26"/>
  <c r="N27" i="26"/>
  <c r="O27" i="26"/>
  <c r="L26" i="26"/>
  <c r="M25" i="26"/>
  <c r="N26" i="26"/>
  <c r="O26" i="26"/>
  <c r="B27" i="52"/>
  <c r="I27" i="52"/>
  <c r="M27" i="52"/>
  <c r="C27" i="52"/>
  <c r="D27" i="52"/>
  <c r="E27" i="52"/>
  <c r="O27" i="52"/>
  <c r="J27" i="52"/>
  <c r="K27" i="52"/>
  <c r="L27" i="52"/>
  <c r="P27" i="52"/>
  <c r="BF200" i="44"/>
  <c r="BF199" i="44"/>
  <c r="BF198" i="44"/>
  <c r="BF197" i="44"/>
  <c r="BF196" i="44"/>
  <c r="BF195" i="44"/>
  <c r="BF194" i="44"/>
  <c r="BF193" i="44"/>
  <c r="BF192" i="44"/>
  <c r="BF191" i="44"/>
  <c r="BF190" i="44"/>
  <c r="BF189" i="44"/>
  <c r="BF188" i="44"/>
  <c r="BF187" i="44"/>
  <c r="BF186" i="44"/>
  <c r="BF185" i="44"/>
  <c r="BF184" i="44"/>
  <c r="BF183" i="44"/>
  <c r="BF182" i="44"/>
  <c r="BF181" i="44"/>
  <c r="BF180" i="44"/>
  <c r="BF179" i="44"/>
  <c r="BF178" i="44"/>
  <c r="BF177" i="44"/>
  <c r="BF176" i="44"/>
  <c r="BF175" i="44"/>
  <c r="BF174" i="44"/>
  <c r="BF173" i="44"/>
  <c r="BF172" i="44"/>
  <c r="BF171" i="44"/>
  <c r="BF170" i="44"/>
  <c r="BF169" i="44"/>
  <c r="BF168" i="44"/>
  <c r="BF167" i="44"/>
  <c r="BG200" i="44"/>
  <c r="BG199" i="44"/>
  <c r="BG198" i="44"/>
  <c r="BG197" i="44"/>
  <c r="BG196" i="44"/>
  <c r="BG195" i="44"/>
  <c r="BG194" i="44"/>
  <c r="BG193" i="44"/>
  <c r="BG192" i="44"/>
  <c r="BG191" i="44"/>
  <c r="BG190" i="44"/>
  <c r="BG189" i="44"/>
  <c r="BG188" i="44"/>
  <c r="BG187" i="44"/>
  <c r="BG186" i="44"/>
  <c r="BG185" i="44"/>
  <c r="BG184" i="44"/>
  <c r="BG183" i="44"/>
  <c r="BG182" i="44"/>
  <c r="BG181" i="44"/>
  <c r="BS27" i="29"/>
  <c r="BG180" i="44"/>
  <c r="BS26" i="29"/>
  <c r="BG179" i="44"/>
  <c r="BS25" i="29"/>
  <c r="BG178" i="44"/>
  <c r="BS24" i="29"/>
  <c r="BG177" i="44"/>
  <c r="BS23" i="29"/>
  <c r="BG176" i="44"/>
  <c r="BS22" i="29"/>
  <c r="BG175" i="44"/>
  <c r="BS21" i="29"/>
  <c r="BG174" i="44"/>
  <c r="BS20" i="29"/>
  <c r="BG173" i="44"/>
  <c r="BS19" i="29"/>
  <c r="BG172" i="44"/>
  <c r="BS18" i="29"/>
  <c r="BG171" i="44"/>
  <c r="BS17" i="29"/>
  <c r="BG170" i="44"/>
  <c r="BS16" i="29"/>
  <c r="BG169" i="44"/>
  <c r="BS15" i="29"/>
  <c r="BG168" i="44"/>
  <c r="BS14" i="29"/>
  <c r="BG167" i="44"/>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F24" i="2"/>
  <c r="L24" i="2"/>
  <c r="T24" i="2"/>
  <c r="F23" i="2"/>
  <c r="L23" i="2"/>
  <c r="T23" i="2"/>
  <c r="F22" i="2"/>
  <c r="L22" i="2"/>
  <c r="T22" i="2"/>
  <c r="F21" i="2"/>
  <c r="L21" i="2"/>
  <c r="T21" i="2"/>
  <c r="F20" i="2"/>
  <c r="L20" i="2"/>
  <c r="T20" i="2"/>
  <c r="F19" i="2"/>
  <c r="L19" i="2"/>
  <c r="T19" i="2"/>
  <c r="F18" i="2"/>
  <c r="L18" i="2"/>
  <c r="T18" i="2"/>
  <c r="F17" i="2"/>
  <c r="L17" i="2"/>
  <c r="T17" i="2"/>
  <c r="F16" i="2"/>
  <c r="L16" i="2"/>
  <c r="T16" i="2"/>
  <c r="F15" i="2"/>
  <c r="L15" i="2"/>
  <c r="T15" i="2"/>
  <c r="F14" i="2"/>
  <c r="L14" i="2"/>
  <c r="T14" i="2"/>
  <c r="F13" i="2"/>
  <c r="L13" i="2"/>
  <c r="T13" i="2"/>
  <c r="F12" i="2"/>
  <c r="L12" i="2"/>
  <c r="T12" i="2"/>
  <c r="F11" i="2"/>
  <c r="L11" i="2"/>
  <c r="T11" i="2"/>
  <c r="M26" i="39"/>
  <c r="M36" i="39"/>
  <c r="M46" i="39"/>
  <c r="M56" i="39"/>
  <c r="M66" i="39"/>
  <c r="I27" i="36"/>
  <c r="I21" i="36"/>
  <c r="I12" i="36"/>
  <c r="J37" i="36"/>
  <c r="J34" i="36"/>
  <c r="J31" i="36"/>
  <c r="K184" i="34"/>
  <c r="L11" i="34"/>
  <c r="K11" i="34"/>
  <c r="AJ11" i="34"/>
  <c r="L12" i="34"/>
  <c r="K12" i="34"/>
  <c r="AJ12" i="34"/>
  <c r="L13" i="34"/>
  <c r="K13" i="34"/>
  <c r="AJ13" i="34"/>
  <c r="L14" i="34"/>
  <c r="K14" i="34"/>
  <c r="AJ14" i="34"/>
  <c r="L15" i="34"/>
  <c r="K15" i="34"/>
  <c r="AJ15" i="34"/>
  <c r="L16" i="34"/>
  <c r="K16" i="34"/>
  <c r="AJ16" i="34"/>
  <c r="L17" i="34"/>
  <c r="K17" i="34"/>
  <c r="AJ17" i="34"/>
  <c r="L18" i="34"/>
  <c r="K18" i="34"/>
  <c r="AJ18" i="34"/>
  <c r="L19" i="34"/>
  <c r="K19" i="34"/>
  <c r="AJ19" i="34"/>
  <c r="L20" i="34"/>
  <c r="K20" i="34"/>
  <c r="AJ20" i="34"/>
  <c r="L21" i="34"/>
  <c r="K21" i="34"/>
  <c r="AJ21" i="34"/>
  <c r="L22" i="34"/>
  <c r="K22" i="34"/>
  <c r="AJ22" i="34"/>
  <c r="L23" i="34"/>
  <c r="K23" i="34"/>
  <c r="AJ23" i="34"/>
  <c r="L24" i="34"/>
  <c r="K24" i="34"/>
  <c r="AJ24" i="34"/>
  <c r="K25" i="34"/>
  <c r="AJ25" i="34"/>
  <c r="K187" i="34"/>
  <c r="K192" i="34"/>
  <c r="I27" i="37"/>
  <c r="G35" i="33"/>
  <c r="N26" i="6"/>
  <c r="I44" i="14"/>
  <c r="C44" i="14"/>
  <c r="J44" i="14"/>
  <c r="L44" i="14"/>
  <c r="F44" i="14"/>
  <c r="M44" i="14"/>
  <c r="G44" i="14"/>
  <c r="N44" i="14"/>
  <c r="T44" i="14"/>
  <c r="S44" i="14"/>
  <c r="I43" i="14"/>
  <c r="C43" i="14"/>
  <c r="J43" i="14"/>
  <c r="L43" i="14"/>
  <c r="F43" i="14"/>
  <c r="M43" i="14"/>
  <c r="G43" i="14"/>
  <c r="N43" i="14"/>
  <c r="T43" i="14"/>
  <c r="S43" i="14"/>
  <c r="I42" i="14"/>
  <c r="C42" i="14"/>
  <c r="J42" i="14"/>
  <c r="L42" i="14"/>
  <c r="F42" i="14"/>
  <c r="M42" i="14"/>
  <c r="G42" i="14"/>
  <c r="N42" i="14"/>
  <c r="T42" i="14"/>
  <c r="S42" i="14"/>
  <c r="I41" i="14"/>
  <c r="C41" i="14"/>
  <c r="J41" i="14"/>
  <c r="L41" i="14"/>
  <c r="F41" i="14"/>
  <c r="M41" i="14"/>
  <c r="G41" i="14"/>
  <c r="N41" i="14"/>
  <c r="T41" i="14"/>
  <c r="S41" i="14"/>
  <c r="I40" i="14"/>
  <c r="C40" i="14"/>
  <c r="J40" i="14"/>
  <c r="L40" i="14"/>
  <c r="F40" i="14"/>
  <c r="M40" i="14"/>
  <c r="G40" i="14"/>
  <c r="N40" i="14"/>
  <c r="T40" i="14"/>
  <c r="S40" i="14"/>
  <c r="I39" i="14"/>
  <c r="C39" i="14"/>
  <c r="J39" i="14"/>
  <c r="L39" i="14"/>
  <c r="F39" i="14"/>
  <c r="M39" i="14"/>
  <c r="G39" i="14"/>
  <c r="N39" i="14"/>
  <c r="T39" i="14"/>
  <c r="S39" i="14"/>
  <c r="I38" i="14"/>
  <c r="C38" i="14"/>
  <c r="J38" i="14"/>
  <c r="L38" i="14"/>
  <c r="F38" i="14"/>
  <c r="M38" i="14"/>
  <c r="G38" i="14"/>
  <c r="N38" i="14"/>
  <c r="T38" i="14"/>
  <c r="S38" i="14"/>
  <c r="I37" i="14"/>
  <c r="C37" i="14"/>
  <c r="J37" i="14"/>
  <c r="L37" i="14"/>
  <c r="F37" i="14"/>
  <c r="M37" i="14"/>
  <c r="G37" i="14"/>
  <c r="N37" i="14"/>
  <c r="T37" i="14"/>
  <c r="S37" i="14"/>
  <c r="I36" i="14"/>
  <c r="C36" i="14"/>
  <c r="J36" i="14"/>
  <c r="L36" i="14"/>
  <c r="F36" i="14"/>
  <c r="M36" i="14"/>
  <c r="G36" i="14"/>
  <c r="N36" i="14"/>
  <c r="T36" i="14"/>
  <c r="S36" i="14"/>
  <c r="I35" i="14"/>
  <c r="C35" i="14"/>
  <c r="J35" i="14"/>
  <c r="L35" i="14"/>
  <c r="F35" i="14"/>
  <c r="M35" i="14"/>
  <c r="G35" i="14"/>
  <c r="N35" i="14"/>
  <c r="T35" i="14"/>
  <c r="S35" i="14"/>
  <c r="I34" i="14"/>
  <c r="C34" i="14"/>
  <c r="J34" i="14"/>
  <c r="L34" i="14"/>
  <c r="F34" i="14"/>
  <c r="M34" i="14"/>
  <c r="G34" i="14"/>
  <c r="N34" i="14"/>
  <c r="T34" i="14"/>
  <c r="S34" i="14"/>
  <c r="I33" i="14"/>
  <c r="C33" i="14"/>
  <c r="J33" i="14"/>
  <c r="L33" i="14"/>
  <c r="F33" i="14"/>
  <c r="M33" i="14"/>
  <c r="G33" i="14"/>
  <c r="N33" i="14"/>
  <c r="T33" i="14"/>
  <c r="S33" i="14"/>
  <c r="I32" i="14"/>
  <c r="C32" i="14"/>
  <c r="J32" i="14"/>
  <c r="L32" i="14"/>
  <c r="F32" i="14"/>
  <c r="M32" i="14"/>
  <c r="G32" i="14"/>
  <c r="N32" i="14"/>
  <c r="T32" i="14"/>
  <c r="S32" i="14"/>
  <c r="I31" i="14"/>
  <c r="C31" i="14"/>
  <c r="J31" i="14"/>
  <c r="L31" i="14"/>
  <c r="F31" i="14"/>
  <c r="M31" i="14"/>
  <c r="G31" i="14"/>
  <c r="N31" i="14"/>
  <c r="T31" i="14"/>
  <c r="S31" i="14"/>
  <c r="I30" i="14"/>
  <c r="C30" i="14"/>
  <c r="J30" i="14"/>
  <c r="L30" i="14"/>
  <c r="F30" i="14"/>
  <c r="M30" i="14"/>
  <c r="G30" i="14"/>
  <c r="N30" i="14"/>
  <c r="T30" i="14"/>
  <c r="S30" i="14"/>
  <c r="I29" i="14"/>
  <c r="C29" i="14"/>
  <c r="J29" i="14"/>
  <c r="L29" i="14"/>
  <c r="F29" i="14"/>
  <c r="M29" i="14"/>
  <c r="G29" i="14"/>
  <c r="N29" i="14"/>
  <c r="T29" i="14"/>
  <c r="S29" i="14"/>
  <c r="I28" i="14"/>
  <c r="C28" i="14"/>
  <c r="J28" i="14"/>
  <c r="L28" i="14"/>
  <c r="F28" i="14"/>
  <c r="M28" i="14"/>
  <c r="G28" i="14"/>
  <c r="N28" i="14"/>
  <c r="T28" i="14"/>
  <c r="S28" i="14"/>
  <c r="I27" i="14"/>
  <c r="C27" i="14"/>
  <c r="J27" i="14"/>
  <c r="L27" i="14"/>
  <c r="F27" i="14"/>
  <c r="M27" i="14"/>
  <c r="G27" i="14"/>
  <c r="N27" i="14"/>
  <c r="T27" i="14"/>
  <c r="S27" i="14"/>
  <c r="I26" i="14"/>
  <c r="C26" i="14"/>
  <c r="J26" i="14"/>
  <c r="L26" i="14"/>
  <c r="F26" i="14"/>
  <c r="M26" i="14"/>
  <c r="G26" i="14"/>
  <c r="N26" i="14"/>
  <c r="T26" i="14"/>
  <c r="S26" i="14"/>
  <c r="I25" i="14"/>
  <c r="C25" i="14"/>
  <c r="J25" i="14"/>
  <c r="L25" i="14"/>
  <c r="F25" i="14"/>
  <c r="M25" i="14"/>
  <c r="G25" i="14"/>
  <c r="N25" i="14"/>
  <c r="T25" i="14"/>
  <c r="S25" i="14"/>
  <c r="I24" i="14"/>
  <c r="C24" i="14"/>
  <c r="J24" i="14"/>
  <c r="L24" i="14"/>
  <c r="F24" i="14"/>
  <c r="M24" i="14"/>
  <c r="G24" i="14"/>
  <c r="N24" i="14"/>
  <c r="T24" i="14"/>
  <c r="S24" i="14"/>
  <c r="I23" i="14"/>
  <c r="C23" i="14"/>
  <c r="J23" i="14"/>
  <c r="L23" i="14"/>
  <c r="F23" i="14"/>
  <c r="M23" i="14"/>
  <c r="G23" i="14"/>
  <c r="N23" i="14"/>
  <c r="T23" i="14"/>
  <c r="S23" i="14"/>
  <c r="I22" i="14"/>
  <c r="C22" i="14"/>
  <c r="J22" i="14"/>
  <c r="L22" i="14"/>
  <c r="F22" i="14"/>
  <c r="M22" i="14"/>
  <c r="G22" i="14"/>
  <c r="N22" i="14"/>
  <c r="T22" i="14"/>
  <c r="S22" i="14"/>
  <c r="I21" i="14"/>
  <c r="C21" i="14"/>
  <c r="J21" i="14"/>
  <c r="L21" i="14"/>
  <c r="F21" i="14"/>
  <c r="M21" i="14"/>
  <c r="G21" i="14"/>
  <c r="N21" i="14"/>
  <c r="T21" i="14"/>
  <c r="S21" i="14"/>
  <c r="I20" i="14"/>
  <c r="C20" i="14"/>
  <c r="J20" i="14"/>
  <c r="L20" i="14"/>
  <c r="F20" i="14"/>
  <c r="M20" i="14"/>
  <c r="G20" i="14"/>
  <c r="N20" i="14"/>
  <c r="T20" i="14"/>
  <c r="S20" i="14"/>
  <c r="I19" i="14"/>
  <c r="C19" i="14"/>
  <c r="J19" i="14"/>
  <c r="L19" i="14"/>
  <c r="F19" i="14"/>
  <c r="M19" i="14"/>
  <c r="G19" i="14"/>
  <c r="N19" i="14"/>
  <c r="T19" i="14"/>
  <c r="S19" i="14"/>
  <c r="I18" i="14"/>
  <c r="C18" i="14"/>
  <c r="J18" i="14"/>
  <c r="L18" i="14"/>
  <c r="F18" i="14"/>
  <c r="M18" i="14"/>
  <c r="G18" i="14"/>
  <c r="N18" i="14"/>
  <c r="T18" i="14"/>
  <c r="S18" i="14"/>
  <c r="I17" i="14"/>
  <c r="C17" i="14"/>
  <c r="J17" i="14"/>
  <c r="L17" i="14"/>
  <c r="F17" i="14"/>
  <c r="M17" i="14"/>
  <c r="G17" i="14"/>
  <c r="N17" i="14"/>
  <c r="T17" i="14"/>
  <c r="S17" i="14"/>
  <c r="I16" i="14"/>
  <c r="C16" i="14"/>
  <c r="J16" i="14"/>
  <c r="L16" i="14"/>
  <c r="F16" i="14"/>
  <c r="M16" i="14"/>
  <c r="G16" i="14"/>
  <c r="N16" i="14"/>
  <c r="T16" i="14"/>
  <c r="S16" i="14"/>
  <c r="I15" i="14"/>
  <c r="C15" i="14"/>
  <c r="J15" i="14"/>
  <c r="L15" i="14"/>
  <c r="F15" i="14"/>
  <c r="M15" i="14"/>
  <c r="G15" i="14"/>
  <c r="N15" i="14"/>
  <c r="T15" i="14"/>
  <c r="S15" i="14"/>
  <c r="I14" i="14"/>
  <c r="C14" i="14"/>
  <c r="J14" i="14"/>
  <c r="L14" i="14"/>
  <c r="F14" i="14"/>
  <c r="M14" i="14"/>
  <c r="G14" i="14"/>
  <c r="N14" i="14"/>
  <c r="T14" i="14"/>
  <c r="S14" i="14"/>
  <c r="I13" i="14"/>
  <c r="C13" i="14"/>
  <c r="J13" i="14"/>
  <c r="L13" i="14"/>
  <c r="F13" i="14"/>
  <c r="M13" i="14"/>
  <c r="G13" i="14"/>
  <c r="N13" i="14"/>
  <c r="T13" i="14"/>
  <c r="S13" i="14"/>
  <c r="I12" i="14"/>
  <c r="C12" i="14"/>
  <c r="J12" i="14"/>
  <c r="L12" i="14"/>
  <c r="F12" i="14"/>
  <c r="M12" i="14"/>
  <c r="G12" i="14"/>
  <c r="N12" i="14"/>
  <c r="T12" i="14"/>
  <c r="S12" i="14"/>
  <c r="I11" i="14"/>
  <c r="C11" i="14"/>
  <c r="J11" i="14"/>
  <c r="L11" i="14"/>
  <c r="F11" i="14"/>
  <c r="M11" i="14"/>
  <c r="G11" i="14"/>
  <c r="N11" i="14"/>
  <c r="T11" i="14"/>
  <c r="S11" i="14"/>
  <c r="C44" i="13"/>
  <c r="R44" i="13"/>
  <c r="C43" i="13"/>
  <c r="R43" i="13"/>
  <c r="C42" i="13"/>
  <c r="R42" i="13"/>
  <c r="C41" i="13"/>
  <c r="R41" i="13"/>
  <c r="C40" i="13"/>
  <c r="R40" i="13"/>
  <c r="C39" i="13"/>
  <c r="R39" i="13"/>
  <c r="C38" i="13"/>
  <c r="R38" i="13"/>
  <c r="C37" i="13"/>
  <c r="R37" i="13"/>
  <c r="C36" i="13"/>
  <c r="R36" i="13"/>
  <c r="C35" i="13"/>
  <c r="R35" i="13"/>
  <c r="C34" i="13"/>
  <c r="R34" i="13"/>
  <c r="C33" i="13"/>
  <c r="R33" i="13"/>
  <c r="C32" i="13"/>
  <c r="R32" i="13"/>
  <c r="C31" i="13"/>
  <c r="R31" i="13"/>
  <c r="C30" i="13"/>
  <c r="R30" i="13"/>
  <c r="C29" i="13"/>
  <c r="R29" i="13"/>
  <c r="C28" i="13"/>
  <c r="R28" i="13"/>
  <c r="C27" i="13"/>
  <c r="R27" i="13"/>
  <c r="C26" i="13"/>
  <c r="R26" i="13"/>
  <c r="C25" i="13"/>
  <c r="R25" i="13"/>
  <c r="C24" i="13"/>
  <c r="R24" i="13"/>
  <c r="C23" i="13"/>
  <c r="R23" i="13"/>
  <c r="C22" i="13"/>
  <c r="R22" i="13"/>
  <c r="C21" i="13"/>
  <c r="R21" i="13"/>
  <c r="C20" i="13"/>
  <c r="R20" i="13"/>
  <c r="C19" i="13"/>
  <c r="R19" i="13"/>
  <c r="C18" i="13"/>
  <c r="R18" i="13"/>
  <c r="C17" i="13"/>
  <c r="R17" i="13"/>
  <c r="C16" i="13"/>
  <c r="R16" i="13"/>
  <c r="C15" i="13"/>
  <c r="R15" i="13"/>
  <c r="C14" i="13"/>
  <c r="R14" i="13"/>
  <c r="C13" i="13"/>
  <c r="R13" i="13"/>
  <c r="C12" i="13"/>
  <c r="R12" i="13"/>
  <c r="C11" i="13"/>
  <c r="R11" i="13"/>
  <c r="E44" i="13"/>
  <c r="S44" i="13"/>
  <c r="E43" i="13"/>
  <c r="S43" i="13"/>
  <c r="E42" i="13"/>
  <c r="S42" i="13"/>
  <c r="E41" i="13"/>
  <c r="S41" i="13"/>
  <c r="E40" i="13"/>
  <c r="S40" i="13"/>
  <c r="E39" i="13"/>
  <c r="S39" i="13"/>
  <c r="E38" i="13"/>
  <c r="S38" i="13"/>
  <c r="E37" i="13"/>
  <c r="S37" i="13"/>
  <c r="E36" i="13"/>
  <c r="S36" i="13"/>
  <c r="E35" i="13"/>
  <c r="S35" i="13"/>
  <c r="E34" i="13"/>
  <c r="S34" i="13"/>
  <c r="E33" i="13"/>
  <c r="S33" i="13"/>
  <c r="E32" i="13"/>
  <c r="S32" i="13"/>
  <c r="E31" i="13"/>
  <c r="S31" i="13"/>
  <c r="E30" i="13"/>
  <c r="S30" i="13"/>
  <c r="E29" i="13"/>
  <c r="S29" i="13"/>
  <c r="E28" i="13"/>
  <c r="S28" i="13"/>
  <c r="E27" i="13"/>
  <c r="S27" i="13"/>
  <c r="E26" i="13"/>
  <c r="S26" i="13"/>
  <c r="E25" i="13"/>
  <c r="S25" i="13"/>
  <c r="E24" i="13"/>
  <c r="S24" i="13"/>
  <c r="E23" i="13"/>
  <c r="S23" i="13"/>
  <c r="E22" i="13"/>
  <c r="S22" i="13"/>
  <c r="E21" i="13"/>
  <c r="S21" i="13"/>
  <c r="E20" i="13"/>
  <c r="S20" i="13"/>
  <c r="E19" i="13"/>
  <c r="S19" i="13"/>
  <c r="E18" i="13"/>
  <c r="S18" i="13"/>
  <c r="E17" i="13"/>
  <c r="S17" i="13"/>
  <c r="E16" i="13"/>
  <c r="S16" i="13"/>
  <c r="E15" i="13"/>
  <c r="S15" i="13"/>
  <c r="E14" i="13"/>
  <c r="S14" i="13"/>
  <c r="E13" i="13"/>
  <c r="S13" i="13"/>
  <c r="E12" i="13"/>
  <c r="S12" i="13"/>
  <c r="E11" i="13"/>
  <c r="S11" i="13"/>
  <c r="D44" i="15"/>
  <c r="E44" i="15"/>
  <c r="L44" i="15"/>
  <c r="B44" i="15"/>
  <c r="K44" i="15"/>
  <c r="D43" i="15"/>
  <c r="E43" i="15"/>
  <c r="L43" i="15"/>
  <c r="B43" i="15"/>
  <c r="K43" i="15"/>
  <c r="D42" i="15"/>
  <c r="E42" i="15"/>
  <c r="L42" i="15"/>
  <c r="B42" i="15"/>
  <c r="K42" i="15"/>
  <c r="D41" i="15"/>
  <c r="E41" i="15"/>
  <c r="L41" i="15"/>
  <c r="B41" i="15"/>
  <c r="K41" i="15"/>
  <c r="D40" i="15"/>
  <c r="E40" i="15"/>
  <c r="L40" i="15"/>
  <c r="B40" i="15"/>
  <c r="K40" i="15"/>
  <c r="D39" i="15"/>
  <c r="E39" i="15"/>
  <c r="L39" i="15"/>
  <c r="B39" i="15"/>
  <c r="K39" i="15"/>
  <c r="D38" i="15"/>
  <c r="E38" i="15"/>
  <c r="L38" i="15"/>
  <c r="B38" i="15"/>
  <c r="K38" i="15"/>
  <c r="D37" i="15"/>
  <c r="E37" i="15"/>
  <c r="L37" i="15"/>
  <c r="B37" i="15"/>
  <c r="K37" i="15"/>
  <c r="D36" i="15"/>
  <c r="E36" i="15"/>
  <c r="L36" i="15"/>
  <c r="B36" i="15"/>
  <c r="K36" i="15"/>
  <c r="D35" i="15"/>
  <c r="E35" i="15"/>
  <c r="L35" i="15"/>
  <c r="B35" i="15"/>
  <c r="K35" i="15"/>
  <c r="D34" i="15"/>
  <c r="E34" i="15"/>
  <c r="L34" i="15"/>
  <c r="B34" i="15"/>
  <c r="K34" i="15"/>
  <c r="D33" i="15"/>
  <c r="E33" i="15"/>
  <c r="L33" i="15"/>
  <c r="B33" i="15"/>
  <c r="K33" i="15"/>
  <c r="D32" i="15"/>
  <c r="E32" i="15"/>
  <c r="L32" i="15"/>
  <c r="B32" i="15"/>
  <c r="K32" i="15"/>
  <c r="D31" i="15"/>
  <c r="E31" i="15"/>
  <c r="L31" i="15"/>
  <c r="B31" i="15"/>
  <c r="K31" i="15"/>
  <c r="D30" i="15"/>
  <c r="E30" i="15"/>
  <c r="L30" i="15"/>
  <c r="B30" i="15"/>
  <c r="K30" i="15"/>
  <c r="D29" i="15"/>
  <c r="E29" i="15"/>
  <c r="L29" i="15"/>
  <c r="B29" i="15"/>
  <c r="K29" i="15"/>
  <c r="D28" i="15"/>
  <c r="E28" i="15"/>
  <c r="L28" i="15"/>
  <c r="B28" i="15"/>
  <c r="K28" i="15"/>
  <c r="D27" i="15"/>
  <c r="E27" i="15"/>
  <c r="L27" i="15"/>
  <c r="B27" i="15"/>
  <c r="K27" i="15"/>
  <c r="D26" i="15"/>
  <c r="E26" i="15"/>
  <c r="L26" i="15"/>
  <c r="B26" i="15"/>
  <c r="K26" i="15"/>
  <c r="D25" i="15"/>
  <c r="E25" i="15"/>
  <c r="L25" i="15"/>
  <c r="B25" i="15"/>
  <c r="K25" i="15"/>
  <c r="D24" i="15"/>
  <c r="E24" i="15"/>
  <c r="L24" i="15"/>
  <c r="B24" i="15"/>
  <c r="K24" i="15"/>
  <c r="D23" i="15"/>
  <c r="E23" i="15"/>
  <c r="L23" i="15"/>
  <c r="B23" i="15"/>
  <c r="K23" i="15"/>
  <c r="D22" i="15"/>
  <c r="E22" i="15"/>
  <c r="L22" i="15"/>
  <c r="B22" i="15"/>
  <c r="K22" i="15"/>
  <c r="D21" i="15"/>
  <c r="E21" i="15"/>
  <c r="L21" i="15"/>
  <c r="B21" i="15"/>
  <c r="K21" i="15"/>
  <c r="D20" i="15"/>
  <c r="E20" i="15"/>
  <c r="L20" i="15"/>
  <c r="B20" i="15"/>
  <c r="K20" i="15"/>
  <c r="D19" i="15"/>
  <c r="E19" i="15"/>
  <c r="L19" i="15"/>
  <c r="B19" i="15"/>
  <c r="K19" i="15"/>
  <c r="D18" i="15"/>
  <c r="E18" i="15"/>
  <c r="L18" i="15"/>
  <c r="B18" i="15"/>
  <c r="K18" i="15"/>
  <c r="D17" i="15"/>
  <c r="E17" i="15"/>
  <c r="L17" i="15"/>
  <c r="B17" i="15"/>
  <c r="K17" i="15"/>
  <c r="D16" i="15"/>
  <c r="E16" i="15"/>
  <c r="L16" i="15"/>
  <c r="B16" i="15"/>
  <c r="K16" i="15"/>
  <c r="D15" i="15"/>
  <c r="E15" i="15"/>
  <c r="L15" i="15"/>
  <c r="B15" i="15"/>
  <c r="K15" i="15"/>
  <c r="D14" i="15"/>
  <c r="E14" i="15"/>
  <c r="L14" i="15"/>
  <c r="B14" i="15"/>
  <c r="K14" i="15"/>
  <c r="D13" i="15"/>
  <c r="E13" i="15"/>
  <c r="L13" i="15"/>
  <c r="B13" i="15"/>
  <c r="K13" i="15"/>
  <c r="D12" i="15"/>
  <c r="E12" i="15"/>
  <c r="L12" i="15"/>
  <c r="B12" i="15"/>
  <c r="K12" i="15"/>
  <c r="D11" i="15"/>
  <c r="E11" i="15"/>
  <c r="L11" i="15"/>
  <c r="B11" i="15"/>
  <c r="K11" i="15"/>
  <c r="O44" i="14"/>
  <c r="D44" i="14"/>
  <c r="K44" i="14"/>
  <c r="O43" i="14"/>
  <c r="D43" i="14"/>
  <c r="K43" i="14"/>
  <c r="O42" i="14"/>
  <c r="D42" i="14"/>
  <c r="K42" i="14"/>
  <c r="O41" i="14"/>
  <c r="D41" i="14"/>
  <c r="K41" i="14"/>
  <c r="O40" i="14"/>
  <c r="D40" i="14"/>
  <c r="K40" i="14"/>
  <c r="O39" i="14"/>
  <c r="D39" i="14"/>
  <c r="K39" i="14"/>
  <c r="O38" i="14"/>
  <c r="D38" i="14"/>
  <c r="K38" i="14"/>
  <c r="O37" i="14"/>
  <c r="D37" i="14"/>
  <c r="K37" i="14"/>
  <c r="O36" i="14"/>
  <c r="D36" i="14"/>
  <c r="K36" i="14"/>
  <c r="O35" i="14"/>
  <c r="D35" i="14"/>
  <c r="K35" i="14"/>
  <c r="O34" i="14"/>
  <c r="D34" i="14"/>
  <c r="K34" i="14"/>
  <c r="O33" i="14"/>
  <c r="D33" i="14"/>
  <c r="K33" i="14"/>
  <c r="O32" i="14"/>
  <c r="D32" i="14"/>
  <c r="K32" i="14"/>
  <c r="O31" i="14"/>
  <c r="D31" i="14"/>
  <c r="K31" i="14"/>
  <c r="O30" i="14"/>
  <c r="D30" i="14"/>
  <c r="K30" i="14"/>
  <c r="O29" i="14"/>
  <c r="D29" i="14"/>
  <c r="K29" i="14"/>
  <c r="O28" i="14"/>
  <c r="D28" i="14"/>
  <c r="K28" i="14"/>
  <c r="O27" i="14"/>
  <c r="D27" i="14"/>
  <c r="K27" i="14"/>
  <c r="O26" i="14"/>
  <c r="D26" i="14"/>
  <c r="K26" i="14"/>
  <c r="O25" i="14"/>
  <c r="D25" i="14"/>
  <c r="K25" i="14"/>
  <c r="O24" i="14"/>
  <c r="D24" i="14"/>
  <c r="K24" i="14"/>
  <c r="O23" i="14"/>
  <c r="D23" i="14"/>
  <c r="K23" i="14"/>
  <c r="O22" i="14"/>
  <c r="D22" i="14"/>
  <c r="K22" i="14"/>
  <c r="O21" i="14"/>
  <c r="D21" i="14"/>
  <c r="K21" i="14"/>
  <c r="O20" i="14"/>
  <c r="D20" i="14"/>
  <c r="K20" i="14"/>
  <c r="O19" i="14"/>
  <c r="D19" i="14"/>
  <c r="K19" i="14"/>
  <c r="O18" i="14"/>
  <c r="D18" i="14"/>
  <c r="K18" i="14"/>
  <c r="O17" i="14"/>
  <c r="D17" i="14"/>
  <c r="K17" i="14"/>
  <c r="O16" i="14"/>
  <c r="D16" i="14"/>
  <c r="K16" i="14"/>
  <c r="O15" i="14"/>
  <c r="D15" i="14"/>
  <c r="K15" i="14"/>
  <c r="O14" i="14"/>
  <c r="D14" i="14"/>
  <c r="K14" i="14"/>
  <c r="O13" i="14"/>
  <c r="D13" i="14"/>
  <c r="K13" i="14"/>
  <c r="O12" i="14"/>
  <c r="D12" i="14"/>
  <c r="K12" i="14"/>
  <c r="O11" i="14"/>
  <c r="D11" i="14"/>
  <c r="K11" i="14"/>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F44" i="15"/>
  <c r="J47" i="16"/>
  <c r="K47" i="16"/>
  <c r="Q47" i="16"/>
  <c r="S47" i="16"/>
  <c r="U47" i="16"/>
  <c r="F43" i="15"/>
  <c r="J46" i="16"/>
  <c r="K46" i="16"/>
  <c r="Q46" i="16"/>
  <c r="S46" i="16"/>
  <c r="U46" i="16"/>
  <c r="F42" i="15"/>
  <c r="J45" i="16"/>
  <c r="K45" i="16"/>
  <c r="Q45" i="16"/>
  <c r="S45" i="16"/>
  <c r="U45" i="16"/>
  <c r="F41" i="15"/>
  <c r="J44" i="16"/>
  <c r="K44" i="16"/>
  <c r="Q44" i="16"/>
  <c r="S44" i="16"/>
  <c r="U44" i="16"/>
  <c r="F40" i="15"/>
  <c r="J43" i="16"/>
  <c r="K43" i="16"/>
  <c r="Q43" i="16"/>
  <c r="S43" i="16"/>
  <c r="U43" i="16"/>
  <c r="F39" i="15"/>
  <c r="J42" i="16"/>
  <c r="K42" i="16"/>
  <c r="Q42" i="16"/>
  <c r="S42" i="16"/>
  <c r="U42" i="16"/>
  <c r="F38" i="15"/>
  <c r="J41" i="16"/>
  <c r="K41" i="16"/>
  <c r="Q41" i="16"/>
  <c r="S41" i="16"/>
  <c r="U41" i="16"/>
  <c r="F37" i="15"/>
  <c r="J40" i="16"/>
  <c r="K40" i="16"/>
  <c r="Q40" i="16"/>
  <c r="S40" i="16"/>
  <c r="U40" i="16"/>
  <c r="F36" i="15"/>
  <c r="J39" i="16"/>
  <c r="K39" i="16"/>
  <c r="Q39" i="16"/>
  <c r="S39" i="16"/>
  <c r="U39" i="16"/>
  <c r="F35" i="15"/>
  <c r="J38" i="16"/>
  <c r="K38" i="16"/>
  <c r="Q38" i="16"/>
  <c r="S38" i="16"/>
  <c r="U38" i="16"/>
  <c r="F34" i="15"/>
  <c r="J37" i="16"/>
  <c r="K37" i="16"/>
  <c r="Q37" i="16"/>
  <c r="S37" i="16"/>
  <c r="U37" i="16"/>
  <c r="F33" i="15"/>
  <c r="J36" i="16"/>
  <c r="K36" i="16"/>
  <c r="Q36" i="16"/>
  <c r="S36" i="16"/>
  <c r="U36" i="16"/>
  <c r="F32" i="15"/>
  <c r="J35" i="16"/>
  <c r="K35" i="16"/>
  <c r="Q35" i="16"/>
  <c r="S35" i="16"/>
  <c r="U35" i="16"/>
  <c r="F31" i="15"/>
  <c r="J34" i="16"/>
  <c r="K34" i="16"/>
  <c r="Q34" i="16"/>
  <c r="S34" i="16"/>
  <c r="U34" i="16"/>
  <c r="F30" i="15"/>
  <c r="J33" i="16"/>
  <c r="K33" i="16"/>
  <c r="Q33" i="16"/>
  <c r="S33" i="16"/>
  <c r="U33" i="16"/>
  <c r="F29" i="15"/>
  <c r="J32" i="16"/>
  <c r="K32" i="16"/>
  <c r="Q32" i="16"/>
  <c r="S32" i="16"/>
  <c r="U32" i="16"/>
  <c r="F28" i="15"/>
  <c r="J31" i="16"/>
  <c r="K31" i="16"/>
  <c r="Q31" i="16"/>
  <c r="S31" i="16"/>
  <c r="U31" i="16"/>
  <c r="F27" i="15"/>
  <c r="J30" i="16"/>
  <c r="K30" i="16"/>
  <c r="Q30" i="16"/>
  <c r="S30" i="16"/>
  <c r="U30" i="16"/>
  <c r="F26" i="15"/>
  <c r="J29" i="16"/>
  <c r="K29" i="16"/>
  <c r="Q29" i="16"/>
  <c r="S29" i="16"/>
  <c r="U29" i="16"/>
  <c r="F25" i="15"/>
  <c r="J28" i="16"/>
  <c r="K28" i="16"/>
  <c r="Q28" i="16"/>
  <c r="S28" i="16"/>
  <c r="U28" i="16"/>
  <c r="F24" i="15"/>
  <c r="J27" i="16"/>
  <c r="K27" i="16"/>
  <c r="Q27" i="16"/>
  <c r="S27" i="16"/>
  <c r="U27" i="16"/>
  <c r="F23" i="15"/>
  <c r="J26" i="16"/>
  <c r="K26" i="16"/>
  <c r="Q26" i="16"/>
  <c r="S26" i="16"/>
  <c r="U26" i="16"/>
  <c r="F22" i="15"/>
  <c r="J25" i="16"/>
  <c r="K25" i="16"/>
  <c r="Q25" i="16"/>
  <c r="S25" i="16"/>
  <c r="U25" i="16"/>
  <c r="F21" i="15"/>
  <c r="J24" i="16"/>
  <c r="K24" i="16"/>
  <c r="Q24" i="16"/>
  <c r="S24" i="16"/>
  <c r="U24" i="16"/>
  <c r="F20" i="15"/>
  <c r="J23" i="16"/>
  <c r="K23" i="16"/>
  <c r="Q23" i="16"/>
  <c r="S23" i="16"/>
  <c r="U23" i="16"/>
  <c r="F19" i="15"/>
  <c r="J22" i="16"/>
  <c r="K22" i="16"/>
  <c r="Q22" i="16"/>
  <c r="S22" i="16"/>
  <c r="U22" i="16"/>
  <c r="F18" i="15"/>
  <c r="J21" i="16"/>
  <c r="K21" i="16"/>
  <c r="Q21" i="16"/>
  <c r="S21" i="16"/>
  <c r="U21" i="16"/>
  <c r="F17" i="15"/>
  <c r="J20" i="16"/>
  <c r="K20" i="16"/>
  <c r="Q20" i="16"/>
  <c r="S20" i="16"/>
  <c r="U20" i="16"/>
  <c r="F16" i="15"/>
  <c r="J19" i="16"/>
  <c r="K19" i="16"/>
  <c r="Q19" i="16"/>
  <c r="S19" i="16"/>
  <c r="U19" i="16"/>
  <c r="F15" i="15"/>
  <c r="J18" i="16"/>
  <c r="K18" i="16"/>
  <c r="Q18" i="16"/>
  <c r="S18" i="16"/>
  <c r="U18" i="16"/>
  <c r="F14" i="15"/>
  <c r="J17" i="16"/>
  <c r="K17" i="16"/>
  <c r="Q17" i="16"/>
  <c r="S17" i="16"/>
  <c r="U17" i="16"/>
  <c r="F13" i="15"/>
  <c r="J16" i="16"/>
  <c r="K16" i="16"/>
  <c r="Q16" i="16"/>
  <c r="S16" i="16"/>
  <c r="U16" i="16"/>
  <c r="F12" i="15"/>
  <c r="J15" i="16"/>
  <c r="K15" i="16"/>
  <c r="Q15" i="16"/>
  <c r="S15" i="16"/>
  <c r="U15" i="16"/>
  <c r="F11" i="15"/>
  <c r="J14" i="16"/>
  <c r="K14" i="16"/>
  <c r="Q14" i="16"/>
  <c r="S14" i="16"/>
  <c r="U14" i="16"/>
  <c r="H184" i="25"/>
  <c r="I184" i="25"/>
  <c r="H185" i="25"/>
  <c r="I185" i="25"/>
  <c r="J185" i="25"/>
  <c r="H187" i="25"/>
  <c r="I187" i="25"/>
  <c r="H188" i="25"/>
  <c r="I188" i="25"/>
  <c r="J188" i="25"/>
  <c r="C40" i="25"/>
  <c r="C184" i="25"/>
  <c r="S184" i="25"/>
  <c r="C187" i="25"/>
  <c r="S187" i="25"/>
  <c r="H193" i="25"/>
  <c r="J193" i="25"/>
  <c r="I193" i="25"/>
  <c r="H199" i="25"/>
  <c r="I199" i="25"/>
  <c r="J199" i="25"/>
  <c r="S192" i="25"/>
  <c r="S198" i="25"/>
  <c r="I184" i="34"/>
  <c r="H185" i="34"/>
  <c r="I185" i="34"/>
  <c r="J185" i="34"/>
  <c r="I187" i="34"/>
  <c r="H188" i="34"/>
  <c r="I188" i="34"/>
  <c r="J188" i="34"/>
  <c r="H193" i="34"/>
  <c r="J193" i="34"/>
  <c r="I193" i="34"/>
  <c r="H198" i="34"/>
  <c r="I198" i="34"/>
  <c r="J198" i="34"/>
  <c r="H199" i="34"/>
  <c r="I199" i="34"/>
  <c r="J199" i="34"/>
  <c r="N184" i="34"/>
  <c r="O184" i="34"/>
  <c r="P184" i="34"/>
  <c r="N185" i="34"/>
  <c r="O185" i="34"/>
  <c r="P185" i="34"/>
  <c r="M10" i="34"/>
  <c r="N11" i="34"/>
  <c r="AK11" i="34"/>
  <c r="M11" i="34"/>
  <c r="N12" i="34"/>
  <c r="AK12" i="34"/>
  <c r="M12" i="34"/>
  <c r="N13" i="34"/>
  <c r="AK13" i="34"/>
  <c r="M13" i="34"/>
  <c r="N14" i="34"/>
  <c r="AK14" i="34"/>
  <c r="M14" i="34"/>
  <c r="N15" i="34"/>
  <c r="AK15" i="34"/>
  <c r="M15" i="34"/>
  <c r="N16" i="34"/>
  <c r="AK16" i="34"/>
  <c r="M16" i="34"/>
  <c r="N17" i="34"/>
  <c r="AK17" i="34"/>
  <c r="M17" i="34"/>
  <c r="N18" i="34"/>
  <c r="AK18" i="34"/>
  <c r="M18" i="34"/>
  <c r="N19" i="34"/>
  <c r="AK19" i="34"/>
  <c r="M19" i="34"/>
  <c r="N20" i="34"/>
  <c r="AK20" i="34"/>
  <c r="M20" i="34"/>
  <c r="N21" i="34"/>
  <c r="AK21" i="34"/>
  <c r="M21" i="34"/>
  <c r="N22" i="34"/>
  <c r="AK22" i="34"/>
  <c r="M22" i="34"/>
  <c r="N23" i="34"/>
  <c r="AK23" i="34"/>
  <c r="M23" i="34"/>
  <c r="N24" i="34"/>
  <c r="AK24" i="34"/>
  <c r="M24" i="34"/>
  <c r="N25" i="34"/>
  <c r="AK25" i="34"/>
  <c r="N187" i="34"/>
  <c r="O11" i="34"/>
  <c r="AL12" i="34"/>
  <c r="O12" i="34"/>
  <c r="AL13" i="34"/>
  <c r="O13" i="34"/>
  <c r="AL14" i="34"/>
  <c r="O14" i="34"/>
  <c r="AL15" i="34"/>
  <c r="O15" i="34"/>
  <c r="AL16" i="34"/>
  <c r="O16" i="34"/>
  <c r="AL17" i="34"/>
  <c r="O17" i="34"/>
  <c r="AL18" i="34"/>
  <c r="O18" i="34"/>
  <c r="AL19" i="34"/>
  <c r="O19" i="34"/>
  <c r="AL20" i="34"/>
  <c r="O20" i="34"/>
  <c r="AL21" i="34"/>
  <c r="O21" i="34"/>
  <c r="AL22" i="34"/>
  <c r="O22" i="34"/>
  <c r="AL23" i="34"/>
  <c r="O23" i="34"/>
  <c r="AL24" i="34"/>
  <c r="O24" i="34"/>
  <c r="AL25" i="34"/>
  <c r="O187" i="34"/>
  <c r="P11" i="34"/>
  <c r="AM11" i="34"/>
  <c r="P12" i="34"/>
  <c r="AM12" i="34"/>
  <c r="P13" i="34"/>
  <c r="AM13" i="34"/>
  <c r="P14" i="34"/>
  <c r="AM14" i="34"/>
  <c r="P15" i="34"/>
  <c r="AM15" i="34"/>
  <c r="P16" i="34"/>
  <c r="AM16" i="34"/>
  <c r="P17" i="34"/>
  <c r="AM17" i="34"/>
  <c r="P18" i="34"/>
  <c r="AM18" i="34"/>
  <c r="P19" i="34"/>
  <c r="AM19" i="34"/>
  <c r="P20" i="34"/>
  <c r="AM20" i="34"/>
  <c r="P21" i="34"/>
  <c r="AM21" i="34"/>
  <c r="P22" i="34"/>
  <c r="AM22" i="34"/>
  <c r="P23" i="34"/>
  <c r="AM23" i="34"/>
  <c r="P24" i="34"/>
  <c r="AM24" i="34"/>
  <c r="P25" i="34"/>
  <c r="AM25" i="34"/>
  <c r="P187" i="34"/>
  <c r="N188" i="34"/>
  <c r="O188" i="34"/>
  <c r="P188" i="34"/>
  <c r="N192" i="34"/>
  <c r="O192" i="34"/>
  <c r="P192" i="34"/>
  <c r="N193" i="34"/>
  <c r="P193" i="34"/>
  <c r="O193" i="34"/>
  <c r="N199" i="34"/>
  <c r="O199" i="34"/>
  <c r="P199" i="34"/>
  <c r="Z192" i="34"/>
  <c r="AA192" i="34"/>
  <c r="E198" i="34"/>
  <c r="Z198" i="34"/>
  <c r="AA198" i="34"/>
  <c r="F13" i="35"/>
  <c r="F22" i="35"/>
  <c r="F28" i="35"/>
  <c r="F34" i="35"/>
  <c r="Q192" i="25"/>
  <c r="Q198" i="25"/>
  <c r="F14" i="27"/>
  <c r="G14" i="27"/>
  <c r="H14" i="27"/>
  <c r="F23" i="27"/>
  <c r="G23" i="27"/>
  <c r="H23" i="27"/>
  <c r="F29" i="27"/>
  <c r="G29" i="27"/>
  <c r="H29" i="27"/>
  <c r="F35" i="27"/>
  <c r="G35" i="27"/>
  <c r="H35" i="27"/>
  <c r="N13" i="27"/>
  <c r="N22" i="27"/>
  <c r="N28" i="27"/>
  <c r="N34" i="27"/>
  <c r="F13" i="36"/>
  <c r="F22" i="36"/>
  <c r="F28" i="36"/>
  <c r="E12" i="37"/>
  <c r="V184" i="34"/>
  <c r="V187" i="34"/>
  <c r="V192" i="34"/>
  <c r="V198" i="34"/>
  <c r="E33" i="37"/>
  <c r="F13" i="37"/>
  <c r="G13" i="37"/>
  <c r="H13" i="37"/>
  <c r="F22" i="37"/>
  <c r="G22" i="37"/>
  <c r="H22" i="37"/>
  <c r="F28" i="37"/>
  <c r="G28" i="37"/>
  <c r="H28" i="37"/>
  <c r="F33" i="37"/>
  <c r="H33" i="37"/>
  <c r="G33" i="37"/>
  <c r="F34" i="37"/>
  <c r="G34" i="37"/>
  <c r="H34" i="37"/>
  <c r="K27" i="37"/>
  <c r="L27" i="37"/>
  <c r="M27" i="37"/>
  <c r="K28" i="37"/>
  <c r="M28" i="37"/>
  <c r="L28" i="37"/>
  <c r="K34" i="37"/>
  <c r="L34" i="37"/>
  <c r="M34" i="37"/>
  <c r="T12" i="37"/>
  <c r="T21" i="37"/>
  <c r="T27" i="37"/>
  <c r="C33" i="37"/>
  <c r="T33" i="37"/>
  <c r="C36" i="33"/>
  <c r="F36" i="33"/>
  <c r="I51" i="35"/>
  <c r="I52" i="35"/>
  <c r="I45" i="35"/>
  <c r="I46" i="35"/>
  <c r="K51" i="35"/>
  <c r="K52" i="35"/>
  <c r="K45" i="35"/>
  <c r="K46" i="35"/>
  <c r="I60" i="35"/>
  <c r="K60" i="35"/>
  <c r="K61" i="35"/>
  <c r="I61" i="35"/>
  <c r="I63" i="35"/>
  <c r="K63" i="35"/>
  <c r="K64" i="35"/>
  <c r="I64" i="35"/>
  <c r="I66" i="35"/>
  <c r="K66" i="35"/>
  <c r="K67" i="35"/>
  <c r="I67" i="35"/>
  <c r="I69" i="35"/>
  <c r="K69" i="35"/>
  <c r="K70" i="35"/>
  <c r="I70" i="35"/>
  <c r="I75" i="35"/>
  <c r="K75" i="35"/>
  <c r="K76" i="35"/>
  <c r="I76" i="35"/>
  <c r="I78" i="35"/>
  <c r="K78" i="35"/>
  <c r="K79" i="35"/>
  <c r="I79" i="35"/>
  <c r="R49" i="36"/>
  <c r="Q49" i="36"/>
  <c r="E39" i="36"/>
  <c r="F39" i="36"/>
  <c r="G39" i="36"/>
  <c r="G40" i="36"/>
  <c r="F40" i="36"/>
  <c r="E40" i="36"/>
  <c r="D54" i="41"/>
  <c r="E54" i="41"/>
  <c r="J54" i="41"/>
  <c r="L54" i="41"/>
  <c r="M222" i="25"/>
  <c r="I55" i="27"/>
  <c r="B54" i="52"/>
  <c r="I54" i="52"/>
  <c r="P54" i="52"/>
  <c r="O54" i="52"/>
  <c r="F33" i="41"/>
  <c r="K33" i="41"/>
  <c r="F30" i="41"/>
  <c r="K30" i="41"/>
  <c r="E30" i="36"/>
  <c r="G30" i="36"/>
  <c r="G31" i="36"/>
  <c r="E31" i="36"/>
  <c r="K54" i="36"/>
  <c r="K55" i="36"/>
  <c r="M54" i="36"/>
  <c r="M55" i="36"/>
  <c r="M54" i="52"/>
  <c r="E30" i="41"/>
  <c r="E33" i="41"/>
  <c r="G210" i="34"/>
  <c r="D42" i="37"/>
  <c r="B42" i="41"/>
  <c r="J42" i="41"/>
  <c r="L42" i="41"/>
  <c r="F42" i="41"/>
  <c r="K42" i="41"/>
  <c r="C42" i="41"/>
  <c r="D42" i="41"/>
  <c r="E42" i="41"/>
  <c r="G204" i="34"/>
  <c r="D39" i="37"/>
  <c r="B39" i="41"/>
  <c r="J39" i="41"/>
  <c r="L39" i="41"/>
  <c r="C39" i="41"/>
  <c r="D39" i="41"/>
  <c r="F39" i="41"/>
  <c r="K39" i="41"/>
  <c r="E39" i="41"/>
</calcChain>
</file>

<file path=xl/comments1.xml><?xml version="1.0" encoding="utf-8"?>
<comments xmlns="http://schemas.openxmlformats.org/spreadsheetml/2006/main">
  <authors>
    <author>Gabriel Zucman</author>
  </authors>
  <commentList>
    <comment ref="F7" authorId="0">
      <text>
        <r>
          <rPr>
            <b/>
            <sz val="9"/>
            <color indexed="81"/>
            <rFont val="Calibri"/>
            <family val="2"/>
          </rPr>
          <t>Gabriel Zucman:</t>
        </r>
        <r>
          <rPr>
            <sz val="9"/>
            <color indexed="81"/>
            <rFont val="Calibri"/>
            <family val="2"/>
          </rPr>
          <t xml:space="preserve">
1700-1810: constructed to be consistent with 30-40-50% profile of assets/income</t>
        </r>
      </text>
    </comment>
  </commentList>
</comments>
</file>

<file path=xl/comments2.xml><?xml version="1.0" encoding="utf-8"?>
<comments xmlns="http://schemas.openxmlformats.org/spreadsheetml/2006/main">
  <authors>
    <author>Gabriel Zucman</author>
  </authors>
  <commentList>
    <comment ref="R8" authorId="0">
      <text>
        <r>
          <rPr>
            <b/>
            <sz val="9"/>
            <color indexed="81"/>
            <rFont val="Arial"/>
            <family val="2"/>
          </rPr>
          <t>Gabriel Zucman:</t>
        </r>
        <r>
          <rPr>
            <sz val="9"/>
            <color indexed="81"/>
            <rFont val="Arial"/>
          </rPr>
          <t xml:space="preserve">
Timber &amp; non timber</t>
        </r>
      </text>
    </comment>
  </commentList>
</comments>
</file>

<file path=xl/comments3.xml><?xml version="1.0" encoding="utf-8"?>
<comments xmlns="http://schemas.openxmlformats.org/spreadsheetml/2006/main">
  <authors>
    <author>Gabriel Zucman</author>
  </authors>
  <commentList>
    <comment ref="G120" authorId="0">
      <text>
        <r>
          <rPr>
            <b/>
            <sz val="9"/>
            <color indexed="81"/>
            <rFont val="Calibri"/>
            <family val="2"/>
          </rPr>
          <t>Gabriel Zucman:</t>
        </r>
        <r>
          <rPr>
            <sz val="9"/>
            <color indexed="81"/>
            <rFont val="Calibri"/>
            <family val="2"/>
          </rPr>
          <t xml:space="preserve">
MFOS have 23.31</t>
        </r>
      </text>
    </comment>
    <comment ref="G130" authorId="0">
      <text>
        <r>
          <rPr>
            <b/>
            <sz val="9"/>
            <color indexed="81"/>
            <rFont val="Calibri"/>
            <family val="2"/>
          </rPr>
          <t>Gabriel Zucman:</t>
        </r>
        <r>
          <rPr>
            <sz val="9"/>
            <color indexed="81"/>
            <rFont val="Calibri"/>
            <family val="2"/>
          </rPr>
          <t xml:space="preserve">
MFOS have 22.4</t>
        </r>
      </text>
    </comment>
  </commentList>
</comments>
</file>

<file path=xl/comments4.xml><?xml version="1.0" encoding="utf-8"?>
<comments xmlns="http://schemas.openxmlformats.org/spreadsheetml/2006/main">
  <authors>
    <author>Gabriel Zucman</author>
  </authors>
  <commentList>
    <comment ref="D83" authorId="0">
      <text>
        <r>
          <rPr>
            <b/>
            <sz val="9"/>
            <color indexed="81"/>
            <rFont val="Calibri"/>
            <family val="2"/>
          </rPr>
          <t>Gabriel Zucman:</t>
        </r>
        <r>
          <rPr>
            <sz val="9"/>
            <color indexed="81"/>
            <rFont val="Calibri"/>
            <family val="2"/>
          </rPr>
          <t xml:space="preserve">
4466 in Mitchell but likely a typo</t>
        </r>
      </text>
    </comment>
    <comment ref="E194" authorId="0">
      <text>
        <r>
          <rPr>
            <b/>
            <sz val="9"/>
            <color indexed="81"/>
            <rFont val="Calibri"/>
            <family val="2"/>
          </rPr>
          <t>Gabriel Zucman:</t>
        </r>
        <r>
          <rPr>
            <sz val="9"/>
            <color indexed="81"/>
            <rFont val="Calibri"/>
            <family val="2"/>
          </rPr>
          <t xml:space="preserve">
7.9 in Mitchell but likely a typo</t>
        </r>
      </text>
    </comment>
    <comment ref="K233" authorId="0">
      <text>
        <r>
          <rPr>
            <b/>
            <sz val="9"/>
            <color indexed="81"/>
            <rFont val="Calibri"/>
            <family val="2"/>
          </rPr>
          <t>Gabriel Zucman:</t>
        </r>
        <r>
          <rPr>
            <sz val="9"/>
            <color indexed="81"/>
            <rFont val="Calibri"/>
            <family val="2"/>
          </rPr>
          <t xml:space="preserve">
Mitchell reports 580.6 but this is at odds with interest payments</t>
        </r>
      </text>
    </comment>
  </commentList>
</comments>
</file>

<file path=xl/sharedStrings.xml><?xml version="1.0" encoding="utf-8"?>
<sst xmlns="http://schemas.openxmlformats.org/spreadsheetml/2006/main" count="2858" uniqueCount="1522">
  <si>
    <t>National wealth (book value) (pre-ESA95 BB) (excluding NMTRs)</t>
  </si>
  <si>
    <t>National wealth (market value)</t>
  </si>
  <si>
    <t>Note: The difference btw the series come from the fact that the pre-1988 BB national wealth series reported by Atkinson seems to underestimate somewhat public sector assets (to be improved)</t>
  </si>
  <si>
    <t>Note: There are two offsetting differences between Feinstein and Blake-Orsag: Feinstein includes dwellings owned by govt and corporations, but excludes land value (he simply cumulates investment flows)</t>
  </si>
  <si>
    <t>Stocks and work in progress</t>
  </si>
  <si>
    <t>1855-1965: Feinstein 1972 Table 49 p.T110 (for 1856-1913, Feinstein assumes this equal to 40% of GDP)</t>
  </si>
  <si>
    <t>Note: It is interesting to see that stocks represent a non negligible wealth value and require permanent savings</t>
  </si>
  <si>
    <t>NKIY</t>
  </si>
  <si>
    <t>incl. Equity liabilities</t>
  </si>
  <si>
    <t>Net corporate wealth (% market-value national wealth)</t>
  </si>
  <si>
    <r>
      <t>Net corporatewealth</t>
    </r>
    <r>
      <rPr>
        <sz val="10"/>
        <rFont val="Arial"/>
      </rPr>
      <t xml:space="preserve"> </t>
    </r>
    <r>
      <rPr>
        <sz val="9"/>
        <rFont val="Arial Narrow"/>
      </rPr>
      <t xml:space="preserve">(book value  minus market value of corporations) </t>
    </r>
  </si>
  <si>
    <t>incl. household agricultural assets</t>
  </si>
  <si>
    <t>CGRJ</t>
  </si>
  <si>
    <t>Agricultural assets/ national income</t>
  </si>
  <si>
    <t>Housing wealth: Solomou-Weale</t>
  </si>
  <si>
    <t>Farms: Solomou-Weale</t>
  </si>
  <si>
    <t>Non-farm business capital: Solomou-Weale</t>
  </si>
  <si>
    <t>Total non-financlal assets: Solomou-Weale</t>
  </si>
  <si>
    <t>Net foreign wealth (% National wealth)</t>
  </si>
  <si>
    <t>Financial  (non-equity) liabilities</t>
  </si>
  <si>
    <t>Net foreign wealth</t>
  </si>
  <si>
    <t>Foreign assets owned by UK residents</t>
  </si>
  <si>
    <t>inc. foreign equity owned by UK residents</t>
  </si>
  <si>
    <t>UK assets owned by foreign residents</t>
  </si>
  <si>
    <t>inc. UK equity owned by foreign residents</t>
  </si>
  <si>
    <r>
      <t>(% national income Y</t>
    </r>
    <r>
      <rPr>
        <vertAlign val="subscript"/>
        <sz val="10"/>
        <rFont val="Arial"/>
        <family val="2"/>
      </rPr>
      <t>t</t>
    </r>
    <r>
      <rPr>
        <sz val="12"/>
        <color indexed="8"/>
        <rFont val="Calibri"/>
        <family val="2"/>
      </rPr>
      <t>)</t>
    </r>
  </si>
  <si>
    <r>
      <t>NW</t>
    </r>
    <r>
      <rPr>
        <b/>
        <vertAlign val="subscript"/>
        <sz val="10"/>
        <rFont val="Arial"/>
        <family val="2"/>
      </rPr>
      <t>ct</t>
    </r>
  </si>
  <si>
    <r>
      <t>K</t>
    </r>
    <r>
      <rPr>
        <vertAlign val="subscript"/>
        <sz val="10"/>
        <rFont val="Arial"/>
        <family val="2"/>
      </rPr>
      <t>ct</t>
    </r>
  </si>
  <si>
    <r>
      <t>A</t>
    </r>
    <r>
      <rPr>
        <vertAlign val="subscript"/>
        <sz val="10"/>
        <rFont val="Arial"/>
        <family val="2"/>
      </rPr>
      <t>ct</t>
    </r>
  </si>
  <si>
    <r>
      <t>L</t>
    </r>
    <r>
      <rPr>
        <vertAlign val="subscript"/>
        <sz val="10"/>
        <rFont val="Arial"/>
        <family val="2"/>
      </rPr>
      <t>ct</t>
    </r>
    <r>
      <rPr>
        <vertAlign val="superscript"/>
        <sz val="10"/>
        <rFont val="Arial"/>
        <family val="2"/>
      </rPr>
      <t>d</t>
    </r>
  </si>
  <si>
    <r>
      <t>W</t>
    </r>
    <r>
      <rPr>
        <b/>
        <vertAlign val="subscript"/>
        <sz val="10"/>
        <rFont val="Arial"/>
        <family val="2"/>
      </rPr>
      <t>Ft</t>
    </r>
  </si>
  <si>
    <r>
      <t>FA</t>
    </r>
    <r>
      <rPr>
        <vertAlign val="subscript"/>
        <sz val="10"/>
        <rFont val="Arial"/>
        <family val="2"/>
      </rPr>
      <t>t</t>
    </r>
  </si>
  <si>
    <r>
      <t>FA</t>
    </r>
    <r>
      <rPr>
        <i/>
        <vertAlign val="subscript"/>
        <sz val="10"/>
        <rFont val="Arial"/>
        <family val="2"/>
      </rPr>
      <t>t</t>
    </r>
    <r>
      <rPr>
        <i/>
        <vertAlign val="superscript"/>
        <sz val="10"/>
        <rFont val="Arial"/>
        <family val="2"/>
      </rPr>
      <t>e</t>
    </r>
    <r>
      <rPr>
        <i/>
        <sz val="10"/>
        <rFont val="Arial"/>
      </rPr>
      <t xml:space="preserve"> </t>
    </r>
  </si>
  <si>
    <r>
      <t>FL</t>
    </r>
    <r>
      <rPr>
        <vertAlign val="subscript"/>
        <sz val="10"/>
        <rFont val="Arial"/>
        <family val="2"/>
      </rPr>
      <t>t</t>
    </r>
  </si>
  <si>
    <r>
      <t>FL</t>
    </r>
    <r>
      <rPr>
        <i/>
        <vertAlign val="subscript"/>
        <sz val="10"/>
        <rFont val="Arial"/>
        <family val="2"/>
      </rPr>
      <t>t</t>
    </r>
    <r>
      <rPr>
        <i/>
        <vertAlign val="superscript"/>
        <sz val="10"/>
        <rFont val="Arial"/>
        <family val="2"/>
      </rPr>
      <t>e</t>
    </r>
    <r>
      <rPr>
        <i/>
        <sz val="10"/>
        <rFont val="Arial"/>
      </rPr>
      <t xml:space="preserve"> </t>
    </r>
  </si>
  <si>
    <t>incl. household residential buildings</t>
  </si>
  <si>
    <t>incl. mortgage debt</t>
  </si>
  <si>
    <t>NNRP</t>
  </si>
  <si>
    <t>IV8X</t>
  </si>
  <si>
    <t>Unadjusted interest paid  (household sector)</t>
  </si>
  <si>
    <t>FISIM paid (household sector)</t>
  </si>
  <si>
    <t xml:space="preserve">Product taxes </t>
  </si>
  <si>
    <t>Household sector (housing)</t>
  </si>
  <si>
    <t>Corporate sector</t>
  </si>
  <si>
    <t>Non-financial corporations</t>
  </si>
  <si>
    <t>Financial corporations</t>
  </si>
  <si>
    <t>Government sector</t>
  </si>
  <si>
    <t>Corporate Wealth (January 1st of each year)</t>
  </si>
  <si>
    <t>Foreign Wealth (January 1st of each year)</t>
  </si>
  <si>
    <t>Notations</t>
  </si>
  <si>
    <t>Gross domestic product</t>
  </si>
  <si>
    <t>Capital depreciation (CFC)</t>
  </si>
  <si>
    <t>Product taxes   (total)</t>
  </si>
  <si>
    <t xml:space="preserve">Taxes on products (net of subsidies) </t>
  </si>
  <si>
    <t>Capital depreciation (CFC, housing sector)</t>
  </si>
  <si>
    <t>Net domestic product (corporate sector)</t>
  </si>
  <si>
    <t>Gross value added (corporate sector)</t>
  </si>
  <si>
    <t xml:space="preserve">Gross corporate profits </t>
  </si>
  <si>
    <t>Wages &amp; social contributions paid by corporations</t>
  </si>
  <si>
    <t>Capital depreciation (CFC, corporate sector)</t>
  </si>
  <si>
    <t xml:space="preserve">Gross value added </t>
  </si>
  <si>
    <t>Gross profits</t>
  </si>
  <si>
    <t>Wages &amp; social contributions</t>
  </si>
  <si>
    <t>Net domestic product (govt sector)</t>
  </si>
  <si>
    <t>Gross value added (govt sector)</t>
  </si>
  <si>
    <t xml:space="preserve">Wages &amp; social contributions paid by govt </t>
  </si>
  <si>
    <t>Capital depreciation (CFC, govt sector)</t>
  </si>
  <si>
    <t>Net foreign capital income</t>
  </si>
  <si>
    <t>Foreign capital income inflow (interest, dividend and other property income)</t>
  </si>
  <si>
    <t>Foreign capital income outflow (interest, dividend and other property income)</t>
  </si>
  <si>
    <t xml:space="preserve">Net foreign labor income </t>
  </si>
  <si>
    <t xml:space="preserve">Foreign labor income inflow </t>
  </si>
  <si>
    <t xml:space="preserve">Foreign labor income outflow </t>
  </si>
  <si>
    <t>Total capital income</t>
  </si>
  <si>
    <t>Product taxes</t>
  </si>
  <si>
    <t>Government nonfinancial assets</t>
  </si>
  <si>
    <t>Population (thousands)</t>
  </si>
  <si>
    <t>Share 0-19-yr-old in living population</t>
  </si>
  <si>
    <t>D21+D31+D29+D39</t>
  </si>
  <si>
    <t>D21+D31</t>
  </si>
  <si>
    <t>D29+D39</t>
  </si>
  <si>
    <t>B2n=B2-K1</t>
  </si>
  <si>
    <t>B3+D1-K1</t>
  </si>
  <si>
    <t>B3+D1</t>
  </si>
  <si>
    <t>D1</t>
  </si>
  <si>
    <t>B2+D1-K1</t>
  </si>
  <si>
    <t>B2+D1</t>
  </si>
  <si>
    <t>D1+K1</t>
  </si>
  <si>
    <t>D4 (net)</t>
  </si>
  <si>
    <t>D4</t>
  </si>
  <si>
    <t>D1 (net)</t>
  </si>
  <si>
    <t>AN.</t>
  </si>
  <si>
    <t>AF.</t>
  </si>
  <si>
    <t>AF.5</t>
  </si>
  <si>
    <t>PF.</t>
  </si>
  <si>
    <t>PF.5</t>
  </si>
  <si>
    <r>
      <t>Y</t>
    </r>
    <r>
      <rPr>
        <b/>
        <vertAlign val="subscript"/>
        <sz val="10"/>
        <rFont val="Arial"/>
        <family val="2"/>
      </rPr>
      <t>t</t>
    </r>
  </si>
  <si>
    <r>
      <t>FY</t>
    </r>
    <r>
      <rPr>
        <vertAlign val="subscript"/>
        <sz val="10"/>
        <rFont val="Arial"/>
        <family val="2"/>
      </rPr>
      <t>t</t>
    </r>
  </si>
  <si>
    <r>
      <t>Y</t>
    </r>
    <r>
      <rPr>
        <b/>
        <vertAlign val="subscript"/>
        <sz val="10"/>
        <rFont val="Arial"/>
        <family val="2"/>
      </rPr>
      <t>dt</t>
    </r>
  </si>
  <si>
    <r>
      <t>GDP</t>
    </r>
    <r>
      <rPr>
        <vertAlign val="subscript"/>
        <sz val="10"/>
        <rFont val="Arial"/>
        <family val="2"/>
      </rPr>
      <t>t</t>
    </r>
  </si>
  <si>
    <r>
      <t>KD</t>
    </r>
    <r>
      <rPr>
        <vertAlign val="subscript"/>
        <sz val="10"/>
        <rFont val="Arial"/>
        <family val="2"/>
      </rPr>
      <t>t</t>
    </r>
  </si>
  <si>
    <r>
      <t>T</t>
    </r>
    <r>
      <rPr>
        <b/>
        <vertAlign val="subscript"/>
        <sz val="10"/>
        <rFont val="Arial"/>
        <family val="2"/>
      </rPr>
      <t>pt</t>
    </r>
  </si>
  <si>
    <r>
      <t>Y</t>
    </r>
    <r>
      <rPr>
        <b/>
        <vertAlign val="subscript"/>
        <sz val="10"/>
        <rFont val="Arial"/>
        <family val="2"/>
      </rPr>
      <t>ht</t>
    </r>
  </si>
  <si>
    <r>
      <t>Y</t>
    </r>
    <r>
      <rPr>
        <b/>
        <vertAlign val="subscript"/>
        <sz val="10"/>
        <rFont val="Arial"/>
        <family val="2"/>
      </rPr>
      <t>ct</t>
    </r>
  </si>
  <si>
    <r>
      <t>Y</t>
    </r>
    <r>
      <rPr>
        <b/>
        <vertAlign val="subscript"/>
        <sz val="10"/>
        <rFont val="Arial"/>
        <family val="2"/>
      </rPr>
      <t>gt</t>
    </r>
  </si>
  <si>
    <r>
      <t>Y</t>
    </r>
    <r>
      <rPr>
        <b/>
        <vertAlign val="subscript"/>
        <sz val="10"/>
        <rFont val="Arial"/>
        <family val="2"/>
      </rPr>
      <t>Kct</t>
    </r>
  </si>
  <si>
    <r>
      <t>FY</t>
    </r>
    <r>
      <rPr>
        <b/>
        <vertAlign val="subscript"/>
        <sz val="10"/>
        <rFont val="Arial"/>
        <family val="2"/>
      </rPr>
      <t>Kt</t>
    </r>
    <r>
      <rPr>
        <b/>
        <sz val="10"/>
        <rFont val="Arial"/>
      </rPr>
      <t xml:space="preserve"> </t>
    </r>
  </si>
  <si>
    <r>
      <t>FY</t>
    </r>
    <r>
      <rPr>
        <b/>
        <vertAlign val="subscript"/>
        <sz val="10"/>
        <rFont val="Arial"/>
        <family val="2"/>
      </rPr>
      <t>Lt</t>
    </r>
    <r>
      <rPr>
        <b/>
        <sz val="10"/>
        <rFont val="Arial"/>
      </rPr>
      <t xml:space="preserve"> </t>
    </r>
  </si>
  <si>
    <r>
      <t>Y</t>
    </r>
    <r>
      <rPr>
        <b/>
        <vertAlign val="subscript"/>
        <sz val="10"/>
        <rFont val="Arial"/>
        <family val="2"/>
      </rPr>
      <t>Kt</t>
    </r>
    <r>
      <rPr>
        <b/>
        <sz val="10"/>
        <rFont val="Arial"/>
      </rPr>
      <t>*</t>
    </r>
  </si>
  <si>
    <r>
      <t>Y</t>
    </r>
    <r>
      <rPr>
        <vertAlign val="subscript"/>
        <sz val="10"/>
        <rFont val="Arial"/>
        <family val="2"/>
      </rPr>
      <t>Kct</t>
    </r>
  </si>
  <si>
    <r>
      <t>Y</t>
    </r>
    <r>
      <rPr>
        <vertAlign val="subscript"/>
        <sz val="10"/>
        <rFont val="Arial"/>
        <family val="2"/>
      </rPr>
      <t>ht</t>
    </r>
  </si>
  <si>
    <r>
      <t>Y</t>
    </r>
    <r>
      <rPr>
        <vertAlign val="subscript"/>
        <sz val="10"/>
        <rFont val="Arial"/>
        <family val="2"/>
      </rPr>
      <t>Kset</t>
    </r>
  </si>
  <si>
    <r>
      <t>Y</t>
    </r>
    <r>
      <rPr>
        <vertAlign val="subscript"/>
        <sz val="10"/>
        <rFont val="Arial"/>
        <family val="2"/>
      </rPr>
      <t>Kgt</t>
    </r>
  </si>
  <si>
    <r>
      <t>Y</t>
    </r>
    <r>
      <rPr>
        <b/>
        <vertAlign val="subscript"/>
        <sz val="10"/>
        <rFont val="Arial"/>
        <family val="2"/>
      </rPr>
      <t>Lt</t>
    </r>
  </si>
  <si>
    <r>
      <t>Y</t>
    </r>
    <r>
      <rPr>
        <vertAlign val="subscript"/>
        <sz val="10"/>
        <rFont val="Arial"/>
        <family val="2"/>
      </rPr>
      <t>Lct</t>
    </r>
  </si>
  <si>
    <r>
      <t>Y</t>
    </r>
    <r>
      <rPr>
        <vertAlign val="subscript"/>
        <sz val="10"/>
        <rFont val="Arial"/>
        <family val="2"/>
      </rPr>
      <t>gt</t>
    </r>
  </si>
  <si>
    <r>
      <t>Y</t>
    </r>
    <r>
      <rPr>
        <vertAlign val="subscript"/>
        <sz val="10"/>
        <rFont val="Arial"/>
        <family val="2"/>
      </rPr>
      <t>Lset</t>
    </r>
  </si>
  <si>
    <r>
      <t xml:space="preserve"> L</t>
    </r>
    <r>
      <rPr>
        <vertAlign val="subscript"/>
        <sz val="10"/>
        <rFont val="Arial"/>
        <family val="2"/>
      </rPr>
      <t>ct</t>
    </r>
    <r>
      <rPr>
        <vertAlign val="superscript"/>
        <sz val="10"/>
        <rFont val="Arial"/>
        <family val="2"/>
      </rPr>
      <t>e</t>
    </r>
  </si>
  <si>
    <r>
      <t>FA</t>
    </r>
    <r>
      <rPr>
        <vertAlign val="subscript"/>
        <sz val="10"/>
        <rFont val="Arial"/>
        <family val="2"/>
      </rPr>
      <t>t</t>
    </r>
    <r>
      <rPr>
        <vertAlign val="superscript"/>
        <sz val="10"/>
        <rFont val="Arial"/>
        <family val="2"/>
      </rPr>
      <t>e</t>
    </r>
    <r>
      <rPr>
        <sz val="10"/>
        <rFont val="Arial"/>
      </rPr>
      <t xml:space="preserve"> </t>
    </r>
  </si>
  <si>
    <r>
      <t>FL</t>
    </r>
    <r>
      <rPr>
        <vertAlign val="subscript"/>
        <sz val="10"/>
        <rFont val="Arial"/>
        <family val="2"/>
      </rPr>
      <t>t</t>
    </r>
    <r>
      <rPr>
        <vertAlign val="superscript"/>
        <sz val="10"/>
        <rFont val="Arial"/>
        <family val="2"/>
      </rPr>
      <t>e</t>
    </r>
    <r>
      <rPr>
        <sz val="10"/>
        <rFont val="Arial"/>
      </rPr>
      <t xml:space="preserve"> </t>
    </r>
  </si>
  <si>
    <t>[15]</t>
  </si>
  <si>
    <t>[16]</t>
  </si>
  <si>
    <r>
      <t>Ratio (private wealth)/ (national income)        β</t>
    </r>
    <r>
      <rPr>
        <b/>
        <vertAlign val="subscript"/>
        <sz val="10"/>
        <rFont val="Arial"/>
        <family val="2"/>
      </rPr>
      <t>t</t>
    </r>
    <r>
      <rPr>
        <b/>
        <sz val="10"/>
        <rFont val="Arial"/>
      </rPr>
      <t xml:space="preserve"> = W</t>
    </r>
    <r>
      <rPr>
        <b/>
        <vertAlign val="subscript"/>
        <sz val="10"/>
        <rFont val="Arial"/>
        <family val="2"/>
      </rPr>
      <t>t</t>
    </r>
    <r>
      <rPr>
        <b/>
        <sz val="10"/>
        <rFont val="Arial"/>
      </rPr>
      <t>/Y</t>
    </r>
    <r>
      <rPr>
        <b/>
        <vertAlign val="subscript"/>
        <sz val="10"/>
        <rFont val="Arial"/>
        <family val="2"/>
      </rPr>
      <t>t</t>
    </r>
  </si>
  <si>
    <r>
      <t>National income Y</t>
    </r>
    <r>
      <rPr>
        <vertAlign val="subscript"/>
        <sz val="10"/>
        <rFont val="Arial"/>
        <family val="2"/>
      </rPr>
      <t>t</t>
    </r>
    <r>
      <rPr>
        <sz val="10"/>
        <rFont val="Arial"/>
      </rPr>
      <t xml:space="preserve">        </t>
    </r>
  </si>
  <si>
    <r>
      <t>Private wealth W</t>
    </r>
    <r>
      <rPr>
        <vertAlign val="subscript"/>
        <sz val="10"/>
        <rFont val="Arial"/>
        <family val="2"/>
      </rPr>
      <t>t</t>
    </r>
    <r>
      <rPr>
        <sz val="10"/>
        <rFont val="Arial"/>
      </rPr>
      <t xml:space="preserve">        </t>
    </r>
  </si>
  <si>
    <r>
      <t xml:space="preserve">Per capita national income </t>
    </r>
    <r>
      <rPr>
        <sz val="10"/>
        <rFont val="Arial"/>
      </rPr>
      <t xml:space="preserve">     </t>
    </r>
  </si>
  <si>
    <r>
      <t xml:space="preserve">Per capita private wealth </t>
    </r>
    <r>
      <rPr>
        <sz val="10"/>
        <rFont val="Arial"/>
      </rPr>
      <t xml:space="preserve">       </t>
    </r>
  </si>
  <si>
    <r>
      <t>Per adult  national income y</t>
    </r>
    <r>
      <rPr>
        <b/>
        <vertAlign val="subscript"/>
        <sz val="10"/>
        <rFont val="Arial"/>
        <family val="2"/>
      </rPr>
      <t>t</t>
    </r>
    <r>
      <rPr>
        <b/>
        <sz val="10"/>
        <rFont val="Arial"/>
      </rPr>
      <t xml:space="preserve">        </t>
    </r>
  </si>
  <si>
    <r>
      <t>Per adult  private wealth w</t>
    </r>
    <r>
      <rPr>
        <b/>
        <vertAlign val="subscript"/>
        <sz val="10"/>
        <rFont val="Arial"/>
        <family val="2"/>
      </rPr>
      <t>t</t>
    </r>
    <r>
      <rPr>
        <b/>
        <sz val="10"/>
        <rFont val="Arial"/>
      </rPr>
      <t xml:space="preserve">        </t>
    </r>
  </si>
  <si>
    <r>
      <t xml:space="preserve">Per capita national income </t>
    </r>
    <r>
      <rPr>
        <sz val="10"/>
        <rFont val="Arial"/>
      </rPr>
      <t xml:space="preserve">       </t>
    </r>
  </si>
  <si>
    <t>ONS BB codebook</t>
  </si>
  <si>
    <t>ESA95 codebook</t>
  </si>
  <si>
    <t>NQBU</t>
  </si>
  <si>
    <t xml:space="preserve">B2 </t>
  </si>
  <si>
    <t xml:space="preserve">B3 </t>
  </si>
  <si>
    <t>QWLU</t>
  </si>
  <si>
    <t>QWLS</t>
  </si>
  <si>
    <t>CFC/ Housing wealth</t>
  </si>
  <si>
    <t xml:space="preserve">B3n=B3-K1 </t>
  </si>
  <si>
    <t>QWLV</t>
  </si>
  <si>
    <t>QWLT</t>
  </si>
  <si>
    <t>QWLL</t>
  </si>
  <si>
    <t>QWLP</t>
  </si>
  <si>
    <t>QWLQ</t>
  </si>
  <si>
    <t>QWLR</t>
  </si>
  <si>
    <t>Net domestic product (non-corporate business sector)</t>
  </si>
  <si>
    <t>Gross value added (non-corporate busines sector)</t>
  </si>
  <si>
    <t>Net mixed income (self-employment)</t>
  </si>
  <si>
    <t>Gross mixed income (self-employment)</t>
  </si>
  <si>
    <t>Capital depreciation (CFC, non-corporate business sector)</t>
  </si>
  <si>
    <t>D29</t>
  </si>
  <si>
    <t>D39</t>
  </si>
  <si>
    <t>Other taxes on production (household sector)</t>
  </si>
  <si>
    <t>Other subsidies on production  (household sector)</t>
  </si>
  <si>
    <t>Capital depreciation (CFC, household sector)</t>
  </si>
  <si>
    <t>DBGF</t>
  </si>
  <si>
    <t>EACJ</t>
  </si>
  <si>
    <t>FCFV</t>
  </si>
  <si>
    <t>JQJV</t>
  </si>
  <si>
    <t>NQBE</t>
  </si>
  <si>
    <t xml:space="preserve">Other taxes on production </t>
  </si>
  <si>
    <t xml:space="preserve">Other subsidies on production  </t>
  </si>
  <si>
    <t>NHCA</t>
  </si>
  <si>
    <t>NHCE</t>
  </si>
  <si>
    <t>NHCR</t>
  </si>
  <si>
    <t>NHCS</t>
  </si>
  <si>
    <t>NQNV</t>
  </si>
  <si>
    <t>NMXS</t>
  </si>
  <si>
    <t>NMXT</t>
  </si>
  <si>
    <t>NMXU</t>
  </si>
  <si>
    <t>NMXV(=NMXO)</t>
  </si>
  <si>
    <t>QWLY</t>
  </si>
  <si>
    <t xml:space="preserve"> Wages &amp; social contributions received by households</t>
  </si>
  <si>
    <t>Product subsidies</t>
  </si>
  <si>
    <t>D21+D29</t>
  </si>
  <si>
    <t>D31+D39</t>
  </si>
  <si>
    <t>AAXJ</t>
  </si>
  <si>
    <t>HMBN</t>
  </si>
  <si>
    <t>HMBO</t>
  </si>
  <si>
    <t>KTMN</t>
  </si>
  <si>
    <t>KTMO</t>
  </si>
  <si>
    <t>NZGX</t>
  </si>
  <si>
    <t>D2</t>
  </si>
  <si>
    <t>D3</t>
  </si>
  <si>
    <t>Capital depreciat. (CFC)</t>
  </si>
  <si>
    <t>Housing sector</t>
  </si>
  <si>
    <t>Govt sector</t>
  </si>
  <si>
    <t>Foreign sector</t>
  </si>
  <si>
    <r>
      <t>% national income Y</t>
    </r>
    <r>
      <rPr>
        <b/>
        <vertAlign val="subscript"/>
        <sz val="10"/>
        <rFont val="Arial"/>
        <family val="2"/>
      </rPr>
      <t>t</t>
    </r>
  </si>
  <si>
    <t>memo: Wage share in gross corporate product</t>
  </si>
  <si>
    <t>memo: Gross profit share in gross corporate product</t>
  </si>
  <si>
    <t xml:space="preserve"> Corporate wages &amp; social contribut.</t>
  </si>
  <si>
    <t>Net corporate profits</t>
  </si>
  <si>
    <r>
      <t>% net corporate product Y</t>
    </r>
    <r>
      <rPr>
        <b/>
        <vertAlign val="subscript"/>
        <sz val="10"/>
        <rFont val="Arial"/>
        <family val="2"/>
      </rPr>
      <t>ct</t>
    </r>
  </si>
  <si>
    <r>
      <t xml:space="preserve">Wage    share   </t>
    </r>
    <r>
      <rPr>
        <sz val="8"/>
        <rFont val="Arial"/>
        <family val="2"/>
      </rPr>
      <t>(wages &amp; social contributions)</t>
    </r>
  </si>
  <si>
    <r>
      <t xml:space="preserve">Profit share    </t>
    </r>
    <r>
      <rPr>
        <sz val="8"/>
        <rFont val="Arial"/>
        <family val="2"/>
      </rPr>
      <t>(net profits)</t>
    </r>
  </si>
  <si>
    <r>
      <t>Y</t>
    </r>
    <r>
      <rPr>
        <b/>
        <vertAlign val="subscript"/>
        <sz val="10"/>
        <rFont val="Arial"/>
        <family val="2"/>
      </rPr>
      <t>Lct</t>
    </r>
  </si>
  <si>
    <t>including corporate capital income (net corporate profits)</t>
  </si>
  <si>
    <t>including housing capital income (net rents)</t>
  </si>
  <si>
    <t>including net foreign capital income</t>
  </si>
  <si>
    <t>plus: net govt interest payments</t>
  </si>
  <si>
    <t>Total labour income</t>
  </si>
  <si>
    <t xml:space="preserve">including net foreign labor income </t>
  </si>
  <si>
    <t>Capital share</t>
  </si>
  <si>
    <t>Labour share</t>
  </si>
  <si>
    <t>Govt wages/ National income</t>
  </si>
  <si>
    <t>Govt wages/ Total wages</t>
  </si>
  <si>
    <t>Govt expenditure</t>
  </si>
  <si>
    <t>NMBJ</t>
  </si>
  <si>
    <t>NMMT</t>
  </si>
  <si>
    <t>Central govt expenditure</t>
  </si>
  <si>
    <t>Local govt expenditure</t>
  </si>
  <si>
    <t>Govt wages/ Govt expenditure</t>
  </si>
  <si>
    <t>Net mixed income/ Nattional income</t>
  </si>
  <si>
    <t>Non-corp. wages/ National income</t>
  </si>
  <si>
    <r>
      <t>Y</t>
    </r>
    <r>
      <rPr>
        <b/>
        <vertAlign val="subscript"/>
        <sz val="10"/>
        <rFont val="Arial"/>
        <family val="2"/>
      </rPr>
      <t>nct</t>
    </r>
  </si>
  <si>
    <t>sum</t>
  </si>
  <si>
    <t>ratio</t>
  </si>
  <si>
    <t>RVFC</t>
  </si>
  <si>
    <t>YBHA</t>
  </si>
  <si>
    <t>NQAE</t>
  </si>
  <si>
    <t>Capital depreciation (CCF, all sectors)</t>
  </si>
  <si>
    <t>QWMG</t>
  </si>
  <si>
    <t>D41</t>
  </si>
  <si>
    <t>Unadjusted interest paid/ household debt</t>
  </si>
  <si>
    <t>FISIM paid/ household debt</t>
  </si>
  <si>
    <t>Interest paid/ household debt</t>
  </si>
  <si>
    <t xml:space="preserve">Gross operating surplus (gross housing rent minus intermediate consumption, incl. FISIM)  </t>
  </si>
  <si>
    <t>CFC/Gross operating surplus</t>
  </si>
  <si>
    <t>CFC/ Corrected gross operating surplus</t>
  </si>
  <si>
    <t>B2n=B2-K1 +Fisim</t>
  </si>
  <si>
    <t>B2+Fisim</t>
  </si>
  <si>
    <t xml:space="preserve">Corrected gross value added (gross value added - FISIM on mortgage) </t>
  </si>
  <si>
    <t>B2+D1 + Fisim</t>
  </si>
  <si>
    <t>FISIM paid on mortgage debt</t>
  </si>
  <si>
    <t>Corrected goss profits (gross profits minus FISIM on mortgage</t>
  </si>
  <si>
    <t>Corrected gross corporate profits (gross profits minus FISIM on mortgage)</t>
  </si>
  <si>
    <t>Product tax rate</t>
  </si>
  <si>
    <t>Non-corporate business sector</t>
  </si>
  <si>
    <t>Corporate business sector</t>
  </si>
  <si>
    <t>NMBJ+NMMT</t>
  </si>
  <si>
    <t>KTMW</t>
  </si>
  <si>
    <t>KTMX</t>
  </si>
  <si>
    <t>NQFM</t>
  </si>
  <si>
    <t>NSSG</t>
  </si>
  <si>
    <t>RVFD</t>
  </si>
  <si>
    <t>Household expenditure</t>
  </si>
  <si>
    <t>Gross capital formation</t>
  </si>
  <si>
    <t>Exports</t>
  </si>
  <si>
    <t>Imports</t>
  </si>
  <si>
    <t>Net exports</t>
  </si>
  <si>
    <t>CFC/GDP</t>
  </si>
  <si>
    <t>Consumer price index</t>
  </si>
  <si>
    <t>Income GDP: difference between total and sum</t>
  </si>
  <si>
    <t>Oth. taxes on production (net of subsidies) (govt sector)</t>
  </si>
  <si>
    <t>Oth. taxes on production (net of subsidies) (corporate sector)</t>
  </si>
  <si>
    <t>Oth. taxes on production (net of subsidies) (household sector)</t>
  </si>
  <si>
    <t xml:space="preserve">Oth. taxes on production (net of subsidies) </t>
  </si>
  <si>
    <t>Net foreign prod. taxes and subs.: difference btw total and components</t>
  </si>
  <si>
    <r>
      <t>FT</t>
    </r>
    <r>
      <rPr>
        <b/>
        <vertAlign val="subscript"/>
        <sz val="10"/>
        <rFont val="Arial"/>
        <family val="2"/>
      </rPr>
      <t>t</t>
    </r>
    <r>
      <rPr>
        <b/>
        <sz val="10"/>
        <rFont val="Arial"/>
      </rPr>
      <t xml:space="preserve"> </t>
    </r>
  </si>
  <si>
    <t>Net foreign taxes &amp; transfers</t>
  </si>
  <si>
    <t>Notes</t>
  </si>
  <si>
    <t>Note: 1986 housing CFC was raised by 0.4% GDP (and non-corporate business CFC was reduced accordingly) (see formula), so as to correct for the unplausible, one-shot fall in housing CFC observed in 1986 housing CFC (and the corresponding unplausible one-shot rise in non-corportate business CFC)</t>
  </si>
  <si>
    <t>Note: No decomposition of wage payment by non-corporate vs corporate business is available in BB series 1948-1986; the decomposition given here is based upon the assumption of a fixed 4.0% of national income wage payment by non-corporate businesses (given the relative stability of non-corporate mixed income, this is the most plausible assumption)</t>
  </si>
  <si>
    <t xml:space="preserve">sum </t>
  </si>
  <si>
    <t>Note: Net foreign product taxes and subsidies were computed as the difference between current account total and components (excluding this term); for years 1997-2010, where detailed foreign product taxes and subsidies series are available, the sum and total coincide almost perfectly.</t>
  </si>
  <si>
    <t>Household gross savings</t>
  </si>
  <si>
    <t>Capital transfers received by households</t>
  </si>
  <si>
    <t>Govt assets</t>
  </si>
  <si>
    <t>Govt     debt</t>
  </si>
  <si>
    <t xml:space="preserve">National income </t>
  </si>
  <si>
    <t>incl. Other domestic capital assets</t>
  </si>
  <si>
    <t>incl. Net foreign assets</t>
  </si>
  <si>
    <t>Capital transfers paid by households</t>
  </si>
  <si>
    <t>Household savings</t>
  </si>
  <si>
    <t>NSSH</t>
  </si>
  <si>
    <t>NSSN</t>
  </si>
  <si>
    <t xml:space="preserve">Household gross capital formation </t>
  </si>
  <si>
    <t>Non-produced non-financial assets (acquisitions minus disposals)</t>
  </si>
  <si>
    <t>B8g</t>
  </si>
  <si>
    <t>D9</t>
  </si>
  <si>
    <t>P5</t>
  </si>
  <si>
    <t>K2</t>
  </si>
  <si>
    <t>B9</t>
  </si>
  <si>
    <t>Household net lending or borrowing</t>
  </si>
  <si>
    <t>NSSZ</t>
  </si>
  <si>
    <t>NSSX</t>
  </si>
  <si>
    <t>NSSY</t>
  </si>
  <si>
    <t>1950-1980</t>
  </si>
  <si>
    <t>1980-2010</t>
  </si>
  <si>
    <t xml:space="preserve">(minus) Foreign production subsidies </t>
  </si>
  <si>
    <t xml:space="preserve">(minus) Foreign production taxes </t>
  </si>
  <si>
    <t xml:space="preserve"> - QZOZ</t>
  </si>
  <si>
    <t xml:space="preserve"> - IBJL</t>
  </si>
  <si>
    <t>Income flows with the rest of the world (inflows = flows received from rest of the world)</t>
  </si>
  <si>
    <t>D5+D6+D7+D9 (net inflows)</t>
  </si>
  <si>
    <t>Net foreign taxes &amp; transfers (incl. capital transfers))</t>
  </si>
  <si>
    <t xml:space="preserve">National gross savings = gross capital formation + current account balance </t>
  </si>
  <si>
    <t>Current account balance = net exports + net foreign income + net foreign taxes and transfers</t>
  </si>
  <si>
    <t>Non-fin corp gross savings</t>
  </si>
  <si>
    <t>EABO</t>
  </si>
  <si>
    <t>FCCQ</t>
  </si>
  <si>
    <t>FCFY</t>
  </si>
  <si>
    <t>JRWJ</t>
  </si>
  <si>
    <t>FCCZ</t>
  </si>
  <si>
    <t>NRJD</t>
  </si>
  <si>
    <t>Capital transfers received by non-fin corp</t>
  </si>
  <si>
    <t>Capital transfers paid by non-fin corp</t>
  </si>
  <si>
    <t xml:space="preserve">Non-fin corp gross capital formation </t>
  </si>
  <si>
    <t>Non-fin corp net lending or borrowing</t>
  </si>
  <si>
    <t>Non-fin corp changes in assets: difference btw total and sum</t>
  </si>
  <si>
    <t>NHCQ</t>
  </si>
  <si>
    <t>NHEG</t>
  </si>
  <si>
    <t>NHEI</t>
  </si>
  <si>
    <t>NHDZ</t>
  </si>
  <si>
    <t>NHEC</t>
  </si>
  <si>
    <t>NQOL</t>
  </si>
  <si>
    <t>Central govt net savings</t>
  </si>
  <si>
    <t>Central govt capital depreciation (CCF)</t>
  </si>
  <si>
    <t>NRLS</t>
  </si>
  <si>
    <t>NMEG</t>
  </si>
  <si>
    <t>NSRN</t>
  </si>
  <si>
    <t>Central govt gross savings</t>
  </si>
  <si>
    <t>Note: In 1987-1996, these BB series are internally inconsistent.</t>
  </si>
  <si>
    <t>GDP deflator</t>
  </si>
  <si>
    <t>Mortage debt / Household financial liabilities</t>
  </si>
  <si>
    <t xml:space="preserve">(current pounds) </t>
  </si>
  <si>
    <t xml:space="preserve">(2010 pounds) </t>
  </si>
  <si>
    <t>[17]</t>
  </si>
  <si>
    <t>[18]</t>
  </si>
  <si>
    <t>[19]</t>
  </si>
  <si>
    <t>Adult population (20-yr+)</t>
  </si>
  <si>
    <t xml:space="preserve">Employed population </t>
  </si>
  <si>
    <r>
      <t>N</t>
    </r>
    <r>
      <rPr>
        <vertAlign val="subscript"/>
        <sz val="11"/>
        <rFont val="Arial"/>
        <family val="2"/>
      </rPr>
      <t>t</t>
    </r>
  </si>
  <si>
    <r>
      <t>N</t>
    </r>
    <r>
      <rPr>
        <vertAlign val="subscript"/>
        <sz val="11"/>
        <rFont val="Arial"/>
        <family val="2"/>
      </rPr>
      <t>t</t>
    </r>
    <r>
      <rPr>
        <vertAlign val="superscript"/>
        <sz val="11"/>
        <rFont val="Arial"/>
        <family val="2"/>
      </rPr>
      <t>20+</t>
    </r>
  </si>
  <si>
    <r>
      <t>L</t>
    </r>
    <r>
      <rPr>
        <vertAlign val="subscript"/>
        <sz val="11"/>
        <rFont val="Arial"/>
        <family val="2"/>
      </rPr>
      <t>t</t>
    </r>
  </si>
  <si>
    <t>Employed population</t>
  </si>
  <si>
    <t>Salaried workers</t>
  </si>
  <si>
    <t>DYAY</t>
  </si>
  <si>
    <t>Population (thousands) (mid-year)</t>
  </si>
  <si>
    <t>Method n°2: savings = personal savings</t>
  </si>
  <si>
    <t>Ratio (private wealth)/ (national income)</t>
  </si>
  <si>
    <t>Savings-induced wealth growth rate</t>
  </si>
  <si>
    <t>Real rate of capital gains</t>
  </si>
  <si>
    <t xml:space="preserve">Personal savings rate </t>
  </si>
  <si>
    <t>method 1</t>
  </si>
  <si>
    <t>method 2</t>
  </si>
  <si>
    <t>(billions 2010 £)</t>
  </si>
  <si>
    <t>1970-2010</t>
  </si>
  <si>
    <r>
      <t>National income Y</t>
    </r>
    <r>
      <rPr>
        <vertAlign val="subscript"/>
        <sz val="10"/>
        <rFont val="Arial"/>
        <family val="2"/>
      </rPr>
      <t>t</t>
    </r>
  </si>
  <si>
    <r>
      <t>Private wealth W</t>
    </r>
    <r>
      <rPr>
        <vertAlign val="subscript"/>
        <sz val="10"/>
        <rFont val="Arial"/>
        <family val="2"/>
      </rPr>
      <t>t</t>
    </r>
  </si>
  <si>
    <r>
      <t>Real growth rate of national income g</t>
    </r>
    <r>
      <rPr>
        <vertAlign val="subscript"/>
        <sz val="9"/>
        <rFont val="Arial"/>
        <family val="2"/>
      </rPr>
      <t>t</t>
    </r>
  </si>
  <si>
    <r>
      <t>Real growth rate or private wealth   g</t>
    </r>
    <r>
      <rPr>
        <vertAlign val="subscript"/>
        <sz val="9"/>
        <rFont val="Arial"/>
        <family val="2"/>
      </rPr>
      <t>wt</t>
    </r>
  </si>
  <si>
    <r>
      <t>1+g</t>
    </r>
    <r>
      <rPr>
        <vertAlign val="subscript"/>
        <sz val="10"/>
        <rFont val="Arial"/>
        <family val="2"/>
      </rPr>
      <t>t</t>
    </r>
    <r>
      <rPr>
        <sz val="10"/>
        <rFont val="Arial"/>
      </rPr>
      <t xml:space="preserve"> = Y</t>
    </r>
    <r>
      <rPr>
        <vertAlign val="subscript"/>
        <sz val="10"/>
        <rFont val="Arial"/>
        <family val="2"/>
      </rPr>
      <t>t</t>
    </r>
    <r>
      <rPr>
        <sz val="10"/>
        <rFont val="Arial"/>
      </rPr>
      <t>/Y</t>
    </r>
    <r>
      <rPr>
        <vertAlign val="subscript"/>
        <sz val="10"/>
        <rFont val="Arial"/>
        <family val="2"/>
      </rPr>
      <t>t-1</t>
    </r>
  </si>
  <si>
    <r>
      <t>1+g</t>
    </r>
    <r>
      <rPr>
        <vertAlign val="subscript"/>
        <sz val="10"/>
        <rFont val="Arial"/>
        <family val="2"/>
      </rPr>
      <t>wt</t>
    </r>
    <r>
      <rPr>
        <sz val="10"/>
        <rFont val="Arial"/>
      </rPr>
      <t xml:space="preserve"> = W</t>
    </r>
    <r>
      <rPr>
        <vertAlign val="subscript"/>
        <sz val="10"/>
        <rFont val="Arial"/>
        <family val="2"/>
      </rPr>
      <t>t</t>
    </r>
    <r>
      <rPr>
        <sz val="10"/>
        <rFont val="Arial"/>
      </rPr>
      <t>/W</t>
    </r>
    <r>
      <rPr>
        <vertAlign val="subscript"/>
        <sz val="10"/>
        <rFont val="Arial"/>
        <family val="2"/>
      </rPr>
      <t>t-1</t>
    </r>
  </si>
  <si>
    <r>
      <t>β</t>
    </r>
    <r>
      <rPr>
        <vertAlign val="subscript"/>
        <sz val="10"/>
        <rFont val="Arial"/>
        <family val="2"/>
      </rPr>
      <t>t</t>
    </r>
    <r>
      <rPr>
        <sz val="10"/>
        <rFont val="Arial"/>
      </rPr>
      <t xml:space="preserve"> = W</t>
    </r>
    <r>
      <rPr>
        <vertAlign val="subscript"/>
        <sz val="10"/>
        <rFont val="Arial"/>
        <family val="2"/>
      </rPr>
      <t>t</t>
    </r>
    <r>
      <rPr>
        <sz val="10"/>
        <rFont val="Arial"/>
      </rPr>
      <t>/Y</t>
    </r>
    <r>
      <rPr>
        <vertAlign val="subscript"/>
        <sz val="10"/>
        <rFont val="Arial"/>
        <family val="2"/>
      </rPr>
      <t>t</t>
    </r>
  </si>
  <si>
    <r>
      <t>s</t>
    </r>
    <r>
      <rPr>
        <vertAlign val="subscript"/>
        <sz val="10"/>
        <rFont val="Arial"/>
        <family val="2"/>
      </rPr>
      <t>t</t>
    </r>
    <r>
      <rPr>
        <sz val="10"/>
        <rFont val="Arial"/>
      </rPr>
      <t xml:space="preserve"> = S</t>
    </r>
    <r>
      <rPr>
        <vertAlign val="subscript"/>
        <sz val="10"/>
        <rFont val="Arial"/>
        <family val="2"/>
      </rPr>
      <t>t</t>
    </r>
    <r>
      <rPr>
        <sz val="10"/>
        <rFont val="Arial"/>
      </rPr>
      <t>/Y</t>
    </r>
    <r>
      <rPr>
        <vertAlign val="subscript"/>
        <sz val="10"/>
        <rFont val="Arial"/>
        <family val="2"/>
      </rPr>
      <t>t</t>
    </r>
  </si>
  <si>
    <r>
      <t>q</t>
    </r>
    <r>
      <rPr>
        <vertAlign val="subscript"/>
        <sz val="10"/>
        <rFont val="Arial"/>
        <family val="2"/>
      </rPr>
      <t>t</t>
    </r>
  </si>
  <si>
    <r>
      <t>s</t>
    </r>
    <r>
      <rPr>
        <vertAlign val="subscript"/>
        <sz val="10"/>
        <rFont val="Arial"/>
        <family val="2"/>
      </rPr>
      <t>0t</t>
    </r>
    <r>
      <rPr>
        <sz val="10"/>
        <rFont val="Arial"/>
      </rPr>
      <t xml:space="preserve"> = S</t>
    </r>
    <r>
      <rPr>
        <vertAlign val="subscript"/>
        <sz val="10"/>
        <rFont val="Arial"/>
        <family val="2"/>
      </rPr>
      <t>0t</t>
    </r>
    <r>
      <rPr>
        <sz val="10"/>
        <rFont val="Arial"/>
      </rPr>
      <t>/Y</t>
    </r>
    <r>
      <rPr>
        <vertAlign val="subscript"/>
        <sz val="10"/>
        <rFont val="Arial"/>
        <family val="2"/>
      </rPr>
      <t>t</t>
    </r>
  </si>
  <si>
    <r>
      <t>1+g</t>
    </r>
    <r>
      <rPr>
        <vertAlign val="subscript"/>
        <sz val="10"/>
        <rFont val="Arial"/>
        <family val="2"/>
      </rPr>
      <t>wt</t>
    </r>
  </si>
  <si>
    <r>
      <t>1+g</t>
    </r>
    <r>
      <rPr>
        <vertAlign val="subscript"/>
        <sz val="10"/>
        <rFont val="Arial"/>
        <family val="2"/>
      </rPr>
      <t>wst</t>
    </r>
  </si>
  <si>
    <r>
      <t>1+q</t>
    </r>
    <r>
      <rPr>
        <vertAlign val="subscript"/>
        <sz val="10"/>
        <rFont val="Arial"/>
        <family val="2"/>
      </rPr>
      <t>t</t>
    </r>
  </si>
  <si>
    <r>
      <t>g</t>
    </r>
    <r>
      <rPr>
        <vertAlign val="subscript"/>
        <sz val="10"/>
        <rFont val="Arial"/>
        <family val="2"/>
      </rPr>
      <t>t</t>
    </r>
  </si>
  <si>
    <r>
      <t>g</t>
    </r>
    <r>
      <rPr>
        <vertAlign val="subscript"/>
        <sz val="10"/>
        <rFont val="Arial"/>
        <family val="2"/>
      </rPr>
      <t>wt</t>
    </r>
  </si>
  <si>
    <r>
      <t>s</t>
    </r>
    <r>
      <rPr>
        <vertAlign val="subscript"/>
        <sz val="10"/>
        <rFont val="Arial"/>
        <family val="2"/>
      </rPr>
      <t>t</t>
    </r>
  </si>
  <si>
    <r>
      <t>g</t>
    </r>
    <r>
      <rPr>
        <vertAlign val="subscript"/>
        <sz val="10"/>
        <rFont val="Arial"/>
        <family val="2"/>
      </rPr>
      <t>wst</t>
    </r>
  </si>
  <si>
    <t>Uniform q estimates (method 1b)</t>
  </si>
  <si>
    <t>Uniform q estimates (method 2b)</t>
  </si>
  <si>
    <t>Simulated ratio (private wealth)/ (national income)</t>
  </si>
  <si>
    <t>Uniform real rate of capital gains</t>
  </si>
  <si>
    <t>Uniform q estimates</t>
  </si>
  <si>
    <t>Method 1b</t>
  </si>
  <si>
    <t>Method 2b</t>
  </si>
  <si>
    <t>pred./obs.</t>
  </si>
  <si>
    <t>1950-2010</t>
  </si>
  <si>
    <t>1950-1970</t>
  </si>
  <si>
    <t>1970-1990</t>
  </si>
  <si>
    <t>1990-2010</t>
  </si>
  <si>
    <t>1950-1960</t>
  </si>
  <si>
    <t>1960-1970</t>
  </si>
  <si>
    <t>1970-1980</t>
  </si>
  <si>
    <t>1980-1990</t>
  </si>
  <si>
    <t>1990-2000</t>
  </si>
  <si>
    <t>2000-2010</t>
  </si>
  <si>
    <r>
      <t>g</t>
    </r>
    <r>
      <rPr>
        <vertAlign val="subscript"/>
        <sz val="10"/>
        <rFont val="Arial"/>
        <family val="2"/>
      </rPr>
      <t>wst</t>
    </r>
    <r>
      <rPr>
        <sz val="10"/>
        <rFont val="Arial"/>
      </rPr>
      <t xml:space="preserve"> =        s</t>
    </r>
    <r>
      <rPr>
        <vertAlign val="subscript"/>
        <sz val="10"/>
        <rFont val="Arial"/>
        <family val="2"/>
      </rPr>
      <t>t-1</t>
    </r>
    <r>
      <rPr>
        <sz val="10"/>
        <rFont val="Arial"/>
      </rPr>
      <t>/</t>
    </r>
    <r>
      <rPr>
        <sz val="10"/>
        <rFont val="Arial"/>
      </rPr>
      <t>β</t>
    </r>
    <r>
      <rPr>
        <vertAlign val="subscript"/>
        <sz val="10"/>
        <rFont val="Arial"/>
        <family val="2"/>
      </rPr>
      <t>t-1</t>
    </r>
  </si>
  <si>
    <r>
      <t>g</t>
    </r>
    <r>
      <rPr>
        <vertAlign val="subscript"/>
        <sz val="10"/>
        <rFont val="Arial"/>
        <family val="2"/>
      </rPr>
      <t>wst</t>
    </r>
    <r>
      <rPr>
        <sz val="10"/>
        <rFont val="Arial"/>
      </rPr>
      <t xml:space="preserve"> =  s</t>
    </r>
    <r>
      <rPr>
        <vertAlign val="subscript"/>
        <sz val="10"/>
        <rFont val="Arial"/>
        <family val="2"/>
      </rPr>
      <t>0t-1</t>
    </r>
    <r>
      <rPr>
        <sz val="10"/>
        <rFont val="Arial"/>
      </rPr>
      <t>/</t>
    </r>
    <r>
      <rPr>
        <sz val="10"/>
        <rFont val="Arial"/>
      </rPr>
      <t>β</t>
    </r>
    <r>
      <rPr>
        <vertAlign val="subscript"/>
        <sz val="10"/>
        <rFont val="Arial"/>
        <family val="2"/>
      </rPr>
      <t>t-1</t>
    </r>
  </si>
  <si>
    <t>q</t>
  </si>
  <si>
    <t>1810-2010</t>
  </si>
  <si>
    <r>
      <t xml:space="preserve">Real rate of capital gains </t>
    </r>
    <r>
      <rPr>
        <b/>
        <sz val="10"/>
        <rFont val="Arial"/>
      </rPr>
      <t/>
    </r>
  </si>
  <si>
    <t>(current billions £)</t>
  </si>
  <si>
    <t>Non-financial assets</t>
  </si>
  <si>
    <t>Net foreign asset position (UK vis-a-vis rest of the world)</t>
  </si>
  <si>
    <t>(% national income Y)</t>
  </si>
  <si>
    <t>1967-today: BB, Table 5.1.9</t>
  </si>
  <si>
    <t>1860-9</t>
  </si>
  <si>
    <t>memo: Household durable goods (excluded from wealth)</t>
  </si>
  <si>
    <t>1870-9</t>
  </si>
  <si>
    <t>1880-9</t>
  </si>
  <si>
    <t>1890-9</t>
  </si>
  <si>
    <t>1900-9</t>
  </si>
  <si>
    <t>1910-9</t>
  </si>
  <si>
    <t>1920-9</t>
  </si>
  <si>
    <t>1930-9</t>
  </si>
  <si>
    <t>1940-9</t>
  </si>
  <si>
    <t>1950-9</t>
  </si>
  <si>
    <t>1960-9</t>
  </si>
  <si>
    <t>1970-9</t>
  </si>
  <si>
    <t>1980-9</t>
  </si>
  <si>
    <t>1990-9</t>
  </si>
  <si>
    <t>2000-9</t>
  </si>
  <si>
    <t>Method n°1: savings = private savings</t>
  </si>
  <si>
    <t xml:space="preserve">Real growth rate of national income </t>
  </si>
  <si>
    <t xml:space="preserve">Real growth rate of private wealth </t>
  </si>
  <si>
    <t>Average gross pay per worker (% average wage)</t>
  </si>
  <si>
    <t>Total farm employment</t>
  </si>
  <si>
    <t xml:space="preserve"> Total farm employment</t>
  </si>
  <si>
    <t>Total farm employment (salaried + self-empld)</t>
  </si>
  <si>
    <t>incl. farm self-employed workers (without farm rent)</t>
  </si>
  <si>
    <t>incl. farm self-employed workers (with farm rent)</t>
  </si>
  <si>
    <t>Note: Feinstein 1972 Table 23 provides complete decomposition of farm income into wages + rent + self-employt income; the bottom line is that the sharing is stable around 1/3-1/3-1/3 in 1855-1913; but while farm rent is nominally fixed 1855-1946, while farm wages and self-employment income triple between 1913 and 1946; note that the rental value of land used by owner-cultivators is included in farmers' income (farm self-employment income), not in farm rent (which only includes the non-imputed rent received by pure land owners, just like D45 in ESA 95, see below)</t>
  </si>
  <si>
    <t>Gross mixed income/ Nattional income</t>
  </si>
  <si>
    <t>Non-corp. wages/ Gross mixed income</t>
  </si>
  <si>
    <t>Self-empld workers (gross mixed income, incl. farm rent)</t>
  </si>
  <si>
    <t xml:space="preserve">1987-today: BB, Table 6.1.2; 1855-1986: computed on the assumption of a fixed  ratio (see formula and note) </t>
  </si>
  <si>
    <t xml:space="preserve">1855-1948: historical national accounts series established by Feinstein (1972), with minor adjustments described in the formulas and notes below </t>
  </si>
  <si>
    <t xml:space="preserve">Net domestic product (sum 1855-1965) </t>
  </si>
  <si>
    <t>Income/ Expenditure GDP</t>
  </si>
  <si>
    <t>memo: Gross national savings</t>
  </si>
  <si>
    <t xml:space="preserve">1889-1946: Feinstein 1972 Table 29 pp.T74, col.(2) (non-farm income from self-employment) </t>
  </si>
  <si>
    <t>Average gross pay per worker (current pounds)</t>
  </si>
  <si>
    <t>Private corp gross savings</t>
  </si>
  <si>
    <t>1948-1996: Martin (2009), SAVN_VC</t>
  </si>
  <si>
    <t>Ratio Private/Total corp gross savings</t>
  </si>
  <si>
    <t>Table UK.2: National income and private wealth in the U.K., 1700-2010 (decennial estimates)</t>
  </si>
  <si>
    <t>(1913 billions pounds) (CPI)</t>
  </si>
  <si>
    <t>1700-1750</t>
  </si>
  <si>
    <t>1750-1810</t>
  </si>
  <si>
    <t>1810-1855</t>
  </si>
  <si>
    <r>
      <t>Ratio       β</t>
    </r>
    <r>
      <rPr>
        <sz val="10"/>
        <rFont val="Arial"/>
      </rPr>
      <t xml:space="preserve"> = W</t>
    </r>
    <r>
      <rPr>
        <sz val="10"/>
        <rFont val="Arial"/>
      </rPr>
      <t>/Y</t>
    </r>
    <r>
      <rPr>
        <vertAlign val="subscript"/>
        <sz val="10"/>
        <rFont val="Arial"/>
        <family val="2"/>
      </rPr>
      <t xml:space="preserve"> </t>
    </r>
  </si>
  <si>
    <r>
      <t xml:space="preserve"> Real growth rate of national income g</t>
    </r>
    <r>
      <rPr>
        <b/>
        <sz val="10"/>
        <rFont val="Arial"/>
      </rPr>
      <t/>
    </r>
  </si>
  <si>
    <r>
      <t>s</t>
    </r>
    <r>
      <rPr>
        <sz val="10"/>
        <rFont val="Arial"/>
      </rPr>
      <t xml:space="preserve"> = S</t>
    </r>
    <r>
      <rPr>
        <sz val="10"/>
        <rFont val="Arial"/>
      </rPr>
      <t>/Y</t>
    </r>
  </si>
  <si>
    <t xml:space="preserve">q </t>
  </si>
  <si>
    <t>1855-1910</t>
  </si>
  <si>
    <t>1700-1910</t>
  </si>
  <si>
    <t>1700-2010</t>
  </si>
  <si>
    <r>
      <t>National income Y</t>
    </r>
    <r>
      <rPr>
        <sz val="10"/>
        <rFont val="Arial"/>
      </rPr>
      <t xml:space="preserve">        </t>
    </r>
  </si>
  <si>
    <r>
      <t>Ratio       β</t>
    </r>
    <r>
      <rPr>
        <vertAlign val="subscript"/>
        <sz val="10"/>
        <rFont val="Arial"/>
        <family val="2"/>
      </rPr>
      <t>n</t>
    </r>
    <r>
      <rPr>
        <sz val="10"/>
        <rFont val="Arial"/>
      </rPr>
      <t xml:space="preserve"> = W</t>
    </r>
    <r>
      <rPr>
        <vertAlign val="subscript"/>
        <sz val="10"/>
        <rFont val="Arial"/>
        <family val="2"/>
      </rPr>
      <t>n</t>
    </r>
    <r>
      <rPr>
        <sz val="10"/>
        <rFont val="Arial"/>
      </rPr>
      <t>/Y</t>
    </r>
    <r>
      <rPr>
        <vertAlign val="subscript"/>
        <sz val="10"/>
        <rFont val="Arial"/>
        <family val="2"/>
      </rPr>
      <t xml:space="preserve"> </t>
    </r>
  </si>
  <si>
    <t>National savings rate</t>
  </si>
  <si>
    <t>FMOS'82</t>
  </si>
  <si>
    <t>NMYU</t>
  </si>
  <si>
    <t>NMYY</t>
  </si>
  <si>
    <t>1965-today: BB, Table 3.1.7; 1948-1964: taken to be equal to Martin (2009) private corp gross savings</t>
  </si>
  <si>
    <t>Note: The Martin (2009) corporate savings series refer to private corporations and represent 90%-95% of total corporate savings in 1987-1996</t>
  </si>
  <si>
    <t>Govt gross savings plus capital taxes (FSBR definition)</t>
  </si>
  <si>
    <t>1948-1996: Martin (2009), GSCBN_GG series</t>
  </si>
  <si>
    <t>Alternative household gross savings series</t>
  </si>
  <si>
    <t xml:space="preserve">1948-1960: Martin (2009), SAVN_HI series </t>
  </si>
  <si>
    <t>1987-today: BB, Table 6.1.7; 1961-1986: Martin (2009), SAVN_HI series (identical to BB series over 1987-1996); 1920-1960: Feinstein (1972), Table 10, personal savings series (very close to Martin over 1960-1965)</t>
  </si>
  <si>
    <t xml:space="preserve"> Wages &amp; social contributions paid by non-corporate business (&amp; households)</t>
  </si>
  <si>
    <t>Table UK.4a: Sources of private wealth accumulation in the UK, 1700-2010 - Additive decomposition</t>
  </si>
  <si>
    <t xml:space="preserve">(2010 billions pounds) </t>
  </si>
  <si>
    <t xml:space="preserve">(current billions pounds) </t>
  </si>
  <si>
    <t>(current billions pounds)</t>
  </si>
  <si>
    <t xml:space="preserve">(2010 billions pounds)) </t>
  </si>
  <si>
    <t>Memo: Net government interest payments</t>
  </si>
  <si>
    <t>Govt surplus or deficit</t>
  </si>
  <si>
    <t xml:space="preserve">Household sector (housing + non-corporate business) </t>
  </si>
  <si>
    <t xml:space="preserve"> Wages &amp; social contributions paid by domestic sectors</t>
  </si>
  <si>
    <t>Note: Extra statistical discrepancy: In 1961-1986 the difference between total and sum is significantly non-zero, for reasons we could not identify</t>
  </si>
  <si>
    <t>Gross domestic product (official series)</t>
  </si>
  <si>
    <t xml:space="preserve">Official statistical discrepancy between GDP and expenditure components </t>
  </si>
  <si>
    <t xml:space="preserve">Official statistical discrepancy between GDP and income components </t>
  </si>
  <si>
    <t>National income (sum 1948-2010)</t>
  </si>
  <si>
    <t>National income (sum 1855-1965)</t>
  </si>
  <si>
    <t xml:space="preserve">1889-1965: Feinstein 1972 Table 1 pp.T4-T7, col.(3) (gross trading profits of companies) </t>
  </si>
  <si>
    <t>Gross trading surplus of public corporations</t>
  </si>
  <si>
    <t>Gross trading surplus of other public enterprises</t>
  </si>
  <si>
    <t xml:space="preserve">1889-1965: Feinstein 1972 Table 1 pp.T4-T7, col.(4) (gross trading surplus of public corporations) </t>
  </si>
  <si>
    <t xml:space="preserve">1889-1965: Feinstein 1972 Table 1 pp.T4-T7, col.(5) (gross trading surplus of other public enterprises) </t>
  </si>
  <si>
    <t>Rent</t>
  </si>
  <si>
    <t>Note: The 1948 gap between BB and Feinstein national income (about 1.5%) is largely due to the gap in capital depreciation</t>
  </si>
  <si>
    <t>National income (sum 1855-1965) (factor cost)</t>
  </si>
  <si>
    <t>Product Taxes/ National income (factor cost)</t>
  </si>
  <si>
    <t>1946-today: BB, Table 1.2; 1870-1945: Feinstein 1972, Table 2, pp.T8-T9, col.(8) (taxes on expenditures); 1855-1869: computed by assuming same product tax rate as 1870 (see formula)</t>
  </si>
  <si>
    <t>GDP (expenditure sum 1870-1948)</t>
  </si>
  <si>
    <t>GDP (income sum 1870-1948)</t>
  </si>
  <si>
    <t>Ratio GDP income sum/ expendidure sum 1870-1948</t>
  </si>
  <si>
    <t>Ratio GDP income sum/ expendidure sum 1948-2010</t>
  </si>
  <si>
    <t>GDP (expenditure sum 1948-2010)</t>
  </si>
  <si>
    <t>GDP (income sum 1948-2010)</t>
  </si>
  <si>
    <t>Note: Over the 1870-1913 period, the income/expenditure GDP ratio is typically around 90% (see Feinstein 1972 Figure 1.1 p.12); the gap is reduced in the interwar period, and becomes virtually zero in the postwar period.</t>
  </si>
  <si>
    <t>Self-employed workers</t>
  </si>
  <si>
    <t>incl.public sector salaried workers</t>
  </si>
  <si>
    <t>Table UK.1: National income and private wealth in the UK, 1855-2010 (annual series)</t>
  </si>
  <si>
    <t>Note: Feinstein 1972 Table 47 p.T106 offers useful decomposition of capital formation into dwellings + other buildings + plants vehicles ships etc.</t>
  </si>
  <si>
    <t>incl. Private sector</t>
  </si>
  <si>
    <t>1855-1965: Feinstein 1972 Table 2 pp.T8-T9 col.(3) (gross domestic fixed capital formation) &amp; Table 39 p.T85 col.(6)</t>
  </si>
  <si>
    <t xml:space="preserve">1855-1965: Feinstein 1972 Table 39 pp.T85 col.(7) </t>
  </si>
  <si>
    <t>1855-1965: comptued by difference (slightly different from Feinstein 1972 Table 47 p.T106  bc changes in work-in-progress included in the latter)</t>
  </si>
  <si>
    <t>1870-1950: Feinstein 1972 Table 2 pp.T8-T9 col.(4) (value of physical increase in stocks and work in progress); 1855-1869: estimated as fraction of domestic fixed capital formation assuming same constant fraction as 1870-1900</t>
  </si>
  <si>
    <t>Note: Feinstein 1972 Table 39 offers decomposition of capital formation into private sector + public sector (=public corporations + central govt + local authorities) (public corporations = very large share of total public sector invt in postwar period)</t>
  </si>
  <si>
    <t>AN.1</t>
  </si>
  <si>
    <t>1855-1965: Feinstein 1972 Table 46, pp.103-105, col.9 (net capital stock)</t>
  </si>
  <si>
    <t>incl. Dwellings</t>
  </si>
  <si>
    <t>1855-1965: Feinstein 1972 Table 46, pp.103-105, col.(6) (dwellings)</t>
  </si>
  <si>
    <t>Note: Feinstein 1972 Table 46 provides complete decomposition of net reproducible capital stock into dwellings, other buildings and plants, vehicles, ships etc. (obtained by Feinstein by cumulating investment and depreciation flows). Note that net reproducible capital stock corresponds to AN.11 (=fixed assets) in the ESA 95 terminology (AN.1 produced assets = fixed assets + inventories + valuables, i.e. AN1=AN11+AN12+AN13)</t>
  </si>
  <si>
    <t>AN.11</t>
  </si>
  <si>
    <t>Note: Feinstein 1972 Table 37 gives separate balance for merchandise and invisibles (permanent, large merchandise deficit 1900-1950)</t>
  </si>
  <si>
    <t>incl. Nonfarm Self-employment income</t>
  </si>
  <si>
    <t>incl. Farm rent</t>
  </si>
  <si>
    <t>1855-1946: Feinstein 1972 Table 23 pp.T60, col.(3) (rent)</t>
  </si>
  <si>
    <t>incl. Farm Self-employment income</t>
  </si>
  <si>
    <t>1855-1946: Feinstein 1972 Table 23 pp.T60, col.(4) (farmers' income)</t>
  </si>
  <si>
    <t>Non-corporate CFC/GDP</t>
  </si>
  <si>
    <t>Non-corporate CFC/Gross value added</t>
  </si>
  <si>
    <t>incl. Farm wages (Wages &amp; SCs paid by farm sector)</t>
  </si>
  <si>
    <t>Total farm factor incomes</t>
  </si>
  <si>
    <t>1855-1946: Feinstein 1972 Table 23 pp.T60, col.(2) (wages)</t>
  </si>
  <si>
    <t>1855-1946: Feinstein 1972 Table 23 pp.T60, col.(1) (total factor income)</t>
  </si>
  <si>
    <t xml:space="preserve">Rent ratio: BB/Feinstein 1948-1965 </t>
  </si>
  <si>
    <t>incl. Nonfarm rent</t>
  </si>
  <si>
    <t>diff</t>
  </si>
  <si>
    <t>Self-emplt income ratio: BB/Feinstein 1948-1965</t>
  </si>
  <si>
    <t>Note: This is only slightly lower than total wages, salaries and social contributions paid by agriculture, forestry and fishing (123.6 in 1920, 74.4 in 1938, see Feinstein 1972 Table 22 p.T57)</t>
  </si>
  <si>
    <t>Total fixed assets (net reproducible capital stock)</t>
  </si>
  <si>
    <t>Ratio Total fixed assets/ National income</t>
  </si>
  <si>
    <t>Dwellings ratio 1948-1965: Feinstein/ Blake-Orszag</t>
  </si>
  <si>
    <t>Gross corporate profits (companies and public corporations)</t>
  </si>
  <si>
    <t xml:space="preserve">Gross trading profits of companies </t>
  </si>
  <si>
    <t>1889-1965: Feinstein (sum)</t>
  </si>
  <si>
    <t>Gross corp. profits ratio: BB/Feinstein 1948-1965</t>
  </si>
  <si>
    <t>Note: Feinstein 1972 Table 11 p.T30 provides 1920-1965 series on "income from abroad" received by corporations (in effect, this is FDI income, and this typically represents around half of total foreign capital income inflow)</t>
  </si>
  <si>
    <t xml:space="preserve">1920-1965: Feinstein 1972 Table 11 pp.T30, col.(2) (rent and non-trading income from companies) </t>
  </si>
  <si>
    <t>(Rent +SE inc + Gross corp profits): BB/Feinstein</t>
  </si>
  <si>
    <t>Gross corp. profits ratio: BB/Feinstein incl. RNTIC 1948-1965</t>
  </si>
  <si>
    <t>RNTIC: Rent &amp; non-trading income of companies</t>
  </si>
  <si>
    <t xml:space="preserve">ratio </t>
  </si>
  <si>
    <t>RNTIC/ Nonfarm rent ratio 1920-1965</t>
  </si>
  <si>
    <t>Note: Apart from the fact that land rent should be transferred to D45 rent and royalties (very small in 1948-1965, so this makes very little difference; note that in ESA 1995, only land rent paid to pure owners is recorded in D45; land rent going to farmers would be recorded in self-employment income), there are two key reasons why Feinstein rent is so much larger than BB housing rent in 1948-1965 (BB/Feinstein ratio as low as 40%): (1) first the ESA95 concept of "gross household operating surplus" allows for more deductions than the Feinstein concept of "rent" (e.g. property taxes are deducted from rental income and included in product taxes in ESA95 concepts; unclear what Feinstein concepts do; according to Feinstein, no landowner expense is deducted); (2) next and most importantly,the ESA95 concept of "gross household operating surplus"  includes only the rental value of dwellings owned by households (the rental value of dewllings owned by other sectors, as well as the rental value of non-dwellings non-financial assets owned by households - not only land but also offices, buildings rent to businesses -, are not included, while they are included in the Feinstein concept).</t>
  </si>
  <si>
    <t>Note: The fact that the BB/Feinstein self-employ income ratio is around 80% in 1948-1965 suggests that modern national accounts classify as corporations some businesses that were classified as non-corporate by Feinstein</t>
  </si>
  <si>
    <t>Employed population/ Pop 20+</t>
  </si>
  <si>
    <t>incl.non-farm private sector salaried workers</t>
  </si>
  <si>
    <t>incl. farm salaried workers</t>
  </si>
  <si>
    <t>incl. farm self-employed workers</t>
  </si>
  <si>
    <t>incl. non-farm self-employed workers</t>
  </si>
  <si>
    <t>Structure of employed population (thousands)</t>
  </si>
  <si>
    <t>Structure of employed population (% total employed population)</t>
  </si>
  <si>
    <t>1948-today: BB, Table 6.1.2; 1855-1948: Feinstein 1972 (1855-1913: 90% non-farm rent; 1920-1938: 80%; 1948: 50%; 1914-1919 &amp; 1939-1947: linear interpolations; see formulas; ratio&lt;100% so as to deduct non-housing, non-household-owned rent; see discussion in following columns on Feinstein rent series)</t>
  </si>
  <si>
    <t>Note: The pb with RNTIC is that it includes non-rent items, so it does not coincide perfectly with non-housing non-household-owned non-farm rent; we assume NHNFR to be equal to 20% of NFR in 1920-1938 up to 50% in 1948 (see formula in previous columns)</t>
  </si>
  <si>
    <t>Note: The important point is that we take the sum of the three terms, then BB/Feinstein ratios are close to 100%; so all we need to do is to re-allocate some of rent and SE income to corporate profits (see previous formulas)</t>
  </si>
  <si>
    <t>1851-2001: Mitchell 2003, International historical statistics, Europe 1750-2000, Table B1 (Economically active population by major industrial groups), pp.152 &amp; 160</t>
  </si>
  <si>
    <t>1851-2001: Mitchell 2003, International historical statistics, Europe 1750-2000, Table B1 (Economically active population by major industrial groups), pp.152 &amp; 160 (1851-1911: Great Britain + Ireland; 1921-2001: Great Britain alone)</t>
  </si>
  <si>
    <t>incl. non-farm salaried workers</t>
  </si>
  <si>
    <t>incl. non-farm public sector salaried workers</t>
  </si>
  <si>
    <t>Direct exports</t>
  </si>
  <si>
    <t>Re-exports</t>
  </si>
  <si>
    <t>1855-1870: Mitchell 2003 International Historical Statistics: Europe 1750-2000, Table E1 pp.571-575</t>
  </si>
  <si>
    <t>1946-today: BB, Table 1.2; 1870-1945: Feinstein 1972 Table 3 pp.T10-T11 col.(2) (exports); 1855-1870: Mitchell 2003 International Historical Statistics: Europe 1750-2000 (see formula and note)</t>
  </si>
  <si>
    <t xml:space="preserve">1946-today: BB, Table 1.2; 1870-1945: Feinstein 1972 Table 3 pp.T10-T11 col.(4) (imports); 1855-1870: Mitchell 2003 International Historical Statistics: Europe 1750-2000, Table E1 pp.571-575 </t>
  </si>
  <si>
    <t>Net exports of services</t>
  </si>
  <si>
    <t>Total invisible balance (TIB) minus Investment income balance (IIB)</t>
  </si>
  <si>
    <t>Total invisible balance</t>
  </si>
  <si>
    <t>1855-1870: Mitchell 2003 International Historical Statistics: Europe 1750-2000, Table J3 pp.937-940</t>
  </si>
  <si>
    <t>1870-1965: Feinstein 1972 Table 2 pp.T8-T9 col.(2) (public authorities' current expenditure on goods and services); 1855-1869: set to 5% of expenditure GDP</t>
  </si>
  <si>
    <t>1948-today: BB, Table 1.2; 1870-1945: Feinstein 1972 Table 2 pp.T8-T9 col.(2) (consumers' expenditure); 1855-1869: computed as difference</t>
  </si>
  <si>
    <t>Non-corp. wages/ Total wages</t>
  </si>
  <si>
    <t>Note: The trade and BOP statistics published by Mitchell are fully consistent with Feinstein, assuming one takes into account net exports of services (which can be computed as TIB minus IIB in the Mitchell BOP categories); it is striking to see the goods balance was always and very strongly in deficit during 19c, it is unclear what non-IIB TIB corresponds to in 19c: financial services and tourism probably limited, trading services probably more important (typically, profits made by UK traders located in the colonial empire are probably in TIB; see Imlah 1958, and especially Tiberi 2005 The Accounts of the British Empire, Table 1.6, p.21: most non-IIB TIB comes from shipping income and trade commissions; in 1907-1913, net national shipping income is almost 100m pounds per year, ie almost 5% of national income)</t>
  </si>
  <si>
    <t>1920-1950: Solomou-Weale 1997 pp.310-313 line "dwellings"</t>
  </si>
  <si>
    <t>1920-1950: Solomou-Weale 1997 pp.310-313 line "farms"</t>
  </si>
  <si>
    <t>1920-1950: Solomou-Weale 1997 pp.310-313 line "non-farm business capital"</t>
  </si>
  <si>
    <t>Stock on farms: Solomou-Weale</t>
  </si>
  <si>
    <t>1920-1950: Solomou-Weale 1997 pp.310-313 line "stock on farms"</t>
  </si>
  <si>
    <t>1948-1994: Blake-Orszag 1999, Table 12; 1920-1947: Solomou-Weale 2007 pp.310-313, line "Durables"</t>
  </si>
  <si>
    <t>Note: Our definition of net private wealth excludes consumer durables, which are not considered as assets by ESA95 and are excluded from official ONS balance sheets; note that the notion of durables is clearly less extensive for Solomou-Weale than for Blake-Orszag (large upward discontinutiy in 1948)</t>
  </si>
  <si>
    <t>Net personal wealth: Solomou-Weale (exc. Durables)</t>
  </si>
  <si>
    <t>1920-1950: Solomou-Weale 1997 pp.310-313 line "net personal wealth"</t>
  </si>
  <si>
    <t>Gross personal wealth: Solomou-Weale (exc. Durables)</t>
  </si>
  <si>
    <t>1920-1950: Solomou-Weale 1997 pp.310-313 line "gross personal wealth"</t>
  </si>
  <si>
    <t>Personal sector liabilities</t>
  </si>
  <si>
    <t>1920-1950: Solomou-Weale 1997 pp.310-313 (difference)</t>
  </si>
  <si>
    <t>1920-1950: Solomou-Weale 1997 pp.310-313 (sum)</t>
  </si>
  <si>
    <t>Total financlal assets: Solomou-Weale</t>
  </si>
  <si>
    <t>1920-1950: Solomou-Weale 1997 pp.310-313 line "foreign assets"</t>
  </si>
  <si>
    <t>Personal foreign assets: Solomou-Weale</t>
  </si>
  <si>
    <t>Personal foreign assets/ national income</t>
  </si>
  <si>
    <t>Note: As explained by Soloumou-Wealhe (2007, p.308), this corresponds solely to foreign assets held directly by the personal sector; in particular it excludes foreign assets (and liabilities) held by companies; one can see that in 1920 only a quarter of total foreign assets are held by the personal sector.</t>
  </si>
  <si>
    <t>National debt: Solomou-Weale</t>
  </si>
  <si>
    <t>1920-1950: Solomou-Weale 1997 pp.310-313 line "national debt"</t>
  </si>
  <si>
    <t>National debt/ national income</t>
  </si>
  <si>
    <t>Public debt held by banks: Solomou-Weale</t>
  </si>
  <si>
    <t>Public debt held by building societies: Solomou-Weale</t>
  </si>
  <si>
    <t>Public debt held by Bank of England and currency account: Solomou-Weale</t>
  </si>
  <si>
    <t>Foreign holdings of UK Public Debt</t>
  </si>
  <si>
    <t>Personal sector holdings of Public Debt: Solomou-Weale</t>
  </si>
  <si>
    <t>Personal sector holdings of Public Debt/  National income</t>
  </si>
  <si>
    <t>Total financlal assets/ National income</t>
  </si>
  <si>
    <t>Other financial assets (non-foreign, non-public-debt): Solomou-Weale</t>
  </si>
  <si>
    <t>Other financial assets/ National income</t>
  </si>
  <si>
    <t>Note: Solomou-Weale 2007 pp.310-313 give the details of these other financial assets, in particular into deposits and equity (roughly 50-50, with large variations)</t>
  </si>
  <si>
    <t>Financial assets: SW/BB</t>
  </si>
  <si>
    <r>
      <t>L</t>
    </r>
    <r>
      <rPr>
        <b/>
        <vertAlign val="subscript"/>
        <sz val="10"/>
        <rFont val="Arial"/>
        <family val="2"/>
      </rPr>
      <t>t</t>
    </r>
  </si>
  <si>
    <t>Personal liabilities: SW/BB</t>
  </si>
  <si>
    <t>1988-today: BB, Table 6.1.9; 1948-1987: Blake-Orszag 1999, Tables 1 and 12; 1920-1947: Solomou-Weale 1997 (see formula)</t>
  </si>
  <si>
    <t>1988-today: BB, Table 6.1.9; 1976-1987: BB 1996, Table 12.2, and BB 1987-1989, Table 10.2-12.2 (as referred to by Atkinson 2012); 1948-1975: Blake-Orszag 1999, Table 12; 1920-1947: Solomou-Weale 1997 (see formula)</t>
  </si>
  <si>
    <t>Housing: SW/BB ratio</t>
  </si>
  <si>
    <t>Non-financial assets: SW/BB ratio</t>
  </si>
  <si>
    <t>1920-2010</t>
  </si>
  <si>
    <t>1920-1970</t>
  </si>
  <si>
    <t>1913-1920</t>
  </si>
  <si>
    <t>1913-2010</t>
  </si>
  <si>
    <t>1885-1913</t>
  </si>
  <si>
    <t>1855-1885</t>
  </si>
  <si>
    <t>FW/Y</t>
  </si>
  <si>
    <t>1988-today: BB, Table 7.1.9; 1855-1973: Feinstein 1972 Table 50 p.T110 (using Imlah, Economic elements in the Pax Brittanica,1958 pp.70-72) and Matthews-Feinstein-Odling-Smee 1982 Table 5.2 p.128; 1973-1988: adjustment using current account (to be improved) (see formulas)</t>
  </si>
  <si>
    <t>Note: There are three advantages of the foreign wealth series provided by Matthews-Feinstein 1982 over those of Feinstein 1972: the former go until 1973, they give gross and net positions, and most importantly they give real net asset positions, rather than notional accumulated positions; this makes a large difference starting in the 1930s (foreign public debt repudiation of 1931), and also in the postwar period (reverse effect due to inflation); this is explained very clearly in Matthews-Feinstein 1982 pp.127-128</t>
  </si>
  <si>
    <t>1855-1890</t>
  </si>
  <si>
    <t>Correction factor</t>
  </si>
  <si>
    <t>Note: Feinstein 1972 capital depreciation series were corrected upwards on the basis of Matthews-Feinstein 1982 Figure 5.4 p.135; without this correction, depreciation would be as large as 7% of GDP in 1855, down to 4% around 1890-1900, which would be implausible and inconsistent with Matthews-Feinstein's 1982 new series (showing KD stable around 3%-4% GDP in 1855-1913); it is possible that UK KD is also overestimated for other periods, particularly in the postwar period.</t>
  </si>
  <si>
    <t>1856-1873</t>
  </si>
  <si>
    <t>1873-1913</t>
  </si>
  <si>
    <t>1924-1937</t>
  </si>
  <si>
    <t>1920-1950</t>
  </si>
  <si>
    <t>1855-1947: corrected Feinstein</t>
  </si>
  <si>
    <t>Feinstein investment correction factor</t>
  </si>
  <si>
    <t>1870-1945: Feinstein 1972 Table 2 pp.T8-T9 col.(2) (consumers' expenditure);</t>
  </si>
  <si>
    <t>Note: The 1855-1938 investment series provided by Feinstein 1972 were subsequently revised by Feinstein and his co-authors; the correction factor was set so as to match the new, revised investment rates reported by Matthews-Feinstein-Odling-Smee 1982 Table 5.4 p.133 and  Table 5.5 p.137 for each sup-period 1856-1873, 1873-1913 and 1924-1927. See comparison on Table on structure of investment.</t>
  </si>
  <si>
    <t xml:space="preserve">Net domestic investment </t>
  </si>
  <si>
    <t>Here</t>
  </si>
  <si>
    <t>MFOS'82</t>
  </si>
  <si>
    <t>Non-farm SE income/ (non-farm SE income + Gross corporate profits + non-farm privates wages)</t>
  </si>
  <si>
    <t>incl. nonfarm self-employed workers</t>
  </si>
  <si>
    <t>Note: Feinstein savings series are more reliable prior to 1960 than Martin (too low); there is clearly a lot of uncertainty about the measurement of UK savings; at least the Feinstein series confirm that UK personal savings were very low in the 1960s</t>
  </si>
  <si>
    <t>Imports and property income paid abroad</t>
  </si>
  <si>
    <t>1870-1950: Feinstein 1972 Table 2 pp.T8-T9 col.(7) (imports and property income paid abroad)</t>
  </si>
  <si>
    <t>1946-today: BB, Table 7.1.2; 1870-1945: Feinstein 1972, diff. (see formula); 1855-1869: Feinstein 1972 Table 1 p.T4, col.(10) (ouflow assumed to be zero)</t>
  </si>
  <si>
    <t>1946-today: BB, Table 7.1.2; ; 1870-1945: Feinstein 1972, diff. (see formula); 1855-1869: Feinstein 1972 Table 1 p.T4, col.(10) (ouflow assumed to be zero)</t>
  </si>
  <si>
    <t xml:space="preserve">1948-today: BB, Table 1.1; 1855-1947: Feinstein 1872 Table 1 pp.T4-T5 col.(12) (capital consumption) </t>
  </si>
  <si>
    <t>Note: There is a discontinuity in 1948: BB 974 = 115% Feinstein 848; it might be more justified to upgrade 1855-1947 by 15%</t>
  </si>
  <si>
    <r>
      <t>Y</t>
    </r>
    <r>
      <rPr>
        <vertAlign val="subscript"/>
        <sz val="10"/>
        <rFont val="Arial"/>
        <family val="2"/>
      </rPr>
      <t>t</t>
    </r>
  </si>
  <si>
    <r>
      <t>Y</t>
    </r>
    <r>
      <rPr>
        <vertAlign val="subscript"/>
        <sz val="10"/>
        <rFont val="Arial"/>
        <family val="2"/>
      </rPr>
      <t>dt</t>
    </r>
  </si>
  <si>
    <t>1946-today: BB, Table 6.1.3; 1855-1945: Feinstein 1872 Table 1 pp.T4-T5 col.(1) (income from employment)</t>
  </si>
  <si>
    <t xml:space="preserve">1855-1888 (&amp; 1914-1920): Feinstein 1972 Table 1 pp.T4-T7, col.(2) (income from self-employment + gross trading profits of companies) </t>
  </si>
  <si>
    <t>Self-Employment income + Corporate profits</t>
  </si>
  <si>
    <t>1946-today: BB, Table 1.2; 1870-1945: Feinstein 1972, Table 2, pp.T8-T9, col.(9) (subsidies)</t>
  </si>
  <si>
    <t>Corrected gross operating surplus (gross operating surplus + FISIM on mortgage) (=gross housing rent minus intermediate consumption)</t>
  </si>
  <si>
    <t>Self-Employment income</t>
  </si>
  <si>
    <t>1855-1965: Feinstein 1972 Table 1 pp.T4-T7, col.(6) (rent)</t>
  </si>
  <si>
    <t xml:space="preserve">1889-1965: Feinstein 1972 Table 1 pp.T4-T7, col.(2) (income from self-employment) </t>
  </si>
  <si>
    <t>1946-today:  BB, Table 1.5; 1855-1945: Feinstein (1972), Table 55, pp.T120-T121</t>
  </si>
  <si>
    <t>1950-2010: ined.fr international population database; 1860-1950: estimated from Feinstein 0-14 population series (see formula)</t>
  </si>
  <si>
    <t>Population 0-14-yr-old (thousands mid-year)</t>
  </si>
  <si>
    <t>1920a</t>
  </si>
  <si>
    <t>1920b</t>
  </si>
  <si>
    <t>1960- AMECO OECD database (NSTD series)</t>
  </si>
  <si>
    <t>1946-today: BB, Table 1.2; 1870-1945: Feinstein 1972 Table 2 pp.T8-T9 col.(2) (public authorities' current expenditure on goods and services)</t>
  </si>
  <si>
    <t>Gross domestic fixed capital formation</t>
  </si>
  <si>
    <t>Value of physical increase in stocks and work in progress</t>
  </si>
  <si>
    <t>1948-today: BB, Table 1.2; 1870-1947: Feinstein 1972 Table 2 pp.T8-T9 col.(3)+(4) (gross domestic fixed capital formation + stock/work in progress) (see formula)</t>
  </si>
  <si>
    <t>Exports and property income from abroad</t>
  </si>
  <si>
    <t>1870-1950: Feinstein 1972 Table 2 pp.T8-T9 col.(6) (exports and property income from abroad)</t>
  </si>
  <si>
    <t xml:space="preserve">Private saving rate (personal saving + net retained earnings) </t>
  </si>
  <si>
    <t xml:space="preserve">Personal saving rate </t>
  </si>
  <si>
    <t>g</t>
  </si>
  <si>
    <t>s = S/Y</t>
  </si>
  <si>
    <t>p</t>
  </si>
  <si>
    <t>1810-1910</t>
  </si>
  <si>
    <t>1910-2010</t>
  </si>
  <si>
    <t>1910-1950</t>
  </si>
  <si>
    <r>
      <t>g</t>
    </r>
    <r>
      <rPr>
        <vertAlign val="subscript"/>
        <sz val="12"/>
        <rFont val="Arial"/>
        <family val="2"/>
      </rPr>
      <t>w</t>
    </r>
  </si>
  <si>
    <r>
      <t>g</t>
    </r>
    <r>
      <rPr>
        <vertAlign val="subscript"/>
        <sz val="12"/>
        <rFont val="Arial"/>
        <family val="2"/>
      </rPr>
      <t>ws</t>
    </r>
    <r>
      <rPr>
        <sz val="12"/>
        <rFont val="Arial"/>
      </rPr>
      <t xml:space="preserve"> = s/β     </t>
    </r>
  </si>
  <si>
    <t>incl. Other financial assets</t>
  </si>
  <si>
    <t>Net private wealth (including NMTRs)</t>
  </si>
  <si>
    <t xml:space="preserve"> Net private wealth</t>
  </si>
  <si>
    <t>Household nonfinancial assets (including NMTRs)</t>
  </si>
  <si>
    <t>Non-marketable tenancy rights (NMTRs)</t>
  </si>
  <si>
    <t>incl. other household non-financial assets</t>
  </si>
  <si>
    <t>1700-1810</t>
  </si>
  <si>
    <t>Note: Our definition of net private wealth excludes non-marketable tenancy rights (NMTRs), which are not considered as assets by ESA95 and will be eliminated from official ONS balance sheets in 2012 (see "Improvments to the non-financial balance sheet", ONS, february 2012)</t>
  </si>
  <si>
    <t xml:space="preserve">Consumer durables </t>
  </si>
  <si>
    <t>1948-1994: Blake-Orszag 1999, Table 12</t>
  </si>
  <si>
    <t>Consumer durable/ National income</t>
  </si>
  <si>
    <t>1946-today: BB, Table 1.2</t>
  </si>
  <si>
    <t>1946-today: BB, Table 1.1</t>
  </si>
  <si>
    <t>1948-today: BB, Table 6.1.2</t>
  </si>
  <si>
    <t>1987-today: BB, Table 1.8.C</t>
  </si>
  <si>
    <t>1961-today: BB, Table 1.8.C</t>
  </si>
  <si>
    <t>1987-today: BB, Table 6.1.2</t>
  </si>
  <si>
    <t>1948-today: BB, Table 1.1</t>
  </si>
  <si>
    <t>1948-today: BB, Table 1.2</t>
  </si>
  <si>
    <t>1948-today: BB, Table 3.1.2</t>
  </si>
  <si>
    <t>1987-today: BB, Table 3.1.2</t>
  </si>
  <si>
    <t>1948-today: BB, Table 4.1.2</t>
  </si>
  <si>
    <t>1946-today: BB, Table 4.1.2</t>
  </si>
  <si>
    <t>1987-today: BB, Table 4.1.2</t>
  </si>
  <si>
    <t>1946-today: BB, Table 5.1.2</t>
  </si>
  <si>
    <t>1987-today: BB, Table 1.6.6</t>
  </si>
  <si>
    <t>1987-today:  BB, Table 1.6.6</t>
  </si>
  <si>
    <t>1946-today:  BB, Table 7.1.2</t>
  </si>
  <si>
    <t>1987-today: BB, Table 6.1.7</t>
  </si>
  <si>
    <t>1987-today: BB, Table 3.1.7</t>
  </si>
  <si>
    <t>1987-today: BB, Table 4.1.7</t>
  </si>
  <si>
    <t>1987-today: BB, Table 5.1.7; 1970-1986: OECD Main govt aggregates database (not fully consistent in 1986-1987)</t>
  </si>
  <si>
    <t>1946-today: BB, Table 5.1.7</t>
  </si>
  <si>
    <t>1987-today: BB, Table 5.1.7</t>
  </si>
  <si>
    <t>1948-today: BB, Table 5.2.6</t>
  </si>
  <si>
    <t>1946-today: BB, Table 7.1.2</t>
  </si>
  <si>
    <t>1987-today:  BB, Table 1.2</t>
  </si>
  <si>
    <t>1997-today:  BB, Table 1.2</t>
  </si>
  <si>
    <t>1948-today: BB Table 1.6.4</t>
  </si>
  <si>
    <t>1987-today:  BB, Table 1.6.7</t>
  </si>
  <si>
    <t>1800-today: CPI Detailed reference table 34 (www.ons.gov.uk, March 2012) (Annual averages 1800-2011, January 1974 = 100)</t>
  </si>
  <si>
    <t>1988-today: BB, Table 10.10</t>
  </si>
  <si>
    <t>1988-today: BB, Table 6.1.9</t>
  </si>
  <si>
    <t>1988-today: BB, Table 6.1.9; 1976-1987: BB 1996, Table 12.2, and BB 1987-1989, Table 10.2-12.2 (as referred to by Atkinson 2012); 1948-1975: Blake-Orszag 1999, Table 12</t>
  </si>
  <si>
    <t>1988-today: BB, Table 3.1.9</t>
  </si>
  <si>
    <t>1988-today: BB, Table 4.1.9</t>
  </si>
  <si>
    <t>1988-today: BB, Table 7.1.9</t>
  </si>
  <si>
    <t>1958-today: BB, Table 5.1.9</t>
  </si>
  <si>
    <t>1964-today: BB, Table 5.1.9</t>
  </si>
  <si>
    <r>
      <t>K</t>
    </r>
    <r>
      <rPr>
        <b/>
        <vertAlign val="subscript"/>
        <sz val="10"/>
        <rFont val="Arial"/>
        <family val="2"/>
      </rPr>
      <t>t</t>
    </r>
  </si>
  <si>
    <r>
      <t>A</t>
    </r>
    <r>
      <rPr>
        <b/>
        <vertAlign val="subscript"/>
        <sz val="10"/>
        <rFont val="Arial"/>
        <family val="2"/>
      </rPr>
      <t>t</t>
    </r>
  </si>
  <si>
    <t>incl. Insurance technical reserves (net equity of households in life assurance and pension funds reserves + prepayment and reserves for outstanding claims)</t>
  </si>
  <si>
    <t>incl. Currency &amp; deposits</t>
  </si>
  <si>
    <t>NNMP</t>
  </si>
  <si>
    <t>AF.2</t>
  </si>
  <si>
    <t>incl. Securities other than shares</t>
  </si>
  <si>
    <t>NNMY</t>
  </si>
  <si>
    <t>AF.3</t>
  </si>
  <si>
    <t>AF.4</t>
  </si>
  <si>
    <t>incl. Loans</t>
  </si>
  <si>
    <t>incl. Shares and other equity</t>
  </si>
  <si>
    <t>NNOS</t>
  </si>
  <si>
    <t>NNOA</t>
  </si>
  <si>
    <t>incl. Other accounts receivable</t>
  </si>
  <si>
    <t>AF.7</t>
  </si>
  <si>
    <t>NNPM</t>
  </si>
  <si>
    <t>AF. except AF.6</t>
  </si>
  <si>
    <t>Housing/ Household nonfinancial assets</t>
  </si>
  <si>
    <t xml:space="preserve">1988-today: BB, Table 10.10; 1986-1987: BB 1996, Table 12.2; 1948-1985: Blake-Orszag series anchored at BB series in 1986-1987 (see formula) </t>
  </si>
  <si>
    <t xml:space="preserve">1988-today: BB, Table 10.10; 1948-1987: estimated from BB and Blake-Orszag housing wealth series assuming a fixed housing/nonfinancial assets ratio (see formula) (non-housing, non-financial household assets, i.e. non-corporate business assets, are not taken into account by Blake-Orszag) </t>
  </si>
  <si>
    <t>Housing wealth: Blake-Orszag</t>
  </si>
  <si>
    <t>Housing wealth: Blake-Orszag/BB</t>
  </si>
  <si>
    <t xml:space="preserve"> 1948-1994: Blake-Orszag 1999, Table 12 (occupational pension wealth + personal pension wealth)</t>
  </si>
  <si>
    <t>1948-1994: Blake-Orszag 1999, Table 1 (gross financial assets)</t>
  </si>
  <si>
    <t>Pension wealth: Blake-Orszag</t>
  </si>
  <si>
    <t>Other financial assets: Blake-Orszag</t>
  </si>
  <si>
    <t>Pension wealth: Blake-Orszag/BB</t>
  </si>
  <si>
    <t>Other financial assets: Blake-Orszag/BB</t>
  </si>
  <si>
    <t>1988-today: BB, Table 6.1.9; 1986-1987: BB 1996, Table 12.2; 1948-1985: Blake-Orszag 1999, Table 12 (occupational pension wealth + personal pension wealth) (see formula)</t>
  </si>
  <si>
    <t>1988-today: BB, Table 6.1.9.; 1986-1987: BB 1996, Table 12.2; 1948-1985: Blake-Orszag 1999, Table 1 (gross financial assets) (see formula)</t>
  </si>
  <si>
    <t>CGGN</t>
  </si>
  <si>
    <t>NKFB</t>
  </si>
  <si>
    <t>NKIF</t>
  </si>
  <si>
    <t>Public NFC nonfinancial assets</t>
  </si>
  <si>
    <t>1958-today: BB, Table 3.2.9</t>
  </si>
  <si>
    <t>Public NFC financial assets</t>
  </si>
  <si>
    <t>Public NFC financial liabilities</t>
  </si>
  <si>
    <t>Book value</t>
  </si>
  <si>
    <r>
      <t xml:space="preserve">Market value  </t>
    </r>
    <r>
      <rPr>
        <sz val="10"/>
        <rFont val="Arial"/>
      </rPr>
      <t>(equity liabilities)   L</t>
    </r>
    <r>
      <rPr>
        <vertAlign val="subscript"/>
        <sz val="10"/>
        <rFont val="Arial"/>
        <family val="2"/>
      </rPr>
      <t>ct</t>
    </r>
    <r>
      <rPr>
        <vertAlign val="superscript"/>
        <sz val="10"/>
        <rFont val="Arial"/>
        <family val="2"/>
      </rPr>
      <t>e</t>
    </r>
  </si>
  <si>
    <r>
      <t xml:space="preserve">Market value </t>
    </r>
    <r>
      <rPr>
        <sz val="10"/>
        <rFont val="Arial"/>
      </rPr>
      <t>(equity liabilities)    L</t>
    </r>
    <r>
      <rPr>
        <vertAlign val="subscript"/>
        <sz val="10"/>
        <rFont val="Arial"/>
        <family val="2"/>
      </rPr>
      <t>ct</t>
    </r>
    <r>
      <rPr>
        <vertAlign val="superscript"/>
        <sz val="10"/>
        <rFont val="Arial"/>
        <family val="2"/>
      </rPr>
      <t>e</t>
    </r>
  </si>
  <si>
    <r>
      <t xml:space="preserve">Tobin's Q   </t>
    </r>
    <r>
      <rPr>
        <i/>
        <sz val="10"/>
        <rFont val="Arial"/>
      </rPr>
      <t>(L</t>
    </r>
    <r>
      <rPr>
        <i/>
        <vertAlign val="subscript"/>
        <sz val="10"/>
        <rFont val="Arial"/>
        <family val="2"/>
      </rPr>
      <t>ct</t>
    </r>
    <r>
      <rPr>
        <i/>
        <vertAlign val="superscript"/>
        <sz val="10"/>
        <rFont val="Arial"/>
        <family val="2"/>
      </rPr>
      <t>e</t>
    </r>
    <r>
      <rPr>
        <i/>
        <sz val="10"/>
        <rFont val="Arial"/>
      </rPr>
      <t>/NW</t>
    </r>
    <r>
      <rPr>
        <i/>
        <vertAlign val="subscript"/>
        <sz val="10"/>
        <rFont val="Arial"/>
        <family val="2"/>
      </rPr>
      <t>ct</t>
    </r>
    <r>
      <rPr>
        <i/>
        <sz val="10"/>
        <rFont val="Arial"/>
      </rPr>
      <t>) (Equity value/ Book value)</t>
    </r>
  </si>
  <si>
    <r>
      <t>B</t>
    </r>
    <r>
      <rPr>
        <b/>
        <vertAlign val="subscript"/>
        <sz val="10"/>
        <rFont val="Arial"/>
        <family val="2"/>
      </rPr>
      <t>ct</t>
    </r>
  </si>
  <si>
    <r>
      <t>Tobin's Q   (L</t>
    </r>
    <r>
      <rPr>
        <i/>
        <vertAlign val="subscript"/>
        <sz val="10"/>
        <rFont val="Arial"/>
        <family val="2"/>
      </rPr>
      <t>ct</t>
    </r>
    <r>
      <rPr>
        <i/>
        <vertAlign val="superscript"/>
        <sz val="10"/>
        <rFont val="Arial"/>
        <family val="2"/>
      </rPr>
      <t>e</t>
    </r>
    <r>
      <rPr>
        <i/>
        <sz val="10"/>
        <rFont val="Arial"/>
      </rPr>
      <t>/B</t>
    </r>
    <r>
      <rPr>
        <i/>
        <vertAlign val="subscript"/>
        <sz val="10"/>
        <rFont val="Arial"/>
        <family val="2"/>
      </rPr>
      <t>ct</t>
    </r>
    <r>
      <rPr>
        <i/>
        <sz val="10"/>
        <rFont val="Arial"/>
      </rPr>
      <t>) (Equity value/ Book value)</t>
    </r>
  </si>
  <si>
    <t>Extented national wealth</t>
  </si>
  <si>
    <t>1664 (Petty)</t>
  </si>
  <si>
    <t>1688 (King)</t>
  </si>
  <si>
    <t xml:space="preserve">incl. Land </t>
  </si>
  <si>
    <t>Y</t>
  </si>
  <si>
    <r>
      <t>W</t>
    </r>
    <r>
      <rPr>
        <b/>
        <vertAlign val="subscript"/>
        <sz val="10"/>
        <rFont val="Arial"/>
        <family val="2"/>
      </rPr>
      <t>n</t>
    </r>
  </si>
  <si>
    <r>
      <t>W</t>
    </r>
    <r>
      <rPr>
        <b/>
        <vertAlign val="subscript"/>
        <sz val="10"/>
        <rFont val="Arial"/>
        <family val="2"/>
      </rPr>
      <t>g</t>
    </r>
  </si>
  <si>
    <t>W</t>
  </si>
  <si>
    <t>CGES</t>
  </si>
  <si>
    <t>NNZB</t>
  </si>
  <si>
    <t>NONT</t>
  </si>
  <si>
    <t>NOQA</t>
  </si>
  <si>
    <t>CGDB</t>
  </si>
  <si>
    <t>NLIZ</t>
  </si>
  <si>
    <t>NLMD</t>
  </si>
  <si>
    <t>NLOK</t>
  </si>
  <si>
    <t>Government Wealth (January 1st of each year)</t>
  </si>
  <si>
    <t>CGIX</t>
  </si>
  <si>
    <t>NPUP</t>
  </si>
  <si>
    <t>NPVQ</t>
  </si>
  <si>
    <t>NLEF</t>
  </si>
  <si>
    <t>NLEY</t>
  </si>
  <si>
    <t>NLHJ</t>
  </si>
  <si>
    <t>NLIC</t>
  </si>
  <si>
    <t>Note: There is a discrete jump in 1967 in both financial assets and liabilities (the jump seems to be due to ommitted assets in the central govt balance sheet: see BB Tables 5.2.9 and 5.3.9)</t>
  </si>
  <si>
    <t>NPYL</t>
  </si>
  <si>
    <t>AF.6</t>
  </si>
  <si>
    <t>Household Wealth (&amp; NPISH) (January 1st of each year)</t>
  </si>
  <si>
    <t>incl. Housing</t>
  </si>
  <si>
    <t>Fin corp gross savings</t>
  </si>
  <si>
    <t>Capital transfers received by fin corp</t>
  </si>
  <si>
    <t>Capital transfers paid by fin corp</t>
  </si>
  <si>
    <t xml:space="preserve">Fin corp gross capital formation </t>
  </si>
  <si>
    <t>Fin corp net lending or borrowing</t>
  </si>
  <si>
    <t>Fin corp changes in assets: difference btw total and sum</t>
  </si>
  <si>
    <t>NSSR</t>
  </si>
  <si>
    <t>Household changes in assets: difference btw total and sum</t>
  </si>
  <si>
    <t>Government savings</t>
  </si>
  <si>
    <t>Capital transfers paid by govt</t>
  </si>
  <si>
    <t>Capital transfers received by govt</t>
  </si>
  <si>
    <t xml:space="preserve">Govt gross capital formation </t>
  </si>
  <si>
    <t>Govt net lending or borrowing</t>
  </si>
  <si>
    <t>Govt changes in assets: difference btw total and sum</t>
  </si>
  <si>
    <t>NNAU</t>
  </si>
  <si>
    <t>NNAY</t>
  </si>
  <si>
    <t>NNBC</t>
  </si>
  <si>
    <t>NNBI</t>
  </si>
  <si>
    <t>NNBJ</t>
  </si>
  <si>
    <t>NNBK</t>
  </si>
  <si>
    <t>NNBF</t>
  </si>
  <si>
    <t xml:space="preserve">Govt gross fixed capital formation </t>
  </si>
  <si>
    <t>Gross national income</t>
  </si>
  <si>
    <t>AMBX</t>
  </si>
  <si>
    <t>Gross national disposable income</t>
  </si>
  <si>
    <t>B5g</t>
  </si>
  <si>
    <t>B6g</t>
  </si>
  <si>
    <t>D5+D6+D7 (net inflows)</t>
  </si>
  <si>
    <t>Net foreign taxes &amp; transfers (=GNDI-GNI)</t>
  </si>
  <si>
    <t>Net national savings</t>
  </si>
  <si>
    <t>Final consumption expenditure</t>
  </si>
  <si>
    <t xml:space="preserve"> Exports</t>
  </si>
  <si>
    <t>Current external balance FI = X-M + FY + FT</t>
  </si>
  <si>
    <t>X-M</t>
  </si>
  <si>
    <t>X</t>
  </si>
  <si>
    <t>M</t>
  </si>
  <si>
    <t>FY</t>
  </si>
  <si>
    <t>FT</t>
  </si>
  <si>
    <r>
      <t>Y</t>
    </r>
    <r>
      <rPr>
        <b/>
        <sz val="10"/>
        <rFont val="Arial"/>
      </rPr>
      <t xml:space="preserve">            </t>
    </r>
    <r>
      <rPr>
        <sz val="10"/>
        <rFont val="Arial"/>
      </rPr>
      <t xml:space="preserve">    </t>
    </r>
    <r>
      <rPr>
        <b/>
        <sz val="10"/>
        <rFont val="Arial"/>
      </rPr>
      <t xml:space="preserve"> </t>
    </r>
  </si>
  <si>
    <r>
      <t>Y</t>
    </r>
    <r>
      <rPr>
        <vertAlign val="subscript"/>
        <sz val="10"/>
        <rFont val="Arial"/>
        <family val="2"/>
      </rPr>
      <t>p</t>
    </r>
  </si>
  <si>
    <r>
      <t>% FY</t>
    </r>
    <r>
      <rPr>
        <b/>
        <sz val="10"/>
        <rFont val="Arial"/>
      </rPr>
      <t>/Y</t>
    </r>
  </si>
  <si>
    <r>
      <t>including net foreign capital income FY</t>
    </r>
    <r>
      <rPr>
        <vertAlign val="subscript"/>
        <sz val="10"/>
        <rFont val="Arial"/>
        <family val="2"/>
      </rPr>
      <t>K</t>
    </r>
    <r>
      <rPr>
        <sz val="10"/>
        <rFont val="Arial"/>
      </rPr>
      <t xml:space="preserve">       (% Y</t>
    </r>
    <r>
      <rPr>
        <sz val="10"/>
        <rFont val="Arial"/>
      </rPr>
      <t>)</t>
    </r>
  </si>
  <si>
    <r>
      <t>including gross capital income inflow        (% Y</t>
    </r>
    <r>
      <rPr>
        <i/>
        <sz val="9"/>
        <rFont val="Arial"/>
        <family val="2"/>
      </rPr>
      <t>)</t>
    </r>
  </si>
  <si>
    <r>
      <t>including gross capital income outflow     (% Y</t>
    </r>
    <r>
      <rPr>
        <i/>
        <sz val="9"/>
        <rFont val="Arial"/>
        <family val="2"/>
      </rPr>
      <t>)</t>
    </r>
  </si>
  <si>
    <r>
      <t>including net foreign labor income FY</t>
    </r>
    <r>
      <rPr>
        <vertAlign val="subscript"/>
        <sz val="10"/>
        <rFont val="Arial"/>
        <family val="2"/>
      </rPr>
      <t>L</t>
    </r>
    <r>
      <rPr>
        <sz val="10"/>
        <rFont val="Arial"/>
      </rPr>
      <t xml:space="preserve">       (% Y</t>
    </r>
    <r>
      <rPr>
        <sz val="10"/>
        <rFont val="Arial"/>
      </rPr>
      <t>)</t>
    </r>
  </si>
  <si>
    <r>
      <t>including net foreign product taxes FT</t>
    </r>
    <r>
      <rPr>
        <vertAlign val="subscript"/>
        <sz val="10"/>
        <rFont val="Arial"/>
        <family val="2"/>
      </rPr>
      <t>p</t>
    </r>
    <r>
      <rPr>
        <sz val="10"/>
        <rFont val="Arial"/>
      </rPr>
      <t xml:space="preserve">       (% Y</t>
    </r>
    <r>
      <rPr>
        <sz val="10"/>
        <rFont val="Arial"/>
      </rPr>
      <t>)</t>
    </r>
  </si>
  <si>
    <r>
      <t>GDP</t>
    </r>
    <r>
      <rPr>
        <sz val="10"/>
        <rFont val="Arial"/>
      </rPr>
      <t xml:space="preserve">        </t>
    </r>
  </si>
  <si>
    <t>KD</t>
  </si>
  <si>
    <r>
      <t>% KD</t>
    </r>
    <r>
      <rPr>
        <b/>
        <sz val="10"/>
        <rFont val="Arial"/>
      </rPr>
      <t>/GDP</t>
    </r>
  </si>
  <si>
    <t>I</t>
  </si>
  <si>
    <t>FI</t>
  </si>
  <si>
    <t>incl. household consumption expenditure</t>
  </si>
  <si>
    <t>incl. government consumption expenditure</t>
  </si>
  <si>
    <t>% national income Y</t>
  </si>
  <si>
    <t>C</t>
  </si>
  <si>
    <t>S</t>
  </si>
  <si>
    <t>National disposable income Y + FT = C + S = C + I + FI</t>
  </si>
  <si>
    <r>
      <t>FT</t>
    </r>
    <r>
      <rPr>
        <b/>
        <vertAlign val="subscript"/>
        <sz val="10"/>
        <rFont val="Arial"/>
        <family val="2"/>
      </rPr>
      <t>pt</t>
    </r>
    <r>
      <rPr>
        <b/>
        <sz val="10"/>
        <rFont val="Arial"/>
      </rPr>
      <t xml:space="preserve"> </t>
    </r>
  </si>
  <si>
    <t>Net foreign product taxes &amp; subsidies</t>
  </si>
  <si>
    <t>D2+D3</t>
  </si>
  <si>
    <t>HBOG</t>
  </si>
  <si>
    <t>Current account balance</t>
  </si>
  <si>
    <t>NQET</t>
  </si>
  <si>
    <t>NQCO</t>
  </si>
  <si>
    <t>NQEJ</t>
  </si>
  <si>
    <t>National gross savings</t>
  </si>
  <si>
    <t>NQEW</t>
  </si>
  <si>
    <t>NQCF</t>
  </si>
  <si>
    <t>National savings</t>
  </si>
  <si>
    <t>Capital transfers received from ROW</t>
  </si>
  <si>
    <t>Capital transfers paid to ROW</t>
  </si>
  <si>
    <t>Net foreign income</t>
  </si>
  <si>
    <r>
      <t>% national income Y</t>
    </r>
    <r>
      <rPr>
        <vertAlign val="subscript"/>
        <sz val="10"/>
        <rFont val="Arial"/>
        <family val="2"/>
      </rPr>
      <t>t</t>
    </r>
  </si>
  <si>
    <r>
      <t>% factor-price national  income                             Y</t>
    </r>
    <r>
      <rPr>
        <vertAlign val="subscript"/>
        <sz val="10"/>
        <rFont val="Arial"/>
        <family val="2"/>
      </rPr>
      <t>t</t>
    </r>
    <r>
      <rPr>
        <sz val="10"/>
        <rFont val="Arial"/>
      </rPr>
      <t xml:space="preserve"> - T</t>
    </r>
    <r>
      <rPr>
        <vertAlign val="subscript"/>
        <sz val="10"/>
        <rFont val="Arial"/>
        <family val="2"/>
      </rPr>
      <t>pt</t>
    </r>
  </si>
  <si>
    <r>
      <t>Capital share</t>
    </r>
    <r>
      <rPr>
        <sz val="10"/>
        <rFont val="Arial"/>
      </rPr>
      <t xml:space="preserve"> (excl. govt interest)</t>
    </r>
  </si>
  <si>
    <r>
      <t>FY</t>
    </r>
    <r>
      <rPr>
        <vertAlign val="subscript"/>
        <sz val="10"/>
        <rFont val="Arial"/>
        <family val="2"/>
      </rPr>
      <t>Kt</t>
    </r>
  </si>
  <si>
    <r>
      <t>FY</t>
    </r>
    <r>
      <rPr>
        <vertAlign val="subscript"/>
        <sz val="10"/>
        <rFont val="Arial"/>
        <family val="2"/>
      </rPr>
      <t>Lt</t>
    </r>
  </si>
  <si>
    <r>
      <t>Y</t>
    </r>
    <r>
      <rPr>
        <b/>
        <vertAlign val="subscript"/>
        <sz val="10"/>
        <rFont val="Arial"/>
        <family val="2"/>
      </rPr>
      <t>Kt</t>
    </r>
    <r>
      <rPr>
        <b/>
        <vertAlign val="superscript"/>
        <sz val="10"/>
        <rFont val="Arial"/>
        <family val="2"/>
      </rPr>
      <t>*</t>
    </r>
  </si>
  <si>
    <r>
      <t>Y</t>
    </r>
    <r>
      <rPr>
        <b/>
        <vertAlign val="subscript"/>
        <sz val="10"/>
        <rFont val="Arial"/>
        <family val="2"/>
      </rPr>
      <t>Kt</t>
    </r>
    <r>
      <rPr>
        <b/>
        <sz val="10"/>
        <rFont val="Arial"/>
      </rPr>
      <t xml:space="preserve"> </t>
    </r>
  </si>
  <si>
    <t>(current millions pounds)</t>
  </si>
  <si>
    <t>National income</t>
  </si>
  <si>
    <t>Net domestic product</t>
  </si>
  <si>
    <t>Interest paid (household sector)</t>
  </si>
  <si>
    <t>National net savings</t>
  </si>
  <si>
    <t>Household nonfinancial assets</t>
  </si>
  <si>
    <t>Household financial assets</t>
  </si>
  <si>
    <t>Household financial liabilities</t>
  </si>
  <si>
    <t>Nonfinancial corporations tangible assets</t>
  </si>
  <si>
    <t>Nonfinancial corporations financial assets</t>
  </si>
  <si>
    <t>YBGB</t>
  </si>
  <si>
    <t>Private consumption expenditure deflator</t>
  </si>
  <si>
    <t>YBFS</t>
  </si>
  <si>
    <t xml:space="preserve">Table UK.3: Economic growth, population growth and price deflators in the UK, 1700-2010 </t>
  </si>
  <si>
    <t>1948-today:  BB; 1855-1948: CPI</t>
  </si>
  <si>
    <t>Price indexes</t>
  </si>
  <si>
    <t>Table UK.5a: Accumulation equation for private wealth in the UK, 1855-2010 (annual series)</t>
  </si>
  <si>
    <t>Table UK.5b: Accumulation equation for national wealth in the UK, 1855-2010 (annual series)</t>
  </si>
  <si>
    <t xml:space="preserve">Net corporate wealth (non-financial + financial corporations)                                                 </t>
  </si>
  <si>
    <t>incl. net govt wealth</t>
  </si>
  <si>
    <t xml:space="preserve">Net public-sector corporate wealth (public non-financial corporations)                                                 </t>
  </si>
  <si>
    <t>Net public-sector corporate wealth         (% National wealth)</t>
  </si>
  <si>
    <t>incl. net public-sector corporate wealth</t>
  </si>
  <si>
    <t>Extended govt wealth (% Extended national wealth)</t>
  </si>
  <si>
    <t>Market-value national wealth (private + government)</t>
  </si>
  <si>
    <r>
      <t xml:space="preserve">Corrected market-value national wealth                                   </t>
    </r>
    <r>
      <rPr>
        <sz val="10"/>
        <rFont val="Arial"/>
      </rPr>
      <t>(corrected govt wealth + private wealth)</t>
    </r>
  </si>
  <si>
    <t>Corrected govt wealth</t>
  </si>
  <si>
    <t>Method n°3: book value national wealth</t>
  </si>
  <si>
    <t>Method n°2: corrected market value national wealth</t>
  </si>
  <si>
    <t>method 3</t>
  </si>
  <si>
    <t>Market-value national wealth-national income ratios</t>
  </si>
  <si>
    <t>Net govt interest</t>
  </si>
  <si>
    <t>Decomposition of wealth-income ratio at time t+n</t>
  </si>
  <si>
    <t>Corrected market-value national wealth-national income ratios</t>
  </si>
  <si>
    <t>Total property income paid (=Interest paid)</t>
  </si>
  <si>
    <t>Total property income received (=Interest received (mostly) + dividend + other)</t>
  </si>
  <si>
    <t>1963-today: BB, Table 5.1.3</t>
  </si>
  <si>
    <t>Method n°1: market value national wealth</t>
  </si>
  <si>
    <r>
      <t>National  wealth W</t>
    </r>
    <r>
      <rPr>
        <vertAlign val="subscript"/>
        <sz val="10"/>
        <rFont val="Arial"/>
        <family val="2"/>
      </rPr>
      <t>t</t>
    </r>
  </si>
  <si>
    <t xml:space="preserve">National savings rate </t>
  </si>
  <si>
    <t>Ratio (national wealth)/ (national income)</t>
  </si>
  <si>
    <t>Real growth rate of national income g</t>
  </si>
  <si>
    <r>
      <t>1+g</t>
    </r>
    <r>
      <rPr>
        <vertAlign val="subscript"/>
        <sz val="10"/>
        <rFont val="Arial Narrow"/>
      </rPr>
      <t>wnt</t>
    </r>
    <r>
      <rPr>
        <sz val="10"/>
        <rFont val="Arial Narrow"/>
        <family val="2"/>
      </rPr>
      <t xml:space="preserve"> = W</t>
    </r>
    <r>
      <rPr>
        <vertAlign val="subscript"/>
        <sz val="10"/>
        <rFont val="Arial Narrow"/>
      </rPr>
      <t>nt</t>
    </r>
    <r>
      <rPr>
        <sz val="10"/>
        <rFont val="Arial Narrow"/>
        <family val="2"/>
      </rPr>
      <t>/W</t>
    </r>
    <r>
      <rPr>
        <vertAlign val="subscript"/>
        <sz val="10"/>
        <rFont val="Arial Narrow"/>
      </rPr>
      <t>nt-1</t>
    </r>
  </si>
  <si>
    <r>
      <t>β</t>
    </r>
    <r>
      <rPr>
        <vertAlign val="subscript"/>
        <sz val="10"/>
        <rFont val="Arial"/>
        <family val="2"/>
      </rPr>
      <t>nt</t>
    </r>
    <r>
      <rPr>
        <sz val="10"/>
        <rFont val="Arial"/>
      </rPr>
      <t xml:space="preserve"> = W</t>
    </r>
    <r>
      <rPr>
        <vertAlign val="subscript"/>
        <sz val="10"/>
        <rFont val="Arial"/>
        <family val="2"/>
      </rPr>
      <t>t</t>
    </r>
    <r>
      <rPr>
        <sz val="10"/>
        <rFont val="Arial"/>
      </rPr>
      <t>/Y</t>
    </r>
    <r>
      <rPr>
        <vertAlign val="subscript"/>
        <sz val="10"/>
        <rFont val="Arial"/>
        <family val="2"/>
      </rPr>
      <t>t</t>
    </r>
  </si>
  <si>
    <r>
      <t>s</t>
    </r>
    <r>
      <rPr>
        <vertAlign val="subscript"/>
        <sz val="10"/>
        <rFont val="Arial"/>
        <family val="2"/>
      </rPr>
      <t>nt</t>
    </r>
    <r>
      <rPr>
        <sz val="10"/>
        <rFont val="Arial"/>
      </rPr>
      <t xml:space="preserve"> = S</t>
    </r>
    <r>
      <rPr>
        <vertAlign val="subscript"/>
        <sz val="10"/>
        <rFont val="Arial"/>
        <family val="2"/>
      </rPr>
      <t>nt</t>
    </r>
    <r>
      <rPr>
        <sz val="10"/>
        <rFont val="Arial"/>
      </rPr>
      <t>/Y</t>
    </r>
    <r>
      <rPr>
        <vertAlign val="subscript"/>
        <sz val="10"/>
        <rFont val="Arial"/>
        <family val="2"/>
      </rPr>
      <t>t</t>
    </r>
  </si>
  <si>
    <t>Ratio (book-value national wealth)/ (national income)</t>
  </si>
  <si>
    <r>
      <t>Real growth rate of book-value national wealth g</t>
    </r>
    <r>
      <rPr>
        <vertAlign val="subscript"/>
        <sz val="9"/>
        <rFont val="Arial Narrow"/>
        <family val="2"/>
      </rPr>
      <t>wt</t>
    </r>
  </si>
  <si>
    <r>
      <t>Real growth rate or national wealth   g</t>
    </r>
    <r>
      <rPr>
        <vertAlign val="subscript"/>
        <sz val="9"/>
        <rFont val="Arial"/>
        <family val="2"/>
      </rPr>
      <t>wn</t>
    </r>
  </si>
  <si>
    <t>Private wealth-national income ratios</t>
  </si>
  <si>
    <t>Decomposition of private wealth-national income ratio at time t+n</t>
  </si>
  <si>
    <t>Initial wealth effect</t>
  </si>
  <si>
    <t>Cumulated new savings</t>
  </si>
  <si>
    <t>Capital gains or losses</t>
  </si>
  <si>
    <r>
      <t>β</t>
    </r>
    <r>
      <rPr>
        <vertAlign val="subscript"/>
        <sz val="12"/>
        <rFont val="Arial"/>
        <family val="2"/>
      </rPr>
      <t>t</t>
    </r>
  </si>
  <si>
    <r>
      <t>β</t>
    </r>
    <r>
      <rPr>
        <vertAlign val="subscript"/>
        <sz val="12"/>
        <rFont val="Arial"/>
        <family val="2"/>
      </rPr>
      <t>t+n</t>
    </r>
  </si>
  <si>
    <t>Book-value national wealth-national income ratios</t>
  </si>
  <si>
    <t>Table UK.4d: Sources of national wealth accumulation in the UK, 1700-2010 - Multiplicative decomposition</t>
  </si>
  <si>
    <t xml:space="preserve">Real growth rate of market value national wealth </t>
  </si>
  <si>
    <t xml:space="preserve">Real growth rate of book value national wealth </t>
  </si>
  <si>
    <t>Nonfinancial corporations liabilities</t>
  </si>
  <si>
    <t>Nonfinancial corporations equity liabilities</t>
  </si>
  <si>
    <t>Financial corporations tangible assets</t>
  </si>
  <si>
    <t>Financial corporations financial assets</t>
  </si>
  <si>
    <t>Financial corporations liabilities</t>
  </si>
  <si>
    <t>Financial corporations equity liabilities</t>
  </si>
  <si>
    <t>Foreign assets</t>
  </si>
  <si>
    <t>Foreign equity assets</t>
  </si>
  <si>
    <t>Foreign liabilities</t>
  </si>
  <si>
    <t>Foreign equity liabilities</t>
  </si>
  <si>
    <t>Government financial assets</t>
  </si>
  <si>
    <t>Government financial liabilities</t>
  </si>
  <si>
    <t>Source</t>
  </si>
  <si>
    <t>B1n</t>
  </si>
  <si>
    <t>B1</t>
  </si>
  <si>
    <t>K1</t>
  </si>
  <si>
    <t>J4WZ</t>
  </si>
  <si>
    <t>CGRC</t>
  </si>
  <si>
    <t>CGCZ</t>
  </si>
  <si>
    <t>CGRI</t>
  </si>
  <si>
    <t>NNML</t>
  </si>
  <si>
    <t>NNPP</t>
  </si>
  <si>
    <t>[1]</t>
  </si>
  <si>
    <t>[2]</t>
  </si>
  <si>
    <t>[3]</t>
  </si>
  <si>
    <t>[4]</t>
  </si>
  <si>
    <t>[5]</t>
  </si>
  <si>
    <t>[6]</t>
  </si>
  <si>
    <t>[7]</t>
  </si>
  <si>
    <t>[8]</t>
  </si>
  <si>
    <t>[9]</t>
  </si>
  <si>
    <t>[10]</t>
  </si>
  <si>
    <t>[11]</t>
  </si>
  <si>
    <t>[12]</t>
  </si>
  <si>
    <t>[13]</t>
  </si>
  <si>
    <t>[14]</t>
  </si>
  <si>
    <t>Government wealth (all govt levels)</t>
  </si>
  <si>
    <t>% (Private wealth)/ (National wealth)</t>
  </si>
  <si>
    <t>% (Govt wealth)/ (National wealth)</t>
  </si>
  <si>
    <t>Private wealth</t>
  </si>
  <si>
    <t>Nonfinancial assets</t>
  </si>
  <si>
    <t>Financial assets</t>
  </si>
  <si>
    <t>Financial liabilities</t>
  </si>
  <si>
    <t>Govt wealth</t>
  </si>
  <si>
    <t>National wealth</t>
  </si>
  <si>
    <r>
      <t>(% national income Y</t>
    </r>
    <r>
      <rPr>
        <vertAlign val="subscript"/>
        <sz val="10"/>
        <rFont val="Arial"/>
        <family val="2"/>
      </rPr>
      <t>t</t>
    </r>
    <r>
      <rPr>
        <sz val="12"/>
        <color indexed="8"/>
        <rFont val="Arial"/>
        <family val="2"/>
      </rPr>
      <t>)</t>
    </r>
  </si>
  <si>
    <r>
      <t>W</t>
    </r>
    <r>
      <rPr>
        <b/>
        <vertAlign val="subscript"/>
        <sz val="10"/>
        <rFont val="Arial"/>
        <family val="2"/>
      </rPr>
      <t>t</t>
    </r>
  </si>
  <si>
    <r>
      <t>K</t>
    </r>
    <r>
      <rPr>
        <vertAlign val="subscript"/>
        <sz val="10"/>
        <rFont val="Arial"/>
        <family val="2"/>
      </rPr>
      <t>pt</t>
    </r>
  </si>
  <si>
    <r>
      <t>A</t>
    </r>
    <r>
      <rPr>
        <vertAlign val="subscript"/>
        <sz val="10"/>
        <rFont val="Arial"/>
        <family val="2"/>
      </rPr>
      <t>pt</t>
    </r>
  </si>
  <si>
    <r>
      <t>L</t>
    </r>
    <r>
      <rPr>
        <vertAlign val="subscript"/>
        <sz val="10"/>
        <rFont val="Arial"/>
        <family val="2"/>
      </rPr>
      <t>pt</t>
    </r>
  </si>
  <si>
    <r>
      <t>W</t>
    </r>
    <r>
      <rPr>
        <b/>
        <vertAlign val="subscript"/>
        <sz val="10"/>
        <rFont val="Arial"/>
        <family val="2"/>
      </rPr>
      <t>gt</t>
    </r>
  </si>
  <si>
    <r>
      <t>K</t>
    </r>
    <r>
      <rPr>
        <vertAlign val="subscript"/>
        <sz val="10"/>
        <rFont val="Arial"/>
        <family val="2"/>
      </rPr>
      <t>gt</t>
    </r>
  </si>
  <si>
    <r>
      <t>A</t>
    </r>
    <r>
      <rPr>
        <vertAlign val="subscript"/>
        <sz val="10"/>
        <rFont val="Arial"/>
        <family val="2"/>
      </rPr>
      <t>gt</t>
    </r>
  </si>
  <si>
    <r>
      <t>L</t>
    </r>
    <r>
      <rPr>
        <vertAlign val="subscript"/>
        <sz val="10"/>
        <rFont val="Arial"/>
        <family val="2"/>
      </rPr>
      <t>gt</t>
    </r>
  </si>
  <si>
    <r>
      <t>W</t>
    </r>
    <r>
      <rPr>
        <b/>
        <vertAlign val="subscript"/>
        <sz val="10"/>
        <rFont val="Arial"/>
        <family val="2"/>
      </rPr>
      <t>nt</t>
    </r>
  </si>
  <si>
    <r>
      <t>K</t>
    </r>
    <r>
      <rPr>
        <vertAlign val="subscript"/>
        <sz val="10"/>
        <rFont val="Arial"/>
        <family val="2"/>
      </rPr>
      <t>nt</t>
    </r>
  </si>
  <si>
    <r>
      <t>A</t>
    </r>
    <r>
      <rPr>
        <vertAlign val="subscript"/>
        <sz val="10"/>
        <rFont val="Arial"/>
        <family val="2"/>
      </rPr>
      <t>nt</t>
    </r>
  </si>
  <si>
    <r>
      <t>L</t>
    </r>
    <r>
      <rPr>
        <vertAlign val="subscript"/>
        <sz val="10"/>
        <rFont val="Arial"/>
        <family val="2"/>
      </rPr>
      <t>nt</t>
    </r>
  </si>
  <si>
    <t>Household sector (non-corporate business) (2)</t>
  </si>
  <si>
    <t>Household sector (non-corporate business) (1)</t>
  </si>
  <si>
    <t>1855-1875</t>
  </si>
  <si>
    <t>1875-1885</t>
  </si>
  <si>
    <t xml:space="preserve"> incl. wages &amp; social contributions paid by non-farm non-corporate business (&amp; households)</t>
  </si>
  <si>
    <t>incl. Farm CCF</t>
  </si>
  <si>
    <t>incl. farm gross value added</t>
  </si>
  <si>
    <t>incl. farm net domestic product</t>
  </si>
  <si>
    <r>
      <t xml:space="preserve">incl. net   foreign investment  </t>
    </r>
    <r>
      <rPr>
        <sz val="9"/>
        <rFont val="Arial Narrow"/>
      </rPr>
      <t>(current external balance)</t>
    </r>
  </si>
  <si>
    <r>
      <t xml:space="preserve">incl. net domestic investment             </t>
    </r>
    <r>
      <rPr>
        <sz val="9"/>
        <rFont val="Arial Narrow"/>
      </rPr>
      <t>(net capital formation)</t>
    </r>
  </si>
  <si>
    <t>memo:  Capital depreciation</t>
  </si>
  <si>
    <r>
      <t>% national income Y = Y</t>
    </r>
    <r>
      <rPr>
        <b/>
        <vertAlign val="subscript"/>
        <sz val="10"/>
        <rFont val="Arial"/>
        <family val="2"/>
      </rPr>
      <t xml:space="preserve">h </t>
    </r>
    <r>
      <rPr>
        <b/>
        <sz val="10"/>
        <rFont val="Arial"/>
      </rPr>
      <t>+ Y</t>
    </r>
    <r>
      <rPr>
        <b/>
        <vertAlign val="subscript"/>
        <sz val="10"/>
        <rFont val="Arial"/>
        <family val="2"/>
      </rPr>
      <t xml:space="preserve">se </t>
    </r>
    <r>
      <rPr>
        <b/>
        <sz val="10"/>
        <rFont val="Arial"/>
      </rPr>
      <t>+ Y</t>
    </r>
    <r>
      <rPr>
        <b/>
        <vertAlign val="subscript"/>
        <sz val="10"/>
        <rFont val="Arial"/>
        <family val="2"/>
      </rPr>
      <t xml:space="preserve">c </t>
    </r>
    <r>
      <rPr>
        <b/>
        <sz val="10"/>
        <rFont val="Arial"/>
      </rPr>
      <t>+ Y</t>
    </r>
    <r>
      <rPr>
        <b/>
        <vertAlign val="subscript"/>
        <sz val="10"/>
        <rFont val="Arial"/>
        <family val="2"/>
      </rPr>
      <t xml:space="preserve">g </t>
    </r>
    <r>
      <rPr>
        <b/>
        <sz val="10"/>
        <rFont val="Arial"/>
      </rPr>
      <t>+ T</t>
    </r>
    <r>
      <rPr>
        <b/>
        <vertAlign val="subscript"/>
        <sz val="10"/>
        <rFont val="Arial"/>
        <family val="2"/>
      </rPr>
      <t>p</t>
    </r>
  </si>
  <si>
    <r>
      <t>Y</t>
    </r>
    <r>
      <rPr>
        <vertAlign val="subscript"/>
        <sz val="10"/>
        <rFont val="Arial"/>
        <family val="2"/>
      </rPr>
      <t>h</t>
    </r>
  </si>
  <si>
    <r>
      <t>Y</t>
    </r>
    <r>
      <rPr>
        <vertAlign val="subscript"/>
        <sz val="10"/>
        <rFont val="Arial"/>
        <family val="2"/>
      </rPr>
      <t>se</t>
    </r>
  </si>
  <si>
    <r>
      <t>Y</t>
    </r>
    <r>
      <rPr>
        <vertAlign val="subscript"/>
        <sz val="10"/>
        <rFont val="Arial"/>
        <family val="2"/>
      </rPr>
      <t>c</t>
    </r>
  </si>
  <si>
    <r>
      <t>Y</t>
    </r>
    <r>
      <rPr>
        <vertAlign val="subscript"/>
        <sz val="10"/>
        <rFont val="Arial"/>
        <family val="2"/>
      </rPr>
      <t>g</t>
    </r>
  </si>
  <si>
    <r>
      <t>T</t>
    </r>
    <r>
      <rPr>
        <vertAlign val="subscript"/>
        <sz val="10"/>
        <rFont val="Arial"/>
        <family val="2"/>
      </rPr>
      <t>p</t>
    </r>
  </si>
  <si>
    <r>
      <t>% factor-price national income Y</t>
    </r>
    <r>
      <rPr>
        <b/>
        <vertAlign val="subscript"/>
        <sz val="10"/>
        <rFont val="Arial"/>
        <family val="2"/>
      </rPr>
      <t xml:space="preserve"> </t>
    </r>
    <r>
      <rPr>
        <b/>
        <sz val="10"/>
        <rFont val="Arial"/>
      </rPr>
      <t>- T</t>
    </r>
    <r>
      <rPr>
        <b/>
        <vertAlign val="subscript"/>
        <sz val="10"/>
        <rFont val="Arial"/>
        <family val="2"/>
      </rPr>
      <t>p</t>
    </r>
  </si>
  <si>
    <t>memo: Gross domestic investment</t>
  </si>
  <si>
    <t>Net domestic investment (net capital formation)</t>
  </si>
  <si>
    <t>Memo: Gross domestic investment</t>
  </si>
  <si>
    <t>Memo: Capital depreciation</t>
  </si>
  <si>
    <t>1948-today: BB, Table 5.1.2; 1855-1948: Feinstein 1972 (1889-1948: "gross trading surplus of public enterprises" series, see formula; 1855-1889: fixed at 0.5% of GDP) (to be improved: over 1855-1948, govt sector depreciation is very likely to be under-estimated)</t>
  </si>
  <si>
    <t>Discrepency net investment</t>
  </si>
  <si>
    <t>Discrepency depreciation</t>
  </si>
  <si>
    <t>Net domestic fixed capital formation</t>
  </si>
  <si>
    <t>incl. Public sector</t>
  </si>
  <si>
    <t xml:space="preserve">1855-1965: Feinstein 1972 Table 39 pp.T85 col.(8)+(9)+(10) </t>
  </si>
  <si>
    <t>incl. Public corporations</t>
  </si>
  <si>
    <t>incl. Govt (central+local)</t>
  </si>
  <si>
    <t xml:space="preserve">1855-1965: Feinstein 1972 Table 39 pp.T85 col.(9)+(10) </t>
  </si>
  <si>
    <t>Govt fixed capital formation</t>
  </si>
  <si>
    <t>BB (see formula)</t>
  </si>
  <si>
    <t>Note: Feinstein and BB govt invt series are consistent</t>
  </si>
  <si>
    <t>1987-today: BB, Table 5.1.7; 1946-1986: taken to be equal to govt gross fixed capital formation (almost exactly true on average over 1987-2010); 1855-1945: Feinstein (see formula and notes above)</t>
  </si>
  <si>
    <t>Net private investment (personal + corporate)</t>
  </si>
  <si>
    <t>incl.            net personal investment</t>
  </si>
  <si>
    <t>incl.            net corporate investment</t>
  </si>
  <si>
    <t xml:space="preserve">Net government investment </t>
  </si>
  <si>
    <t>Gross private investment (personal + corporate)</t>
  </si>
  <si>
    <t>incl.          gross corporate investment</t>
  </si>
  <si>
    <t>incl.           gross personal investment</t>
  </si>
  <si>
    <t xml:space="preserve">Gross government investment </t>
  </si>
  <si>
    <t>Private capital depreciation (personal + corporate)</t>
  </si>
  <si>
    <t>incl.   personal capital depreciation</t>
  </si>
  <si>
    <t>incl.        personal  capital depreciation (housing)</t>
  </si>
  <si>
    <t>incl. corporate capital depreciation</t>
  </si>
  <si>
    <t>Government capital depreciation</t>
  </si>
  <si>
    <t>Memo: Gross national savings</t>
  </si>
  <si>
    <t>Gross private savings (personal + corporate)</t>
  </si>
  <si>
    <t>incl.           gross personal savings</t>
  </si>
  <si>
    <t>incl. gross corporate savings (retained earnings)</t>
  </si>
  <si>
    <t>Gross government savings</t>
  </si>
  <si>
    <t>1870-2010</t>
  </si>
  <si>
    <t>1870-1910</t>
  </si>
  <si>
    <t>Gross national savings (computed via expenditure components: domestic + foreign investment)</t>
  </si>
  <si>
    <t>Gross national savings (computed income components: income - consumption</t>
  </si>
  <si>
    <t>Note: These series are far from being perfectly continuous</t>
  </si>
  <si>
    <t>Corporate savings (all corporations)</t>
  </si>
  <si>
    <t>Gross corporate savings</t>
  </si>
  <si>
    <t>1965-today: BB; 1948-1964: Martin; 1920-1947: Feinstein 1972 Table 16 pp.T40-T41 col.(2) (companies)</t>
  </si>
  <si>
    <t>Household gross savings (net of capital transfers)</t>
  </si>
  <si>
    <t>discrepency</t>
  </si>
  <si>
    <t>Net corporate wealth (book value minus market value)</t>
  </si>
  <si>
    <t>Net Public NFC wealth</t>
  </si>
  <si>
    <t>Feinstein capital stock series (all domestic sectors)</t>
  </si>
  <si>
    <t>Net public sector wealth (govt+public NFC)</t>
  </si>
  <si>
    <t>Net corporate wealth (excluding public NFC)</t>
  </si>
  <si>
    <t>NMTR/ National income</t>
  </si>
  <si>
    <t>Net priv. wealth/ Net priv.weatlh (incl.NMTR)</t>
  </si>
  <si>
    <t>Non-housing non-fin assets /national income</t>
  </si>
  <si>
    <t>FW</t>
  </si>
  <si>
    <t xml:space="preserve">Net foreign wealth </t>
  </si>
  <si>
    <t>Net government wealth</t>
  </si>
  <si>
    <t>1967-today: BB, Table 3.2.9</t>
  </si>
  <si>
    <t>Note: Public non-financial corporations are defined as NFCs with majority control by government</t>
  </si>
  <si>
    <t>National wealth (book value)</t>
  </si>
  <si>
    <t>National wealth (January 1st of each year)</t>
  </si>
  <si>
    <t>1988-today: BB, Table 10.10; 1958, 1961, 1964, 1967, 1970, 1973 and 1976-1987: official net personal wealth series from BB publications (as reported by Atkinson 2012 excel file, sheet "Balance sheets", col. H (personal sector))</t>
  </si>
  <si>
    <t>1988-today: BB (sum); 1958, 1961, 1964, 1967, 1970, 1973 and 1976-1987: official net national wealth series from BB publications minus NMTR estimate (see formula)</t>
  </si>
  <si>
    <t xml:space="preserve">Public Non-financial corporations </t>
  </si>
  <si>
    <t>1988-today: BB (sum); 1958, 1961, 1964, 1967, 1970, 1973 and 1976-1987: official net national wealth series from BB publications (as reported by Atkinson 2012 excel file, sheet "Balance sheets", col. B (national wealth))</t>
  </si>
  <si>
    <t>1988-today: BB, Table 3.1.9; 1958, 1961, 1964, 1967, 1970, 1973, 1976-1987: official series from BB publications (as reported by Atkinson 2012 excel file, sheet "Balance sheets", col. W)</t>
  </si>
  <si>
    <t>1967-today: BB, Table 3.2.9; 1958-1966: computed as 60% of public NFC assets (=stable ratio over 1967-1987)</t>
  </si>
  <si>
    <t>1964-today: BB (sum)</t>
  </si>
  <si>
    <t>Note: For 1958, 1961, 1964, the official series from BB publications (as reported by Atkinson 2012 excel file, sheet "Balance sheets", col. H) seem to indicate negative net public sector wealth (-7.4 billion in 1958, -6.2 in 1961 and -1.7 in 1964); however this does not seem consistent with BB on-line series (to be improved)</t>
  </si>
  <si>
    <t>1970-today: BB (sum) (see formula)</t>
  </si>
  <si>
    <t>National wealth (book value) (pre-ESA95 BB) (including NMTRs)</t>
  </si>
  <si>
    <t>% national income</t>
  </si>
  <si>
    <t xml:space="preserve">Govt assets </t>
  </si>
  <si>
    <t>Net foreign assets</t>
  </si>
  <si>
    <t>Foreign wealth / national wealth</t>
  </si>
  <si>
    <t xml:space="preserve">Notes: (1) All wealth estimates on this and subsequent tables are mid-year estimates (they were computed as averages between January 1st and December 31st estimates). (2) All current pounds aggregates on this and subsequent tables - for income and for wealth - were converted into 2010 pounds using the GDP deflator. (3) All aggregates on this and subsequent table cover the historical territory of the U.K. (Great Britain + Ireland) (Southern Ireland included in until 1920a, excluded after 1920b), excluding all overseas territories.                                      </t>
  </si>
  <si>
    <t>memo: Ratio (dispos. income)/ (national income)</t>
  </si>
  <si>
    <r>
      <t>memo:    Per adult dispos. income</t>
    </r>
    <r>
      <rPr>
        <i/>
        <sz val="10"/>
        <rFont val="Arial"/>
      </rPr>
      <t xml:space="preserve"> (2010 £)</t>
    </r>
  </si>
  <si>
    <t>memo:    Ratio (private wealth)/ (dispos. income)</t>
  </si>
  <si>
    <t>Real growth rate of national income        (GDP deflator)</t>
  </si>
  <si>
    <t>Real growth rate of private wealth         (GDP deflator)</t>
  </si>
  <si>
    <t xml:space="preserve">Real growth rate of per-capita national income        (GDP deflator) </t>
  </si>
  <si>
    <t>Real growth rate of per-capita national income         (CPI)</t>
  </si>
  <si>
    <t xml:space="preserve">Real growth rate of per-worker national income         (GDP deflator) </t>
  </si>
  <si>
    <t>Population growth rate</t>
  </si>
  <si>
    <t>Adult population growth rate (20-yr+)</t>
  </si>
  <si>
    <t xml:space="preserve">Employed population growth rate </t>
  </si>
  <si>
    <t xml:space="preserve">GDP price inflation </t>
  </si>
  <si>
    <t xml:space="preserve">Consumer price inflation </t>
  </si>
  <si>
    <t>Personal consumption expenditure inflation</t>
  </si>
  <si>
    <t>Summary Macro Variables</t>
  </si>
  <si>
    <t>Structure of National Wealth</t>
  </si>
  <si>
    <t>Structure of National Income</t>
  </si>
  <si>
    <t>Table UK.4b: Sources of private wealth accumulation in the UK, 1700-2010 - Multiplicative decomposition</t>
  </si>
  <si>
    <t>Checks</t>
  </si>
  <si>
    <t>Table UK.5d: Accumulation equation for private and national wealth in the UK, 1700-1913 (decennial estimates)</t>
  </si>
  <si>
    <t>Government saving</t>
  </si>
  <si>
    <t>Government investment</t>
  </si>
  <si>
    <t>Government budget surplus or deficit (saving - investment)</t>
  </si>
  <si>
    <t>incl. primary surplus or deficit</t>
  </si>
  <si>
    <t>incl. net interest paid</t>
  </si>
  <si>
    <t>Government wealth-national income ratios</t>
  </si>
  <si>
    <t>Decomposition of government wealth-national income ratio at time t+n</t>
  </si>
  <si>
    <t>incl. net interest payments</t>
  </si>
  <si>
    <t>Table UK.6a: Structure of national wealth in the UK, 1855-2010: private wealth vs government wealth</t>
  </si>
  <si>
    <t>Real growth rate of national income</t>
  </si>
  <si>
    <t>Government non-financial assets</t>
  </si>
  <si>
    <t>Investment-induced growth rate</t>
  </si>
  <si>
    <t>Public debt held by central bank</t>
  </si>
  <si>
    <t>Other financial assets</t>
  </si>
  <si>
    <t>pred./obs</t>
  </si>
  <si>
    <r>
      <t>1+g</t>
    </r>
    <r>
      <rPr>
        <vertAlign val="subscript"/>
        <sz val="10"/>
        <rFont val="Arial"/>
        <family val="2"/>
      </rPr>
      <t>t</t>
    </r>
    <r>
      <rPr>
        <sz val="10"/>
        <rFont val="Arial"/>
      </rPr>
      <t>= Y</t>
    </r>
    <r>
      <rPr>
        <vertAlign val="subscript"/>
        <sz val="10"/>
        <rFont val="Arial"/>
        <family val="2"/>
      </rPr>
      <t>t</t>
    </r>
    <r>
      <rPr>
        <sz val="10"/>
        <rFont val="Arial"/>
      </rPr>
      <t>/Y</t>
    </r>
    <r>
      <rPr>
        <vertAlign val="subscript"/>
        <sz val="10"/>
        <rFont val="Arial"/>
        <family val="2"/>
      </rPr>
      <t>t-1</t>
    </r>
  </si>
  <si>
    <t>bn 2010 £</t>
  </si>
  <si>
    <t>DataUK4: Pre-1855 series</t>
  </si>
  <si>
    <t>O'Donohue, Goulding &amp; Allen (ONS, 2004)</t>
  </si>
  <si>
    <t>January 1974 = 100</t>
  </si>
  <si>
    <t>In official UK national accounts (BB), there is an official discrepency between expenditure and income definitions of GDP, but it is usually very small; in Feinstein series, the discrepancy is much lagher (income GDP can typically be 10% smaller than expenditure GDP).</t>
  </si>
  <si>
    <t>NI &amp; GDP computed from expenditure side</t>
  </si>
  <si>
    <t>National income and GDP computed from income side</t>
  </si>
  <si>
    <t>Net domestic product of housing sector</t>
  </si>
  <si>
    <t>Corrected net domestic product of housing sector (net product + FISIM on mortgage)</t>
  </si>
  <si>
    <t>Assumes constant to 1% before 1948</t>
  </si>
  <si>
    <t>National income and GDP as sum of income components: misc. computations</t>
  </si>
  <si>
    <t>Misc. computations on wages</t>
  </si>
  <si>
    <t>Non-corporate vs corporate business: misc. computations</t>
  </si>
  <si>
    <t>National income and GDP as sum of expenditure components: misc. computations</t>
  </si>
  <si>
    <t>Corporate savings (non financial corporations)</t>
  </si>
  <si>
    <t>Corporate savings (financial corporations)</t>
  </si>
  <si>
    <t>DataUK1: Raw 1855-2010 national income accounts series for UK (income, expenditure, output, saving)</t>
  </si>
  <si>
    <t>Govt gross saving</t>
  </si>
  <si>
    <t>Govt gross saving, incl. Net K transfers</t>
  </si>
  <si>
    <t>Mittchell 1988 p. 575 (1700-1800; total net income) &amp; p. 581 (1802-1980, Total gross income)</t>
  </si>
  <si>
    <t>Central govt gross saving: difference btw total and sum</t>
  </si>
  <si>
    <t>1988-today: BB, Table 10.10; 1986-1987: BB 1996, Table 12.2; 1948-1985: Blake-Orszag series anchored at BB series in 1986-1987 (see formula); 1920-1947: Solomou-Weale</t>
  </si>
  <si>
    <t>Note: The fact that the ratio is stable around 90%-95% in 1958-1987 is reassuring: this indicates that the private wealth series reconstructed from Blake-Orzag series is consistent with the official BB series reported by Atkinson 2012 (this also suggests that NMTRs have been relatively stable)</t>
  </si>
  <si>
    <t>Table UK.6b : Structure of national wealth in the UK, 1970-2010: net corporate wealth and net foreign asset position</t>
  </si>
  <si>
    <t>Our definition of net private wealth excludes non-marketable tenancy rights (NMTRs), which are not considered as assets by ESA95 and will be eliminated from official ONS balance sheets (see "Improvments to the non-financial balance sheet", ONS, february 2012). NPISH are included in the household sector and cannot be isolated.</t>
  </si>
  <si>
    <t>Private wealth (individuals &amp; NPISH)</t>
  </si>
  <si>
    <r>
      <rPr>
        <u/>
        <sz val="10"/>
        <rFont val="Arial"/>
      </rPr>
      <t>Notes</t>
    </r>
    <r>
      <rPr>
        <sz val="10"/>
        <rFont val="Arial"/>
      </rPr>
      <t>: (1) Official corporate balance sheets are not fully homogenous for 1970-1987 and 1988-2010 subperiods, so here we set corporate financial assets and (non-equity) liabilities to be equal in 1970-1987, so that book value = non-financial assets, and market value = non-financial assets minus net corporate wealth (this does not affect market-value or book-value national wealth). (2) Revel 1967 pp.46-55 provides very detailed blance sheets for 1957-1961 showing Tobin's Q around 50% and residual corporate wealth (book value minus market value) around 75%-100% of national income.</t>
    </r>
  </si>
  <si>
    <t>Table UK.6f: The changing nature of national wealth in the UK, 1700-2010</t>
  </si>
  <si>
    <t>Table UK.8: Structure of national income in the UK, 1855-2010: national income vs gross domestic product</t>
  </si>
  <si>
    <t>Table UK.9: Structure of national income in the UK, 1855-2010: decomposition by production sectors</t>
  </si>
  <si>
    <t>Table UK.10: Structure of national income in the UK, 1855-2010: profits &amp; wages in the corporate sector</t>
  </si>
  <si>
    <t>Table UK.11a: Structure of national income in the UK, 1855-2010: capital &amp; labor shares in national income</t>
  </si>
  <si>
    <r>
      <t>(% national income Y</t>
    </r>
    <r>
      <rPr>
        <vertAlign val="subscript"/>
        <sz val="10"/>
        <rFont val="Arial"/>
        <family val="2"/>
      </rPr>
      <t>t</t>
    </r>
    <r>
      <rPr>
        <sz val="10"/>
        <rFont val="Arial"/>
      </rPr>
      <t>)</t>
    </r>
  </si>
  <si>
    <r>
      <t>Private wealth W</t>
    </r>
    <r>
      <rPr>
        <b/>
        <vertAlign val="subscript"/>
        <sz val="10"/>
        <rFont val="Arial"/>
        <family val="2"/>
      </rPr>
      <t>t</t>
    </r>
  </si>
  <si>
    <r>
      <t>inc. housing assets K</t>
    </r>
    <r>
      <rPr>
        <vertAlign val="subscript"/>
        <sz val="10"/>
        <rFont val="Arial"/>
        <family val="2"/>
      </rPr>
      <t>t</t>
    </r>
    <r>
      <rPr>
        <vertAlign val="superscript"/>
        <sz val="10"/>
        <rFont val="Arial"/>
        <family val="2"/>
      </rPr>
      <t>h</t>
    </r>
  </si>
  <si>
    <r>
      <t>Non-housing nonfinancial assets K</t>
    </r>
    <r>
      <rPr>
        <b/>
        <vertAlign val="subscript"/>
        <sz val="10"/>
        <rFont val="Arial"/>
        <family val="2"/>
      </rPr>
      <t>t</t>
    </r>
    <r>
      <rPr>
        <b/>
        <vertAlign val="superscript"/>
        <sz val="10"/>
        <rFont val="Arial"/>
        <family val="2"/>
      </rPr>
      <t xml:space="preserve">n             </t>
    </r>
    <r>
      <rPr>
        <sz val="10"/>
        <rFont val="Arial"/>
      </rPr>
      <t>(unincorp. business assets, land,.)</t>
    </r>
  </si>
  <si>
    <t>Table UK.6c: Composition of private wealth in the U.K., 1970-2010, % of national income</t>
  </si>
  <si>
    <t>Table UK.6d: Composition of private wealth in the U.K., 1970-2010, % of private wealth</t>
  </si>
  <si>
    <t xml:space="preserve">inc. life-insurance &amp; pension funds assets </t>
  </si>
  <si>
    <t>inc. other assets (bonds, savings &amp; checking accounts,..)</t>
  </si>
  <si>
    <t>Check</t>
  </si>
  <si>
    <t>incl. non-mortgage liabilities</t>
  </si>
  <si>
    <r>
      <t>Net financial assets A</t>
    </r>
    <r>
      <rPr>
        <b/>
        <vertAlign val="subscript"/>
        <sz val="10"/>
        <rFont val="Arial"/>
        <family val="2"/>
      </rPr>
      <t>t</t>
    </r>
    <r>
      <rPr>
        <b/>
        <sz val="10"/>
        <rFont val="Arial"/>
      </rPr>
      <t xml:space="preserve"> </t>
    </r>
  </si>
  <si>
    <t xml:space="preserve">inc. equity assets </t>
  </si>
  <si>
    <r>
      <t>inc. mortgage debt L</t>
    </r>
    <r>
      <rPr>
        <vertAlign val="subscript"/>
        <sz val="10"/>
        <rFont val="Arial"/>
        <family val="2"/>
      </rPr>
      <t>t</t>
    </r>
    <r>
      <rPr>
        <vertAlign val="superscript"/>
        <sz val="10"/>
        <rFont val="Arial"/>
        <family val="2"/>
      </rPr>
      <t>h</t>
    </r>
  </si>
  <si>
    <r>
      <t>Housing (net value) (K</t>
    </r>
    <r>
      <rPr>
        <b/>
        <vertAlign val="subscript"/>
        <sz val="10"/>
        <rFont val="Arial"/>
        <family val="2"/>
      </rPr>
      <t>t</t>
    </r>
    <r>
      <rPr>
        <b/>
        <vertAlign val="superscript"/>
        <sz val="10"/>
        <rFont val="Arial"/>
        <family val="2"/>
      </rPr>
      <t>h</t>
    </r>
    <r>
      <rPr>
        <b/>
        <sz val="10"/>
        <rFont val="Arial"/>
      </rPr>
      <t xml:space="preserve"> - L</t>
    </r>
    <r>
      <rPr>
        <b/>
        <vertAlign val="subscript"/>
        <sz val="10"/>
        <rFont val="Arial"/>
        <family val="2"/>
      </rPr>
      <t>t</t>
    </r>
    <r>
      <rPr>
        <b/>
        <vertAlign val="superscript"/>
        <sz val="10"/>
        <rFont val="Arial"/>
        <family val="2"/>
      </rPr>
      <t>h</t>
    </r>
    <r>
      <rPr>
        <b/>
        <sz val="10"/>
        <rFont val="Arial"/>
      </rPr>
      <t>)</t>
    </r>
  </si>
  <si>
    <t>Prior to 1988: Blake-Orszag (1999), Solomou-Weale (1997), various older BB series (eg as reported in Atkinson 2012) and other sources, with adjustments described below</t>
  </si>
  <si>
    <t>1967-today: BB, Table 5.1.9; before: Abbas et al. IMF database</t>
  </si>
  <si>
    <t xml:space="preserve">DataUK2: Raw national accounts series for UK (population and labor force series) </t>
  </si>
  <si>
    <t>DataUK3: Raw national balance sheets for the U.K.</t>
  </si>
  <si>
    <t>Net national saving</t>
  </si>
  <si>
    <t>Net private saving (personal + corporate)</t>
  </si>
  <si>
    <t>incl.            net personal saving</t>
  </si>
  <si>
    <t>incl.            net corporate saving (retained earnings)</t>
  </si>
  <si>
    <t>Net government saving</t>
  </si>
  <si>
    <t>Memo: Gov. budget surplus or deficit (saving minus inv.)</t>
  </si>
  <si>
    <t>Memo: Gov. primary budget surplus or deficit (saving minus inv. minus interest)</t>
  </si>
  <si>
    <t>% (Public debt held by central bank) / (Total public debt)</t>
  </si>
  <si>
    <t>Assets</t>
  </si>
  <si>
    <t>Liabilities</t>
  </si>
  <si>
    <t>Total</t>
  </si>
  <si>
    <t>Gold</t>
  </si>
  <si>
    <t>Other</t>
  </si>
  <si>
    <t>Deposits</t>
  </si>
  <si>
    <t>Government securities</t>
  </si>
  <si>
    <t>Balance sheet of the Bank of England (January 1st)</t>
  </si>
  <si>
    <t>Total assets</t>
  </si>
  <si>
    <t>Total liabilities</t>
  </si>
  <si>
    <t>Note circulation</t>
  </si>
  <si>
    <t>Other loans &amp; advances</t>
  </si>
  <si>
    <t>Reserves and other accounts</t>
  </si>
  <si>
    <t>Notes circulation</t>
  </si>
  <si>
    <t>Statistics are averages of Wednesdays. Gold holdings transferred to Treasury in September 1939, so negligible after this date.</t>
  </si>
  <si>
    <t>Mithchell (1988, p. 658)</t>
  </si>
  <si>
    <t>Statistics are yearly averages up to 1971, and then (about) January 1st. In end 1928, Treasury's currency notes are amalgamated with the Bank of England issue.</t>
  </si>
  <si>
    <t>BoE online series since 1977 (series AEFI)</t>
  </si>
  <si>
    <t>Mithchell (1988, p. 658) up to 1976 and then BoE website (series AEFF+AEFG+AEFH)</t>
  </si>
  <si>
    <t>Includes public + bankers + special deposits. Statistics are yearly averages up to 1971, and then (about) January 1st.</t>
  </si>
  <si>
    <t>Proprietor's capital</t>
  </si>
  <si>
    <t>Capital &amp; rest</t>
  </si>
  <si>
    <t>Table UK.7: Balance sheet of the Bank of England, 1810-2010</t>
  </si>
  <si>
    <t>1977-2007: BoE online (series AEFD + AEFK + AEFL), data as at January 1st. Residual before</t>
  </si>
  <si>
    <t>Mithchell (1988, p. 658) and BoE AEFA</t>
  </si>
  <si>
    <t>The Bank's capital is 14.6mn£ and is held by HM Treasury</t>
  </si>
  <si>
    <t>1977-2007: BoE online (series RPAAEFC + RPAAEFJ), data as at January 1st. Note that Mitchell only reports on the securities of the banking department of the BoE (RPAAEFC), but actually the issue department also owned a (sometimes large) portfolio of securities. So for 1855-1939 we take the (approximate) figures reported for the whole BoE at http://greshams-law.com/2013/01/29/charting-the-bank-of-englands-balance-sheet-since-1844/ (note that the League of Nations reported also figures pour the interwar period which allows us to have somewhat more precise figures for this 1921-1931 period). Since 2007 the new statistical framework of the BoE seems to not isolate government securities from other securities in the portfolio of the BoE, but we know that QE in the course of 2009 = purchase of £200bn in gilts (see also "Gilt holdings by sector" in the yearly "Debt and reserve management report" of HM Treasury)</t>
  </si>
  <si>
    <t>Non-financial assets / national income</t>
  </si>
  <si>
    <t>Memo: Net investment rate</t>
  </si>
  <si>
    <t>Government liabilities</t>
  </si>
  <si>
    <t>Residual volume changes</t>
  </si>
  <si>
    <t>NUHA</t>
  </si>
  <si>
    <t>1946-today: BB, Table 5.1.3</t>
  </si>
  <si>
    <t>1963-on: BB. Before: using % change of interest paid by central gov</t>
  </si>
  <si>
    <t>No data on property income received before 1963</t>
  </si>
  <si>
    <t>1865-1913</t>
  </si>
  <si>
    <t>Corrected market-value national wealth / national income</t>
  </si>
  <si>
    <t>CPI</t>
  </si>
  <si>
    <t>Mittchell 1988 p.  &amp; p. 587 (1802-1968, Total gross expenditure)</t>
  </si>
  <si>
    <t>Central government revenues</t>
  </si>
  <si>
    <t>Not clear what gross vs. net means. Up to 1800 data are for the calendar year; afterwards data  for say 1850 cover the period from April 1st 1850 to April 1st 1851</t>
  </si>
  <si>
    <t xml:space="preserve"> govt saving minus govt invt</t>
  </si>
  <si>
    <t>1987-today: BB; 1948-1986: Martin 2009; 1920-1938: Feinstein 1972 Table 16 pp.T40-T41 col.(4)+(5) (central govt + local authorities); 1855-1919 &amp; 1939-1946: Mitchell 1988</t>
  </si>
  <si>
    <t>1963-on: BB 2012; before: Mitchell 1988</t>
  </si>
  <si>
    <t>Local gov gross saving</t>
  </si>
  <si>
    <t>Memo: Central gov. Debt, funded+unfunded (January 1st)</t>
  </si>
  <si>
    <t>1836-1981: Mitchell 1988 p. 600-603, "aggregate gross liabilities of the State". 1700-1835: using % change in the total of funded+unfunded debt. 1982-2002: BoE Statistical Abstract Table 15.1; from 2003 on BB series BKPW</t>
  </si>
  <si>
    <t>Computed as S-I</t>
  </si>
  <si>
    <t>Central gov gross investment</t>
  </si>
  <si>
    <t>Local gov gross investment</t>
  </si>
  <si>
    <t>A COMPLETER</t>
  </si>
  <si>
    <t>difference between revenus and expenditure excl. Investment</t>
  </si>
  <si>
    <t>Of which: interest paid on funded debt</t>
  </si>
  <si>
    <t>Payments for terminable annuities ("dette amortissable par annuités") are a form of debt redemption: e.g. a debt of 100 is settled in 10 yearly payments of 10 (+ interest). So terminable annuities payments include both a capital and interest payment. Terminable annuities are not isolated after 1938 but they are included in total debt charges (and the amount is negligible).</t>
  </si>
  <si>
    <t xml:space="preserve">Mtichell 1988 p. 578 (thousand £); p. 587 (mn £). </t>
  </si>
  <si>
    <t>Of which: payments for terminable annuities</t>
  </si>
  <si>
    <t>Of which: interest paid on unfunded debt and other liabilities</t>
  </si>
  <si>
    <t>Of which: funded debt</t>
  </si>
  <si>
    <t>Includes debt charges on funded debt, terminable annuities, unfunded debt (+ residual). Note that from 1855 on statistics are on a fiscal year basis, i.e. data for 1900 refer to interest paid between April 1st, 1900 and March 31, 1901. We neglect the discrepancy with calendar years.</t>
  </si>
  <si>
    <t>Mitchell isolates interest paid to unfunded debt (and residual = "debt charges which were regarded as outside the permanent charge of the national debt", which were only significant in 1915-1923 + management expenses; see Mitchell p. 595 ft (b))</t>
  </si>
  <si>
    <t>Central government total debt charges</t>
  </si>
  <si>
    <t>Of which: unfunded debt</t>
  </si>
  <si>
    <t>Memo: interest income paid by Central Gov. Only</t>
  </si>
  <si>
    <t>Slight inconsistency between Mitchell &amp; BB: Mitchell data are for fiscal year, ie 1963 refers to the period from April 1st, 1963 to March 31, 1964, whereas BB data are for the calendar year. This explains why in 1963 Mitchell is about 5% bigger than BB. No correction made here. Also note that we excluded terminable annuities payments.</t>
  </si>
  <si>
    <t>Other gov. liabilities</t>
  </si>
  <si>
    <t>bn 1913 £</t>
  </si>
  <si>
    <t>Government assets</t>
  </si>
  <si>
    <t>Total gross central gov debt / national income</t>
  </si>
  <si>
    <t>General gov depreciation</t>
  </si>
  <si>
    <t>(Memo: gov depreciation / National income)</t>
  </si>
  <si>
    <t>Assumes 0.6% of national income before 1855</t>
  </si>
  <si>
    <t>General gov net saving</t>
  </si>
  <si>
    <t>Government saving rate</t>
  </si>
  <si>
    <r>
      <t>i</t>
    </r>
    <r>
      <rPr>
        <vertAlign val="subscript"/>
        <sz val="10"/>
        <rFont val="Arial"/>
        <family val="2"/>
      </rPr>
      <t>t</t>
    </r>
  </si>
  <si>
    <t>1710-9</t>
  </si>
  <si>
    <t>1700-9</t>
  </si>
  <si>
    <t>1720-9</t>
  </si>
  <si>
    <t>1730-9</t>
  </si>
  <si>
    <t>1740-9</t>
  </si>
  <si>
    <t>1750-9</t>
  </si>
  <si>
    <t>1760-9</t>
  </si>
  <si>
    <t>1770-9</t>
  </si>
  <si>
    <t>1780-9</t>
  </si>
  <si>
    <t>1790-9</t>
  </si>
  <si>
    <t>1800-9</t>
  </si>
  <si>
    <t>1810-9</t>
  </si>
  <si>
    <t>1820-9</t>
  </si>
  <si>
    <t>1830-9</t>
  </si>
  <si>
    <t>1840-54</t>
  </si>
  <si>
    <t>Current account</t>
  </si>
  <si>
    <t>Current account surplus</t>
  </si>
  <si>
    <t>Of which: net exrpots</t>
  </si>
  <si>
    <t>Of which: net income</t>
  </si>
  <si>
    <t>£mn. Note Imlah's estimates in Mitchell (1988) are adjusted to remove bullion and specie flows.</t>
  </si>
  <si>
    <t>Imlah (1958) as printed in Mitchell (1988 p. 869)</t>
  </si>
  <si>
    <t>Working series: not for business cycle analysis. Built on the assumption of a constant real income growth rate of 1.8% in 1800-1855, 1% in 1760-1800; and constant nominal income growth rate before (1700 data point from King 1696). See Table UK.2</t>
  </si>
  <si>
    <t>Memo: Reinhart-Rogoff</t>
  </si>
  <si>
    <t>Extraordinary military expenditure</t>
  </si>
  <si>
    <t>Central government net surplus/deficit (excl. extraordinary military exp.)</t>
  </si>
  <si>
    <t>Central gov gross saving (excl. extraordinary military exp.)</t>
  </si>
  <si>
    <t xml:space="preserve">Gross expenditure do not include current investment expenditure and extraordinary military expenditure. But they include the redemption of terminable annuities (i.e. capital payments made to annuities holders): ""All payments for capital investment, with certain minor exceptions before 1889, have been excluded from this table, as has all expenditure on debt redemption, other than through the payment of terminable annuities." (Mitchell p. 587). Up to 1800 data are for the calendar year; afterwards data  for say 1850 cover the period from April 1st 1850 to April 1st 1851. </t>
  </si>
  <si>
    <t>1700-1913: assumed to be equal to 0.5% of national income</t>
  </si>
  <si>
    <t>Increase in gross central gov debt</t>
  </si>
  <si>
    <t>Central gov expenditure (excl. terminable annuity payments; excl. Investment &amp; extraordinary military exp.)</t>
  </si>
  <si>
    <t>Central gov expenditure (incl. terminable annuity payments; excl. Investment &amp; extraordinary military exp.)</t>
  </si>
  <si>
    <t>See formula</t>
  </si>
  <si>
    <t>Simulated debt 1700-1913</t>
  </si>
  <si>
    <t>Central government interest payment</t>
  </si>
  <si>
    <t>Central government debt</t>
  </si>
  <si>
    <t>Yield on public debt</t>
  </si>
  <si>
    <t>Total interest payments</t>
  </si>
  <si>
    <t>Central government revenue, expenditure, saving &amp; investment</t>
  </si>
  <si>
    <t>Central gov. net surplus/deficit, incl. extraordinary military exp.</t>
  </si>
  <si>
    <t>Gap with obseverd  debt 1700-1913 (% national income)</t>
  </si>
  <si>
    <t>We are able to reproduce the dynamics of the debt extremely well, but to do so it is crucial: (i) to exclude terminably annuity payments from the deficit; (ii) to addto extraordinary military payments; (iii) to add some central gov investment (0.5% of national income is enough)</t>
  </si>
  <si>
    <t>Local and general government saving, investment, &amp; net surplus/deficit</t>
  </si>
  <si>
    <t>1700-1800=0</t>
  </si>
  <si>
    <t>Local gov net surplus/deficit</t>
  </si>
  <si>
    <t>0 by construction (see notes for local gov net saving)</t>
  </si>
  <si>
    <t>Central gov gross saving (after accounting for extraordinary military exp.)</t>
  </si>
  <si>
    <t>Memo: Total central gov debt / (funded + unfunded)</t>
  </si>
  <si>
    <t xml:space="preserve">Computed as the difference between the increase in debt and S-I when this difference exceeds 6% of national income, which is the case during the war of the Spanish succession, US independence war, &amp; French revolution. Only other instance is 1720 = unexplained increase in debt (one possible explanation = some off-balance sheet debt was transformed into perpetuities in this year; this would explain why up to the 1720s we tend to simulate too much debt). Could be improved, but seems to be second order. </t>
  </si>
  <si>
    <t>We assume saving = investment ==&gt; no local gov debt, but see Mitchell pp. 606-643 for detailed series</t>
  </si>
  <si>
    <t>General gov gross saving</t>
  </si>
  <si>
    <t>A reprendre</t>
  </si>
  <si>
    <t>Central gov primary surplus</t>
  </si>
  <si>
    <t>Market value/nominal value ratio</t>
  </si>
  <si>
    <t>Nominal value of total gross central gov. debt (January 1st)</t>
  </si>
  <si>
    <t>All data are for the beginning of the financial year, which sometimes starts in January and sometimes in April. We do as if the financial year always starts in January and neglect the one quarter discrepancy that sometimes occur. We augment pre-1836 debt data to include both terminable annuities and the residual other liabilities considered outside the permanent charge of the national debt (loans under Telegraph Acts, Naval Work Act, Barracks Act, etc.).</t>
  </si>
  <si>
    <t>All data are for the beginning of the financial year, which sometimes starts in January and sometimes in March. We do as if the financial year always starts in January, i.e. we interpret these data as reflecting the debt position on January 1st. This series exclude terminable annuities and the residual other liabilities considered outside the permanent charge of the national debt (loans under Telegraph Acts, Naval Work Act, Barracks Act, etc.). It is important to use the most comprehensive debt series, becasue from time to time the Exchequer buys back perpetuities and issues terminable annuities instead, which leads to spurrious reductions in the (funded + unfunded) debt (ie reductions that cannot be accounted for by buget surpluses)</t>
  </si>
  <si>
    <t>Main difference is GDP denominator; their GDP comes from Officer (2011, 2013); see measuringworth.org</t>
  </si>
  <si>
    <t>Market value of total gros central Gov. Debt (January 1st)</t>
  </si>
  <si>
    <t>Yield on total gross central gov debt (nominal value)</t>
  </si>
  <si>
    <t>Yield on funded debt (nominal value)</t>
  </si>
  <si>
    <t>Yield on unfunded debt &amp; other liab (nominal value)</t>
  </si>
  <si>
    <t>Yield on total central gov debt (market value)</t>
  </si>
  <si>
    <t>Important to exclude terminable annuities from debt charges since most payments for terminable annuities = mostly capital payments (however one little drawback = by excluding 100% of terminable annuity payments we exclude the small interest payment charge implicit in those)</t>
  </si>
  <si>
    <t>Notes (1): All estimates are for the UK (see note 1 to Table UK.1), except 1664 (Petty) and 1688 (King), which are for England only. (2): "Land" is agricultural land only. "Housing" includes the value of land beneath dwellings.</t>
  </si>
  <si>
    <t>(% of national income)</t>
  </si>
  <si>
    <t xml:space="preserve">Financial assets </t>
  </si>
  <si>
    <t>Central gov. gross debt market value</t>
  </si>
  <si>
    <t>Memo: Central gov. gross debt nominlal value</t>
  </si>
  <si>
    <t>Memo: Market / nominal value of debt</t>
  </si>
  <si>
    <t>Memo: Interest payments of central gov.</t>
  </si>
  <si>
    <t>residual inv</t>
  </si>
  <si>
    <t>Note: 1700 refers to the year 1700, and 1860-9 to the decenial average 1860-9.</t>
  </si>
  <si>
    <t>Table UK.4e: Sources of government wealth accumulation in the UK, 1700-2010 - Additive decomposition</t>
  </si>
  <si>
    <t>1920s</t>
  </si>
  <si>
    <t>1930s</t>
  </si>
  <si>
    <t>1940s</t>
  </si>
  <si>
    <t>1950s</t>
  </si>
  <si>
    <t>1960s</t>
  </si>
  <si>
    <t>1970s</t>
  </si>
  <si>
    <t>1980s</t>
  </si>
  <si>
    <t>1990s</t>
  </si>
  <si>
    <t>2000s</t>
  </si>
  <si>
    <t>Memo: interest payments of central gov</t>
  </si>
  <si>
    <t>Table UK.5e: Structure and accumulation of government wealth in the U.K., 1700-2010 (decennial estimates)</t>
  </si>
  <si>
    <r>
      <t>National savings rate</t>
    </r>
    <r>
      <rPr>
        <sz val="10"/>
        <rFont val="Arial"/>
      </rPr>
      <t xml:space="preserve"> (decennial average)</t>
    </r>
  </si>
  <si>
    <r>
      <t>Private savings rate</t>
    </r>
    <r>
      <rPr>
        <sz val="10"/>
        <rFont val="Arial"/>
      </rPr>
      <t xml:space="preserve"> (decennial average)</t>
    </r>
  </si>
  <si>
    <r>
      <t xml:space="preserve"> Real growth rate of private wealth  g</t>
    </r>
    <r>
      <rPr>
        <vertAlign val="subscript"/>
        <sz val="10"/>
        <rFont val="Arial"/>
        <family val="2"/>
      </rPr>
      <t>w</t>
    </r>
  </si>
  <si>
    <t xml:space="preserve">Private wealth W        </t>
  </si>
  <si>
    <r>
      <t>g</t>
    </r>
    <r>
      <rPr>
        <vertAlign val="subscript"/>
        <sz val="10"/>
        <rFont val="Arial"/>
        <family val="2"/>
      </rPr>
      <t>ws</t>
    </r>
    <r>
      <rPr>
        <sz val="10"/>
        <rFont val="Arial"/>
      </rPr>
      <t xml:space="preserve"> =    s/β</t>
    </r>
  </si>
  <si>
    <r>
      <t>National wealth W</t>
    </r>
    <r>
      <rPr>
        <b/>
        <vertAlign val="subscript"/>
        <sz val="10"/>
        <rFont val="Arial"/>
        <family val="2"/>
      </rPr>
      <t>n</t>
    </r>
    <r>
      <rPr>
        <b/>
        <sz val="10"/>
        <rFont val="Arial"/>
      </rPr>
      <t xml:space="preserve">        </t>
    </r>
  </si>
  <si>
    <r>
      <t xml:space="preserve"> Real growth rate of national wealth  g</t>
    </r>
    <r>
      <rPr>
        <vertAlign val="subscript"/>
        <sz val="10"/>
        <rFont val="Arial"/>
        <family val="2"/>
      </rPr>
      <t>wn</t>
    </r>
  </si>
  <si>
    <t>Memo: Price index</t>
  </si>
  <si>
    <t>1880s</t>
  </si>
  <si>
    <t>1870s</t>
  </si>
  <si>
    <t>1890s</t>
  </si>
  <si>
    <t>1900s</t>
  </si>
  <si>
    <t>1910s</t>
  </si>
  <si>
    <t>Table UK.6e: The structure of national wealth in the U.K., 1700-2010 (decenial averages)</t>
  </si>
  <si>
    <t>Taxes, transfers, and disposable income</t>
  </si>
  <si>
    <r>
      <t>T</t>
    </r>
    <r>
      <rPr>
        <b/>
        <vertAlign val="subscript"/>
        <sz val="10"/>
        <rFont val="Arial"/>
        <family val="2"/>
      </rPr>
      <t>t</t>
    </r>
  </si>
  <si>
    <t>Total taxes</t>
  </si>
  <si>
    <r>
      <t>T</t>
    </r>
    <r>
      <rPr>
        <vertAlign val="subscript"/>
        <sz val="10"/>
        <rFont val="Arial"/>
        <family val="2"/>
      </rPr>
      <t>ct</t>
    </r>
  </si>
  <si>
    <r>
      <t>T</t>
    </r>
    <r>
      <rPr>
        <vertAlign val="subscript"/>
        <sz val="10"/>
        <rFont val="Arial"/>
        <family val="2"/>
      </rPr>
      <t>it</t>
    </r>
  </si>
  <si>
    <t>Corporate income taxes</t>
  </si>
  <si>
    <t>Personal income taxes (inc. bequest &amp; gift taxes)</t>
  </si>
  <si>
    <r>
      <t>SC</t>
    </r>
    <r>
      <rPr>
        <vertAlign val="subscript"/>
        <sz val="10"/>
        <rFont val="Arial"/>
        <family val="2"/>
      </rPr>
      <t>t</t>
    </r>
  </si>
  <si>
    <t>Social contributions (payroll taxes)</t>
  </si>
  <si>
    <t xml:space="preserve">D51 </t>
  </si>
  <si>
    <t>D61 (rec. by govt)</t>
  </si>
  <si>
    <r>
      <t>TTR</t>
    </r>
    <r>
      <rPr>
        <b/>
        <vertAlign val="subscript"/>
        <sz val="10"/>
        <rFont val="Arial"/>
        <family val="2"/>
      </rPr>
      <t>t</t>
    </r>
  </si>
  <si>
    <t xml:space="preserve">Total monetary govt transfers </t>
  </si>
  <si>
    <t>D62</t>
  </si>
  <si>
    <t xml:space="preserve">NMZR </t>
  </si>
  <si>
    <t>NNAD</t>
  </si>
  <si>
    <t>FCBS+NHDO</t>
  </si>
  <si>
    <t>QWMQ+NVCO+NSSO</t>
  </si>
  <si>
    <t>D51+D59+D91</t>
  </si>
  <si>
    <t>Martin 2009 YTAX (income tax) + OTAX (other current tax) + KTAXN (taxes on capital)</t>
  </si>
  <si>
    <t>Memo: Corporate, income &amp; bequest taxes received by general gov</t>
  </si>
  <si>
    <t xml:space="preserve">No data in online BB before 1987. Use Martin 2009 </t>
  </si>
  <si>
    <t>Extended disposable income</t>
  </si>
  <si>
    <t>Foreign saving</t>
  </si>
  <si>
    <t>Table UK.4f: Sources of foreign wealth accumulation in the UK, 1700-2010 - Additive decomposition</t>
  </si>
  <si>
    <t>incl. Transfers</t>
  </si>
  <si>
    <t>incl. Trade balance</t>
  </si>
  <si>
    <t>Foreign wealth-national income ratios</t>
  </si>
  <si>
    <t>Decomposition of foreign wealth-national income ratio at time t+n</t>
  </si>
  <si>
    <t>incl. Net investment income</t>
  </si>
  <si>
    <t>incl. net exports</t>
  </si>
  <si>
    <t>Cumulated NFA</t>
  </si>
  <si>
    <t>Starting from 0 in 1820</t>
  </si>
  <si>
    <t>Observed NFA / NI</t>
  </si>
  <si>
    <t>1816-1920: Imlahl (1958) as printed in Mitchell (1988); 1920-1947: Sefton and Weale(1995); 1948-: ONS (series code HBOG)</t>
  </si>
  <si>
    <t>FCCJ</t>
  </si>
  <si>
    <t>1855-1965: Feinstein 1972 Table 39 pp.T85 col.(8) and linear interpolation during WWII; 1966-1986: Martin (2009), series DKN_S minus DKN_GG; 1986-on: Blue Book (FCCJ). All fully consistent.</t>
  </si>
  <si>
    <t>Of which: CFC for public non-financial corporations</t>
  </si>
  <si>
    <t>NSRM</t>
  </si>
  <si>
    <t>Memo: net investment rate</t>
  </si>
  <si>
    <r>
      <t xml:space="preserve">Net public-sector corporate wealth </t>
    </r>
    <r>
      <rPr>
        <sz val="10"/>
        <rFont val="Arial Narrow"/>
        <family val="2"/>
      </rPr>
      <t xml:space="preserve">(book value minus market value) </t>
    </r>
  </si>
  <si>
    <t>Table UK.6g: Structure of national wealth in the UK, 1929-2010: net public-sector corporate wealth and corrected national wealth</t>
  </si>
  <si>
    <t>1701=100</t>
  </si>
  <si>
    <t>Schumpeter (1938) as printed in Mitchell (1988 p. 719), "consumers' good"</t>
  </si>
  <si>
    <t>Schumpeter (1938) as printed in Mitchell (1988 p. 719), "producers' good"</t>
  </si>
  <si>
    <t>1821-5=100</t>
  </si>
  <si>
    <t>Gayer, Rostows, and Scwhartz, as printed in Mitchell (1988 p. 721); "domestic and imported commodities"</t>
  </si>
  <si>
    <t>CPI 1700-1823 Schumpeter</t>
  </si>
  <si>
    <t>PPI 1700-1823 Schumpeter</t>
  </si>
  <si>
    <t>CPI 1800-1913 Rousseaux</t>
  </si>
  <si>
    <t>Rousseaux (1938) as printed in Mitchell (1988 pp. 722-724); "overall index"</t>
  </si>
  <si>
    <t>avg of 1865 and 1885 = 100</t>
  </si>
  <si>
    <t>Composite decennial price index constructeded by Feinstein (1978)</t>
  </si>
  <si>
    <t>Average of Schumpeter's CPI &amp; PPI 1700-1823</t>
  </si>
  <si>
    <t>CPI 1750-2004 ONS</t>
  </si>
  <si>
    <t>Feinstein (1978, p. 38)</t>
  </si>
  <si>
    <t>CPI 1790-1850 Gayer, Rostow, Schwartz</t>
  </si>
  <si>
    <r>
      <t xml:space="preserve">1851-60= 100 "Based on the following indices of domestic and imported commodity prices </t>
    </r>
    <r>
      <rPr>
        <sz val="10"/>
        <color indexed="8"/>
        <rFont val="Times"/>
      </rPr>
      <t xml:space="preserve">- </t>
    </r>
    <r>
      <rPr>
        <sz val="9"/>
        <color indexed="8"/>
        <rFont val="Times"/>
      </rPr>
      <t xml:space="preserve">mainly wholesale prices and import unit values </t>
    </r>
    <r>
      <rPr>
        <sz val="10"/>
        <color indexed="8"/>
        <rFont val="Times"/>
      </rPr>
      <t xml:space="preserve">- </t>
    </r>
    <r>
      <rPr>
        <sz val="9"/>
        <color indexed="8"/>
        <rFont val="Times"/>
      </rPr>
      <t xml:space="preserve">spliced at the overlapping decades: for 1761-70 to 1791-1800, average of Schumpeter-Gilboy indices for consumer goods and producer goods; for 1791-1800 to 1841-50, Gayer-Rostow-Schwartz index for domestic </t>
    </r>
    <r>
      <rPr>
        <sz val="10"/>
        <color indexed="8"/>
        <rFont val="Times"/>
      </rPr>
      <t xml:space="preserve">and </t>
    </r>
    <r>
      <rPr>
        <sz val="9"/>
        <color indexed="8"/>
        <rFont val="Times"/>
      </rPr>
      <t xml:space="preserve">imported commodities; </t>
    </r>
    <r>
      <rPr>
        <sz val="10"/>
        <color indexed="8"/>
        <rFont val="Times"/>
      </rPr>
      <t xml:space="preserve">and for </t>
    </r>
    <r>
      <rPr>
        <sz val="9"/>
        <color indexed="8"/>
        <rFont val="Times"/>
      </rPr>
      <t xml:space="preserve">1841-50 </t>
    </r>
    <r>
      <rPr>
        <sz val="10"/>
        <color indexed="8"/>
        <rFont val="Times"/>
      </rPr>
      <t xml:space="preserve">to </t>
    </r>
    <r>
      <rPr>
        <sz val="9"/>
        <color indexed="8"/>
        <rFont val="Times"/>
      </rPr>
      <t xml:space="preserve">1851-60, Rousseaux's overall index." </t>
    </r>
  </si>
  <si>
    <t>1810-1913: ONS (2004); 1790-1810: Gayer, Rostow, Schwartz; 1760-1790: Schumpeter (average of CPI &amp; PPI); 1700-1760: assume no inflation</t>
  </si>
  <si>
    <t>1913=100</t>
  </si>
  <si>
    <t>Composite 1700-1913 CPI</t>
  </si>
  <si>
    <t>Extended national wealth</t>
  </si>
  <si>
    <t>Net wealth of non-financial public corporations</t>
  </si>
  <si>
    <t>% (Extended gov wealth)/ (Extended national wealth)</t>
  </si>
  <si>
    <t>Extended Govt wealth</t>
  </si>
  <si>
    <t xml:space="preserve">Janssen et al (2002) as reproduced in the database of Hills et al. 2010; 1967-on: ONS BB series NIJT </t>
  </si>
  <si>
    <t>Note: For income, wealth, and price series, 1700 refers to the year 1700, 1840 to the year 1840, etc. For saving rates, 1700 refers to the 1700-09 average, 1840 to the 1840-1854 average, etc.</t>
  </si>
  <si>
    <t>PIKETTY-ZUCMAN WEALTH-INCOME DATA SET</t>
  </si>
  <si>
    <t>United Kingdom, 1700-2010</t>
  </si>
  <si>
    <t>Back to Index</t>
  </si>
  <si>
    <t>Note: 1870s refers to the decennial average 1870-1879, 1880s to 1880-1889, …, 2000s to 2000-2009, and 2010 to 2010 only</t>
  </si>
  <si>
    <t>Extended government wealth</t>
  </si>
  <si>
    <t>gov wealth / national wealth</t>
  </si>
  <si>
    <t xml:space="preserve">Private saving rate </t>
  </si>
  <si>
    <r>
      <t>(% of Y</t>
    </r>
    <r>
      <rPr>
        <vertAlign val="subscript"/>
        <sz val="10"/>
        <rFont val="Arial"/>
        <family val="2"/>
      </rPr>
      <t>t</t>
    </r>
    <r>
      <rPr>
        <sz val="10"/>
        <rFont val="Arial"/>
      </rPr>
      <t>)</t>
    </r>
  </si>
  <si>
    <t>Gov. net surplus /    deficit (% of Yt)</t>
  </si>
  <si>
    <t>Gov. net saving rate (% of Yt)</t>
  </si>
  <si>
    <t>Net gov. investment rate (% of Yt)</t>
  </si>
  <si>
    <t>Assets / national income (% of Yt)</t>
  </si>
  <si>
    <t>Note: For income and wealth series, 1700 refers to the year 1700, 1840 to the year 1840, 1920s to the 1920-1929 average, etc. For saving and investment rates, 1700 refers to the 1700-09 average, 1840 to the 1840-1854, 1920s to the 1920-29 average, etc.</t>
  </si>
  <si>
    <t>Annual inflation rates and return rates</t>
  </si>
  <si>
    <t>Consumer price inflation</t>
  </si>
  <si>
    <t>GDP price inflation</t>
  </si>
  <si>
    <t>Equity price inflation</t>
  </si>
  <si>
    <r>
      <t>p</t>
    </r>
    <r>
      <rPr>
        <vertAlign val="subscript"/>
        <sz val="10"/>
        <rFont val="Arial"/>
        <family val="2"/>
      </rPr>
      <t>t</t>
    </r>
    <r>
      <rPr>
        <sz val="10"/>
        <rFont val="Arial"/>
      </rPr>
      <t xml:space="preserve">             </t>
    </r>
  </si>
  <si>
    <t>(Jan. 1974=100)</t>
  </si>
  <si>
    <t>(2008=100)</t>
  </si>
  <si>
    <t>Equity price index (FT All share, Jan. 1st)</t>
  </si>
  <si>
    <t>Price and return indexes</t>
  </si>
  <si>
    <t>1885-1900</t>
  </si>
  <si>
    <t>1900-1913</t>
  </si>
  <si>
    <t>Memo: equity price inflation</t>
  </si>
  <si>
    <t>Table UK.5c: Structure and accumulation of government wealth in the UK, 1855-2010 (annual series)</t>
  </si>
  <si>
    <t>Table UK.15a: Price and return indexes in the UK, 1700-2010 (annual series)</t>
  </si>
  <si>
    <t>Notes: (1) Gross government investment excludes investment by governement-owned corporations (up to 3%-4% national income during 1950s-1960s). (2) The investment series provided by Feinstein 1972 were upgraded so as to match the revised series provided by Matthews-Feinstein-Odling-Smee Table 5.4 p.133 and Table 5.5 p.137:</t>
  </si>
  <si>
    <t>Table UK.12c: Structure of national income in the UK, 1700-2010: private vs government savings</t>
  </si>
  <si>
    <t>Table UK.12d: Structure of national income in the UK, 1700-2010: private vs government investment</t>
  </si>
  <si>
    <t xml:space="preserve">% national income </t>
  </si>
  <si>
    <t>Table UK.12b: Structure of national income in the UK, 1700-2010: savings, investment and external balance</t>
  </si>
  <si>
    <t xml:space="preserve">National saving rate </t>
  </si>
  <si>
    <t xml:space="preserve">Real growth rate of corrected market value national wealth </t>
  </si>
  <si>
    <r>
      <t>Real growth rate of corrected market value national wealth g</t>
    </r>
    <r>
      <rPr>
        <vertAlign val="subscript"/>
        <sz val="9"/>
        <rFont val="Arial Narrow"/>
        <family val="2"/>
      </rPr>
      <t>wt</t>
    </r>
  </si>
  <si>
    <t>Uniform q estimates (method 3)</t>
  </si>
  <si>
    <t>Returns and Prices</t>
  </si>
  <si>
    <t>This database supports our paper "Capital is Back: Wealth-Income Ratios in Rich Countries, 1700-2010"</t>
  </si>
  <si>
    <t>1948-2010: official 2011 UK national accounts Blue Book (BB) series, downloaded and pasted directly in April 2012 from on-line tables available on ONS website</t>
  </si>
  <si>
    <t>Note: FISIM correction (financial intermediation services, indirectly measured): FISIM is excessive in official UK accounts, especially in recent years (because of very low central bank rates) &gt;&gt;&gt; set to zero (no impact on GDP, pure transfer between housing and financial sectors)</t>
  </si>
  <si>
    <t>incl. farm</t>
  </si>
  <si>
    <t>Method n°1: saving = private saving</t>
  </si>
  <si>
    <t>Method n°2: saving = personal saving</t>
  </si>
  <si>
    <t>Saving-induced wealth growth rate</t>
  </si>
  <si>
    <t>saving-induced wealth growth rate</t>
  </si>
  <si>
    <t>Net foreign income &amp; production taxes</t>
  </si>
  <si>
    <r>
      <t>Note: FT includes all foreign taxes and transfers (including capital transfers), except product taxes and subsidies (the latter are included in FY</t>
    </r>
    <r>
      <rPr>
        <sz val="10"/>
        <rFont val="Arial"/>
      </rPr>
      <t xml:space="preserve"> and enter into the SNA9</t>
    </r>
    <r>
      <rPr>
        <sz val="10"/>
        <rFont val="Arial"/>
      </rPr>
      <t>3</t>
    </r>
    <r>
      <rPr>
        <sz val="10"/>
        <rFont val="Arial"/>
      </rPr>
      <t xml:space="preserve"> definition of national income)</t>
    </r>
    <r>
      <rPr>
        <sz val="10"/>
        <rFont val="Arial"/>
      </rPr>
      <t>.</t>
    </r>
  </si>
  <si>
    <t>Notes: (1) Savings are always net of capital tranfers. (2) The discrepency between the expenditure and income approaches to gross private saving was attributed 50-50 to gross personal and corporate saving (the discrepency is negligible in 1987-2010, but large and positive in the interwar and 1970s, and large and negative in the 1950s and 1960s). (3) The investment series provided by Feinstein 1972 were upgraded so as to match the revised series provided by Feinstein-Matthews-Odling-Smee 1982 Table 5.4 p.133 and Table 5.5 p.137:</t>
  </si>
  <si>
    <t>1988-2010 official 2011 UK national accounts Blue Book (BB) series, downloaded and pasted directly in April 2012 from on-line tables available on ONS website</t>
  </si>
  <si>
    <t>Mitchell (1988) and other dat asources</t>
  </si>
  <si>
    <t>(Males)</t>
  </si>
  <si>
    <t>(Females)</t>
  </si>
  <si>
    <t>incl.public administration salaried workers</t>
  </si>
  <si>
    <t>Mitchell 1988 pp.115 sqq.</t>
  </si>
  <si>
    <t>MFOS 1982 p.170</t>
  </si>
  <si>
    <t>Memo: ratio of nb of self-employed to wage&amp;salary earned, non-agricultural sector</t>
  </si>
  <si>
    <t>Wage &amp; salary earners</t>
  </si>
  <si>
    <t>1960- AMECO database (NETD series); 1855-1959: Feinstein 1972 Table 57 pp.T125-T127, col.1 (total in civil employment)</t>
  </si>
  <si>
    <t>AMECO NETD includes military forces (it is larger than civilian employment = NECD = 23,287 in 1960)</t>
  </si>
  <si>
    <t>1960- AMECO OECD database (NWTD series). Before: MFOS 1982 p. 167, anchored to AMECO (i.e. multiplied by 21.812/23.31)</t>
  </si>
  <si>
    <t>Unclear why this is not consistent with Feinstein (col. E)</t>
  </si>
  <si>
    <t>Assume 30% in 1855</t>
  </si>
  <si>
    <t>Assumes 25% in 1855, 1871; 20% in 1881, and then from 1911 based on MFOS. 1881-1911 is maybe too steep; to be checked</t>
  </si>
  <si>
    <t>Memo: subsoil assets (excl. from wealth)</t>
  </si>
  <si>
    <t>Memo: forest (excl. from wealth)</t>
  </si>
  <si>
    <t>Table UK.4c: Sources of national wealth accumulation in the UK, 1700-2010 - Additive decomposition</t>
  </si>
  <si>
    <t>Unfunded debt = floating debt = short term debt = Treasury bills and short term Treasury notes = debt that is issued by the Exchequer without an Act of Parlimanent, and continuously refinanced (rolled over) or ultimately consolidated into perpetual annuities</t>
  </si>
  <si>
    <t xml:space="preserve">Funded debt = long-term debt (= debt that is (in principle) financed, e.g. by a sinking fund, i.e. a fund that accumulates annual surplus of revenue over expenditure) = (basically) perpetuital annuities (rente perpetuelle) </t>
  </si>
  <si>
    <t>(i) It looks like Janssen et al. include all gov debt (e.g. terminable annuities), but this is not 100% sure. (ii Debt is at market value in SNA balance sheets</t>
  </si>
  <si>
    <r>
      <t xml:space="preserve">Book-value national wealth </t>
    </r>
    <r>
      <rPr>
        <sz val="9"/>
        <rFont val="Arial Narrow"/>
      </rPr>
      <t>(= extended market-value national wealth + net corporate wealth)</t>
    </r>
  </si>
  <si>
    <t>Decomposition of Wealth Accumulation</t>
  </si>
  <si>
    <t>War destructions-induced wealth growth rate</t>
  </si>
  <si>
    <r>
      <t>memo: War destructions d</t>
    </r>
    <r>
      <rPr>
        <i/>
        <vertAlign val="subscript"/>
        <sz val="10"/>
        <rFont val="Arial Narrow"/>
        <family val="2"/>
      </rPr>
      <t xml:space="preserve">yt </t>
    </r>
    <r>
      <rPr>
        <i/>
        <sz val="10"/>
        <rFont val="Arial Narrow"/>
        <family val="2"/>
      </rPr>
      <t>= D</t>
    </r>
    <r>
      <rPr>
        <i/>
        <vertAlign val="subscript"/>
        <sz val="10"/>
        <rFont val="Arial Narrow"/>
        <family val="2"/>
      </rPr>
      <t>t</t>
    </r>
    <r>
      <rPr>
        <i/>
        <sz val="10"/>
        <rFont val="Arial Narrow"/>
        <family val="2"/>
      </rPr>
      <t>/ Y</t>
    </r>
    <r>
      <rPr>
        <i/>
        <vertAlign val="subscript"/>
        <sz val="10"/>
        <rFont val="Arial Narrow"/>
        <family val="2"/>
      </rPr>
      <t>t</t>
    </r>
  </si>
  <si>
    <r>
      <t>d</t>
    </r>
    <r>
      <rPr>
        <vertAlign val="subscript"/>
        <sz val="10"/>
        <rFont val="Arial"/>
        <family val="2"/>
      </rPr>
      <t>t</t>
    </r>
  </si>
  <si>
    <r>
      <t>d</t>
    </r>
    <r>
      <rPr>
        <vertAlign val="subscript"/>
        <sz val="10"/>
        <rFont val="Arial"/>
        <family val="2"/>
      </rPr>
      <t>t-1</t>
    </r>
  </si>
  <si>
    <t>Cumulated war destructions</t>
  </si>
  <si>
    <t>Rate of war destructions</t>
  </si>
  <si>
    <r>
      <t>d</t>
    </r>
    <r>
      <rPr>
        <vertAlign val="subscript"/>
        <sz val="12"/>
        <rFont val="Arial"/>
        <family val="2"/>
      </rPr>
      <t>y</t>
    </r>
    <r>
      <rPr>
        <sz val="12"/>
        <rFont val="Arial"/>
      </rPr>
      <t>=D/Y</t>
    </r>
  </si>
  <si>
    <t>War-destructions-induced wealth growth rate</t>
  </si>
  <si>
    <t>[20]</t>
  </si>
  <si>
    <t>[21]</t>
  </si>
  <si>
    <t>dt-1</t>
  </si>
  <si>
    <t>Memo: ratio of nb of self-employed to wage&amp;salary earners, agriculture</t>
  </si>
  <si>
    <r>
      <t>Nonfarm SE emplo</t>
    </r>
    <r>
      <rPr>
        <sz val="10"/>
        <color indexed="8"/>
        <rFont val="Arial"/>
      </rPr>
      <t>y</t>
    </r>
    <r>
      <rPr>
        <sz val="10"/>
        <color indexed="8"/>
        <rFont val="Arial"/>
      </rPr>
      <t>/ Nonfarm private employt</t>
    </r>
  </si>
  <si>
    <t>1948-today: BB, Table 6.1.2; 1855-1948: Feinstein (1855-1938: 100% self-employment income + 100% farm rent; 1948: 76.5% SE income + 100% farm rent; 1939-1947: linear interpolation; see formulas) (farm rent included because in ESA 95 this is part of farm product, and then paid from household to household as D45 transfer if farmer and owner are different persons, without affecting farm product)</t>
  </si>
  <si>
    <t xml:space="preserve">Memo: labor income paid by govt </t>
  </si>
  <si>
    <t>Note: Pior to 1889 Feinstein series do not distinguish between self-employment income and corporate profits. In order to complete the series, we assume that the (nonfarm self-employment income)/(nonfarm self-employt income + corporate profits + nonfarm private sector wages) ratio declines from 35% in 1855 to 28% in 1889 = approximately the same pace as in 1889-1913, &amp; approximately the same pace as nonfarm employment shares (see DataUK2)</t>
  </si>
  <si>
    <t>Note: No decomposition of wage payment by non-corporate vs corporate business is available in BB series 1948-1986 (nor in Martin) nor in Feinstein 1855-1948; the decomposition given here is based upon the assumption of a fixed ratio between wage payments by non-corporate businesses and mixed income of non-corporate businesses. Ideally we would like to know the number of wage-earners in the non-corporate business sector vs. in the corporte business sector, but this info does not appear to be available (neither in Mitchell 1988, nor in MFOS 1982)</t>
  </si>
  <si>
    <t>1948-2010: BB (sum of non-financial &amp; financial profits, see formula); 1855-1948: Feinstein 1972 (total domestic capital income minus mixed income &amp; housing capital income; see formula)</t>
  </si>
  <si>
    <t>Computations of the FISIM on mortgages correction</t>
  </si>
  <si>
    <t>including capital income in the non-corporate business sector</t>
  </si>
  <si>
    <t>Memo: labor income paid by corporati.</t>
  </si>
  <si>
    <t>Including total wages &amp; salaries paid by all doemstic sectors</t>
  </si>
  <si>
    <t>Memo: labor share of agricultural self-employment net income</t>
  </si>
  <si>
    <t>including labor share of self-employment net income</t>
  </si>
  <si>
    <t>Memo: labor share of non-agricultural self-employment net income</t>
  </si>
  <si>
    <t xml:space="preserve">Imputed wage of non-agricultural self-employed workers </t>
  </si>
  <si>
    <t>From 1876 to 1986 we keep this fixed to the 1987 value (55%). From 1855 to 1875 we assume a gradual declines from 90% to 55%, which is consistent with roughly stable factor shares in the corporate sector (keeping the 55% share fixed through to 1855 would result in too little wages in the non-corporate sector and too much in the corporate sector)</t>
  </si>
  <si>
    <t>1963-today: BB, Table 5.1.2; 1855-1962: computed from govt expenditure series, assuming fixed govt wage/expenditure ratio = 60% (see formula)</t>
  </si>
  <si>
    <t>This could be improved using data on government employment (see Data UK2) and wage bill, however at a first order approximation this seems OK.</t>
  </si>
  <si>
    <t>Memo: Total employment, Mitchell</t>
  </si>
  <si>
    <t>Mixed income + wage &amp; salaries / nb of employed individuals</t>
  </si>
  <si>
    <t>Average wage of salaried workers</t>
  </si>
  <si>
    <r>
      <rPr>
        <sz val="10"/>
        <color indexed="8"/>
        <rFont val="Arial"/>
      </rPr>
      <t>Average pay of a</t>
    </r>
    <r>
      <rPr>
        <sz val="10"/>
        <color indexed="8"/>
        <rFont val="Arial"/>
      </rPr>
      <t>ll workers</t>
    </r>
  </si>
  <si>
    <t>Assume 50% in 1855 and gradually rising to 100% in mid-1880s, consistent with Allen's (2007) dynamics of the overall labor share over this period</t>
  </si>
  <si>
    <t>Clearly it seems that for the early period historical estimates of UK NFA are nothing more but cumulated C.A. balances, so should be taken with some care (in particular, not suitable at all to study exorbitant privilege issues). Here we only use cumulated C.A balances to provide some sense of the NFA in the early 19c (ie transition from about 0 position in 1820 to about 35% in 1855)</t>
  </si>
  <si>
    <t>Of which: agricultural land</t>
  </si>
  <si>
    <t>Last update: February 18,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</si>
</sst>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2" formatCode="0.0%"/>
    <numFmt numFmtId="173" formatCode="0.0000%"/>
    <numFmt numFmtId="175" formatCode="#,##0.0"/>
    <numFmt numFmtId="176" formatCode="0.0"/>
    <numFmt numFmtId="178" formatCode="0.000%"/>
    <numFmt numFmtId="179" formatCode="\$#,##0\ ;\(\$#,##0\)"/>
    <numFmt numFmtId="188" formatCode="0.0000000%"/>
    <numFmt numFmtId="191" formatCode="#,##0.000"/>
    <numFmt numFmtId="192" formatCode="#,##0.00000"/>
    <numFmt numFmtId="193" formatCode="0.0000"/>
    <numFmt numFmtId="194" formatCode="#,##0.0000"/>
    <numFmt numFmtId="197" formatCode="#,##0.0000000"/>
    <numFmt numFmtId="231" formatCode="#\ ##0;\-#\ ##0;\-;@"/>
    <numFmt numFmtId="233" formatCode="[$-409]mmmm\ d\,\ yyyy;@"/>
  </numFmts>
  <fonts count="112" x14ac:knownFonts="1">
    <font>
      <sz val="12"/>
      <color indexed="8"/>
      <name val="Calibri"/>
      <family val="2"/>
    </font>
    <font>
      <sz val="11"/>
      <color indexed="8"/>
      <name val="Calibri"/>
      <family val="2"/>
    </font>
    <font>
      <sz val="11"/>
      <color indexed="9"/>
      <name val="Calibri"/>
      <family val="2"/>
    </font>
    <font>
      <sz val="11"/>
      <color indexed="10"/>
      <name val="Calibri"/>
      <family val="2"/>
    </font>
    <font>
      <sz val="11"/>
      <color indexed="17"/>
      <name val="Calibri"/>
      <family val="2"/>
    </font>
    <font>
      <b/>
      <sz val="11"/>
      <color indexed="52"/>
      <name val="Calibri"/>
      <family val="2"/>
    </font>
    <font>
      <sz val="11"/>
      <color indexed="52"/>
      <name val="Calibri"/>
      <family val="2"/>
    </font>
    <font>
      <sz val="12"/>
      <color indexed="24"/>
      <name val="Arial"/>
    </font>
    <font>
      <b/>
      <sz val="8"/>
      <color indexed="24"/>
      <name val="Times New Roman"/>
    </font>
    <font>
      <sz val="8"/>
      <color indexed="24"/>
      <name val="Times New Roman"/>
    </font>
    <font>
      <sz val="11"/>
      <color indexed="62"/>
      <name val="Calibri"/>
      <family val="2"/>
    </font>
    <font>
      <sz val="11"/>
      <color indexed="20"/>
      <name val="Calibri"/>
      <family val="2"/>
    </font>
    <font>
      <u/>
      <sz val="12"/>
      <color indexed="12"/>
      <name val="Calibri"/>
      <family val="2"/>
    </font>
    <font>
      <sz val="12"/>
      <color indexed="8"/>
      <name val="Calibri"/>
      <family val="2"/>
    </font>
    <font>
      <sz val="10"/>
      <name val="Arial"/>
    </font>
    <font>
      <sz val="11"/>
      <color indexed="60"/>
      <name val="Calibri"/>
      <family val="2"/>
    </font>
    <font>
      <b/>
      <sz val="11"/>
      <color indexed="63"/>
      <name val="Calibri"/>
      <family val="2"/>
    </font>
    <font>
      <sz val="7"/>
      <name val="Helvetica"/>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9"/>
      <name val="Calibri"/>
      <family val="2"/>
    </font>
    <font>
      <sz val="8"/>
      <name val="Calibri"/>
      <family val="2"/>
    </font>
    <font>
      <b/>
      <sz val="10"/>
      <color indexed="8"/>
      <name val="Arial"/>
      <family val="2"/>
    </font>
    <font>
      <sz val="10"/>
      <color indexed="8"/>
      <name val="Arial"/>
    </font>
    <font>
      <sz val="10"/>
      <color indexed="8"/>
      <name val="Arial"/>
    </font>
    <font>
      <sz val="10"/>
      <name val="Arial"/>
    </font>
    <font>
      <i/>
      <sz val="10"/>
      <color indexed="8"/>
      <name val="Arial"/>
      <family val="2"/>
    </font>
    <font>
      <sz val="8"/>
      <color indexed="8"/>
      <name val="Arial"/>
      <family val="2"/>
    </font>
    <font>
      <b/>
      <sz val="10"/>
      <name val="Arial"/>
    </font>
    <font>
      <b/>
      <sz val="12"/>
      <name val="Arial"/>
    </font>
    <font>
      <vertAlign val="subscript"/>
      <sz val="10"/>
      <name val="Arial"/>
      <family val="2"/>
    </font>
    <font>
      <sz val="12"/>
      <color indexed="8"/>
      <name val="Arial"/>
      <family val="2"/>
    </font>
    <font>
      <i/>
      <sz val="10"/>
      <name val="Arial"/>
    </font>
    <font>
      <b/>
      <vertAlign val="subscript"/>
      <sz val="10"/>
      <name val="Arial"/>
      <family val="2"/>
    </font>
    <font>
      <i/>
      <vertAlign val="subscript"/>
      <sz val="10"/>
      <name val="Arial"/>
      <family val="2"/>
    </font>
    <font>
      <i/>
      <vertAlign val="superscript"/>
      <sz val="10"/>
      <name val="Arial"/>
      <family val="2"/>
    </font>
    <font>
      <b/>
      <i/>
      <sz val="10"/>
      <name val="Arial"/>
    </font>
    <font>
      <b/>
      <vertAlign val="superscript"/>
      <sz val="10"/>
      <name val="Arial"/>
      <family val="2"/>
    </font>
    <font>
      <vertAlign val="superscript"/>
      <sz val="10"/>
      <name val="Arial"/>
      <family val="2"/>
    </font>
    <font>
      <i/>
      <sz val="10"/>
      <color indexed="8"/>
      <name val="Arial"/>
      <family val="2"/>
    </font>
    <font>
      <sz val="8"/>
      <name val="Arial"/>
      <family val="2"/>
    </font>
    <font>
      <b/>
      <i/>
      <sz val="10"/>
      <name val="Arial"/>
    </font>
    <font>
      <i/>
      <sz val="10"/>
      <name val="Arial"/>
    </font>
    <font>
      <i/>
      <sz val="8"/>
      <name val="Arial"/>
      <family val="2"/>
    </font>
    <font>
      <i/>
      <sz val="10"/>
      <name val="Arial Narrow"/>
      <family val="2"/>
    </font>
    <font>
      <sz val="10"/>
      <name val="Arial Narrow"/>
      <family val="2"/>
    </font>
    <font>
      <i/>
      <sz val="9"/>
      <name val="Arial"/>
      <family val="2"/>
    </font>
    <font>
      <b/>
      <sz val="10"/>
      <name val="Arial Narrow"/>
      <family val="2"/>
    </font>
    <font>
      <b/>
      <sz val="10"/>
      <color indexed="8"/>
      <name val="Arial"/>
      <family val="2"/>
    </font>
    <font>
      <sz val="10"/>
      <color indexed="8"/>
      <name val="Arial Narrow"/>
      <family val="2"/>
    </font>
    <font>
      <b/>
      <sz val="8"/>
      <name val="Arial"/>
      <family val="2"/>
    </font>
    <font>
      <b/>
      <sz val="8"/>
      <color indexed="8"/>
      <name val="Arial"/>
      <family val="2"/>
    </font>
    <font>
      <sz val="8.5"/>
      <name val="Arial"/>
    </font>
    <font>
      <sz val="11"/>
      <name val="Arial"/>
      <family val="2"/>
    </font>
    <font>
      <vertAlign val="subscript"/>
      <sz val="11"/>
      <name val="Arial"/>
      <family val="2"/>
    </font>
    <font>
      <vertAlign val="superscript"/>
      <sz val="11"/>
      <name val="Arial"/>
      <family val="2"/>
    </font>
    <font>
      <vertAlign val="subscript"/>
      <sz val="9"/>
      <name val="Arial"/>
      <family val="2"/>
    </font>
    <font>
      <sz val="9"/>
      <name val="Arial"/>
      <family val="2"/>
    </font>
    <font>
      <b/>
      <sz val="10"/>
      <name val="Arial"/>
    </font>
    <font>
      <sz val="12"/>
      <name val="Arial"/>
    </font>
    <font>
      <b/>
      <sz val="11"/>
      <name val="Arial"/>
    </font>
    <font>
      <sz val="12"/>
      <name val="Arial Narrow"/>
      <family val="2"/>
    </font>
    <font>
      <sz val="11"/>
      <name val="Arial Narrow"/>
      <family val="2"/>
    </font>
    <font>
      <vertAlign val="subscript"/>
      <sz val="12"/>
      <name val="Arial"/>
      <family val="2"/>
    </font>
    <font>
      <i/>
      <sz val="12"/>
      <name val="Arial"/>
    </font>
    <font>
      <b/>
      <sz val="12"/>
      <name val="Arial"/>
    </font>
    <font>
      <b/>
      <i/>
      <sz val="12"/>
      <name val="Arial"/>
      <family val="2"/>
    </font>
    <font>
      <i/>
      <sz val="12"/>
      <name val="Arial"/>
    </font>
    <font>
      <sz val="12"/>
      <name val="Arial"/>
    </font>
    <font>
      <b/>
      <i/>
      <sz val="10"/>
      <color indexed="8"/>
      <name val="Arial"/>
      <family val="2"/>
    </font>
    <font>
      <b/>
      <sz val="12"/>
      <color indexed="8"/>
      <name val="Calibri"/>
      <family val="2"/>
    </font>
    <font>
      <sz val="9"/>
      <name val="Arial Narrow"/>
    </font>
    <font>
      <sz val="8"/>
      <name val="Arial Narrow"/>
      <family val="2"/>
    </font>
    <font>
      <b/>
      <sz val="9"/>
      <name val="Arial Narrow"/>
      <family val="2"/>
    </font>
    <font>
      <b/>
      <i/>
      <sz val="10"/>
      <name val="Arial Narrow"/>
    </font>
    <font>
      <i/>
      <sz val="8"/>
      <name val="Arial Narrow"/>
      <family val="2"/>
    </font>
    <font>
      <sz val="8"/>
      <name val="Arial"/>
      <family val="2"/>
    </font>
    <font>
      <i/>
      <sz val="10"/>
      <color indexed="8"/>
      <name val="Arial Narrow"/>
    </font>
    <font>
      <b/>
      <i/>
      <sz val="12"/>
      <color indexed="8"/>
      <name val="Calibri"/>
      <family val="2"/>
    </font>
    <font>
      <vertAlign val="subscript"/>
      <sz val="10"/>
      <name val="Arial Narrow"/>
    </font>
    <font>
      <vertAlign val="subscript"/>
      <sz val="9"/>
      <name val="Arial Narrow"/>
      <family val="2"/>
    </font>
    <font>
      <sz val="12"/>
      <name val="Arial"/>
    </font>
    <font>
      <i/>
      <sz val="12"/>
      <name val="Arial"/>
    </font>
    <font>
      <sz val="10"/>
      <name val="Arial"/>
    </font>
    <font>
      <b/>
      <sz val="10"/>
      <name val="Arial"/>
    </font>
    <font>
      <sz val="10"/>
      <color indexed="10"/>
      <name val="Arial"/>
    </font>
    <font>
      <sz val="10"/>
      <color indexed="8"/>
      <name val="Calibri"/>
    </font>
    <font>
      <i/>
      <sz val="12"/>
      <name val="Arial Narrow"/>
    </font>
    <font>
      <u/>
      <sz val="10"/>
      <name val="Arial"/>
    </font>
    <font>
      <sz val="9"/>
      <color indexed="81"/>
      <name val="Calibri"/>
      <family val="2"/>
    </font>
    <font>
      <b/>
      <sz val="9"/>
      <color indexed="81"/>
      <name val="Calibri"/>
      <family val="2"/>
    </font>
    <font>
      <sz val="8"/>
      <color indexed="8"/>
      <name val="Calibri"/>
      <family val="2"/>
    </font>
    <font>
      <b/>
      <sz val="10"/>
      <color indexed="8"/>
      <name val="Arial Narrow"/>
    </font>
    <font>
      <b/>
      <sz val="7"/>
      <color indexed="8"/>
      <name val="Courier"/>
    </font>
    <font>
      <sz val="9"/>
      <color indexed="8"/>
      <name val="Times"/>
    </font>
    <font>
      <sz val="10"/>
      <color indexed="8"/>
      <name val="Times"/>
    </font>
    <font>
      <sz val="16"/>
      <name val="Arial"/>
      <family val="2"/>
    </font>
    <font>
      <b/>
      <sz val="16"/>
      <name val="Arial"/>
    </font>
    <font>
      <u/>
      <sz val="12"/>
      <name val="Arial"/>
    </font>
    <font>
      <sz val="14"/>
      <name val="Arial"/>
    </font>
    <font>
      <u/>
      <sz val="10"/>
      <color indexed="12"/>
      <name val="Arial"/>
    </font>
    <font>
      <b/>
      <sz val="20"/>
      <name val="Arial"/>
    </font>
    <font>
      <b/>
      <sz val="24"/>
      <name val="Arial"/>
    </font>
    <font>
      <b/>
      <sz val="9"/>
      <color indexed="81"/>
      <name val="Arial"/>
      <family val="2"/>
    </font>
    <font>
      <sz val="9"/>
      <color indexed="81"/>
      <name val="Arial"/>
    </font>
    <font>
      <i/>
      <vertAlign val="subscript"/>
      <sz val="10"/>
      <name val="Arial Narrow"/>
      <family val="2"/>
    </font>
    <font>
      <sz val="10"/>
      <color rgb="FFFF0000"/>
      <name val="Arial"/>
    </font>
    <font>
      <b/>
      <sz val="10"/>
      <color theme="1"/>
      <name val="Arial"/>
    </font>
    <font>
      <sz val="10"/>
      <color theme="1"/>
      <name val="Arial"/>
      <family val="2"/>
    </font>
  </fonts>
  <fills count="28">
    <fill>
      <patternFill patternType="none"/>
    </fill>
    <fill>
      <patternFill patternType="gray125"/>
    </fill>
    <fill>
      <patternFill patternType="solid">
        <fgColor indexed="47"/>
      </patternFill>
    </fill>
    <fill>
      <patternFill patternType="solid">
        <fgColor indexed="31"/>
      </patternFill>
    </fill>
    <fill>
      <patternFill patternType="solid">
        <fgColor indexed="27"/>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51"/>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
      <patternFill patternType="solid">
        <fgColor rgb="FFF5F9FC"/>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5F9FC"/>
        <bgColor rgb="FF000000"/>
      </patternFill>
    </fill>
  </fills>
  <borders count="14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diagonal/>
    </border>
    <border>
      <left style="thick">
        <color auto="1"/>
      </left>
      <right/>
      <top/>
      <bottom/>
      <diagonal/>
    </border>
    <border>
      <left/>
      <right style="thick">
        <color auto="1"/>
      </right>
      <top/>
      <bottom/>
      <diagonal/>
    </border>
    <border>
      <left/>
      <right/>
      <top/>
      <bottom style="thin">
        <color auto="1"/>
      </bottom>
      <diagonal/>
    </border>
    <border>
      <left/>
      <right style="thick">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ck">
        <color auto="1"/>
      </left>
      <right/>
      <top style="dashed">
        <color auto="1"/>
      </top>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right style="thick">
        <color auto="1"/>
      </right>
      <top style="dashed">
        <color auto="1"/>
      </top>
      <bottom/>
      <diagonal/>
    </border>
    <border>
      <left style="thick">
        <color auto="1"/>
      </left>
      <right/>
      <top/>
      <bottom style="dashed">
        <color auto="1"/>
      </bottom>
      <diagonal/>
    </border>
    <border>
      <left style="thin">
        <color auto="1"/>
      </left>
      <right/>
      <top/>
      <bottom style="thin">
        <color auto="1"/>
      </bottom>
      <diagonal/>
    </border>
    <border>
      <left style="medium">
        <color auto="1"/>
      </left>
      <right/>
      <top/>
      <bottom/>
      <diagonal/>
    </border>
    <border>
      <left/>
      <right style="medium">
        <color auto="1"/>
      </right>
      <top/>
      <bottom/>
      <diagonal/>
    </border>
    <border>
      <left style="medium">
        <color auto="1"/>
      </left>
      <right/>
      <top style="dashed">
        <color auto="1"/>
      </top>
      <bottom/>
      <diagonal/>
    </border>
    <border>
      <left/>
      <right style="medium">
        <color auto="1"/>
      </right>
      <top style="dashed">
        <color auto="1"/>
      </top>
      <bottom/>
      <diagonal/>
    </border>
    <border>
      <left style="thin">
        <color auto="1"/>
      </left>
      <right/>
      <top/>
      <bottom style="dashed">
        <color auto="1"/>
      </bottom>
      <diagonal/>
    </border>
    <border>
      <left style="medium">
        <color auto="1"/>
      </left>
      <right/>
      <top/>
      <bottom style="dashed">
        <color auto="1"/>
      </bottom>
      <diagonal/>
    </border>
    <border>
      <left/>
      <right style="medium">
        <color auto="1"/>
      </right>
      <top/>
      <bottom style="dashed">
        <color auto="1"/>
      </bottom>
      <diagonal/>
    </border>
    <border>
      <left/>
      <right/>
      <top/>
      <bottom style="dashed">
        <color auto="1"/>
      </bottom>
      <diagonal/>
    </border>
    <border>
      <left/>
      <right style="thin">
        <color auto="1"/>
      </right>
      <top/>
      <bottom style="dashed">
        <color auto="1"/>
      </bottom>
      <diagonal/>
    </border>
    <border>
      <left style="thick">
        <color auto="1"/>
      </left>
      <right/>
      <top/>
      <bottom style="thick">
        <color auto="1"/>
      </bottom>
      <diagonal/>
    </border>
    <border>
      <left style="thin">
        <color auto="1"/>
      </left>
      <right/>
      <top/>
      <bottom style="thick">
        <color auto="1"/>
      </bottom>
      <diagonal/>
    </border>
    <border>
      <left style="medium">
        <color auto="1"/>
      </left>
      <right/>
      <top/>
      <bottom style="thick">
        <color auto="1"/>
      </bottom>
      <diagonal/>
    </border>
    <border>
      <left/>
      <right style="medium">
        <color auto="1"/>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n">
        <color auto="1"/>
      </top>
      <bottom/>
      <diagonal/>
    </border>
    <border>
      <left style="thin">
        <color auto="1"/>
      </left>
      <right style="medium">
        <color auto="1"/>
      </right>
      <top/>
      <bottom style="thick">
        <color auto="1"/>
      </bottom>
      <diagonal/>
    </border>
    <border>
      <left style="thin">
        <color auto="1"/>
      </left>
      <right style="thin">
        <color auto="1"/>
      </right>
      <top/>
      <bottom/>
      <diagonal/>
    </border>
    <border>
      <left style="thin">
        <color auto="1"/>
      </left>
      <right style="thin">
        <color auto="1"/>
      </right>
      <top style="dashed">
        <color auto="1"/>
      </top>
      <bottom/>
      <diagonal/>
    </border>
    <border>
      <left style="thin">
        <color auto="1"/>
      </left>
      <right style="thin">
        <color auto="1"/>
      </right>
      <top/>
      <bottom style="dashed">
        <color auto="1"/>
      </bottom>
      <diagonal/>
    </border>
    <border>
      <left style="thin">
        <color auto="1"/>
      </left>
      <right style="thin">
        <color auto="1"/>
      </right>
      <top/>
      <bottom style="thick">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style="dashed">
        <color auto="1"/>
      </top>
      <bottom/>
      <diagonal/>
    </border>
    <border>
      <left style="medium">
        <color auto="1"/>
      </left>
      <right style="medium">
        <color auto="1"/>
      </right>
      <top/>
      <bottom style="dashed">
        <color auto="1"/>
      </bottom>
      <diagonal/>
    </border>
    <border>
      <left style="medium">
        <color auto="1"/>
      </left>
      <right style="medium">
        <color auto="1"/>
      </right>
      <top/>
      <bottom style="thick">
        <color auto="1"/>
      </bottom>
      <diagonal/>
    </border>
    <border>
      <left/>
      <right style="thick">
        <color auto="1"/>
      </right>
      <top/>
      <bottom style="thick">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dashed">
        <color auto="1"/>
      </top>
      <bottom/>
      <diagonal/>
    </border>
    <border>
      <left style="thin">
        <color auto="1"/>
      </left>
      <right style="medium">
        <color auto="1"/>
      </right>
      <top/>
      <bottom style="dashed">
        <color auto="1"/>
      </bottom>
      <diagonal/>
    </border>
    <border>
      <left style="medium">
        <color auto="1"/>
      </left>
      <right style="thin">
        <color auto="1"/>
      </right>
      <top/>
      <bottom/>
      <diagonal/>
    </border>
    <border>
      <left style="medium">
        <color auto="1"/>
      </left>
      <right style="thin">
        <color auto="1"/>
      </right>
      <top style="dashed">
        <color auto="1"/>
      </top>
      <bottom/>
      <diagonal/>
    </border>
    <border>
      <left style="medium">
        <color auto="1"/>
      </left>
      <right style="thin">
        <color auto="1"/>
      </right>
      <top/>
      <bottom style="dashed">
        <color auto="1"/>
      </bottom>
      <diagonal/>
    </border>
    <border>
      <left style="medium">
        <color auto="1"/>
      </left>
      <right style="thin">
        <color auto="1"/>
      </right>
      <top/>
      <bottom style="thick">
        <color auto="1"/>
      </bottom>
      <diagonal/>
    </border>
    <border>
      <left style="medium">
        <color auto="1"/>
      </left>
      <right style="thick">
        <color auto="1"/>
      </right>
      <top/>
      <bottom/>
      <diagonal/>
    </border>
    <border>
      <left style="medium">
        <color auto="1"/>
      </left>
      <right style="thick">
        <color auto="1"/>
      </right>
      <top style="dashed">
        <color auto="1"/>
      </top>
      <bottom/>
      <diagonal/>
    </border>
    <border>
      <left style="medium">
        <color auto="1"/>
      </left>
      <right style="thick">
        <color auto="1"/>
      </right>
      <top/>
      <bottom style="dashed">
        <color auto="1"/>
      </bottom>
      <diagonal/>
    </border>
    <border>
      <left style="thin">
        <color auto="1"/>
      </left>
      <right style="medium">
        <color auto="1"/>
      </right>
      <top style="thin">
        <color auto="1"/>
      </top>
      <bottom/>
      <diagonal/>
    </border>
    <border>
      <left style="medium">
        <color auto="1"/>
      </left>
      <right style="thick">
        <color auto="1"/>
      </right>
      <top style="thin">
        <color auto="1"/>
      </top>
      <bottom/>
      <diagonal/>
    </border>
    <border>
      <left style="medium">
        <color auto="1"/>
      </left>
      <right style="thick">
        <color auto="1"/>
      </right>
      <top/>
      <bottom style="thick">
        <color auto="1"/>
      </bottom>
      <diagonal/>
    </border>
    <border>
      <left style="medium">
        <color auto="1"/>
      </left>
      <right/>
      <top style="thin">
        <color auto="1"/>
      </top>
      <bottom/>
      <diagonal/>
    </border>
    <border>
      <left style="thick">
        <color auto="1"/>
      </left>
      <right/>
      <top style="dashed">
        <color auto="1"/>
      </top>
      <bottom style="thick">
        <color auto="1"/>
      </bottom>
      <diagonal/>
    </border>
    <border>
      <left/>
      <right/>
      <top style="dashed">
        <color auto="1"/>
      </top>
      <bottom style="thick">
        <color auto="1"/>
      </bottom>
      <diagonal/>
    </border>
    <border>
      <left style="thin">
        <color auto="1"/>
      </left>
      <right/>
      <top style="dashed">
        <color auto="1"/>
      </top>
      <bottom style="thick">
        <color auto="1"/>
      </bottom>
      <diagonal/>
    </border>
    <border>
      <left/>
      <right style="thin">
        <color auto="1"/>
      </right>
      <top style="dashed">
        <color auto="1"/>
      </top>
      <bottom style="thick">
        <color auto="1"/>
      </bottom>
      <diagonal/>
    </border>
    <border>
      <left/>
      <right style="thick">
        <color auto="1"/>
      </right>
      <top style="dashed">
        <color auto="1"/>
      </top>
      <bottom style="thick">
        <color auto="1"/>
      </bottom>
      <diagonal/>
    </border>
    <border>
      <left style="medium">
        <color auto="1"/>
      </left>
      <right/>
      <top/>
      <bottom style="medium">
        <color auto="1"/>
      </bottom>
      <diagonal/>
    </border>
    <border>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top style="thick">
        <color auto="1"/>
      </top>
      <bottom/>
      <diagonal/>
    </border>
    <border>
      <left style="thin">
        <color auto="1"/>
      </left>
      <right/>
      <top style="thick">
        <color auto="1"/>
      </top>
      <bottom/>
      <diagonal/>
    </border>
    <border>
      <left/>
      <right/>
      <top style="thick">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diagonal/>
    </border>
    <border>
      <left style="thick">
        <color auto="1"/>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ck">
        <color auto="1"/>
      </right>
      <top style="thin">
        <color auto="1"/>
      </top>
      <bottom/>
      <diagonal/>
    </border>
    <border>
      <left/>
      <right style="thick">
        <color auto="1"/>
      </right>
      <top/>
      <bottom style="medium">
        <color auto="1"/>
      </bottom>
      <diagonal/>
    </border>
    <border>
      <left style="medium">
        <color auto="1"/>
      </left>
      <right/>
      <top style="medium">
        <color auto="1"/>
      </top>
      <bottom style="thin">
        <color auto="1"/>
      </bottom>
      <diagonal/>
    </border>
    <border>
      <left/>
      <right style="thick">
        <color auto="1"/>
      </right>
      <top style="medium">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style="dashed">
        <color auto="1"/>
      </top>
      <bottom/>
      <diagonal/>
    </border>
    <border>
      <left style="thin">
        <color auto="1"/>
      </left>
      <right style="thick">
        <color auto="1"/>
      </right>
      <top/>
      <bottom style="dashed">
        <color auto="1"/>
      </bottom>
      <diagonal/>
    </border>
    <border>
      <left style="thin">
        <color auto="1"/>
      </left>
      <right style="thick">
        <color auto="1"/>
      </right>
      <top/>
      <bottom style="thick">
        <color auto="1"/>
      </bottom>
      <diagonal/>
    </border>
    <border>
      <left/>
      <right style="thick">
        <color auto="1"/>
      </right>
      <top/>
      <bottom style="dashed">
        <color auto="1"/>
      </bottom>
      <diagonal/>
    </border>
    <border>
      <left style="dotted">
        <color auto="1"/>
      </left>
      <right/>
      <top style="thin">
        <color auto="1"/>
      </top>
      <bottom/>
      <diagonal/>
    </border>
    <border>
      <left style="dotted">
        <color auto="1"/>
      </left>
      <right/>
      <top/>
      <bottom/>
      <diagonal/>
    </border>
    <border>
      <left style="dotted">
        <color auto="1"/>
      </left>
      <right/>
      <top/>
      <bottom style="thick">
        <color auto="1"/>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right style="medium">
        <color auto="1"/>
      </right>
      <top/>
      <bottom style="thin">
        <color auto="1"/>
      </bottom>
      <diagonal/>
    </border>
    <border>
      <left style="medium">
        <color auto="1"/>
      </left>
      <right/>
      <top/>
      <bottom style="thin">
        <color auto="1"/>
      </bottom>
      <diagonal/>
    </border>
    <border>
      <left style="thick">
        <color auto="1"/>
      </left>
      <right/>
      <top style="thin">
        <color auto="1"/>
      </top>
      <bottom/>
      <diagonal/>
    </border>
    <border>
      <left/>
      <right style="medium">
        <color auto="1"/>
      </right>
      <top style="thin">
        <color auto="1"/>
      </top>
      <bottom style="thin">
        <color auto="1"/>
      </bottom>
      <diagonal/>
    </border>
    <border>
      <left style="medium">
        <color auto="1"/>
      </left>
      <right/>
      <top style="thick">
        <color auto="1"/>
      </top>
      <bottom/>
      <diagonal/>
    </border>
    <border>
      <left/>
      <right style="medium">
        <color auto="1"/>
      </right>
      <top style="thick">
        <color auto="1"/>
      </top>
      <bottom/>
      <diagonal/>
    </border>
    <border>
      <left style="thick">
        <color auto="1"/>
      </left>
      <right style="thin">
        <color auto="1"/>
      </right>
      <top/>
      <bottom style="dashed">
        <color auto="1"/>
      </bottom>
      <diagonal/>
    </border>
    <border>
      <left/>
      <right/>
      <top style="thick">
        <color auto="1"/>
      </top>
      <bottom style="thin">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style="medium">
        <color auto="1"/>
      </left>
      <right style="medium">
        <color auto="1"/>
      </right>
      <top style="medium">
        <color auto="1"/>
      </top>
      <bottom/>
      <diagonal/>
    </border>
    <border>
      <left/>
      <right style="thick">
        <color auto="1"/>
      </right>
      <top style="medium">
        <color auto="1"/>
      </top>
      <bottom/>
      <diagonal/>
    </border>
    <border>
      <left style="thick">
        <color auto="1"/>
      </left>
      <right/>
      <top/>
      <bottom style="medium">
        <color auto="1"/>
      </bottom>
      <diagonal/>
    </border>
    <border>
      <left style="medium">
        <color auto="1"/>
      </left>
      <right style="medium">
        <color auto="1"/>
      </right>
      <top/>
      <bottom style="medium">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style="thin">
        <color auto="1"/>
      </bottom>
      <diagonal/>
    </border>
    <border>
      <left/>
      <right style="thin">
        <color auto="1"/>
      </right>
      <top/>
      <bottom style="thin">
        <color auto="1"/>
      </bottom>
      <diagonal/>
    </border>
    <border>
      <left style="thick">
        <color auto="1"/>
      </left>
      <right style="thin">
        <color auto="1"/>
      </right>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right/>
      <top/>
      <bottom style="double">
        <color auto="1"/>
      </bottom>
      <diagonal/>
    </border>
    <border>
      <left style="thin">
        <color auto="1"/>
      </left>
      <right style="medium">
        <color auto="1"/>
      </right>
      <top style="dashed">
        <color auto="1"/>
      </top>
      <bottom style="thick">
        <color auto="1"/>
      </bottom>
      <diagonal/>
    </border>
    <border>
      <left style="medium">
        <color auto="1"/>
      </left>
      <right style="thick">
        <color auto="1"/>
      </right>
      <top style="dashed">
        <color auto="1"/>
      </top>
      <bottom style="thick">
        <color auto="1"/>
      </bottom>
      <diagonal/>
    </border>
    <border>
      <left style="medium">
        <color auto="1"/>
      </left>
      <right style="thick">
        <color auto="1"/>
      </right>
      <top style="thick">
        <color auto="1"/>
      </top>
      <bottom/>
      <diagonal/>
    </border>
    <border>
      <left/>
      <right style="dotted">
        <color auto="1"/>
      </right>
      <top style="thin">
        <color auto="1"/>
      </top>
      <bottom/>
      <diagonal/>
    </border>
    <border>
      <left style="medium">
        <color auto="1"/>
      </left>
      <right/>
      <top style="thin">
        <color auto="1"/>
      </top>
      <bottom style="thin">
        <color auto="1"/>
      </bottom>
      <diagonal/>
    </border>
    <border>
      <left/>
      <right style="thick">
        <color auto="1"/>
      </right>
      <top style="thin">
        <color auto="1"/>
      </top>
      <bottom style="thin">
        <color auto="1"/>
      </bottom>
      <diagonal/>
    </border>
    <border>
      <left/>
      <right style="dotted">
        <color auto="1"/>
      </right>
      <top/>
      <bottom style="thin">
        <color auto="1"/>
      </bottom>
      <diagonal/>
    </border>
    <border>
      <left style="dotted">
        <color auto="1"/>
      </left>
      <right/>
      <top/>
      <bottom style="thin">
        <color auto="1"/>
      </bottom>
      <diagonal/>
    </border>
    <border>
      <left style="medium">
        <color auto="1"/>
      </left>
      <right style="medium">
        <color auto="1"/>
      </right>
      <top/>
      <bottom style="thin">
        <color auto="1"/>
      </bottom>
      <diagonal/>
    </border>
    <border>
      <left style="thin">
        <color auto="1"/>
      </left>
      <right style="thick">
        <color auto="1"/>
      </right>
      <top/>
      <bottom style="thin">
        <color auto="1"/>
      </bottom>
      <diagonal/>
    </border>
    <border>
      <left style="medium">
        <color auto="1"/>
      </left>
      <right style="thick">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ck">
        <color auto="1"/>
      </right>
      <top style="thick">
        <color auto="1"/>
      </top>
      <bottom/>
      <diagonal/>
    </border>
    <border>
      <left style="thick">
        <color auto="1"/>
      </left>
      <right style="thin">
        <color auto="1"/>
      </right>
      <top/>
      <bottom style="thin">
        <color auto="1"/>
      </bottom>
      <diagonal/>
    </border>
    <border>
      <left style="thick">
        <color auto="1"/>
      </left>
      <right style="medium">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s>
  <cellStyleXfs count="61">
    <xf numFmtId="0" fontId="0" fillId="0" borderId="0"/>
    <xf numFmtId="0" fontId="1" fillId="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11" fillId="5" borderId="0" applyNumberFormat="0" applyBorder="0" applyAlignment="0" applyProtection="0"/>
    <xf numFmtId="0" fontId="5" fillId="13" borderId="1" applyNumberFormat="0" applyAlignment="0" applyProtection="0"/>
    <xf numFmtId="0" fontId="23" fillId="17" borderId="3" applyNumberFormat="0" applyAlignment="0" applyProtection="0"/>
    <xf numFmtId="0"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3" fontId="7" fillId="0" borderId="0" applyFont="0" applyFill="0" applyBorder="0" applyAlignment="0" applyProtection="0"/>
    <xf numFmtId="0" fontId="4" fillId="6"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10" fillId="2" borderId="1" applyNumberFormat="0" applyAlignment="0" applyProtection="0"/>
    <xf numFmtId="0" fontId="12" fillId="0" borderId="0" applyNumberFormat="0" applyFill="0" applyBorder="0" applyAlignment="0" applyProtection="0"/>
    <xf numFmtId="0" fontId="6" fillId="0" borderId="2" applyNumberFormat="0" applyFill="0" applyAlignment="0" applyProtection="0"/>
    <xf numFmtId="179" fontId="7" fillId="0" borderId="0" applyFont="0" applyFill="0" applyBorder="0" applyAlignment="0" applyProtection="0"/>
    <xf numFmtId="0" fontId="14" fillId="0" borderId="0"/>
    <xf numFmtId="0" fontId="15" fillId="1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28" fillId="19" borderId="7" applyNumberFormat="0" applyFont="0" applyAlignment="0" applyProtection="0"/>
    <xf numFmtId="0" fontId="16" fillId="13" borderId="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14" fillId="0" borderId="0"/>
    <xf numFmtId="0" fontId="17" fillId="0" borderId="9">
      <alignment horizontal="center"/>
    </xf>
    <xf numFmtId="0" fontId="22" fillId="0" borderId="0" applyNumberFormat="0" applyFill="0" applyBorder="0" applyAlignment="0" applyProtection="0"/>
    <xf numFmtId="2" fontId="7" fillId="0" borderId="0" applyFont="0" applyFill="0" applyBorder="0" applyAlignment="0" applyProtection="0"/>
    <xf numFmtId="0" fontId="3" fillId="0" borderId="0" applyNumberFormat="0" applyFill="0" applyBorder="0" applyAlignment="0" applyProtection="0"/>
  </cellStyleXfs>
  <cellXfs count="2615">
    <xf numFmtId="0" fontId="0" fillId="0" borderId="0" xfId="0"/>
    <xf numFmtId="0" fontId="30" fillId="0" borderId="0" xfId="0" applyFont="1" applyAlignment="1">
      <alignment horizontal="center" vertical="center" wrapText="1"/>
    </xf>
    <xf numFmtId="3" fontId="14" fillId="0" borderId="0" xfId="46" applyNumberFormat="1" applyBorder="1" applyAlignment="1">
      <alignment horizontal="center" wrapText="1"/>
    </xf>
    <xf numFmtId="0" fontId="14" fillId="0" borderId="0" xfId="38" applyFont="1" applyFill="1"/>
    <xf numFmtId="0" fontId="31" fillId="0" borderId="0" xfId="38" applyFont="1" applyFill="1"/>
    <xf numFmtId="0" fontId="14" fillId="0" borderId="10" xfId="38" applyFont="1" applyFill="1" applyBorder="1"/>
    <xf numFmtId="0" fontId="14" fillId="0" borderId="0" xfId="38" applyFont="1" applyFill="1" applyBorder="1"/>
    <xf numFmtId="0" fontId="14" fillId="0" borderId="11" xfId="38" applyFont="1" applyFill="1" applyBorder="1"/>
    <xf numFmtId="0" fontId="14" fillId="0" borderId="12" xfId="38" applyFont="1" applyFill="1" applyBorder="1" applyAlignment="1">
      <alignment horizontal="center"/>
    </xf>
    <xf numFmtId="0" fontId="14" fillId="0" borderId="13" xfId="38" applyFont="1" applyFill="1" applyBorder="1" applyAlignment="1">
      <alignment horizontal="center"/>
    </xf>
    <xf numFmtId="0" fontId="14" fillId="0" borderId="10" xfId="38" applyFont="1" applyFill="1" applyBorder="1" applyAlignment="1">
      <alignment horizontal="center" vertical="center" wrapText="1"/>
    </xf>
    <xf numFmtId="0" fontId="31" fillId="0" borderId="14" xfId="38" applyFont="1" applyFill="1" applyBorder="1" applyAlignment="1">
      <alignment horizontal="center" vertical="center" wrapText="1"/>
    </xf>
    <xf numFmtId="0" fontId="14" fillId="0" borderId="15" xfId="38" applyFont="1" applyFill="1" applyBorder="1" applyAlignment="1">
      <alignment horizontal="center" vertical="center" wrapText="1"/>
    </xf>
    <xf numFmtId="0" fontId="35" fillId="0" borderId="15" xfId="38" applyFont="1" applyFill="1" applyBorder="1" applyAlignment="1">
      <alignment horizontal="center" vertical="center" wrapText="1"/>
    </xf>
    <xf numFmtId="0" fontId="14" fillId="0" borderId="16" xfId="38" applyFont="1" applyFill="1" applyBorder="1" applyAlignment="1">
      <alignment horizontal="center" vertical="center" wrapText="1"/>
    </xf>
    <xf numFmtId="0" fontId="14" fillId="0" borderId="0" xfId="38" applyFont="1" applyFill="1" applyBorder="1" applyAlignment="1">
      <alignment horizontal="center" vertical="center" wrapText="1"/>
    </xf>
    <xf numFmtId="0" fontId="14" fillId="0" borderId="17" xfId="38" applyFont="1" applyFill="1" applyBorder="1" applyAlignment="1">
      <alignment horizontal="center" vertical="center" wrapText="1"/>
    </xf>
    <xf numFmtId="0" fontId="35" fillId="0" borderId="0" xfId="38" applyFont="1" applyFill="1"/>
    <xf numFmtId="9" fontId="31" fillId="0" borderId="14" xfId="38" applyNumberFormat="1" applyFont="1" applyFill="1" applyBorder="1" applyAlignment="1">
      <alignment horizontal="center"/>
    </xf>
    <xf numFmtId="9" fontId="14" fillId="0" borderId="0" xfId="38" applyNumberFormat="1" applyFont="1" applyFill="1"/>
    <xf numFmtId="9" fontId="31" fillId="0" borderId="9" xfId="38" applyNumberFormat="1" applyFont="1" applyFill="1" applyBorder="1" applyAlignment="1">
      <alignment horizontal="center"/>
    </xf>
    <xf numFmtId="9" fontId="14" fillId="0" borderId="0" xfId="38" applyNumberFormat="1" applyFont="1" applyFill="1" applyBorder="1" applyAlignment="1">
      <alignment horizontal="center"/>
    </xf>
    <xf numFmtId="9" fontId="14" fillId="0" borderId="17" xfId="38" applyNumberFormat="1" applyFont="1" applyFill="1" applyBorder="1" applyAlignment="1">
      <alignment horizontal="center"/>
    </xf>
    <xf numFmtId="9" fontId="31" fillId="0" borderId="11" xfId="38" applyNumberFormat="1" applyFont="1" applyFill="1" applyBorder="1" applyAlignment="1">
      <alignment horizontal="center"/>
    </xf>
    <xf numFmtId="0" fontId="14" fillId="0" borderId="18" xfId="38" applyFont="1" applyFill="1" applyBorder="1" applyAlignment="1">
      <alignment horizontal="center" vertical="center" wrapText="1"/>
    </xf>
    <xf numFmtId="9" fontId="31" fillId="0" borderId="19" xfId="38" applyNumberFormat="1" applyFont="1" applyFill="1" applyBorder="1" applyAlignment="1">
      <alignment horizontal="center"/>
    </xf>
    <xf numFmtId="9" fontId="14" fillId="0" borderId="20" xfId="38" applyNumberFormat="1" applyFont="1" applyFill="1" applyBorder="1" applyAlignment="1">
      <alignment horizontal="center"/>
    </xf>
    <xf numFmtId="9" fontId="14" fillId="0" borderId="21" xfId="38" applyNumberFormat="1" applyFont="1" applyFill="1" applyBorder="1" applyAlignment="1">
      <alignment horizontal="center"/>
    </xf>
    <xf numFmtId="9" fontId="31" fillId="0" borderId="22" xfId="38" applyNumberFormat="1" applyFont="1" applyFill="1" applyBorder="1" applyAlignment="1">
      <alignment horizontal="center"/>
    </xf>
    <xf numFmtId="9" fontId="14" fillId="0" borderId="0" xfId="52" applyFont="1" applyBorder="1" applyAlignment="1">
      <alignment horizontal="center"/>
    </xf>
    <xf numFmtId="9" fontId="14" fillId="0" borderId="17" xfId="52" applyFont="1" applyBorder="1" applyAlignment="1">
      <alignment horizontal="center"/>
    </xf>
    <xf numFmtId="9" fontId="31" fillId="0" borderId="0" xfId="38" applyNumberFormat="1" applyFont="1" applyFill="1" applyBorder="1" applyAlignment="1">
      <alignment horizontal="center"/>
    </xf>
    <xf numFmtId="3" fontId="14" fillId="0" borderId="0" xfId="38" applyNumberFormat="1" applyFont="1" applyFill="1"/>
    <xf numFmtId="0" fontId="14" fillId="0" borderId="0" xfId="38" applyNumberFormat="1" applyFont="1" applyFill="1" applyBorder="1" applyAlignment="1" applyProtection="1"/>
    <xf numFmtId="0" fontId="14" fillId="0" borderId="0" xfId="38" applyFill="1" applyBorder="1" applyAlignment="1">
      <alignment horizontal="center" vertical="center"/>
    </xf>
    <xf numFmtId="0" fontId="14" fillId="0" borderId="10" xfId="38" applyFill="1" applyBorder="1"/>
    <xf numFmtId="0" fontId="14" fillId="0" borderId="0" xfId="38" applyFill="1" applyBorder="1"/>
    <xf numFmtId="0" fontId="14" fillId="0" borderId="11" xfId="38" applyFill="1" applyBorder="1"/>
    <xf numFmtId="0" fontId="14" fillId="0" borderId="12" xfId="38" applyFill="1" applyBorder="1" applyAlignment="1">
      <alignment horizontal="center"/>
    </xf>
    <xf numFmtId="0" fontId="14" fillId="0" borderId="13" xfId="38" applyFill="1" applyBorder="1" applyAlignment="1">
      <alignment horizontal="center"/>
    </xf>
    <xf numFmtId="0" fontId="14" fillId="0" borderId="0" xfId="38" applyFill="1" applyBorder="1" applyAlignment="1">
      <alignment horizontal="center"/>
    </xf>
    <xf numFmtId="0" fontId="31" fillId="0" borderId="0" xfId="38" applyFont="1" applyFill="1" applyBorder="1" applyAlignment="1">
      <alignment horizontal="center" vertical="center" wrapText="1"/>
    </xf>
    <xf numFmtId="0" fontId="39" fillId="0" borderId="0" xfId="38" applyFont="1" applyFill="1" applyBorder="1" applyAlignment="1">
      <alignment horizontal="center" vertical="center" wrapText="1"/>
    </xf>
    <xf numFmtId="0" fontId="14" fillId="0" borderId="15" xfId="38" applyFill="1" applyBorder="1" applyAlignment="1">
      <alignment horizontal="center" vertical="center" wrapText="1"/>
    </xf>
    <xf numFmtId="0" fontId="14" fillId="0" borderId="16" xfId="38" applyFill="1" applyBorder="1" applyAlignment="1">
      <alignment horizontal="center" vertical="center" wrapText="1"/>
    </xf>
    <xf numFmtId="0" fontId="35" fillId="0" borderId="16" xfId="38" applyFont="1" applyFill="1" applyBorder="1" applyAlignment="1">
      <alignment horizontal="center" vertical="center" wrapText="1"/>
    </xf>
    <xf numFmtId="0" fontId="14" fillId="0" borderId="0" xfId="38" applyFill="1" applyBorder="1" applyAlignment="1">
      <alignment horizontal="center" vertical="center" wrapText="1"/>
    </xf>
    <xf numFmtId="0" fontId="35" fillId="0" borderId="0" xfId="38" applyFont="1" applyFill="1" applyBorder="1" applyAlignment="1">
      <alignment horizontal="center" vertical="center" wrapText="1"/>
    </xf>
    <xf numFmtId="9" fontId="39" fillId="0" borderId="0" xfId="38" applyNumberFormat="1" applyFont="1" applyFill="1" applyBorder="1" applyAlignment="1">
      <alignment horizontal="center"/>
    </xf>
    <xf numFmtId="9" fontId="14" fillId="0" borderId="0" xfId="38" applyNumberFormat="1" applyFill="1"/>
    <xf numFmtId="0" fontId="14" fillId="0" borderId="10" xfId="38" applyFont="1" applyFill="1" applyBorder="1" applyAlignment="1">
      <alignment horizontal="center" vertical="justify"/>
    </xf>
    <xf numFmtId="9" fontId="14" fillId="0" borderId="0" xfId="38" applyNumberFormat="1" applyFill="1" applyBorder="1" applyAlignment="1">
      <alignment horizontal="center"/>
    </xf>
    <xf numFmtId="9" fontId="14" fillId="0" borderId="17" xfId="38" applyNumberFormat="1" applyFill="1" applyBorder="1" applyAlignment="1">
      <alignment horizontal="center"/>
    </xf>
    <xf numFmtId="9" fontId="35" fillId="0" borderId="0" xfId="38" applyNumberFormat="1" applyFont="1" applyFill="1" applyBorder="1" applyAlignment="1">
      <alignment horizontal="center"/>
    </xf>
    <xf numFmtId="9" fontId="39" fillId="0" borderId="11" xfId="38" applyNumberFormat="1" applyFont="1" applyFill="1" applyBorder="1" applyAlignment="1">
      <alignment horizontal="center"/>
    </xf>
    <xf numFmtId="0" fontId="14" fillId="0" borderId="18" xfId="38" applyFont="1" applyFill="1" applyBorder="1" applyAlignment="1">
      <alignment horizontal="center" vertical="justify"/>
    </xf>
    <xf numFmtId="9" fontId="14" fillId="0" borderId="20" xfId="38" applyNumberFormat="1" applyFill="1" applyBorder="1" applyAlignment="1">
      <alignment horizontal="center"/>
    </xf>
    <xf numFmtId="9" fontId="14" fillId="0" borderId="21" xfId="38" applyNumberFormat="1" applyFill="1" applyBorder="1" applyAlignment="1">
      <alignment horizontal="center"/>
    </xf>
    <xf numFmtId="9" fontId="39" fillId="0" borderId="22" xfId="38" applyNumberFormat="1" applyFont="1" applyFill="1" applyBorder="1" applyAlignment="1">
      <alignment horizontal="center"/>
    </xf>
    <xf numFmtId="3" fontId="14" fillId="0" borderId="0" xfId="38" applyNumberFormat="1" applyFill="1" applyAlignment="1">
      <alignment horizontal="center"/>
    </xf>
    <xf numFmtId="0" fontId="14" fillId="0" borderId="10" xfId="38" applyFill="1" applyBorder="1" applyAlignment="1">
      <alignment horizontal="center"/>
    </xf>
    <xf numFmtId="9" fontId="31" fillId="0" borderId="17" xfId="38" applyNumberFormat="1" applyFont="1" applyFill="1" applyBorder="1" applyAlignment="1">
      <alignment horizontal="center"/>
    </xf>
    <xf numFmtId="9" fontId="14" fillId="0" borderId="0" xfId="52" applyFont="1" applyFill="1" applyBorder="1" applyAlignment="1">
      <alignment horizontal="center"/>
    </xf>
    <xf numFmtId="9" fontId="14" fillId="0" borderId="17" xfId="52" applyFont="1" applyFill="1" applyBorder="1" applyAlignment="1">
      <alignment horizontal="center"/>
    </xf>
    <xf numFmtId="0" fontId="14" fillId="0" borderId="23" xfId="38" applyFont="1" applyFill="1" applyBorder="1" applyAlignment="1">
      <alignment horizontal="center"/>
    </xf>
    <xf numFmtId="0" fontId="14" fillId="0" borderId="0" xfId="38" applyFill="1"/>
    <xf numFmtId="3" fontId="14" fillId="0" borderId="0" xfId="38" applyNumberFormat="1" applyFill="1"/>
    <xf numFmtId="4" fontId="14" fillId="0" borderId="0" xfId="38" applyNumberFormat="1" applyFill="1"/>
    <xf numFmtId="9" fontId="14" fillId="0" borderId="0" xfId="52" applyFont="1"/>
    <xf numFmtId="172" fontId="14" fillId="0" borderId="0" xfId="53" applyNumberFormat="1" applyFont="1" applyFill="1" applyAlignment="1">
      <alignment horizontal="right"/>
    </xf>
    <xf numFmtId="10" fontId="14" fillId="0" borderId="0" xfId="38" applyNumberFormat="1" applyFill="1" applyAlignment="1">
      <alignment horizontal="right"/>
    </xf>
    <xf numFmtId="3" fontId="31" fillId="0" borderId="0" xfId="38" applyNumberFormat="1" applyFont="1" applyFill="1" applyAlignment="1">
      <alignment horizontal="center"/>
    </xf>
    <xf numFmtId="9" fontId="13" fillId="0" borderId="0" xfId="53" applyFont="1" applyFill="1"/>
    <xf numFmtId="172" fontId="13" fillId="0" borderId="0" xfId="53" applyNumberFormat="1" applyFont="1" applyFill="1"/>
    <xf numFmtId="3" fontId="31" fillId="0" borderId="0" xfId="38" applyNumberFormat="1" applyFont="1" applyFill="1"/>
    <xf numFmtId="0" fontId="31" fillId="0" borderId="0" xfId="49" applyFont="1"/>
    <xf numFmtId="0" fontId="14" fillId="0" borderId="0" xfId="49"/>
    <xf numFmtId="0" fontId="14" fillId="0" borderId="0" xfId="49" applyFill="1"/>
    <xf numFmtId="0" fontId="14" fillId="0" borderId="0" xfId="49" applyFont="1" applyBorder="1" applyAlignment="1">
      <alignment horizontal="center" vertical="center" wrapText="1"/>
    </xf>
    <xf numFmtId="0" fontId="14" fillId="0" borderId="0" xfId="49" applyFont="1" applyAlignment="1">
      <alignment horizontal="center" vertical="center" wrapText="1"/>
    </xf>
    <xf numFmtId="0" fontId="14" fillId="0" borderId="0" xfId="49" applyBorder="1" applyAlignment="1">
      <alignment horizontal="left"/>
    </xf>
    <xf numFmtId="0" fontId="14" fillId="0" borderId="0" xfId="49" applyBorder="1" applyAlignment="1"/>
    <xf numFmtId="0" fontId="14" fillId="0" borderId="17" xfId="49" applyBorder="1" applyAlignment="1"/>
    <xf numFmtId="0" fontId="14" fillId="0" borderId="0" xfId="49" applyBorder="1"/>
    <xf numFmtId="0" fontId="14" fillId="0" borderId="17" xfId="49" applyBorder="1"/>
    <xf numFmtId="0" fontId="31" fillId="0" borderId="0" xfId="49" applyFont="1" applyBorder="1" applyAlignment="1"/>
    <xf numFmtId="0" fontId="31" fillId="0" borderId="0" xfId="49" applyFont="1" applyFill="1" applyBorder="1" applyAlignment="1"/>
    <xf numFmtId="0" fontId="14" fillId="0" borderId="0" xfId="49" applyFont="1"/>
    <xf numFmtId="0" fontId="31" fillId="0" borderId="0" xfId="49" applyFont="1" applyAlignment="1">
      <alignment horizontal="center" vertical="center" wrapText="1"/>
    </xf>
    <xf numFmtId="0" fontId="31" fillId="0" borderId="9" xfId="49" applyFont="1" applyBorder="1" applyAlignment="1">
      <alignment horizontal="center" vertical="center" wrapText="1"/>
    </xf>
    <xf numFmtId="0" fontId="31" fillId="0" borderId="0" xfId="49" applyFont="1" applyBorder="1" applyAlignment="1">
      <alignment horizontal="center" vertical="center"/>
    </xf>
    <xf numFmtId="0" fontId="31" fillId="0" borderId="0" xfId="49" applyFont="1" applyBorder="1" applyAlignment="1">
      <alignment horizontal="center" vertical="center" wrapText="1"/>
    </xf>
    <xf numFmtId="0" fontId="31" fillId="0" borderId="0" xfId="49" applyFont="1" applyFill="1" applyBorder="1" applyAlignment="1">
      <alignment horizontal="center" vertical="center" wrapText="1"/>
    </xf>
    <xf numFmtId="0" fontId="14" fillId="0" borderId="17" xfId="49" applyFont="1" applyBorder="1" applyAlignment="1">
      <alignment horizontal="center" vertical="center" wrapText="1"/>
    </xf>
    <xf numFmtId="0" fontId="14" fillId="0" borderId="0" xfId="49" applyFont="1" applyBorder="1" applyAlignment="1">
      <alignment vertical="center"/>
    </xf>
    <xf numFmtId="0" fontId="14" fillId="0" borderId="17" xfId="49" applyFont="1" applyBorder="1" applyAlignment="1">
      <alignment vertical="center"/>
    </xf>
    <xf numFmtId="0" fontId="14" fillId="0" borderId="0" xfId="49" applyFont="1" applyFill="1" applyBorder="1" applyAlignment="1">
      <alignment horizontal="center" vertical="center" wrapText="1"/>
    </xf>
    <xf numFmtId="0" fontId="14" fillId="0" borderId="17" xfId="49" applyFont="1" applyFill="1" applyBorder="1" applyAlignment="1">
      <alignment horizontal="center" vertical="center" wrapText="1"/>
    </xf>
    <xf numFmtId="0" fontId="14" fillId="0" borderId="9" xfId="49" applyFont="1" applyFill="1" applyBorder="1" applyAlignment="1">
      <alignment horizontal="center" vertical="center" wrapText="1"/>
    </xf>
    <xf numFmtId="0" fontId="27" fillId="0" borderId="17" xfId="45" applyFont="1" applyFill="1" applyBorder="1" applyAlignment="1">
      <alignment vertical="center" wrapText="1"/>
    </xf>
    <xf numFmtId="0" fontId="43" fillId="0" borderId="0" xfId="49" applyFont="1" applyAlignment="1">
      <alignment horizontal="center" vertical="center" wrapText="1"/>
    </xf>
    <xf numFmtId="0" fontId="43" fillId="0" borderId="17" xfId="49" applyFont="1" applyBorder="1" applyAlignment="1">
      <alignment horizontal="center" vertical="center" wrapText="1"/>
    </xf>
    <xf numFmtId="0" fontId="43" fillId="0" borderId="0" xfId="49" applyFont="1" applyBorder="1" applyAlignment="1">
      <alignment horizontal="center" vertical="center" wrapText="1"/>
    </xf>
    <xf numFmtId="0" fontId="43" fillId="0" borderId="9" xfId="49" applyFont="1" applyBorder="1" applyAlignment="1">
      <alignment horizontal="center" vertical="center" wrapText="1"/>
    </xf>
    <xf numFmtId="0" fontId="43" fillId="0" borderId="0" xfId="49" applyFont="1" applyFill="1" applyBorder="1" applyAlignment="1">
      <alignment horizontal="center" vertical="center" wrapText="1"/>
    </xf>
    <xf numFmtId="0" fontId="43" fillId="0" borderId="0" xfId="49" applyFont="1" applyBorder="1" applyAlignment="1">
      <alignment horizontal="center" vertical="center"/>
    </xf>
    <xf numFmtId="0" fontId="43" fillId="0" borderId="17" xfId="49" applyFont="1" applyBorder="1" applyAlignment="1">
      <alignment horizontal="center" vertical="center"/>
    </xf>
    <xf numFmtId="0" fontId="43" fillId="0" borderId="0" xfId="49" applyFont="1" applyAlignment="1">
      <alignment horizontal="center" vertical="center"/>
    </xf>
    <xf numFmtId="0" fontId="14" fillId="0" borderId="9" xfId="49" applyBorder="1"/>
    <xf numFmtId="0" fontId="43" fillId="0" borderId="17" xfId="49" applyFont="1" applyFill="1" applyBorder="1" applyAlignment="1">
      <alignment horizontal="center" vertical="center" wrapText="1"/>
    </xf>
    <xf numFmtId="0" fontId="14" fillId="0" borderId="0" xfId="49" applyAlignment="1">
      <alignment horizontal="center"/>
    </xf>
    <xf numFmtId="175" fontId="14" fillId="0" borderId="0" xfId="49" applyNumberFormat="1" applyFont="1" applyBorder="1" applyAlignment="1">
      <alignment horizontal="center" vertical="center" wrapText="1"/>
    </xf>
    <xf numFmtId="175" fontId="14" fillId="0" borderId="0" xfId="49" applyNumberFormat="1" applyFont="1" applyFill="1" applyBorder="1" applyAlignment="1">
      <alignment horizontal="center" vertical="center" wrapText="1"/>
    </xf>
    <xf numFmtId="9" fontId="14" fillId="0" borderId="0" xfId="49" applyNumberFormat="1" applyFont="1" applyFill="1" applyBorder="1" applyAlignment="1">
      <alignment horizontal="center" vertical="center" wrapText="1"/>
    </xf>
    <xf numFmtId="175" fontId="14" fillId="0" borderId="0" xfId="49" applyNumberFormat="1"/>
    <xf numFmtId="175" fontId="31" fillId="0" borderId="0" xfId="49" applyNumberFormat="1" applyFont="1" applyBorder="1" applyAlignment="1">
      <alignment horizontal="center"/>
    </xf>
    <xf numFmtId="3" fontId="14" fillId="0" borderId="0" xfId="49" applyNumberFormat="1" applyBorder="1"/>
    <xf numFmtId="194" fontId="14" fillId="0" borderId="0" xfId="49" applyNumberFormat="1" applyFont="1" applyBorder="1" applyAlignment="1">
      <alignment horizontal="center" vertical="center" wrapText="1"/>
    </xf>
    <xf numFmtId="3" fontId="14" fillId="0" borderId="0" xfId="49" applyNumberFormat="1"/>
    <xf numFmtId="194" fontId="14" fillId="0" borderId="0" xfId="49" applyNumberFormat="1"/>
    <xf numFmtId="0" fontId="14" fillId="0" borderId="10" xfId="49" applyBorder="1"/>
    <xf numFmtId="0" fontId="14" fillId="0" borderId="11" xfId="49" applyBorder="1"/>
    <xf numFmtId="0" fontId="14" fillId="0" borderId="12" xfId="49" applyFont="1" applyBorder="1" applyAlignment="1">
      <alignment horizontal="center"/>
    </xf>
    <xf numFmtId="0" fontId="14" fillId="0" borderId="12" xfId="49" applyBorder="1" applyAlignment="1">
      <alignment horizontal="center"/>
    </xf>
    <xf numFmtId="0" fontId="14" fillId="0" borderId="13" xfId="49" applyBorder="1" applyAlignment="1">
      <alignment horizontal="center"/>
    </xf>
    <xf numFmtId="0" fontId="14" fillId="0" borderId="24" xfId="49" applyFont="1" applyBorder="1" applyAlignment="1">
      <alignment horizontal="center" vertical="center" wrapText="1"/>
    </xf>
    <xf numFmtId="0" fontId="14" fillId="0" borderId="10" xfId="49" applyFont="1" applyBorder="1" applyAlignment="1">
      <alignment horizontal="center" vertical="center"/>
    </xf>
    <xf numFmtId="175" fontId="14" fillId="0" borderId="9" xfId="49" applyNumberFormat="1" applyFont="1" applyBorder="1" applyAlignment="1">
      <alignment horizontal="center" vertical="center"/>
    </xf>
    <xf numFmtId="175" fontId="14" fillId="0" borderId="17" xfId="49" applyNumberFormat="1" applyBorder="1" applyAlignment="1">
      <alignment horizontal="center" vertical="center"/>
    </xf>
    <xf numFmtId="175" fontId="14" fillId="0" borderId="9" xfId="49" applyNumberFormat="1" applyBorder="1" applyAlignment="1">
      <alignment horizontal="center" vertical="center"/>
    </xf>
    <xf numFmtId="3" fontId="14" fillId="0" borderId="9" xfId="49" applyNumberFormat="1" applyFont="1" applyBorder="1" applyAlignment="1">
      <alignment horizontal="center" vertical="center"/>
    </xf>
    <xf numFmtId="3" fontId="31" fillId="0" borderId="25" xfId="49" applyNumberFormat="1" applyFont="1" applyBorder="1" applyAlignment="1">
      <alignment horizontal="center" vertical="center"/>
    </xf>
    <xf numFmtId="3" fontId="31" fillId="0" borderId="26" xfId="49" applyNumberFormat="1" applyFont="1" applyBorder="1" applyAlignment="1">
      <alignment horizontal="center" vertical="center"/>
    </xf>
    <xf numFmtId="3" fontId="14" fillId="0" borderId="0" xfId="49" applyNumberFormat="1" applyFont="1" applyBorder="1" applyAlignment="1">
      <alignment horizontal="center" vertical="center"/>
    </xf>
    <xf numFmtId="9" fontId="31" fillId="0" borderId="17" xfId="49" applyNumberFormat="1" applyFont="1" applyBorder="1" applyAlignment="1">
      <alignment horizontal="center" vertical="center"/>
    </xf>
    <xf numFmtId="9" fontId="14" fillId="0" borderId="0" xfId="49" applyNumberFormat="1" applyBorder="1" applyAlignment="1">
      <alignment horizontal="center" vertical="center"/>
    </xf>
    <xf numFmtId="3" fontId="14" fillId="0" borderId="0" xfId="49" applyNumberFormat="1" applyBorder="1" applyAlignment="1">
      <alignment horizontal="center" vertical="center"/>
    </xf>
    <xf numFmtId="0" fontId="14" fillId="0" borderId="18" xfId="49" applyFont="1" applyBorder="1" applyAlignment="1">
      <alignment horizontal="center" vertical="center"/>
    </xf>
    <xf numFmtId="175" fontId="14" fillId="0" borderId="19" xfId="49" applyNumberFormat="1" applyBorder="1" applyAlignment="1">
      <alignment horizontal="center" vertical="center"/>
    </xf>
    <xf numFmtId="3" fontId="14" fillId="0" borderId="19" xfId="49" applyNumberFormat="1" applyFont="1" applyBorder="1" applyAlignment="1">
      <alignment horizontal="center" vertical="center"/>
    </xf>
    <xf numFmtId="3" fontId="31" fillId="0" borderId="27" xfId="49" applyNumberFormat="1" applyFont="1" applyBorder="1" applyAlignment="1">
      <alignment horizontal="center" vertical="center"/>
    </xf>
    <xf numFmtId="3" fontId="31" fillId="0" borderId="28" xfId="49" applyNumberFormat="1" applyFont="1" applyBorder="1" applyAlignment="1">
      <alignment horizontal="center" vertical="center"/>
    </xf>
    <xf numFmtId="3" fontId="14" fillId="0" borderId="20" xfId="49" applyNumberFormat="1" applyFont="1" applyBorder="1" applyAlignment="1">
      <alignment horizontal="center" vertical="center"/>
    </xf>
    <xf numFmtId="9" fontId="31" fillId="0" borderId="21" xfId="49" applyNumberFormat="1" applyFont="1" applyBorder="1" applyAlignment="1">
      <alignment horizontal="center" vertical="center"/>
    </xf>
    <xf numFmtId="3" fontId="14" fillId="0" borderId="20" xfId="49" applyNumberFormat="1" applyBorder="1" applyAlignment="1">
      <alignment horizontal="center" vertical="center"/>
    </xf>
    <xf numFmtId="0" fontId="14" fillId="0" borderId="23" xfId="49" applyFont="1" applyBorder="1" applyAlignment="1">
      <alignment horizontal="center" vertical="center"/>
    </xf>
    <xf numFmtId="175" fontId="14" fillId="0" borderId="29" xfId="49" applyNumberFormat="1" applyBorder="1" applyAlignment="1">
      <alignment horizontal="center" vertical="center"/>
    </xf>
    <xf numFmtId="3" fontId="14" fillId="0" borderId="29" xfId="49" applyNumberFormat="1" applyFont="1" applyBorder="1" applyAlignment="1">
      <alignment horizontal="center" vertical="center"/>
    </xf>
    <xf numFmtId="3" fontId="31" fillId="0" borderId="30" xfId="49" applyNumberFormat="1" applyFont="1" applyBorder="1" applyAlignment="1">
      <alignment horizontal="center" vertical="center"/>
    </xf>
    <xf numFmtId="3" fontId="31" fillId="0" borderId="31" xfId="49" applyNumberFormat="1" applyFont="1" applyBorder="1" applyAlignment="1">
      <alignment horizontal="center" vertical="center"/>
    </xf>
    <xf numFmtId="3" fontId="14" fillId="0" borderId="32" xfId="49" applyNumberFormat="1" applyFont="1" applyBorder="1" applyAlignment="1">
      <alignment horizontal="center" vertical="center"/>
    </xf>
    <xf numFmtId="9" fontId="31" fillId="0" borderId="33" xfId="49" applyNumberFormat="1" applyFont="1" applyBorder="1" applyAlignment="1">
      <alignment horizontal="center" vertical="center"/>
    </xf>
    <xf numFmtId="9" fontId="14" fillId="0" borderId="32" xfId="49" applyNumberFormat="1" applyBorder="1" applyAlignment="1">
      <alignment horizontal="center" vertical="center"/>
    </xf>
    <xf numFmtId="3" fontId="14" fillId="0" borderId="32" xfId="49" applyNumberFormat="1" applyBorder="1" applyAlignment="1">
      <alignment horizontal="center" vertical="center"/>
    </xf>
    <xf numFmtId="3" fontId="14" fillId="0" borderId="0" xfId="49" applyNumberFormat="1" applyAlignment="1">
      <alignment horizontal="center"/>
    </xf>
    <xf numFmtId="0" fontId="14" fillId="0" borderId="10" xfId="49" applyBorder="1" applyAlignment="1">
      <alignment horizontal="center" vertical="center"/>
    </xf>
    <xf numFmtId="0" fontId="14" fillId="0" borderId="18" xfId="49" applyBorder="1" applyAlignment="1">
      <alignment horizontal="center" vertical="center"/>
    </xf>
    <xf numFmtId="0" fontId="14" fillId="0" borderId="34" xfId="49" applyBorder="1" applyAlignment="1">
      <alignment horizontal="center" vertical="center"/>
    </xf>
    <xf numFmtId="175" fontId="14" fillId="0" borderId="35" xfId="49" applyNumberFormat="1" applyBorder="1" applyAlignment="1">
      <alignment horizontal="center" vertical="center"/>
    </xf>
    <xf numFmtId="3" fontId="14" fillId="0" borderId="35" xfId="49" applyNumberFormat="1" applyFont="1" applyBorder="1" applyAlignment="1">
      <alignment horizontal="center" vertical="center"/>
    </xf>
    <xf numFmtId="3" fontId="31" fillId="0" borderId="36" xfId="49" applyNumberFormat="1" applyFont="1" applyBorder="1" applyAlignment="1">
      <alignment horizontal="center" vertical="center"/>
    </xf>
    <xf numFmtId="3" fontId="31" fillId="0" borderId="37" xfId="49" applyNumberFormat="1" applyFont="1" applyBorder="1" applyAlignment="1">
      <alignment horizontal="center" vertical="center"/>
    </xf>
    <xf numFmtId="3" fontId="14" fillId="0" borderId="38" xfId="49" applyNumberFormat="1" applyFont="1" applyBorder="1" applyAlignment="1">
      <alignment horizontal="center" vertical="center"/>
    </xf>
    <xf numFmtId="9" fontId="31" fillId="0" borderId="39" xfId="49" applyNumberFormat="1" applyFont="1" applyBorder="1" applyAlignment="1">
      <alignment horizontal="center" vertical="center"/>
    </xf>
    <xf numFmtId="3" fontId="14" fillId="0" borderId="38" xfId="49" applyNumberFormat="1" applyBorder="1" applyAlignment="1">
      <alignment horizontal="center" vertical="center"/>
    </xf>
    <xf numFmtId="191" fontId="14" fillId="0" borderId="0" xfId="49" applyNumberFormat="1"/>
    <xf numFmtId="0" fontId="14" fillId="0" borderId="9" xfId="49" applyFont="1" applyBorder="1" applyAlignment="1">
      <alignment horizontal="center" vertical="center" wrapText="1"/>
    </xf>
    <xf numFmtId="0" fontId="31" fillId="0" borderId="40" xfId="49" applyFont="1" applyBorder="1" applyAlignment="1">
      <alignment horizontal="center" vertical="center" wrapText="1"/>
    </xf>
    <xf numFmtId="0" fontId="31" fillId="0" borderId="17" xfId="49" applyFont="1" applyBorder="1" applyAlignment="1">
      <alignment horizontal="center" vertical="center" wrapText="1"/>
    </xf>
    <xf numFmtId="3" fontId="14" fillId="0" borderId="0" xfId="49" applyNumberFormat="1" applyFont="1" applyFill="1" applyBorder="1" applyAlignment="1">
      <alignment horizontal="center" vertical="center" wrapText="1"/>
    </xf>
    <xf numFmtId="3" fontId="14" fillId="0" borderId="0" xfId="49" applyNumberFormat="1" applyBorder="1" applyAlignment="1">
      <alignment horizontal="center"/>
    </xf>
    <xf numFmtId="3" fontId="31" fillId="0" borderId="9" xfId="49" applyNumberFormat="1" applyFont="1" applyBorder="1" applyAlignment="1">
      <alignment horizontal="center" vertical="center" wrapText="1"/>
    </xf>
    <xf numFmtId="0" fontId="14" fillId="0" borderId="9" xfId="49" applyBorder="1" applyAlignment="1"/>
    <xf numFmtId="175" fontId="14" fillId="0" borderId="9" xfId="49" applyNumberFormat="1" applyBorder="1"/>
    <xf numFmtId="0" fontId="28" fillId="0" borderId="0" xfId="49" applyFont="1" applyBorder="1" applyAlignment="1">
      <alignment horizontal="center" vertical="center" wrapText="1"/>
    </xf>
    <xf numFmtId="3" fontId="14" fillId="0" borderId="0" xfId="49" applyNumberFormat="1" applyFont="1" applyBorder="1" applyAlignment="1">
      <alignment horizontal="center" vertical="center" wrapText="1"/>
    </xf>
    <xf numFmtId="3" fontId="31" fillId="0" borderId="0" xfId="49" applyNumberFormat="1" applyFont="1" applyAlignment="1">
      <alignment horizontal="center"/>
    </xf>
    <xf numFmtId="3" fontId="14" fillId="0" borderId="0" xfId="49" applyNumberFormat="1" applyFont="1" applyAlignment="1">
      <alignment horizontal="center"/>
    </xf>
    <xf numFmtId="3" fontId="31" fillId="0" borderId="9" xfId="49" applyNumberFormat="1" applyFont="1" applyBorder="1" applyAlignment="1">
      <alignment horizontal="center"/>
    </xf>
    <xf numFmtId="3" fontId="31" fillId="0" borderId="0" xfId="49" applyNumberFormat="1" applyFont="1" applyFill="1" applyBorder="1" applyAlignment="1">
      <alignment horizontal="center" vertical="center" wrapText="1"/>
    </xf>
    <xf numFmtId="3" fontId="14" fillId="0" borderId="0" xfId="46" applyNumberFormat="1" applyAlignment="1">
      <alignment horizontal="center"/>
    </xf>
    <xf numFmtId="175" fontId="14" fillId="0" borderId="0" xfId="49" applyNumberFormat="1" applyBorder="1" applyAlignment="1">
      <alignment horizontal="center" vertical="center"/>
    </xf>
    <xf numFmtId="3" fontId="14" fillId="0" borderId="9" xfId="49" applyNumberFormat="1" applyBorder="1" applyAlignment="1">
      <alignment horizontal="center" vertical="center"/>
    </xf>
    <xf numFmtId="3" fontId="14" fillId="0" borderId="25" xfId="49" applyNumberFormat="1" applyBorder="1" applyAlignment="1">
      <alignment horizontal="center" vertical="center"/>
    </xf>
    <xf numFmtId="3" fontId="14" fillId="0" borderId="26" xfId="49" applyNumberFormat="1" applyBorder="1" applyAlignment="1">
      <alignment horizontal="center" vertical="center"/>
    </xf>
    <xf numFmtId="3" fontId="14" fillId="0" borderId="17" xfId="49" applyNumberFormat="1" applyBorder="1" applyAlignment="1">
      <alignment horizontal="center" vertical="center"/>
    </xf>
    <xf numFmtId="3" fontId="14" fillId="0" borderId="35" xfId="49" applyNumberFormat="1" applyBorder="1" applyAlignment="1">
      <alignment horizontal="center" vertical="center"/>
    </xf>
    <xf numFmtId="3" fontId="14" fillId="0" borderId="41" xfId="49" applyNumberFormat="1" applyBorder="1" applyAlignment="1">
      <alignment horizontal="center" vertical="center"/>
    </xf>
    <xf numFmtId="3" fontId="31" fillId="0" borderId="38" xfId="49" applyNumberFormat="1" applyFont="1" applyBorder="1" applyAlignment="1">
      <alignment horizontal="center" vertical="center"/>
    </xf>
    <xf numFmtId="3" fontId="31" fillId="0" borderId="41" xfId="49" applyNumberFormat="1" applyFont="1" applyBorder="1" applyAlignment="1">
      <alignment horizontal="center" vertical="center"/>
    </xf>
    <xf numFmtId="9" fontId="31" fillId="0" borderId="38" xfId="52" applyFont="1" applyBorder="1" applyAlignment="1">
      <alignment horizontal="center" vertical="center"/>
    </xf>
    <xf numFmtId="9" fontId="14" fillId="0" borderId="35" xfId="52" applyFont="1" applyBorder="1" applyAlignment="1">
      <alignment horizontal="center" vertical="center"/>
    </xf>
    <xf numFmtId="9" fontId="31" fillId="0" borderId="42" xfId="49" applyNumberFormat="1" applyFont="1" applyBorder="1" applyAlignment="1">
      <alignment horizontal="center"/>
    </xf>
    <xf numFmtId="9" fontId="31" fillId="0" borderId="11" xfId="49" applyNumberFormat="1" applyFont="1" applyBorder="1" applyAlignment="1">
      <alignment horizontal="center"/>
    </xf>
    <xf numFmtId="9" fontId="31" fillId="0" borderId="43" xfId="49" applyNumberFormat="1" applyFont="1" applyBorder="1" applyAlignment="1">
      <alignment horizontal="center"/>
    </xf>
    <xf numFmtId="9" fontId="31" fillId="0" borderId="44" xfId="49" applyNumberFormat="1" applyFont="1" applyBorder="1" applyAlignment="1">
      <alignment horizontal="center"/>
    </xf>
    <xf numFmtId="9" fontId="31" fillId="0" borderId="45" xfId="49" applyNumberFormat="1" applyFont="1" applyBorder="1" applyAlignment="1">
      <alignment horizontal="center"/>
    </xf>
    <xf numFmtId="178" fontId="14" fillId="0" borderId="0" xfId="49" applyNumberFormat="1"/>
    <xf numFmtId="0" fontId="14" fillId="0" borderId="10" xfId="49" applyFont="1" applyBorder="1" applyAlignment="1">
      <alignment horizontal="center" vertical="justify"/>
    </xf>
    <xf numFmtId="0" fontId="14" fillId="0" borderId="18" xfId="49" applyFont="1" applyBorder="1" applyAlignment="1">
      <alignment horizontal="center" vertical="justify"/>
    </xf>
    <xf numFmtId="0" fontId="14" fillId="0" borderId="10" xfId="49" applyBorder="1" applyAlignment="1">
      <alignment horizontal="center"/>
    </xf>
    <xf numFmtId="0" fontId="14" fillId="0" borderId="18" xfId="49" applyBorder="1" applyAlignment="1">
      <alignment horizontal="center"/>
    </xf>
    <xf numFmtId="9" fontId="14" fillId="0" borderId="9" xfId="49" applyNumberFormat="1" applyFont="1" applyBorder="1" applyAlignment="1">
      <alignment horizontal="center"/>
    </xf>
    <xf numFmtId="9" fontId="14" fillId="0" borderId="0" xfId="49" applyNumberFormat="1" applyBorder="1" applyAlignment="1">
      <alignment horizontal="center"/>
    </xf>
    <xf numFmtId="9" fontId="14" fillId="0" borderId="17" xfId="49" applyNumberFormat="1" applyBorder="1" applyAlignment="1">
      <alignment horizontal="center"/>
    </xf>
    <xf numFmtId="0" fontId="31" fillId="0" borderId="12" xfId="49" applyFont="1" applyBorder="1" applyAlignment="1">
      <alignment horizontal="center"/>
    </xf>
    <xf numFmtId="0" fontId="31" fillId="0" borderId="46" xfId="49" applyFont="1" applyBorder="1" applyAlignment="1">
      <alignment horizontal="center" vertical="center" wrapText="1"/>
    </xf>
    <xf numFmtId="0" fontId="14" fillId="0" borderId="0" xfId="49" applyBorder="1" applyAlignment="1">
      <alignment horizontal="center" vertical="center" wrapText="1"/>
    </xf>
    <xf numFmtId="0" fontId="14" fillId="0" borderId="15" xfId="49" applyBorder="1" applyAlignment="1">
      <alignment horizontal="center" vertical="center" wrapText="1"/>
    </xf>
    <xf numFmtId="0" fontId="31" fillId="0" borderId="11" xfId="49" applyFont="1" applyBorder="1" applyAlignment="1">
      <alignment horizontal="center" vertical="center" wrapText="1"/>
    </xf>
    <xf numFmtId="9" fontId="31" fillId="0" borderId="47" xfId="49" applyNumberFormat="1" applyFont="1" applyBorder="1" applyAlignment="1">
      <alignment horizontal="center"/>
    </xf>
    <xf numFmtId="9" fontId="31" fillId="0" borderId="48" xfId="49" applyNumberFormat="1" applyFont="1" applyBorder="1" applyAlignment="1">
      <alignment horizontal="center"/>
    </xf>
    <xf numFmtId="9" fontId="14" fillId="0" borderId="20" xfId="49" applyNumberFormat="1" applyBorder="1" applyAlignment="1">
      <alignment horizontal="center"/>
    </xf>
    <xf numFmtId="9" fontId="14" fillId="0" borderId="21" xfId="49" applyNumberFormat="1" applyBorder="1" applyAlignment="1">
      <alignment horizontal="center"/>
    </xf>
    <xf numFmtId="0" fontId="14" fillId="0" borderId="23" xfId="49" applyFont="1" applyBorder="1" applyAlignment="1">
      <alignment horizontal="center" vertical="justify"/>
    </xf>
    <xf numFmtId="9" fontId="31" fillId="0" borderId="49" xfId="49" applyNumberFormat="1" applyFont="1" applyBorder="1" applyAlignment="1">
      <alignment horizontal="center"/>
    </xf>
    <xf numFmtId="9" fontId="14" fillId="0" borderId="32" xfId="49" applyNumberFormat="1" applyBorder="1" applyAlignment="1">
      <alignment horizontal="center"/>
    </xf>
    <xf numFmtId="9" fontId="14" fillId="0" borderId="33" xfId="49" applyNumberFormat="1" applyBorder="1" applyAlignment="1">
      <alignment horizontal="center"/>
    </xf>
    <xf numFmtId="9" fontId="49" fillId="0" borderId="32" xfId="49" applyNumberFormat="1" applyFont="1" applyBorder="1" applyAlignment="1">
      <alignment horizontal="center"/>
    </xf>
    <xf numFmtId="9" fontId="49" fillId="0" borderId="0" xfId="49" applyNumberFormat="1" applyFont="1" applyBorder="1" applyAlignment="1">
      <alignment horizontal="center"/>
    </xf>
    <xf numFmtId="9" fontId="49" fillId="0" borderId="20" xfId="49" applyNumberFormat="1" applyFont="1" applyBorder="1" applyAlignment="1">
      <alignment horizontal="center"/>
    </xf>
    <xf numFmtId="0" fontId="14" fillId="0" borderId="34" xfId="49" applyBorder="1" applyAlignment="1">
      <alignment horizontal="center"/>
    </xf>
    <xf numFmtId="9" fontId="31" fillId="0" borderId="50" xfId="49" applyNumberFormat="1" applyFont="1" applyBorder="1" applyAlignment="1">
      <alignment horizontal="center"/>
    </xf>
    <xf numFmtId="9" fontId="14" fillId="0" borderId="38" xfId="49" applyNumberFormat="1" applyBorder="1" applyAlignment="1">
      <alignment horizontal="center"/>
    </xf>
    <xf numFmtId="9" fontId="49" fillId="0" borderId="38" xfId="49" applyNumberFormat="1" applyFont="1" applyBorder="1" applyAlignment="1">
      <alignment horizontal="center"/>
    </xf>
    <xf numFmtId="9" fontId="14" fillId="0" borderId="39" xfId="49" applyNumberFormat="1" applyBorder="1" applyAlignment="1">
      <alignment horizontal="center"/>
    </xf>
    <xf numFmtId="9" fontId="31" fillId="0" borderId="51" xfId="49" applyNumberFormat="1" applyFont="1" applyBorder="1" applyAlignment="1">
      <alignment horizontal="center"/>
    </xf>
    <xf numFmtId="0" fontId="14" fillId="0" borderId="52" xfId="49" applyFont="1" applyBorder="1" applyAlignment="1">
      <alignment horizontal="center" vertical="center" wrapText="1"/>
    </xf>
    <xf numFmtId="9" fontId="14" fillId="0" borderId="53" xfId="49" applyNumberFormat="1" applyFont="1" applyBorder="1" applyAlignment="1">
      <alignment horizontal="center"/>
    </xf>
    <xf numFmtId="9" fontId="14" fillId="0" borderId="54" xfId="49" applyNumberFormat="1" applyFont="1" applyBorder="1" applyAlignment="1">
      <alignment horizontal="center"/>
    </xf>
    <xf numFmtId="9" fontId="14" fillId="0" borderId="55" xfId="49" applyNumberFormat="1" applyFont="1" applyBorder="1" applyAlignment="1">
      <alignment horizontal="center"/>
    </xf>
    <xf numFmtId="172" fontId="31" fillId="0" borderId="0" xfId="49" applyNumberFormat="1" applyFont="1"/>
    <xf numFmtId="0" fontId="50" fillId="0" borderId="16" xfId="49" applyFont="1" applyBorder="1" applyAlignment="1">
      <alignment horizontal="center" vertical="center" wrapText="1"/>
    </xf>
    <xf numFmtId="9" fontId="14" fillId="0" borderId="0" xfId="49" applyNumberFormat="1"/>
    <xf numFmtId="9" fontId="45" fillId="0" borderId="56" xfId="49" applyNumberFormat="1" applyFont="1" applyBorder="1" applyAlignment="1">
      <alignment horizontal="center"/>
    </xf>
    <xf numFmtId="9" fontId="45" fillId="0" borderId="53" xfId="49" applyNumberFormat="1" applyFont="1" applyBorder="1" applyAlignment="1">
      <alignment horizontal="center"/>
    </xf>
    <xf numFmtId="9" fontId="31" fillId="0" borderId="17" xfId="49" applyNumberFormat="1" applyFont="1" applyBorder="1" applyAlignment="1">
      <alignment horizontal="center"/>
    </xf>
    <xf numFmtId="9" fontId="14" fillId="0" borderId="19" xfId="49" applyNumberFormat="1" applyFont="1" applyBorder="1" applyAlignment="1">
      <alignment horizontal="center"/>
    </xf>
    <xf numFmtId="9" fontId="45" fillId="0" borderId="57" xfId="49" applyNumberFormat="1" applyFont="1" applyBorder="1" applyAlignment="1">
      <alignment horizontal="center"/>
    </xf>
    <xf numFmtId="9" fontId="45" fillId="0" borderId="54" xfId="49" applyNumberFormat="1" applyFont="1" applyBorder="1" applyAlignment="1">
      <alignment horizontal="center"/>
    </xf>
    <xf numFmtId="9" fontId="31" fillId="0" borderId="21" xfId="49" applyNumberFormat="1" applyFont="1" applyBorder="1" applyAlignment="1">
      <alignment horizontal="center"/>
    </xf>
    <xf numFmtId="9" fontId="14" fillId="0" borderId="29" xfId="49" applyNumberFormat="1" applyFont="1" applyBorder="1" applyAlignment="1">
      <alignment horizontal="center"/>
    </xf>
    <xf numFmtId="9" fontId="45" fillId="0" borderId="58" xfId="49" applyNumberFormat="1" applyFont="1" applyBorder="1" applyAlignment="1">
      <alignment horizontal="center"/>
    </xf>
    <xf numFmtId="9" fontId="45" fillId="0" borderId="55" xfId="49" applyNumberFormat="1" applyFont="1" applyBorder="1" applyAlignment="1">
      <alignment horizontal="center"/>
    </xf>
    <xf numFmtId="9" fontId="31" fillId="0" borderId="33" xfId="49" applyNumberFormat="1" applyFont="1" applyBorder="1" applyAlignment="1">
      <alignment horizontal="center"/>
    </xf>
    <xf numFmtId="9" fontId="14" fillId="0" borderId="35" xfId="49" applyNumberFormat="1" applyFont="1" applyBorder="1" applyAlignment="1">
      <alignment horizontal="center"/>
    </xf>
    <xf numFmtId="9" fontId="45" fillId="0" borderId="59" xfId="49" applyNumberFormat="1" applyFont="1" applyBorder="1" applyAlignment="1">
      <alignment horizontal="center"/>
    </xf>
    <xf numFmtId="9" fontId="45" fillId="0" borderId="41" xfId="49" applyNumberFormat="1" applyFont="1" applyBorder="1" applyAlignment="1">
      <alignment horizontal="center"/>
    </xf>
    <xf numFmtId="9" fontId="31" fillId="0" borderId="39" xfId="49" applyNumberFormat="1" applyFont="1" applyBorder="1" applyAlignment="1">
      <alignment horizontal="center"/>
    </xf>
    <xf numFmtId="3" fontId="45" fillId="0" borderId="0" xfId="49" applyNumberFormat="1" applyFont="1" applyAlignment="1">
      <alignment horizontal="center"/>
    </xf>
    <xf numFmtId="3" fontId="45" fillId="0" borderId="0" xfId="49" applyNumberFormat="1" applyFont="1"/>
    <xf numFmtId="0" fontId="31" fillId="0" borderId="16" xfId="49" applyFont="1" applyBorder="1" applyAlignment="1">
      <alignment horizontal="center" vertical="center" wrapText="1"/>
    </xf>
    <xf numFmtId="9" fontId="14" fillId="0" borderId="9" xfId="49" applyNumberFormat="1" applyBorder="1" applyAlignment="1">
      <alignment horizontal="center"/>
    </xf>
    <xf numFmtId="172" fontId="14" fillId="0" borderId="0" xfId="46" applyNumberFormat="1" applyBorder="1" applyAlignment="1">
      <alignment horizontal="center" wrapText="1"/>
    </xf>
    <xf numFmtId="3" fontId="31" fillId="0" borderId="0" xfId="49" applyNumberFormat="1" applyFont="1" applyBorder="1" applyAlignment="1">
      <alignment horizontal="center"/>
    </xf>
    <xf numFmtId="3" fontId="31" fillId="0" borderId="47" xfId="49" applyNumberFormat="1" applyFont="1" applyBorder="1" applyAlignment="1">
      <alignment horizontal="center"/>
    </xf>
    <xf numFmtId="3" fontId="31" fillId="0" borderId="49" xfId="49" applyNumberFormat="1" applyFont="1" applyBorder="1" applyAlignment="1">
      <alignment horizontal="center"/>
    </xf>
    <xf numFmtId="3" fontId="14" fillId="0" borderId="32" xfId="49" applyNumberFormat="1" applyBorder="1" applyAlignment="1">
      <alignment horizontal="center"/>
    </xf>
    <xf numFmtId="3" fontId="31" fillId="0" borderId="48" xfId="49" applyNumberFormat="1" applyFont="1" applyBorder="1" applyAlignment="1">
      <alignment horizontal="center"/>
    </xf>
    <xf numFmtId="3" fontId="14" fillId="0" borderId="20" xfId="49" applyNumberFormat="1" applyBorder="1" applyAlignment="1">
      <alignment horizontal="center"/>
    </xf>
    <xf numFmtId="3" fontId="31" fillId="0" borderId="50" xfId="49" applyNumberFormat="1" applyFont="1" applyBorder="1" applyAlignment="1">
      <alignment horizontal="center"/>
    </xf>
    <xf numFmtId="3" fontId="14" fillId="0" borderId="38" xfId="49" applyNumberFormat="1" applyBorder="1" applyAlignment="1">
      <alignment horizontal="center"/>
    </xf>
    <xf numFmtId="9" fontId="14" fillId="0" borderId="0" xfId="46" applyNumberFormat="1" applyBorder="1" applyAlignment="1">
      <alignment horizontal="center" wrapText="1"/>
    </xf>
    <xf numFmtId="0" fontId="28" fillId="0" borderId="0" xfId="49" applyFont="1" applyAlignment="1">
      <alignment horizontal="center" vertical="center" wrapText="1"/>
    </xf>
    <xf numFmtId="0" fontId="30" fillId="0" borderId="0" xfId="0" applyFont="1" applyAlignment="1">
      <alignment horizontal="center" vertical="center"/>
    </xf>
    <xf numFmtId="9" fontId="14" fillId="0" borderId="60" xfId="49" applyNumberFormat="1" applyBorder="1" applyAlignment="1">
      <alignment horizontal="center"/>
    </xf>
    <xf numFmtId="9" fontId="14" fillId="0" borderId="61" xfId="49" applyNumberFormat="1" applyBorder="1" applyAlignment="1">
      <alignment horizontal="center"/>
    </xf>
    <xf numFmtId="9" fontId="14" fillId="0" borderId="62" xfId="49" applyNumberFormat="1" applyBorder="1" applyAlignment="1">
      <alignment horizontal="center"/>
    </xf>
    <xf numFmtId="0" fontId="14" fillId="0" borderId="63" xfId="49" applyFont="1" applyBorder="1" applyAlignment="1">
      <alignment horizontal="center" vertical="center" wrapText="1"/>
    </xf>
    <xf numFmtId="0" fontId="14" fillId="0" borderId="64" xfId="49" applyFont="1" applyBorder="1" applyAlignment="1">
      <alignment horizontal="center" vertical="center" wrapText="1"/>
    </xf>
    <xf numFmtId="0" fontId="14" fillId="0" borderId="0" xfId="49" applyFont="1" applyBorder="1" applyAlignment="1"/>
    <xf numFmtId="0" fontId="43" fillId="0" borderId="9" xfId="49" applyFont="1" applyFill="1" applyBorder="1" applyAlignment="1">
      <alignment horizontal="center" vertical="center" wrapText="1"/>
    </xf>
    <xf numFmtId="3" fontId="14" fillId="0" borderId="9" xfId="49" applyNumberFormat="1" applyFont="1" applyFill="1" applyBorder="1" applyAlignment="1">
      <alignment horizontal="center" vertical="center" wrapText="1"/>
    </xf>
    <xf numFmtId="3" fontId="14" fillId="0" borderId="9" xfId="46" applyNumberFormat="1" applyBorder="1" applyAlignment="1">
      <alignment horizontal="center" wrapText="1"/>
    </xf>
    <xf numFmtId="1" fontId="14" fillId="0" borderId="9" xfId="46" applyNumberFormat="1" applyBorder="1" applyAlignment="1">
      <alignment horizontal="center" wrapText="1"/>
    </xf>
    <xf numFmtId="2" fontId="14" fillId="0" borderId="9" xfId="46" applyNumberFormat="1" applyBorder="1" applyAlignment="1">
      <alignment horizontal="center" wrapText="1"/>
    </xf>
    <xf numFmtId="172" fontId="14" fillId="0" borderId="0" xfId="49" applyNumberFormat="1" applyFont="1" applyFill="1" applyBorder="1" applyAlignment="1">
      <alignment horizontal="center" vertical="center" wrapText="1"/>
    </xf>
    <xf numFmtId="175" fontId="28" fillId="0" borderId="17" xfId="49" applyNumberFormat="1" applyFont="1" applyBorder="1" applyAlignment="1">
      <alignment horizontal="center" vertical="center"/>
    </xf>
    <xf numFmtId="175" fontId="28" fillId="0" borderId="9" xfId="49" applyNumberFormat="1" applyFont="1" applyBorder="1" applyAlignment="1">
      <alignment horizontal="center" vertical="center"/>
    </xf>
    <xf numFmtId="175" fontId="28" fillId="0" borderId="29" xfId="49" applyNumberFormat="1" applyFont="1" applyBorder="1" applyAlignment="1">
      <alignment horizontal="center" vertical="center"/>
    </xf>
    <xf numFmtId="175" fontId="28" fillId="0" borderId="33" xfId="49" applyNumberFormat="1" applyFont="1" applyBorder="1" applyAlignment="1">
      <alignment horizontal="center" vertical="center"/>
    </xf>
    <xf numFmtId="175" fontId="28" fillId="0" borderId="19" xfId="49" applyNumberFormat="1" applyFont="1" applyBorder="1" applyAlignment="1">
      <alignment horizontal="center" vertical="center"/>
    </xf>
    <xf numFmtId="175" fontId="28" fillId="0" borderId="21" xfId="49" applyNumberFormat="1" applyFont="1" applyBorder="1" applyAlignment="1">
      <alignment horizontal="center" vertical="center"/>
    </xf>
    <xf numFmtId="175" fontId="28" fillId="0" borderId="35" xfId="49" applyNumberFormat="1" applyFont="1" applyBorder="1" applyAlignment="1">
      <alignment horizontal="center" vertical="center"/>
    </xf>
    <xf numFmtId="175" fontId="28" fillId="0" borderId="39" xfId="49" applyNumberFormat="1" applyFont="1" applyBorder="1" applyAlignment="1">
      <alignment horizontal="center" vertical="center"/>
    </xf>
    <xf numFmtId="0" fontId="31" fillId="0" borderId="0" xfId="49" applyFont="1" applyBorder="1" applyAlignment="1">
      <alignment horizontal="center" wrapText="1"/>
    </xf>
    <xf numFmtId="176" fontId="14" fillId="0" borderId="0" xfId="46" applyNumberFormat="1" applyAlignment="1">
      <alignment horizontal="center"/>
    </xf>
    <xf numFmtId="0" fontId="28" fillId="0" borderId="0" xfId="49" applyFont="1" applyFill="1" applyBorder="1" applyAlignment="1">
      <alignment horizontal="center" vertical="center" wrapText="1"/>
    </xf>
    <xf numFmtId="0" fontId="31" fillId="0" borderId="0" xfId="49" applyFont="1" applyBorder="1" applyAlignment="1">
      <alignment horizontal="left" vertical="center"/>
    </xf>
    <xf numFmtId="0" fontId="14" fillId="0" borderId="13" xfId="49" applyFont="1" applyBorder="1" applyAlignment="1">
      <alignment horizontal="center"/>
    </xf>
    <xf numFmtId="9" fontId="31" fillId="0" borderId="60" xfId="49" applyNumberFormat="1" applyFont="1" applyBorder="1" applyAlignment="1">
      <alignment horizontal="center"/>
    </xf>
    <xf numFmtId="9" fontId="31" fillId="0" borderId="62" xfId="49" applyNumberFormat="1" applyFont="1" applyBorder="1" applyAlignment="1">
      <alignment horizontal="center"/>
    </xf>
    <xf numFmtId="9" fontId="31" fillId="0" borderId="61" xfId="49" applyNumberFormat="1" applyFont="1" applyBorder="1" applyAlignment="1">
      <alignment horizontal="center"/>
    </xf>
    <xf numFmtId="9" fontId="31" fillId="0" borderId="65" xfId="49" applyNumberFormat="1" applyFont="1" applyBorder="1" applyAlignment="1">
      <alignment horizontal="center"/>
    </xf>
    <xf numFmtId="0" fontId="14" fillId="0" borderId="66" xfId="49" applyBorder="1" applyAlignment="1">
      <alignment horizontal="center" vertical="center" wrapText="1"/>
    </xf>
    <xf numFmtId="0" fontId="14" fillId="0" borderId="25" xfId="49" applyFont="1" applyBorder="1" applyAlignment="1">
      <alignment horizontal="center" vertical="center" wrapText="1"/>
    </xf>
    <xf numFmtId="3" fontId="14" fillId="0" borderId="25" xfId="49" applyNumberFormat="1" applyBorder="1" applyAlignment="1">
      <alignment horizontal="center"/>
    </xf>
    <xf numFmtId="3" fontId="14" fillId="0" borderId="30" xfId="49" applyNumberFormat="1" applyBorder="1" applyAlignment="1">
      <alignment horizontal="center"/>
    </xf>
    <xf numFmtId="3" fontId="14" fillId="0" borderId="27" xfId="49" applyNumberFormat="1" applyBorder="1" applyAlignment="1">
      <alignment horizontal="center"/>
    </xf>
    <xf numFmtId="3" fontId="14" fillId="0" borderId="36" xfId="49" applyNumberFormat="1" applyBorder="1" applyAlignment="1">
      <alignment horizontal="center"/>
    </xf>
    <xf numFmtId="172" fontId="14" fillId="0" borderId="0" xfId="49" applyNumberFormat="1" applyAlignment="1">
      <alignment horizontal="center"/>
    </xf>
    <xf numFmtId="3" fontId="28" fillId="0" borderId="0" xfId="49" applyNumberFormat="1" applyFont="1" applyFill="1" applyBorder="1" applyAlignment="1">
      <alignment horizontal="center" vertical="center" wrapText="1"/>
    </xf>
    <xf numFmtId="3" fontId="28" fillId="0" borderId="0" xfId="49" applyNumberFormat="1" applyFont="1"/>
    <xf numFmtId="9" fontId="31" fillId="0" borderId="9" xfId="49" applyNumberFormat="1" applyFont="1" applyBorder="1" applyAlignment="1">
      <alignment horizontal="center"/>
    </xf>
    <xf numFmtId="0" fontId="31" fillId="0" borderId="0" xfId="49" applyFont="1" applyBorder="1" applyAlignment="1">
      <alignment horizontal="left"/>
    </xf>
    <xf numFmtId="9" fontId="31" fillId="0" borderId="0" xfId="49" applyNumberFormat="1" applyFont="1" applyAlignment="1">
      <alignment horizontal="center"/>
    </xf>
    <xf numFmtId="9" fontId="28" fillId="0" borderId="0" xfId="49" applyNumberFormat="1" applyFont="1" applyAlignment="1">
      <alignment horizontal="center"/>
    </xf>
    <xf numFmtId="9" fontId="31" fillId="0" borderId="0" xfId="49" applyNumberFormat="1" applyFont="1" applyBorder="1" applyAlignment="1">
      <alignment horizontal="center"/>
    </xf>
    <xf numFmtId="9" fontId="14" fillId="0" borderId="0" xfId="49" applyNumberFormat="1" applyFont="1" applyBorder="1" applyAlignment="1">
      <alignment horizontal="center"/>
    </xf>
    <xf numFmtId="9" fontId="28" fillId="0" borderId="0" xfId="49" applyNumberFormat="1" applyFont="1" applyBorder="1" applyAlignment="1">
      <alignment horizontal="center"/>
    </xf>
    <xf numFmtId="3" fontId="28" fillId="0" borderId="0" xfId="49" applyNumberFormat="1" applyFont="1" applyBorder="1" applyAlignment="1">
      <alignment horizontal="center"/>
    </xf>
    <xf numFmtId="9" fontId="31" fillId="0" borderId="0" xfId="52" applyFont="1" applyBorder="1" applyAlignment="1">
      <alignment horizontal="center"/>
    </xf>
    <xf numFmtId="0" fontId="27" fillId="0" borderId="0" xfId="45" applyFont="1" applyFill="1" applyBorder="1" applyAlignment="1">
      <alignment horizontal="center" vertical="center" wrapText="1"/>
    </xf>
    <xf numFmtId="0" fontId="42" fillId="0" borderId="0" xfId="0" applyFont="1" applyAlignment="1">
      <alignment horizontal="center" vertical="center" wrapText="1"/>
    </xf>
    <xf numFmtId="9" fontId="31" fillId="0" borderId="11" xfId="52" applyFont="1" applyBorder="1" applyAlignment="1">
      <alignment horizontal="center"/>
    </xf>
    <xf numFmtId="9" fontId="26" fillId="0" borderId="0" xfId="53" applyFont="1" applyBorder="1" applyAlignment="1">
      <alignment horizontal="center"/>
    </xf>
    <xf numFmtId="9" fontId="26" fillId="0" borderId="20" xfId="53" applyFont="1" applyBorder="1" applyAlignment="1">
      <alignment horizontal="center"/>
    </xf>
    <xf numFmtId="9" fontId="31" fillId="0" borderId="0" xfId="52" applyFont="1" applyFill="1" applyBorder="1" applyAlignment="1">
      <alignment horizontal="center"/>
    </xf>
    <xf numFmtId="0" fontId="27" fillId="0" borderId="0" xfId="0" applyFont="1" applyAlignment="1">
      <alignment horizontal="center" vertical="center" wrapText="1"/>
    </xf>
    <xf numFmtId="0" fontId="26" fillId="0" borderId="0" xfId="45" applyFont="1" applyFill="1" applyBorder="1" applyAlignment="1">
      <alignment vertical="center" wrapText="1"/>
    </xf>
    <xf numFmtId="0" fontId="51" fillId="0" borderId="0" xfId="0" applyFont="1" applyAlignment="1">
      <alignment horizontal="center" vertical="center" wrapText="1"/>
    </xf>
    <xf numFmtId="0" fontId="53" fillId="0" borderId="0" xfId="49" applyFont="1" applyBorder="1" applyAlignment="1">
      <alignment horizontal="center" vertical="center"/>
    </xf>
    <xf numFmtId="0" fontId="54" fillId="0" borderId="0" xfId="0" applyFont="1" applyAlignment="1">
      <alignment horizontal="center" vertical="center" wrapText="1"/>
    </xf>
    <xf numFmtId="0" fontId="53" fillId="0" borderId="9" xfId="49" applyFont="1" applyBorder="1" applyAlignment="1">
      <alignment horizontal="center" vertical="center" wrapText="1"/>
    </xf>
    <xf numFmtId="0" fontId="31" fillId="0" borderId="16" xfId="38" applyFont="1" applyFill="1" applyBorder="1" applyAlignment="1">
      <alignment horizontal="center" vertical="center" wrapText="1"/>
    </xf>
    <xf numFmtId="9" fontId="45" fillId="0" borderId="9" xfId="38" applyNumberFormat="1" applyFont="1" applyFill="1" applyBorder="1" applyAlignment="1">
      <alignment horizontal="center"/>
    </xf>
    <xf numFmtId="9" fontId="45" fillId="0" borderId="17" xfId="38" applyNumberFormat="1" applyFont="1" applyFill="1" applyBorder="1" applyAlignment="1">
      <alignment horizontal="center"/>
    </xf>
    <xf numFmtId="9" fontId="45" fillId="0" borderId="19" xfId="38" applyNumberFormat="1" applyFont="1" applyFill="1" applyBorder="1" applyAlignment="1">
      <alignment horizontal="center"/>
    </xf>
    <xf numFmtId="9" fontId="45" fillId="0" borderId="21" xfId="38" applyNumberFormat="1" applyFont="1" applyFill="1" applyBorder="1" applyAlignment="1">
      <alignment horizontal="center"/>
    </xf>
    <xf numFmtId="9" fontId="28" fillId="0" borderId="17" xfId="38" applyNumberFormat="1" applyFont="1" applyFill="1" applyBorder="1" applyAlignment="1">
      <alignment horizontal="center"/>
    </xf>
    <xf numFmtId="9" fontId="31" fillId="0" borderId="21" xfId="38" applyNumberFormat="1" applyFont="1" applyFill="1" applyBorder="1" applyAlignment="1">
      <alignment horizontal="center"/>
    </xf>
    <xf numFmtId="0" fontId="31" fillId="0" borderId="15" xfId="38" applyFont="1" applyFill="1" applyBorder="1" applyAlignment="1">
      <alignment horizontal="center" vertical="center" wrapText="1"/>
    </xf>
    <xf numFmtId="9" fontId="44" fillId="0" borderId="17" xfId="38" applyNumberFormat="1" applyFont="1" applyFill="1" applyBorder="1" applyAlignment="1">
      <alignment horizontal="center"/>
    </xf>
    <xf numFmtId="9" fontId="31" fillId="0" borderId="20" xfId="38" applyNumberFormat="1" applyFont="1" applyFill="1" applyBorder="1" applyAlignment="1">
      <alignment horizontal="center"/>
    </xf>
    <xf numFmtId="9" fontId="31" fillId="0" borderId="17" xfId="52" applyFont="1" applyFill="1" applyBorder="1" applyAlignment="1">
      <alignment horizontal="center"/>
    </xf>
    <xf numFmtId="0" fontId="47" fillId="0" borderId="0" xfId="49" applyFont="1" applyBorder="1" applyAlignment="1">
      <alignment horizontal="center" vertical="center" wrapText="1"/>
    </xf>
    <xf numFmtId="0" fontId="14" fillId="0" borderId="67" xfId="38" applyFont="1" applyFill="1" applyBorder="1" applyAlignment="1">
      <alignment horizontal="center" vertical="center" wrapText="1"/>
    </xf>
    <xf numFmtId="9" fontId="26" fillId="0" borderId="68" xfId="53" applyFont="1" applyBorder="1" applyAlignment="1">
      <alignment horizontal="center"/>
    </xf>
    <xf numFmtId="9" fontId="31" fillId="0" borderId="69" xfId="38" applyNumberFormat="1" applyFont="1" applyFill="1" applyBorder="1" applyAlignment="1">
      <alignment horizontal="center"/>
    </xf>
    <xf numFmtId="9" fontId="14" fillId="0" borderId="68" xfId="38" applyNumberFormat="1" applyFont="1" applyFill="1" applyBorder="1" applyAlignment="1">
      <alignment horizontal="center"/>
    </xf>
    <xf numFmtId="9" fontId="14" fillId="0" borderId="70" xfId="38" applyNumberFormat="1" applyFont="1" applyFill="1" applyBorder="1" applyAlignment="1">
      <alignment horizontal="center"/>
    </xf>
    <xf numFmtId="9" fontId="31" fillId="0" borderId="71" xfId="38" applyNumberFormat="1" applyFont="1" applyFill="1" applyBorder="1" applyAlignment="1">
      <alignment horizontal="center"/>
    </xf>
    <xf numFmtId="0" fontId="14" fillId="0" borderId="67" xfId="38" applyFont="1" applyFill="1" applyBorder="1" applyAlignment="1">
      <alignment horizontal="center" vertical="justify"/>
    </xf>
    <xf numFmtId="9" fontId="14" fillId="0" borderId="68" xfId="38" applyNumberFormat="1" applyFill="1" applyBorder="1" applyAlignment="1">
      <alignment horizontal="center"/>
    </xf>
    <xf numFmtId="9" fontId="31" fillId="0" borderId="70" xfId="38" applyNumberFormat="1" applyFont="1" applyFill="1" applyBorder="1" applyAlignment="1">
      <alignment horizontal="center"/>
    </xf>
    <xf numFmtId="9" fontId="45" fillId="0" borderId="69" xfId="38" applyNumberFormat="1" applyFont="1" applyFill="1" applyBorder="1" applyAlignment="1">
      <alignment horizontal="center"/>
    </xf>
    <xf numFmtId="9" fontId="45" fillId="0" borderId="70" xfId="38" applyNumberFormat="1" applyFont="1" applyFill="1" applyBorder="1" applyAlignment="1">
      <alignment horizontal="center"/>
    </xf>
    <xf numFmtId="9" fontId="31" fillId="0" borderId="68" xfId="38" applyNumberFormat="1" applyFont="1" applyFill="1" applyBorder="1" applyAlignment="1">
      <alignment horizontal="center"/>
    </xf>
    <xf numFmtId="0" fontId="14" fillId="0" borderId="10" xfId="49" applyFont="1" applyBorder="1" applyAlignment="1">
      <alignment horizontal="center" vertical="center" wrapText="1"/>
    </xf>
    <xf numFmtId="0" fontId="27" fillId="0" borderId="0" xfId="45" applyFont="1" applyFill="1" applyBorder="1" applyAlignment="1">
      <alignment vertical="center" wrapText="1"/>
    </xf>
    <xf numFmtId="9" fontId="14" fillId="0" borderId="0" xfId="52" applyFont="1" applyBorder="1"/>
    <xf numFmtId="0" fontId="29" fillId="0" borderId="0" xfId="45" applyFont="1" applyFill="1" applyBorder="1" applyAlignment="1">
      <alignment vertical="center" wrapText="1"/>
    </xf>
    <xf numFmtId="3" fontId="14" fillId="0" borderId="0" xfId="52" applyNumberFormat="1" applyFont="1" applyBorder="1" applyAlignment="1">
      <alignment horizontal="center"/>
    </xf>
    <xf numFmtId="0" fontId="43" fillId="0" borderId="0" xfId="49" applyFont="1" applyBorder="1" applyAlignment="1">
      <alignment horizontal="center"/>
    </xf>
    <xf numFmtId="3" fontId="14" fillId="0" borderId="11" xfId="49" applyNumberFormat="1" applyBorder="1" applyAlignment="1">
      <alignment horizontal="center"/>
    </xf>
    <xf numFmtId="3" fontId="14" fillId="0" borderId="51" xfId="49" applyNumberFormat="1" applyBorder="1" applyAlignment="1">
      <alignment horizontal="center"/>
    </xf>
    <xf numFmtId="0" fontId="61" fillId="0" borderId="0" xfId="49" applyFont="1"/>
    <xf numFmtId="0" fontId="14" fillId="0" borderId="0" xfId="49" applyBorder="1" applyAlignment="1">
      <alignment horizontal="center" vertical="center"/>
    </xf>
    <xf numFmtId="0" fontId="14" fillId="0" borderId="0" xfId="49" applyBorder="1" applyAlignment="1">
      <alignment horizontal="center"/>
    </xf>
    <xf numFmtId="0" fontId="61" fillId="0" borderId="0" xfId="49" applyFont="1" applyBorder="1" applyAlignment="1">
      <alignment horizontal="center" vertical="center"/>
    </xf>
    <xf numFmtId="0" fontId="14" fillId="0" borderId="0" xfId="49" applyAlignment="1">
      <alignment horizontal="center" vertical="center"/>
    </xf>
    <xf numFmtId="172" fontId="61" fillId="0" borderId="0" xfId="49" applyNumberFormat="1" applyFont="1" applyBorder="1" applyAlignment="1">
      <alignment horizontal="center"/>
    </xf>
    <xf numFmtId="9" fontId="61" fillId="0" borderId="25" xfId="49" applyNumberFormat="1" applyFont="1" applyBorder="1" applyAlignment="1">
      <alignment horizontal="center"/>
    </xf>
    <xf numFmtId="0" fontId="14" fillId="0" borderId="26" xfId="49" applyBorder="1"/>
    <xf numFmtId="9" fontId="14" fillId="0" borderId="0" xfId="49" applyNumberFormat="1" applyAlignment="1">
      <alignment horizontal="center"/>
    </xf>
    <xf numFmtId="172" fontId="14" fillId="0" borderId="0" xfId="49" applyNumberFormat="1" applyFont="1" applyBorder="1" applyAlignment="1">
      <alignment horizontal="center"/>
    </xf>
    <xf numFmtId="172" fontId="14" fillId="0" borderId="0" xfId="49" applyNumberFormat="1" applyFont="1" applyAlignment="1">
      <alignment horizontal="center"/>
    </xf>
    <xf numFmtId="9" fontId="14" fillId="0" borderId="25" xfId="49" applyNumberFormat="1" applyFont="1" applyBorder="1" applyAlignment="1">
      <alignment horizontal="center"/>
    </xf>
    <xf numFmtId="176" fontId="14" fillId="0" borderId="25" xfId="49" applyNumberFormat="1" applyFont="1" applyBorder="1" applyAlignment="1">
      <alignment horizontal="center"/>
    </xf>
    <xf numFmtId="176" fontId="61" fillId="0" borderId="25" xfId="49" applyNumberFormat="1" applyFont="1" applyBorder="1" applyAlignment="1">
      <alignment horizontal="center"/>
    </xf>
    <xf numFmtId="0" fontId="61" fillId="0" borderId="10" xfId="49" applyFont="1" applyBorder="1" applyAlignment="1">
      <alignment horizontal="center" vertical="justify"/>
    </xf>
    <xf numFmtId="193" fontId="14" fillId="0" borderId="25" xfId="49" applyNumberFormat="1" applyFont="1" applyBorder="1" applyAlignment="1">
      <alignment horizontal="center"/>
    </xf>
    <xf numFmtId="9" fontId="27" fillId="0" borderId="27" xfId="45" applyNumberFormat="1" applyFont="1" applyBorder="1" applyAlignment="1">
      <alignment horizontal="center"/>
    </xf>
    <xf numFmtId="172" fontId="27" fillId="0" borderId="21" xfId="45" applyNumberFormat="1" applyFont="1" applyBorder="1" applyAlignment="1">
      <alignment horizontal="center"/>
    </xf>
    <xf numFmtId="9" fontId="27" fillId="0" borderId="20" xfId="45" applyNumberFormat="1" applyFont="1" applyBorder="1" applyAlignment="1">
      <alignment horizontal="center"/>
    </xf>
    <xf numFmtId="172" fontId="27" fillId="0" borderId="28" xfId="45" applyNumberFormat="1" applyFont="1" applyBorder="1" applyAlignment="1">
      <alignment horizontal="center"/>
    </xf>
    <xf numFmtId="9" fontId="27" fillId="0" borderId="25" xfId="52" applyNumberFormat="1" applyFont="1" applyBorder="1" applyAlignment="1">
      <alignment horizontal="center"/>
    </xf>
    <xf numFmtId="172" fontId="27" fillId="0" borderId="17" xfId="45" applyNumberFormat="1" applyFont="1" applyBorder="1" applyAlignment="1">
      <alignment horizontal="center"/>
    </xf>
    <xf numFmtId="9" fontId="27" fillId="0" borderId="0" xfId="52" applyNumberFormat="1" applyFont="1" applyBorder="1" applyAlignment="1">
      <alignment horizontal="center"/>
    </xf>
    <xf numFmtId="172" fontId="27" fillId="0" borderId="26" xfId="45" applyNumberFormat="1" applyFont="1" applyBorder="1" applyAlignment="1">
      <alignment horizontal="center"/>
    </xf>
    <xf numFmtId="0" fontId="14" fillId="0" borderId="23" xfId="49" applyBorder="1" applyAlignment="1">
      <alignment horizontal="center"/>
    </xf>
    <xf numFmtId="9" fontId="27" fillId="0" borderId="72" xfId="52" applyNumberFormat="1" applyFont="1" applyBorder="1" applyAlignment="1">
      <alignment horizontal="center"/>
    </xf>
    <xf numFmtId="172" fontId="27" fillId="0" borderId="73" xfId="45" applyNumberFormat="1" applyFont="1" applyBorder="1" applyAlignment="1">
      <alignment horizontal="center"/>
    </xf>
    <xf numFmtId="9" fontId="27" fillId="0" borderId="74" xfId="52" applyNumberFormat="1" applyFont="1" applyBorder="1" applyAlignment="1">
      <alignment horizontal="center"/>
    </xf>
    <xf numFmtId="172" fontId="27" fillId="0" borderId="75" xfId="45" applyNumberFormat="1" applyFont="1" applyBorder="1" applyAlignment="1">
      <alignment horizontal="center"/>
    </xf>
    <xf numFmtId="9" fontId="14" fillId="0" borderId="0" xfId="49" applyNumberFormat="1" applyFont="1" applyAlignment="1">
      <alignment horizontal="center"/>
    </xf>
    <xf numFmtId="9" fontId="14" fillId="0" borderId="0" xfId="49" applyNumberFormat="1" applyFont="1" applyBorder="1" applyAlignment="1">
      <alignment horizontal="center" vertical="center" wrapText="1"/>
    </xf>
    <xf numFmtId="0" fontId="14" fillId="0" borderId="76" xfId="49" applyBorder="1" applyAlignment="1">
      <alignment horizontal="center"/>
    </xf>
    <xf numFmtId="0" fontId="14" fillId="0" borderId="25" xfId="49" applyBorder="1"/>
    <xf numFmtId="178" fontId="43" fillId="0" borderId="0" xfId="49" applyNumberFormat="1" applyFont="1" applyBorder="1" applyAlignment="1">
      <alignment horizontal="center"/>
    </xf>
    <xf numFmtId="172" fontId="14" fillId="0" borderId="25" xfId="49" applyNumberFormat="1" applyFont="1" applyBorder="1" applyAlignment="1">
      <alignment horizontal="center"/>
    </xf>
    <xf numFmtId="172" fontId="14" fillId="0" borderId="26" xfId="49" applyNumberFormat="1" applyFont="1" applyBorder="1" applyAlignment="1">
      <alignment horizontal="center"/>
    </xf>
    <xf numFmtId="3" fontId="14" fillId="0" borderId="25" xfId="49" applyNumberFormat="1" applyBorder="1"/>
    <xf numFmtId="178" fontId="43" fillId="0" borderId="26" xfId="49" applyNumberFormat="1" applyFont="1" applyBorder="1" applyAlignment="1">
      <alignment horizontal="center"/>
    </xf>
    <xf numFmtId="9" fontId="14" fillId="0" borderId="26" xfId="49" applyNumberFormat="1" applyFont="1" applyBorder="1" applyAlignment="1">
      <alignment horizontal="center"/>
    </xf>
    <xf numFmtId="3" fontId="14" fillId="0" borderId="26" xfId="49" applyNumberFormat="1" applyBorder="1"/>
    <xf numFmtId="173" fontId="14" fillId="0" borderId="0" xfId="49" applyNumberFormat="1" applyBorder="1"/>
    <xf numFmtId="0" fontId="14" fillId="0" borderId="34" xfId="49" applyBorder="1"/>
    <xf numFmtId="3" fontId="14" fillId="0" borderId="72" xfId="49" applyNumberFormat="1" applyBorder="1"/>
    <xf numFmtId="178" fontId="43" fillId="0" borderId="74" xfId="49" applyNumberFormat="1" applyFont="1" applyBorder="1" applyAlignment="1">
      <alignment horizontal="center"/>
    </xf>
    <xf numFmtId="178" fontId="43" fillId="0" borderId="75" xfId="49" applyNumberFormat="1" applyFont="1" applyBorder="1" applyAlignment="1">
      <alignment horizontal="center"/>
    </xf>
    <xf numFmtId="2" fontId="14" fillId="0" borderId="76" xfId="41" applyNumberFormat="1" applyFont="1" applyFill="1" applyBorder="1" applyAlignment="1">
      <alignment horizontal="left"/>
    </xf>
    <xf numFmtId="2" fontId="14" fillId="0" borderId="77" xfId="41" applyNumberFormat="1" applyFont="1" applyFill="1" applyBorder="1" applyAlignment="1">
      <alignment horizontal="center"/>
    </xf>
    <xf numFmtId="2" fontId="14" fillId="0" borderId="78" xfId="41" applyNumberFormat="1" applyFont="1" applyFill="1" applyBorder="1" applyAlignment="1">
      <alignment horizontal="center"/>
    </xf>
    <xf numFmtId="2" fontId="14" fillId="0" borderId="78" xfId="53" applyNumberFormat="1" applyFont="1" applyBorder="1" applyAlignment="1">
      <alignment horizontal="center"/>
    </xf>
    <xf numFmtId="2" fontId="31" fillId="0" borderId="78" xfId="41" applyNumberFormat="1" applyFont="1" applyFill="1" applyBorder="1" applyAlignment="1">
      <alignment horizontal="center"/>
    </xf>
    <xf numFmtId="2" fontId="14" fillId="0" borderId="78" xfId="41" applyNumberFormat="1" applyFill="1" applyBorder="1" applyAlignment="1">
      <alignment horizontal="center"/>
    </xf>
    <xf numFmtId="2" fontId="14" fillId="0" borderId="10" xfId="41" applyNumberFormat="1" applyFill="1" applyBorder="1" applyAlignment="1">
      <alignment horizontal="center"/>
    </xf>
    <xf numFmtId="2" fontId="45" fillId="0" borderId="9" xfId="41" applyNumberFormat="1" applyFont="1" applyFill="1" applyBorder="1" applyAlignment="1">
      <alignment horizontal="center" vertical="center"/>
    </xf>
    <xf numFmtId="2" fontId="45" fillId="0" borderId="0" xfId="41" applyNumberFormat="1" applyFont="1" applyFill="1" applyBorder="1" applyAlignment="1">
      <alignment horizontal="center" vertical="center"/>
    </xf>
    <xf numFmtId="2" fontId="14" fillId="0" borderId="0" xfId="41" applyNumberFormat="1" applyFill="1" applyBorder="1" applyAlignment="1">
      <alignment horizontal="center" vertical="center"/>
    </xf>
    <xf numFmtId="2" fontId="14" fillId="0" borderId="0" xfId="41" applyNumberFormat="1" applyFont="1" applyFill="1" applyBorder="1" applyAlignment="1">
      <alignment horizontal="center" vertical="center"/>
    </xf>
    <xf numFmtId="2" fontId="31" fillId="0" borderId="10" xfId="41" applyNumberFormat="1" applyFont="1" applyFill="1" applyBorder="1" applyAlignment="1">
      <alignment horizontal="center"/>
    </xf>
    <xf numFmtId="0" fontId="14" fillId="0" borderId="0" xfId="41" applyNumberFormat="1" applyFont="1" applyFill="1" applyBorder="1" applyAlignment="1" applyProtection="1"/>
    <xf numFmtId="172" fontId="44" fillId="0" borderId="0" xfId="41" applyNumberFormat="1" applyFont="1" applyFill="1" applyBorder="1" applyAlignment="1">
      <alignment horizontal="center"/>
    </xf>
    <xf numFmtId="9" fontId="31" fillId="0" borderId="0" xfId="41" applyNumberFormat="1" applyFont="1" applyFill="1" applyBorder="1" applyAlignment="1">
      <alignment horizontal="center"/>
    </xf>
    <xf numFmtId="172" fontId="31" fillId="0" borderId="0" xfId="41" applyNumberFormat="1" applyFont="1" applyFill="1" applyBorder="1" applyAlignment="1">
      <alignment horizontal="center"/>
    </xf>
    <xf numFmtId="172" fontId="45" fillId="0" borderId="0" xfId="41" applyNumberFormat="1" applyFont="1" applyFill="1" applyBorder="1"/>
    <xf numFmtId="172" fontId="14" fillId="0" borderId="0" xfId="41" applyNumberFormat="1" applyFill="1" applyBorder="1"/>
    <xf numFmtId="9" fontId="14" fillId="0" borderId="0" xfId="41" applyNumberFormat="1" applyFont="1" applyFill="1" applyBorder="1" applyAlignment="1">
      <alignment horizontal="center"/>
    </xf>
    <xf numFmtId="172" fontId="14" fillId="0" borderId="0" xfId="41" applyNumberFormat="1" applyFont="1" applyFill="1" applyBorder="1" applyAlignment="1">
      <alignment horizontal="center"/>
    </xf>
    <xf numFmtId="9" fontId="45" fillId="0" borderId="0" xfId="41" applyNumberFormat="1" applyFont="1" applyFill="1" applyBorder="1" applyAlignment="1">
      <alignment horizontal="center"/>
    </xf>
    <xf numFmtId="9" fontId="45" fillId="0" borderId="0" xfId="41" applyNumberFormat="1" applyFont="1" applyFill="1" applyBorder="1"/>
    <xf numFmtId="172" fontId="14" fillId="0" borderId="0" xfId="41" applyNumberFormat="1" applyFont="1" applyFill="1" applyBorder="1" applyAlignment="1">
      <alignment horizontal="left"/>
    </xf>
    <xf numFmtId="9" fontId="14" fillId="0" borderId="0" xfId="41" applyNumberFormat="1" applyFill="1" applyBorder="1" applyAlignment="1">
      <alignment horizontal="center"/>
    </xf>
    <xf numFmtId="172" fontId="14" fillId="0" borderId="0" xfId="41" applyNumberFormat="1" applyFill="1" applyBorder="1" applyAlignment="1">
      <alignment horizontal="center"/>
    </xf>
    <xf numFmtId="0" fontId="14" fillId="0" borderId="0" xfId="41" applyFill="1"/>
    <xf numFmtId="2" fontId="14" fillId="0" borderId="10" xfId="41" applyNumberFormat="1" applyFont="1" applyFill="1" applyBorder="1" applyAlignment="1">
      <alignment horizontal="center"/>
    </xf>
    <xf numFmtId="0" fontId="14" fillId="0" borderId="0" xfId="41" applyFont="1" applyFill="1"/>
    <xf numFmtId="172" fontId="45" fillId="0" borderId="0" xfId="41" applyNumberFormat="1" applyFont="1" applyFill="1" applyBorder="1" applyAlignment="1">
      <alignment horizontal="center"/>
    </xf>
    <xf numFmtId="2" fontId="31" fillId="0" borderId="34" xfId="41" applyNumberFormat="1" applyFont="1" applyFill="1" applyBorder="1" applyAlignment="1">
      <alignment horizontal="center"/>
    </xf>
    <xf numFmtId="172" fontId="44" fillId="0" borderId="35" xfId="41" applyNumberFormat="1" applyFont="1" applyFill="1" applyBorder="1"/>
    <xf numFmtId="172" fontId="44" fillId="0" borderId="38" xfId="41" applyNumberFormat="1" applyFont="1" applyFill="1" applyBorder="1"/>
    <xf numFmtId="172" fontId="31" fillId="0" borderId="38" xfId="41" applyNumberFormat="1" applyFont="1" applyFill="1" applyBorder="1"/>
    <xf numFmtId="9" fontId="45" fillId="0" borderId="38" xfId="41" applyNumberFormat="1" applyFont="1" applyFill="1" applyBorder="1" applyAlignment="1">
      <alignment horizontal="center"/>
    </xf>
    <xf numFmtId="172" fontId="28" fillId="0" borderId="38" xfId="41" applyNumberFormat="1" applyFont="1" applyFill="1" applyBorder="1"/>
    <xf numFmtId="0" fontId="28" fillId="0" borderId="10" xfId="49" applyFont="1" applyBorder="1" applyAlignment="1">
      <alignment horizontal="center" vertical="justify"/>
    </xf>
    <xf numFmtId="0" fontId="31" fillId="0" borderId="0" xfId="49" applyFont="1" applyBorder="1"/>
    <xf numFmtId="172" fontId="31" fillId="0" borderId="0" xfId="49" applyNumberFormat="1" applyFont="1" applyFill="1" applyBorder="1" applyAlignment="1">
      <alignment horizontal="center" vertical="center"/>
    </xf>
    <xf numFmtId="172" fontId="28" fillId="0" borderId="0" xfId="49" applyNumberFormat="1" applyFont="1" applyFill="1" applyBorder="1" applyAlignment="1">
      <alignment horizontal="center" vertical="center"/>
    </xf>
    <xf numFmtId="172" fontId="14" fillId="0" borderId="0" xfId="49" applyNumberFormat="1"/>
    <xf numFmtId="172" fontId="31" fillId="0" borderId="38" xfId="49" applyNumberFormat="1" applyFont="1" applyFill="1" applyBorder="1" applyAlignment="1">
      <alignment horizontal="center" vertical="center"/>
    </xf>
    <xf numFmtId="0" fontId="14" fillId="0" borderId="0" xfId="41" applyFont="1"/>
    <xf numFmtId="0" fontId="31" fillId="0" borderId="0" xfId="41" applyFont="1"/>
    <xf numFmtId="0" fontId="14" fillId="0" borderId="0" xfId="41"/>
    <xf numFmtId="0" fontId="14" fillId="0" borderId="10" xfId="41" applyFill="1" applyBorder="1"/>
    <xf numFmtId="0" fontId="14" fillId="0" borderId="0" xfId="41" applyFill="1" applyBorder="1"/>
    <xf numFmtId="0" fontId="14" fillId="0" borderId="12" xfId="41" applyFill="1" applyBorder="1" applyAlignment="1">
      <alignment horizontal="center"/>
    </xf>
    <xf numFmtId="0" fontId="62" fillId="0" borderId="10" xfId="41" applyFont="1" applyFill="1" applyBorder="1"/>
    <xf numFmtId="0" fontId="62" fillId="0" borderId="79" xfId="41" applyFont="1" applyFill="1" applyBorder="1" applyAlignment="1">
      <alignment horizontal="center"/>
    </xf>
    <xf numFmtId="0" fontId="62" fillId="0" borderId="80" xfId="41" applyFont="1" applyFill="1" applyBorder="1" applyAlignment="1">
      <alignment horizontal="center"/>
    </xf>
    <xf numFmtId="0" fontId="62" fillId="0" borderId="10" xfId="41" applyFont="1" applyFill="1" applyBorder="1" applyAlignment="1">
      <alignment wrapText="1"/>
    </xf>
    <xf numFmtId="0" fontId="64" fillId="0" borderId="14" xfId="41" applyFont="1" applyFill="1" applyBorder="1" applyAlignment="1">
      <alignment horizontal="center" vertical="center" wrapText="1"/>
    </xf>
    <xf numFmtId="0" fontId="64" fillId="0" borderId="15" xfId="41" applyFont="1" applyFill="1" applyBorder="1" applyAlignment="1">
      <alignment horizontal="center" vertical="center" wrapText="1"/>
    </xf>
    <xf numFmtId="0" fontId="65" fillId="0" borderId="66" xfId="41" applyFont="1" applyFill="1" applyBorder="1" applyAlignment="1">
      <alignment horizontal="center" vertical="center" wrapText="1"/>
    </xf>
    <xf numFmtId="0" fontId="64" fillId="0" borderId="81" xfId="41" applyFont="1" applyFill="1" applyBorder="1" applyAlignment="1">
      <alignment horizontal="center" vertical="center" wrapText="1"/>
    </xf>
    <xf numFmtId="0" fontId="64" fillId="0" borderId="66" xfId="41" applyFont="1" applyFill="1" applyBorder="1" applyAlignment="1">
      <alignment horizontal="center" vertical="center" wrapText="1"/>
    </xf>
    <xf numFmtId="0" fontId="62" fillId="0" borderId="9" xfId="41" applyFont="1" applyFill="1" applyBorder="1" applyAlignment="1">
      <alignment horizontal="center" vertical="center" wrapText="1"/>
    </xf>
    <xf numFmtId="0" fontId="62" fillId="0" borderId="0" xfId="41" applyFont="1" applyFill="1" applyBorder="1" applyAlignment="1">
      <alignment horizontal="center" vertical="center" wrapText="1"/>
    </xf>
    <xf numFmtId="0" fontId="62" fillId="0" borderId="25" xfId="41" applyFont="1" applyFill="1" applyBorder="1" applyAlignment="1">
      <alignment horizontal="center" vertical="center" wrapText="1"/>
    </xf>
    <xf numFmtId="0" fontId="62" fillId="0" borderId="26" xfId="41" applyFont="1" applyFill="1" applyBorder="1" applyAlignment="1">
      <alignment horizontal="center" vertical="center" wrapText="1"/>
    </xf>
    <xf numFmtId="0" fontId="67" fillId="0" borderId="0" xfId="41" applyFont="1" applyFill="1" applyBorder="1" applyAlignment="1">
      <alignment horizontal="center" vertical="center" wrapText="1"/>
    </xf>
    <xf numFmtId="0" fontId="62" fillId="0" borderId="11" xfId="41" applyFont="1" applyFill="1" applyBorder="1" applyAlignment="1">
      <alignment horizontal="center" vertical="center" wrapText="1"/>
    </xf>
    <xf numFmtId="0" fontId="32" fillId="0" borderId="10" xfId="41" applyFont="1" applyFill="1" applyBorder="1" applyAlignment="1">
      <alignment horizontal="center"/>
    </xf>
    <xf numFmtId="172" fontId="32" fillId="0" borderId="9" xfId="41" applyNumberFormat="1" applyFont="1" applyFill="1" applyBorder="1" applyAlignment="1">
      <alignment horizontal="center"/>
    </xf>
    <xf numFmtId="172" fontId="32" fillId="0" borderId="25" xfId="41" applyNumberFormat="1" applyFont="1" applyFill="1" applyBorder="1" applyAlignment="1">
      <alignment horizontal="center"/>
    </xf>
    <xf numFmtId="172" fontId="68" fillId="0" borderId="0" xfId="49" applyNumberFormat="1" applyFont="1" applyBorder="1" applyAlignment="1">
      <alignment horizontal="center"/>
    </xf>
    <xf numFmtId="172" fontId="32" fillId="0" borderId="0" xfId="41" applyNumberFormat="1" applyFont="1" applyFill="1" applyBorder="1" applyAlignment="1">
      <alignment horizontal="center"/>
    </xf>
    <xf numFmtId="172" fontId="32" fillId="0" borderId="26" xfId="41" applyNumberFormat="1" applyFont="1" applyFill="1" applyBorder="1" applyAlignment="1">
      <alignment horizontal="center"/>
    </xf>
    <xf numFmtId="172" fontId="69" fillId="0" borderId="0" xfId="41" applyNumberFormat="1" applyFont="1" applyFill="1" applyBorder="1" applyAlignment="1">
      <alignment horizontal="center"/>
    </xf>
    <xf numFmtId="172" fontId="69" fillId="0" borderId="11" xfId="41" applyNumberFormat="1" applyFont="1" applyFill="1" applyBorder="1" applyAlignment="1">
      <alignment horizontal="center"/>
    </xf>
    <xf numFmtId="3" fontId="62" fillId="0" borderId="9" xfId="41" applyNumberFormat="1" applyFont="1" applyFill="1" applyBorder="1"/>
    <xf numFmtId="3" fontId="62" fillId="0" borderId="0" xfId="41" applyNumberFormat="1" applyFont="1" applyFill="1" applyBorder="1"/>
    <xf numFmtId="3" fontId="62" fillId="0" borderId="25" xfId="41" applyNumberFormat="1" applyFont="1" applyFill="1" applyBorder="1"/>
    <xf numFmtId="9" fontId="67" fillId="0" borderId="0" xfId="41" applyNumberFormat="1" applyFont="1" applyFill="1" applyBorder="1" applyAlignment="1">
      <alignment horizontal="center"/>
    </xf>
    <xf numFmtId="9" fontId="67" fillId="0" borderId="26" xfId="41" applyNumberFormat="1" applyFont="1" applyFill="1" applyBorder="1" applyAlignment="1">
      <alignment horizontal="center"/>
    </xf>
    <xf numFmtId="172" fontId="70" fillId="0" borderId="0" xfId="41" applyNumberFormat="1" applyFont="1" applyFill="1" applyBorder="1"/>
    <xf numFmtId="3" fontId="67" fillId="0" borderId="0" xfId="41" applyNumberFormat="1" applyFont="1" applyFill="1" applyBorder="1"/>
    <xf numFmtId="0" fontId="45" fillId="0" borderId="0" xfId="41" applyFont="1" applyBorder="1"/>
    <xf numFmtId="2" fontId="32" fillId="0" borderId="10" xfId="41" applyNumberFormat="1" applyFont="1" applyFill="1" applyBorder="1" applyAlignment="1">
      <alignment horizontal="center"/>
    </xf>
    <xf numFmtId="2" fontId="71" fillId="0" borderId="10" xfId="41" applyNumberFormat="1" applyFont="1" applyFill="1" applyBorder="1" applyAlignment="1">
      <alignment horizontal="center"/>
    </xf>
    <xf numFmtId="172" fontId="67" fillId="0" borderId="9" xfId="41" applyNumberFormat="1" applyFont="1" applyFill="1" applyBorder="1" applyAlignment="1">
      <alignment horizontal="center"/>
    </xf>
    <xf numFmtId="172" fontId="67" fillId="0" borderId="0" xfId="41" applyNumberFormat="1" applyFont="1" applyFill="1" applyBorder="1" applyAlignment="1">
      <alignment horizontal="center"/>
    </xf>
    <xf numFmtId="172" fontId="62" fillId="0" borderId="25" xfId="41" applyNumberFormat="1" applyFont="1" applyFill="1" applyBorder="1"/>
    <xf numFmtId="0" fontId="62" fillId="0" borderId="25" xfId="41" applyFont="1" applyFill="1" applyBorder="1"/>
    <xf numFmtId="0" fontId="62" fillId="0" borderId="10" xfId="41" applyFont="1" applyFill="1" applyBorder="1" applyAlignment="1">
      <alignment horizontal="center"/>
    </xf>
    <xf numFmtId="172" fontId="62" fillId="0" borderId="9" xfId="41" applyNumberFormat="1" applyFont="1" applyFill="1" applyBorder="1" applyAlignment="1">
      <alignment horizontal="center"/>
    </xf>
    <xf numFmtId="172" fontId="62" fillId="0" borderId="0" xfId="41" applyNumberFormat="1" applyFont="1" applyFill="1" applyBorder="1" applyAlignment="1">
      <alignment horizontal="center"/>
    </xf>
    <xf numFmtId="172" fontId="62" fillId="0" borderId="25" xfId="41" applyNumberFormat="1" applyFont="1" applyFill="1" applyBorder="1" applyAlignment="1">
      <alignment horizontal="center"/>
    </xf>
    <xf numFmtId="172" fontId="62" fillId="0" borderId="26" xfId="41" applyNumberFormat="1" applyFont="1" applyFill="1" applyBorder="1" applyAlignment="1">
      <alignment horizontal="center"/>
    </xf>
    <xf numFmtId="172" fontId="70" fillId="0" borderId="0" xfId="41" applyNumberFormat="1" applyFont="1" applyFill="1" applyBorder="1" applyAlignment="1">
      <alignment horizontal="center"/>
    </xf>
    <xf numFmtId="172" fontId="70" fillId="0" borderId="11" xfId="41" applyNumberFormat="1" applyFont="1" applyFill="1" applyBorder="1" applyAlignment="1">
      <alignment horizontal="center"/>
    </xf>
    <xf numFmtId="0" fontId="67" fillId="0" borderId="10" xfId="41" applyFont="1" applyFill="1" applyBorder="1" applyAlignment="1">
      <alignment horizontal="center"/>
    </xf>
    <xf numFmtId="3" fontId="62" fillId="0" borderId="26" xfId="41" applyNumberFormat="1" applyFont="1" applyFill="1" applyBorder="1"/>
    <xf numFmtId="172" fontId="62" fillId="0" borderId="9" xfId="41" applyNumberFormat="1" applyFont="1" applyFill="1" applyBorder="1"/>
    <xf numFmtId="172" fontId="67" fillId="0" borderId="0" xfId="41" applyNumberFormat="1" applyFont="1" applyFill="1" applyBorder="1"/>
    <xf numFmtId="0" fontId="14" fillId="0" borderId="34" xfId="41" applyBorder="1"/>
    <xf numFmtId="3" fontId="14" fillId="0" borderId="38" xfId="41" applyNumberFormat="1" applyBorder="1"/>
    <xf numFmtId="3" fontId="14" fillId="0" borderId="36" xfId="41" applyNumberFormat="1" applyBorder="1"/>
    <xf numFmtId="9" fontId="67" fillId="0" borderId="38" xfId="41" applyNumberFormat="1" applyFont="1" applyFill="1" applyBorder="1" applyAlignment="1">
      <alignment horizontal="center"/>
    </xf>
    <xf numFmtId="0" fontId="62" fillId="0" borderId="36" xfId="41" applyFont="1" applyFill="1" applyBorder="1"/>
    <xf numFmtId="0" fontId="14" fillId="0" borderId="38" xfId="41" applyBorder="1"/>
    <xf numFmtId="0" fontId="14" fillId="0" borderId="51" xfId="41" applyBorder="1"/>
    <xf numFmtId="3" fontId="14" fillId="0" borderId="0" xfId="41" applyNumberFormat="1"/>
    <xf numFmtId="172" fontId="71" fillId="0" borderId="9" xfId="41" applyNumberFormat="1" applyFont="1" applyFill="1" applyBorder="1" applyAlignment="1">
      <alignment horizontal="center"/>
    </xf>
    <xf numFmtId="172" fontId="71" fillId="0" borderId="25" xfId="41" applyNumberFormat="1" applyFont="1" applyFill="1" applyBorder="1" applyAlignment="1">
      <alignment horizontal="center"/>
    </xf>
    <xf numFmtId="172" fontId="71" fillId="0" borderId="0" xfId="41" applyNumberFormat="1" applyFont="1" applyFill="1" applyBorder="1" applyAlignment="1">
      <alignment horizontal="center"/>
    </xf>
    <xf numFmtId="172" fontId="71" fillId="0" borderId="26" xfId="41" applyNumberFormat="1" applyFont="1" applyFill="1" applyBorder="1" applyAlignment="1">
      <alignment horizontal="center"/>
    </xf>
    <xf numFmtId="3" fontId="71" fillId="0" borderId="9" xfId="41" applyNumberFormat="1" applyFont="1" applyFill="1" applyBorder="1"/>
    <xf numFmtId="3" fontId="71" fillId="0" borderId="25" xfId="41" applyNumberFormat="1" applyFont="1" applyFill="1" applyBorder="1"/>
    <xf numFmtId="9" fontId="70" fillId="0" borderId="0" xfId="41" applyNumberFormat="1" applyFont="1" applyFill="1" applyBorder="1" applyAlignment="1">
      <alignment horizontal="center"/>
    </xf>
    <xf numFmtId="3" fontId="28" fillId="0" borderId="0" xfId="46" applyNumberFormat="1" applyFont="1" applyBorder="1" applyAlignment="1">
      <alignment horizontal="center" wrapText="1"/>
    </xf>
    <xf numFmtId="9" fontId="28" fillId="0" borderId="0" xfId="46" applyNumberFormat="1" applyFont="1" applyBorder="1" applyAlignment="1">
      <alignment horizontal="center" wrapText="1"/>
    </xf>
    <xf numFmtId="3" fontId="45" fillId="0" borderId="0" xfId="49" applyNumberFormat="1" applyFont="1" applyBorder="1" applyAlignment="1">
      <alignment horizontal="center"/>
    </xf>
    <xf numFmtId="0" fontId="53" fillId="0" borderId="0" xfId="49" applyFont="1" applyBorder="1" applyAlignment="1">
      <alignment horizontal="center" vertical="center" wrapText="1"/>
    </xf>
    <xf numFmtId="3" fontId="61" fillId="0" borderId="9" xfId="49" applyNumberFormat="1" applyFont="1" applyBorder="1" applyAlignment="1">
      <alignment horizontal="center"/>
    </xf>
    <xf numFmtId="175" fontId="61" fillId="0" borderId="9" xfId="49" applyNumberFormat="1" applyFont="1" applyBorder="1" applyAlignment="1">
      <alignment horizontal="center" vertical="center" wrapText="1"/>
    </xf>
    <xf numFmtId="3" fontId="61" fillId="0" borderId="9" xfId="49" applyNumberFormat="1" applyFont="1" applyBorder="1" applyAlignment="1">
      <alignment horizontal="center" vertical="center" wrapText="1"/>
    </xf>
    <xf numFmtId="175" fontId="61" fillId="0" borderId="0" xfId="49" applyNumberFormat="1" applyFont="1" applyBorder="1" applyAlignment="1">
      <alignment horizontal="center"/>
    </xf>
    <xf numFmtId="3" fontId="14" fillId="0" borderId="0" xfId="49" applyNumberFormat="1" applyFont="1" applyBorder="1" applyAlignment="1">
      <alignment horizontal="center"/>
    </xf>
    <xf numFmtId="3" fontId="43" fillId="0" borderId="0" xfId="49" applyNumberFormat="1" applyFont="1" applyBorder="1" applyAlignment="1">
      <alignment horizontal="center" vertical="center" wrapText="1"/>
    </xf>
    <xf numFmtId="3" fontId="14" fillId="0" borderId="0" xfId="52" applyNumberFormat="1" applyFont="1" applyBorder="1"/>
    <xf numFmtId="9" fontId="14" fillId="0" borderId="17" xfId="52" applyNumberFormat="1" applyFont="1" applyBorder="1" applyAlignment="1">
      <alignment horizontal="center"/>
    </xf>
    <xf numFmtId="3" fontId="27" fillId="0" borderId="0" xfId="0" applyNumberFormat="1" applyFont="1" applyBorder="1" applyAlignment="1">
      <alignment horizontal="center" vertical="center"/>
    </xf>
    <xf numFmtId="3" fontId="27" fillId="0" borderId="11" xfId="0" applyNumberFormat="1" applyFont="1" applyBorder="1" applyAlignment="1">
      <alignment horizontal="center" vertical="center"/>
    </xf>
    <xf numFmtId="3" fontId="28" fillId="0" borderId="11" xfId="49" applyNumberFormat="1" applyFont="1" applyBorder="1" applyAlignment="1">
      <alignment horizontal="center"/>
    </xf>
    <xf numFmtId="1" fontId="14" fillId="0" borderId="9" xfId="49" applyNumberFormat="1" applyFont="1" applyFill="1" applyBorder="1" applyAlignment="1">
      <alignment horizontal="center" vertical="center" wrapText="1"/>
    </xf>
    <xf numFmtId="3" fontId="14" fillId="0" borderId="0" xfId="49" applyNumberFormat="1" applyFont="1"/>
    <xf numFmtId="3" fontId="61" fillId="0" borderId="0" xfId="49" applyNumberFormat="1" applyFont="1" applyBorder="1" applyAlignment="1">
      <alignment horizontal="center"/>
    </xf>
    <xf numFmtId="0" fontId="45" fillId="0" borderId="0" xfId="49" applyFont="1" applyFill="1" applyBorder="1" applyAlignment="1">
      <alignment horizontal="center" vertical="center" wrapText="1"/>
    </xf>
    <xf numFmtId="0" fontId="14" fillId="0" borderId="0" xfId="49" applyFont="1" applyAlignment="1">
      <alignment horizontal="center"/>
    </xf>
    <xf numFmtId="3" fontId="14" fillId="0" borderId="0" xfId="49" applyNumberFormat="1" applyFont="1" applyAlignment="1">
      <alignment horizontal="center" vertical="center" wrapText="1"/>
    </xf>
    <xf numFmtId="172" fontId="14" fillId="0" borderId="0" xfId="49" applyNumberFormat="1" applyFont="1" applyBorder="1" applyAlignment="1">
      <alignment horizontal="center" vertical="center" wrapText="1"/>
    </xf>
    <xf numFmtId="172" fontId="31" fillId="0" borderId="0" xfId="49" applyNumberFormat="1" applyFont="1" applyBorder="1" applyAlignment="1">
      <alignment horizontal="center" vertical="center" wrapText="1"/>
    </xf>
    <xf numFmtId="1" fontId="14" fillId="0" borderId="0" xfId="49" applyNumberFormat="1" applyFont="1" applyBorder="1" applyAlignment="1">
      <alignment horizontal="center" vertical="center" wrapText="1"/>
    </xf>
    <xf numFmtId="3" fontId="28" fillId="0" borderId="0"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31" fillId="0" borderId="25" xfId="49" applyNumberFormat="1" applyFont="1" applyBorder="1" applyAlignment="1">
      <alignment horizontal="center" vertical="center" wrapText="1"/>
    </xf>
    <xf numFmtId="3" fontId="31" fillId="0" borderId="26" xfId="49" applyNumberFormat="1" applyFont="1" applyBorder="1" applyAlignment="1">
      <alignment horizontal="center" vertical="center" wrapText="1"/>
    </xf>
    <xf numFmtId="2" fontId="14" fillId="0" borderId="0" xfId="49" applyNumberFormat="1" applyAlignment="1">
      <alignment horizontal="center"/>
    </xf>
    <xf numFmtId="9" fontId="14" fillId="0" borderId="0" xfId="52" applyNumberFormat="1" applyFont="1" applyBorder="1" applyAlignment="1">
      <alignment horizontal="center"/>
    </xf>
    <xf numFmtId="3" fontId="14" fillId="0" borderId="0" xfId="49" applyNumberFormat="1" applyFill="1"/>
    <xf numFmtId="3" fontId="31" fillId="0" borderId="0" xfId="52" applyNumberFormat="1" applyFont="1" applyBorder="1" applyAlignment="1">
      <alignment horizontal="center"/>
    </xf>
    <xf numFmtId="0" fontId="72" fillId="0" borderId="0" xfId="45" applyFont="1" applyFill="1" applyBorder="1" applyAlignment="1">
      <alignment vertical="center" wrapText="1"/>
    </xf>
    <xf numFmtId="9" fontId="31" fillId="0" borderId="0" xfId="49" applyNumberFormat="1" applyFont="1" applyBorder="1" applyAlignment="1">
      <alignment horizontal="center" vertical="center" wrapText="1"/>
    </xf>
    <xf numFmtId="1" fontId="14" fillId="0" borderId="9" xfId="49" applyNumberFormat="1" applyFont="1" applyBorder="1" applyAlignment="1">
      <alignment horizontal="center" vertical="center" wrapText="1"/>
    </xf>
    <xf numFmtId="3" fontId="31" fillId="0" borderId="0" xfId="49" applyNumberFormat="1" applyFont="1"/>
    <xf numFmtId="9" fontId="31" fillId="0" borderId="0" xfId="49" applyNumberFormat="1" applyFont="1"/>
    <xf numFmtId="9" fontId="14" fillId="0" borderId="0" xfId="49" applyNumberFormat="1" applyFont="1" applyAlignment="1">
      <alignment horizontal="center" vertical="center" wrapText="1"/>
    </xf>
    <xf numFmtId="9" fontId="28" fillId="0" borderId="0" xfId="49" applyNumberFormat="1" applyFont="1" applyFill="1" applyBorder="1" applyAlignment="1">
      <alignment horizontal="center" vertical="center" wrapText="1"/>
    </xf>
    <xf numFmtId="9" fontId="14" fillId="0" borderId="32" xfId="49" applyNumberFormat="1" applyFont="1" applyBorder="1" applyAlignment="1">
      <alignment horizontal="center"/>
    </xf>
    <xf numFmtId="9" fontId="14" fillId="0" borderId="20" xfId="49" applyNumberFormat="1" applyFont="1" applyBorder="1" applyAlignment="1">
      <alignment horizontal="center"/>
    </xf>
    <xf numFmtId="9" fontId="14" fillId="0" borderId="38" xfId="49" applyNumberFormat="1" applyFont="1" applyBorder="1" applyAlignment="1">
      <alignment horizontal="center"/>
    </xf>
    <xf numFmtId="9" fontId="14" fillId="0" borderId="31" xfId="49" applyNumberFormat="1" applyFont="1" applyBorder="1" applyAlignment="1">
      <alignment horizontal="center"/>
    </xf>
    <xf numFmtId="9" fontId="14" fillId="0" borderId="28" xfId="49" applyNumberFormat="1" applyFont="1" applyBorder="1" applyAlignment="1">
      <alignment horizontal="center"/>
    </xf>
    <xf numFmtId="9" fontId="14" fillId="0" borderId="37" xfId="49" applyNumberFormat="1" applyFont="1" applyBorder="1" applyAlignment="1">
      <alignment horizontal="center"/>
    </xf>
    <xf numFmtId="9" fontId="48" fillId="0" borderId="0" xfId="49" applyNumberFormat="1" applyFont="1" applyBorder="1" applyAlignment="1">
      <alignment horizontal="center"/>
    </xf>
    <xf numFmtId="9" fontId="48" fillId="0" borderId="26" xfId="49" applyNumberFormat="1" applyFont="1" applyBorder="1" applyAlignment="1">
      <alignment horizontal="center"/>
    </xf>
    <xf numFmtId="0" fontId="27" fillId="0" borderId="0" xfId="45" applyFont="1" applyBorder="1" applyAlignment="1">
      <alignment horizontal="center" vertical="center" wrapText="1"/>
    </xf>
    <xf numFmtId="0" fontId="27" fillId="0" borderId="26" xfId="45" applyFont="1" applyBorder="1" applyAlignment="1">
      <alignment horizontal="center" vertical="center" wrapText="1"/>
    </xf>
    <xf numFmtId="0" fontId="27" fillId="0" borderId="25" xfId="45" applyFont="1" applyBorder="1" applyAlignment="1">
      <alignment horizontal="center" vertical="center" wrapText="1"/>
    </xf>
    <xf numFmtId="3" fontId="31" fillId="0" borderId="0" xfId="49" applyNumberFormat="1" applyFont="1" applyBorder="1" applyAlignment="1">
      <alignment horizontal="center" vertical="center" wrapText="1"/>
    </xf>
    <xf numFmtId="0" fontId="74" fillId="0" borderId="17" xfId="49" applyFont="1" applyBorder="1" applyAlignment="1">
      <alignment horizontal="center" vertical="center" wrapText="1"/>
    </xf>
    <xf numFmtId="178" fontId="14" fillId="0" borderId="0" xfId="49" applyNumberFormat="1" applyAlignment="1">
      <alignment horizontal="center"/>
    </xf>
    <xf numFmtId="188" fontId="75" fillId="0" borderId="0" xfId="49" applyNumberFormat="1" applyFont="1"/>
    <xf numFmtId="9" fontId="31" fillId="0" borderId="29" xfId="49" applyNumberFormat="1" applyFont="1" applyBorder="1" applyAlignment="1">
      <alignment horizontal="center"/>
    </xf>
    <xf numFmtId="9" fontId="31" fillId="0" borderId="19" xfId="49" applyNumberFormat="1" applyFont="1" applyBorder="1" applyAlignment="1">
      <alignment horizontal="center"/>
    </xf>
    <xf numFmtId="9" fontId="31" fillId="0" borderId="35" xfId="49" applyNumberFormat="1" applyFont="1" applyBorder="1" applyAlignment="1">
      <alignment horizontal="center"/>
    </xf>
    <xf numFmtId="9" fontId="31" fillId="0" borderId="32" xfId="49" applyNumberFormat="1" applyFont="1" applyBorder="1" applyAlignment="1">
      <alignment horizontal="center"/>
    </xf>
    <xf numFmtId="9" fontId="31" fillId="0" borderId="20" xfId="49" applyNumberFormat="1" applyFont="1" applyBorder="1" applyAlignment="1">
      <alignment horizontal="center"/>
    </xf>
    <xf numFmtId="9" fontId="31" fillId="0" borderId="25" xfId="49" applyNumberFormat="1" applyFont="1" applyBorder="1" applyAlignment="1">
      <alignment horizontal="center"/>
    </xf>
    <xf numFmtId="9" fontId="31" fillId="0" borderId="30" xfId="49" applyNumberFormat="1" applyFont="1" applyBorder="1" applyAlignment="1">
      <alignment horizontal="center"/>
    </xf>
    <xf numFmtId="9" fontId="31" fillId="0" borderId="27" xfId="49" applyNumberFormat="1" applyFont="1" applyBorder="1" applyAlignment="1">
      <alignment horizontal="center"/>
    </xf>
    <xf numFmtId="9" fontId="31" fillId="0" borderId="38" xfId="49" applyNumberFormat="1" applyFont="1" applyBorder="1" applyAlignment="1">
      <alignment horizontal="center"/>
    </xf>
    <xf numFmtId="9" fontId="31" fillId="0" borderId="25" xfId="49" applyNumberFormat="1" applyFont="1" applyBorder="1" applyAlignment="1">
      <alignment horizontal="center" vertical="center" wrapText="1"/>
    </xf>
    <xf numFmtId="9" fontId="31" fillId="0" borderId="9" xfId="49" applyNumberFormat="1" applyFont="1" applyBorder="1" applyAlignment="1">
      <alignment horizontal="center" vertical="center" wrapText="1"/>
    </xf>
    <xf numFmtId="9" fontId="31" fillId="0" borderId="17" xfId="49" applyNumberFormat="1" applyFont="1" applyBorder="1" applyAlignment="1">
      <alignment horizontal="center" vertical="center" wrapText="1"/>
    </xf>
    <xf numFmtId="0" fontId="14" fillId="0" borderId="0" xfId="49" applyFont="1" applyBorder="1" applyAlignment="1">
      <alignment horizontal="center"/>
    </xf>
    <xf numFmtId="0" fontId="14" fillId="0" borderId="11" xfId="49" applyFont="1" applyBorder="1" applyAlignment="1">
      <alignment horizontal="center"/>
    </xf>
    <xf numFmtId="0" fontId="74" fillId="0" borderId="0" xfId="49" applyFont="1" applyAlignment="1">
      <alignment horizontal="center" vertical="center" wrapText="1"/>
    </xf>
    <xf numFmtId="9" fontId="39" fillId="0" borderId="0" xfId="49" applyNumberFormat="1" applyFont="1" applyBorder="1" applyAlignment="1">
      <alignment horizontal="center"/>
    </xf>
    <xf numFmtId="0" fontId="14" fillId="0" borderId="0" xfId="49" applyFont="1" applyBorder="1" applyAlignment="1">
      <alignment horizontal="center" vertical="center"/>
    </xf>
    <xf numFmtId="0" fontId="28" fillId="0" borderId="0" xfId="38" applyFont="1" applyBorder="1" applyAlignment="1">
      <alignment horizontal="left"/>
    </xf>
    <xf numFmtId="9" fontId="14" fillId="0" borderId="70" xfId="38" applyNumberFormat="1" applyFill="1" applyBorder="1" applyAlignment="1">
      <alignment horizontal="center"/>
    </xf>
    <xf numFmtId="9" fontId="14" fillId="0" borderId="0" xfId="38" applyNumberFormat="1" applyFont="1" applyFill="1" applyBorder="1" applyAlignment="1" applyProtection="1">
      <alignment horizontal="center"/>
    </xf>
    <xf numFmtId="0" fontId="14" fillId="0" borderId="10" xfId="49" applyFont="1" applyBorder="1" applyAlignment="1">
      <alignment horizontal="center"/>
    </xf>
    <xf numFmtId="0" fontId="14" fillId="0" borderId="10" xfId="49" applyBorder="1" applyAlignment="1">
      <alignment horizontal="center" wrapText="1"/>
    </xf>
    <xf numFmtId="175" fontId="14" fillId="0" borderId="17" xfId="49" applyNumberFormat="1" applyFont="1" applyBorder="1" applyAlignment="1">
      <alignment horizontal="center" vertical="center" wrapText="1"/>
    </xf>
    <xf numFmtId="0" fontId="31" fillId="0" borderId="10" xfId="49" applyFont="1" applyBorder="1" applyAlignment="1">
      <alignment horizontal="center" wrapText="1"/>
    </xf>
    <xf numFmtId="3" fontId="35" fillId="0" borderId="0" xfId="49" applyNumberFormat="1" applyFont="1" applyBorder="1"/>
    <xf numFmtId="9" fontId="35" fillId="0" borderId="0" xfId="49" applyNumberFormat="1" applyFont="1" applyBorder="1" applyAlignment="1">
      <alignment horizontal="center"/>
    </xf>
    <xf numFmtId="197" fontId="14" fillId="0" borderId="0" xfId="49" applyNumberFormat="1" applyBorder="1"/>
    <xf numFmtId="172" fontId="31" fillId="0" borderId="0" xfId="49" applyNumberFormat="1" applyFont="1" applyAlignment="1">
      <alignment horizontal="center"/>
    </xf>
    <xf numFmtId="4" fontId="14" fillId="0" borderId="0" xfId="49" applyNumberFormat="1"/>
    <xf numFmtId="0" fontId="14" fillId="0" borderId="34" xfId="49" applyFont="1" applyBorder="1" applyAlignment="1">
      <alignment horizontal="center" vertical="justify"/>
    </xf>
    <xf numFmtId="4" fontId="14" fillId="0" borderId="9" xfId="49" applyNumberFormat="1" applyFont="1" applyBorder="1" applyAlignment="1">
      <alignment horizontal="center" vertical="center"/>
    </xf>
    <xf numFmtId="191" fontId="14" fillId="0" borderId="9" xfId="49" applyNumberFormat="1" applyFont="1" applyBorder="1" applyAlignment="1">
      <alignment horizontal="center" vertical="center"/>
    </xf>
    <xf numFmtId="46" fontId="14" fillId="0" borderId="0" xfId="49" applyNumberFormat="1" applyFont="1" applyBorder="1"/>
    <xf numFmtId="0" fontId="14" fillId="0" borderId="0" xfId="49" applyFont="1" applyBorder="1"/>
    <xf numFmtId="172" fontId="14" fillId="0" borderId="0" xfId="49" applyNumberFormat="1" applyBorder="1"/>
    <xf numFmtId="0" fontId="14" fillId="0" borderId="34" xfId="49" applyFont="1" applyBorder="1" applyAlignment="1">
      <alignment horizontal="center" vertical="center"/>
    </xf>
    <xf numFmtId="191" fontId="46" fillId="0" borderId="82" xfId="49" applyNumberFormat="1" applyFont="1" applyBorder="1" applyAlignment="1">
      <alignment horizontal="center" vertical="center"/>
    </xf>
    <xf numFmtId="0" fontId="73" fillId="0" borderId="83" xfId="0" applyFont="1" applyBorder="1" applyAlignment="1">
      <alignment horizontal="center" vertical="center"/>
    </xf>
    <xf numFmtId="0" fontId="73" fillId="0" borderId="84" xfId="0" applyFont="1" applyBorder="1" applyAlignment="1">
      <alignment horizontal="center" vertical="center"/>
    </xf>
    <xf numFmtId="0" fontId="73" fillId="0" borderId="85" xfId="0" applyFont="1" applyBorder="1" applyAlignment="1">
      <alignment horizontal="center" vertical="center"/>
    </xf>
    <xf numFmtId="193" fontId="81" fillId="0" borderId="85" xfId="0" applyNumberFormat="1" applyFont="1" applyBorder="1" applyAlignment="1">
      <alignment horizontal="center" vertical="center"/>
    </xf>
    <xf numFmtId="9" fontId="31" fillId="0" borderId="83" xfId="49" applyNumberFormat="1" applyFont="1" applyBorder="1" applyAlignment="1">
      <alignment horizontal="center"/>
    </xf>
    <xf numFmtId="9" fontId="14" fillId="0" borderId="0" xfId="49" applyNumberFormat="1" applyBorder="1" applyAlignment="1">
      <alignment horizontal="center" vertical="center" wrapText="1"/>
    </xf>
    <xf numFmtId="9" fontId="31" fillId="0" borderId="38" xfId="49" applyNumberFormat="1" applyFont="1" applyBorder="1" applyAlignment="1">
      <alignment horizontal="center" vertical="center" wrapText="1"/>
    </xf>
    <xf numFmtId="172" fontId="28" fillId="0" borderId="0" xfId="49" applyNumberFormat="1" applyFont="1" applyBorder="1" applyAlignment="1">
      <alignment horizontal="center" vertical="center" wrapText="1"/>
    </xf>
    <xf numFmtId="0" fontId="31" fillId="0" borderId="10" xfId="49" applyFont="1" applyBorder="1" applyAlignment="1">
      <alignment horizontal="center" vertical="center"/>
    </xf>
    <xf numFmtId="172" fontId="31" fillId="0" borderId="38" xfId="49" applyNumberFormat="1" applyFont="1" applyBorder="1" applyAlignment="1">
      <alignment horizontal="center" vertical="center"/>
    </xf>
    <xf numFmtId="3" fontId="35" fillId="0" borderId="11" xfId="49" applyNumberFormat="1" applyFont="1" applyBorder="1" applyAlignment="1">
      <alignment horizontal="center"/>
    </xf>
    <xf numFmtId="3" fontId="62" fillId="0" borderId="11" xfId="41" applyNumberFormat="1" applyFont="1" applyFill="1" applyBorder="1"/>
    <xf numFmtId="9" fontId="31" fillId="0" borderId="38" xfId="49" applyNumberFormat="1" applyFont="1" applyFill="1" applyBorder="1" applyAlignment="1">
      <alignment horizontal="center" vertical="center"/>
    </xf>
    <xf numFmtId="3" fontId="14" fillId="0" borderId="0" xfId="47" applyNumberFormat="1" applyBorder="1" applyAlignment="1">
      <alignment horizontal="center" wrapText="1"/>
    </xf>
    <xf numFmtId="0" fontId="61" fillId="0" borderId="0" xfId="41" applyFont="1"/>
    <xf numFmtId="0" fontId="14" fillId="0" borderId="11" xfId="41" applyFill="1" applyBorder="1"/>
    <xf numFmtId="0" fontId="14" fillId="0" borderId="13" xfId="41" applyFill="1" applyBorder="1" applyAlignment="1">
      <alignment horizontal="center"/>
    </xf>
    <xf numFmtId="0" fontId="62" fillId="0" borderId="14" xfId="41" applyFont="1" applyFill="1" applyBorder="1" applyAlignment="1">
      <alignment horizontal="center"/>
    </xf>
    <xf numFmtId="9" fontId="32" fillId="0" borderId="9" xfId="41" applyNumberFormat="1" applyFont="1" applyFill="1" applyBorder="1" applyAlignment="1">
      <alignment horizontal="center"/>
    </xf>
    <xf numFmtId="9" fontId="32" fillId="0" borderId="0" xfId="41" applyNumberFormat="1" applyFont="1" applyFill="1" applyBorder="1" applyAlignment="1">
      <alignment horizontal="center"/>
    </xf>
    <xf numFmtId="9" fontId="32" fillId="0" borderId="25" xfId="41" applyNumberFormat="1" applyFont="1" applyFill="1" applyBorder="1" applyAlignment="1">
      <alignment horizontal="center"/>
    </xf>
    <xf numFmtId="9" fontId="32" fillId="0" borderId="11" xfId="41" applyNumberFormat="1" applyFont="1" applyFill="1" applyBorder="1" applyAlignment="1">
      <alignment horizontal="center"/>
    </xf>
    <xf numFmtId="172" fontId="14" fillId="0" borderId="0" xfId="52" applyNumberFormat="1" applyFont="1"/>
    <xf numFmtId="9" fontId="62" fillId="0" borderId="9" xfId="41" applyNumberFormat="1" applyFont="1" applyFill="1" applyBorder="1"/>
    <xf numFmtId="9" fontId="62" fillId="0" borderId="0" xfId="41" applyNumberFormat="1" applyFont="1" applyFill="1" applyBorder="1"/>
    <xf numFmtId="9" fontId="56" fillId="0" borderId="25" xfId="41" applyNumberFormat="1" applyFont="1" applyFill="1" applyBorder="1" applyAlignment="1">
      <alignment horizontal="center"/>
    </xf>
    <xf numFmtId="9" fontId="56" fillId="0" borderId="0" xfId="41" applyNumberFormat="1" applyFont="1" applyFill="1" applyBorder="1" applyAlignment="1">
      <alignment horizontal="center"/>
    </xf>
    <xf numFmtId="9" fontId="56" fillId="0" borderId="26" xfId="41" applyNumberFormat="1" applyFont="1" applyFill="1" applyBorder="1" applyAlignment="1">
      <alignment horizontal="center"/>
    </xf>
    <xf numFmtId="9" fontId="56" fillId="0" borderId="11" xfId="41" applyNumberFormat="1" applyFont="1" applyFill="1" applyBorder="1" applyAlignment="1">
      <alignment horizontal="center"/>
    </xf>
    <xf numFmtId="9" fontId="62" fillId="0" borderId="9" xfId="41" applyNumberFormat="1" applyFont="1" applyFill="1" applyBorder="1" applyAlignment="1">
      <alignment horizontal="center" vertical="center" wrapText="1"/>
    </xf>
    <xf numFmtId="9" fontId="62" fillId="0" borderId="0" xfId="41" applyNumberFormat="1" applyFont="1" applyFill="1" applyBorder="1" applyAlignment="1">
      <alignment horizontal="center" vertical="center" wrapText="1"/>
    </xf>
    <xf numFmtId="2" fontId="62" fillId="0" borderId="10" xfId="41" applyNumberFormat="1" applyFont="1" applyFill="1" applyBorder="1" applyAlignment="1">
      <alignment horizontal="center"/>
    </xf>
    <xf numFmtId="9" fontId="67" fillId="0" borderId="9" xfId="41" applyNumberFormat="1" applyFont="1" applyFill="1" applyBorder="1" applyAlignment="1">
      <alignment horizontal="center"/>
    </xf>
    <xf numFmtId="9" fontId="67" fillId="0" borderId="11" xfId="41" applyNumberFormat="1" applyFont="1" applyFill="1" applyBorder="1" applyAlignment="1">
      <alignment horizontal="center"/>
    </xf>
    <xf numFmtId="9" fontId="62" fillId="0" borderId="9" xfId="41" applyNumberFormat="1" applyFont="1" applyFill="1" applyBorder="1" applyAlignment="1">
      <alignment horizontal="center"/>
    </xf>
    <xf numFmtId="9" fontId="62" fillId="0" borderId="0" xfId="41" applyNumberFormat="1" applyFont="1" applyFill="1" applyBorder="1" applyAlignment="1">
      <alignment horizontal="center"/>
    </xf>
    <xf numFmtId="9" fontId="62" fillId="0" borderId="25" xfId="41" applyNumberFormat="1" applyFont="1" applyFill="1" applyBorder="1" applyAlignment="1">
      <alignment horizontal="center"/>
    </xf>
    <xf numFmtId="9" fontId="62" fillId="0" borderId="11" xfId="41" applyNumberFormat="1" applyFont="1" applyFill="1" applyBorder="1" applyAlignment="1">
      <alignment horizontal="center"/>
    </xf>
    <xf numFmtId="0" fontId="14" fillId="0" borderId="34" xfId="41" applyFill="1" applyBorder="1"/>
    <xf numFmtId="3" fontId="14" fillId="0" borderId="38" xfId="41" applyNumberFormat="1" applyFill="1" applyBorder="1"/>
    <xf numFmtId="9" fontId="56" fillId="0" borderId="36" xfId="41" applyNumberFormat="1" applyFont="1" applyFill="1" applyBorder="1" applyAlignment="1">
      <alignment horizontal="center"/>
    </xf>
    <xf numFmtId="9" fontId="56" fillId="0" borderId="38" xfId="41" applyNumberFormat="1" applyFont="1" applyFill="1" applyBorder="1" applyAlignment="1">
      <alignment horizontal="center"/>
    </xf>
    <xf numFmtId="9" fontId="56" fillId="0" borderId="37" xfId="41" applyNumberFormat="1" applyFont="1" applyFill="1" applyBorder="1" applyAlignment="1">
      <alignment horizontal="center"/>
    </xf>
    <xf numFmtId="9" fontId="56" fillId="0" borderId="51" xfId="41" applyNumberFormat="1" applyFont="1" applyFill="1" applyBorder="1" applyAlignment="1">
      <alignment horizontal="center"/>
    </xf>
    <xf numFmtId="9" fontId="32" fillId="0" borderId="9" xfId="41" applyNumberFormat="1" applyFont="1" applyFill="1" applyBorder="1"/>
    <xf numFmtId="9" fontId="32" fillId="0" borderId="0" xfId="41" applyNumberFormat="1" applyFont="1" applyFill="1" applyBorder="1"/>
    <xf numFmtId="0" fontId="31" fillId="0" borderId="10" xfId="49" applyFont="1" applyBorder="1" applyAlignment="1">
      <alignment horizontal="center" vertical="justify"/>
    </xf>
    <xf numFmtId="172" fontId="62" fillId="0" borderId="0" xfId="41" applyNumberFormat="1" applyFont="1" applyFill="1" applyBorder="1"/>
    <xf numFmtId="0" fontId="14" fillId="0" borderId="79" xfId="49" applyBorder="1" applyAlignment="1">
      <alignment horizontal="center" vertical="center"/>
    </xf>
    <xf numFmtId="178" fontId="14" fillId="0" borderId="0" xfId="52" applyNumberFormat="1" applyFont="1"/>
    <xf numFmtId="9" fontId="35" fillId="0" borderId="11" xfId="49" applyNumberFormat="1" applyFont="1" applyBorder="1" applyAlignment="1">
      <alignment horizontal="center"/>
    </xf>
    <xf numFmtId="172" fontId="61" fillId="0" borderId="9" xfId="49" applyNumberFormat="1" applyFont="1" applyBorder="1" applyAlignment="1">
      <alignment horizontal="center"/>
    </xf>
    <xf numFmtId="172" fontId="67" fillId="0" borderId="0" xfId="41" applyNumberFormat="1" applyFont="1" applyFill="1" applyBorder="1" applyAlignment="1">
      <alignment horizontal="center" vertical="center" wrapText="1"/>
    </xf>
    <xf numFmtId="172" fontId="84" fillId="0" borderId="0" xfId="49" applyNumberFormat="1" applyFont="1" applyBorder="1" applyAlignment="1">
      <alignment horizontal="center"/>
    </xf>
    <xf numFmtId="0" fontId="64" fillId="0" borderId="86" xfId="41" applyFont="1" applyFill="1" applyBorder="1" applyAlignment="1">
      <alignment horizontal="center" vertical="center" wrapText="1"/>
    </xf>
    <xf numFmtId="172" fontId="70" fillId="0" borderId="11" xfId="41" applyNumberFormat="1" applyFont="1" applyFill="1" applyBorder="1"/>
    <xf numFmtId="0" fontId="67" fillId="0" borderId="11" xfId="41" applyFont="1" applyFill="1" applyBorder="1" applyAlignment="1">
      <alignment horizontal="center" vertical="center" wrapText="1"/>
    </xf>
    <xf numFmtId="0" fontId="14" fillId="0" borderId="13" xfId="41" applyFont="1" applyFill="1" applyBorder="1" applyAlignment="1">
      <alignment horizontal="center"/>
    </xf>
    <xf numFmtId="172" fontId="32" fillId="0" borderId="11" xfId="41" applyNumberFormat="1" applyFont="1" applyFill="1" applyBorder="1" applyAlignment="1">
      <alignment horizontal="center"/>
    </xf>
    <xf numFmtId="9" fontId="70" fillId="0" borderId="11" xfId="41" applyNumberFormat="1" applyFont="1" applyFill="1" applyBorder="1" applyAlignment="1">
      <alignment horizontal="center"/>
    </xf>
    <xf numFmtId="172" fontId="71" fillId="0" borderId="11" xfId="41" applyNumberFormat="1" applyFont="1" applyFill="1" applyBorder="1" applyAlignment="1">
      <alignment horizontal="center"/>
    </xf>
    <xf numFmtId="172" fontId="62" fillId="0" borderId="11" xfId="41" applyNumberFormat="1" applyFont="1" applyFill="1" applyBorder="1" applyAlignment="1">
      <alignment horizontal="center"/>
    </xf>
    <xf numFmtId="9" fontId="67" fillId="0" borderId="51" xfId="41" applyNumberFormat="1" applyFont="1" applyFill="1" applyBorder="1" applyAlignment="1">
      <alignment horizontal="center"/>
    </xf>
    <xf numFmtId="9" fontId="14" fillId="0" borderId="77" xfId="49" applyNumberFormat="1" applyBorder="1" applyAlignment="1">
      <alignment horizontal="center"/>
    </xf>
    <xf numFmtId="3" fontId="14" fillId="0" borderId="9" xfId="49" applyNumberFormat="1" applyBorder="1"/>
    <xf numFmtId="3" fontId="14" fillId="0" borderId="35" xfId="49" applyNumberFormat="1" applyBorder="1"/>
    <xf numFmtId="172" fontId="14" fillId="0" borderId="78" xfId="49" applyNumberFormat="1" applyFont="1" applyBorder="1" applyAlignment="1">
      <alignment horizontal="center"/>
    </xf>
    <xf numFmtId="9" fontId="61" fillId="0" borderId="0" xfId="49" applyNumberFormat="1" applyFont="1" applyBorder="1" applyAlignment="1">
      <alignment horizontal="center"/>
    </xf>
    <xf numFmtId="9" fontId="35" fillId="0" borderId="38" xfId="49" applyNumberFormat="1" applyFont="1" applyBorder="1" applyAlignment="1">
      <alignment horizontal="center"/>
    </xf>
    <xf numFmtId="9" fontId="35" fillId="0" borderId="51" xfId="49" applyNumberFormat="1" applyFont="1" applyBorder="1" applyAlignment="1">
      <alignment horizontal="center"/>
    </xf>
    <xf numFmtId="0" fontId="64" fillId="0" borderId="0" xfId="41" applyFont="1" applyFill="1" applyBorder="1" applyAlignment="1">
      <alignment horizontal="center" vertical="center" wrapText="1"/>
    </xf>
    <xf numFmtId="0" fontId="73" fillId="0" borderId="0" xfId="0" applyFont="1" applyBorder="1" applyAlignment="1">
      <alignment horizontal="center" vertical="center" wrapText="1"/>
    </xf>
    <xf numFmtId="0" fontId="87" fillId="0" borderId="0" xfId="49" applyFont="1"/>
    <xf numFmtId="9" fontId="86" fillId="0" borderId="38" xfId="49" applyNumberFormat="1" applyFont="1" applyBorder="1" applyAlignment="1">
      <alignment horizontal="center"/>
    </xf>
    <xf numFmtId="9" fontId="86" fillId="0" borderId="51" xfId="49" applyNumberFormat="1" applyFont="1" applyBorder="1" applyAlignment="1">
      <alignment horizontal="center"/>
    </xf>
    <xf numFmtId="9" fontId="86" fillId="0" borderId="0" xfId="49" applyNumberFormat="1" applyFont="1" applyBorder="1" applyAlignment="1">
      <alignment horizontal="center" vertical="center" wrapText="1"/>
    </xf>
    <xf numFmtId="9" fontId="86" fillId="0" borderId="11" xfId="49" applyNumberFormat="1" applyFont="1" applyBorder="1" applyAlignment="1">
      <alignment horizontal="center" vertical="center" wrapText="1"/>
    </xf>
    <xf numFmtId="9" fontId="86" fillId="0" borderId="0" xfId="49" applyNumberFormat="1" applyFont="1" applyBorder="1" applyAlignment="1">
      <alignment horizontal="center"/>
    </xf>
    <xf numFmtId="9" fontId="86" fillId="0" borderId="11" xfId="49" applyNumberFormat="1" applyFont="1" applyBorder="1" applyAlignment="1">
      <alignment horizontal="center"/>
    </xf>
    <xf numFmtId="0" fontId="65" fillId="0" borderId="10" xfId="41" applyFont="1" applyFill="1" applyBorder="1" applyAlignment="1">
      <alignment horizontal="center" vertical="center" wrapText="1"/>
    </xf>
    <xf numFmtId="2" fontId="14" fillId="0" borderId="0" xfId="41" applyNumberFormat="1"/>
    <xf numFmtId="9" fontId="35" fillId="0" borderId="0" xfId="49" applyNumberFormat="1" applyFont="1" applyFill="1" applyBorder="1" applyAlignment="1">
      <alignment horizontal="center"/>
    </xf>
    <xf numFmtId="173" fontId="14" fillId="0" borderId="0" xfId="52" applyNumberFormat="1" applyFont="1"/>
    <xf numFmtId="0" fontId="0" fillId="0" borderId="0" xfId="41" applyFont="1"/>
    <xf numFmtId="172" fontId="68" fillId="0" borderId="0" xfId="49" applyNumberFormat="1" applyFont="1" applyFill="1" applyBorder="1" applyAlignment="1">
      <alignment horizontal="center"/>
    </xf>
    <xf numFmtId="0" fontId="45" fillId="0" borderId="0" xfId="41" applyFont="1" applyFill="1" applyBorder="1"/>
    <xf numFmtId="2" fontId="14" fillId="0" borderId="0" xfId="41" applyNumberFormat="1" applyFill="1"/>
    <xf numFmtId="0" fontId="14" fillId="0" borderId="0" xfId="38"/>
    <xf numFmtId="0" fontId="31" fillId="0" borderId="0" xfId="38" applyFont="1"/>
    <xf numFmtId="3" fontId="14" fillId="0" borderId="0" xfId="38" applyNumberFormat="1"/>
    <xf numFmtId="0" fontId="32" fillId="0" borderId="10" xfId="38" applyFont="1" applyBorder="1" applyAlignment="1">
      <alignment horizontal="center" vertical="center"/>
    </xf>
    <xf numFmtId="0" fontId="32" fillId="0" borderId="0" xfId="38" applyFont="1" applyBorder="1" applyAlignment="1">
      <alignment horizontal="center" vertical="center"/>
    </xf>
    <xf numFmtId="0" fontId="14" fillId="0" borderId="0" xfId="38" applyBorder="1"/>
    <xf numFmtId="0" fontId="14" fillId="0" borderId="11" xfId="38" applyBorder="1"/>
    <xf numFmtId="0" fontId="14" fillId="0" borderId="10" xfId="38" applyBorder="1"/>
    <xf numFmtId="0" fontId="14" fillId="0" borderId="0" xfId="38" applyBorder="1" applyAlignment="1">
      <alignment horizontal="center"/>
    </xf>
    <xf numFmtId="0" fontId="14" fillId="0" borderId="0" xfId="38" applyAlignment="1">
      <alignment horizontal="center"/>
    </xf>
    <xf numFmtId="0" fontId="14" fillId="0" borderId="0" xfId="38" applyFont="1" applyBorder="1" applyAlignment="1">
      <alignment horizontal="center"/>
    </xf>
    <xf numFmtId="0" fontId="14" fillId="0" borderId="87" xfId="38" applyFill="1" applyBorder="1" applyAlignment="1">
      <alignment horizontal="center"/>
    </xf>
    <xf numFmtId="0" fontId="14" fillId="0" borderId="88" xfId="38" applyBorder="1"/>
    <xf numFmtId="0" fontId="14" fillId="0" borderId="89" xfId="38" applyBorder="1"/>
    <xf numFmtId="0" fontId="14" fillId="0" borderId="10" xfId="38" applyBorder="1" applyAlignment="1">
      <alignment horizontal="center" vertical="center" wrapText="1"/>
    </xf>
    <xf numFmtId="0" fontId="31" fillId="0" borderId="46" xfId="38" applyFont="1" applyBorder="1" applyAlignment="1">
      <alignment horizontal="center" vertical="center" wrapText="1"/>
    </xf>
    <xf numFmtId="0" fontId="31" fillId="0" borderId="66" xfId="38" applyFont="1" applyBorder="1" applyAlignment="1">
      <alignment horizontal="center" vertical="center" wrapText="1"/>
    </xf>
    <xf numFmtId="0" fontId="35" fillId="0" borderId="15" xfId="38" applyFont="1" applyBorder="1" applyAlignment="1">
      <alignment horizontal="center" vertical="center" wrapText="1"/>
    </xf>
    <xf numFmtId="0" fontId="31" fillId="0" borderId="14" xfId="38" applyFont="1" applyBorder="1" applyAlignment="1">
      <alignment horizontal="center" vertical="center" wrapText="1"/>
    </xf>
    <xf numFmtId="0" fontId="14" fillId="0" borderId="66" xfId="38" applyFont="1" applyBorder="1" applyAlignment="1">
      <alignment horizontal="center" vertical="center" wrapText="1"/>
    </xf>
    <xf numFmtId="0" fontId="14" fillId="0" borderId="90" xfId="38" applyFont="1" applyBorder="1" applyAlignment="1">
      <alignment horizontal="center" vertical="center" wrapText="1"/>
    </xf>
    <xf numFmtId="0" fontId="31" fillId="0" borderId="9" xfId="38" applyFont="1" applyBorder="1" applyAlignment="1">
      <alignment horizontal="center" vertical="center" wrapText="1"/>
    </xf>
    <xf numFmtId="0" fontId="35" fillId="0" borderId="0" xfId="38" applyFont="1" applyBorder="1" applyAlignment="1">
      <alignment horizontal="center" vertical="center" wrapText="1"/>
    </xf>
    <xf numFmtId="0" fontId="31" fillId="0" borderId="0" xfId="38" applyFont="1" applyBorder="1" applyAlignment="1">
      <alignment horizontal="center" vertical="center" wrapText="1"/>
    </xf>
    <xf numFmtId="0" fontId="31" fillId="0" borderId="91" xfId="38" applyFont="1" applyBorder="1" applyAlignment="1">
      <alignment horizontal="center" vertical="center" wrapText="1"/>
    </xf>
    <xf numFmtId="0" fontId="14" fillId="0" borderId="10" xfId="38" applyFont="1" applyBorder="1" applyAlignment="1">
      <alignment horizontal="center"/>
    </xf>
    <xf numFmtId="9" fontId="31" fillId="0" borderId="47" xfId="54" applyFont="1" applyBorder="1" applyAlignment="1">
      <alignment horizontal="center"/>
    </xf>
    <xf numFmtId="9" fontId="31" fillId="0" borderId="0" xfId="54" applyFont="1" applyBorder="1" applyAlignment="1">
      <alignment horizontal="center"/>
    </xf>
    <xf numFmtId="9" fontId="31" fillId="0" borderId="9" xfId="54" applyFont="1" applyBorder="1" applyAlignment="1">
      <alignment horizontal="center"/>
    </xf>
    <xf numFmtId="9" fontId="14" fillId="0" borderId="25" xfId="54" applyFont="1" applyBorder="1" applyAlignment="1">
      <alignment horizontal="center"/>
    </xf>
    <xf numFmtId="9" fontId="14" fillId="0" borderId="91" xfId="54" applyFont="1" applyBorder="1" applyAlignment="1">
      <alignment horizontal="center"/>
    </xf>
    <xf numFmtId="9" fontId="14" fillId="0" borderId="0" xfId="38" applyNumberFormat="1"/>
    <xf numFmtId="0" fontId="14" fillId="0" borderId="10" xfId="38" applyFont="1" applyBorder="1" applyAlignment="1">
      <alignment horizontal="center" vertical="center" wrapText="1"/>
    </xf>
    <xf numFmtId="9" fontId="31" fillId="0" borderId="0" xfId="54" applyFont="1" applyFill="1" applyBorder="1" applyAlignment="1">
      <alignment horizontal="center"/>
    </xf>
    <xf numFmtId="0" fontId="14" fillId="0" borderId="23" xfId="38" applyFont="1" applyBorder="1" applyAlignment="1">
      <alignment horizontal="center" vertical="center" wrapText="1"/>
    </xf>
    <xf numFmtId="0" fontId="14" fillId="0" borderId="18" xfId="38" applyFont="1" applyBorder="1" applyAlignment="1">
      <alignment horizontal="center" vertical="center" wrapText="1"/>
    </xf>
    <xf numFmtId="9" fontId="31" fillId="0" borderId="48" xfId="54" applyFont="1" applyBorder="1" applyAlignment="1">
      <alignment horizontal="center"/>
    </xf>
    <xf numFmtId="9" fontId="31" fillId="0" borderId="20" xfId="54" applyFont="1" applyFill="1" applyBorder="1" applyAlignment="1">
      <alignment horizontal="center"/>
    </xf>
    <xf numFmtId="9" fontId="31" fillId="0" borderId="19" xfId="54" applyFont="1" applyBorder="1" applyAlignment="1">
      <alignment horizontal="center"/>
    </xf>
    <xf numFmtId="9" fontId="14" fillId="0" borderId="27" xfId="54" applyFont="1" applyBorder="1" applyAlignment="1">
      <alignment horizontal="center"/>
    </xf>
    <xf numFmtId="9" fontId="14" fillId="0" borderId="92" xfId="54" applyFont="1" applyBorder="1" applyAlignment="1">
      <alignment horizontal="center"/>
    </xf>
    <xf numFmtId="0" fontId="48" fillId="0" borderId="0" xfId="38" applyFont="1" applyBorder="1" applyAlignment="1">
      <alignment vertical="center" wrapText="1"/>
    </xf>
    <xf numFmtId="0" fontId="35" fillId="0" borderId="0" xfId="38" applyFont="1"/>
    <xf numFmtId="0" fontId="14" fillId="0" borderId="23" xfId="38" applyFont="1" applyBorder="1" applyAlignment="1">
      <alignment horizontal="center"/>
    </xf>
    <xf numFmtId="9" fontId="31" fillId="0" borderId="49" xfId="54" applyFont="1" applyBorder="1" applyAlignment="1">
      <alignment horizontal="center"/>
    </xf>
    <xf numFmtId="9" fontId="31" fillId="0" borderId="32" xfId="54" applyFont="1" applyFill="1" applyBorder="1" applyAlignment="1">
      <alignment horizontal="center"/>
    </xf>
    <xf numFmtId="9" fontId="31" fillId="0" borderId="29" xfId="54" applyFont="1" applyBorder="1" applyAlignment="1">
      <alignment horizontal="center"/>
    </xf>
    <xf numFmtId="9" fontId="14" fillId="0" borderId="30" xfId="54" applyFont="1" applyBorder="1" applyAlignment="1">
      <alignment horizontal="center"/>
    </xf>
    <xf numFmtId="9" fontId="14" fillId="0" borderId="93" xfId="54" applyFont="1" applyBorder="1" applyAlignment="1">
      <alignment horizontal="center"/>
    </xf>
    <xf numFmtId="0" fontId="14" fillId="0" borderId="34" xfId="38" applyFont="1" applyBorder="1" applyAlignment="1">
      <alignment horizontal="center"/>
    </xf>
    <xf numFmtId="9" fontId="31" fillId="0" borderId="50" xfId="54" applyFont="1" applyBorder="1" applyAlignment="1">
      <alignment horizontal="center"/>
    </xf>
    <xf numFmtId="9" fontId="31" fillId="0" borderId="38" xfId="54" applyFont="1" applyFill="1" applyBorder="1" applyAlignment="1">
      <alignment horizontal="center"/>
    </xf>
    <xf numFmtId="9" fontId="14" fillId="0" borderId="36" xfId="54" applyFont="1" applyBorder="1" applyAlignment="1">
      <alignment horizontal="center"/>
    </xf>
    <xf numFmtId="9" fontId="14" fillId="0" borderId="94" xfId="54" applyFont="1" applyBorder="1" applyAlignment="1">
      <alignment horizontal="center"/>
    </xf>
    <xf numFmtId="0" fontId="14" fillId="0" borderId="9" xfId="38" applyBorder="1" applyAlignment="1">
      <alignment vertical="center" wrapText="1"/>
    </xf>
    <xf numFmtId="0" fontId="14" fillId="0" borderId="0" xfId="38" applyBorder="1" applyAlignment="1">
      <alignment vertical="center" wrapText="1"/>
    </xf>
    <xf numFmtId="10" fontId="44" fillId="0" borderId="0" xfId="41" applyNumberFormat="1" applyFont="1" applyFill="1" applyBorder="1" applyAlignment="1">
      <alignment horizontal="center"/>
    </xf>
    <xf numFmtId="0" fontId="74" fillId="0" borderId="0" xfId="49" applyFont="1" applyBorder="1" applyAlignment="1">
      <alignment horizontal="center" vertical="center" wrapText="1"/>
    </xf>
    <xf numFmtId="0" fontId="74" fillId="0" borderId="11" xfId="49" applyFont="1" applyBorder="1" applyAlignment="1">
      <alignment horizontal="center" vertical="center" wrapText="1"/>
    </xf>
    <xf numFmtId="0" fontId="14" fillId="0" borderId="23" xfId="49" applyFont="1" applyBorder="1" applyAlignment="1">
      <alignment horizontal="center" vertical="center" wrapText="1"/>
    </xf>
    <xf numFmtId="175" fontId="14" fillId="0" borderId="33" xfId="49" applyNumberFormat="1" applyFont="1" applyBorder="1" applyAlignment="1">
      <alignment horizontal="center" vertical="center" wrapText="1"/>
    </xf>
    <xf numFmtId="3" fontId="31" fillId="0" borderId="30" xfId="49" applyNumberFormat="1" applyFont="1" applyBorder="1" applyAlignment="1">
      <alignment horizontal="center" vertical="center" wrapText="1"/>
    </xf>
    <xf numFmtId="3" fontId="31" fillId="0" borderId="31" xfId="49" applyNumberFormat="1" applyFont="1" applyBorder="1" applyAlignment="1">
      <alignment horizontal="center" vertical="center" wrapText="1"/>
    </xf>
    <xf numFmtId="3" fontId="14" fillId="0" borderId="32" xfId="49" applyNumberFormat="1" applyFont="1" applyBorder="1" applyAlignment="1">
      <alignment horizontal="center" vertical="center" wrapText="1"/>
    </xf>
    <xf numFmtId="0" fontId="47" fillId="0" borderId="32" xfId="49" applyFont="1" applyBorder="1" applyAlignment="1">
      <alignment horizontal="center" vertical="center" wrapText="1"/>
    </xf>
    <xf numFmtId="0" fontId="45" fillId="0" borderId="32" xfId="49" applyFont="1" applyFill="1" applyBorder="1" applyAlignment="1">
      <alignment horizontal="center" vertical="center" wrapText="1"/>
    </xf>
    <xf numFmtId="3" fontId="28" fillId="0" borderId="32" xfId="0" applyNumberFormat="1" applyFont="1" applyBorder="1" applyAlignment="1">
      <alignment horizontal="center" vertical="center"/>
    </xf>
    <xf numFmtId="3" fontId="28" fillId="0" borderId="95" xfId="0" applyNumberFormat="1" applyFont="1" applyBorder="1" applyAlignment="1">
      <alignment horizontal="center" vertical="center"/>
    </xf>
    <xf numFmtId="0" fontId="26" fillId="0" borderId="12" xfId="0" applyFont="1" applyFill="1" applyBorder="1" applyAlignment="1">
      <alignment horizontal="center"/>
    </xf>
    <xf numFmtId="0" fontId="26" fillId="0" borderId="13" xfId="0" applyFont="1" applyFill="1" applyBorder="1" applyAlignment="1">
      <alignment horizontal="center"/>
    </xf>
    <xf numFmtId="175" fontId="14" fillId="0" borderId="33" xfId="49" applyNumberFormat="1" applyBorder="1" applyAlignment="1">
      <alignment horizontal="center" vertical="center"/>
    </xf>
    <xf numFmtId="3" fontId="28" fillId="0" borderId="32" xfId="49" applyNumberFormat="1" applyFont="1" applyBorder="1" applyAlignment="1">
      <alignment horizontal="center"/>
    </xf>
    <xf numFmtId="3" fontId="28" fillId="0" borderId="95" xfId="49" applyNumberFormat="1" applyFont="1" applyBorder="1" applyAlignment="1">
      <alignment horizontal="center"/>
    </xf>
    <xf numFmtId="0" fontId="44" fillId="0" borderId="0" xfId="49" applyFont="1" applyBorder="1" applyAlignment="1">
      <alignment horizontal="center" vertical="center" wrapText="1"/>
    </xf>
    <xf numFmtId="0" fontId="44" fillId="0" borderId="32" xfId="49" applyFont="1" applyBorder="1" applyAlignment="1">
      <alignment horizontal="center" vertical="center" wrapText="1"/>
    </xf>
    <xf numFmtId="9" fontId="31" fillId="0" borderId="0" xfId="49" applyNumberFormat="1" applyFont="1" applyBorder="1" applyAlignment="1">
      <alignment horizontal="center" vertical="center"/>
    </xf>
    <xf numFmtId="9" fontId="31" fillId="0" borderId="32" xfId="49" applyNumberFormat="1" applyFont="1" applyBorder="1" applyAlignment="1">
      <alignment horizontal="center" vertical="center"/>
    </xf>
    <xf numFmtId="9" fontId="31" fillId="0" borderId="20" xfId="49" applyNumberFormat="1" applyFont="1" applyBorder="1" applyAlignment="1">
      <alignment horizontal="center" vertical="center"/>
    </xf>
    <xf numFmtId="9" fontId="31" fillId="0" borderId="38" xfId="49" applyNumberFormat="1" applyFont="1" applyBorder="1" applyAlignment="1">
      <alignment horizontal="center" vertical="center"/>
    </xf>
    <xf numFmtId="3" fontId="28" fillId="0" borderId="25" xfId="0" applyNumberFormat="1" applyFont="1" applyBorder="1" applyAlignment="1">
      <alignment horizontal="center" vertical="center"/>
    </xf>
    <xf numFmtId="3" fontId="28" fillId="0" borderId="30" xfId="0" applyNumberFormat="1" applyFont="1" applyBorder="1" applyAlignment="1">
      <alignment horizontal="center" vertical="center"/>
    </xf>
    <xf numFmtId="3" fontId="28" fillId="0" borderId="25" xfId="0" applyNumberFormat="1" applyFont="1" applyBorder="1" applyAlignment="1">
      <alignment horizontal="center" vertical="center" wrapText="1"/>
    </xf>
    <xf numFmtId="3" fontId="27" fillId="0" borderId="25" xfId="0" applyNumberFormat="1" applyFont="1" applyBorder="1" applyAlignment="1">
      <alignment horizontal="center" vertical="center"/>
    </xf>
    <xf numFmtId="3" fontId="28" fillId="0" borderId="25" xfId="49" applyNumberFormat="1" applyFont="1" applyBorder="1" applyAlignment="1">
      <alignment horizontal="center"/>
    </xf>
    <xf numFmtId="3" fontId="28" fillId="0" borderId="30" xfId="49" applyNumberFormat="1" applyFont="1" applyBorder="1" applyAlignment="1">
      <alignment horizontal="center"/>
    </xf>
    <xf numFmtId="0" fontId="14" fillId="0" borderId="23" xfId="49" applyBorder="1" applyAlignment="1">
      <alignment horizontal="center" vertical="center"/>
    </xf>
    <xf numFmtId="3" fontId="14" fillId="0" borderId="95" xfId="49" applyNumberFormat="1" applyBorder="1" applyAlignment="1">
      <alignment horizontal="center"/>
    </xf>
    <xf numFmtId="3" fontId="31" fillId="0" borderId="66" xfId="49" applyNumberFormat="1" applyFont="1" applyBorder="1" applyAlignment="1">
      <alignment horizontal="center" vertical="center"/>
    </xf>
    <xf numFmtId="3" fontId="31" fillId="0" borderId="81" xfId="49" applyNumberFormat="1" applyFont="1" applyBorder="1" applyAlignment="1">
      <alignment horizontal="center" vertical="center"/>
    </xf>
    <xf numFmtId="3" fontId="14" fillId="0" borderId="15" xfId="49" applyNumberFormat="1" applyFont="1" applyBorder="1" applyAlignment="1">
      <alignment horizontal="center" vertical="center"/>
    </xf>
    <xf numFmtId="9" fontId="31" fillId="0" borderId="33" xfId="49" applyNumberFormat="1" applyFont="1" applyBorder="1" applyAlignment="1">
      <alignment horizontal="center" vertical="center" wrapText="1"/>
    </xf>
    <xf numFmtId="4" fontId="14" fillId="0" borderId="0" xfId="49" applyNumberFormat="1" applyBorder="1" applyAlignment="1">
      <alignment horizontal="center" vertical="center" wrapText="1"/>
    </xf>
    <xf numFmtId="4" fontId="14" fillId="0" borderId="29" xfId="49" applyNumberFormat="1" applyFont="1" applyBorder="1" applyAlignment="1">
      <alignment horizontal="center" vertical="center"/>
    </xf>
    <xf numFmtId="4" fontId="14" fillId="0" borderId="32" xfId="49" applyNumberFormat="1" applyBorder="1" applyAlignment="1">
      <alignment horizontal="center" vertical="center" wrapText="1"/>
    </xf>
    <xf numFmtId="175" fontId="14" fillId="0" borderId="0" xfId="49" applyNumberFormat="1" applyBorder="1" applyAlignment="1">
      <alignment horizontal="center" vertical="center" wrapText="1"/>
    </xf>
    <xf numFmtId="175" fontId="14" fillId="0" borderId="29" xfId="49" applyNumberFormat="1" applyFont="1" applyBorder="1" applyAlignment="1">
      <alignment horizontal="center" vertical="center"/>
    </xf>
    <xf numFmtId="175" fontId="14" fillId="0" borderId="32" xfId="49" applyNumberFormat="1" applyBorder="1" applyAlignment="1">
      <alignment horizontal="center" vertical="center" wrapText="1"/>
    </xf>
    <xf numFmtId="175" fontId="14" fillId="0" borderId="14" xfId="49" applyNumberFormat="1" applyFont="1" applyBorder="1" applyAlignment="1">
      <alignment horizontal="center" vertical="center"/>
    </xf>
    <xf numFmtId="4" fontId="14" fillId="0" borderId="17" xfId="49" applyNumberFormat="1" applyFont="1" applyBorder="1" applyAlignment="1">
      <alignment horizontal="center" vertical="center"/>
    </xf>
    <xf numFmtId="175" fontId="14" fillId="0" borderId="39" xfId="49" applyNumberFormat="1" applyBorder="1" applyAlignment="1">
      <alignment horizontal="center" vertical="center"/>
    </xf>
    <xf numFmtId="3" fontId="14" fillId="0" borderId="81" xfId="49" applyNumberFormat="1" applyFont="1" applyBorder="1" applyAlignment="1">
      <alignment horizontal="center" vertical="center"/>
    </xf>
    <xf numFmtId="3" fontId="14" fillId="0" borderId="26" xfId="49" applyNumberFormat="1" applyFont="1" applyBorder="1" applyAlignment="1">
      <alignment horizontal="center" vertical="center"/>
    </xf>
    <xf numFmtId="3" fontId="14" fillId="0" borderId="31" xfId="49" applyNumberFormat="1" applyFont="1" applyBorder="1" applyAlignment="1">
      <alignment horizontal="center" vertical="center"/>
    </xf>
    <xf numFmtId="3" fontId="14" fillId="0" borderId="37" xfId="49" applyNumberFormat="1" applyBorder="1" applyAlignment="1">
      <alignment horizontal="center" vertical="center"/>
    </xf>
    <xf numFmtId="4" fontId="14" fillId="0" borderId="33" xfId="49" applyNumberFormat="1" applyFont="1" applyBorder="1" applyAlignment="1">
      <alignment horizontal="center" vertical="center"/>
    </xf>
    <xf numFmtId="175" fontId="14" fillId="0" borderId="32" xfId="49" applyNumberFormat="1" applyBorder="1" applyAlignment="1">
      <alignment horizontal="center" vertical="center"/>
    </xf>
    <xf numFmtId="3" fontId="14" fillId="0" borderId="0" xfId="49" applyNumberFormat="1" applyFill="1" applyBorder="1" applyAlignment="1">
      <alignment horizontal="center" vertical="center"/>
    </xf>
    <xf numFmtId="3" fontId="14" fillId="0" borderId="32" xfId="49" applyNumberFormat="1" applyFill="1" applyBorder="1" applyAlignment="1">
      <alignment horizontal="center" vertical="center"/>
    </xf>
    <xf numFmtId="3" fontId="14" fillId="0" borderId="38" xfId="49" applyNumberFormat="1" applyFill="1" applyBorder="1" applyAlignment="1">
      <alignment horizontal="center" vertical="center"/>
    </xf>
    <xf numFmtId="0" fontId="14" fillId="0" borderId="12" xfId="41" applyFont="1" applyFill="1" applyBorder="1" applyAlignment="1">
      <alignment horizontal="center"/>
    </xf>
    <xf numFmtId="3" fontId="70" fillId="0" borderId="0" xfId="41" applyNumberFormat="1" applyFont="1" applyFill="1" applyBorder="1"/>
    <xf numFmtId="172" fontId="67" fillId="0" borderId="26" xfId="41" applyNumberFormat="1" applyFont="1" applyFill="1" applyBorder="1" applyAlignment="1">
      <alignment horizontal="center"/>
    </xf>
    <xf numFmtId="3" fontId="14" fillId="0" borderId="37" xfId="41" applyNumberFormat="1" applyBorder="1"/>
    <xf numFmtId="3" fontId="85" fillId="0" borderId="0" xfId="41" applyNumberFormat="1" applyFont="1" applyFill="1" applyBorder="1"/>
    <xf numFmtId="0" fontId="85" fillId="0" borderId="0" xfId="41" applyFont="1" applyFill="1" applyBorder="1" applyAlignment="1">
      <alignment horizontal="center" vertical="center" wrapText="1"/>
    </xf>
    <xf numFmtId="172" fontId="85" fillId="0" borderId="0" xfId="41" applyNumberFormat="1" applyFont="1" applyFill="1" applyBorder="1" applyAlignment="1">
      <alignment horizontal="center"/>
    </xf>
    <xf numFmtId="172" fontId="68" fillId="0" borderId="25" xfId="49" applyNumberFormat="1" applyFont="1" applyBorder="1" applyAlignment="1">
      <alignment horizontal="center"/>
    </xf>
    <xf numFmtId="172" fontId="32" fillId="0" borderId="26" xfId="41" applyNumberFormat="1" applyFont="1" applyFill="1" applyBorder="1" applyAlignment="1">
      <alignment horizontal="center" vertical="center" wrapText="1"/>
    </xf>
    <xf numFmtId="0" fontId="45" fillId="0" borderId="25" xfId="41" applyFont="1" applyBorder="1"/>
    <xf numFmtId="172" fontId="69" fillId="0" borderId="25" xfId="41" applyNumberFormat="1" applyFont="1" applyFill="1" applyBorder="1" applyAlignment="1">
      <alignment horizontal="center"/>
    </xf>
    <xf numFmtId="172" fontId="69" fillId="0" borderId="26" xfId="41" applyNumberFormat="1" applyFont="1" applyFill="1" applyBorder="1" applyAlignment="1">
      <alignment horizontal="center"/>
    </xf>
    <xf numFmtId="0" fontId="45" fillId="0" borderId="26" xfId="41" applyFont="1" applyBorder="1"/>
    <xf numFmtId="172" fontId="32" fillId="0" borderId="26" xfId="41" applyNumberFormat="1" applyFont="1" applyBorder="1" applyAlignment="1">
      <alignment horizontal="center"/>
    </xf>
    <xf numFmtId="0" fontId="45" fillId="0" borderId="25" xfId="41" applyFont="1" applyFill="1" applyBorder="1"/>
    <xf numFmtId="0" fontId="45" fillId="0" borderId="26" xfId="41" applyFont="1" applyFill="1" applyBorder="1"/>
    <xf numFmtId="172" fontId="70" fillId="0" borderId="25" xfId="41" applyNumberFormat="1" applyFont="1" applyFill="1" applyBorder="1" applyAlignment="1">
      <alignment horizontal="center"/>
    </xf>
    <xf numFmtId="172" fontId="70" fillId="0" borderId="26" xfId="41" applyNumberFormat="1" applyFont="1" applyFill="1" applyBorder="1" applyAlignment="1">
      <alignment horizontal="center"/>
    </xf>
    <xf numFmtId="0" fontId="14" fillId="0" borderId="36" xfId="41" applyBorder="1"/>
    <xf numFmtId="0" fontId="14" fillId="0" borderId="37" xfId="41" applyBorder="1"/>
    <xf numFmtId="3" fontId="14" fillId="0" borderId="28" xfId="49" applyNumberFormat="1" applyFont="1" applyBorder="1" applyAlignment="1">
      <alignment horizontal="center" vertical="center"/>
    </xf>
    <xf numFmtId="3" fontId="14" fillId="0" borderId="37" xfId="49" applyNumberFormat="1" applyFont="1" applyBorder="1" applyAlignment="1">
      <alignment horizontal="center" vertical="center"/>
    </xf>
    <xf numFmtId="175" fontId="14" fillId="0" borderId="16" xfId="49" applyNumberFormat="1" applyBorder="1" applyAlignment="1">
      <alignment horizontal="center" vertical="center"/>
    </xf>
    <xf numFmtId="175" fontId="14" fillId="0" borderId="21" xfId="49" applyNumberFormat="1" applyBorder="1" applyAlignment="1">
      <alignment horizontal="center" vertical="center"/>
    </xf>
    <xf numFmtId="172" fontId="14" fillId="0" borderId="0" xfId="41" applyNumberFormat="1" applyFill="1" applyAlignment="1">
      <alignment horizontal="center"/>
    </xf>
    <xf numFmtId="172" fontId="14" fillId="0" borderId="0" xfId="54" applyNumberFormat="1" applyFont="1" applyAlignment="1">
      <alignment horizontal="center"/>
    </xf>
    <xf numFmtId="172" fontId="14" fillId="0" borderId="0" xfId="41" applyNumberFormat="1" applyFont="1" applyAlignment="1">
      <alignment horizontal="center"/>
    </xf>
    <xf numFmtId="172" fontId="14" fillId="0" borderId="0" xfId="54" applyNumberFormat="1" applyFont="1" applyFill="1" applyAlignment="1">
      <alignment horizontal="center"/>
    </xf>
    <xf numFmtId="172" fontId="14" fillId="0" borderId="0" xfId="41" applyNumberFormat="1" applyFont="1" applyFill="1" applyAlignment="1">
      <alignment horizontal="center"/>
    </xf>
    <xf numFmtId="0" fontId="26" fillId="0" borderId="0" xfId="41" applyFont="1"/>
    <xf numFmtId="2" fontId="26" fillId="0" borderId="0" xfId="41" applyNumberFormat="1" applyFont="1"/>
    <xf numFmtId="10" fontId="14" fillId="0" borderId="0" xfId="54" applyNumberFormat="1" applyFont="1" applyAlignment="1">
      <alignment horizontal="center"/>
    </xf>
    <xf numFmtId="10" fontId="109" fillId="0" borderId="0" xfId="54" applyNumberFormat="1" applyFont="1" applyAlignment="1">
      <alignment horizontal="center"/>
    </xf>
    <xf numFmtId="172" fontId="14" fillId="0" borderId="0" xfId="52" applyNumberFormat="1" applyFont="1" applyFill="1" applyAlignment="1">
      <alignment horizontal="center"/>
    </xf>
    <xf numFmtId="172" fontId="14" fillId="0" borderId="0" xfId="52" applyNumberFormat="1" applyFont="1" applyAlignment="1">
      <alignment horizontal="center"/>
    </xf>
    <xf numFmtId="178" fontId="14" fillId="0" borderId="0" xfId="41" applyNumberFormat="1"/>
    <xf numFmtId="178" fontId="14" fillId="0" borderId="0" xfId="41" applyNumberFormat="1" applyAlignment="1">
      <alignment horizontal="right"/>
    </xf>
    <xf numFmtId="0" fontId="14" fillId="0" borderId="0" xfId="41" applyAlignment="1">
      <alignment horizontal="right"/>
    </xf>
    <xf numFmtId="0" fontId="14" fillId="0" borderId="0" xfId="41" applyFill="1" applyAlignment="1">
      <alignment horizontal="right"/>
    </xf>
    <xf numFmtId="0" fontId="64" fillId="0" borderId="96" xfId="41" applyFont="1" applyFill="1" applyBorder="1" applyAlignment="1">
      <alignment horizontal="center" vertical="center" wrapText="1"/>
    </xf>
    <xf numFmtId="0" fontId="62" fillId="0" borderId="97" xfId="41" applyFont="1" applyFill="1" applyBorder="1" applyAlignment="1">
      <alignment horizontal="center" vertical="center" wrapText="1"/>
    </xf>
    <xf numFmtId="172" fontId="68" fillId="0" borderId="97" xfId="49" applyNumberFormat="1" applyFont="1" applyBorder="1" applyAlignment="1">
      <alignment horizontal="center"/>
    </xf>
    <xf numFmtId="9" fontId="67" fillId="0" borderId="97" xfId="41" applyNumberFormat="1" applyFont="1" applyFill="1" applyBorder="1" applyAlignment="1">
      <alignment horizontal="center"/>
    </xf>
    <xf numFmtId="172" fontId="68" fillId="0" borderId="97" xfId="49" applyNumberFormat="1" applyFont="1" applyFill="1" applyBorder="1" applyAlignment="1">
      <alignment horizontal="center"/>
    </xf>
    <xf numFmtId="3" fontId="62" fillId="0" borderId="97" xfId="41" applyNumberFormat="1" applyFont="1" applyFill="1" applyBorder="1"/>
    <xf numFmtId="172" fontId="32" fillId="0" borderId="97" xfId="41" applyNumberFormat="1" applyFont="1" applyFill="1" applyBorder="1" applyAlignment="1">
      <alignment horizontal="center"/>
    </xf>
    <xf numFmtId="9" fontId="70" fillId="0" borderId="97" xfId="41" applyNumberFormat="1" applyFont="1" applyFill="1" applyBorder="1" applyAlignment="1">
      <alignment horizontal="center"/>
    </xf>
    <xf numFmtId="172" fontId="71" fillId="0" borderId="97" xfId="41" applyNumberFormat="1" applyFont="1" applyFill="1" applyBorder="1" applyAlignment="1">
      <alignment horizontal="center"/>
    </xf>
    <xf numFmtId="172" fontId="62" fillId="0" borderId="97" xfId="41" applyNumberFormat="1" applyFont="1" applyFill="1" applyBorder="1" applyAlignment="1">
      <alignment horizontal="center"/>
    </xf>
    <xf numFmtId="9" fontId="67" fillId="0" borderId="98" xfId="41" applyNumberFormat="1" applyFont="1" applyFill="1" applyBorder="1" applyAlignment="1">
      <alignment horizontal="center"/>
    </xf>
    <xf numFmtId="3" fontId="71" fillId="0" borderId="26" xfId="41" applyNumberFormat="1" applyFont="1" applyFill="1" applyBorder="1"/>
    <xf numFmtId="3" fontId="14" fillId="0" borderId="29" xfId="49" applyNumberFormat="1" applyBorder="1" applyAlignment="1">
      <alignment horizontal="center" vertical="center"/>
    </xf>
    <xf numFmtId="3" fontId="14" fillId="0" borderId="0" xfId="49" applyNumberFormat="1" applyBorder="1" applyAlignment="1">
      <alignment horizontal="center" vertical="center" wrapText="1"/>
    </xf>
    <xf numFmtId="3" fontId="14" fillId="0" borderId="32" xfId="49" applyNumberFormat="1" applyBorder="1" applyAlignment="1">
      <alignment horizontal="center" vertical="center" wrapText="1"/>
    </xf>
    <xf numFmtId="3" fontId="14" fillId="0" borderId="17" xfId="49" applyNumberFormat="1" applyFont="1" applyBorder="1" applyAlignment="1">
      <alignment horizontal="center" vertical="center"/>
    </xf>
    <xf numFmtId="3" fontId="14" fillId="0" borderId="33" xfId="49" applyNumberFormat="1" applyFont="1" applyBorder="1" applyAlignment="1">
      <alignment horizontal="center" vertical="center"/>
    </xf>
    <xf numFmtId="3" fontId="14" fillId="0" borderId="33" xfId="49" applyNumberFormat="1" applyBorder="1" applyAlignment="1">
      <alignment horizontal="center" vertical="center"/>
    </xf>
    <xf numFmtId="3" fontId="14" fillId="0" borderId="39" xfId="49" applyNumberFormat="1" applyBorder="1" applyAlignment="1">
      <alignment horizontal="center" vertical="center"/>
    </xf>
    <xf numFmtId="175" fontId="14" fillId="0" borderId="81" xfId="49" applyNumberFormat="1" applyFont="1" applyBorder="1" applyAlignment="1">
      <alignment horizontal="center" vertical="center"/>
    </xf>
    <xf numFmtId="175" fontId="14" fillId="0" borderId="26" xfId="49" applyNumberFormat="1" applyFont="1" applyBorder="1" applyAlignment="1">
      <alignment horizontal="center" vertical="center"/>
    </xf>
    <xf numFmtId="175" fontId="14" fillId="0" borderId="31" xfId="49" applyNumberFormat="1" applyFont="1" applyBorder="1" applyAlignment="1">
      <alignment horizontal="center" vertical="center"/>
    </xf>
    <xf numFmtId="0" fontId="14" fillId="0" borderId="0" xfId="41" applyAlignment="1">
      <alignment horizontal="center"/>
    </xf>
    <xf numFmtId="9" fontId="32" fillId="0" borderId="26" xfId="41" applyNumberFormat="1" applyFont="1" applyFill="1" applyBorder="1" applyAlignment="1">
      <alignment horizontal="center"/>
    </xf>
    <xf numFmtId="9" fontId="67" fillId="0" borderId="25" xfId="41" applyNumberFormat="1" applyFont="1" applyFill="1" applyBorder="1" applyAlignment="1">
      <alignment horizontal="center"/>
    </xf>
    <xf numFmtId="9" fontId="62" fillId="0" borderId="25" xfId="41" applyNumberFormat="1" applyFont="1" applyFill="1" applyBorder="1"/>
    <xf numFmtId="9" fontId="32" fillId="0" borderId="25" xfId="41" applyNumberFormat="1" applyFont="1" applyFill="1" applyBorder="1"/>
    <xf numFmtId="9" fontId="62" fillId="0" borderId="26" xfId="41" applyNumberFormat="1" applyFont="1" applyFill="1" applyBorder="1" applyAlignment="1">
      <alignment horizontal="center"/>
    </xf>
    <xf numFmtId="3" fontId="14" fillId="0" borderId="36" xfId="41" applyNumberFormat="1" applyFill="1" applyBorder="1"/>
    <xf numFmtId="0" fontId="14" fillId="0" borderId="0" xfId="42" applyFont="1" applyFill="1" applyBorder="1" applyAlignment="1">
      <alignment horizontal="center"/>
    </xf>
    <xf numFmtId="0" fontId="14" fillId="0" borderId="0" xfId="42" applyFont="1" applyAlignment="1">
      <alignment horizontal="center"/>
    </xf>
    <xf numFmtId="0" fontId="62" fillId="0" borderId="0" xfId="41" applyFont="1" applyFill="1" applyBorder="1"/>
    <xf numFmtId="0" fontId="62" fillId="0" borderId="0" xfId="41" applyFont="1" applyFill="1" applyBorder="1" applyAlignment="1">
      <alignment wrapText="1"/>
    </xf>
    <xf numFmtId="2" fontId="62" fillId="0" borderId="0" xfId="41" applyNumberFormat="1" applyFont="1" applyFill="1" applyBorder="1" applyAlignment="1">
      <alignment horizontal="center"/>
    </xf>
    <xf numFmtId="172" fontId="62" fillId="0" borderId="0" xfId="54" applyNumberFormat="1" applyFont="1" applyFill="1" applyBorder="1" applyAlignment="1">
      <alignment horizontal="center"/>
    </xf>
    <xf numFmtId="172" fontId="67" fillId="0" borderId="0" xfId="54" applyNumberFormat="1" applyFont="1" applyFill="1" applyBorder="1" applyAlignment="1">
      <alignment horizontal="center"/>
    </xf>
    <xf numFmtId="172" fontId="62" fillId="0" borderId="0" xfId="54" applyNumberFormat="1" applyFont="1" applyFill="1" applyBorder="1"/>
    <xf numFmtId="0" fontId="14" fillId="0" borderId="38" xfId="41" applyFill="1" applyBorder="1"/>
    <xf numFmtId="172" fontId="32" fillId="0" borderId="25" xfId="52" applyNumberFormat="1" applyFont="1" applyFill="1" applyBorder="1" applyAlignment="1">
      <alignment horizontal="center"/>
    </xf>
    <xf numFmtId="0" fontId="48" fillId="0" borderId="0" xfId="49" applyFont="1" applyBorder="1" applyAlignment="1">
      <alignment horizontal="center" vertical="center" wrapText="1"/>
    </xf>
    <xf numFmtId="9" fontId="31" fillId="0" borderId="32" xfId="49" applyNumberFormat="1" applyFont="1" applyBorder="1" applyAlignment="1">
      <alignment horizontal="center" vertical="center" wrapText="1"/>
    </xf>
    <xf numFmtId="9" fontId="31" fillId="0" borderId="29" xfId="49" applyNumberFormat="1" applyFont="1" applyBorder="1" applyAlignment="1">
      <alignment horizontal="center" vertical="center" wrapText="1"/>
    </xf>
    <xf numFmtId="0" fontId="76" fillId="0" borderId="9" xfId="49" applyFont="1" applyBorder="1" applyAlignment="1">
      <alignment horizontal="center" vertical="center" wrapText="1"/>
    </xf>
    <xf numFmtId="9" fontId="14" fillId="0" borderId="32" xfId="49" applyNumberFormat="1" applyFont="1" applyBorder="1" applyAlignment="1">
      <alignment horizontal="center" vertical="center" wrapText="1"/>
    </xf>
    <xf numFmtId="0" fontId="78" fillId="0" borderId="0" xfId="49" applyFont="1" applyBorder="1" applyAlignment="1">
      <alignment horizontal="center" vertical="center" wrapText="1"/>
    </xf>
    <xf numFmtId="0" fontId="14" fillId="0" borderId="11" xfId="49" applyFont="1" applyBorder="1" applyAlignment="1">
      <alignment horizontal="center" vertical="center" wrapText="1"/>
    </xf>
    <xf numFmtId="9" fontId="31" fillId="0" borderId="11" xfId="49" applyNumberFormat="1" applyFont="1" applyBorder="1" applyAlignment="1">
      <alignment horizontal="center" vertical="center" wrapText="1"/>
    </xf>
    <xf numFmtId="9" fontId="31" fillId="0" borderId="95" xfId="49" applyNumberFormat="1" applyFont="1" applyBorder="1" applyAlignment="1">
      <alignment horizontal="center" vertical="center" wrapText="1"/>
    </xf>
    <xf numFmtId="9" fontId="31" fillId="0" borderId="22" xfId="49" applyNumberFormat="1" applyFont="1" applyBorder="1" applyAlignment="1">
      <alignment horizontal="center"/>
    </xf>
    <xf numFmtId="9" fontId="31" fillId="0" borderId="95" xfId="49" applyNumberFormat="1" applyFont="1" applyBorder="1" applyAlignment="1">
      <alignment horizontal="center"/>
    </xf>
    <xf numFmtId="3" fontId="14" fillId="0" borderId="37" xfId="41" applyNumberFormat="1" applyFill="1" applyBorder="1"/>
    <xf numFmtId="9" fontId="62" fillId="0" borderId="26" xfId="41" applyNumberFormat="1" applyFont="1" applyFill="1" applyBorder="1"/>
    <xf numFmtId="9" fontId="32" fillId="0" borderId="0" xfId="54" applyNumberFormat="1" applyFont="1" applyFill="1" applyBorder="1" applyAlignment="1">
      <alignment horizontal="center"/>
    </xf>
    <xf numFmtId="3" fontId="14" fillId="0" borderId="0" xfId="41" applyNumberFormat="1" applyFill="1"/>
    <xf numFmtId="172" fontId="28" fillId="0" borderId="0" xfId="49" applyNumberFormat="1" applyFont="1" applyFill="1" applyBorder="1" applyAlignment="1">
      <alignment horizontal="center" vertical="center" wrapText="1"/>
    </xf>
    <xf numFmtId="0" fontId="14" fillId="0" borderId="0" xfId="38" applyFont="1" applyFill="1" applyAlignment="1">
      <alignment horizontal="center"/>
    </xf>
    <xf numFmtId="0" fontId="14" fillId="0" borderId="23" xfId="38" applyFont="1" applyFill="1" applyBorder="1" applyAlignment="1">
      <alignment horizontal="center" vertical="center" wrapText="1"/>
    </xf>
    <xf numFmtId="0" fontId="14" fillId="0" borderId="32" xfId="38" applyFont="1" applyFill="1" applyBorder="1" applyAlignment="1">
      <alignment horizontal="center" vertical="center" wrapText="1"/>
    </xf>
    <xf numFmtId="0" fontId="14" fillId="0" borderId="33" xfId="38" applyFont="1" applyFill="1" applyBorder="1" applyAlignment="1">
      <alignment horizontal="center" vertical="center" wrapText="1"/>
    </xf>
    <xf numFmtId="9" fontId="26" fillId="0" borderId="32" xfId="53" applyFont="1" applyBorder="1" applyAlignment="1">
      <alignment horizontal="center"/>
    </xf>
    <xf numFmtId="9" fontId="31" fillId="0" borderId="29" xfId="38" applyNumberFormat="1" applyFont="1" applyFill="1" applyBorder="1" applyAlignment="1">
      <alignment horizontal="center"/>
    </xf>
    <xf numFmtId="9" fontId="14" fillId="0" borderId="32" xfId="38" applyNumberFormat="1" applyFont="1" applyFill="1" applyBorder="1" applyAlignment="1">
      <alignment horizontal="center"/>
    </xf>
    <xf numFmtId="9" fontId="14" fillId="0" borderId="33" xfId="38" applyNumberFormat="1" applyFont="1" applyFill="1" applyBorder="1" applyAlignment="1">
      <alignment horizontal="center"/>
    </xf>
    <xf numFmtId="9" fontId="31" fillId="0" borderId="95" xfId="38" applyNumberFormat="1" applyFont="1" applyFill="1" applyBorder="1" applyAlignment="1">
      <alignment horizontal="center"/>
    </xf>
    <xf numFmtId="9" fontId="31" fillId="0" borderId="0" xfId="52" applyFont="1" applyFill="1" applyBorder="1" applyAlignment="1">
      <alignment horizontal="center" vertical="center" wrapText="1"/>
    </xf>
    <xf numFmtId="9" fontId="31" fillId="0" borderId="32" xfId="52" applyFont="1" applyFill="1" applyBorder="1" applyAlignment="1">
      <alignment horizontal="center" vertical="center" wrapText="1"/>
    </xf>
    <xf numFmtId="9" fontId="35" fillId="0" borderId="0" xfId="38" applyNumberFormat="1" applyFont="1" applyFill="1"/>
    <xf numFmtId="172" fontId="31" fillId="0" borderId="0" xfId="38" applyNumberFormat="1" applyFont="1" applyFill="1"/>
    <xf numFmtId="0" fontId="14" fillId="0" borderId="0" xfId="38" applyFont="1"/>
    <xf numFmtId="0" fontId="14" fillId="0" borderId="0" xfId="38" applyBorder="1" applyAlignment="1">
      <alignment horizontal="center" vertical="center"/>
    </xf>
    <xf numFmtId="0" fontId="14" fillId="0" borderId="0" xfId="38" applyFont="1" applyBorder="1"/>
    <xf numFmtId="0" fontId="14" fillId="0" borderId="0" xfId="38" applyFont="1" applyFill="1" applyBorder="1" applyAlignment="1">
      <alignment horizontal="center"/>
    </xf>
    <xf numFmtId="0" fontId="43" fillId="0" borderId="0" xfId="38" applyFont="1" applyAlignment="1">
      <alignment horizontal="center" vertical="center" wrapText="1"/>
    </xf>
    <xf numFmtId="0" fontId="14" fillId="0" borderId="0" xfId="38" applyAlignment="1">
      <alignment wrapText="1"/>
    </xf>
    <xf numFmtId="0" fontId="14" fillId="0" borderId="0" xfId="38" applyFont="1" applyAlignment="1">
      <alignment horizontal="center" vertical="center" wrapText="1"/>
    </xf>
    <xf numFmtId="0" fontId="14" fillId="0" borderId="0" xfId="38" applyAlignment="1">
      <alignment horizontal="center" vertical="center"/>
    </xf>
    <xf numFmtId="172" fontId="14" fillId="0" borderId="0" xfId="38" applyNumberFormat="1" applyAlignment="1">
      <alignment horizontal="center"/>
    </xf>
    <xf numFmtId="175" fontId="14" fillId="0" borderId="9" xfId="38" applyNumberFormat="1" applyFont="1" applyFill="1" applyBorder="1" applyAlignment="1">
      <alignment horizontal="center"/>
    </xf>
    <xf numFmtId="172" fontId="14" fillId="0" borderId="17" xfId="38" applyNumberFormat="1" applyFont="1" applyFill="1" applyBorder="1" applyAlignment="1">
      <alignment horizontal="center"/>
    </xf>
    <xf numFmtId="175" fontId="14" fillId="0" borderId="19" xfId="38" applyNumberFormat="1" applyFont="1" applyFill="1" applyBorder="1" applyAlignment="1">
      <alignment horizontal="center"/>
    </xf>
    <xf numFmtId="172" fontId="14" fillId="0" borderId="21" xfId="38" applyNumberFormat="1" applyFont="1" applyFill="1" applyBorder="1" applyAlignment="1">
      <alignment horizontal="center"/>
    </xf>
    <xf numFmtId="175" fontId="31" fillId="0" borderId="9" xfId="38" applyNumberFormat="1" applyFont="1" applyFill="1" applyBorder="1" applyAlignment="1">
      <alignment horizontal="center"/>
    </xf>
    <xf numFmtId="172" fontId="31" fillId="0" borderId="17" xfId="38" applyNumberFormat="1" applyFont="1" applyFill="1" applyBorder="1" applyAlignment="1">
      <alignment horizontal="center"/>
    </xf>
    <xf numFmtId="0" fontId="88" fillId="0" borderId="0" xfId="38" applyFont="1"/>
    <xf numFmtId="175" fontId="14" fillId="0" borderId="29" xfId="38" applyNumberFormat="1" applyFont="1" applyFill="1" applyBorder="1" applyAlignment="1">
      <alignment horizontal="center"/>
    </xf>
    <xf numFmtId="172" fontId="14" fillId="0" borderId="33" xfId="38" applyNumberFormat="1" applyFont="1" applyFill="1" applyBorder="1" applyAlignment="1">
      <alignment horizontal="center"/>
    </xf>
    <xf numFmtId="172" fontId="31" fillId="0" borderId="0" xfId="38" applyNumberFormat="1" applyFont="1" applyFill="1" applyBorder="1" applyAlignment="1">
      <alignment horizontal="center"/>
    </xf>
    <xf numFmtId="0" fontId="14" fillId="0" borderId="9" xfId="38" applyFont="1" applyBorder="1"/>
    <xf numFmtId="3" fontId="35" fillId="0" borderId="0" xfId="38" applyNumberFormat="1" applyFont="1" applyFill="1" applyBorder="1"/>
    <xf numFmtId="172" fontId="35" fillId="0" borderId="0" xfId="38" applyNumberFormat="1" applyFont="1" applyFill="1" applyBorder="1" applyAlignment="1">
      <alignment horizontal="center"/>
    </xf>
    <xf numFmtId="172" fontId="14" fillId="0" borderId="0" xfId="38" applyNumberFormat="1" applyFont="1" applyBorder="1" applyAlignment="1">
      <alignment horizontal="center"/>
    </xf>
    <xf numFmtId="178" fontId="43" fillId="0" borderId="0" xfId="38" applyNumberFormat="1" applyFont="1" applyBorder="1" applyAlignment="1">
      <alignment horizontal="center"/>
    </xf>
    <xf numFmtId="3" fontId="14" fillId="0" borderId="0" xfId="38" applyNumberFormat="1" applyBorder="1"/>
    <xf numFmtId="3" fontId="14" fillId="0" borderId="0" xfId="38" applyNumberFormat="1" applyFont="1"/>
    <xf numFmtId="0" fontId="31" fillId="0" borderId="10" xfId="38" applyFont="1" applyBorder="1" applyAlignment="1">
      <alignment horizontal="center" vertical="center"/>
    </xf>
    <xf numFmtId="0" fontId="14" fillId="0" borderId="10" xfId="38" applyFont="1" applyBorder="1" applyAlignment="1">
      <alignment horizontal="center" vertical="center"/>
    </xf>
    <xf numFmtId="0" fontId="14" fillId="0" borderId="18" xfId="38" applyFont="1" applyBorder="1" applyAlignment="1">
      <alignment horizontal="center" vertical="center"/>
    </xf>
    <xf numFmtId="0" fontId="14" fillId="0" borderId="23" xfId="38" applyFont="1" applyBorder="1" applyAlignment="1">
      <alignment horizontal="center" vertical="center"/>
    </xf>
    <xf numFmtId="0" fontId="14" fillId="0" borderId="10" xfId="38" applyFont="1" applyFill="1" applyBorder="1" applyAlignment="1">
      <alignment horizontal="center" vertical="center"/>
    </xf>
    <xf numFmtId="0" fontId="14" fillId="0" borderId="14" xfId="38" applyFont="1" applyBorder="1"/>
    <xf numFmtId="0" fontId="14" fillId="0" borderId="16" xfId="38" applyFont="1" applyBorder="1" applyAlignment="1">
      <alignment horizontal="center"/>
    </xf>
    <xf numFmtId="172" fontId="14" fillId="0" borderId="17" xfId="38" applyNumberFormat="1" applyFont="1" applyBorder="1" applyAlignment="1">
      <alignment horizontal="center"/>
    </xf>
    <xf numFmtId="0" fontId="14" fillId="0" borderId="17" xfId="38" applyFont="1" applyBorder="1"/>
    <xf numFmtId="178" fontId="89" fillId="0" borderId="17" xfId="54" applyNumberFormat="1" applyFont="1" applyBorder="1" applyAlignment="1">
      <alignment horizontal="center"/>
    </xf>
    <xf numFmtId="0" fontId="14" fillId="0" borderId="67" xfId="38" applyFont="1" applyBorder="1" applyAlignment="1">
      <alignment horizontal="center" vertical="center"/>
    </xf>
    <xf numFmtId="175" fontId="14" fillId="0" borderId="69" xfId="38" applyNumberFormat="1" applyFont="1" applyFill="1" applyBorder="1" applyAlignment="1">
      <alignment horizontal="center"/>
    </xf>
    <xf numFmtId="172" fontId="14" fillId="0" borderId="70" xfId="38" applyNumberFormat="1" applyFont="1" applyFill="1" applyBorder="1" applyAlignment="1">
      <alignment horizontal="center"/>
    </xf>
    <xf numFmtId="9" fontId="14" fillId="0" borderId="0" xfId="52" applyFont="1" applyFill="1" applyAlignment="1">
      <alignment horizontal="center"/>
    </xf>
    <xf numFmtId="9" fontId="31" fillId="0" borderId="9" xfId="52" applyFont="1" applyFill="1" applyBorder="1" applyAlignment="1">
      <alignment horizontal="center"/>
    </xf>
    <xf numFmtId="9" fontId="14" fillId="0" borderId="17" xfId="52" applyFont="1" applyFill="1" applyBorder="1" applyAlignment="1">
      <alignment horizontal="center" vertical="center" wrapText="1"/>
    </xf>
    <xf numFmtId="9" fontId="14" fillId="0" borderId="33" xfId="52" applyFont="1" applyFill="1" applyBorder="1" applyAlignment="1">
      <alignment horizontal="center" vertical="center" wrapText="1"/>
    </xf>
    <xf numFmtId="9" fontId="14" fillId="0" borderId="33" xfId="52" applyFont="1" applyFill="1" applyBorder="1" applyAlignment="1">
      <alignment horizontal="center"/>
    </xf>
    <xf numFmtId="0" fontId="26" fillId="0" borderId="11" xfId="42" applyFont="1" applyBorder="1" applyAlignment="1">
      <alignment horizontal="center"/>
    </xf>
    <xf numFmtId="9" fontId="68" fillId="0" borderId="25" xfId="49" applyNumberFormat="1" applyFont="1" applyBorder="1" applyAlignment="1">
      <alignment horizontal="center"/>
    </xf>
    <xf numFmtId="9" fontId="68" fillId="0" borderId="0" xfId="49" applyNumberFormat="1" applyFont="1" applyBorder="1" applyAlignment="1">
      <alignment horizontal="center"/>
    </xf>
    <xf numFmtId="9" fontId="32" fillId="0" borderId="26" xfId="41" applyNumberFormat="1" applyFont="1" applyFill="1" applyBorder="1" applyAlignment="1">
      <alignment horizontal="center" vertical="center" wrapText="1"/>
    </xf>
    <xf numFmtId="9" fontId="32" fillId="0" borderId="25" xfId="41" applyNumberFormat="1" applyFont="1" applyFill="1" applyBorder="1" applyAlignment="1">
      <alignment horizontal="center" vertical="center" wrapText="1"/>
    </xf>
    <xf numFmtId="172" fontId="14" fillId="0" borderId="17" xfId="52" applyNumberFormat="1" applyFont="1" applyFill="1" applyBorder="1" applyAlignment="1">
      <alignment horizontal="center" vertical="center" wrapText="1"/>
    </xf>
    <xf numFmtId="172" fontId="14" fillId="0" borderId="33" xfId="52" applyNumberFormat="1" applyFont="1" applyFill="1" applyBorder="1" applyAlignment="1">
      <alignment horizontal="center" vertical="center" wrapText="1"/>
    </xf>
    <xf numFmtId="172" fontId="14" fillId="0" borderId="17" xfId="52" applyNumberFormat="1" applyFont="1" applyFill="1" applyBorder="1" applyAlignment="1">
      <alignment horizontal="center"/>
    </xf>
    <xf numFmtId="0" fontId="26" fillId="0" borderId="0" xfId="45" applyFont="1" applyFill="1" applyBorder="1" applyAlignment="1">
      <alignment horizontal="center" vertical="center" wrapText="1"/>
    </xf>
    <xf numFmtId="3" fontId="35" fillId="0" borderId="0" xfId="49" applyNumberFormat="1" applyFont="1" applyBorder="1" applyAlignment="1">
      <alignment horizontal="center"/>
    </xf>
    <xf numFmtId="175" fontId="14" fillId="0" borderId="0" xfId="49" applyNumberFormat="1" applyFont="1" applyBorder="1" applyAlignment="1">
      <alignment horizontal="center"/>
    </xf>
    <xf numFmtId="3" fontId="14" fillId="0" borderId="12" xfId="49" applyNumberFormat="1" applyFont="1" applyBorder="1" applyAlignment="1">
      <alignment horizontal="center"/>
    </xf>
    <xf numFmtId="172" fontId="14" fillId="0" borderId="0" xfId="52" applyNumberFormat="1" applyFont="1" applyBorder="1" applyAlignment="1">
      <alignment horizontal="center" vertical="center" wrapText="1"/>
    </xf>
    <xf numFmtId="175" fontId="35" fillId="0" borderId="0" xfId="49" applyNumberFormat="1" applyFont="1" applyBorder="1" applyAlignment="1">
      <alignment horizontal="center"/>
    </xf>
    <xf numFmtId="3" fontId="14" fillId="0" borderId="12" xfId="49" applyNumberFormat="1" applyFont="1" applyBorder="1" applyAlignment="1">
      <alignment horizontal="center" vertical="center" wrapText="1"/>
    </xf>
    <xf numFmtId="176" fontId="14" fillId="0" borderId="0" xfId="49" applyNumberFormat="1" applyFont="1" applyBorder="1" applyAlignment="1">
      <alignment horizontal="center" vertical="center" wrapText="1"/>
    </xf>
    <xf numFmtId="0" fontId="14" fillId="0" borderId="0" xfId="49" applyFont="1" applyFill="1"/>
    <xf numFmtId="3" fontId="14" fillId="0" borderId="0" xfId="49" applyNumberFormat="1" applyFont="1" applyFill="1" applyAlignment="1">
      <alignment horizontal="center"/>
    </xf>
    <xf numFmtId="175" fontId="14" fillId="0" borderId="0" xfId="49" applyNumberFormat="1" applyFont="1"/>
    <xf numFmtId="0" fontId="29" fillId="0" borderId="0" xfId="45" applyFont="1" applyFill="1" applyBorder="1" applyAlignment="1">
      <alignment horizontal="center" vertical="center" wrapText="1"/>
    </xf>
    <xf numFmtId="0" fontId="31" fillId="0" borderId="0" xfId="49" applyFont="1" applyFill="1" applyBorder="1"/>
    <xf numFmtId="3" fontId="26" fillId="0" borderId="0" xfId="0" applyNumberFormat="1" applyFont="1" applyBorder="1" applyAlignment="1">
      <alignment horizontal="center"/>
    </xf>
    <xf numFmtId="3" fontId="14" fillId="0" borderId="0" xfId="46" applyNumberFormat="1" applyBorder="1" applyAlignment="1">
      <alignment horizontal="center"/>
    </xf>
    <xf numFmtId="9" fontId="26" fillId="0" borderId="0" xfId="0" applyNumberFormat="1" applyFont="1" applyBorder="1" applyAlignment="1">
      <alignment horizontal="center"/>
    </xf>
    <xf numFmtId="0" fontId="26" fillId="0" borderId="0" xfId="0" applyFont="1" applyBorder="1"/>
    <xf numFmtId="3" fontId="26" fillId="0" borderId="0" xfId="0" applyNumberFormat="1" applyFont="1" applyBorder="1"/>
    <xf numFmtId="2" fontId="14" fillId="0" borderId="0" xfId="49" applyNumberFormat="1" applyFont="1" applyBorder="1" applyAlignment="1">
      <alignment horizontal="center"/>
    </xf>
    <xf numFmtId="4" fontId="14" fillId="0" borderId="0" xfId="38" applyNumberFormat="1" applyFont="1" applyFill="1" applyBorder="1" applyAlignment="1">
      <alignment horizontal="center"/>
    </xf>
    <xf numFmtId="0" fontId="14" fillId="0" borderId="0" xfId="49" applyFont="1" applyFill="1" applyBorder="1"/>
    <xf numFmtId="3" fontId="14" fillId="0" borderId="0" xfId="49" applyNumberFormat="1" applyFont="1" applyBorder="1"/>
    <xf numFmtId="0" fontId="14" fillId="0" borderId="17" xfId="49" applyFont="1" applyBorder="1"/>
    <xf numFmtId="0" fontId="14" fillId="0" borderId="17" xfId="49" applyFont="1" applyFill="1" applyBorder="1"/>
    <xf numFmtId="3" fontId="14" fillId="0" borderId="0" xfId="49" applyNumberFormat="1" applyFont="1" applyFill="1" applyBorder="1" applyAlignment="1">
      <alignment horizontal="center"/>
    </xf>
    <xf numFmtId="3" fontId="25" fillId="0" borderId="0" xfId="0" applyNumberFormat="1" applyFont="1" applyBorder="1" applyAlignment="1">
      <alignment horizontal="center"/>
    </xf>
    <xf numFmtId="9" fontId="14" fillId="0" borderId="0" xfId="46" applyNumberFormat="1" applyFont="1" applyBorder="1" applyAlignment="1">
      <alignment horizontal="center"/>
    </xf>
    <xf numFmtId="3" fontId="14" fillId="0" borderId="0" xfId="46" applyNumberFormat="1" applyFont="1" applyBorder="1" applyAlignment="1">
      <alignment horizontal="center"/>
    </xf>
    <xf numFmtId="3" fontId="14" fillId="0" borderId="0" xfId="46" applyNumberFormat="1" applyFont="1" applyFill="1" applyBorder="1" applyAlignment="1">
      <alignment horizontal="center"/>
    </xf>
    <xf numFmtId="9" fontId="14" fillId="0" borderId="0" xfId="46" applyNumberFormat="1" applyFont="1" applyFill="1" applyBorder="1" applyAlignment="1">
      <alignment horizontal="center"/>
    </xf>
    <xf numFmtId="0" fontId="14" fillId="0" borderId="0" xfId="46" applyFont="1" applyBorder="1"/>
    <xf numFmtId="9" fontId="14" fillId="0" borderId="0" xfId="46" applyNumberFormat="1" applyFont="1" applyBorder="1" applyAlignment="1">
      <alignment horizontal="center" wrapText="1"/>
    </xf>
    <xf numFmtId="0" fontId="14" fillId="0" borderId="0" xfId="46" applyFont="1" applyBorder="1" applyAlignment="1">
      <alignment horizontal="center"/>
    </xf>
    <xf numFmtId="3" fontId="14" fillId="0" borderId="0" xfId="46" applyNumberFormat="1" applyFont="1" applyBorder="1"/>
    <xf numFmtId="3" fontId="14" fillId="0" borderId="0" xfId="46" applyNumberFormat="1" applyFont="1" applyBorder="1" applyAlignment="1">
      <alignment horizontal="center" wrapText="1"/>
    </xf>
    <xf numFmtId="9" fontId="14" fillId="0" borderId="0" xfId="38" applyNumberFormat="1" applyFont="1" applyFill="1" applyBorder="1" applyAlignment="1">
      <alignment horizontal="left"/>
    </xf>
    <xf numFmtId="3" fontId="35" fillId="0" borderId="0" xfId="46" applyNumberFormat="1" applyFont="1" applyBorder="1" applyAlignment="1">
      <alignment horizontal="center" wrapText="1"/>
    </xf>
    <xf numFmtId="2" fontId="14" fillId="0" borderId="0" xfId="49" applyNumberFormat="1" applyFont="1" applyAlignment="1">
      <alignment horizontal="center"/>
    </xf>
    <xf numFmtId="3" fontId="14" fillId="0" borderId="17" xfId="49" applyNumberFormat="1" applyBorder="1" applyAlignment="1">
      <alignment horizontal="center"/>
    </xf>
    <xf numFmtId="0" fontId="43" fillId="0" borderId="0" xfId="49" applyFont="1"/>
    <xf numFmtId="0" fontId="43" fillId="0" borderId="0" xfId="49" applyFont="1" applyFill="1"/>
    <xf numFmtId="49" fontId="43" fillId="0" borderId="0" xfId="46" applyNumberFormat="1" applyFont="1" applyBorder="1" applyAlignment="1">
      <alignment horizontal="center" vertical="center" wrapText="1"/>
    </xf>
    <xf numFmtId="0" fontId="43" fillId="0" borderId="0" xfId="49" applyFont="1" applyBorder="1"/>
    <xf numFmtId="1" fontId="14" fillId="0" borderId="0" xfId="49" applyNumberFormat="1" applyBorder="1"/>
    <xf numFmtId="0" fontId="27" fillId="0" borderId="0" xfId="0" applyFont="1" applyBorder="1" applyAlignment="1">
      <alignment horizontal="center"/>
    </xf>
    <xf numFmtId="176" fontId="14" fillId="0" borderId="0" xfId="46" applyNumberFormat="1" applyBorder="1" applyAlignment="1">
      <alignment horizontal="center"/>
    </xf>
    <xf numFmtId="176" fontId="27" fillId="0" borderId="0" xfId="0" applyNumberFormat="1" applyFont="1" applyBorder="1" applyAlignment="1">
      <alignment horizontal="center"/>
    </xf>
    <xf numFmtId="1" fontId="14" fillId="0" borderId="0" xfId="49" applyNumberFormat="1" applyBorder="1" applyAlignment="1">
      <alignment horizontal="center"/>
    </xf>
    <xf numFmtId="3" fontId="14" fillId="0" borderId="99" xfId="46" applyNumberFormat="1" applyBorder="1" applyAlignment="1">
      <alignment horizontal="center" wrapText="1"/>
    </xf>
    <xf numFmtId="0" fontId="31" fillId="0" borderId="99" xfId="49" applyFont="1" applyBorder="1" applyAlignment="1">
      <alignment horizontal="center" vertical="center" wrapText="1"/>
    </xf>
    <xf numFmtId="0" fontId="43" fillId="0" borderId="99" xfId="49" applyFont="1" applyBorder="1" applyAlignment="1">
      <alignment horizontal="center" vertical="center" wrapText="1"/>
    </xf>
    <xf numFmtId="3" fontId="31" fillId="0" borderId="99" xfId="46" applyNumberFormat="1" applyFont="1" applyBorder="1" applyAlignment="1">
      <alignment horizontal="center" wrapText="1"/>
    </xf>
    <xf numFmtId="175" fontId="14" fillId="0" borderId="99" xfId="49" applyNumberFormat="1" applyBorder="1"/>
    <xf numFmtId="3" fontId="31" fillId="0" borderId="0" xfId="46" applyNumberFormat="1" applyFont="1" applyBorder="1" applyAlignment="1">
      <alignment horizontal="center" wrapText="1"/>
    </xf>
    <xf numFmtId="0" fontId="43" fillId="0" borderId="0" xfId="49" applyFont="1" applyFill="1" applyBorder="1"/>
    <xf numFmtId="3" fontId="14" fillId="0" borderId="100" xfId="46" applyNumberFormat="1" applyBorder="1" applyAlignment="1">
      <alignment horizontal="center" wrapText="1"/>
    </xf>
    <xf numFmtId="0" fontId="14" fillId="0" borderId="100" xfId="49" applyBorder="1"/>
    <xf numFmtId="0" fontId="14" fillId="0" borderId="100" xfId="49" applyBorder="1" applyAlignment="1"/>
    <xf numFmtId="0" fontId="14" fillId="0" borderId="100" xfId="49" applyFont="1" applyBorder="1" applyAlignment="1"/>
    <xf numFmtId="0" fontId="14" fillId="0" borderId="100" xfId="49" applyFont="1" applyFill="1" applyBorder="1" applyAlignment="1">
      <alignment horizontal="center" vertical="center" wrapText="1"/>
    </xf>
    <xf numFmtId="0" fontId="43" fillId="0" borderId="100" xfId="49" applyFont="1" applyBorder="1" applyAlignment="1">
      <alignment horizontal="center" vertical="center" wrapText="1"/>
    </xf>
    <xf numFmtId="0" fontId="43" fillId="0" borderId="100" xfId="49" applyFont="1" applyFill="1" applyBorder="1" applyAlignment="1">
      <alignment horizontal="center" vertical="center" wrapText="1"/>
    </xf>
    <xf numFmtId="172" fontId="14" fillId="0" borderId="100" xfId="49" applyNumberFormat="1" applyFont="1" applyFill="1" applyBorder="1" applyAlignment="1">
      <alignment horizontal="center" vertical="center" wrapText="1"/>
    </xf>
    <xf numFmtId="172" fontId="14" fillId="0" borderId="101" xfId="49" applyNumberFormat="1" applyFont="1" applyFill="1" applyBorder="1" applyAlignment="1">
      <alignment horizontal="center" vertical="center" wrapText="1"/>
    </xf>
    <xf numFmtId="0" fontId="28" fillId="0" borderId="0" xfId="46" applyFont="1" applyBorder="1" applyAlignment="1">
      <alignment horizontal="center" vertical="center" wrapText="1"/>
    </xf>
    <xf numFmtId="0" fontId="28" fillId="0" borderId="99" xfId="46" applyFont="1" applyBorder="1" applyAlignment="1">
      <alignment horizontal="center" vertical="center" wrapText="1"/>
    </xf>
    <xf numFmtId="0" fontId="30" fillId="0" borderId="99" xfId="0" applyFont="1" applyBorder="1" applyAlignment="1">
      <alignment vertical="center" wrapText="1"/>
    </xf>
    <xf numFmtId="0" fontId="30" fillId="0" borderId="0" xfId="0" applyFont="1" applyBorder="1" applyAlignment="1">
      <alignment vertical="center" wrapText="1"/>
    </xf>
    <xf numFmtId="49" fontId="43" fillId="0" borderId="99" xfId="46" applyNumberFormat="1" applyFont="1" applyBorder="1" applyAlignment="1">
      <alignment horizontal="center" vertical="center" wrapText="1"/>
    </xf>
    <xf numFmtId="3" fontId="28" fillId="0" borderId="0" xfId="49" applyNumberFormat="1" applyFont="1" applyBorder="1" applyAlignment="1">
      <alignment horizontal="center" vertical="center" wrapText="1"/>
    </xf>
    <xf numFmtId="1" fontId="14" fillId="0" borderId="100" xfId="49" applyNumberFormat="1" applyFont="1" applyBorder="1" applyAlignment="1">
      <alignment horizontal="center" vertical="center" wrapText="1"/>
    </xf>
    <xf numFmtId="3" fontId="14" fillId="0" borderId="100" xfId="49" applyNumberFormat="1" applyFont="1" applyFill="1" applyBorder="1" applyAlignment="1">
      <alignment horizontal="center" vertical="center" wrapText="1"/>
    </xf>
    <xf numFmtId="3" fontId="14" fillId="0" borderId="100" xfId="49" applyNumberFormat="1" applyBorder="1" applyAlignment="1">
      <alignment horizontal="center"/>
    </xf>
    <xf numFmtId="1" fontId="14" fillId="0" borderId="0" xfId="49" applyNumberFormat="1" applyFont="1" applyBorder="1" applyAlignment="1">
      <alignment horizontal="center"/>
    </xf>
    <xf numFmtId="3" fontId="14" fillId="0" borderId="9" xfId="49" applyNumberFormat="1" applyFont="1" applyBorder="1" applyAlignment="1">
      <alignment horizontal="center"/>
    </xf>
    <xf numFmtId="3" fontId="14" fillId="0" borderId="9" xfId="49" applyNumberFormat="1" applyBorder="1" applyAlignment="1">
      <alignment horizontal="center"/>
    </xf>
    <xf numFmtId="175" fontId="14" fillId="0" borderId="0" xfId="49" applyNumberFormat="1" applyBorder="1"/>
    <xf numFmtId="0" fontId="14" fillId="0" borderId="100" xfId="49" applyFont="1" applyBorder="1" applyAlignment="1">
      <alignment horizontal="center" vertical="center" wrapText="1"/>
    </xf>
    <xf numFmtId="0" fontId="14" fillId="0" borderId="100" xfId="49" applyFont="1" applyBorder="1"/>
    <xf numFmtId="0" fontId="43" fillId="0" borderId="99" xfId="49" applyFont="1" applyFill="1" applyBorder="1" applyAlignment="1">
      <alignment horizontal="center" vertical="center" wrapText="1"/>
    </xf>
    <xf numFmtId="0" fontId="14" fillId="0" borderId="99" xfId="49" applyFont="1" applyBorder="1" applyAlignment="1">
      <alignment horizontal="center" vertical="center" wrapText="1"/>
    </xf>
    <xf numFmtId="0" fontId="14" fillId="0" borderId="99" xfId="49" applyFont="1" applyBorder="1"/>
    <xf numFmtId="0" fontId="14" fillId="0" borderId="99" xfId="49" applyBorder="1"/>
    <xf numFmtId="0" fontId="14" fillId="0" borderId="100" xfId="46" applyBorder="1" applyAlignment="1">
      <alignment horizontal="center" wrapText="1"/>
    </xf>
    <xf numFmtId="175" fontId="14" fillId="0" borderId="0" xfId="49" applyNumberFormat="1" applyFont="1" applyBorder="1"/>
    <xf numFmtId="1" fontId="14" fillId="0" borderId="0" xfId="46" applyNumberFormat="1" applyBorder="1" applyAlignment="1">
      <alignment horizontal="center" wrapText="1"/>
    </xf>
    <xf numFmtId="0" fontId="31" fillId="0" borderId="9" xfId="49" applyFont="1" applyBorder="1" applyAlignment="1">
      <alignment horizontal="left" vertical="center"/>
    </xf>
    <xf numFmtId="0" fontId="28" fillId="0" borderId="9" xfId="49" applyFont="1" applyFill="1" applyBorder="1" applyAlignment="1">
      <alignment horizontal="center" vertical="center" wrapText="1"/>
    </xf>
    <xf numFmtId="0" fontId="28" fillId="0" borderId="17" xfId="49" applyFont="1" applyFill="1" applyBorder="1" applyAlignment="1">
      <alignment horizontal="center" vertical="center" wrapText="1"/>
    </xf>
    <xf numFmtId="0" fontId="43" fillId="0" borderId="9" xfId="49" applyFont="1" applyBorder="1" applyAlignment="1">
      <alignment horizontal="center" vertical="center"/>
    </xf>
    <xf numFmtId="3" fontId="61" fillId="0" borderId="17" xfId="49" applyNumberFormat="1" applyFont="1" applyBorder="1" applyAlignment="1">
      <alignment horizontal="center"/>
    </xf>
    <xf numFmtId="175" fontId="61" fillId="0" borderId="9" xfId="49" applyNumberFormat="1" applyFont="1" applyBorder="1" applyAlignment="1">
      <alignment horizontal="center"/>
    </xf>
    <xf numFmtId="175" fontId="61" fillId="0" borderId="17" xfId="49" applyNumberFormat="1" applyFont="1" applyBorder="1" applyAlignment="1">
      <alignment horizontal="center"/>
    </xf>
    <xf numFmtId="175" fontId="31" fillId="0" borderId="9" xfId="49" applyNumberFormat="1" applyFont="1" applyBorder="1" applyAlignment="1">
      <alignment horizontal="center"/>
    </xf>
    <xf numFmtId="175" fontId="31" fillId="0" borderId="17" xfId="49" applyNumberFormat="1" applyFont="1" applyBorder="1" applyAlignment="1">
      <alignment horizontal="center"/>
    </xf>
    <xf numFmtId="3" fontId="14" fillId="0" borderId="17" xfId="46" applyNumberFormat="1" applyBorder="1" applyAlignment="1">
      <alignment horizontal="center" wrapText="1"/>
    </xf>
    <xf numFmtId="175" fontId="14" fillId="0" borderId="17" xfId="49" applyNumberFormat="1" applyBorder="1"/>
    <xf numFmtId="0" fontId="14" fillId="0" borderId="0" xfId="49" applyFont="1" applyBorder="1" applyAlignment="1">
      <alignment horizontal="left" vertical="center"/>
    </xf>
    <xf numFmtId="3" fontId="28" fillId="0" borderId="9" xfId="49" applyNumberFormat="1" applyFont="1" applyBorder="1" applyAlignment="1">
      <alignment horizontal="center"/>
    </xf>
    <xf numFmtId="3" fontId="28" fillId="0" borderId="9" xfId="49" applyNumberFormat="1" applyFont="1" applyFill="1" applyBorder="1" applyAlignment="1">
      <alignment horizontal="center"/>
    </xf>
    <xf numFmtId="175" fontId="31" fillId="0" borderId="0" xfId="49" applyNumberFormat="1" applyFont="1" applyFill="1" applyBorder="1" applyAlignment="1">
      <alignment horizontal="center"/>
    </xf>
    <xf numFmtId="3" fontId="28" fillId="0" borderId="0" xfId="49" applyNumberFormat="1" applyFont="1" applyFill="1" applyBorder="1" applyAlignment="1">
      <alignment horizontal="center"/>
    </xf>
    <xf numFmtId="3" fontId="28" fillId="0" borderId="0" xfId="0" applyNumberFormat="1" applyFont="1" applyFill="1" applyBorder="1" applyAlignment="1">
      <alignment horizontal="center"/>
    </xf>
    <xf numFmtId="3" fontId="14" fillId="0" borderId="9" xfId="46" applyNumberFormat="1" applyFill="1" applyBorder="1" applyAlignment="1">
      <alignment horizontal="center" wrapText="1"/>
    </xf>
    <xf numFmtId="3" fontId="14" fillId="0" borderId="0" xfId="46" applyNumberFormat="1" applyFill="1" applyBorder="1" applyAlignment="1">
      <alignment horizontal="center" wrapText="1"/>
    </xf>
    <xf numFmtId="3" fontId="28" fillId="0" borderId="0" xfId="46" applyNumberFormat="1" applyFont="1" applyFill="1" applyBorder="1" applyAlignment="1">
      <alignment horizontal="center" wrapText="1"/>
    </xf>
    <xf numFmtId="3" fontId="14" fillId="0" borderId="0" xfId="47" applyNumberFormat="1" applyFont="1" applyBorder="1" applyAlignment="1">
      <alignment horizontal="center" wrapText="1"/>
    </xf>
    <xf numFmtId="3" fontId="14" fillId="0" borderId="17" xfId="46" applyNumberFormat="1" applyBorder="1" applyAlignment="1">
      <alignment horizontal="center"/>
    </xf>
    <xf numFmtId="3" fontId="14" fillId="0" borderId="0" xfId="48" applyNumberFormat="1" applyFont="1" applyBorder="1" applyAlignment="1">
      <alignment horizontal="center" wrapText="1"/>
    </xf>
    <xf numFmtId="0" fontId="14" fillId="0" borderId="102" xfId="49" applyFont="1" applyBorder="1" applyAlignment="1">
      <alignment horizontal="center" vertical="center" wrapText="1"/>
    </xf>
    <xf numFmtId="0" fontId="14" fillId="0" borderId="103" xfId="49" applyFont="1" applyBorder="1" applyAlignment="1">
      <alignment horizontal="center" vertical="center" wrapText="1"/>
    </xf>
    <xf numFmtId="9" fontId="14" fillId="0" borderId="26" xfId="49" applyNumberFormat="1" applyFont="1" applyBorder="1" applyAlignment="1">
      <alignment horizontal="center" vertical="center" wrapText="1"/>
    </xf>
    <xf numFmtId="0" fontId="14" fillId="0" borderId="12" xfId="49" applyFont="1" applyBorder="1" applyAlignment="1">
      <alignment horizontal="center" vertical="center" wrapText="1"/>
    </xf>
    <xf numFmtId="0" fontId="14" fillId="0" borderId="15" xfId="49" applyFont="1" applyBorder="1" applyAlignment="1">
      <alignment horizontal="center" vertical="center" wrapText="1"/>
    </xf>
    <xf numFmtId="0" fontId="14" fillId="0" borderId="12" xfId="49" applyBorder="1" applyAlignment="1">
      <alignment horizontal="center" vertical="center" wrapText="1"/>
    </xf>
    <xf numFmtId="0" fontId="31" fillId="0" borderId="9" xfId="49" applyFont="1" applyBorder="1" applyAlignment="1"/>
    <xf numFmtId="0" fontId="14" fillId="0" borderId="23" xfId="38" applyFont="1" applyFill="1" applyBorder="1" applyAlignment="1">
      <alignment horizontal="center" vertical="justify"/>
    </xf>
    <xf numFmtId="9" fontId="14" fillId="0" borderId="32" xfId="38" applyNumberFormat="1" applyFont="1" applyFill="1" applyBorder="1" applyAlignment="1" applyProtection="1">
      <alignment horizontal="center"/>
    </xf>
    <xf numFmtId="9" fontId="14" fillId="0" borderId="32" xfId="38" applyNumberFormat="1" applyFill="1" applyBorder="1" applyAlignment="1">
      <alignment horizontal="center"/>
    </xf>
    <xf numFmtId="9" fontId="14" fillId="0" borderId="33" xfId="38" applyNumberFormat="1" applyFill="1" applyBorder="1" applyAlignment="1">
      <alignment horizontal="center"/>
    </xf>
    <xf numFmtId="9" fontId="31" fillId="0" borderId="33" xfId="38" applyNumberFormat="1" applyFont="1" applyFill="1" applyBorder="1" applyAlignment="1">
      <alignment horizontal="center"/>
    </xf>
    <xf numFmtId="9" fontId="14" fillId="0" borderId="9" xfId="38" applyNumberFormat="1" applyFont="1" applyFill="1" applyBorder="1" applyAlignment="1">
      <alignment horizontal="center"/>
    </xf>
    <xf numFmtId="9" fontId="14" fillId="0" borderId="29" xfId="38" applyNumberFormat="1" applyFont="1" applyFill="1" applyBorder="1" applyAlignment="1">
      <alignment horizontal="center"/>
    </xf>
    <xf numFmtId="9" fontId="31" fillId="0" borderId="32" xfId="38" applyNumberFormat="1" applyFont="1" applyFill="1" applyBorder="1" applyAlignment="1">
      <alignment horizontal="center"/>
    </xf>
    <xf numFmtId="9" fontId="14" fillId="0" borderId="19" xfId="38" applyNumberFormat="1" applyFont="1" applyFill="1" applyBorder="1" applyAlignment="1">
      <alignment horizontal="center"/>
    </xf>
    <xf numFmtId="9" fontId="14" fillId="0" borderId="69" xfId="38" applyNumberFormat="1" applyFont="1" applyFill="1" applyBorder="1" applyAlignment="1">
      <alignment horizontal="center"/>
    </xf>
    <xf numFmtId="0" fontId="14" fillId="0" borderId="0" xfId="38" applyNumberFormat="1" applyFont="1" applyFill="1" applyBorder="1" applyAlignment="1" applyProtection="1">
      <alignment horizontal="center"/>
    </xf>
    <xf numFmtId="0" fontId="14" fillId="0" borderId="104" xfId="38" applyFont="1" applyFill="1" applyBorder="1" applyAlignment="1">
      <alignment horizontal="center" vertical="justify"/>
    </xf>
    <xf numFmtId="9" fontId="31" fillId="0" borderId="40" xfId="38" applyNumberFormat="1" applyFont="1" applyFill="1" applyBorder="1" applyAlignment="1">
      <alignment horizontal="center"/>
    </xf>
    <xf numFmtId="9" fontId="14" fillId="0" borderId="15" xfId="38" applyNumberFormat="1" applyFill="1" applyBorder="1" applyAlignment="1">
      <alignment horizontal="center"/>
    </xf>
    <xf numFmtId="3" fontId="35" fillId="0" borderId="0" xfId="38" applyNumberFormat="1" applyFont="1" applyBorder="1" applyAlignment="1">
      <alignment horizontal="center"/>
    </xf>
    <xf numFmtId="9" fontId="31" fillId="0" borderId="42" xfId="38" applyNumberFormat="1" applyFont="1" applyFill="1" applyBorder="1" applyAlignment="1">
      <alignment horizontal="center"/>
    </xf>
    <xf numFmtId="9" fontId="31" fillId="0" borderId="43" xfId="38" applyNumberFormat="1" applyFont="1" applyFill="1" applyBorder="1" applyAlignment="1">
      <alignment horizontal="center"/>
    </xf>
    <xf numFmtId="9" fontId="31" fillId="0" borderId="44" xfId="38" applyNumberFormat="1" applyFont="1" applyFill="1" applyBorder="1" applyAlignment="1">
      <alignment horizontal="center"/>
    </xf>
    <xf numFmtId="0" fontId="14" fillId="0" borderId="23" xfId="38" applyFill="1" applyBorder="1" applyAlignment="1">
      <alignment horizontal="center"/>
    </xf>
    <xf numFmtId="0" fontId="14" fillId="0" borderId="34" xfId="38" applyFill="1" applyBorder="1" applyAlignment="1">
      <alignment horizontal="center"/>
    </xf>
    <xf numFmtId="9" fontId="31" fillId="0" borderId="45" xfId="38" applyNumberFormat="1" applyFont="1" applyFill="1" applyBorder="1" applyAlignment="1">
      <alignment horizontal="center"/>
    </xf>
    <xf numFmtId="9" fontId="14" fillId="0" borderId="38" xfId="38" applyNumberFormat="1" applyFill="1" applyBorder="1" applyAlignment="1">
      <alignment horizontal="center"/>
    </xf>
    <xf numFmtId="9" fontId="14" fillId="0" borderId="86" xfId="38" applyNumberFormat="1" applyFill="1" applyBorder="1" applyAlignment="1">
      <alignment horizontal="center"/>
    </xf>
    <xf numFmtId="9" fontId="14" fillId="0" borderId="11" xfId="38" applyNumberFormat="1" applyFill="1" applyBorder="1" applyAlignment="1">
      <alignment horizontal="center"/>
    </xf>
    <xf numFmtId="9" fontId="14" fillId="0" borderId="22" xfId="38" applyNumberFormat="1" applyFill="1" applyBorder="1" applyAlignment="1">
      <alignment horizontal="center"/>
    </xf>
    <xf numFmtId="9" fontId="14" fillId="0" borderId="95" xfId="38" applyNumberFormat="1" applyFill="1" applyBorder="1" applyAlignment="1">
      <alignment horizontal="center"/>
    </xf>
    <xf numFmtId="9" fontId="14" fillId="0" borderId="51" xfId="38" applyNumberFormat="1" applyFill="1" applyBorder="1" applyAlignment="1">
      <alignment horizontal="center"/>
    </xf>
    <xf numFmtId="0" fontId="14" fillId="0" borderId="13" xfId="38" applyBorder="1" applyAlignment="1">
      <alignment horizontal="center"/>
    </xf>
    <xf numFmtId="9" fontId="31" fillId="0" borderId="35" xfId="38" applyNumberFormat="1" applyFont="1" applyFill="1" applyBorder="1" applyAlignment="1">
      <alignment horizontal="center"/>
    </xf>
    <xf numFmtId="9" fontId="14" fillId="0" borderId="16" xfId="38" applyNumberFormat="1" applyFill="1" applyBorder="1" applyAlignment="1">
      <alignment horizontal="center"/>
    </xf>
    <xf numFmtId="9" fontId="14" fillId="0" borderId="39" xfId="38" applyNumberFormat="1" applyFill="1" applyBorder="1" applyAlignment="1">
      <alignment horizontal="center"/>
    </xf>
    <xf numFmtId="0" fontId="51"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17" xfId="0" applyFont="1" applyBorder="1" applyAlignment="1">
      <alignment horizontal="center" vertical="center" wrapText="1"/>
    </xf>
    <xf numFmtId="0" fontId="43" fillId="0" borderId="17" xfId="49" applyFont="1" applyBorder="1"/>
    <xf numFmtId="0" fontId="54"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7" xfId="0" applyFont="1" applyBorder="1" applyAlignment="1">
      <alignment horizontal="center" vertical="center" wrapText="1"/>
    </xf>
    <xf numFmtId="0" fontId="54" fillId="0" borderId="0" xfId="0" applyFont="1" applyBorder="1" applyAlignment="1">
      <alignment horizontal="center" vertical="center"/>
    </xf>
    <xf numFmtId="0" fontId="30" fillId="0" borderId="0" xfId="0" applyFont="1" applyBorder="1" applyAlignment="1">
      <alignment horizontal="center" vertical="center"/>
    </xf>
    <xf numFmtId="0" fontId="30" fillId="0" borderId="17" xfId="0" applyFont="1" applyBorder="1" applyAlignment="1">
      <alignment horizontal="center" vertical="center"/>
    </xf>
    <xf numFmtId="9" fontId="26" fillId="0" borderId="17" xfId="0" applyNumberFormat="1" applyFont="1" applyBorder="1" applyAlignment="1">
      <alignment horizontal="center"/>
    </xf>
    <xf numFmtId="9" fontId="14" fillId="0" borderId="17" xfId="46" applyNumberFormat="1" applyFont="1" applyBorder="1" applyAlignment="1">
      <alignment horizontal="center" wrapText="1"/>
    </xf>
    <xf numFmtId="0" fontId="51" fillId="0" borderId="9"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7" xfId="0" applyFont="1" applyBorder="1" applyAlignment="1">
      <alignment horizontal="center" vertical="center" wrapText="1"/>
    </xf>
    <xf numFmtId="0" fontId="43" fillId="0" borderId="9" xfId="49" applyFont="1" applyBorder="1"/>
    <xf numFmtId="0" fontId="30" fillId="0" borderId="9" xfId="0" applyFont="1" applyBorder="1" applyAlignment="1">
      <alignment horizontal="center" vertical="center" wrapText="1"/>
    </xf>
    <xf numFmtId="0" fontId="30" fillId="0" borderId="9" xfId="0" applyFont="1" applyBorder="1" applyAlignment="1">
      <alignment horizontal="center" vertical="center"/>
    </xf>
    <xf numFmtId="2" fontId="43" fillId="0" borderId="0" xfId="49" applyNumberFormat="1" applyFont="1" applyBorder="1" applyAlignment="1">
      <alignment horizontal="center" vertical="center"/>
    </xf>
    <xf numFmtId="2" fontId="43" fillId="0" borderId="17" xfId="49" applyNumberFormat="1" applyFont="1" applyBorder="1" applyAlignment="1">
      <alignment horizontal="center" vertical="center"/>
    </xf>
    <xf numFmtId="0" fontId="14" fillId="0" borderId="9" xfId="49" applyFont="1" applyBorder="1"/>
    <xf numFmtId="9" fontId="26" fillId="0" borderId="9" xfId="0" applyNumberFormat="1" applyFont="1" applyBorder="1" applyAlignment="1">
      <alignment horizontal="center"/>
    </xf>
    <xf numFmtId="9" fontId="14" fillId="0" borderId="9" xfId="46" applyNumberFormat="1" applyFont="1" applyBorder="1" applyAlignment="1">
      <alignment horizontal="center" wrapText="1"/>
    </xf>
    <xf numFmtId="3" fontId="14" fillId="0" borderId="9" xfId="46" applyNumberFormat="1" applyFont="1" applyBorder="1" applyAlignment="1">
      <alignment horizontal="center" wrapText="1"/>
    </xf>
    <xf numFmtId="3" fontId="26" fillId="0" borderId="17" xfId="0" applyNumberFormat="1" applyFont="1" applyBorder="1" applyAlignment="1">
      <alignment horizontal="center"/>
    </xf>
    <xf numFmtId="3" fontId="14" fillId="0" borderId="17" xfId="46" applyNumberFormat="1" applyFont="1" applyBorder="1" applyAlignment="1">
      <alignment horizontal="center" wrapText="1"/>
    </xf>
    <xf numFmtId="0" fontId="31" fillId="0" borderId="9" xfId="49" applyFont="1" applyFill="1" applyBorder="1" applyAlignment="1"/>
    <xf numFmtId="0" fontId="14" fillId="0" borderId="0" xfId="49" applyFill="1" applyBorder="1"/>
    <xf numFmtId="0" fontId="14" fillId="0" borderId="17" xfId="49" applyFill="1" applyBorder="1"/>
    <xf numFmtId="0" fontId="14" fillId="0" borderId="9" xfId="49" applyFont="1" applyBorder="1" applyAlignment="1">
      <alignment horizontal="center" vertical="center"/>
    </xf>
    <xf numFmtId="0" fontId="27" fillId="0" borderId="9" xfId="0" applyFont="1" applyBorder="1" applyAlignment="1">
      <alignment horizontal="center" vertical="center" wrapText="1"/>
    </xf>
    <xf numFmtId="0" fontId="26" fillId="0" borderId="17" xfId="0" applyFont="1" applyBorder="1" applyAlignment="1">
      <alignment horizontal="center" vertical="center" wrapText="1"/>
    </xf>
    <xf numFmtId="2" fontId="43" fillId="0" borderId="9" xfId="49" applyNumberFormat="1" applyFont="1" applyBorder="1" applyAlignment="1">
      <alignment horizontal="center" vertical="center"/>
    </xf>
    <xf numFmtId="3" fontId="35" fillId="0" borderId="9" xfId="49" applyNumberFormat="1" applyFont="1" applyBorder="1" applyAlignment="1">
      <alignment horizontal="center"/>
    </xf>
    <xf numFmtId="3" fontId="31" fillId="0" borderId="9" xfId="46" applyNumberFormat="1" applyFont="1" applyBorder="1" applyAlignment="1">
      <alignment horizontal="center" wrapText="1"/>
    </xf>
    <xf numFmtId="0" fontId="31" fillId="0" borderId="0" xfId="38" applyFont="1" applyBorder="1" applyAlignment="1">
      <alignment horizontal="left"/>
    </xf>
    <xf numFmtId="0" fontId="26" fillId="0" borderId="9" xfId="0" applyFont="1" applyBorder="1" applyAlignment="1">
      <alignment horizontal="center" vertical="center" wrapText="1"/>
    </xf>
    <xf numFmtId="0" fontId="43" fillId="0" borderId="0" xfId="49" applyFont="1" applyBorder="1" applyAlignment="1">
      <alignment wrapText="1"/>
    </xf>
    <xf numFmtId="0" fontId="14" fillId="0" borderId="9" xfId="49" applyFont="1" applyFill="1" applyBorder="1"/>
    <xf numFmtId="3" fontId="14" fillId="0" borderId="9" xfId="49" applyNumberFormat="1" applyFont="1" applyFill="1" applyBorder="1" applyAlignment="1">
      <alignment horizontal="center"/>
    </xf>
    <xf numFmtId="3" fontId="14" fillId="0" borderId="17" xfId="48" applyNumberFormat="1" applyFont="1" applyBorder="1" applyAlignment="1">
      <alignment horizontal="center" wrapText="1"/>
    </xf>
    <xf numFmtId="0" fontId="31" fillId="0" borderId="9" xfId="49" applyFont="1" applyBorder="1"/>
    <xf numFmtId="0" fontId="30" fillId="0" borderId="0" xfId="45" applyFont="1" applyFill="1" applyBorder="1" applyAlignment="1">
      <alignment vertical="center" wrapText="1"/>
    </xf>
    <xf numFmtId="0" fontId="43" fillId="0" borderId="0" xfId="0" applyFont="1" applyBorder="1" applyAlignment="1">
      <alignment vertical="center" wrapText="1"/>
    </xf>
    <xf numFmtId="0" fontId="43" fillId="0" borderId="17" xfId="0" applyFont="1" applyBorder="1" applyAlignment="1">
      <alignment vertical="center" wrapText="1"/>
    </xf>
    <xf numFmtId="3" fontId="14" fillId="0" borderId="17" xfId="52" applyNumberFormat="1" applyFont="1" applyBorder="1" applyAlignment="1">
      <alignment horizontal="center"/>
    </xf>
    <xf numFmtId="2" fontId="43" fillId="0" borderId="0" xfId="49" applyNumberFormat="1" applyFont="1" applyBorder="1" applyAlignment="1">
      <alignment horizontal="center" vertical="center" wrapText="1"/>
    </xf>
    <xf numFmtId="0" fontId="43" fillId="0" borderId="9" xfId="0" applyFont="1" applyBorder="1" applyAlignment="1">
      <alignment vertical="center" wrapText="1"/>
    </xf>
    <xf numFmtId="9" fontId="43" fillId="0" borderId="0" xfId="49" applyNumberFormat="1" applyFont="1" applyBorder="1" applyAlignment="1">
      <alignment horizontal="center"/>
    </xf>
    <xf numFmtId="9" fontId="28" fillId="0" borderId="17" xfId="49" applyNumberFormat="1" applyFont="1" applyBorder="1" applyAlignment="1">
      <alignment horizontal="center"/>
    </xf>
    <xf numFmtId="9" fontId="14" fillId="0" borderId="9" xfId="52" applyFont="1" applyBorder="1"/>
    <xf numFmtId="3" fontId="14" fillId="0" borderId="0" xfId="49" applyNumberFormat="1" applyFill="1" applyBorder="1"/>
    <xf numFmtId="3" fontId="14" fillId="0" borderId="9" xfId="52" applyNumberFormat="1" applyFont="1" applyBorder="1" applyAlignment="1">
      <alignment horizontal="center"/>
    </xf>
    <xf numFmtId="175" fontId="31" fillId="0" borderId="9" xfId="49" applyNumberFormat="1" applyFont="1" applyBorder="1" applyAlignment="1">
      <alignment horizontal="center" vertical="center" wrapText="1"/>
    </xf>
    <xf numFmtId="175" fontId="14" fillId="0" borderId="9" xfId="49" applyNumberFormat="1" applyFont="1" applyBorder="1" applyAlignment="1">
      <alignment horizontal="center" vertical="center" wrapText="1"/>
    </xf>
    <xf numFmtId="175" fontId="87" fillId="0" borderId="9" xfId="49" applyNumberFormat="1" applyFont="1" applyBorder="1" applyAlignment="1">
      <alignment horizontal="center" vertical="center" wrapText="1"/>
    </xf>
    <xf numFmtId="175" fontId="14" fillId="0" borderId="9" xfId="49" applyNumberFormat="1" applyFont="1" applyBorder="1" applyAlignment="1">
      <alignment horizontal="center"/>
    </xf>
    <xf numFmtId="175" fontId="14" fillId="0" borderId="29" xfId="49" applyNumberFormat="1" applyFont="1" applyBorder="1" applyAlignment="1">
      <alignment horizontal="center"/>
    </xf>
    <xf numFmtId="175" fontId="28" fillId="0" borderId="9" xfId="49" applyNumberFormat="1" applyFont="1" applyBorder="1" applyAlignment="1">
      <alignment horizontal="center"/>
    </xf>
    <xf numFmtId="0" fontId="14" fillId="0" borderId="80" xfId="49" applyBorder="1" applyAlignment="1">
      <alignment horizontal="center" vertical="center"/>
    </xf>
    <xf numFmtId="0" fontId="14" fillId="0" borderId="105" xfId="49" applyBorder="1" applyAlignment="1">
      <alignment horizontal="center" vertical="center"/>
    </xf>
    <xf numFmtId="0" fontId="60" fillId="0" borderId="26" xfId="49" applyFont="1" applyBorder="1" applyAlignment="1">
      <alignment horizontal="center" vertical="center" wrapText="1"/>
    </xf>
    <xf numFmtId="0" fontId="14" fillId="0" borderId="26" xfId="49" applyFont="1" applyBorder="1" applyAlignment="1">
      <alignment horizontal="center" vertical="center" wrapText="1"/>
    </xf>
    <xf numFmtId="175" fontId="87" fillId="0" borderId="0" xfId="49" applyNumberFormat="1" applyFont="1" applyBorder="1" applyAlignment="1">
      <alignment horizontal="center"/>
    </xf>
    <xf numFmtId="172" fontId="87" fillId="0" borderId="26" xfId="49" applyNumberFormat="1" applyFont="1" applyBorder="1" applyAlignment="1">
      <alignment horizontal="center"/>
    </xf>
    <xf numFmtId="175" fontId="14" fillId="0" borderId="32" xfId="49" applyNumberFormat="1" applyFont="1" applyBorder="1" applyAlignment="1">
      <alignment horizontal="center"/>
    </xf>
    <xf numFmtId="172" fontId="14" fillId="0" borderId="31" xfId="49" applyNumberFormat="1" applyFont="1" applyBorder="1" applyAlignment="1">
      <alignment horizontal="center"/>
    </xf>
    <xf numFmtId="172" fontId="61" fillId="0" borderId="26" xfId="49" applyNumberFormat="1" applyFont="1" applyBorder="1" applyAlignment="1">
      <alignment horizontal="center"/>
    </xf>
    <xf numFmtId="175" fontId="28" fillId="0" borderId="0" xfId="49" applyNumberFormat="1" applyFont="1" applyBorder="1" applyAlignment="1">
      <alignment horizontal="center"/>
    </xf>
    <xf numFmtId="172" fontId="28" fillId="0" borderId="26" xfId="49" applyNumberFormat="1" applyFont="1" applyBorder="1" applyAlignment="1">
      <alignment horizontal="center"/>
    </xf>
    <xf numFmtId="0" fontId="14" fillId="0" borderId="23" xfId="49" applyBorder="1" applyAlignment="1">
      <alignment horizontal="center" wrapText="1"/>
    </xf>
    <xf numFmtId="175" fontId="14" fillId="0" borderId="29" xfId="49" applyNumberFormat="1" applyFont="1" applyBorder="1" applyAlignment="1">
      <alignment horizontal="center" vertical="center" wrapText="1"/>
    </xf>
    <xf numFmtId="172" fontId="31" fillId="0" borderId="26" xfId="49" applyNumberFormat="1" applyFont="1" applyBorder="1" applyAlignment="1">
      <alignment horizontal="center"/>
    </xf>
    <xf numFmtId="0" fontId="60" fillId="0" borderId="25" xfId="49" applyFont="1" applyBorder="1" applyAlignment="1">
      <alignment horizontal="center" vertical="center" wrapText="1"/>
    </xf>
    <xf numFmtId="172" fontId="31" fillId="0" borderId="25" xfId="49" applyNumberFormat="1" applyFont="1" applyBorder="1" applyAlignment="1">
      <alignment horizontal="center"/>
    </xf>
    <xf numFmtId="172" fontId="14" fillId="0" borderId="30" xfId="49" applyNumberFormat="1" applyFont="1" applyBorder="1" applyAlignment="1">
      <alignment horizontal="center"/>
    </xf>
    <xf numFmtId="172" fontId="87" fillId="0" borderId="25" xfId="49" applyNumberFormat="1" applyFont="1" applyBorder="1" applyAlignment="1">
      <alignment horizontal="center"/>
    </xf>
    <xf numFmtId="172" fontId="28" fillId="0" borderId="25" xfId="49" applyNumberFormat="1" applyFont="1" applyBorder="1" applyAlignment="1">
      <alignment horizontal="center"/>
    </xf>
    <xf numFmtId="172" fontId="14" fillId="0" borderId="32" xfId="49" applyNumberFormat="1" applyFont="1" applyBorder="1" applyAlignment="1">
      <alignment horizontal="center"/>
    </xf>
    <xf numFmtId="9" fontId="87" fillId="0" borderId="0" xfId="49" applyNumberFormat="1" applyFont="1" applyBorder="1" applyAlignment="1">
      <alignment horizontal="center"/>
    </xf>
    <xf numFmtId="172" fontId="87" fillId="0" borderId="0" xfId="49" applyNumberFormat="1" applyFont="1" applyBorder="1" applyAlignment="1">
      <alignment horizontal="center"/>
    </xf>
    <xf numFmtId="172" fontId="31" fillId="0" borderId="0" xfId="49" applyNumberFormat="1" applyFont="1" applyBorder="1" applyAlignment="1">
      <alignment horizontal="center"/>
    </xf>
    <xf numFmtId="172" fontId="28" fillId="0" borderId="0" xfId="49" applyNumberFormat="1" applyFont="1" applyBorder="1" applyAlignment="1">
      <alignment horizontal="center"/>
    </xf>
    <xf numFmtId="9" fontId="31" fillId="0" borderId="15" xfId="49" applyNumberFormat="1" applyFont="1" applyBorder="1" applyAlignment="1">
      <alignment horizontal="center"/>
    </xf>
    <xf numFmtId="172" fontId="31" fillId="0" borderId="15" xfId="49" applyNumberFormat="1" applyFont="1" applyBorder="1" applyAlignment="1">
      <alignment horizontal="center" vertical="center" wrapText="1"/>
    </xf>
    <xf numFmtId="172" fontId="14" fillId="0" borderId="15" xfId="49" applyNumberFormat="1" applyFont="1" applyBorder="1" applyAlignment="1">
      <alignment horizontal="center"/>
    </xf>
    <xf numFmtId="0" fontId="60" fillId="0" borderId="0" xfId="49" applyFont="1" applyBorder="1" applyAlignment="1">
      <alignment horizontal="center" vertical="center" wrapText="1"/>
    </xf>
    <xf numFmtId="0" fontId="14" fillId="0" borderId="32" xfId="49" applyFont="1" applyBorder="1" applyAlignment="1">
      <alignment horizontal="center" vertical="center" wrapText="1"/>
    </xf>
    <xf numFmtId="0" fontId="14" fillId="0" borderId="95" xfId="49" applyFont="1" applyBorder="1" applyAlignment="1">
      <alignment horizontal="center" vertical="center" wrapText="1"/>
    </xf>
    <xf numFmtId="0" fontId="14" fillId="0" borderId="32" xfId="49" applyBorder="1" applyAlignment="1">
      <alignment horizontal="center" vertical="center" wrapText="1"/>
    </xf>
    <xf numFmtId="172" fontId="31" fillId="0" borderId="32" xfId="49" applyNumberFormat="1" applyFont="1" applyBorder="1" applyAlignment="1">
      <alignment horizontal="center"/>
    </xf>
    <xf numFmtId="0" fontId="14" fillId="0" borderId="38" xfId="49" applyBorder="1" applyAlignment="1">
      <alignment horizontal="center"/>
    </xf>
    <xf numFmtId="175" fontId="14" fillId="0" borderId="38" xfId="49" applyNumberFormat="1" applyFont="1" applyBorder="1" applyAlignment="1">
      <alignment horizontal="center"/>
    </xf>
    <xf numFmtId="172" fontId="61" fillId="0" borderId="38" xfId="49" applyNumberFormat="1" applyFont="1" applyBorder="1" applyAlignment="1">
      <alignment horizontal="center"/>
    </xf>
    <xf numFmtId="172" fontId="14" fillId="0" borderId="38" xfId="49" applyNumberFormat="1" applyFont="1" applyBorder="1" applyAlignment="1">
      <alignment horizontal="center"/>
    </xf>
    <xf numFmtId="9" fontId="61" fillId="0" borderId="38" xfId="49" applyNumberFormat="1" applyFont="1" applyBorder="1" applyAlignment="1">
      <alignment horizontal="center"/>
    </xf>
    <xf numFmtId="9" fontId="14" fillId="0" borderId="17" xfId="49" applyNumberFormat="1" applyFont="1" applyBorder="1" applyAlignment="1">
      <alignment horizontal="center"/>
    </xf>
    <xf numFmtId="0" fontId="14" fillId="0" borderId="66" xfId="49" applyBorder="1"/>
    <xf numFmtId="9" fontId="14" fillId="0" borderId="78" xfId="49" applyNumberFormat="1" applyBorder="1" applyAlignment="1">
      <alignment horizontal="center"/>
    </xf>
    <xf numFmtId="3" fontId="14" fillId="0" borderId="38" xfId="49" applyNumberFormat="1" applyBorder="1"/>
    <xf numFmtId="172" fontId="61" fillId="0" borderId="14" xfId="49" applyNumberFormat="1" applyFont="1" applyBorder="1" applyAlignment="1">
      <alignment horizontal="center"/>
    </xf>
    <xf numFmtId="172" fontId="61" fillId="0" borderId="15" xfId="49" applyNumberFormat="1" applyFont="1" applyBorder="1" applyAlignment="1">
      <alignment horizontal="center"/>
    </xf>
    <xf numFmtId="0" fontId="14" fillId="0" borderId="81" xfId="49" applyBorder="1"/>
    <xf numFmtId="0" fontId="14" fillId="0" borderId="15" xfId="49" applyBorder="1"/>
    <xf numFmtId="0" fontId="14" fillId="0" borderId="78" xfId="49" applyBorder="1"/>
    <xf numFmtId="172" fontId="14" fillId="0" borderId="15" xfId="49" applyNumberFormat="1" applyBorder="1" applyAlignment="1">
      <alignment horizontal="center"/>
    </xf>
    <xf numFmtId="172" fontId="14" fillId="0" borderId="0" xfId="49" applyNumberFormat="1" applyBorder="1" applyAlignment="1">
      <alignment horizontal="center"/>
    </xf>
    <xf numFmtId="172" fontId="14" fillId="0" borderId="0" xfId="49" applyNumberFormat="1" applyFont="1" applyBorder="1" applyAlignment="1">
      <alignment horizontal="left"/>
    </xf>
    <xf numFmtId="9" fontId="14" fillId="0" borderId="15" xfId="49" applyNumberFormat="1" applyBorder="1" applyAlignment="1">
      <alignment horizontal="center"/>
    </xf>
    <xf numFmtId="197" fontId="14" fillId="0" borderId="38" xfId="49" applyNumberFormat="1" applyBorder="1"/>
    <xf numFmtId="0" fontId="14" fillId="0" borderId="38" xfId="49" applyBorder="1"/>
    <xf numFmtId="9" fontId="35" fillId="0" borderId="26" xfId="49" applyNumberFormat="1" applyFont="1" applyBorder="1" applyAlignment="1">
      <alignment horizontal="center"/>
    </xf>
    <xf numFmtId="9" fontId="35" fillId="0" borderId="37" xfId="49" applyNumberFormat="1" applyFont="1" applyBorder="1" applyAlignment="1">
      <alignment horizontal="center"/>
    </xf>
    <xf numFmtId="0" fontId="35" fillId="0" borderId="0" xfId="49" applyFont="1" applyBorder="1"/>
    <xf numFmtId="0" fontId="14" fillId="0" borderId="106" xfId="49" applyBorder="1"/>
    <xf numFmtId="172" fontId="14" fillId="0" borderId="107" xfId="49" applyNumberFormat="1" applyFont="1" applyBorder="1" applyAlignment="1">
      <alignment horizontal="center"/>
    </xf>
    <xf numFmtId="172" fontId="61" fillId="0" borderId="81" xfId="49" applyNumberFormat="1" applyFont="1" applyBorder="1" applyAlignment="1">
      <alignment horizontal="center"/>
    </xf>
    <xf numFmtId="9" fontId="61" fillId="0" borderId="26" xfId="49" applyNumberFormat="1" applyFont="1" applyBorder="1" applyAlignment="1">
      <alignment horizontal="center"/>
    </xf>
    <xf numFmtId="0" fontId="14" fillId="0" borderId="36" xfId="49" applyBorder="1"/>
    <xf numFmtId="2" fontId="14" fillId="0" borderId="106" xfId="41" applyNumberFormat="1" applyFont="1" applyFill="1" applyBorder="1" applyAlignment="1">
      <alignment horizontal="center"/>
    </xf>
    <xf numFmtId="2" fontId="31" fillId="0" borderId="107" xfId="41" applyNumberFormat="1" applyFont="1" applyFill="1" applyBorder="1" applyAlignment="1">
      <alignment horizontal="center"/>
    </xf>
    <xf numFmtId="2" fontId="14" fillId="0" borderId="26" xfId="41" applyNumberFormat="1" applyFont="1" applyFill="1" applyBorder="1" applyAlignment="1">
      <alignment horizontal="center" vertical="center"/>
    </xf>
    <xf numFmtId="172" fontId="31" fillId="0" borderId="26" xfId="41" applyNumberFormat="1" applyFont="1" applyFill="1" applyBorder="1" applyAlignment="1">
      <alignment horizontal="center"/>
    </xf>
    <xf numFmtId="172" fontId="14" fillId="0" borderId="26" xfId="41" applyNumberFormat="1" applyFill="1" applyBorder="1"/>
    <xf numFmtId="9" fontId="45" fillId="0" borderId="26" xfId="41" applyNumberFormat="1" applyFont="1" applyFill="1" applyBorder="1" applyAlignment="1">
      <alignment horizontal="center"/>
    </xf>
    <xf numFmtId="172" fontId="45" fillId="0" borderId="26" xfId="41" applyNumberFormat="1" applyFont="1" applyFill="1" applyBorder="1" applyAlignment="1">
      <alignment horizontal="center"/>
    </xf>
    <xf numFmtId="9" fontId="45" fillId="0" borderId="37" xfId="41" applyNumberFormat="1" applyFont="1" applyFill="1" applyBorder="1" applyAlignment="1">
      <alignment horizontal="center"/>
    </xf>
    <xf numFmtId="0" fontId="14" fillId="0" borderId="26" xfId="49" applyBorder="1" applyAlignment="1">
      <alignment horizontal="center" vertical="center" wrapText="1"/>
    </xf>
    <xf numFmtId="172" fontId="31" fillId="0" borderId="37" xfId="41" applyNumberFormat="1" applyFont="1" applyFill="1" applyBorder="1"/>
    <xf numFmtId="172" fontId="44" fillId="0" borderId="15" xfId="41" applyNumberFormat="1" applyFont="1" applyFill="1" applyBorder="1" applyAlignment="1">
      <alignment horizontal="center"/>
    </xf>
    <xf numFmtId="9" fontId="31" fillId="0" borderId="15" xfId="41" applyNumberFormat="1" applyFont="1" applyFill="1" applyBorder="1" applyAlignment="1">
      <alignment horizontal="center"/>
    </xf>
    <xf numFmtId="172" fontId="31" fillId="0" borderId="15" xfId="41" applyNumberFormat="1" applyFont="1" applyFill="1" applyBorder="1" applyAlignment="1">
      <alignment horizontal="center"/>
    </xf>
    <xf numFmtId="172" fontId="31" fillId="0" borderId="81" xfId="41" applyNumberFormat="1" applyFont="1" applyFill="1" applyBorder="1" applyAlignment="1">
      <alignment horizontal="center"/>
    </xf>
    <xf numFmtId="0" fontId="14" fillId="0" borderId="81" xfId="49" applyBorder="1" applyAlignment="1">
      <alignment horizontal="center" vertical="center" wrapText="1"/>
    </xf>
    <xf numFmtId="172" fontId="14" fillId="0" borderId="36" xfId="49" applyNumberFormat="1" applyFont="1" applyBorder="1" applyAlignment="1">
      <alignment horizontal="center"/>
    </xf>
    <xf numFmtId="172" fontId="14" fillId="0" borderId="37" xfId="49" applyNumberFormat="1" applyFont="1" applyBorder="1" applyAlignment="1">
      <alignment horizontal="center"/>
    </xf>
    <xf numFmtId="0" fontId="74" fillId="0" borderId="25" xfId="49" applyFont="1" applyBorder="1" applyAlignment="1">
      <alignment horizontal="center" vertical="center" wrapText="1"/>
    </xf>
    <xf numFmtId="9" fontId="48" fillId="0" borderId="0" xfId="49" applyNumberFormat="1" applyFont="1" applyBorder="1" applyAlignment="1">
      <alignment horizontal="center" vertical="center" wrapText="1"/>
    </xf>
    <xf numFmtId="10" fontId="14" fillId="0" borderId="0" xfId="49" applyNumberFormat="1"/>
    <xf numFmtId="9" fontId="31" fillId="0" borderId="36" xfId="49" applyNumberFormat="1" applyFont="1" applyBorder="1" applyAlignment="1">
      <alignment horizontal="center"/>
    </xf>
    <xf numFmtId="0" fontId="74" fillId="0" borderId="15" xfId="49" applyFont="1" applyBorder="1" applyAlignment="1">
      <alignment horizontal="center" vertical="center" wrapText="1"/>
    </xf>
    <xf numFmtId="9" fontId="48" fillId="0" borderId="32" xfId="49" applyNumberFormat="1" applyFont="1" applyBorder="1" applyAlignment="1">
      <alignment horizontal="center" vertical="center" wrapText="1"/>
    </xf>
    <xf numFmtId="9" fontId="31" fillId="0" borderId="30" xfId="49" applyNumberFormat="1" applyFont="1" applyBorder="1" applyAlignment="1">
      <alignment horizontal="center" vertical="center" wrapText="1"/>
    </xf>
    <xf numFmtId="9" fontId="14" fillId="0" borderId="31" xfId="49" applyNumberFormat="1" applyFont="1" applyBorder="1" applyAlignment="1">
      <alignment horizontal="center" vertical="center" wrapText="1"/>
    </xf>
    <xf numFmtId="9" fontId="86" fillId="0" borderId="32" xfId="49" applyNumberFormat="1" applyFont="1" applyBorder="1" applyAlignment="1">
      <alignment horizontal="center" vertical="center" wrapText="1"/>
    </xf>
    <xf numFmtId="9" fontId="86" fillId="0" borderId="95" xfId="49" applyNumberFormat="1" applyFont="1" applyBorder="1" applyAlignment="1">
      <alignment horizontal="center"/>
    </xf>
    <xf numFmtId="9" fontId="14" fillId="0" borderId="0" xfId="52" applyFont="1" applyFill="1" applyBorder="1" applyAlignment="1">
      <alignment horizontal="center" vertical="center" wrapText="1"/>
    </xf>
    <xf numFmtId="9" fontId="14" fillId="0" borderId="32" xfId="52" applyFont="1" applyFill="1" applyBorder="1" applyAlignment="1">
      <alignment horizontal="center" vertical="center" wrapText="1"/>
    </xf>
    <xf numFmtId="9" fontId="14" fillId="0" borderId="68" xfId="52" applyFont="1" applyFill="1" applyBorder="1" applyAlignment="1">
      <alignment horizontal="center" vertical="center" wrapText="1"/>
    </xf>
    <xf numFmtId="9" fontId="31" fillId="0" borderId="9" xfId="38" applyNumberFormat="1" applyFont="1" applyFill="1" applyBorder="1" applyAlignment="1">
      <alignment horizontal="center" vertical="center" wrapText="1"/>
    </xf>
    <xf numFmtId="9" fontId="14" fillId="0" borderId="0" xfId="54" applyFont="1" applyFill="1" applyBorder="1" applyAlignment="1">
      <alignment horizontal="center" vertical="center" wrapText="1"/>
    </xf>
    <xf numFmtId="9" fontId="31" fillId="0" borderId="9" xfId="54" applyFont="1" applyFill="1" applyBorder="1" applyAlignment="1">
      <alignment horizontal="center" vertical="center" wrapText="1"/>
    </xf>
    <xf numFmtId="9" fontId="14" fillId="0" borderId="32" xfId="54" applyFont="1" applyFill="1" applyBorder="1" applyAlignment="1">
      <alignment horizontal="center" vertical="center" wrapText="1"/>
    </xf>
    <xf numFmtId="9" fontId="31" fillId="0" borderId="29" xfId="54" applyFont="1" applyFill="1" applyBorder="1" applyAlignment="1">
      <alignment horizontal="center" vertical="center" wrapText="1"/>
    </xf>
    <xf numFmtId="9" fontId="31" fillId="0" borderId="9" xfId="38" applyNumberFormat="1" applyFont="1" applyBorder="1" applyAlignment="1">
      <alignment horizontal="center"/>
    </xf>
    <xf numFmtId="0" fontId="14" fillId="0" borderId="108" xfId="38" applyFont="1" applyFill="1" applyBorder="1" applyAlignment="1">
      <alignment horizontal="center" vertical="center" wrapText="1"/>
    </xf>
    <xf numFmtId="9" fontId="31" fillId="0" borderId="29" xfId="54" applyFont="1" applyFill="1" applyBorder="1" applyAlignment="1">
      <alignment horizontal="center"/>
    </xf>
    <xf numFmtId="0" fontId="14" fillId="0" borderId="34" xfId="38" applyFont="1" applyFill="1" applyBorder="1" applyAlignment="1">
      <alignment horizontal="center" vertical="center" wrapText="1"/>
    </xf>
    <xf numFmtId="9" fontId="31" fillId="0" borderId="35" xfId="54" applyFont="1" applyFill="1" applyBorder="1" applyAlignment="1">
      <alignment horizontal="center"/>
    </xf>
    <xf numFmtId="9" fontId="14" fillId="0" borderId="0" xfId="38" applyNumberFormat="1" applyFont="1" applyBorder="1" applyAlignment="1">
      <alignment horizontal="center"/>
    </xf>
    <xf numFmtId="9" fontId="14" fillId="0" borderId="20" xfId="38" applyNumberFormat="1" applyFont="1" applyBorder="1" applyAlignment="1">
      <alignment horizontal="center"/>
    </xf>
    <xf numFmtId="9" fontId="14" fillId="0" borderId="32" xfId="38" applyNumberFormat="1" applyFont="1" applyBorder="1" applyAlignment="1">
      <alignment horizontal="center"/>
    </xf>
    <xf numFmtId="9" fontId="14" fillId="0" borderId="38" xfId="38" applyNumberFormat="1" applyFont="1" applyFill="1" applyBorder="1" applyAlignment="1">
      <alignment horizontal="center"/>
    </xf>
    <xf numFmtId="0" fontId="26" fillId="0" borderId="11" xfId="38" applyFont="1" applyFill="1" applyBorder="1" applyAlignment="1">
      <alignment horizontal="center"/>
    </xf>
    <xf numFmtId="0" fontId="31" fillId="0" borderId="0" xfId="49" applyFont="1" applyAlignment="1">
      <alignment vertical="center" wrapText="1"/>
    </xf>
    <xf numFmtId="9" fontId="26" fillId="0" borderId="0" xfId="52" applyFont="1" applyFill="1" applyBorder="1" applyAlignment="1">
      <alignment horizontal="center" vertical="center" wrapText="1"/>
    </xf>
    <xf numFmtId="0" fontId="31" fillId="0" borderId="17" xfId="38" applyFont="1" applyFill="1" applyBorder="1" applyAlignment="1">
      <alignment horizontal="center" vertical="center" wrapText="1"/>
    </xf>
    <xf numFmtId="231" fontId="14" fillId="0" borderId="0" xfId="49" applyNumberFormat="1" applyFont="1" applyBorder="1" applyAlignment="1">
      <alignment horizontal="center"/>
    </xf>
    <xf numFmtId="231" fontId="35" fillId="0" borderId="0" xfId="49" applyNumberFormat="1" applyFont="1" applyBorder="1" applyAlignment="1">
      <alignment horizontal="center"/>
    </xf>
    <xf numFmtId="9" fontId="14" fillId="0" borderId="20" xfId="54" applyFont="1" applyFill="1" applyBorder="1" applyAlignment="1">
      <alignment horizontal="center" vertical="center" wrapText="1"/>
    </xf>
    <xf numFmtId="0" fontId="43" fillId="0" borderId="0" xfId="49" applyFont="1" applyAlignment="1">
      <alignment vertical="center" wrapText="1"/>
    </xf>
    <xf numFmtId="9" fontId="26" fillId="0" borderId="20" xfId="54" applyFont="1" applyBorder="1" applyAlignment="1">
      <alignment horizontal="center"/>
    </xf>
    <xf numFmtId="9" fontId="26" fillId="0" borderId="0" xfId="54" applyFont="1" applyBorder="1" applyAlignment="1">
      <alignment horizontal="center"/>
    </xf>
    <xf numFmtId="0" fontId="43" fillId="0" borderId="0" xfId="49" applyFont="1" applyAlignment="1">
      <alignment wrapText="1"/>
    </xf>
    <xf numFmtId="175" fontId="14" fillId="0" borderId="12" xfId="49" applyNumberFormat="1" applyFont="1" applyBorder="1" applyAlignment="1">
      <alignment horizontal="center"/>
    </xf>
    <xf numFmtId="9" fontId="26" fillId="0" borderId="32" xfId="54" applyFont="1" applyBorder="1" applyAlignment="1">
      <alignment horizontal="center"/>
    </xf>
    <xf numFmtId="9" fontId="26" fillId="0" borderId="32" xfId="54" applyFont="1" applyFill="1" applyBorder="1" applyAlignment="1">
      <alignment horizontal="center"/>
    </xf>
    <xf numFmtId="9" fontId="26" fillId="0" borderId="38" xfId="54" applyFont="1" applyFill="1" applyBorder="1" applyAlignment="1">
      <alignment horizontal="center"/>
    </xf>
    <xf numFmtId="9" fontId="31" fillId="0" borderId="0" xfId="52" applyFont="1" applyFill="1" applyAlignment="1">
      <alignment horizontal="center"/>
    </xf>
    <xf numFmtId="3" fontId="14" fillId="0" borderId="0" xfId="38" applyNumberFormat="1" applyFont="1" applyFill="1" applyBorder="1" applyAlignment="1">
      <alignment horizontal="center"/>
    </xf>
    <xf numFmtId="178" fontId="14" fillId="0" borderId="0" xfId="38" applyNumberFormat="1" applyFont="1" applyFill="1" applyAlignment="1">
      <alignment horizontal="center"/>
    </xf>
    <xf numFmtId="9" fontId="31" fillId="0" borderId="9" xfId="52" applyFont="1" applyFill="1" applyBorder="1" applyAlignment="1">
      <alignment horizontal="center" vertical="center" wrapText="1"/>
    </xf>
    <xf numFmtId="9" fontId="31" fillId="0" borderId="29" xfId="52" applyFont="1" applyFill="1" applyBorder="1" applyAlignment="1">
      <alignment horizontal="center" vertical="center" wrapText="1"/>
    </xf>
    <xf numFmtId="9" fontId="31" fillId="0" borderId="9" xfId="52" applyFont="1" applyBorder="1" applyAlignment="1">
      <alignment horizontal="center"/>
    </xf>
    <xf numFmtId="9" fontId="31" fillId="0" borderId="19" xfId="52" applyFont="1" applyBorder="1" applyAlignment="1">
      <alignment horizontal="center"/>
    </xf>
    <xf numFmtId="9" fontId="31" fillId="0" borderId="29" xfId="52" applyFont="1" applyBorder="1" applyAlignment="1">
      <alignment horizontal="center"/>
    </xf>
    <xf numFmtId="0" fontId="14" fillId="0" borderId="0" xfId="49" applyFont="1" applyFill="1" applyBorder="1" applyAlignment="1">
      <alignment horizontal="center"/>
    </xf>
    <xf numFmtId="1" fontId="14" fillId="0" borderId="0" xfId="49" applyNumberFormat="1" applyFont="1" applyFill="1" applyBorder="1" applyAlignment="1">
      <alignment horizontal="center"/>
    </xf>
    <xf numFmtId="0" fontId="14" fillId="0" borderId="12" xfId="49" applyFont="1" applyFill="1" applyBorder="1" applyAlignment="1">
      <alignment horizontal="center"/>
    </xf>
    <xf numFmtId="1" fontId="35" fillId="0" borderId="0" xfId="49" applyNumberFormat="1" applyFont="1" applyFill="1" applyBorder="1" applyAlignment="1">
      <alignment horizontal="center"/>
    </xf>
    <xf numFmtId="1" fontId="14" fillId="0" borderId="12" xfId="49" applyNumberFormat="1" applyFont="1" applyFill="1" applyBorder="1" applyAlignment="1">
      <alignment horizontal="center"/>
    </xf>
    <xf numFmtId="1" fontId="14" fillId="0" borderId="0" xfId="49" applyNumberFormat="1" applyFont="1" applyAlignment="1">
      <alignment horizontal="center"/>
    </xf>
    <xf numFmtId="9" fontId="31" fillId="0" borderId="29" xfId="38" applyNumberFormat="1" applyFont="1" applyFill="1" applyBorder="1" applyAlignment="1">
      <alignment horizontal="center" vertical="center" wrapText="1"/>
    </xf>
    <xf numFmtId="9" fontId="26" fillId="0" borderId="32" xfId="52" applyFont="1" applyFill="1" applyBorder="1" applyAlignment="1">
      <alignment horizontal="center" vertical="center" wrapText="1"/>
    </xf>
    <xf numFmtId="9" fontId="26" fillId="0" borderId="0" xfId="52" applyFont="1" applyFill="1" applyBorder="1" applyAlignment="1">
      <alignment horizontal="center"/>
    </xf>
    <xf numFmtId="9" fontId="26" fillId="0" borderId="32" xfId="52" applyFont="1" applyFill="1" applyBorder="1" applyAlignment="1">
      <alignment horizontal="center"/>
    </xf>
    <xf numFmtId="9" fontId="26" fillId="0" borderId="68" xfId="52" applyFont="1" applyFill="1" applyBorder="1" applyAlignment="1">
      <alignment horizontal="center"/>
    </xf>
    <xf numFmtId="9" fontId="14" fillId="0" borderId="17" xfId="38" applyNumberFormat="1" applyFont="1" applyFill="1" applyBorder="1" applyAlignment="1">
      <alignment horizontal="center" vertical="center" wrapText="1"/>
    </xf>
    <xf numFmtId="9" fontId="14" fillId="0" borderId="21" xfId="52" applyFont="1" applyFill="1" applyBorder="1" applyAlignment="1">
      <alignment horizontal="center"/>
    </xf>
    <xf numFmtId="9" fontId="14" fillId="0" borderId="70" xfId="52" applyFont="1" applyFill="1" applyBorder="1" applyAlignment="1">
      <alignment horizontal="center"/>
    </xf>
    <xf numFmtId="9" fontId="26" fillId="0" borderId="0" xfId="54" applyNumberFormat="1" applyFont="1" applyFill="1" applyBorder="1" applyAlignment="1">
      <alignment horizontal="center"/>
    </xf>
    <xf numFmtId="9" fontId="26" fillId="0" borderId="20" xfId="54" applyNumberFormat="1" applyFont="1" applyFill="1" applyBorder="1" applyAlignment="1">
      <alignment horizontal="center"/>
    </xf>
    <xf numFmtId="9" fontId="31" fillId="0" borderId="0" xfId="54" applyNumberFormat="1" applyFont="1" applyFill="1" applyBorder="1" applyAlignment="1">
      <alignment horizontal="center"/>
    </xf>
    <xf numFmtId="9" fontId="26" fillId="0" borderId="32" xfId="54" applyNumberFormat="1" applyFont="1" applyFill="1" applyBorder="1" applyAlignment="1">
      <alignment horizontal="center"/>
    </xf>
    <xf numFmtId="9" fontId="14" fillId="0" borderId="32" xfId="54" applyNumberFormat="1" applyFont="1" applyFill="1" applyBorder="1" applyAlignment="1">
      <alignment horizontal="center"/>
    </xf>
    <xf numFmtId="9" fontId="14" fillId="0" borderId="0" xfId="54" applyNumberFormat="1" applyFont="1" applyFill="1" applyBorder="1" applyAlignment="1">
      <alignment horizontal="center"/>
    </xf>
    <xf numFmtId="9" fontId="26" fillId="0" borderId="68" xfId="54" applyNumberFormat="1" applyFont="1" applyFill="1" applyBorder="1" applyAlignment="1">
      <alignment horizontal="center"/>
    </xf>
    <xf numFmtId="9" fontId="14" fillId="0" borderId="20" xfId="52" applyFont="1" applyFill="1" applyBorder="1" applyAlignment="1">
      <alignment horizontal="center"/>
    </xf>
    <xf numFmtId="9" fontId="14" fillId="0" borderId="32" xfId="52" applyFont="1" applyFill="1" applyBorder="1" applyAlignment="1">
      <alignment horizontal="center"/>
    </xf>
    <xf numFmtId="9" fontId="14" fillId="0" borderId="68" xfId="52" applyFont="1" applyFill="1" applyBorder="1" applyAlignment="1">
      <alignment horizontal="center"/>
    </xf>
    <xf numFmtId="0" fontId="14" fillId="0" borderId="11" xfId="38" applyFont="1" applyFill="1" applyBorder="1" applyAlignment="1">
      <alignment horizontal="center"/>
    </xf>
    <xf numFmtId="172" fontId="14" fillId="0" borderId="0" xfId="38" applyNumberFormat="1" applyFont="1" applyAlignment="1">
      <alignment horizontal="center"/>
    </xf>
    <xf numFmtId="172" fontId="14" fillId="0" borderId="0" xfId="52" applyNumberFormat="1" applyFont="1" applyFill="1" applyBorder="1" applyAlignment="1">
      <alignment horizontal="center" vertical="center" wrapText="1"/>
    </xf>
    <xf numFmtId="172" fontId="14" fillId="0" borderId="32" xfId="52" applyNumberFormat="1" applyFont="1" applyFill="1" applyBorder="1" applyAlignment="1">
      <alignment horizontal="center" vertical="center" wrapText="1"/>
    </xf>
    <xf numFmtId="0" fontId="31" fillId="0" borderId="10" xfId="38" applyFont="1" applyFill="1" applyBorder="1" applyAlignment="1">
      <alignment horizontal="center" vertical="center" wrapText="1"/>
    </xf>
    <xf numFmtId="9" fontId="31" fillId="0" borderId="17" xfId="52" applyFont="1" applyFill="1" applyBorder="1" applyAlignment="1">
      <alignment horizontal="center" vertical="center" wrapText="1"/>
    </xf>
    <xf numFmtId="9" fontId="14" fillId="0" borderId="0" xfId="52" applyNumberFormat="1" applyFont="1" applyFill="1" applyBorder="1" applyAlignment="1">
      <alignment horizontal="center" vertical="center" wrapText="1"/>
    </xf>
    <xf numFmtId="9" fontId="14" fillId="0" borderId="32" xfId="52" applyNumberFormat="1" applyFont="1" applyFill="1" applyBorder="1" applyAlignment="1">
      <alignment horizontal="center" vertical="center" wrapText="1"/>
    </xf>
    <xf numFmtId="9" fontId="14" fillId="0" borderId="20" xfId="52" applyNumberFormat="1" applyFont="1" applyFill="1" applyBorder="1" applyAlignment="1">
      <alignment horizontal="center" vertical="center" wrapText="1"/>
    </xf>
    <xf numFmtId="172" fontId="31" fillId="0" borderId="0" xfId="52" applyNumberFormat="1" applyFont="1" applyFill="1" applyBorder="1" applyAlignment="1">
      <alignment horizontal="center" vertical="center" wrapText="1"/>
    </xf>
    <xf numFmtId="9" fontId="14" fillId="0" borderId="29" xfId="38" applyNumberFormat="1" applyFont="1" applyFill="1" applyBorder="1" applyAlignment="1">
      <alignment horizontal="center" vertical="center" wrapText="1"/>
    </xf>
    <xf numFmtId="9" fontId="25" fillId="0" borderId="0" xfId="54" applyNumberFormat="1" applyFont="1" applyFill="1" applyBorder="1" applyAlignment="1">
      <alignment horizontal="center"/>
    </xf>
    <xf numFmtId="172" fontId="14" fillId="0" borderId="0" xfId="54" applyNumberFormat="1" applyFont="1" applyFill="1" applyBorder="1" applyAlignment="1">
      <alignment horizontal="center"/>
    </xf>
    <xf numFmtId="172" fontId="26" fillId="0" borderId="0" xfId="54" applyNumberFormat="1" applyFont="1" applyFill="1" applyBorder="1" applyAlignment="1">
      <alignment horizontal="center"/>
    </xf>
    <xf numFmtId="172" fontId="26" fillId="0" borderId="20" xfId="54" applyNumberFormat="1" applyFont="1" applyFill="1" applyBorder="1" applyAlignment="1">
      <alignment horizontal="center"/>
    </xf>
    <xf numFmtId="172" fontId="31" fillId="0" borderId="0" xfId="54" applyNumberFormat="1" applyFont="1" applyFill="1" applyBorder="1" applyAlignment="1">
      <alignment horizontal="center"/>
    </xf>
    <xf numFmtId="172" fontId="14" fillId="0" borderId="21" xfId="52" applyNumberFormat="1" applyFont="1" applyFill="1" applyBorder="1" applyAlignment="1">
      <alignment horizontal="center" vertical="center" wrapText="1"/>
    </xf>
    <xf numFmtId="172" fontId="14" fillId="0" borderId="17" xfId="38" applyNumberFormat="1" applyFont="1" applyFill="1" applyBorder="1" applyAlignment="1">
      <alignment horizontal="center" vertical="center" wrapText="1"/>
    </xf>
    <xf numFmtId="172" fontId="14" fillId="0" borderId="21" xfId="38" applyNumberFormat="1" applyFont="1" applyFill="1" applyBorder="1" applyAlignment="1">
      <alignment horizontal="center" vertical="center" wrapText="1"/>
    </xf>
    <xf numFmtId="172" fontId="31" fillId="0" borderId="17" xfId="38" applyNumberFormat="1" applyFont="1" applyFill="1" applyBorder="1" applyAlignment="1">
      <alignment horizontal="center" vertical="center" wrapText="1"/>
    </xf>
    <xf numFmtId="172" fontId="14" fillId="0" borderId="33" xfId="38" applyNumberFormat="1" applyFont="1" applyFill="1" applyBorder="1" applyAlignment="1">
      <alignment horizontal="center" vertical="center" wrapText="1"/>
    </xf>
    <xf numFmtId="9" fontId="14" fillId="0" borderId="33" xfId="38" applyNumberFormat="1" applyFont="1" applyFill="1" applyBorder="1" applyAlignment="1">
      <alignment horizontal="center" vertical="center" wrapText="1"/>
    </xf>
    <xf numFmtId="9" fontId="14" fillId="0" borderId="70" xfId="38" applyNumberFormat="1" applyFont="1" applyFill="1" applyBorder="1" applyAlignment="1">
      <alignment horizontal="center" vertical="center" wrapText="1"/>
    </xf>
    <xf numFmtId="9" fontId="31" fillId="0" borderId="0" xfId="52" applyNumberFormat="1" applyFont="1" applyFill="1" applyBorder="1" applyAlignment="1">
      <alignment horizontal="center" vertical="center" wrapText="1"/>
    </xf>
    <xf numFmtId="172" fontId="26" fillId="0" borderId="32" xfId="54" applyNumberFormat="1" applyFont="1" applyFill="1" applyBorder="1" applyAlignment="1">
      <alignment horizontal="center"/>
    </xf>
    <xf numFmtId="172" fontId="14" fillId="0" borderId="32" xfId="54" applyNumberFormat="1" applyFont="1" applyFill="1" applyBorder="1" applyAlignment="1">
      <alignment horizontal="center"/>
    </xf>
    <xf numFmtId="172" fontId="25" fillId="0" borderId="0" xfId="54" applyNumberFormat="1" applyFont="1" applyFill="1" applyBorder="1" applyAlignment="1">
      <alignment horizontal="center"/>
    </xf>
    <xf numFmtId="172" fontId="26" fillId="0" borderId="68" xfId="54" applyNumberFormat="1" applyFont="1" applyFill="1" applyBorder="1" applyAlignment="1">
      <alignment horizontal="center"/>
    </xf>
    <xf numFmtId="9" fontId="31" fillId="0" borderId="29" xfId="52" applyFont="1" applyFill="1" applyBorder="1" applyAlignment="1">
      <alignment horizontal="center"/>
    </xf>
    <xf numFmtId="9" fontId="31" fillId="0" borderId="11" xfId="52" applyFont="1" applyFill="1" applyBorder="1" applyAlignment="1">
      <alignment horizontal="center"/>
    </xf>
    <xf numFmtId="9" fontId="31" fillId="0" borderId="95" xfId="52" applyFont="1" applyFill="1" applyBorder="1" applyAlignment="1">
      <alignment horizontal="center"/>
    </xf>
    <xf numFmtId="9" fontId="14" fillId="0" borderId="11" xfId="52" applyFont="1" applyFill="1" applyBorder="1" applyAlignment="1">
      <alignment horizontal="center"/>
    </xf>
    <xf numFmtId="9" fontId="31" fillId="0" borderId="11" xfId="52" applyFont="1" applyFill="1" applyBorder="1" applyAlignment="1">
      <alignment horizontal="center" vertical="center" wrapText="1"/>
    </xf>
    <xf numFmtId="9" fontId="31" fillId="0" borderId="95" xfId="52" applyFont="1" applyFill="1" applyBorder="1" applyAlignment="1">
      <alignment horizontal="center" vertical="center" wrapText="1"/>
    </xf>
    <xf numFmtId="10" fontId="14" fillId="0" borderId="0" xfId="52" applyNumberFormat="1" applyFont="1" applyAlignment="1">
      <alignment horizontal="center" vertical="center"/>
    </xf>
    <xf numFmtId="0" fontId="48" fillId="0" borderId="0" xfId="49" applyFont="1" applyFill="1" applyBorder="1" applyAlignment="1">
      <alignment horizontal="center" vertical="center" wrapText="1"/>
    </xf>
    <xf numFmtId="9" fontId="26" fillId="0" borderId="11" xfId="52" applyFont="1" applyFill="1" applyBorder="1" applyAlignment="1">
      <alignment horizontal="center"/>
    </xf>
    <xf numFmtId="9" fontId="26" fillId="0" borderId="95" xfId="52" applyFont="1" applyFill="1" applyBorder="1" applyAlignment="1">
      <alignment horizontal="center"/>
    </xf>
    <xf numFmtId="9" fontId="35" fillId="0" borderId="11" xfId="52" applyFont="1" applyFill="1" applyBorder="1" applyAlignment="1">
      <alignment horizontal="center"/>
    </xf>
    <xf numFmtId="9" fontId="25" fillId="0" borderId="11" xfId="52" applyFont="1" applyFill="1" applyBorder="1" applyAlignment="1">
      <alignment horizontal="center"/>
    </xf>
    <xf numFmtId="9" fontId="26" fillId="0" borderId="71" xfId="52" applyFont="1" applyFill="1" applyBorder="1" applyAlignment="1">
      <alignment horizontal="center"/>
    </xf>
    <xf numFmtId="3" fontId="14" fillId="0" borderId="12" xfId="47" applyNumberFormat="1" applyFont="1" applyBorder="1" applyAlignment="1">
      <alignment horizontal="center" wrapText="1"/>
    </xf>
    <xf numFmtId="9" fontId="31" fillId="0" borderId="91" xfId="52" applyFont="1" applyBorder="1" applyAlignment="1">
      <alignment horizontal="center"/>
    </xf>
    <xf numFmtId="9" fontId="31" fillId="0" borderId="92" xfId="52" applyFont="1" applyBorder="1" applyAlignment="1">
      <alignment horizontal="center"/>
    </xf>
    <xf numFmtId="9" fontId="31" fillId="0" borderId="93" xfId="52" applyFont="1" applyBorder="1" applyAlignment="1">
      <alignment horizontal="center"/>
    </xf>
    <xf numFmtId="9" fontId="31" fillId="0" borderId="93" xfId="52" applyFont="1" applyFill="1" applyBorder="1" applyAlignment="1">
      <alignment horizontal="center"/>
    </xf>
    <xf numFmtId="9" fontId="31" fillId="0" borderId="94" xfId="52" applyFont="1" applyFill="1" applyBorder="1" applyAlignment="1">
      <alignment horizontal="center"/>
    </xf>
    <xf numFmtId="9" fontId="25" fillId="0" borderId="91" xfId="52" applyFont="1" applyFill="1" applyBorder="1" applyAlignment="1">
      <alignment horizontal="center" vertical="center" wrapText="1"/>
    </xf>
    <xf numFmtId="9" fontId="25" fillId="0" borderId="93" xfId="52" applyFont="1" applyFill="1" applyBorder="1" applyAlignment="1">
      <alignment horizontal="center" vertical="center" wrapText="1"/>
    </xf>
    <xf numFmtId="9" fontId="31" fillId="0" borderId="91" xfId="52" applyFont="1" applyFill="1" applyBorder="1" applyAlignment="1">
      <alignment horizontal="center" vertical="center" wrapText="1"/>
    </xf>
    <xf numFmtId="9" fontId="31" fillId="0" borderId="93" xfId="52" applyFont="1" applyFill="1" applyBorder="1" applyAlignment="1">
      <alignment horizontal="center" vertical="center" wrapText="1"/>
    </xf>
    <xf numFmtId="0" fontId="14" fillId="0" borderId="15" xfId="38" applyFont="1" applyBorder="1"/>
    <xf numFmtId="178" fontId="89" fillId="0" borderId="0" xfId="54" applyNumberFormat="1" applyFont="1" applyBorder="1" applyAlignment="1">
      <alignment horizontal="center"/>
    </xf>
    <xf numFmtId="172" fontId="31" fillId="0" borderId="17" xfId="52" applyNumberFormat="1" applyFont="1" applyFill="1" applyBorder="1" applyAlignment="1">
      <alignment horizontal="center" vertical="center" wrapText="1"/>
    </xf>
    <xf numFmtId="9" fontId="14" fillId="0" borderId="17" xfId="52" applyNumberFormat="1" applyFont="1" applyFill="1" applyBorder="1" applyAlignment="1">
      <alignment horizontal="center" vertical="center" wrapText="1"/>
    </xf>
    <xf numFmtId="9" fontId="14" fillId="0" borderId="33" xfId="52" applyNumberFormat="1" applyFont="1" applyFill="1" applyBorder="1" applyAlignment="1">
      <alignment horizontal="center" vertical="center" wrapText="1"/>
    </xf>
    <xf numFmtId="9" fontId="14" fillId="0" borderId="0" xfId="49" applyNumberFormat="1" applyFont="1" applyFill="1" applyBorder="1" applyAlignment="1">
      <alignment horizontal="center"/>
    </xf>
    <xf numFmtId="9" fontId="31" fillId="0" borderId="0" xfId="49" applyNumberFormat="1" applyFont="1" applyFill="1" applyBorder="1" applyAlignment="1">
      <alignment horizontal="center"/>
    </xf>
    <xf numFmtId="9" fontId="14" fillId="0" borderId="38" xfId="49" applyNumberFormat="1" applyFont="1" applyFill="1" applyBorder="1" applyAlignment="1">
      <alignment horizontal="center"/>
    </xf>
    <xf numFmtId="9" fontId="31" fillId="0" borderId="20" xfId="54" applyFont="1" applyBorder="1" applyAlignment="1">
      <alignment horizontal="center"/>
    </xf>
    <xf numFmtId="9" fontId="31" fillId="0" borderId="32" xfId="54" applyFont="1" applyBorder="1" applyAlignment="1">
      <alignment horizontal="center"/>
    </xf>
    <xf numFmtId="9" fontId="31" fillId="0" borderId="38" xfId="54" applyFont="1" applyBorder="1" applyAlignment="1">
      <alignment horizontal="center"/>
    </xf>
    <xf numFmtId="9" fontId="31" fillId="0" borderId="19" xfId="38" applyNumberFormat="1" applyFont="1" applyBorder="1" applyAlignment="1">
      <alignment horizontal="center"/>
    </xf>
    <xf numFmtId="9" fontId="31" fillId="0" borderId="35" xfId="38" applyNumberFormat="1" applyFont="1" applyBorder="1" applyAlignment="1">
      <alignment horizontal="center"/>
    </xf>
    <xf numFmtId="10" fontId="47" fillId="0" borderId="0" xfId="52" applyNumberFormat="1" applyFont="1" applyBorder="1" applyAlignment="1">
      <alignment horizontal="center" vertical="center" wrapText="1"/>
    </xf>
    <xf numFmtId="9" fontId="14" fillId="0" borderId="32" xfId="49" applyNumberFormat="1" applyFont="1" applyFill="1" applyBorder="1" applyAlignment="1">
      <alignment horizontal="center"/>
    </xf>
    <xf numFmtId="0" fontId="14" fillId="0" borderId="30" xfId="49" applyFont="1" applyBorder="1" applyAlignment="1">
      <alignment horizontal="center" vertical="center" wrapText="1"/>
    </xf>
    <xf numFmtId="0" fontId="14" fillId="0" borderId="31" xfId="49" applyFont="1" applyBorder="1" applyAlignment="1">
      <alignment horizontal="center" vertical="center" wrapText="1"/>
    </xf>
    <xf numFmtId="175" fontId="14" fillId="0" borderId="35" xfId="49" applyNumberFormat="1" applyFont="1" applyBorder="1" applyAlignment="1">
      <alignment horizontal="center"/>
    </xf>
    <xf numFmtId="0" fontId="14" fillId="0" borderId="10" xfId="49" applyFont="1" applyBorder="1" applyAlignment="1">
      <alignment horizontal="center" wrapText="1"/>
    </xf>
    <xf numFmtId="175" fontId="14" fillId="0" borderId="15" xfId="49" applyNumberFormat="1" applyFont="1" applyBorder="1" applyAlignment="1">
      <alignment horizontal="center"/>
    </xf>
    <xf numFmtId="9" fontId="14" fillId="0" borderId="85" xfId="49" applyNumberFormat="1" applyFont="1" applyBorder="1" applyAlignment="1">
      <alignment horizontal="center"/>
    </xf>
    <xf numFmtId="172" fontId="14" fillId="0" borderId="109" xfId="49" applyNumberFormat="1" applyFont="1" applyBorder="1" applyAlignment="1">
      <alignment horizontal="center"/>
    </xf>
    <xf numFmtId="9" fontId="14" fillId="0" borderId="109" xfId="49" applyNumberFormat="1" applyBorder="1" applyAlignment="1">
      <alignment horizontal="center"/>
    </xf>
    <xf numFmtId="3" fontId="35" fillId="0" borderId="78" xfId="49" applyNumberFormat="1" applyFont="1" applyBorder="1" applyAlignment="1">
      <alignment horizontal="center"/>
    </xf>
    <xf numFmtId="172" fontId="35" fillId="0" borderId="15" xfId="49" applyNumberFormat="1" applyFont="1" applyBorder="1" applyAlignment="1">
      <alignment horizontal="center"/>
    </xf>
    <xf numFmtId="172" fontId="35" fillId="0" borderId="0" xfId="49" applyNumberFormat="1" applyFont="1" applyBorder="1" applyAlignment="1">
      <alignment horizontal="center"/>
    </xf>
    <xf numFmtId="3" fontId="35" fillId="0" borderId="38" xfId="49" applyNumberFormat="1" applyFont="1" applyBorder="1"/>
    <xf numFmtId="0" fontId="14" fillId="0" borderId="109" xfId="49" applyBorder="1"/>
    <xf numFmtId="9" fontId="14" fillId="0" borderId="110" xfId="49" applyNumberFormat="1" applyBorder="1" applyAlignment="1">
      <alignment horizontal="center"/>
    </xf>
    <xf numFmtId="172" fontId="14" fillId="0" borderId="111" xfId="49" applyNumberFormat="1" applyFont="1" applyBorder="1" applyAlignment="1">
      <alignment horizontal="center"/>
    </xf>
    <xf numFmtId="172" fontId="61" fillId="0" borderId="25" xfId="49" applyNumberFormat="1" applyFont="1" applyBorder="1" applyAlignment="1">
      <alignment horizontal="center"/>
    </xf>
    <xf numFmtId="9" fontId="14" fillId="0" borderId="25" xfId="49" applyNumberFormat="1" applyBorder="1" applyAlignment="1">
      <alignment horizontal="center"/>
    </xf>
    <xf numFmtId="3" fontId="14" fillId="0" borderId="36" xfId="49" applyNumberFormat="1" applyBorder="1"/>
    <xf numFmtId="2" fontId="14" fillId="0" borderId="25" xfId="41" applyNumberFormat="1" applyFill="1" applyBorder="1" applyAlignment="1">
      <alignment horizontal="center" vertical="center"/>
    </xf>
    <xf numFmtId="172" fontId="44" fillId="0" borderId="25" xfId="41" applyNumberFormat="1" applyFont="1" applyFill="1" applyBorder="1" applyAlignment="1">
      <alignment horizontal="center"/>
    </xf>
    <xf numFmtId="172" fontId="14" fillId="0" borderId="25" xfId="41" applyNumberFormat="1" applyFill="1" applyBorder="1"/>
    <xf numFmtId="172" fontId="31" fillId="0" borderId="25" xfId="41" applyNumberFormat="1" applyFont="1" applyFill="1" applyBorder="1" applyAlignment="1">
      <alignment horizontal="center"/>
    </xf>
    <xf numFmtId="172" fontId="14" fillId="0" borderId="25" xfId="41" applyNumberFormat="1" applyFont="1" applyFill="1" applyBorder="1" applyAlignment="1">
      <alignment horizontal="center"/>
    </xf>
    <xf numFmtId="172" fontId="31" fillId="0" borderId="36" xfId="41" applyNumberFormat="1" applyFont="1" applyFill="1" applyBorder="1"/>
    <xf numFmtId="9" fontId="45" fillId="0" borderId="25" xfId="41" applyNumberFormat="1" applyFont="1" applyFill="1" applyBorder="1"/>
    <xf numFmtId="9" fontId="14" fillId="0" borderId="25" xfId="41" applyNumberFormat="1" applyFill="1" applyBorder="1" applyAlignment="1">
      <alignment horizontal="center"/>
    </xf>
    <xf numFmtId="9" fontId="31" fillId="0" borderId="25" xfId="41" applyNumberFormat="1" applyFont="1" applyFill="1" applyBorder="1" applyAlignment="1">
      <alignment horizontal="center"/>
    </xf>
    <xf numFmtId="9" fontId="14" fillId="0" borderId="25" xfId="41" applyNumberFormat="1" applyFont="1" applyFill="1" applyBorder="1" applyAlignment="1">
      <alignment horizontal="center"/>
    </xf>
    <xf numFmtId="172" fontId="28" fillId="0" borderId="36" xfId="41" applyNumberFormat="1" applyFont="1" applyFill="1" applyBorder="1"/>
    <xf numFmtId="0" fontId="35" fillId="0" borderId="25" xfId="49" applyFont="1" applyBorder="1"/>
    <xf numFmtId="2" fontId="14" fillId="0" borderId="106" xfId="41" applyNumberFormat="1" applyFill="1" applyBorder="1" applyAlignment="1">
      <alignment horizontal="center"/>
    </xf>
    <xf numFmtId="178" fontId="14" fillId="0" borderId="0" xfId="49" applyNumberFormat="1" applyFont="1" applyBorder="1" applyAlignment="1">
      <alignment horizontal="center"/>
    </xf>
    <xf numFmtId="0" fontId="14" fillId="0" borderId="15" xfId="41" applyNumberFormat="1" applyFont="1" applyFill="1" applyBorder="1" applyAlignment="1" applyProtection="1"/>
    <xf numFmtId="172" fontId="44" fillId="0" borderId="66" xfId="41" applyNumberFormat="1" applyFont="1" applyFill="1" applyBorder="1" applyAlignment="1">
      <alignment horizontal="center"/>
    </xf>
    <xf numFmtId="172" fontId="27" fillId="0" borderId="0" xfId="45" applyNumberFormat="1" applyFont="1" applyBorder="1" applyAlignment="1">
      <alignment horizontal="center"/>
    </xf>
    <xf numFmtId="9" fontId="14" fillId="0" borderId="20" xfId="49" applyNumberFormat="1" applyFont="1" applyBorder="1" applyAlignment="1">
      <alignment horizontal="center" vertical="center" wrapText="1"/>
    </xf>
    <xf numFmtId="9" fontId="48" fillId="0" borderId="20" xfId="49" applyNumberFormat="1" applyFont="1" applyBorder="1" applyAlignment="1">
      <alignment horizontal="center" vertical="center" wrapText="1"/>
    </xf>
    <xf numFmtId="9" fontId="86" fillId="0" borderId="20" xfId="49" applyNumberFormat="1" applyFont="1" applyBorder="1" applyAlignment="1">
      <alignment horizontal="center"/>
    </xf>
    <xf numFmtId="9" fontId="86" fillId="0" borderId="22" xfId="49" applyNumberFormat="1" applyFont="1" applyBorder="1" applyAlignment="1">
      <alignment horizontal="center"/>
    </xf>
    <xf numFmtId="3" fontId="14" fillId="0" borderId="12" xfId="47" applyNumberFormat="1" applyBorder="1" applyAlignment="1">
      <alignment horizontal="center" wrapText="1"/>
    </xf>
    <xf numFmtId="3" fontId="28" fillId="0" borderId="24" xfId="49" applyNumberFormat="1" applyFont="1" applyBorder="1" applyAlignment="1">
      <alignment horizontal="center"/>
    </xf>
    <xf numFmtId="178" fontId="14" fillId="20" borderId="0" xfId="49" applyNumberFormat="1" applyFill="1"/>
    <xf numFmtId="0" fontId="14" fillId="0" borderId="0" xfId="49" applyFill="1" applyBorder="1" applyAlignment="1">
      <alignment wrapText="1"/>
    </xf>
    <xf numFmtId="0" fontId="14" fillId="0" borderId="12" xfId="49" applyBorder="1"/>
    <xf numFmtId="3" fontId="28" fillId="0" borderId="24" xfId="49" applyNumberFormat="1" applyFont="1" applyFill="1" applyBorder="1" applyAlignment="1">
      <alignment horizontal="center"/>
    </xf>
    <xf numFmtId="175" fontId="14" fillId="0" borderId="0" xfId="49" applyNumberFormat="1" applyFont="1" applyFill="1" applyBorder="1" applyAlignment="1">
      <alignment horizontal="center"/>
    </xf>
    <xf numFmtId="9" fontId="14" fillId="0" borderId="0" xfId="52" applyFont="1" applyBorder="1" applyAlignment="1">
      <alignment horizontal="center" vertical="center" wrapText="1"/>
    </xf>
    <xf numFmtId="9" fontId="31" fillId="0" borderId="0" xfId="49" applyNumberFormat="1" applyFont="1" applyBorder="1" applyAlignment="1">
      <alignment horizontal="left"/>
    </xf>
    <xf numFmtId="0" fontId="53" fillId="0" borderId="0" xfId="0" applyFont="1" applyBorder="1" applyAlignment="1">
      <alignment vertical="center" wrapText="1"/>
    </xf>
    <xf numFmtId="172" fontId="14" fillId="0" borderId="0" xfId="38" applyNumberFormat="1"/>
    <xf numFmtId="10" fontId="14" fillId="0" borderId="0" xfId="38" applyNumberFormat="1"/>
    <xf numFmtId="10" fontId="14" fillId="0" borderId="0" xfId="52" applyNumberFormat="1" applyFont="1"/>
    <xf numFmtId="2" fontId="44" fillId="0" borderId="83" xfId="49" applyNumberFormat="1" applyFont="1" applyBorder="1" applyAlignment="1">
      <alignment horizontal="center"/>
    </xf>
    <xf numFmtId="2" fontId="35" fillId="0" borderId="85" xfId="49" applyNumberFormat="1" applyFont="1" applyBorder="1" applyAlignment="1">
      <alignment horizontal="center"/>
    </xf>
    <xf numFmtId="2" fontId="35" fillId="0" borderId="84" xfId="49" applyNumberFormat="1" applyFont="1" applyBorder="1" applyAlignment="1">
      <alignment horizontal="center"/>
    </xf>
    <xf numFmtId="0" fontId="35" fillId="0" borderId="86" xfId="38" applyFont="1" applyFill="1" applyBorder="1" applyAlignment="1">
      <alignment horizontal="center" vertical="center" wrapText="1"/>
    </xf>
    <xf numFmtId="0" fontId="14" fillId="0" borderId="15" xfId="38" applyFont="1" applyBorder="1" applyAlignment="1">
      <alignment horizontal="center" vertical="center" wrapText="1"/>
    </xf>
    <xf numFmtId="0" fontId="14" fillId="0" borderId="16" xfId="38" applyFont="1" applyBorder="1" applyAlignment="1">
      <alignment horizontal="center" vertical="center" wrapText="1"/>
    </xf>
    <xf numFmtId="0" fontId="31" fillId="0" borderId="17" xfId="49" applyFont="1" applyBorder="1" applyAlignment="1">
      <alignment horizontal="left"/>
    </xf>
    <xf numFmtId="2" fontId="44" fillId="0" borderId="25" xfId="49" applyNumberFormat="1" applyFont="1" applyBorder="1" applyAlignment="1">
      <alignment horizontal="center"/>
    </xf>
    <xf numFmtId="2" fontId="35" fillId="0" borderId="0" xfId="49" applyNumberFormat="1" applyFont="1" applyBorder="1" applyAlignment="1">
      <alignment horizontal="center"/>
    </xf>
    <xf numFmtId="2" fontId="35" fillId="0" borderId="26" xfId="49" applyNumberFormat="1" applyFont="1" applyBorder="1" applyAlignment="1">
      <alignment horizontal="center"/>
    </xf>
    <xf numFmtId="2" fontId="31" fillId="0" borderId="25" xfId="49" applyNumberFormat="1" applyFont="1" applyBorder="1" applyAlignment="1">
      <alignment horizontal="center"/>
    </xf>
    <xf numFmtId="2" fontId="35" fillId="0" borderId="28" xfId="49" applyNumberFormat="1" applyFont="1" applyBorder="1" applyAlignment="1">
      <alignment horizontal="center"/>
    </xf>
    <xf numFmtId="2" fontId="31" fillId="0" borderId="30" xfId="49" applyNumberFormat="1" applyFont="1" applyBorder="1" applyAlignment="1">
      <alignment horizontal="center"/>
    </xf>
    <xf numFmtId="2" fontId="35" fillId="0" borderId="32" xfId="49" applyNumberFormat="1" applyFont="1" applyBorder="1" applyAlignment="1">
      <alignment horizontal="center"/>
    </xf>
    <xf numFmtId="2" fontId="35" fillId="0" borderId="31" xfId="49" applyNumberFormat="1" applyFont="1" applyBorder="1" applyAlignment="1">
      <alignment horizontal="center"/>
    </xf>
    <xf numFmtId="4" fontId="31" fillId="0" borderId="25" xfId="49" applyNumberFormat="1" applyFont="1" applyBorder="1" applyAlignment="1">
      <alignment horizontal="center"/>
    </xf>
    <xf numFmtId="4" fontId="35" fillId="0" borderId="0" xfId="49" applyNumberFormat="1" applyFont="1" applyBorder="1" applyAlignment="1">
      <alignment horizontal="center"/>
    </xf>
    <xf numFmtId="4" fontId="35" fillId="0" borderId="26" xfId="49" applyNumberFormat="1" applyFont="1" applyBorder="1" applyAlignment="1">
      <alignment horizontal="center"/>
    </xf>
    <xf numFmtId="175" fontId="31" fillId="0" borderId="25" xfId="49" applyNumberFormat="1" applyFont="1" applyBorder="1" applyAlignment="1">
      <alignment horizontal="center"/>
    </xf>
    <xf numFmtId="175" fontId="35" fillId="0" borderId="26" xfId="49" applyNumberFormat="1" applyFont="1" applyBorder="1" applyAlignment="1">
      <alignment horizontal="center"/>
    </xf>
    <xf numFmtId="9" fontId="28" fillId="0" borderId="85" xfId="49" applyNumberFormat="1" applyFont="1" applyBorder="1" applyAlignment="1">
      <alignment horizontal="center"/>
    </xf>
    <xf numFmtId="9" fontId="28" fillId="0" borderId="84" xfId="49" applyNumberFormat="1" applyFont="1" applyBorder="1" applyAlignment="1">
      <alignment horizontal="center"/>
    </xf>
    <xf numFmtId="9" fontId="28" fillId="0" borderId="26" xfId="49" applyNumberFormat="1" applyFont="1" applyBorder="1" applyAlignment="1">
      <alignment horizontal="center"/>
    </xf>
    <xf numFmtId="9" fontId="44" fillId="0" borderId="25" xfId="49" applyNumberFormat="1" applyFont="1" applyBorder="1" applyAlignment="1">
      <alignment horizontal="center"/>
    </xf>
    <xf numFmtId="9" fontId="44" fillId="0" borderId="36" xfId="49" applyNumberFormat="1" applyFont="1" applyBorder="1" applyAlignment="1">
      <alignment horizontal="center"/>
    </xf>
    <xf numFmtId="4" fontId="44" fillId="0" borderId="27" xfId="49" applyNumberFormat="1" applyFont="1" applyBorder="1" applyAlignment="1">
      <alignment horizontal="center"/>
    </xf>
    <xf numFmtId="2" fontId="35" fillId="0" borderId="20" xfId="49" applyNumberFormat="1" applyFont="1" applyBorder="1" applyAlignment="1">
      <alignment horizontal="center"/>
    </xf>
    <xf numFmtId="2" fontId="35" fillId="0" borderId="0" xfId="49" applyNumberFormat="1" applyFont="1" applyFill="1" applyBorder="1" applyAlignment="1">
      <alignment horizontal="center"/>
    </xf>
    <xf numFmtId="2" fontId="35" fillId="0" borderId="26" xfId="49" applyNumberFormat="1" applyFont="1" applyFill="1" applyBorder="1" applyAlignment="1">
      <alignment horizontal="center"/>
    </xf>
    <xf numFmtId="2" fontId="44" fillId="0" borderId="30" xfId="49" applyNumberFormat="1" applyFont="1" applyBorder="1" applyAlignment="1">
      <alignment horizontal="center"/>
    </xf>
    <xf numFmtId="2" fontId="35" fillId="0" borderId="32" xfId="49" applyNumberFormat="1" applyFont="1" applyFill="1" applyBorder="1" applyAlignment="1">
      <alignment horizontal="center"/>
    </xf>
    <xf numFmtId="2" fontId="35" fillId="0" borderId="31" xfId="49" applyNumberFormat="1" applyFont="1" applyFill="1" applyBorder="1" applyAlignment="1">
      <alignment horizontal="center"/>
    </xf>
    <xf numFmtId="4" fontId="44" fillId="0" borderId="25" xfId="49" applyNumberFormat="1" applyFont="1" applyBorder="1" applyAlignment="1">
      <alignment horizontal="center"/>
    </xf>
    <xf numFmtId="4" fontId="35" fillId="0" borderId="0" xfId="49" applyNumberFormat="1" applyFont="1" applyFill="1" applyBorder="1" applyAlignment="1">
      <alignment horizontal="center"/>
    </xf>
    <xf numFmtId="175" fontId="44" fillId="0" borderId="25" xfId="49" applyNumberFormat="1" applyFont="1" applyBorder="1" applyAlignment="1">
      <alignment horizontal="center"/>
    </xf>
    <xf numFmtId="175" fontId="35" fillId="0" borderId="0" xfId="49" applyNumberFormat="1" applyFont="1" applyFill="1" applyBorder="1" applyAlignment="1">
      <alignment horizontal="center"/>
    </xf>
    <xf numFmtId="9" fontId="28" fillId="0" borderId="0" xfId="49" applyNumberFormat="1" applyFont="1" applyFill="1" applyBorder="1" applyAlignment="1">
      <alignment horizontal="center"/>
    </xf>
    <xf numFmtId="9" fontId="61" fillId="0" borderId="36" xfId="49" applyNumberFormat="1" applyFont="1" applyBorder="1" applyAlignment="1">
      <alignment horizontal="center"/>
    </xf>
    <xf numFmtId="9" fontId="35" fillId="0" borderId="38" xfId="49" applyNumberFormat="1" applyFont="1" applyFill="1" applyBorder="1" applyAlignment="1">
      <alignment horizontal="center"/>
    </xf>
    <xf numFmtId="2" fontId="28" fillId="0" borderId="11" xfId="49" applyNumberFormat="1" applyFont="1" applyBorder="1" applyAlignment="1">
      <alignment horizontal="center"/>
    </xf>
    <xf numFmtId="2" fontId="28" fillId="0" borderId="22" xfId="49" applyNumberFormat="1" applyFont="1" applyBorder="1" applyAlignment="1">
      <alignment horizontal="center"/>
    </xf>
    <xf numFmtId="2" fontId="28" fillId="0" borderId="95" xfId="49" applyNumberFormat="1" applyFont="1" applyBorder="1" applyAlignment="1">
      <alignment horizontal="center"/>
    </xf>
    <xf numFmtId="4" fontId="35" fillId="0" borderId="11" xfId="49" applyNumberFormat="1" applyFont="1" applyBorder="1" applyAlignment="1">
      <alignment horizontal="center"/>
    </xf>
    <xf numFmtId="175" fontId="35" fillId="0" borderId="11" xfId="49" applyNumberFormat="1" applyFont="1" applyBorder="1" applyAlignment="1">
      <alignment horizontal="center"/>
    </xf>
    <xf numFmtId="2" fontId="44" fillId="0" borderId="112" xfId="49" applyNumberFormat="1" applyFont="1" applyBorder="1" applyAlignment="1">
      <alignment horizontal="center"/>
    </xf>
    <xf numFmtId="2" fontId="44" fillId="0" borderId="47" xfId="49" applyNumberFormat="1" applyFont="1" applyBorder="1" applyAlignment="1">
      <alignment horizontal="center"/>
    </xf>
    <xf numFmtId="4" fontId="44" fillId="0" borderId="48" xfId="49" applyNumberFormat="1" applyFont="1" applyBorder="1" applyAlignment="1">
      <alignment horizontal="center"/>
    </xf>
    <xf numFmtId="2" fontId="44" fillId="0" borderId="49" xfId="49" applyNumberFormat="1" applyFont="1" applyBorder="1" applyAlignment="1">
      <alignment horizontal="center"/>
    </xf>
    <xf numFmtId="175" fontId="44" fillId="0" borderId="47" xfId="49" applyNumberFormat="1" applyFont="1" applyBorder="1" applyAlignment="1">
      <alignment horizontal="center"/>
    </xf>
    <xf numFmtId="9" fontId="28" fillId="0" borderId="113" xfId="49" applyNumberFormat="1" applyFont="1" applyBorder="1" applyAlignment="1">
      <alignment horizontal="center"/>
    </xf>
    <xf numFmtId="9" fontId="28" fillId="0" borderId="11" xfId="49" applyNumberFormat="1" applyFont="1" applyBorder="1" applyAlignment="1">
      <alignment horizontal="center"/>
    </xf>
    <xf numFmtId="0" fontId="73" fillId="0" borderId="112" xfId="0" applyFont="1" applyBorder="1" applyAlignment="1">
      <alignment horizontal="center" vertical="center"/>
    </xf>
    <xf numFmtId="9" fontId="61" fillId="0" borderId="47" xfId="49" applyNumberFormat="1" applyFont="1" applyBorder="1" applyAlignment="1">
      <alignment horizontal="center"/>
    </xf>
    <xf numFmtId="9" fontId="61" fillId="0" borderId="50" xfId="49" applyNumberFormat="1" applyFont="1" applyBorder="1" applyAlignment="1">
      <alignment horizontal="center"/>
    </xf>
    <xf numFmtId="2" fontId="31" fillId="0" borderId="27" xfId="49" applyNumberFormat="1" applyFont="1" applyBorder="1" applyAlignment="1">
      <alignment horizontal="center"/>
    </xf>
    <xf numFmtId="9" fontId="28" fillId="0" borderId="20" xfId="49" applyNumberFormat="1" applyFont="1" applyBorder="1" applyAlignment="1">
      <alignment horizontal="center"/>
    </xf>
    <xf numFmtId="9" fontId="28" fillId="0" borderId="28" xfId="49" applyNumberFormat="1" applyFont="1" applyBorder="1" applyAlignment="1">
      <alignment horizontal="center"/>
    </xf>
    <xf numFmtId="9" fontId="28" fillId="0" borderId="22" xfId="49" applyNumberFormat="1" applyFont="1" applyBorder="1" applyAlignment="1">
      <alignment horizontal="center"/>
    </xf>
    <xf numFmtId="9" fontId="28" fillId="0" borderId="32" xfId="49" applyNumberFormat="1" applyFont="1" applyBorder="1" applyAlignment="1">
      <alignment horizontal="center"/>
    </xf>
    <xf numFmtId="9" fontId="28" fillId="0" borderId="31" xfId="49" applyNumberFormat="1" applyFont="1" applyBorder="1" applyAlignment="1">
      <alignment horizontal="center"/>
    </xf>
    <xf numFmtId="9" fontId="28" fillId="0" borderId="32" xfId="49" applyNumberFormat="1" applyFont="1" applyFill="1" applyBorder="1" applyAlignment="1">
      <alignment horizontal="center"/>
    </xf>
    <xf numFmtId="9" fontId="28" fillId="0" borderId="95" xfId="49" applyNumberFormat="1" applyFont="1" applyBorder="1" applyAlignment="1">
      <alignment horizontal="center"/>
    </xf>
    <xf numFmtId="193" fontId="81" fillId="0" borderId="112" xfId="0" applyNumberFormat="1" applyFont="1" applyBorder="1" applyAlignment="1">
      <alignment horizontal="center" vertical="center"/>
    </xf>
    <xf numFmtId="0" fontId="61" fillId="0" borderId="47" xfId="49" applyFont="1" applyBorder="1" applyAlignment="1">
      <alignment horizontal="center" vertical="center" wrapText="1"/>
    </xf>
    <xf numFmtId="0" fontId="61" fillId="0" borderId="25" xfId="49" applyFont="1" applyBorder="1" applyAlignment="1">
      <alignment horizontal="center" vertical="center" wrapText="1"/>
    </xf>
    <xf numFmtId="2" fontId="35" fillId="0" borderId="113" xfId="49" applyNumberFormat="1" applyFont="1" applyBorder="1" applyAlignment="1">
      <alignment horizontal="center"/>
    </xf>
    <xf numFmtId="2" fontId="31" fillId="0" borderId="47" xfId="49" applyNumberFormat="1" applyFont="1" applyBorder="1" applyAlignment="1">
      <alignment horizontal="center"/>
    </xf>
    <xf numFmtId="2" fontId="31" fillId="0" borderId="48" xfId="49" applyNumberFormat="1" applyFont="1" applyBorder="1" applyAlignment="1">
      <alignment horizontal="center"/>
    </xf>
    <xf numFmtId="2" fontId="31" fillId="0" borderId="49" xfId="49" applyNumberFormat="1" applyFont="1" applyBorder="1" applyAlignment="1">
      <alignment horizontal="center"/>
    </xf>
    <xf numFmtId="4" fontId="31" fillId="0" borderId="47" xfId="49" applyNumberFormat="1" applyFont="1" applyBorder="1" applyAlignment="1">
      <alignment horizontal="center" vertical="justify"/>
    </xf>
    <xf numFmtId="175" fontId="31" fillId="0" borderId="47" xfId="49" applyNumberFormat="1" applyFont="1" applyBorder="1" applyAlignment="1">
      <alignment horizontal="center" vertical="justify"/>
    </xf>
    <xf numFmtId="9" fontId="31" fillId="0" borderId="112" xfId="49" applyNumberFormat="1" applyFont="1" applyBorder="1" applyAlignment="1">
      <alignment horizontal="center"/>
    </xf>
    <xf numFmtId="2" fontId="14" fillId="0" borderId="0" xfId="49" applyNumberFormat="1" applyBorder="1" applyAlignment="1">
      <alignment horizontal="center"/>
    </xf>
    <xf numFmtId="2" fontId="35" fillId="0" borderId="11" xfId="49" applyNumberFormat="1" applyFont="1" applyBorder="1" applyAlignment="1">
      <alignment horizontal="center"/>
    </xf>
    <xf numFmtId="4" fontId="35" fillId="0" borderId="26" xfId="49" applyNumberFormat="1" applyFont="1" applyFill="1" applyBorder="1" applyAlignment="1">
      <alignment horizontal="center"/>
    </xf>
    <xf numFmtId="175" fontId="35" fillId="0" borderId="26" xfId="49" applyNumberFormat="1" applyFont="1" applyFill="1" applyBorder="1" applyAlignment="1">
      <alignment horizontal="center"/>
    </xf>
    <xf numFmtId="3" fontId="31" fillId="0" borderId="47" xfId="49" applyNumberFormat="1" applyFont="1" applyBorder="1" applyAlignment="1">
      <alignment horizontal="center" vertical="justify"/>
    </xf>
    <xf numFmtId="3" fontId="31" fillId="0" borderId="25" xfId="49" applyNumberFormat="1" applyFont="1" applyBorder="1" applyAlignment="1">
      <alignment horizontal="center"/>
    </xf>
    <xf numFmtId="3" fontId="35" fillId="0" borderId="26" xfId="49" applyNumberFormat="1" applyFont="1" applyBorder="1" applyAlignment="1">
      <alignment horizontal="center"/>
    </xf>
    <xf numFmtId="3" fontId="44" fillId="0" borderId="25" xfId="49" applyNumberFormat="1" applyFont="1" applyBorder="1" applyAlignment="1">
      <alignment horizontal="center"/>
    </xf>
    <xf numFmtId="3" fontId="35" fillId="0" borderId="0" xfId="49" applyNumberFormat="1" applyFont="1" applyFill="1" applyBorder="1" applyAlignment="1">
      <alignment horizontal="center"/>
    </xf>
    <xf numFmtId="3" fontId="44" fillId="0" borderId="47" xfId="49" applyNumberFormat="1" applyFont="1" applyBorder="1" applyAlignment="1">
      <alignment horizontal="center"/>
    </xf>
    <xf numFmtId="0" fontId="14" fillId="0" borderId="114" xfId="49" applyFont="1" applyBorder="1" applyAlignment="1">
      <alignment horizontal="center" vertical="justify"/>
    </xf>
    <xf numFmtId="3" fontId="31" fillId="0" borderId="115" xfId="49" applyNumberFormat="1" applyFont="1" applyBorder="1" applyAlignment="1">
      <alignment horizontal="center" vertical="justify"/>
    </xf>
    <xf numFmtId="3" fontId="31" fillId="0" borderId="72" xfId="49" applyNumberFormat="1" applyFont="1" applyBorder="1" applyAlignment="1">
      <alignment horizontal="center"/>
    </xf>
    <xf numFmtId="3" fontId="35" fillId="0" borderId="74" xfId="49" applyNumberFormat="1" applyFont="1" applyBorder="1" applyAlignment="1">
      <alignment horizontal="center"/>
    </xf>
    <xf numFmtId="3" fontId="35" fillId="0" borderId="75" xfId="49" applyNumberFormat="1" applyFont="1" applyBorder="1" applyAlignment="1">
      <alignment horizontal="center"/>
    </xf>
    <xf numFmtId="3" fontId="44" fillId="0" borderId="72" xfId="49" applyNumberFormat="1" applyFont="1" applyBorder="1" applyAlignment="1">
      <alignment horizontal="center"/>
    </xf>
    <xf numFmtId="3" fontId="35" fillId="0" borderId="74" xfId="49" applyNumberFormat="1" applyFont="1" applyFill="1" applyBorder="1" applyAlignment="1">
      <alignment horizontal="center"/>
    </xf>
    <xf numFmtId="3" fontId="44" fillId="0" borderId="115" xfId="49" applyNumberFormat="1" applyFont="1" applyBorder="1" applyAlignment="1">
      <alignment horizontal="center"/>
    </xf>
    <xf numFmtId="3" fontId="35" fillId="0" borderId="87" xfId="49" applyNumberFormat="1" applyFont="1" applyBorder="1" applyAlignment="1">
      <alignment horizontal="center"/>
    </xf>
    <xf numFmtId="0" fontId="61" fillId="0" borderId="46" xfId="49" applyFont="1" applyBorder="1" applyAlignment="1">
      <alignment horizontal="center" vertical="center" wrapText="1"/>
    </xf>
    <xf numFmtId="0" fontId="61" fillId="0" borderId="66" xfId="49" applyFont="1" applyBorder="1" applyAlignment="1">
      <alignment horizontal="center" vertical="center" wrapText="1"/>
    </xf>
    <xf numFmtId="176" fontId="44" fillId="0" borderId="47" xfId="49" applyNumberFormat="1" applyFont="1" applyBorder="1" applyAlignment="1">
      <alignment horizontal="center"/>
    </xf>
    <xf numFmtId="0" fontId="60" fillId="0" borderId="0" xfId="38" applyFont="1" applyFill="1" applyBorder="1" applyAlignment="1">
      <alignment horizontal="center" vertical="center" wrapText="1"/>
    </xf>
    <xf numFmtId="0" fontId="60" fillId="0" borderId="15" xfId="38" applyFont="1" applyFill="1" applyBorder="1" applyAlignment="1">
      <alignment horizontal="center" vertical="center" wrapText="1"/>
    </xf>
    <xf numFmtId="0" fontId="31" fillId="0" borderId="0" xfId="49" applyFont="1" applyBorder="1" applyAlignment="1">
      <alignment vertical="center"/>
    </xf>
    <xf numFmtId="0" fontId="32" fillId="0" borderId="0" xfId="49" applyFont="1" applyBorder="1" applyAlignment="1">
      <alignment horizontal="center" vertical="center" wrapText="1"/>
    </xf>
    <xf numFmtId="9" fontId="14" fillId="0" borderId="0" xfId="52" applyFont="1" applyFill="1"/>
    <xf numFmtId="0" fontId="52" fillId="0" borderId="0" xfId="0" applyFont="1" applyBorder="1" applyAlignment="1">
      <alignment horizontal="center" vertical="center" wrapText="1"/>
    </xf>
    <xf numFmtId="0" fontId="94" fillId="0" borderId="0" xfId="0" applyFont="1" applyAlignment="1">
      <alignment wrapText="1"/>
    </xf>
    <xf numFmtId="172" fontId="14" fillId="0" borderId="17" xfId="52" applyNumberFormat="1" applyFont="1" applyBorder="1" applyAlignment="1">
      <alignment horizontal="center" vertical="center" wrapText="1"/>
    </xf>
    <xf numFmtId="176" fontId="14" fillId="0" borderId="0" xfId="49" applyNumberFormat="1" applyFont="1" applyFill="1" applyBorder="1" applyAlignment="1">
      <alignment horizontal="center" vertical="center" wrapText="1"/>
    </xf>
    <xf numFmtId="0" fontId="31" fillId="0" borderId="0" xfId="49" applyFont="1" applyFill="1" applyBorder="1" applyAlignment="1">
      <alignment horizontal="center" wrapText="1"/>
    </xf>
    <xf numFmtId="0" fontId="43" fillId="0" borderId="0" xfId="0" applyFont="1" applyFill="1" applyBorder="1" applyAlignment="1">
      <alignment vertical="center" wrapText="1"/>
    </xf>
    <xf numFmtId="0" fontId="43" fillId="0" borderId="0" xfId="49" applyFont="1" applyFill="1" applyBorder="1" applyAlignment="1">
      <alignment vertical="center" wrapText="1"/>
    </xf>
    <xf numFmtId="3" fontId="14" fillId="0" borderId="17" xfId="49" applyNumberFormat="1" applyFont="1" applyBorder="1" applyAlignment="1">
      <alignment horizontal="center" vertical="center" wrapText="1"/>
    </xf>
    <xf numFmtId="0" fontId="31" fillId="0" borderId="17" xfId="49" applyFont="1" applyBorder="1" applyAlignment="1">
      <alignment horizontal="left" vertical="center"/>
    </xf>
    <xf numFmtId="0" fontId="26" fillId="0" borderId="9" xfId="45" applyFont="1" applyFill="1" applyBorder="1" applyAlignment="1">
      <alignment horizontal="center" vertical="center" wrapText="1"/>
    </xf>
    <xf numFmtId="0" fontId="43" fillId="0" borderId="9" xfId="49" applyFont="1" applyFill="1" applyBorder="1" applyAlignment="1">
      <alignment vertical="center" wrapText="1"/>
    </xf>
    <xf numFmtId="3" fontId="14" fillId="0" borderId="9" xfId="49" applyNumberFormat="1" applyFont="1" applyBorder="1" applyAlignment="1">
      <alignment horizontal="center" vertical="center" wrapText="1"/>
    </xf>
    <xf numFmtId="175" fontId="14" fillId="0" borderId="14" xfId="49" applyNumberFormat="1" applyFont="1" applyBorder="1" applyAlignment="1">
      <alignment horizontal="center"/>
    </xf>
    <xf numFmtId="0" fontId="14" fillId="0" borderId="9" xfId="49" applyFont="1" applyBorder="1" applyAlignment="1">
      <alignment horizontal="center"/>
    </xf>
    <xf numFmtId="175" fontId="14" fillId="0" borderId="17" xfId="49" applyNumberFormat="1" applyFont="1" applyBorder="1" applyAlignment="1">
      <alignment horizontal="center"/>
    </xf>
    <xf numFmtId="175" fontId="14" fillId="0" borderId="24" xfId="49" applyNumberFormat="1" applyFont="1" applyBorder="1" applyAlignment="1">
      <alignment horizontal="center"/>
    </xf>
    <xf numFmtId="172" fontId="31" fillId="0" borderId="0" xfId="52" applyNumberFormat="1" applyFont="1" applyBorder="1" applyAlignment="1">
      <alignment horizontal="left" wrapText="1"/>
    </xf>
    <xf numFmtId="0" fontId="30" fillId="0" borderId="9" xfId="45" applyFont="1" applyFill="1" applyBorder="1" applyAlignment="1">
      <alignment vertical="center" wrapText="1"/>
    </xf>
    <xf numFmtId="175" fontId="14" fillId="0" borderId="9" xfId="49" applyNumberFormat="1" applyFont="1" applyFill="1" applyBorder="1" applyAlignment="1">
      <alignment horizontal="center"/>
    </xf>
    <xf numFmtId="3" fontId="14" fillId="0" borderId="17" xfId="49" applyNumberFormat="1" applyFont="1" applyFill="1" applyBorder="1" applyAlignment="1">
      <alignment horizontal="center"/>
    </xf>
    <xf numFmtId="3" fontId="14" fillId="0" borderId="24" xfId="49" applyNumberFormat="1" applyFont="1" applyFill="1" applyBorder="1" applyAlignment="1">
      <alignment horizontal="center"/>
    </xf>
    <xf numFmtId="0" fontId="25" fillId="0" borderId="17" xfId="45" applyFont="1" applyFill="1" applyBorder="1" applyAlignment="1">
      <alignment horizontal="center" vertical="center" wrapText="1"/>
    </xf>
    <xf numFmtId="0" fontId="25" fillId="0" borderId="9" xfId="45" applyFont="1" applyFill="1" applyBorder="1" applyAlignment="1">
      <alignment horizontal="center" vertical="center" wrapText="1"/>
    </xf>
    <xf numFmtId="0" fontId="26" fillId="0" borderId="9" xfId="45" applyFont="1" applyFill="1" applyBorder="1" applyAlignment="1">
      <alignment vertical="center" wrapText="1"/>
    </xf>
    <xf numFmtId="0" fontId="26" fillId="0" borderId="17" xfId="45" applyFont="1" applyFill="1" applyBorder="1" applyAlignment="1">
      <alignment vertical="center" wrapText="1"/>
    </xf>
    <xf numFmtId="172" fontId="14" fillId="0" borderId="9" xfId="52" applyNumberFormat="1" applyFont="1" applyBorder="1" applyAlignment="1">
      <alignment horizontal="center" vertical="center" wrapText="1"/>
    </xf>
    <xf numFmtId="3" fontId="14" fillId="0" borderId="17" xfId="49" applyNumberFormat="1" applyFont="1" applyBorder="1" applyAlignment="1">
      <alignment horizontal="center"/>
    </xf>
    <xf numFmtId="0" fontId="95" fillId="0" borderId="0" xfId="45" applyFont="1" applyFill="1" applyBorder="1" applyAlignment="1">
      <alignment vertical="center" wrapText="1"/>
    </xf>
    <xf numFmtId="0" fontId="0" fillId="0" borderId="17" xfId="0" applyBorder="1"/>
    <xf numFmtId="3" fontId="14" fillId="0" borderId="24" xfId="49" applyNumberFormat="1" applyFont="1" applyBorder="1" applyAlignment="1">
      <alignment horizontal="center" vertical="center" wrapText="1"/>
    </xf>
    <xf numFmtId="175" fontId="14" fillId="0" borderId="9" xfId="52" applyNumberFormat="1" applyFont="1" applyBorder="1" applyAlignment="1">
      <alignment horizontal="center"/>
    </xf>
    <xf numFmtId="175" fontId="14" fillId="0" borderId="9" xfId="49" applyNumberFormat="1" applyFont="1" applyBorder="1"/>
    <xf numFmtId="9" fontId="14" fillId="0" borderId="11" xfId="52" applyFont="1" applyBorder="1" applyAlignment="1">
      <alignment horizontal="center" vertical="center" wrapText="1"/>
    </xf>
    <xf numFmtId="9" fontId="31" fillId="0" borderId="0" xfId="52" applyFont="1" applyBorder="1" applyAlignment="1">
      <alignment horizontal="center" vertical="center" wrapText="1"/>
    </xf>
    <xf numFmtId="0" fontId="0" fillId="0" borderId="0" xfId="0" applyBorder="1"/>
    <xf numFmtId="0" fontId="14" fillId="0" borderId="0" xfId="49" applyFont="1" applyBorder="1" applyAlignment="1">
      <alignment wrapText="1"/>
    </xf>
    <xf numFmtId="0" fontId="32" fillId="0" borderId="25" xfId="41" applyFont="1" applyFill="1" applyBorder="1" applyAlignment="1">
      <alignment horizontal="center" vertical="center" wrapText="1"/>
    </xf>
    <xf numFmtId="0" fontId="25" fillId="0" borderId="0" xfId="45" applyFont="1" applyFill="1" applyBorder="1" applyAlignment="1">
      <alignment horizontal="center" vertical="center" wrapText="1"/>
    </xf>
    <xf numFmtId="2" fontId="14" fillId="0" borderId="0" xfId="41" applyNumberFormat="1" applyFont="1" applyFill="1" applyBorder="1" applyAlignment="1">
      <alignment horizontal="center"/>
    </xf>
    <xf numFmtId="9" fontId="14" fillId="0" borderId="29" xfId="52" applyFont="1" applyFill="1" applyBorder="1" applyAlignment="1">
      <alignment horizontal="center"/>
    </xf>
    <xf numFmtId="9" fontId="28" fillId="0" borderId="26" xfId="49" applyNumberFormat="1" applyFont="1" applyFill="1" applyBorder="1" applyAlignment="1">
      <alignment horizontal="center"/>
    </xf>
    <xf numFmtId="9" fontId="28" fillId="0" borderId="31" xfId="49" applyNumberFormat="1" applyFont="1" applyFill="1" applyBorder="1" applyAlignment="1">
      <alignment horizontal="center"/>
    </xf>
    <xf numFmtId="0" fontId="14" fillId="0" borderId="11" xfId="38" applyBorder="1" applyAlignment="1">
      <alignment horizontal="center"/>
    </xf>
    <xf numFmtId="9" fontId="14" fillId="0" borderId="11" xfId="52" applyFont="1" applyFill="1" applyBorder="1" applyAlignment="1">
      <alignment horizontal="center" vertical="center" wrapText="1"/>
    </xf>
    <xf numFmtId="9" fontId="14" fillId="0" borderId="95" xfId="52" applyFont="1" applyFill="1" applyBorder="1" applyAlignment="1">
      <alignment horizontal="center" vertical="center" wrapText="1"/>
    </xf>
    <xf numFmtId="9" fontId="26" fillId="0" borderId="22" xfId="52" applyFont="1" applyFill="1" applyBorder="1" applyAlignment="1">
      <alignment horizontal="center"/>
    </xf>
    <xf numFmtId="9" fontId="14" fillId="0" borderId="95" xfId="52" applyFont="1" applyFill="1" applyBorder="1" applyAlignment="1">
      <alignment horizontal="center"/>
    </xf>
    <xf numFmtId="9" fontId="14" fillId="0" borderId="0" xfId="52" applyNumberFormat="1" applyFont="1" applyFill="1" applyBorder="1" applyAlignment="1">
      <alignment horizontal="center"/>
    </xf>
    <xf numFmtId="0" fontId="14" fillId="0" borderId="11" xfId="38" applyFont="1" applyBorder="1"/>
    <xf numFmtId="9" fontId="14" fillId="0" borderId="0" xfId="52" applyNumberFormat="1" applyFont="1" applyBorder="1" applyAlignment="1">
      <alignment horizontal="center" vertical="center" wrapText="1"/>
    </xf>
    <xf numFmtId="172" fontId="28" fillId="0" borderId="32" xfId="49" applyNumberFormat="1" applyFont="1" applyFill="1" applyBorder="1" applyAlignment="1">
      <alignment horizontal="center" vertical="center"/>
    </xf>
    <xf numFmtId="172" fontId="31" fillId="0" borderId="0" xfId="49" applyNumberFormat="1" applyFont="1" applyFill="1" applyBorder="1" applyAlignment="1">
      <alignment horizontal="center" vertical="center" wrapText="1"/>
    </xf>
    <xf numFmtId="9" fontId="62" fillId="0" borderId="26" xfId="41" applyNumberFormat="1" applyFont="1" applyFill="1" applyBorder="1" applyAlignment="1">
      <alignment horizontal="center" vertical="center" wrapText="1"/>
    </xf>
    <xf numFmtId="178" fontId="14" fillId="0" borderId="0" xfId="52" applyNumberFormat="1" applyFont="1" applyAlignment="1">
      <alignment horizontal="center"/>
    </xf>
    <xf numFmtId="3" fontId="71" fillId="0" borderId="0" xfId="41" applyNumberFormat="1" applyFont="1" applyFill="1" applyBorder="1"/>
    <xf numFmtId="0" fontId="56" fillId="0" borderId="14" xfId="41" applyFont="1" applyFill="1" applyBorder="1" applyAlignment="1">
      <alignment horizontal="center" vertical="center" wrapText="1"/>
    </xf>
    <xf numFmtId="172" fontId="32" fillId="0" borderId="9" xfId="52" applyNumberFormat="1" applyFont="1" applyFill="1" applyBorder="1" applyAlignment="1">
      <alignment horizontal="center"/>
    </xf>
    <xf numFmtId="172" fontId="62" fillId="0" borderId="9" xfId="52" applyNumberFormat="1" applyFont="1" applyFill="1" applyBorder="1" applyAlignment="1">
      <alignment horizontal="center"/>
    </xf>
    <xf numFmtId="3" fontId="14" fillId="0" borderId="35" xfId="41" applyNumberFormat="1" applyBorder="1"/>
    <xf numFmtId="9" fontId="70" fillId="0" borderId="25" xfId="41" applyNumberFormat="1" applyFont="1" applyFill="1" applyBorder="1" applyAlignment="1">
      <alignment horizontal="center"/>
    </xf>
    <xf numFmtId="9" fontId="67" fillId="0" borderId="36" xfId="41" applyNumberFormat="1" applyFont="1" applyFill="1" applyBorder="1" applyAlignment="1">
      <alignment horizontal="center"/>
    </xf>
    <xf numFmtId="0" fontId="62" fillId="0" borderId="9" xfId="41" applyFont="1" applyFill="1" applyBorder="1"/>
    <xf numFmtId="0" fontId="62" fillId="0" borderId="35" xfId="41" applyFont="1" applyFill="1" applyBorder="1"/>
    <xf numFmtId="194" fontId="62" fillId="0" borderId="26" xfId="41" applyNumberFormat="1" applyFont="1" applyFill="1" applyBorder="1"/>
    <xf numFmtId="178" fontId="62" fillId="0" borderId="26" xfId="52" applyNumberFormat="1" applyFont="1" applyFill="1" applyBorder="1" applyAlignment="1">
      <alignment horizontal="center"/>
    </xf>
    <xf numFmtId="172" fontId="62" fillId="0" borderId="0" xfId="52" applyNumberFormat="1" applyFont="1" applyFill="1" applyBorder="1" applyAlignment="1">
      <alignment horizontal="center" wrapText="1"/>
    </xf>
    <xf numFmtId="178" fontId="62" fillId="0" borderId="0" xfId="52" applyNumberFormat="1" applyFont="1" applyFill="1" applyBorder="1" applyAlignment="1">
      <alignment horizontal="center" wrapText="1"/>
    </xf>
    <xf numFmtId="10" fontId="62" fillId="0" borderId="0" xfId="52" applyNumberFormat="1" applyFont="1" applyFill="1" applyBorder="1"/>
    <xf numFmtId="9" fontId="62" fillId="0" borderId="0" xfId="52" applyFont="1" applyFill="1" applyBorder="1" applyAlignment="1">
      <alignment horizontal="center" vertical="center" wrapText="1"/>
    </xf>
    <xf numFmtId="9" fontId="32" fillId="0" borderId="0" xfId="52" applyFont="1" applyFill="1" applyBorder="1" applyAlignment="1">
      <alignment horizontal="center" vertical="center" wrapText="1"/>
    </xf>
    <xf numFmtId="9" fontId="69" fillId="0" borderId="0" xfId="52" applyFont="1" applyFill="1" applyBorder="1" applyAlignment="1">
      <alignment horizontal="center"/>
    </xf>
    <xf numFmtId="9" fontId="32" fillId="0" borderId="0" xfId="52" applyFont="1" applyFill="1" applyBorder="1" applyAlignment="1">
      <alignment horizontal="center"/>
    </xf>
    <xf numFmtId="172" fontId="62" fillId="0" borderId="0" xfId="41" applyNumberFormat="1" applyFont="1" applyFill="1" applyAlignment="1">
      <alignment horizontal="center"/>
    </xf>
    <xf numFmtId="172" fontId="62" fillId="0" borderId="0" xfId="41" applyNumberFormat="1" applyFont="1" applyFill="1" applyBorder="1" applyAlignment="1">
      <alignment wrapText="1"/>
    </xf>
    <xf numFmtId="0" fontId="31" fillId="0" borderId="0" xfId="41" applyFont="1" applyFill="1" applyBorder="1"/>
    <xf numFmtId="0" fontId="31" fillId="0" borderId="0" xfId="42" applyFont="1" applyFill="1" applyBorder="1" applyAlignment="1">
      <alignment horizontal="center"/>
    </xf>
    <xf numFmtId="3" fontId="32" fillId="0" borderId="25" xfId="41" applyNumberFormat="1" applyFont="1" applyFill="1" applyBorder="1"/>
    <xf numFmtId="178" fontId="32" fillId="0" borderId="25" xfId="52" applyNumberFormat="1" applyFont="1" applyFill="1" applyBorder="1"/>
    <xf numFmtId="0" fontId="32" fillId="0" borderId="25" xfId="41" applyFont="1" applyFill="1" applyBorder="1"/>
    <xf numFmtId="0" fontId="32" fillId="0" borderId="25" xfId="41" applyFont="1" applyFill="1" applyBorder="1" applyAlignment="1">
      <alignment wrapText="1"/>
    </xf>
    <xf numFmtId="10" fontId="32" fillId="0" borderId="25" xfId="52" applyNumberFormat="1" applyFont="1" applyFill="1" applyBorder="1" applyAlignment="1">
      <alignment horizontal="center" wrapText="1"/>
    </xf>
    <xf numFmtId="2" fontId="32" fillId="0" borderId="25" xfId="41" applyNumberFormat="1" applyFont="1" applyFill="1" applyBorder="1" applyAlignment="1">
      <alignment horizontal="center"/>
    </xf>
    <xf numFmtId="2" fontId="31" fillId="0" borderId="25" xfId="41" applyNumberFormat="1" applyFont="1" applyFill="1" applyBorder="1" applyAlignment="1">
      <alignment horizontal="center"/>
    </xf>
    <xf numFmtId="0" fontId="69" fillId="0" borderId="25" xfId="41" applyFont="1" applyFill="1" applyBorder="1" applyAlignment="1">
      <alignment horizontal="center"/>
    </xf>
    <xf numFmtId="0" fontId="31" fillId="0" borderId="36" xfId="41" applyFont="1" applyFill="1" applyBorder="1"/>
    <xf numFmtId="0" fontId="14" fillId="0" borderId="0" xfId="41" applyFont="1" applyFill="1" applyBorder="1"/>
    <xf numFmtId="172" fontId="62" fillId="0" borderId="25" xfId="41" applyNumberFormat="1" applyFont="1" applyFill="1" applyBorder="1" applyAlignment="1">
      <alignment horizontal="center" vertical="center" wrapText="1"/>
    </xf>
    <xf numFmtId="3" fontId="14" fillId="0" borderId="0" xfId="41" applyNumberFormat="1" applyFont="1"/>
    <xf numFmtId="9" fontId="67" fillId="0" borderId="0" xfId="52" applyFont="1" applyFill="1" applyBorder="1" applyAlignment="1">
      <alignment horizontal="center"/>
    </xf>
    <xf numFmtId="9" fontId="62" fillId="0" borderId="0" xfId="54" applyNumberFormat="1" applyFont="1" applyFill="1" applyBorder="1" applyAlignment="1">
      <alignment horizontal="center"/>
    </xf>
    <xf numFmtId="9" fontId="62" fillId="0" borderId="0" xfId="52" applyFont="1" applyFill="1" applyBorder="1" applyAlignment="1">
      <alignment horizontal="center"/>
    </xf>
    <xf numFmtId="0" fontId="14" fillId="0" borderId="77" xfId="49" applyBorder="1"/>
    <xf numFmtId="0" fontId="14" fillId="0" borderId="14" xfId="49" applyBorder="1"/>
    <xf numFmtId="0" fontId="14" fillId="0" borderId="35" xfId="49" applyBorder="1"/>
    <xf numFmtId="172" fontId="31" fillId="0" borderId="35" xfId="41" applyNumberFormat="1" applyFont="1" applyFill="1" applyBorder="1"/>
    <xf numFmtId="3" fontId="14" fillId="0" borderId="11" xfId="38" applyNumberFormat="1" applyBorder="1"/>
    <xf numFmtId="3" fontId="14" fillId="0" borderId="116" xfId="49" applyNumberFormat="1" applyBorder="1"/>
    <xf numFmtId="0" fontId="14" fillId="0" borderId="117" xfId="38" applyBorder="1"/>
    <xf numFmtId="2" fontId="14" fillId="0" borderId="12" xfId="41" applyNumberFormat="1" applyFont="1" applyFill="1" applyBorder="1" applyAlignment="1">
      <alignment horizontal="center" vertical="center"/>
    </xf>
    <xf numFmtId="3" fontId="14" fillId="0" borderId="13" xfId="38" applyNumberFormat="1" applyBorder="1"/>
    <xf numFmtId="0" fontId="14" fillId="0" borderId="118" xfId="38" applyBorder="1"/>
    <xf numFmtId="3" fontId="14" fillId="0" borderId="51" xfId="38" applyNumberFormat="1" applyBorder="1"/>
    <xf numFmtId="0" fontId="35" fillId="0" borderId="11" xfId="38" applyFont="1" applyFill="1" applyBorder="1" applyAlignment="1">
      <alignment horizontal="center" vertical="center" wrapText="1"/>
    </xf>
    <xf numFmtId="172" fontId="14" fillId="0" borderId="0" xfId="49" applyNumberFormat="1" applyFont="1" applyBorder="1" applyAlignment="1">
      <alignment horizontal="center" vertical="center"/>
    </xf>
    <xf numFmtId="9" fontId="14" fillId="0" borderId="38" xfId="38" applyNumberFormat="1" applyFont="1" applyBorder="1" applyAlignment="1">
      <alignment horizontal="center"/>
    </xf>
    <xf numFmtId="172" fontId="14" fillId="0" borderId="32" xfId="49" applyNumberFormat="1" applyFont="1" applyFill="1" applyBorder="1" applyAlignment="1">
      <alignment horizontal="center" vertical="center"/>
    </xf>
    <xf numFmtId="10" fontId="14" fillId="0" borderId="9" xfId="38" applyNumberFormat="1" applyBorder="1"/>
    <xf numFmtId="0" fontId="14" fillId="0" borderId="17" xfId="38" applyBorder="1"/>
    <xf numFmtId="10" fontId="14" fillId="0" borderId="24" xfId="38" applyNumberFormat="1" applyBorder="1"/>
    <xf numFmtId="178" fontId="89" fillId="0" borderId="119" xfId="54" applyNumberFormat="1" applyFont="1" applyBorder="1" applyAlignment="1">
      <alignment horizontal="center"/>
    </xf>
    <xf numFmtId="0" fontId="65" fillId="0" borderId="0" xfId="41" applyFont="1" applyFill="1" applyBorder="1" applyAlignment="1">
      <alignment horizontal="center" vertical="center" wrapText="1"/>
    </xf>
    <xf numFmtId="0" fontId="31" fillId="0" borderId="18" xfId="49" applyFont="1" applyBorder="1" applyAlignment="1">
      <alignment horizontal="center" vertical="center" wrapText="1"/>
    </xf>
    <xf numFmtId="9" fontId="31" fillId="0" borderId="20" xfId="49" applyNumberFormat="1" applyFont="1" applyBorder="1" applyAlignment="1">
      <alignment horizontal="center" vertical="center" wrapText="1"/>
    </xf>
    <xf numFmtId="172" fontId="31" fillId="0" borderId="20" xfId="49" applyNumberFormat="1" applyFont="1" applyFill="1" applyBorder="1" applyAlignment="1">
      <alignment horizontal="center" vertical="center"/>
    </xf>
    <xf numFmtId="172" fontId="31" fillId="0" borderId="20" xfId="49" applyNumberFormat="1" applyFont="1" applyBorder="1" applyAlignment="1">
      <alignment horizontal="center" vertical="center" wrapText="1"/>
    </xf>
    <xf numFmtId="9" fontId="14" fillId="0" borderId="32" xfId="49" applyNumberFormat="1" applyBorder="1" applyAlignment="1">
      <alignment horizontal="center" vertical="center" wrapText="1"/>
    </xf>
    <xf numFmtId="172" fontId="28" fillId="0" borderId="32" xfId="49" applyNumberFormat="1" applyFont="1" applyBorder="1" applyAlignment="1">
      <alignment horizontal="center" vertical="center" wrapText="1"/>
    </xf>
    <xf numFmtId="172" fontId="28" fillId="0" borderId="32" xfId="49" applyNumberFormat="1" applyFont="1" applyFill="1" applyBorder="1" applyAlignment="1">
      <alignment horizontal="center" vertical="center" wrapText="1"/>
    </xf>
    <xf numFmtId="3" fontId="35" fillId="0" borderId="95" xfId="49" applyNumberFormat="1" applyFont="1" applyBorder="1" applyAlignment="1">
      <alignment horizontal="center"/>
    </xf>
    <xf numFmtId="0" fontId="31" fillId="0" borderId="34" xfId="49" applyFont="1" applyBorder="1" applyAlignment="1">
      <alignment horizontal="center" vertical="center"/>
    </xf>
    <xf numFmtId="0" fontId="31" fillId="0" borderId="23" xfId="49" applyFont="1" applyBorder="1" applyAlignment="1">
      <alignment horizontal="center" vertical="center"/>
    </xf>
    <xf numFmtId="172" fontId="31" fillId="0" borderId="32" xfId="49" applyNumberFormat="1" applyFont="1" applyFill="1" applyBorder="1" applyAlignment="1">
      <alignment horizontal="center" vertical="center"/>
    </xf>
    <xf numFmtId="9" fontId="31" fillId="0" borderId="32" xfId="49" applyNumberFormat="1" applyFont="1" applyFill="1" applyBorder="1" applyAlignment="1">
      <alignment horizontal="center" vertical="center"/>
    </xf>
    <xf numFmtId="0" fontId="79" fillId="0" borderId="66" xfId="49" applyFont="1" applyBorder="1" applyAlignment="1">
      <alignment horizontal="center" vertical="center" wrapText="1"/>
    </xf>
    <xf numFmtId="172" fontId="14" fillId="0" borderId="26" xfId="49" applyNumberFormat="1" applyFont="1" applyBorder="1" applyAlignment="1">
      <alignment horizontal="center" vertical="center" wrapText="1"/>
    </xf>
    <xf numFmtId="172" fontId="14" fillId="0" borderId="31" xfId="49" applyNumberFormat="1" applyFont="1" applyBorder="1" applyAlignment="1">
      <alignment horizontal="center" vertical="center" wrapText="1"/>
    </xf>
    <xf numFmtId="0" fontId="31" fillId="0" borderId="120" xfId="49" applyFont="1" applyBorder="1" applyAlignment="1">
      <alignment horizontal="center" vertical="center" wrapText="1"/>
    </xf>
    <xf numFmtId="9" fontId="28" fillId="0" borderId="0" xfId="49" applyNumberFormat="1" applyFont="1" applyBorder="1" applyAlignment="1">
      <alignment horizontal="center" vertical="center" wrapText="1"/>
    </xf>
    <xf numFmtId="9" fontId="28" fillId="0" borderId="32" xfId="49" applyNumberFormat="1" applyFont="1" applyFill="1" applyBorder="1" applyAlignment="1">
      <alignment horizontal="center" vertical="center" wrapText="1"/>
    </xf>
    <xf numFmtId="9" fontId="31" fillId="0" borderId="0" xfId="49" applyNumberFormat="1" applyFont="1" applyFill="1" applyBorder="1" applyAlignment="1">
      <alignment horizontal="center" vertical="center" wrapText="1"/>
    </xf>
    <xf numFmtId="9" fontId="28" fillId="0" borderId="32" xfId="49" applyNumberFormat="1" applyFont="1" applyBorder="1" applyAlignment="1">
      <alignment horizontal="center" vertical="center" wrapText="1"/>
    </xf>
    <xf numFmtId="178" fontId="14" fillId="0" borderId="0" xfId="49" applyNumberFormat="1" applyBorder="1"/>
    <xf numFmtId="175" fontId="14" fillId="0" borderId="0" xfId="49" applyNumberFormat="1" applyFont="1" applyBorder="1" applyAlignment="1">
      <alignment horizontal="center" vertical="center"/>
    </xf>
    <xf numFmtId="172" fontId="14" fillId="0" borderId="0" xfId="52" applyNumberFormat="1" applyFont="1" applyBorder="1" applyAlignment="1">
      <alignment horizontal="center" vertical="center"/>
    </xf>
    <xf numFmtId="0" fontId="61" fillId="0" borderId="0" xfId="49" applyFont="1" applyBorder="1" applyAlignment="1">
      <alignment horizontal="center" vertical="center" wrapText="1"/>
    </xf>
    <xf numFmtId="0" fontId="14" fillId="0" borderId="11" xfId="49" applyBorder="1" applyAlignment="1">
      <alignment horizontal="center"/>
    </xf>
    <xf numFmtId="172" fontId="31" fillId="0" borderId="31" xfId="49" applyNumberFormat="1" applyFont="1" applyBorder="1" applyAlignment="1">
      <alignment horizontal="center" vertical="center" wrapText="1"/>
    </xf>
    <xf numFmtId="3" fontId="39" fillId="0" borderId="95" xfId="49" applyNumberFormat="1" applyFont="1" applyBorder="1" applyAlignment="1">
      <alignment horizontal="center"/>
    </xf>
    <xf numFmtId="172" fontId="31" fillId="0" borderId="37" xfId="49" applyNumberFormat="1" applyFont="1" applyBorder="1" applyAlignment="1">
      <alignment horizontal="center" vertical="center" wrapText="1"/>
    </xf>
    <xf numFmtId="3" fontId="39" fillId="0" borderId="51" xfId="49" applyNumberFormat="1" applyFont="1" applyBorder="1" applyAlignment="1">
      <alignment horizontal="center"/>
    </xf>
    <xf numFmtId="172" fontId="31" fillId="0" borderId="26" xfId="49" applyNumberFormat="1" applyFont="1" applyBorder="1" applyAlignment="1">
      <alignment horizontal="center" vertical="center" wrapText="1"/>
    </xf>
    <xf numFmtId="3" fontId="39" fillId="0" borderId="11" xfId="49" applyNumberFormat="1" applyFont="1" applyBorder="1" applyAlignment="1">
      <alignment horizontal="center"/>
    </xf>
    <xf numFmtId="172" fontId="31" fillId="0" borderId="28" xfId="49" applyNumberFormat="1" applyFont="1" applyBorder="1" applyAlignment="1">
      <alignment horizontal="center" vertical="center" wrapText="1"/>
    </xf>
    <xf numFmtId="3" fontId="39" fillId="0" borderId="22" xfId="49" applyNumberFormat="1" applyFont="1" applyBorder="1" applyAlignment="1">
      <alignment horizontal="center"/>
    </xf>
    <xf numFmtId="4" fontId="31" fillId="0" borderId="9" xfId="49" applyNumberFormat="1" applyFont="1" applyBorder="1" applyAlignment="1">
      <alignment horizontal="center" vertical="center" wrapText="1"/>
    </xf>
    <xf numFmtId="4" fontId="14" fillId="0" borderId="9" xfId="49" applyNumberFormat="1" applyBorder="1" applyAlignment="1">
      <alignment horizontal="center" vertical="center" wrapText="1"/>
    </xf>
    <xf numFmtId="4" fontId="31" fillId="0" borderId="19" xfId="49" applyNumberFormat="1" applyFont="1" applyBorder="1" applyAlignment="1">
      <alignment horizontal="center" vertical="center" wrapText="1"/>
    </xf>
    <xf numFmtId="4" fontId="14" fillId="0" borderId="29" xfId="49" applyNumberFormat="1" applyBorder="1" applyAlignment="1">
      <alignment horizontal="center" vertical="center" wrapText="1"/>
    </xf>
    <xf numFmtId="4" fontId="31" fillId="0" borderId="29" xfId="49" applyNumberFormat="1" applyFont="1" applyFill="1" applyBorder="1" applyAlignment="1">
      <alignment horizontal="center" vertical="center"/>
    </xf>
    <xf numFmtId="4" fontId="31" fillId="0" borderId="35" xfId="49" applyNumberFormat="1" applyFont="1" applyFill="1" applyBorder="1" applyAlignment="1">
      <alignment horizontal="center" vertical="center"/>
    </xf>
    <xf numFmtId="2" fontId="31" fillId="0" borderId="25" xfId="49" applyNumberFormat="1" applyFont="1" applyBorder="1" applyAlignment="1">
      <alignment horizontal="center" vertical="center" wrapText="1"/>
    </xf>
    <xf numFmtId="2" fontId="14" fillId="0" borderId="25" xfId="49" applyNumberFormat="1" applyBorder="1" applyAlignment="1">
      <alignment horizontal="center" vertical="center" wrapText="1"/>
    </xf>
    <xf numFmtId="2" fontId="31" fillId="0" borderId="27" xfId="49" applyNumberFormat="1" applyFont="1" applyBorder="1" applyAlignment="1">
      <alignment horizontal="center" vertical="center" wrapText="1"/>
    </xf>
    <xf numFmtId="2" fontId="14" fillId="0" borderId="30" xfId="49" applyNumberFormat="1" applyBorder="1" applyAlignment="1">
      <alignment horizontal="center" vertical="center" wrapText="1"/>
    </xf>
    <xf numFmtId="2" fontId="31" fillId="0" borderId="30" xfId="49" applyNumberFormat="1" applyFont="1" applyBorder="1" applyAlignment="1">
      <alignment horizontal="center" vertical="center" wrapText="1"/>
    </xf>
    <xf numFmtId="2" fontId="31" fillId="0" borderId="36" xfId="49" applyNumberFormat="1" applyFont="1" applyBorder="1" applyAlignment="1">
      <alignment horizontal="center" vertical="center" wrapText="1"/>
    </xf>
    <xf numFmtId="2" fontId="28" fillId="0" borderId="25" xfId="49" applyNumberFormat="1" applyFont="1" applyBorder="1" applyAlignment="1">
      <alignment horizontal="center" vertical="center" wrapText="1"/>
    </xf>
    <xf numFmtId="2" fontId="28" fillId="0" borderId="30" xfId="49" applyNumberFormat="1" applyFont="1" applyBorder="1" applyAlignment="1">
      <alignment horizontal="center" vertical="center" wrapText="1"/>
    </xf>
    <xf numFmtId="176" fontId="31" fillId="0" borderId="30" xfId="49" applyNumberFormat="1" applyFont="1" applyFill="1" applyBorder="1" applyAlignment="1">
      <alignment horizontal="center" vertical="center"/>
    </xf>
    <xf numFmtId="176" fontId="31" fillId="0" borderId="36" xfId="49" applyNumberFormat="1" applyFont="1" applyFill="1" applyBorder="1" applyAlignment="1">
      <alignment horizontal="center" vertical="center"/>
    </xf>
    <xf numFmtId="0" fontId="43" fillId="0" borderId="14" xfId="49" applyFont="1" applyBorder="1" applyAlignment="1">
      <alignment horizontal="center" vertical="center" wrapText="1"/>
    </xf>
    <xf numFmtId="9" fontId="14" fillId="0" borderId="0" xfId="38" applyNumberFormat="1" applyBorder="1"/>
    <xf numFmtId="0" fontId="14" fillId="0" borderId="25" xfId="49" applyFont="1" applyBorder="1"/>
    <xf numFmtId="0" fontId="14" fillId="0" borderId="26" xfId="49" applyFont="1" applyBorder="1" applyAlignment="1">
      <alignment horizontal="center"/>
    </xf>
    <xf numFmtId="0" fontId="31" fillId="0" borderId="0" xfId="38" applyFont="1" applyFill="1" applyBorder="1" applyAlignment="1">
      <alignment vertical="center" wrapText="1"/>
    </xf>
    <xf numFmtId="0" fontId="14" fillId="0" borderId="0" xfId="38" applyFont="1" applyAlignment="1">
      <alignment horizontal="center"/>
    </xf>
    <xf numFmtId="9" fontId="31" fillId="0" borderId="47" xfId="38" applyNumberFormat="1" applyFont="1" applyBorder="1" applyAlignment="1">
      <alignment horizontal="center" vertical="center" wrapText="1"/>
    </xf>
    <xf numFmtId="9" fontId="31" fillId="0" borderId="0" xfId="38" applyNumberFormat="1" applyFont="1" applyBorder="1" applyAlignment="1">
      <alignment horizontal="center" vertical="center" wrapText="1"/>
    </xf>
    <xf numFmtId="9" fontId="35" fillId="0" borderId="0" xfId="38" applyNumberFormat="1" applyFont="1" applyBorder="1" applyAlignment="1">
      <alignment horizontal="center" vertical="center" wrapText="1"/>
    </xf>
    <xf numFmtId="178" fontId="48" fillId="0" borderId="0" xfId="52" applyNumberFormat="1" applyFont="1" applyBorder="1" applyAlignment="1">
      <alignment vertical="center" wrapText="1"/>
    </xf>
    <xf numFmtId="178" fontId="35" fillId="0" borderId="0" xfId="52" applyNumberFormat="1" applyFont="1"/>
    <xf numFmtId="9" fontId="14" fillId="0" borderId="20" xfId="52" applyFont="1" applyFill="1" applyBorder="1" applyAlignment="1">
      <alignment horizontal="center" vertical="center" wrapText="1"/>
    </xf>
    <xf numFmtId="0" fontId="45" fillId="0" borderId="9" xfId="38" applyFont="1" applyFill="1" applyBorder="1" applyAlignment="1">
      <alignment horizontal="center" vertical="center" wrapText="1"/>
    </xf>
    <xf numFmtId="0" fontId="45" fillId="0" borderId="17" xfId="38" applyFont="1" applyFill="1" applyBorder="1" applyAlignment="1">
      <alignment horizontal="center" vertical="center" wrapText="1"/>
    </xf>
    <xf numFmtId="3" fontId="14" fillId="0" borderId="9" xfId="49" applyNumberFormat="1" applyFont="1" applyBorder="1"/>
    <xf numFmtId="0" fontId="14"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43"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0" xfId="0" applyFont="1" applyFill="1" applyBorder="1" applyAlignment="1">
      <alignment horizontal="center" vertical="center" wrapText="1"/>
    </xf>
    <xf numFmtId="0" fontId="96" fillId="0" borderId="0" xfId="0" applyFont="1"/>
    <xf numFmtId="3" fontId="14" fillId="0" borderId="0" xfId="46" applyNumberFormat="1" applyBorder="1" applyAlignment="1">
      <alignment wrapText="1"/>
    </xf>
    <xf numFmtId="0" fontId="43" fillId="0" borderId="0" xfId="49" applyFont="1" applyBorder="1" applyAlignment="1">
      <alignment vertical="center" wrapText="1"/>
    </xf>
    <xf numFmtId="0" fontId="31" fillId="0" borderId="17" xfId="0" applyFont="1" applyBorder="1" applyAlignment="1">
      <alignment horizontal="center" vertical="center" wrapText="1"/>
    </xf>
    <xf numFmtId="0" fontId="31" fillId="0" borderId="17" xfId="0" applyFont="1" applyFill="1" applyBorder="1" applyAlignment="1">
      <alignment horizontal="center" vertical="center" wrapText="1"/>
    </xf>
    <xf numFmtId="0" fontId="43" fillId="0" borderId="0" xfId="0" applyFont="1" applyBorder="1" applyAlignment="1">
      <alignment horizontal="center" vertical="center"/>
    </xf>
    <xf numFmtId="0" fontId="43" fillId="0" borderId="17" xfId="0" applyFont="1" applyBorder="1" applyAlignment="1">
      <alignment horizontal="center" vertical="center"/>
    </xf>
    <xf numFmtId="3" fontId="14" fillId="0" borderId="17" xfId="49" applyNumberFormat="1" applyFont="1" applyBorder="1"/>
    <xf numFmtId="0" fontId="31" fillId="0" borderId="9" xfId="49" applyFont="1" applyFill="1" applyBorder="1" applyAlignment="1">
      <alignment horizontal="center" vertical="center" wrapText="1"/>
    </xf>
    <xf numFmtId="0" fontId="47" fillId="0" borderId="0" xfId="49" applyFont="1" applyFill="1" applyBorder="1" applyAlignment="1">
      <alignment horizontal="center" vertical="center" wrapText="1"/>
    </xf>
    <xf numFmtId="0" fontId="47" fillId="0" borderId="32" xfId="49" applyFont="1" applyFill="1" applyBorder="1" applyAlignment="1">
      <alignment horizontal="center" vertical="center" wrapText="1"/>
    </xf>
    <xf numFmtId="9" fontId="14" fillId="0" borderId="0" xfId="49" applyNumberFormat="1" applyFill="1" applyBorder="1" applyAlignment="1">
      <alignment horizontal="center" vertical="center"/>
    </xf>
    <xf numFmtId="9" fontId="14" fillId="0" borderId="32" xfId="49" applyNumberFormat="1" applyFill="1" applyBorder="1" applyAlignment="1">
      <alignment horizontal="center" vertical="center"/>
    </xf>
    <xf numFmtId="9" fontId="14" fillId="0" borderId="29" xfId="49" applyNumberFormat="1" applyFill="1" applyBorder="1" applyAlignment="1">
      <alignment horizontal="center" vertical="center"/>
    </xf>
    <xf numFmtId="9" fontId="14" fillId="0" borderId="20" xfId="49" applyNumberFormat="1" applyFill="1" applyBorder="1" applyAlignment="1">
      <alignment horizontal="center" vertical="center"/>
    </xf>
    <xf numFmtId="9" fontId="14" fillId="0" borderId="38" xfId="49" applyNumberFormat="1" applyFill="1" applyBorder="1" applyAlignment="1">
      <alignment horizontal="center" vertical="center"/>
    </xf>
    <xf numFmtId="0" fontId="14" fillId="0" borderId="10" xfId="38" applyFill="1" applyBorder="1" applyAlignment="1">
      <alignment horizontal="center" vertical="center" wrapText="1"/>
    </xf>
    <xf numFmtId="172" fontId="62" fillId="0" borderId="25" xfId="54" applyNumberFormat="1" applyFont="1" applyFill="1" applyBorder="1" applyAlignment="1">
      <alignment horizontal="center"/>
    </xf>
    <xf numFmtId="0" fontId="62" fillId="0" borderId="25" xfId="41" applyFont="1" applyFill="1" applyBorder="1" applyAlignment="1">
      <alignment wrapText="1"/>
    </xf>
    <xf numFmtId="172" fontId="62" fillId="0" borderId="25" xfId="52" applyNumberFormat="1" applyFont="1" applyFill="1" applyBorder="1" applyAlignment="1">
      <alignment horizontal="center" wrapText="1"/>
    </xf>
    <xf numFmtId="2" fontId="62" fillId="0" borderId="25" xfId="41" applyNumberFormat="1" applyFont="1" applyFill="1" applyBorder="1" applyAlignment="1">
      <alignment horizontal="center"/>
    </xf>
    <xf numFmtId="172" fontId="14" fillId="0" borderId="25" xfId="54" applyNumberFormat="1" applyFont="1" applyFill="1" applyBorder="1" applyAlignment="1">
      <alignment horizontal="center"/>
    </xf>
    <xf numFmtId="172" fontId="67" fillId="0" borderId="25" xfId="54" applyNumberFormat="1" applyFont="1" applyFill="1" applyBorder="1" applyAlignment="1">
      <alignment horizontal="center"/>
    </xf>
    <xf numFmtId="172" fontId="62" fillId="0" borderId="25" xfId="54" applyNumberFormat="1" applyFont="1" applyFill="1" applyBorder="1"/>
    <xf numFmtId="0" fontId="14" fillId="0" borderId="36" xfId="41" applyFill="1" applyBorder="1"/>
    <xf numFmtId="9" fontId="68" fillId="0" borderId="25" xfId="49" applyNumberFormat="1" applyFont="1" applyFill="1" applyBorder="1" applyAlignment="1">
      <alignment horizontal="center"/>
    </xf>
    <xf numFmtId="9" fontId="68" fillId="0" borderId="0" xfId="49" applyNumberFormat="1" applyFont="1" applyFill="1" applyBorder="1" applyAlignment="1">
      <alignment horizontal="center"/>
    </xf>
    <xf numFmtId="178" fontId="14" fillId="0" borderId="0" xfId="52" applyNumberFormat="1" applyFont="1" applyFill="1"/>
    <xf numFmtId="175" fontId="14" fillId="0" borderId="12" xfId="49" applyNumberFormat="1" applyFont="1" applyBorder="1" applyAlignment="1">
      <alignment horizontal="center" vertical="center" wrapText="1"/>
    </xf>
    <xf numFmtId="9" fontId="14" fillId="0" borderId="9" xfId="38" applyNumberFormat="1" applyFont="1" applyFill="1" applyBorder="1" applyAlignment="1">
      <alignment horizontal="center" vertical="center" wrapText="1"/>
    </xf>
    <xf numFmtId="9" fontId="14" fillId="0" borderId="19" xfId="38" applyNumberFormat="1" applyFont="1" applyFill="1" applyBorder="1" applyAlignment="1">
      <alignment horizontal="center" vertical="center" wrapText="1"/>
    </xf>
    <xf numFmtId="9" fontId="14" fillId="0" borderId="69" xfId="38" applyNumberFormat="1" applyFont="1" applyFill="1" applyBorder="1" applyAlignment="1">
      <alignment horizontal="center" vertical="center" wrapText="1"/>
    </xf>
    <xf numFmtId="9" fontId="31" fillId="0" borderId="9" xfId="38" applyNumberFormat="1" applyFont="1" applyBorder="1" applyAlignment="1">
      <alignment horizontal="center" vertical="center" wrapText="1"/>
    </xf>
    <xf numFmtId="0" fontId="47" fillId="0" borderId="15" xfId="38" applyFont="1" applyFill="1" applyBorder="1" applyAlignment="1">
      <alignment horizontal="center" vertical="center" wrapText="1"/>
    </xf>
    <xf numFmtId="9" fontId="14" fillId="0" borderId="0" xfId="38" applyNumberFormat="1" applyFont="1" applyFill="1" applyBorder="1" applyAlignment="1" applyProtection="1"/>
    <xf numFmtId="9" fontId="35" fillId="0" borderId="0" xfId="52" applyFont="1" applyFill="1" applyBorder="1" applyAlignment="1">
      <alignment horizontal="center" vertical="center" wrapText="1"/>
    </xf>
    <xf numFmtId="0" fontId="14" fillId="0" borderId="23" xfId="38" applyFill="1" applyBorder="1" applyAlignment="1">
      <alignment horizontal="center" vertical="center" wrapText="1"/>
    </xf>
    <xf numFmtId="0" fontId="14" fillId="0" borderId="32" xfId="38" applyFill="1" applyBorder="1" applyAlignment="1">
      <alignment horizontal="center" vertical="center" wrapText="1"/>
    </xf>
    <xf numFmtId="9" fontId="31" fillId="0" borderId="33" xfId="52" applyFont="1" applyFill="1" applyBorder="1" applyAlignment="1">
      <alignment horizontal="center" vertical="center" wrapText="1"/>
    </xf>
    <xf numFmtId="0" fontId="45" fillId="0" borderId="29" xfId="38" applyFont="1" applyFill="1" applyBorder="1" applyAlignment="1">
      <alignment horizontal="center" vertical="center" wrapText="1"/>
    </xf>
    <xf numFmtId="9" fontId="35" fillId="0" borderId="32" xfId="52" applyFont="1" applyFill="1" applyBorder="1" applyAlignment="1">
      <alignment horizontal="center" vertical="center" wrapText="1"/>
    </xf>
    <xf numFmtId="9" fontId="44" fillId="0" borderId="33" xfId="38" applyNumberFormat="1" applyFont="1" applyFill="1" applyBorder="1" applyAlignment="1">
      <alignment horizontal="center"/>
    </xf>
    <xf numFmtId="9" fontId="39" fillId="0" borderId="95" xfId="38" applyNumberFormat="1" applyFont="1" applyFill="1" applyBorder="1" applyAlignment="1">
      <alignment horizontal="center"/>
    </xf>
    <xf numFmtId="9" fontId="35" fillId="0" borderId="20" xfId="38" applyNumberFormat="1" applyFont="1" applyFill="1" applyBorder="1" applyAlignment="1">
      <alignment horizontal="center"/>
    </xf>
    <xf numFmtId="9" fontId="44" fillId="0" borderId="21" xfId="38" applyNumberFormat="1" applyFont="1" applyFill="1" applyBorder="1" applyAlignment="1">
      <alignment horizontal="center"/>
    </xf>
    <xf numFmtId="9" fontId="45" fillId="0" borderId="29" xfId="38" applyNumberFormat="1" applyFont="1" applyFill="1" applyBorder="1" applyAlignment="1">
      <alignment horizontal="center"/>
    </xf>
    <xf numFmtId="9" fontId="45" fillId="0" borderId="33" xfId="38" applyNumberFormat="1" applyFont="1" applyFill="1" applyBorder="1" applyAlignment="1">
      <alignment horizontal="center"/>
    </xf>
    <xf numFmtId="9" fontId="35" fillId="0" borderId="32" xfId="38" applyNumberFormat="1" applyFont="1" applyFill="1" applyBorder="1" applyAlignment="1">
      <alignment horizontal="center"/>
    </xf>
    <xf numFmtId="0" fontId="14" fillId="0" borderId="18" xfId="38" applyFill="1" applyBorder="1" applyAlignment="1">
      <alignment horizontal="center" vertical="center" wrapText="1"/>
    </xf>
    <xf numFmtId="0" fontId="14" fillId="0" borderId="20" xfId="38" applyFill="1" applyBorder="1" applyAlignment="1">
      <alignment horizontal="center" vertical="center" wrapText="1"/>
    </xf>
    <xf numFmtId="0" fontId="14" fillId="0" borderId="21" xfId="38" applyFont="1" applyFill="1" applyBorder="1" applyAlignment="1">
      <alignment horizontal="center" vertical="center" wrapText="1"/>
    </xf>
    <xf numFmtId="9" fontId="31" fillId="0" borderId="20" xfId="52" applyFont="1" applyFill="1" applyBorder="1" applyAlignment="1">
      <alignment horizontal="center" vertical="center" wrapText="1"/>
    </xf>
    <xf numFmtId="9" fontId="31" fillId="0" borderId="21" xfId="52" applyFont="1" applyFill="1" applyBorder="1" applyAlignment="1">
      <alignment horizontal="center" vertical="center" wrapText="1"/>
    </xf>
    <xf numFmtId="0" fontId="45" fillId="0" borderId="19" xfId="38" applyFont="1" applyFill="1" applyBorder="1" applyAlignment="1">
      <alignment horizontal="center" vertical="center" wrapText="1"/>
    </xf>
    <xf numFmtId="9" fontId="31" fillId="0" borderId="19" xfId="52" applyFont="1" applyFill="1" applyBorder="1" applyAlignment="1">
      <alignment horizontal="center" vertical="center" wrapText="1"/>
    </xf>
    <xf numFmtId="9" fontId="35" fillId="0" borderId="20" xfId="52" applyFont="1" applyFill="1" applyBorder="1" applyAlignment="1">
      <alignment horizontal="center" vertical="center" wrapText="1"/>
    </xf>
    <xf numFmtId="9" fontId="35" fillId="0" borderId="0" xfId="52" applyFont="1" applyFill="1" applyBorder="1" applyAlignment="1">
      <alignment horizontal="center"/>
    </xf>
    <xf numFmtId="9" fontId="45" fillId="0" borderId="17" xfId="52" applyFont="1" applyFill="1" applyBorder="1" applyAlignment="1">
      <alignment horizontal="center" vertical="center" wrapText="1"/>
    </xf>
    <xf numFmtId="9" fontId="45" fillId="0" borderId="33" xfId="52" applyFont="1" applyFill="1" applyBorder="1" applyAlignment="1">
      <alignment horizontal="center" vertical="center" wrapText="1"/>
    </xf>
    <xf numFmtId="9" fontId="45" fillId="0" borderId="21" xfId="52" applyFont="1" applyFill="1" applyBorder="1" applyAlignment="1">
      <alignment horizontal="center" vertical="center" wrapText="1"/>
    </xf>
    <xf numFmtId="9" fontId="45" fillId="0" borderId="17" xfId="52" applyFont="1" applyFill="1" applyBorder="1" applyAlignment="1">
      <alignment horizontal="center"/>
    </xf>
    <xf numFmtId="9" fontId="39" fillId="0" borderId="71" xfId="52" applyFont="1" applyFill="1" applyBorder="1" applyAlignment="1">
      <alignment horizontal="center"/>
    </xf>
    <xf numFmtId="9" fontId="31" fillId="0" borderId="19" xfId="52" applyFont="1" applyFill="1" applyBorder="1" applyAlignment="1">
      <alignment horizontal="center"/>
    </xf>
    <xf numFmtId="178" fontId="14" fillId="0" borderId="0" xfId="52" applyNumberFormat="1" applyFont="1" applyFill="1" applyBorder="1" applyAlignment="1" applyProtection="1"/>
    <xf numFmtId="9" fontId="14" fillId="0" borderId="0" xfId="52" applyNumberFormat="1" applyFont="1"/>
    <xf numFmtId="3" fontId="14" fillId="0" borderId="0" xfId="52" applyNumberFormat="1" applyFont="1" applyBorder="1" applyAlignment="1">
      <alignment horizontal="center" vertical="center" wrapText="1"/>
    </xf>
    <xf numFmtId="3" fontId="14" fillId="0" borderId="0" xfId="52" applyNumberFormat="1" applyFont="1" applyAlignment="1">
      <alignment horizontal="center"/>
    </xf>
    <xf numFmtId="3" fontId="39" fillId="0" borderId="11" xfId="49" applyNumberFormat="1" applyFont="1" applyFill="1" applyBorder="1" applyAlignment="1">
      <alignment horizontal="center"/>
    </xf>
    <xf numFmtId="3" fontId="14" fillId="0" borderId="15" xfId="49" applyNumberFormat="1" applyFont="1" applyBorder="1" applyAlignment="1">
      <alignment horizontal="center" vertical="center" wrapText="1"/>
    </xf>
    <xf numFmtId="172" fontId="14" fillId="0" borderId="0" xfId="52" applyNumberFormat="1" applyFont="1" applyBorder="1" applyAlignment="1">
      <alignment wrapText="1"/>
    </xf>
    <xf numFmtId="0" fontId="31" fillId="0" borderId="9" xfId="49" applyFont="1" applyBorder="1" applyAlignment="1">
      <alignment horizontal="center" wrapText="1"/>
    </xf>
    <xf numFmtId="3" fontId="14" fillId="0" borderId="9" xfId="52" applyNumberFormat="1" applyFont="1" applyBorder="1" applyAlignment="1">
      <alignment horizontal="center" vertical="center" wrapText="1"/>
    </xf>
    <xf numFmtId="172" fontId="14" fillId="0" borderId="9" xfId="52" applyNumberFormat="1" applyFont="1" applyBorder="1" applyAlignment="1">
      <alignment horizontal="center"/>
    </xf>
    <xf numFmtId="9" fontId="31" fillId="0" borderId="32" xfId="52" applyFont="1" applyFill="1" applyBorder="1" applyAlignment="1">
      <alignment horizontal="center"/>
    </xf>
    <xf numFmtId="9" fontId="14" fillId="0" borderId="9" xfId="52" applyFont="1" applyFill="1" applyBorder="1" applyAlignment="1">
      <alignment horizontal="center" vertical="center" wrapText="1"/>
    </xf>
    <xf numFmtId="9" fontId="14" fillId="0" borderId="29" xfId="52" applyFont="1" applyFill="1" applyBorder="1" applyAlignment="1">
      <alignment horizontal="center" vertical="center" wrapText="1"/>
    </xf>
    <xf numFmtId="9" fontId="26" fillId="0" borderId="9" xfId="53" applyFont="1" applyBorder="1" applyAlignment="1">
      <alignment horizontal="center"/>
    </xf>
    <xf numFmtId="9" fontId="26" fillId="0" borderId="29" xfId="53" applyFont="1" applyBorder="1" applyAlignment="1">
      <alignment horizontal="center"/>
    </xf>
    <xf numFmtId="9" fontId="26" fillId="0" borderId="19" xfId="53" applyFont="1" applyBorder="1" applyAlignment="1">
      <alignment horizontal="center"/>
    </xf>
    <xf numFmtId="9" fontId="14" fillId="0" borderId="9" xfId="52" applyFont="1" applyBorder="1" applyAlignment="1">
      <alignment horizontal="center"/>
    </xf>
    <xf numFmtId="9" fontId="26" fillId="0" borderId="69" xfId="53" applyFont="1" applyBorder="1" applyAlignment="1">
      <alignment horizontal="center"/>
    </xf>
    <xf numFmtId="176" fontId="35" fillId="0" borderId="28" xfId="49" applyNumberFormat="1" applyFont="1" applyFill="1" applyBorder="1" applyAlignment="1">
      <alignment horizontal="center"/>
    </xf>
    <xf numFmtId="9" fontId="31" fillId="0" borderId="0" xfId="52" applyFont="1"/>
    <xf numFmtId="0" fontId="31" fillId="0" borderId="17" xfId="38" applyFont="1" applyBorder="1" applyAlignment="1">
      <alignment horizontal="center" vertical="center" wrapText="1"/>
    </xf>
    <xf numFmtId="175" fontId="14" fillId="0" borderId="24" xfId="49" applyNumberFormat="1" applyFont="1" applyBorder="1" applyAlignment="1">
      <alignment horizontal="center" vertical="center" wrapText="1"/>
    </xf>
    <xf numFmtId="9" fontId="14" fillId="0" borderId="11" xfId="52" applyFont="1" applyBorder="1" applyAlignment="1">
      <alignment horizontal="center"/>
    </xf>
    <xf numFmtId="9" fontId="14" fillId="0" borderId="51" xfId="52" applyFont="1" applyBorder="1" applyAlignment="1">
      <alignment horizontal="center"/>
    </xf>
    <xf numFmtId="9" fontId="14" fillId="0" borderId="38" xfId="52" applyFont="1" applyBorder="1" applyAlignment="1">
      <alignment horizontal="center"/>
    </xf>
    <xf numFmtId="9" fontId="14" fillId="0" borderId="44" xfId="52" applyFont="1" applyFill="1" applyBorder="1" applyAlignment="1">
      <alignment horizontal="center"/>
    </xf>
    <xf numFmtId="172" fontId="31" fillId="0" borderId="0" xfId="49" applyNumberFormat="1" applyFont="1" applyBorder="1" applyAlignment="1">
      <alignment horizontal="center" vertical="center"/>
    </xf>
    <xf numFmtId="0" fontId="32" fillId="21" borderId="0" xfId="0" applyFont="1" applyFill="1" applyBorder="1" applyAlignment="1">
      <alignment horizontal="center" vertical="center"/>
    </xf>
    <xf numFmtId="0" fontId="62" fillId="22" borderId="0" xfId="0" applyFont="1" applyFill="1"/>
    <xf numFmtId="0" fontId="100" fillId="22" borderId="0" xfId="0" applyFont="1" applyFill="1" applyAlignment="1">
      <alignment horizontal="center"/>
    </xf>
    <xf numFmtId="0" fontId="99" fillId="22" borderId="0" xfId="0" applyFont="1" applyFill="1" applyAlignment="1"/>
    <xf numFmtId="0" fontId="101" fillId="21" borderId="0" xfId="33" applyFont="1" applyFill="1" applyBorder="1" applyAlignment="1" applyProtection="1"/>
    <xf numFmtId="0" fontId="101" fillId="21" borderId="0" xfId="33" applyFont="1" applyFill="1" applyAlignment="1" applyProtection="1"/>
    <xf numFmtId="0" fontId="32" fillId="23" borderId="0" xfId="0" applyFont="1" applyFill="1" applyBorder="1" applyAlignment="1">
      <alignment horizontal="center" vertical="center"/>
    </xf>
    <xf numFmtId="0" fontId="101" fillId="23" borderId="0" xfId="33" applyFont="1" applyFill="1" applyAlignment="1" applyProtection="1"/>
    <xf numFmtId="0" fontId="32" fillId="24" borderId="0" xfId="0" applyFont="1" applyFill="1" applyBorder="1" applyAlignment="1">
      <alignment horizontal="center" vertical="center"/>
    </xf>
    <xf numFmtId="0" fontId="101" fillId="24" borderId="0" xfId="33" applyFont="1" applyFill="1" applyBorder="1" applyAlignment="1" applyProtection="1"/>
    <xf numFmtId="0" fontId="102" fillId="22" borderId="0" xfId="0" applyFont="1" applyFill="1" applyAlignment="1">
      <alignment horizontal="center"/>
    </xf>
    <xf numFmtId="0" fontId="62" fillId="22" borderId="0" xfId="0" applyFont="1" applyFill="1" applyAlignment="1">
      <alignment vertical="center"/>
    </xf>
    <xf numFmtId="0" fontId="62" fillId="22" borderId="0" xfId="0" applyFont="1" applyFill="1" applyBorder="1"/>
    <xf numFmtId="0" fontId="104" fillId="22" borderId="0" xfId="0" applyFont="1" applyFill="1" applyBorder="1" applyAlignment="1">
      <alignment horizontal="center"/>
    </xf>
    <xf numFmtId="0" fontId="14" fillId="0" borderId="119" xfId="49" applyFont="1" applyBorder="1" applyAlignment="1">
      <alignment horizontal="center" vertical="center" wrapText="1"/>
    </xf>
    <xf numFmtId="9" fontId="103" fillId="0" borderId="0" xfId="33" applyNumberFormat="1" applyFont="1" applyAlignment="1">
      <alignment horizontal="left"/>
    </xf>
    <xf numFmtId="0" fontId="14" fillId="0" borderId="16" xfId="49" applyBorder="1" applyAlignment="1">
      <alignment horizontal="center" vertical="center" wrapText="1"/>
    </xf>
    <xf numFmtId="0" fontId="43" fillId="0" borderId="10" xfId="49" applyFont="1" applyBorder="1" applyAlignment="1">
      <alignment horizontal="center" vertical="center" wrapText="1"/>
    </xf>
    <xf numFmtId="0" fontId="32" fillId="25" borderId="0" xfId="0" applyFont="1" applyFill="1" applyBorder="1" applyAlignment="1">
      <alignment horizontal="center" vertical="center"/>
    </xf>
    <xf numFmtId="0" fontId="101" fillId="25" borderId="0" xfId="33" applyFont="1" applyFill="1" applyBorder="1" applyAlignment="1" applyProtection="1"/>
    <xf numFmtId="9" fontId="31" fillId="0" borderId="0" xfId="38" applyNumberFormat="1" applyFont="1"/>
    <xf numFmtId="0" fontId="50" fillId="0" borderId="15" xfId="38" applyFont="1" applyBorder="1" applyAlignment="1">
      <alignment horizontal="center" vertical="center" wrapText="1"/>
    </xf>
    <xf numFmtId="0" fontId="14" fillId="0" borderId="23" xfId="38" applyBorder="1" applyAlignment="1">
      <alignment horizontal="center" vertical="center" wrapText="1"/>
    </xf>
    <xf numFmtId="9" fontId="31" fillId="0" borderId="49" xfId="38" applyNumberFormat="1" applyFont="1" applyBorder="1" applyAlignment="1">
      <alignment horizontal="center" vertical="center" wrapText="1"/>
    </xf>
    <xf numFmtId="9" fontId="31" fillId="0" borderId="32" xfId="38" applyNumberFormat="1" applyFont="1" applyBorder="1" applyAlignment="1">
      <alignment horizontal="center" vertical="center" wrapText="1"/>
    </xf>
    <xf numFmtId="9" fontId="35" fillId="0" borderId="32" xfId="38" applyNumberFormat="1" applyFont="1" applyBorder="1" applyAlignment="1">
      <alignment horizontal="center" vertical="center" wrapText="1"/>
    </xf>
    <xf numFmtId="0" fontId="31" fillId="0" borderId="29" xfId="38" applyFont="1" applyBorder="1" applyAlignment="1">
      <alignment horizontal="center" vertical="center" wrapText="1"/>
    </xf>
    <xf numFmtId="0" fontId="31" fillId="0" borderId="93" xfId="38" applyFont="1" applyBorder="1" applyAlignment="1">
      <alignment horizontal="center" vertical="center" wrapText="1"/>
    </xf>
    <xf numFmtId="0" fontId="14" fillId="0" borderId="25" xfId="49" applyFont="1" applyBorder="1" applyAlignment="1">
      <alignment wrapText="1"/>
    </xf>
    <xf numFmtId="172" fontId="14" fillId="0" borderId="0" xfId="38" applyNumberFormat="1" applyFill="1" applyBorder="1" applyAlignment="1">
      <alignment horizontal="center"/>
    </xf>
    <xf numFmtId="172" fontId="14" fillId="0" borderId="17" xfId="52" applyNumberFormat="1" applyFont="1" applyBorder="1" applyAlignment="1">
      <alignment horizontal="center"/>
    </xf>
    <xf numFmtId="172" fontId="14" fillId="0" borderId="39" xfId="52" applyNumberFormat="1" applyFont="1" applyBorder="1" applyAlignment="1">
      <alignment horizontal="center"/>
    </xf>
    <xf numFmtId="178" fontId="14" fillId="0" borderId="0" xfId="38" applyNumberFormat="1"/>
    <xf numFmtId="172" fontId="14" fillId="0" borderId="0" xfId="49" applyNumberFormat="1" applyFont="1" applyFill="1" applyBorder="1" applyAlignment="1">
      <alignment horizontal="center" vertical="center"/>
    </xf>
    <xf numFmtId="9" fontId="31" fillId="0" borderId="0" xfId="38" applyNumberFormat="1" applyFont="1" applyFill="1" applyBorder="1" applyAlignment="1">
      <alignment horizontal="center" vertical="center" wrapText="1"/>
    </xf>
    <xf numFmtId="9" fontId="14" fillId="0" borderId="0" xfId="38" applyNumberFormat="1" applyFont="1" applyFill="1" applyBorder="1" applyAlignment="1">
      <alignment horizontal="center" vertical="center" wrapText="1"/>
    </xf>
    <xf numFmtId="9" fontId="14" fillId="0" borderId="32" xfId="38" applyNumberFormat="1" applyFont="1" applyFill="1" applyBorder="1" applyAlignment="1">
      <alignment horizontal="center" vertical="center" wrapText="1"/>
    </xf>
    <xf numFmtId="172" fontId="34" fillId="0" borderId="0" xfId="54" applyNumberFormat="1" applyFont="1" applyFill="1" applyBorder="1"/>
    <xf numFmtId="3" fontId="14" fillId="0" borderId="0" xfId="38" applyNumberFormat="1" applyFont="1" applyFill="1" applyBorder="1"/>
    <xf numFmtId="3" fontId="14" fillId="0" borderId="0" xfId="38" applyNumberFormat="1" applyFont="1" applyBorder="1"/>
    <xf numFmtId="3" fontId="14" fillId="0" borderId="38" xfId="38" applyNumberFormat="1" applyFont="1" applyFill="1" applyBorder="1"/>
    <xf numFmtId="3" fontId="14" fillId="0" borderId="38" xfId="38" applyNumberFormat="1" applyFont="1" applyBorder="1"/>
    <xf numFmtId="9" fontId="31" fillId="0" borderId="17" xfId="52" applyNumberFormat="1" applyFont="1" applyFill="1" applyBorder="1" applyAlignment="1">
      <alignment horizontal="center" vertical="center" wrapText="1"/>
    </xf>
    <xf numFmtId="9" fontId="14" fillId="0" borderId="9" xfId="49" applyNumberFormat="1" applyFont="1" applyFill="1" applyBorder="1" applyAlignment="1">
      <alignment horizontal="center" vertical="center"/>
    </xf>
    <xf numFmtId="9" fontId="14" fillId="0" borderId="29" xfId="49" applyNumberFormat="1" applyFont="1" applyFill="1" applyBorder="1" applyAlignment="1">
      <alignment horizontal="center" vertical="center"/>
    </xf>
    <xf numFmtId="9" fontId="31" fillId="0" borderId="9" xfId="49" applyNumberFormat="1" applyFont="1" applyFill="1" applyBorder="1" applyAlignment="1">
      <alignment horizontal="center" vertical="center"/>
    </xf>
    <xf numFmtId="9" fontId="14" fillId="0" borderId="0" xfId="49" applyNumberFormat="1" applyFont="1" applyFill="1" applyBorder="1" applyAlignment="1">
      <alignment horizontal="center" vertical="center"/>
    </xf>
    <xf numFmtId="9" fontId="14" fillId="0" borderId="32" xfId="49" applyNumberFormat="1" applyFont="1" applyFill="1" applyBorder="1" applyAlignment="1">
      <alignment horizontal="center" vertical="center"/>
    </xf>
    <xf numFmtId="9" fontId="14" fillId="0" borderId="9" xfId="52" applyNumberFormat="1" applyFont="1" applyBorder="1" applyAlignment="1">
      <alignment horizontal="center" vertical="center"/>
    </xf>
    <xf numFmtId="9" fontId="14" fillId="0" borderId="9" xfId="52" applyNumberFormat="1" applyFont="1" applyFill="1" applyBorder="1" applyAlignment="1">
      <alignment horizontal="center"/>
    </xf>
    <xf numFmtId="9" fontId="26" fillId="0" borderId="9" xfId="52" applyNumberFormat="1" applyFont="1" applyFill="1" applyBorder="1" applyAlignment="1">
      <alignment horizontal="center"/>
    </xf>
    <xf numFmtId="9" fontId="35" fillId="0" borderId="17" xfId="38" applyNumberFormat="1" applyFont="1" applyFill="1" applyBorder="1" applyAlignment="1">
      <alignment horizontal="center"/>
    </xf>
    <xf numFmtId="9" fontId="14" fillId="0" borderId="35" xfId="52" applyNumberFormat="1" applyFont="1" applyFill="1" applyBorder="1" applyAlignment="1">
      <alignment horizontal="center"/>
    </xf>
    <xf numFmtId="9" fontId="14" fillId="0" borderId="39" xfId="38" applyNumberFormat="1" applyFont="1" applyFill="1" applyBorder="1" applyAlignment="1">
      <alignment horizontal="center"/>
    </xf>
    <xf numFmtId="9" fontId="31" fillId="0" borderId="17" xfId="54" applyNumberFormat="1" applyFont="1" applyFill="1" applyBorder="1" applyAlignment="1">
      <alignment horizontal="center"/>
    </xf>
    <xf numFmtId="9" fontId="26" fillId="0" borderId="33" xfId="54" applyNumberFormat="1" applyFont="1" applyFill="1" applyBorder="1" applyAlignment="1">
      <alignment horizontal="center"/>
    </xf>
    <xf numFmtId="9" fontId="26" fillId="0" borderId="17" xfId="52" applyNumberFormat="1" applyFont="1" applyFill="1" applyBorder="1" applyAlignment="1">
      <alignment horizontal="center"/>
    </xf>
    <xf numFmtId="193" fontId="14" fillId="0" borderId="0" xfId="38" applyNumberFormat="1"/>
    <xf numFmtId="0" fontId="14" fillId="0" borderId="12" xfId="38" applyBorder="1" applyAlignment="1">
      <alignment horizontal="center"/>
    </xf>
    <xf numFmtId="0" fontId="14" fillId="0" borderId="40" xfId="38" applyFont="1" applyBorder="1" applyAlignment="1">
      <alignment horizontal="center" vertical="center" wrapText="1"/>
    </xf>
    <xf numFmtId="0" fontId="14" fillId="0" borderId="40" xfId="38" applyFont="1" applyFill="1" applyBorder="1" applyAlignment="1">
      <alignment horizontal="center" vertical="center" wrapText="1"/>
    </xf>
    <xf numFmtId="3" fontId="14" fillId="0" borderId="0" xfId="38" applyNumberFormat="1" applyAlignment="1">
      <alignment horizontal="center"/>
    </xf>
    <xf numFmtId="175" fontId="14" fillId="0" borderId="0" xfId="38" applyNumberFormat="1"/>
    <xf numFmtId="9" fontId="0" fillId="0" borderId="0" xfId="54" applyFont="1" applyFill="1"/>
    <xf numFmtId="192" fontId="14" fillId="0" borderId="0" xfId="38" applyNumberFormat="1"/>
    <xf numFmtId="4" fontId="14" fillId="0" borderId="42" xfId="38" applyNumberFormat="1" applyFont="1" applyBorder="1" applyAlignment="1">
      <alignment horizontal="center"/>
    </xf>
    <xf numFmtId="0" fontId="14" fillId="0" borderId="10" xfId="38" applyFont="1" applyBorder="1" applyAlignment="1">
      <alignment horizontal="center" vertical="justify"/>
    </xf>
    <xf numFmtId="172" fontId="14" fillId="0" borderId="42" xfId="38" applyNumberFormat="1" applyFont="1" applyFill="1" applyBorder="1" applyAlignment="1">
      <alignment horizontal="center"/>
    </xf>
    <xf numFmtId="0" fontId="14" fillId="0" borderId="18" xfId="38" applyFont="1" applyBorder="1" applyAlignment="1">
      <alignment horizontal="center" vertical="justify"/>
    </xf>
    <xf numFmtId="4" fontId="14" fillId="0" borderId="43" xfId="38" applyNumberFormat="1" applyFont="1" applyBorder="1" applyAlignment="1">
      <alignment horizontal="center"/>
    </xf>
    <xf numFmtId="172" fontId="14" fillId="0" borderId="43" xfId="38" applyNumberFormat="1" applyFont="1" applyFill="1" applyBorder="1" applyAlignment="1">
      <alignment horizontal="center"/>
    </xf>
    <xf numFmtId="0" fontId="14" fillId="0" borderId="23" xfId="38" applyFont="1" applyBorder="1" applyAlignment="1">
      <alignment horizontal="center" vertical="justify"/>
    </xf>
    <xf numFmtId="4" fontId="14" fillId="0" borderId="44" xfId="38" applyNumberFormat="1" applyFont="1" applyBorder="1" applyAlignment="1">
      <alignment horizontal="center"/>
    </xf>
    <xf numFmtId="172" fontId="14" fillId="0" borderId="44" xfId="38" applyNumberFormat="1" applyFont="1" applyFill="1" applyBorder="1" applyAlignment="1">
      <alignment horizontal="center"/>
    </xf>
    <xf numFmtId="175" fontId="14" fillId="0" borderId="42" xfId="38" applyNumberFormat="1" applyFont="1" applyBorder="1" applyAlignment="1">
      <alignment horizontal="center"/>
    </xf>
    <xf numFmtId="175" fontId="14" fillId="0" borderId="44" xfId="38" applyNumberFormat="1" applyFont="1" applyBorder="1" applyAlignment="1">
      <alignment horizontal="center"/>
    </xf>
    <xf numFmtId="175" fontId="14" fillId="0" borderId="43" xfId="38" applyNumberFormat="1" applyFont="1" applyBorder="1" applyAlignment="1">
      <alignment horizontal="center"/>
    </xf>
    <xf numFmtId="0" fontId="14" fillId="0" borderId="34" xfId="38" applyFont="1" applyBorder="1" applyAlignment="1">
      <alignment horizontal="center" vertical="justify"/>
    </xf>
    <xf numFmtId="175" fontId="14" fillId="0" borderId="45" xfId="38" applyNumberFormat="1" applyFont="1" applyBorder="1" applyAlignment="1">
      <alignment horizontal="center"/>
    </xf>
    <xf numFmtId="4" fontId="14" fillId="0" borderId="45" xfId="38" applyNumberFormat="1" applyFont="1" applyBorder="1" applyAlignment="1">
      <alignment horizontal="center"/>
    </xf>
    <xf numFmtId="172" fontId="14" fillId="0" borderId="45" xfId="38" applyNumberFormat="1" applyFont="1" applyFill="1" applyBorder="1" applyAlignment="1">
      <alignment horizontal="center"/>
    </xf>
    <xf numFmtId="3" fontId="14" fillId="0" borderId="74" xfId="49" applyNumberFormat="1" applyBorder="1"/>
    <xf numFmtId="172" fontId="14" fillId="0" borderId="121" xfId="49" applyNumberFormat="1" applyFont="1" applyBorder="1" applyAlignment="1">
      <alignment horizontal="center"/>
    </xf>
    <xf numFmtId="172" fontId="14" fillId="0" borderId="53" xfId="49" applyNumberFormat="1" applyFont="1" applyBorder="1" applyAlignment="1">
      <alignment horizontal="center"/>
    </xf>
    <xf numFmtId="178" fontId="43" fillId="0" borderId="53" xfId="49" applyNumberFormat="1" applyFont="1" applyBorder="1" applyAlignment="1">
      <alignment horizontal="center"/>
    </xf>
    <xf numFmtId="3" fontId="14" fillId="0" borderId="53" xfId="49" applyNumberFormat="1" applyBorder="1"/>
    <xf numFmtId="0" fontId="14" fillId="0" borderId="53" xfId="49" applyBorder="1"/>
    <xf numFmtId="3" fontId="14" fillId="0" borderId="122" xfId="49" applyNumberFormat="1" applyBorder="1"/>
    <xf numFmtId="172" fontId="14" fillId="0" borderId="53" xfId="52" applyNumberFormat="1" applyFont="1" applyBorder="1" applyAlignment="1">
      <alignment horizontal="center"/>
    </xf>
    <xf numFmtId="3" fontId="14" fillId="0" borderId="53" xfId="49" applyNumberFormat="1" applyBorder="1" applyAlignment="1">
      <alignment horizontal="center"/>
    </xf>
    <xf numFmtId="0" fontId="32" fillId="26" borderId="0" xfId="0" applyFont="1" applyFill="1" applyBorder="1" applyAlignment="1">
      <alignment horizontal="center" vertical="center"/>
    </xf>
    <xf numFmtId="0" fontId="101" fillId="26" borderId="123" xfId="33" applyFont="1" applyFill="1" applyBorder="1" applyAlignment="1" applyProtection="1"/>
    <xf numFmtId="0" fontId="105" fillId="22" borderId="0" xfId="0" applyFont="1" applyFill="1" applyBorder="1" applyAlignment="1">
      <alignment horizontal="center"/>
    </xf>
    <xf numFmtId="175" fontId="14" fillId="0" borderId="42" xfId="38" applyNumberFormat="1" applyFont="1" applyBorder="1" applyAlignment="1">
      <alignment horizontal="center" vertical="center" wrapText="1"/>
    </xf>
    <xf numFmtId="175" fontId="14" fillId="0" borderId="40" xfId="38" applyNumberFormat="1" applyFont="1" applyBorder="1" applyAlignment="1">
      <alignment horizontal="center" vertical="center" wrapText="1"/>
    </xf>
    <xf numFmtId="2" fontId="26" fillId="0" borderId="15" xfId="0" applyNumberFormat="1" applyFont="1" applyBorder="1" applyAlignment="1">
      <alignment horizontal="center"/>
    </xf>
    <xf numFmtId="172" fontId="14" fillId="0" borderId="40" xfId="38" applyNumberFormat="1" applyFont="1" applyFill="1" applyBorder="1" applyAlignment="1">
      <alignment horizontal="center"/>
    </xf>
    <xf numFmtId="175" fontId="14" fillId="0" borderId="44" xfId="38" applyNumberFormat="1" applyFont="1" applyBorder="1" applyAlignment="1">
      <alignment horizontal="center" vertical="center" wrapText="1"/>
    </xf>
    <xf numFmtId="2" fontId="26" fillId="0" borderId="32" xfId="0" applyNumberFormat="1" applyFont="1" applyBorder="1" applyAlignment="1">
      <alignment horizontal="center"/>
    </xf>
    <xf numFmtId="0" fontId="14" fillId="0" borderId="33" xfId="49" applyFont="1" applyBorder="1" applyAlignment="1">
      <alignment horizontal="center" vertical="center" wrapText="1"/>
    </xf>
    <xf numFmtId="0" fontId="43" fillId="0" borderId="32" xfId="49" applyFont="1" applyBorder="1" applyAlignment="1">
      <alignment horizontal="center" vertical="center" wrapText="1"/>
    </xf>
    <xf numFmtId="0" fontId="14" fillId="0" borderId="29" xfId="49" applyFont="1" applyBorder="1" applyAlignment="1">
      <alignment horizontal="center" vertical="center" wrapText="1"/>
    </xf>
    <xf numFmtId="0" fontId="14" fillId="0" borderId="25" xfId="49" applyFont="1" applyBorder="1" applyAlignment="1">
      <alignment horizontal="left"/>
    </xf>
    <xf numFmtId="9" fontId="31" fillId="0" borderId="26" xfId="49" applyNumberFormat="1" applyFont="1" applyBorder="1" applyAlignment="1">
      <alignment horizontal="center"/>
    </xf>
    <xf numFmtId="3" fontId="14" fillId="0" borderId="26" xfId="49" applyNumberFormat="1" applyBorder="1" applyAlignment="1">
      <alignment horizontal="center"/>
    </xf>
    <xf numFmtId="0" fontId="14" fillId="0" borderId="72" xfId="49" applyFont="1" applyBorder="1"/>
    <xf numFmtId="172" fontId="28" fillId="0" borderId="74" xfId="49" applyNumberFormat="1" applyFont="1" applyBorder="1" applyAlignment="1">
      <alignment horizontal="center"/>
    </xf>
    <xf numFmtId="172" fontId="14" fillId="0" borderId="74" xfId="49" applyNumberFormat="1" applyBorder="1" applyAlignment="1">
      <alignment horizontal="center"/>
    </xf>
    <xf numFmtId="9" fontId="31" fillId="0" borderId="74" xfId="49" applyNumberFormat="1" applyFont="1" applyBorder="1" applyAlignment="1">
      <alignment horizontal="center"/>
    </xf>
    <xf numFmtId="172" fontId="31" fillId="0" borderId="74" xfId="49" applyNumberFormat="1" applyFont="1" applyBorder="1" applyAlignment="1">
      <alignment horizontal="center"/>
    </xf>
    <xf numFmtId="172" fontId="31" fillId="0" borderId="75" xfId="49" applyNumberFormat="1" applyFont="1" applyBorder="1" applyAlignment="1">
      <alignment horizontal="center"/>
    </xf>
    <xf numFmtId="9" fontId="14" fillId="0" borderId="32" xfId="52" applyFont="1" applyBorder="1" applyAlignment="1">
      <alignment horizontal="center" vertical="center" wrapText="1"/>
    </xf>
    <xf numFmtId="9" fontId="31" fillId="0" borderId="32" xfId="52" applyFont="1" applyBorder="1" applyAlignment="1">
      <alignment horizontal="center" vertical="center" wrapText="1"/>
    </xf>
    <xf numFmtId="9" fontId="14" fillId="0" borderId="95" xfId="52" applyFont="1" applyBorder="1" applyAlignment="1">
      <alignment horizontal="center" vertical="center" wrapText="1"/>
    </xf>
    <xf numFmtId="9" fontId="86" fillId="0" borderId="32" xfId="49" applyNumberFormat="1" applyFont="1" applyBorder="1" applyAlignment="1">
      <alignment horizontal="center"/>
    </xf>
    <xf numFmtId="0" fontId="0" fillId="0" borderId="9" xfId="0" applyBorder="1" applyAlignment="1">
      <alignment horizontal="center" vertical="center" wrapText="1"/>
    </xf>
    <xf numFmtId="0" fontId="0" fillId="0" borderId="0" xfId="0" applyBorder="1" applyAlignment="1">
      <alignment horizontal="center" vertical="center" wrapText="1"/>
    </xf>
    <xf numFmtId="9" fontId="52" fillId="0" borderId="0" xfId="0" applyNumberFormat="1" applyFont="1" applyBorder="1" applyAlignment="1">
      <alignment horizontal="center" vertical="center" wrapText="1"/>
    </xf>
    <xf numFmtId="9" fontId="52" fillId="0" borderId="26" xfId="0" applyNumberFormat="1" applyFont="1" applyBorder="1" applyAlignment="1">
      <alignment horizontal="center" vertical="center" wrapText="1"/>
    </xf>
    <xf numFmtId="9" fontId="52" fillId="0" borderId="26" xfId="52" applyFont="1" applyBorder="1" applyAlignment="1">
      <alignment horizontal="center" vertical="center" wrapText="1"/>
    </xf>
    <xf numFmtId="0" fontId="80" fillId="0" borderId="25" xfId="0" applyFont="1" applyBorder="1" applyAlignment="1">
      <alignment horizontal="center" vertical="center" wrapText="1"/>
    </xf>
    <xf numFmtId="0" fontId="52" fillId="0" borderId="26" xfId="0" applyFont="1" applyBorder="1" applyAlignment="1">
      <alignment horizontal="center" vertical="center" wrapText="1"/>
    </xf>
    <xf numFmtId="9" fontId="77" fillId="0" borderId="25" xfId="49" applyNumberFormat="1" applyFont="1" applyBorder="1" applyAlignment="1">
      <alignment horizontal="center"/>
    </xf>
    <xf numFmtId="9" fontId="39" fillId="0" borderId="25" xfId="49" applyNumberFormat="1" applyFont="1" applyBorder="1" applyAlignment="1">
      <alignment horizontal="center"/>
    </xf>
    <xf numFmtId="9" fontId="39" fillId="0" borderId="30" xfId="49" applyNumberFormat="1" applyFont="1" applyBorder="1" applyAlignment="1">
      <alignment horizontal="center"/>
    </xf>
    <xf numFmtId="9" fontId="39" fillId="0" borderId="27" xfId="49" applyNumberFormat="1" applyFont="1" applyBorder="1" applyAlignment="1">
      <alignment horizontal="center"/>
    </xf>
    <xf numFmtId="9" fontId="39" fillId="0" borderId="36" xfId="49" applyNumberFormat="1" applyFont="1" applyBorder="1" applyAlignment="1">
      <alignment horizontal="center"/>
    </xf>
    <xf numFmtId="9" fontId="14" fillId="0" borderId="25" xfId="52" applyNumberFormat="1" applyFont="1" applyBorder="1" applyAlignment="1">
      <alignment horizontal="center" vertical="center" wrapText="1"/>
    </xf>
    <xf numFmtId="9" fontId="14" fillId="0" borderId="25" xfId="52" applyFont="1" applyBorder="1" applyAlignment="1">
      <alignment horizontal="center" vertical="center" wrapText="1"/>
    </xf>
    <xf numFmtId="9" fontId="14" fillId="0" borderId="25" xfId="49" applyNumberFormat="1" applyFont="1" applyBorder="1" applyAlignment="1">
      <alignment horizontal="center" vertical="center" wrapText="1"/>
    </xf>
    <xf numFmtId="9" fontId="14" fillId="0" borderId="11" xfId="49" applyNumberFormat="1" applyFont="1" applyBorder="1" applyAlignment="1">
      <alignment horizontal="center" vertical="center" wrapText="1"/>
    </xf>
    <xf numFmtId="9" fontId="47" fillId="0" borderId="0" xfId="49" applyNumberFormat="1" applyFont="1" applyBorder="1" applyAlignment="1">
      <alignment horizontal="center"/>
    </xf>
    <xf numFmtId="9" fontId="14" fillId="0" borderId="11" xfId="49" applyNumberFormat="1" applyBorder="1" applyAlignment="1">
      <alignment horizontal="center"/>
    </xf>
    <xf numFmtId="9" fontId="47" fillId="0" borderId="20" xfId="49" applyNumberFormat="1" applyFont="1" applyBorder="1" applyAlignment="1">
      <alignment horizontal="center"/>
    </xf>
    <xf numFmtId="9" fontId="14" fillId="0" borderId="22" xfId="49" applyNumberFormat="1" applyBorder="1" applyAlignment="1">
      <alignment horizontal="center"/>
    </xf>
    <xf numFmtId="9" fontId="47" fillId="0" borderId="32" xfId="49" applyNumberFormat="1" applyFont="1" applyBorder="1" applyAlignment="1">
      <alignment horizontal="center"/>
    </xf>
    <xf numFmtId="9" fontId="14" fillId="0" borderId="95" xfId="49" applyNumberFormat="1" applyBorder="1" applyAlignment="1">
      <alignment horizontal="center"/>
    </xf>
    <xf numFmtId="9" fontId="14" fillId="0" borderId="30" xfId="49" applyNumberFormat="1" applyBorder="1" applyAlignment="1">
      <alignment horizontal="center"/>
    </xf>
    <xf numFmtId="9" fontId="14" fillId="0" borderId="27" xfId="49" applyNumberFormat="1" applyBorder="1" applyAlignment="1">
      <alignment horizontal="center"/>
    </xf>
    <xf numFmtId="9" fontId="14" fillId="0" borderId="36" xfId="49" applyNumberFormat="1" applyBorder="1" applyAlignment="1">
      <alignment horizontal="center"/>
    </xf>
    <xf numFmtId="9" fontId="47" fillId="0" borderId="38" xfId="49" applyNumberFormat="1" applyFont="1" applyBorder="1" applyAlignment="1">
      <alignment horizontal="center"/>
    </xf>
    <xf numFmtId="9" fontId="45" fillId="0" borderId="51" xfId="49" applyNumberFormat="1" applyFont="1" applyBorder="1" applyAlignment="1">
      <alignment horizontal="center"/>
    </xf>
    <xf numFmtId="9" fontId="14" fillId="0" borderId="11" xfId="52" applyNumberFormat="1" applyFont="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9" fontId="52" fillId="0" borderId="32" xfId="0" applyNumberFormat="1" applyFont="1" applyBorder="1" applyAlignment="1">
      <alignment horizontal="center" vertical="center" wrapText="1"/>
    </xf>
    <xf numFmtId="0" fontId="80" fillId="0" borderId="30" xfId="0" applyFont="1" applyBorder="1" applyAlignment="1">
      <alignment horizontal="center" vertical="center" wrapText="1"/>
    </xf>
    <xf numFmtId="0" fontId="52" fillId="0" borderId="32" xfId="0" applyFont="1" applyBorder="1" applyAlignment="1">
      <alignment horizontal="center" vertical="center" wrapText="1"/>
    </xf>
    <xf numFmtId="9" fontId="14" fillId="0" borderId="30" xfId="52" applyFont="1" applyBorder="1" applyAlignment="1">
      <alignment horizontal="center" vertical="center" wrapText="1"/>
    </xf>
    <xf numFmtId="0" fontId="14" fillId="0" borderId="32" xfId="49" applyBorder="1"/>
    <xf numFmtId="9" fontId="14" fillId="0" borderId="95" xfId="49" applyNumberFormat="1" applyFont="1" applyBorder="1" applyAlignment="1">
      <alignment horizontal="center" vertical="center" wrapText="1"/>
    </xf>
    <xf numFmtId="9" fontId="31" fillId="0" borderId="42" xfId="52" applyFont="1" applyBorder="1" applyAlignment="1">
      <alignment horizontal="center" vertical="center" wrapText="1"/>
    </xf>
    <xf numFmtId="9" fontId="31" fillId="0" borderId="44" xfId="52" applyFont="1" applyBorder="1" applyAlignment="1">
      <alignment horizontal="center" vertical="center" wrapText="1"/>
    </xf>
    <xf numFmtId="9" fontId="52" fillId="0" borderId="31" xfId="52" applyFont="1" applyBorder="1" applyAlignment="1">
      <alignment horizontal="center" vertical="center" wrapText="1"/>
    </xf>
    <xf numFmtId="9" fontId="72" fillId="0" borderId="25" xfId="52" applyFont="1" applyBorder="1" applyAlignment="1">
      <alignment horizontal="center" vertical="center" wrapText="1"/>
    </xf>
    <xf numFmtId="9" fontId="72" fillId="0" borderId="30" xfId="52" applyFont="1" applyBorder="1" applyAlignment="1">
      <alignment horizontal="center" vertical="center" wrapText="1"/>
    </xf>
    <xf numFmtId="9" fontId="45" fillId="0" borderId="0" xfId="49" applyNumberFormat="1" applyFont="1" applyBorder="1" applyAlignment="1">
      <alignment horizontal="center"/>
    </xf>
    <xf numFmtId="9" fontId="14" fillId="0" borderId="33" xfId="49" applyNumberFormat="1" applyFont="1" applyBorder="1" applyAlignment="1">
      <alignment horizontal="center"/>
    </xf>
    <xf numFmtId="9" fontId="14" fillId="0" borderId="21" xfId="49" applyNumberFormat="1" applyFont="1" applyBorder="1" applyAlignment="1">
      <alignment horizontal="center"/>
    </xf>
    <xf numFmtId="9" fontId="14" fillId="0" borderId="39" xfId="49" applyNumberFormat="1" applyFont="1" applyBorder="1" applyAlignment="1">
      <alignment horizontal="center"/>
    </xf>
    <xf numFmtId="9" fontId="14" fillId="0" borderId="32" xfId="52" applyFont="1" applyBorder="1" applyAlignment="1">
      <alignment horizontal="center"/>
    </xf>
    <xf numFmtId="172" fontId="14" fillId="0" borderId="25" xfId="52" applyNumberFormat="1" applyFont="1" applyBorder="1" applyAlignment="1">
      <alignment horizontal="center" vertical="center" wrapText="1"/>
    </xf>
    <xf numFmtId="172" fontId="14" fillId="0" borderId="30" xfId="52" applyNumberFormat="1" applyFont="1" applyBorder="1" applyAlignment="1">
      <alignment horizontal="center" vertical="center" wrapText="1"/>
    </xf>
    <xf numFmtId="172" fontId="14" fillId="0" borderId="25" xfId="52" applyNumberFormat="1" applyFont="1" applyBorder="1" applyAlignment="1">
      <alignment horizontal="center"/>
    </xf>
    <xf numFmtId="172" fontId="14" fillId="0" borderId="32" xfId="52" applyNumberFormat="1" applyFont="1" applyBorder="1" applyAlignment="1">
      <alignment horizontal="center" vertical="center" wrapText="1"/>
    </xf>
    <xf numFmtId="172" fontId="14" fillId="0" borderId="0" xfId="52" applyNumberFormat="1" applyFont="1" applyBorder="1" applyAlignment="1">
      <alignment horizontal="center"/>
    </xf>
    <xf numFmtId="172" fontId="14" fillId="0" borderId="32" xfId="52" applyNumberFormat="1" applyFont="1" applyBorder="1" applyAlignment="1">
      <alignment horizontal="center"/>
    </xf>
    <xf numFmtId="172" fontId="14" fillId="0" borderId="26" xfId="52" applyNumberFormat="1" applyFont="1" applyBorder="1" applyAlignment="1">
      <alignment horizontal="center" vertical="center" wrapText="1"/>
    </xf>
    <xf numFmtId="172" fontId="14" fillId="0" borderId="26" xfId="52" applyNumberFormat="1" applyFont="1" applyBorder="1" applyAlignment="1">
      <alignment horizontal="center"/>
    </xf>
    <xf numFmtId="172" fontId="14" fillId="0" borderId="31" xfId="52" applyNumberFormat="1" applyFont="1" applyBorder="1" applyAlignment="1">
      <alignment horizontal="center"/>
    </xf>
    <xf numFmtId="172" fontId="28" fillId="0" borderId="0" xfId="52" applyNumberFormat="1" applyFont="1" applyBorder="1" applyAlignment="1">
      <alignment horizontal="center"/>
    </xf>
    <xf numFmtId="172" fontId="28" fillId="0" borderId="26" xfId="52" applyNumberFormat="1" applyFont="1" applyBorder="1" applyAlignment="1">
      <alignment horizontal="center"/>
    </xf>
    <xf numFmtId="172" fontId="14" fillId="0" borderId="31" xfId="52" applyNumberFormat="1" applyFont="1" applyBorder="1" applyAlignment="1">
      <alignment horizontal="center" vertical="center" wrapText="1"/>
    </xf>
    <xf numFmtId="9" fontId="56" fillId="0" borderId="36" xfId="52" applyFont="1" applyFill="1" applyBorder="1" applyAlignment="1">
      <alignment horizontal="center"/>
    </xf>
    <xf numFmtId="9" fontId="63" fillId="0" borderId="0" xfId="41" applyNumberFormat="1" applyFont="1" applyFill="1" applyBorder="1" applyAlignment="1">
      <alignment horizontal="center"/>
    </xf>
    <xf numFmtId="172" fontId="61" fillId="0" borderId="25" xfId="52" applyNumberFormat="1" applyFont="1" applyBorder="1" applyAlignment="1">
      <alignment horizontal="center"/>
    </xf>
    <xf numFmtId="172" fontId="35" fillId="0" borderId="25" xfId="52" applyNumberFormat="1" applyFont="1" applyBorder="1" applyAlignment="1">
      <alignment horizontal="center"/>
    </xf>
    <xf numFmtId="172" fontId="14" fillId="0" borderId="25" xfId="52" applyNumberFormat="1" applyFont="1" applyBorder="1"/>
    <xf numFmtId="172" fontId="35" fillId="0" borderId="36" xfId="52" applyNumberFormat="1" applyFont="1" applyBorder="1" applyAlignment="1">
      <alignment horizontal="center"/>
    </xf>
    <xf numFmtId="172" fontId="31" fillId="0" borderId="106" xfId="52" applyNumberFormat="1" applyFont="1" applyFill="1" applyBorder="1" applyAlignment="1">
      <alignment horizontal="center"/>
    </xf>
    <xf numFmtId="172" fontId="14" fillId="0" borderId="25" xfId="52" applyNumberFormat="1" applyFont="1" applyFill="1" applyBorder="1" applyAlignment="1">
      <alignment horizontal="center" vertical="center"/>
    </xf>
    <xf numFmtId="172" fontId="31" fillId="0" borderId="66" xfId="52" applyNumberFormat="1" applyFont="1" applyFill="1" applyBorder="1" applyAlignment="1">
      <alignment horizontal="center"/>
    </xf>
    <xf numFmtId="172" fontId="31" fillId="0" borderId="25" xfId="52" applyNumberFormat="1" applyFont="1" applyFill="1" applyBorder="1" applyAlignment="1">
      <alignment horizontal="center"/>
    </xf>
    <xf numFmtId="172" fontId="35" fillId="0" borderId="25" xfId="52" applyNumberFormat="1" applyFont="1" applyFill="1" applyBorder="1" applyAlignment="1">
      <alignment horizontal="center"/>
    </xf>
    <xf numFmtId="172" fontId="14" fillId="0" borderId="25" xfId="52" applyNumberFormat="1" applyFont="1" applyFill="1" applyBorder="1"/>
    <xf numFmtId="172" fontId="44" fillId="0" borderId="25" xfId="52" applyNumberFormat="1" applyFont="1" applyFill="1" applyBorder="1" applyAlignment="1">
      <alignment horizontal="center"/>
    </xf>
    <xf numFmtId="172" fontId="45" fillId="0" borderId="25" xfId="52" applyNumberFormat="1" applyFont="1" applyFill="1" applyBorder="1"/>
    <xf numFmtId="172" fontId="14" fillId="0" borderId="25" xfId="52" applyNumberFormat="1" applyFont="1" applyFill="1" applyBorder="1" applyAlignment="1">
      <alignment horizontal="center"/>
    </xf>
    <xf numFmtId="172" fontId="28" fillId="0" borderId="36" xfId="52" applyNumberFormat="1" applyFont="1" applyFill="1" applyBorder="1"/>
    <xf numFmtId="172" fontId="70" fillId="0" borderId="25" xfId="52" applyNumberFormat="1" applyFont="1" applyFill="1" applyBorder="1" applyAlignment="1">
      <alignment horizontal="center"/>
    </xf>
    <xf numFmtId="172" fontId="62" fillId="0" borderId="25" xfId="52" applyNumberFormat="1" applyFont="1" applyFill="1" applyBorder="1" applyAlignment="1">
      <alignment horizontal="center" vertical="center" wrapText="1"/>
    </xf>
    <xf numFmtId="172" fontId="68" fillId="0" borderId="25" xfId="52" applyNumberFormat="1" applyFont="1" applyBorder="1" applyAlignment="1">
      <alignment horizontal="center"/>
    </xf>
    <xf numFmtId="172" fontId="67" fillId="0" borderId="25" xfId="52" applyNumberFormat="1" applyFont="1" applyFill="1" applyBorder="1" applyAlignment="1">
      <alignment horizontal="center"/>
    </xf>
    <xf numFmtId="172" fontId="62" fillId="0" borderId="25" xfId="52" applyNumberFormat="1" applyFont="1" applyFill="1" applyBorder="1"/>
    <xf numFmtId="172" fontId="71" fillId="0" borderId="25" xfId="52" applyNumberFormat="1" applyFont="1" applyFill="1" applyBorder="1" applyAlignment="1">
      <alignment horizontal="center"/>
    </xf>
    <xf numFmtId="172" fontId="62" fillId="0" borderId="25" xfId="52" applyNumberFormat="1" applyFont="1" applyFill="1" applyBorder="1" applyAlignment="1">
      <alignment horizontal="center"/>
    </xf>
    <xf numFmtId="172" fontId="67" fillId="0" borderId="36" xfId="52" applyNumberFormat="1" applyFont="1" applyFill="1" applyBorder="1" applyAlignment="1">
      <alignment horizontal="center"/>
    </xf>
    <xf numFmtId="172" fontId="32" fillId="0" borderId="0" xfId="52" applyNumberFormat="1" applyFont="1" applyFill="1" applyBorder="1" applyAlignment="1">
      <alignment horizontal="center"/>
    </xf>
    <xf numFmtId="172" fontId="62" fillId="0" borderId="0" xfId="52" applyNumberFormat="1" applyFont="1" applyFill="1" applyBorder="1" applyAlignment="1">
      <alignment horizontal="center" vertical="center" wrapText="1"/>
    </xf>
    <xf numFmtId="172" fontId="68" fillId="0" borderId="0" xfId="52" applyNumberFormat="1" applyFont="1" applyBorder="1" applyAlignment="1">
      <alignment horizontal="center"/>
    </xf>
    <xf numFmtId="172" fontId="67" fillId="0" borderId="0" xfId="52" applyNumberFormat="1" applyFont="1" applyFill="1" applyBorder="1" applyAlignment="1">
      <alignment horizontal="center"/>
    </xf>
    <xf numFmtId="172" fontId="62" fillId="0" borderId="0" xfId="52" applyNumberFormat="1" applyFont="1" applyFill="1" applyBorder="1"/>
    <xf numFmtId="172" fontId="71" fillId="0" borderId="0" xfId="52" applyNumberFormat="1" applyFont="1" applyFill="1" applyBorder="1" applyAlignment="1">
      <alignment horizontal="center"/>
    </xf>
    <xf numFmtId="172" fontId="68" fillId="0" borderId="0" xfId="52" applyNumberFormat="1" applyFont="1" applyFill="1" applyBorder="1" applyAlignment="1">
      <alignment horizontal="center"/>
    </xf>
    <xf numFmtId="172" fontId="32" fillId="0" borderId="26" xfId="52" applyNumberFormat="1" applyFont="1" applyFill="1" applyBorder="1" applyAlignment="1">
      <alignment horizontal="center"/>
    </xf>
    <xf numFmtId="172" fontId="67" fillId="0" borderId="26" xfId="52" applyNumberFormat="1" applyFont="1" applyFill="1" applyBorder="1" applyAlignment="1">
      <alignment horizontal="center"/>
    </xf>
    <xf numFmtId="172" fontId="62" fillId="0" borderId="26" xfId="52" applyNumberFormat="1" applyFont="1" applyFill="1" applyBorder="1" applyAlignment="1">
      <alignment horizontal="center" vertical="center" wrapText="1"/>
    </xf>
    <xf numFmtId="172" fontId="62" fillId="0" borderId="26" xfId="52" applyNumberFormat="1" applyFont="1" applyFill="1" applyBorder="1"/>
    <xf numFmtId="172" fontId="71" fillId="0" borderId="26" xfId="52" applyNumberFormat="1" applyFont="1" applyFill="1" applyBorder="1" applyAlignment="1">
      <alignment horizontal="center"/>
    </xf>
    <xf numFmtId="9" fontId="67" fillId="0" borderId="26" xfId="52" applyNumberFormat="1" applyFont="1" applyFill="1" applyBorder="1" applyAlignment="1">
      <alignment horizontal="center"/>
    </xf>
    <xf numFmtId="9" fontId="67" fillId="0" borderId="38" xfId="52" applyNumberFormat="1" applyFont="1" applyFill="1" applyBorder="1" applyAlignment="1">
      <alignment horizontal="center"/>
    </xf>
    <xf numFmtId="9" fontId="67" fillId="0" borderId="37" xfId="52" applyNumberFormat="1" applyFont="1" applyFill="1" applyBorder="1" applyAlignment="1">
      <alignment horizontal="center"/>
    </xf>
    <xf numFmtId="0" fontId="35" fillId="0" borderId="15" xfId="49" applyFont="1" applyBorder="1" applyAlignment="1">
      <alignment horizontal="center" vertical="center" wrapText="1"/>
    </xf>
    <xf numFmtId="0" fontId="12" fillId="22" borderId="0" xfId="33" applyFill="1"/>
    <xf numFmtId="0" fontId="14" fillId="0" borderId="67" xfId="49" applyBorder="1" applyAlignment="1">
      <alignment horizontal="center"/>
    </xf>
    <xf numFmtId="9" fontId="14" fillId="0" borderId="69" xfId="49" applyNumberFormat="1" applyFont="1" applyBorder="1" applyAlignment="1">
      <alignment horizontal="center"/>
    </xf>
    <xf numFmtId="9" fontId="14" fillId="0" borderId="68" xfId="49" applyNumberFormat="1" applyFont="1" applyBorder="1" applyAlignment="1">
      <alignment horizontal="center"/>
    </xf>
    <xf numFmtId="9" fontId="14" fillId="0" borderId="70" xfId="49" applyNumberFormat="1" applyFont="1" applyBorder="1" applyAlignment="1">
      <alignment horizontal="center"/>
    </xf>
    <xf numFmtId="9" fontId="14" fillId="0" borderId="124" xfId="49" applyNumberFormat="1" applyFont="1" applyBorder="1" applyAlignment="1">
      <alignment horizontal="center"/>
    </xf>
    <xf numFmtId="9" fontId="14" fillId="0" borderId="68" xfId="49" applyNumberFormat="1" applyBorder="1" applyAlignment="1">
      <alignment horizontal="center"/>
    </xf>
    <xf numFmtId="9" fontId="14" fillId="0" borderId="125" xfId="49" applyNumberFormat="1" applyBorder="1" applyAlignment="1">
      <alignment horizontal="center"/>
    </xf>
    <xf numFmtId="173" fontId="14" fillId="0" borderId="0" xfId="49" applyNumberFormat="1"/>
    <xf numFmtId="9" fontId="31" fillId="0" borderId="17" xfId="52" applyFont="1" applyBorder="1" applyAlignment="1">
      <alignment horizontal="center" vertical="center" wrapText="1"/>
    </xf>
    <xf numFmtId="9" fontId="31" fillId="0" borderId="17" xfId="52" applyFont="1" applyBorder="1" applyAlignment="1">
      <alignment horizontal="center"/>
    </xf>
    <xf numFmtId="9" fontId="31" fillId="0" borderId="33" xfId="52" applyFont="1" applyBorder="1" applyAlignment="1">
      <alignment horizontal="center"/>
    </xf>
    <xf numFmtId="9" fontId="45" fillId="0" borderId="56" xfId="52" applyFont="1" applyBorder="1" applyAlignment="1">
      <alignment horizontal="center" vertical="center" wrapText="1"/>
    </xf>
    <xf numFmtId="9" fontId="45" fillId="0" borderId="53" xfId="52" applyFont="1" applyBorder="1" applyAlignment="1">
      <alignment horizontal="center" vertical="center" wrapText="1"/>
    </xf>
    <xf numFmtId="9" fontId="45" fillId="0" borderId="56" xfId="52" applyFont="1" applyBorder="1" applyAlignment="1">
      <alignment horizontal="center"/>
    </xf>
    <xf numFmtId="9" fontId="45" fillId="0" borderId="53" xfId="52" applyFont="1" applyBorder="1" applyAlignment="1">
      <alignment horizontal="center"/>
    </xf>
    <xf numFmtId="9" fontId="45" fillId="0" borderId="58" xfId="52" applyFont="1" applyBorder="1" applyAlignment="1">
      <alignment horizontal="center"/>
    </xf>
    <xf numFmtId="9" fontId="45" fillId="0" borderId="55" xfId="52" applyFont="1" applyBorder="1" applyAlignment="1">
      <alignment horizontal="center"/>
    </xf>
    <xf numFmtId="0" fontId="31" fillId="0" borderId="14" xfId="49" applyFont="1" applyBorder="1" applyAlignment="1">
      <alignment horizontal="center" vertical="center" wrapText="1"/>
    </xf>
    <xf numFmtId="0" fontId="31" fillId="0" borderId="24" xfId="49" applyFont="1" applyBorder="1" applyAlignment="1">
      <alignment horizontal="center" vertical="center" wrapText="1"/>
    </xf>
    <xf numFmtId="0" fontId="43" fillId="0" borderId="15" xfId="49" applyFont="1" applyBorder="1" applyAlignment="1">
      <alignment horizontal="center" vertical="center" wrapText="1"/>
    </xf>
    <xf numFmtId="0" fontId="43" fillId="0" borderId="16" xfId="49" applyFont="1" applyBorder="1" applyAlignment="1">
      <alignment horizontal="center" vertical="center" wrapText="1"/>
    </xf>
    <xf numFmtId="0" fontId="43" fillId="0" borderId="81" xfId="49" applyFont="1" applyFill="1" applyBorder="1" applyAlignment="1">
      <alignment horizontal="center" vertical="center" wrapText="1"/>
    </xf>
    <xf numFmtId="0" fontId="43" fillId="0" borderId="15" xfId="49" applyFont="1" applyFill="1" applyBorder="1" applyAlignment="1">
      <alignment horizontal="center" vertical="center" wrapText="1"/>
    </xf>
    <xf numFmtId="0" fontId="31" fillId="0" borderId="15" xfId="49" applyFont="1" applyBorder="1" applyAlignment="1">
      <alignment horizontal="center" vertical="center" wrapText="1"/>
    </xf>
    <xf numFmtId="0" fontId="50" fillId="0" borderId="90" xfId="49" applyFont="1" applyBorder="1" applyAlignment="1">
      <alignment horizontal="center" vertical="center" wrapText="1"/>
    </xf>
    <xf numFmtId="9" fontId="31" fillId="0" borderId="91" xfId="52" applyFont="1" applyBorder="1" applyAlignment="1">
      <alignment horizontal="center" vertical="center" wrapText="1"/>
    </xf>
    <xf numFmtId="9" fontId="31" fillId="0" borderId="92" xfId="49" applyNumberFormat="1" applyFont="1" applyBorder="1" applyAlignment="1">
      <alignment horizontal="center"/>
    </xf>
    <xf numFmtId="9" fontId="31" fillId="0" borderId="91" xfId="49" applyNumberFormat="1" applyFont="1" applyBorder="1" applyAlignment="1">
      <alignment horizontal="center"/>
    </xf>
    <xf numFmtId="9" fontId="31" fillId="0" borderId="93" xfId="49" applyNumberFormat="1" applyFont="1" applyBorder="1" applyAlignment="1">
      <alignment horizontal="center"/>
    </xf>
    <xf numFmtId="9" fontId="31" fillId="0" borderId="94" xfId="49" applyNumberFormat="1" applyFont="1" applyBorder="1" applyAlignment="1">
      <alignment horizontal="center"/>
    </xf>
    <xf numFmtId="9" fontId="45" fillId="0" borderId="58" xfId="52" applyFont="1" applyBorder="1" applyAlignment="1">
      <alignment horizontal="center" vertical="center" wrapText="1"/>
    </xf>
    <xf numFmtId="9" fontId="45" fillId="0" borderId="55" xfId="52" applyFont="1" applyBorder="1" applyAlignment="1">
      <alignment horizontal="center" vertical="center" wrapText="1"/>
    </xf>
    <xf numFmtId="9" fontId="31" fillId="0" borderId="33" xfId="52" applyFont="1" applyBorder="1" applyAlignment="1">
      <alignment horizontal="center" vertical="center" wrapText="1"/>
    </xf>
    <xf numFmtId="9" fontId="31" fillId="0" borderId="93" xfId="52" applyFont="1" applyBorder="1" applyAlignment="1">
      <alignment horizontal="center" vertical="center" wrapText="1"/>
    </xf>
    <xf numFmtId="3" fontId="31" fillId="0" borderId="9" xfId="52" applyNumberFormat="1" applyFont="1" applyBorder="1" applyAlignment="1">
      <alignment horizontal="center"/>
    </xf>
    <xf numFmtId="0" fontId="72" fillId="0" borderId="9" xfId="45" applyFont="1" applyFill="1" applyBorder="1" applyAlignment="1">
      <alignment vertical="center" wrapText="1"/>
    </xf>
    <xf numFmtId="0" fontId="25" fillId="0" borderId="0" xfId="45" applyFont="1" applyFill="1" applyBorder="1" applyAlignment="1">
      <alignment vertical="center" wrapText="1"/>
    </xf>
    <xf numFmtId="0" fontId="25" fillId="0" borderId="9" xfId="45" applyFont="1" applyFill="1" applyBorder="1" applyAlignment="1">
      <alignment vertical="center" wrapText="1"/>
    </xf>
    <xf numFmtId="9" fontId="28" fillId="0" borderId="0" xfId="52" applyFont="1" applyBorder="1" applyAlignment="1">
      <alignment horizontal="center"/>
    </xf>
    <xf numFmtId="9" fontId="43" fillId="0" borderId="0" xfId="49" applyNumberFormat="1" applyFont="1" applyFill="1" applyBorder="1" applyAlignment="1">
      <alignment horizontal="center"/>
    </xf>
    <xf numFmtId="9" fontId="110" fillId="0" borderId="0" xfId="49" applyNumberFormat="1" applyFont="1" applyAlignment="1">
      <alignment horizontal="center"/>
    </xf>
    <xf numFmtId="9" fontId="111" fillId="0" borderId="0" xfId="49" applyNumberFormat="1" applyFont="1" applyAlignment="1">
      <alignment horizontal="center"/>
    </xf>
    <xf numFmtId="9" fontId="110" fillId="0" borderId="0" xfId="49" applyNumberFormat="1" applyFont="1" applyBorder="1" applyAlignment="1">
      <alignment horizontal="center"/>
    </xf>
    <xf numFmtId="0" fontId="47" fillId="0" borderId="14" xfId="0" applyFont="1" applyBorder="1" applyAlignment="1">
      <alignment horizontal="center" vertical="center" wrapText="1"/>
    </xf>
    <xf numFmtId="0" fontId="47" fillId="0" borderId="15" xfId="0" applyFont="1" applyBorder="1" applyAlignment="1">
      <alignment horizontal="center" vertical="center" wrapText="1"/>
    </xf>
    <xf numFmtId="191" fontId="46" fillId="0" borderId="10" xfId="49" applyNumberFormat="1" applyFont="1" applyBorder="1" applyAlignment="1">
      <alignment horizontal="center" vertical="center"/>
    </xf>
    <xf numFmtId="193" fontId="81" fillId="0" borderId="0" xfId="0" applyNumberFormat="1" applyFont="1" applyBorder="1" applyAlignment="1">
      <alignment horizontal="center" vertical="center"/>
    </xf>
    <xf numFmtId="193" fontId="81" fillId="0" borderId="47" xfId="0" applyNumberFormat="1" applyFont="1" applyBorder="1" applyAlignment="1">
      <alignment horizontal="center" vertical="center"/>
    </xf>
    <xf numFmtId="2" fontId="14" fillId="0" borderId="20" xfId="49" applyNumberFormat="1" applyFont="1" applyBorder="1" applyAlignment="1">
      <alignment horizontal="center"/>
    </xf>
    <xf numFmtId="2" fontId="14" fillId="0" borderId="28" xfId="49" applyNumberFormat="1" applyFont="1" applyBorder="1" applyAlignment="1">
      <alignment horizontal="center"/>
    </xf>
    <xf numFmtId="2" fontId="44" fillId="0" borderId="27" xfId="49" applyNumberFormat="1" applyFont="1" applyBorder="1" applyAlignment="1">
      <alignment horizontal="center"/>
    </xf>
    <xf numFmtId="2" fontId="44" fillId="0" borderId="48" xfId="49" applyNumberFormat="1" applyFont="1" applyBorder="1" applyAlignment="1">
      <alignment horizontal="center"/>
    </xf>
    <xf numFmtId="176" fontId="35" fillId="0" borderId="31" xfId="49" applyNumberFormat="1" applyFont="1" applyFill="1" applyBorder="1" applyAlignment="1">
      <alignment horizontal="center"/>
    </xf>
    <xf numFmtId="0" fontId="73" fillId="0" borderId="25" xfId="0" applyFont="1" applyBorder="1" applyAlignment="1">
      <alignment horizontal="center" vertical="center"/>
    </xf>
    <xf numFmtId="0" fontId="73" fillId="0" borderId="0" xfId="0" applyFont="1" applyBorder="1" applyAlignment="1">
      <alignment horizontal="center" vertical="center"/>
    </xf>
    <xf numFmtId="0" fontId="73" fillId="0" borderId="26" xfId="0" applyFont="1" applyBorder="1" applyAlignment="1">
      <alignment horizontal="center" vertical="center"/>
    </xf>
    <xf numFmtId="0" fontId="73" fillId="0" borderId="47" xfId="0" applyFont="1" applyBorder="1" applyAlignment="1">
      <alignment horizontal="center" vertical="center"/>
    </xf>
    <xf numFmtId="3" fontId="31" fillId="0" borderId="49" xfId="49" applyNumberFormat="1" applyFont="1" applyBorder="1" applyAlignment="1">
      <alignment horizontal="center" vertical="justify"/>
    </xf>
    <xf numFmtId="3" fontId="31" fillId="0" borderId="30" xfId="49" applyNumberFormat="1" applyFont="1" applyBorder="1" applyAlignment="1">
      <alignment horizontal="center"/>
    </xf>
    <xf numFmtId="3" fontId="35" fillId="0" borderId="32" xfId="49" applyNumberFormat="1" applyFont="1" applyBorder="1" applyAlignment="1">
      <alignment horizontal="center"/>
    </xf>
    <xf numFmtId="3" fontId="35" fillId="0" borderId="31" xfId="49" applyNumberFormat="1" applyFont="1" applyBorder="1" applyAlignment="1">
      <alignment horizontal="center"/>
    </xf>
    <xf numFmtId="3" fontId="44" fillId="0" borderId="30" xfId="49" applyNumberFormat="1" applyFont="1" applyBorder="1" applyAlignment="1">
      <alignment horizontal="center"/>
    </xf>
    <xf numFmtId="3" fontId="35" fillId="0" borderId="32" xfId="49" applyNumberFormat="1" applyFont="1" applyFill="1" applyBorder="1" applyAlignment="1">
      <alignment horizontal="center"/>
    </xf>
    <xf numFmtId="3" fontId="44" fillId="0" borderId="49" xfId="49" applyNumberFormat="1" applyFont="1" applyBorder="1" applyAlignment="1">
      <alignment horizontal="center"/>
    </xf>
    <xf numFmtId="9" fontId="44" fillId="0" borderId="30" xfId="49" applyNumberFormat="1" applyFont="1" applyBorder="1" applyAlignment="1">
      <alignment horizontal="center"/>
    </xf>
    <xf numFmtId="9" fontId="35" fillId="0" borderId="32" xfId="49" applyNumberFormat="1" applyFont="1" applyBorder="1" applyAlignment="1">
      <alignment horizontal="center"/>
    </xf>
    <xf numFmtId="9" fontId="35" fillId="0" borderId="31" xfId="49" applyNumberFormat="1" applyFont="1" applyBorder="1" applyAlignment="1">
      <alignment horizontal="center"/>
    </xf>
    <xf numFmtId="9" fontId="61" fillId="0" borderId="30" xfId="49" applyNumberFormat="1" applyFont="1" applyBorder="1" applyAlignment="1">
      <alignment horizontal="center"/>
    </xf>
    <xf numFmtId="9" fontId="35" fillId="0" borderId="32" xfId="49" applyNumberFormat="1" applyFont="1" applyFill="1" applyBorder="1" applyAlignment="1">
      <alignment horizontal="center"/>
    </xf>
    <xf numFmtId="9" fontId="61" fillId="0" borderId="49" xfId="49" applyNumberFormat="1" applyFont="1" applyBorder="1" applyAlignment="1">
      <alignment horizontal="center"/>
    </xf>
    <xf numFmtId="9" fontId="35" fillId="0" borderId="95" xfId="49" applyNumberFormat="1" applyFont="1" applyBorder="1" applyAlignment="1">
      <alignment horizontal="center"/>
    </xf>
    <xf numFmtId="0" fontId="14" fillId="0" borderId="81" xfId="49" applyFont="1" applyBorder="1" applyAlignment="1">
      <alignment horizontal="center" vertical="center" wrapText="1"/>
    </xf>
    <xf numFmtId="0" fontId="74" fillId="0" borderId="15" xfId="0" applyFont="1" applyBorder="1" applyAlignment="1">
      <alignment horizontal="center" vertical="center" wrapText="1"/>
    </xf>
    <xf numFmtId="0" fontId="14" fillId="0" borderId="0" xfId="0" applyFont="1" applyAlignment="1">
      <alignment horizontal="center" vertical="center" wrapText="1"/>
    </xf>
    <xf numFmtId="0" fontId="61" fillId="0" borderId="64" xfId="49" applyFont="1" applyBorder="1" applyAlignment="1">
      <alignment horizontal="center" vertical="center"/>
    </xf>
    <xf numFmtId="172" fontId="14" fillId="0" borderId="62" xfId="49" applyNumberFormat="1" applyFont="1" applyBorder="1" applyAlignment="1">
      <alignment horizontal="center"/>
    </xf>
    <xf numFmtId="172" fontId="14" fillId="0" borderId="60" xfId="49" applyNumberFormat="1" applyFont="1" applyBorder="1" applyAlignment="1">
      <alignment horizontal="center"/>
    </xf>
    <xf numFmtId="172" fontId="28" fillId="0" borderId="60" xfId="49" applyNumberFormat="1" applyFont="1" applyBorder="1" applyAlignment="1">
      <alignment horizontal="center"/>
    </xf>
    <xf numFmtId="172" fontId="14" fillId="0" borderId="65" xfId="49" applyNumberFormat="1" applyFont="1" applyBorder="1" applyAlignment="1">
      <alignment horizontal="center"/>
    </xf>
    <xf numFmtId="172" fontId="14" fillId="0" borderId="60" xfId="52" applyNumberFormat="1" applyFont="1" applyBorder="1" applyAlignment="1">
      <alignment horizontal="center" vertical="center" wrapText="1"/>
    </xf>
    <xf numFmtId="172" fontId="14" fillId="0" borderId="62" xfId="52" applyNumberFormat="1" applyFont="1" applyBorder="1" applyAlignment="1">
      <alignment horizontal="center" vertical="center" wrapText="1"/>
    </xf>
    <xf numFmtId="172" fontId="14" fillId="0" borderId="62" xfId="52" applyNumberFormat="1" applyFont="1" applyBorder="1" applyAlignment="1">
      <alignment horizontal="center"/>
    </xf>
    <xf numFmtId="172" fontId="14" fillId="0" borderId="60" xfId="52" applyNumberFormat="1" applyFont="1" applyBorder="1" applyAlignment="1">
      <alignment horizontal="center"/>
    </xf>
    <xf numFmtId="172" fontId="31" fillId="0" borderId="60" xfId="52" applyNumberFormat="1" applyFont="1" applyBorder="1" applyAlignment="1">
      <alignment horizontal="center"/>
    </xf>
    <xf numFmtId="172" fontId="28" fillId="0" borderId="60" xfId="52" applyNumberFormat="1" applyFont="1" applyBorder="1" applyAlignment="1">
      <alignment horizontal="center"/>
    </xf>
    <xf numFmtId="172" fontId="31" fillId="0" borderId="81" xfId="49" applyNumberFormat="1" applyFont="1" applyBorder="1" applyAlignment="1">
      <alignment horizontal="center"/>
    </xf>
    <xf numFmtId="172" fontId="31" fillId="0" borderId="0" xfId="52" applyNumberFormat="1" applyFont="1" applyBorder="1" applyAlignment="1">
      <alignment horizontal="center"/>
    </xf>
    <xf numFmtId="172" fontId="45" fillId="0" borderId="25" xfId="41" applyNumberFormat="1" applyFont="1" applyFill="1" applyBorder="1"/>
    <xf numFmtId="0" fontId="14" fillId="0" borderId="126" xfId="49" applyBorder="1"/>
    <xf numFmtId="0" fontId="14" fillId="0" borderId="60" xfId="49" applyBorder="1"/>
    <xf numFmtId="0" fontId="14" fillId="0" borderId="65" xfId="49" applyBorder="1"/>
    <xf numFmtId="3" fontId="14" fillId="0" borderId="60" xfId="49" applyNumberFormat="1" applyBorder="1"/>
    <xf numFmtId="0" fontId="64" fillId="0" borderId="127" xfId="41" applyFont="1" applyFill="1" applyBorder="1" applyAlignment="1">
      <alignment horizontal="center" vertical="center" wrapText="1"/>
    </xf>
    <xf numFmtId="0" fontId="32" fillId="0" borderId="0" xfId="49" applyFont="1" applyBorder="1" applyAlignment="1">
      <alignment horizontal="center" vertical="center"/>
    </xf>
    <xf numFmtId="0" fontId="14" fillId="0" borderId="0" xfId="38" applyFont="1" applyBorder="1" applyAlignment="1">
      <alignment vertical="center" wrapText="1"/>
    </xf>
    <xf numFmtId="172" fontId="31" fillId="0" borderId="64" xfId="41" applyNumberFormat="1" applyFont="1" applyFill="1" applyBorder="1" applyAlignment="1">
      <alignment horizontal="center"/>
    </xf>
    <xf numFmtId="172" fontId="14" fillId="0" borderId="60" xfId="41" applyNumberFormat="1" applyFont="1" applyFill="1" applyBorder="1" applyAlignment="1">
      <alignment horizontal="center"/>
    </xf>
    <xf numFmtId="2" fontId="14" fillId="0" borderId="60" xfId="41" applyNumberFormat="1" applyFill="1" applyBorder="1" applyAlignment="1">
      <alignment horizontal="center" vertical="center"/>
    </xf>
    <xf numFmtId="172" fontId="31" fillId="0" borderId="60" xfId="41" applyNumberFormat="1" applyFont="1" applyFill="1" applyBorder="1" applyAlignment="1">
      <alignment horizontal="center"/>
    </xf>
    <xf numFmtId="172" fontId="31" fillId="0" borderId="65" xfId="41" applyNumberFormat="1" applyFont="1" applyFill="1" applyBorder="1"/>
    <xf numFmtId="172" fontId="14" fillId="0" borderId="65" xfId="52" applyNumberFormat="1" applyFont="1" applyBorder="1" applyAlignment="1">
      <alignment horizontal="center"/>
    </xf>
    <xf numFmtId="172" fontId="14" fillId="0" borderId="78" xfId="52" applyNumberFormat="1" applyFont="1" applyBorder="1" applyAlignment="1">
      <alignment horizontal="center"/>
    </xf>
    <xf numFmtId="172" fontId="14" fillId="0" borderId="126" xfId="52" applyNumberFormat="1" applyFont="1" applyBorder="1" applyAlignment="1">
      <alignment horizontal="center"/>
    </xf>
    <xf numFmtId="9" fontId="67" fillId="0" borderId="0" xfId="52" applyNumberFormat="1" applyFont="1" applyFill="1" applyBorder="1" applyAlignment="1">
      <alignment horizontal="center"/>
    </xf>
    <xf numFmtId="0" fontId="26" fillId="0" borderId="17" xfId="45" applyFont="1" applyFill="1" applyBorder="1" applyAlignment="1">
      <alignment horizontal="center" vertical="center" wrapText="1"/>
    </xf>
    <xf numFmtId="0" fontId="29" fillId="0" borderId="9" xfId="45" applyFont="1" applyFill="1" applyBorder="1" applyAlignment="1">
      <alignment vertical="center" wrapText="1"/>
    </xf>
    <xf numFmtId="9" fontId="14" fillId="0" borderId="12" xfId="46" applyNumberFormat="1" applyFont="1" applyBorder="1" applyAlignment="1">
      <alignment horizontal="center" wrapText="1"/>
    </xf>
    <xf numFmtId="0" fontId="46" fillId="0" borderId="15" xfId="49" applyFont="1" applyFill="1" applyBorder="1" applyAlignment="1">
      <alignment horizontal="center" vertical="center" wrapText="1"/>
    </xf>
    <xf numFmtId="9" fontId="14" fillId="0" borderId="15" xfId="49" applyNumberFormat="1" applyFont="1" applyBorder="1" applyAlignment="1">
      <alignment horizontal="center"/>
    </xf>
    <xf numFmtId="9" fontId="31" fillId="0" borderId="0" xfId="52" applyFont="1" applyBorder="1"/>
    <xf numFmtId="9" fontId="14" fillId="0" borderId="0" xfId="52" applyFont="1" applyBorder="1" applyAlignment="1">
      <alignment horizontal="center" wrapText="1"/>
    </xf>
    <xf numFmtId="0" fontId="31" fillId="0" borderId="0" xfId="49" applyFont="1" applyFill="1"/>
    <xf numFmtId="175" fontId="31" fillId="0" borderId="0" xfId="49" applyNumberFormat="1" applyFont="1"/>
    <xf numFmtId="0" fontId="31" fillId="0" borderId="0" xfId="46" applyFont="1" applyBorder="1" applyAlignment="1">
      <alignment horizontal="center" vertical="center" wrapText="1"/>
    </xf>
    <xf numFmtId="0" fontId="31" fillId="0" borderId="12" xfId="49" applyFont="1" applyBorder="1" applyAlignment="1">
      <alignment horizontal="center" vertical="center" wrapText="1"/>
    </xf>
    <xf numFmtId="0" fontId="78" fillId="0" borderId="15" xfId="49" applyFont="1" applyBorder="1" applyAlignment="1">
      <alignment horizontal="center" vertical="center" wrapText="1"/>
    </xf>
    <xf numFmtId="9" fontId="14" fillId="0" borderId="0" xfId="52" applyFont="1" applyAlignment="1">
      <alignment horizontal="center"/>
    </xf>
    <xf numFmtId="3" fontId="14" fillId="0" borderId="0" xfId="49" applyNumberFormat="1" applyFont="1" applyFill="1" applyBorder="1"/>
    <xf numFmtId="0" fontId="72" fillId="0" borderId="0" xfId="45" applyFont="1" applyFill="1" applyBorder="1" applyAlignment="1">
      <alignment horizontal="center" vertical="center" wrapText="1"/>
    </xf>
    <xf numFmtId="3" fontId="14" fillId="0" borderId="0" xfId="49" applyNumberFormat="1" applyFill="1" applyAlignment="1">
      <alignment horizontal="center"/>
    </xf>
    <xf numFmtId="9" fontId="31" fillId="0" borderId="0" xfId="49" applyNumberFormat="1" applyFont="1" applyFill="1" applyAlignment="1">
      <alignment horizontal="center"/>
    </xf>
    <xf numFmtId="9" fontId="31" fillId="0" borderId="0" xfId="52" applyNumberFormat="1" applyFont="1" applyBorder="1" applyAlignment="1">
      <alignment horizontal="center" vertical="center" wrapText="1"/>
    </xf>
    <xf numFmtId="9" fontId="31" fillId="0" borderId="32" xfId="52" applyNumberFormat="1" applyFont="1" applyBorder="1" applyAlignment="1">
      <alignment horizontal="center" vertical="center" wrapText="1"/>
    </xf>
    <xf numFmtId="9" fontId="14" fillId="0" borderId="16" xfId="38" applyNumberFormat="1" applyFont="1" applyFill="1" applyBorder="1" applyAlignment="1">
      <alignment horizontal="center"/>
    </xf>
    <xf numFmtId="0" fontId="14" fillId="27" borderId="0" xfId="0" applyFont="1" applyFill="1"/>
    <xf numFmtId="233" fontId="14" fillId="27" borderId="0" xfId="0" applyNumberFormat="1" applyFont="1" applyFill="1" applyAlignment="1">
      <alignment horizontal="left"/>
    </xf>
    <xf numFmtId="0" fontId="62" fillId="22" borderId="123" xfId="0" applyFont="1" applyFill="1" applyBorder="1" applyAlignment="1">
      <alignment horizontal="center" vertical="center"/>
    </xf>
    <xf numFmtId="0" fontId="62" fillId="22" borderId="0" xfId="0" applyFont="1" applyFill="1" applyBorder="1" applyAlignment="1">
      <alignment horizontal="center" vertical="center"/>
    </xf>
    <xf numFmtId="0" fontId="31" fillId="0" borderId="103" xfId="49" applyFont="1" applyBorder="1" applyAlignment="1">
      <alignment horizontal="center" vertical="center" wrapText="1"/>
    </xf>
    <xf numFmtId="0" fontId="31" fillId="0" borderId="119" xfId="49" applyFont="1" applyBorder="1" applyAlignment="1">
      <alignment horizontal="center" vertical="center" wrapText="1"/>
    </xf>
    <xf numFmtId="0" fontId="14" fillId="0" borderId="66" xfId="49" applyFont="1" applyBorder="1" applyAlignment="1">
      <alignment horizontal="center" vertical="center" wrapText="1"/>
    </xf>
    <xf numFmtId="0" fontId="31" fillId="0" borderId="79" xfId="38" applyFont="1" applyFill="1" applyBorder="1" applyAlignment="1">
      <alignment horizontal="center" vertical="center" wrapText="1"/>
    </xf>
    <xf numFmtId="0" fontId="31" fillId="0" borderId="24" xfId="38" applyFont="1" applyFill="1" applyBorder="1" applyAlignment="1">
      <alignment horizontal="center" vertical="center" wrapText="1"/>
    </xf>
    <xf numFmtId="0" fontId="35" fillId="0" borderId="12" xfId="38" applyFont="1" applyBorder="1" applyAlignment="1">
      <alignment horizontal="center" vertical="center" wrapText="1"/>
    </xf>
    <xf numFmtId="0" fontId="14" fillId="0" borderId="119" xfId="38" applyFont="1" applyFill="1" applyBorder="1" applyAlignment="1">
      <alignment horizontal="center" vertical="center" wrapText="1"/>
    </xf>
    <xf numFmtId="0" fontId="14" fillId="0" borderId="86" xfId="49" applyFont="1" applyBorder="1" applyAlignment="1">
      <alignment horizontal="center" vertical="center" wrapText="1"/>
    </xf>
    <xf numFmtId="0" fontId="14" fillId="0" borderId="12" xfId="38" applyFont="1" applyFill="1" applyBorder="1" applyAlignment="1">
      <alignment horizontal="center" vertical="center" wrapText="1"/>
    </xf>
    <xf numFmtId="0" fontId="14" fillId="0" borderId="12" xfId="38" applyFill="1" applyBorder="1" applyAlignment="1">
      <alignment horizontal="center" vertical="center" wrapText="1"/>
    </xf>
    <xf numFmtId="0" fontId="56" fillId="0" borderId="103" xfId="0" applyFont="1" applyBorder="1" applyAlignment="1">
      <alignment horizontal="center" vertical="center"/>
    </xf>
    <xf numFmtId="0" fontId="56" fillId="0" borderId="12" xfId="0" applyFont="1" applyBorder="1" applyAlignment="1">
      <alignment horizontal="center" vertical="center"/>
    </xf>
    <xf numFmtId="0" fontId="56" fillId="0" borderId="13" xfId="0" applyFont="1" applyBorder="1" applyAlignment="1">
      <alignment horizontal="center" vertical="center"/>
    </xf>
    <xf numFmtId="0" fontId="64" fillId="0" borderId="79" xfId="41" applyFont="1" applyFill="1" applyBorder="1" applyAlignment="1">
      <alignment horizontal="center" vertical="center" wrapText="1"/>
    </xf>
    <xf numFmtId="0" fontId="64" fillId="0" borderId="105" xfId="41" applyFont="1" applyFill="1" applyBorder="1" applyAlignment="1">
      <alignment horizontal="center" vertical="center" wrapText="1"/>
    </xf>
    <xf numFmtId="0" fontId="64" fillId="0" borderId="80" xfId="41" applyFont="1" applyFill="1" applyBorder="1" applyAlignment="1">
      <alignment horizontal="center" vertical="center" wrapText="1"/>
    </xf>
    <xf numFmtId="0" fontId="64" fillId="0" borderId="128" xfId="41" applyFont="1" applyFill="1" applyBorder="1" applyAlignment="1">
      <alignment horizontal="center" vertical="center" wrapText="1"/>
    </xf>
    <xf numFmtId="0" fontId="64" fillId="0" borderId="80" xfId="41" applyNumberFormat="1" applyFont="1" applyFill="1" applyBorder="1" applyAlignment="1">
      <alignment horizontal="center" vertical="center" wrapText="1"/>
    </xf>
    <xf numFmtId="0" fontId="64" fillId="0" borderId="129" xfId="41" applyFont="1" applyFill="1" applyBorder="1" applyAlignment="1">
      <alignment horizontal="center" vertical="center" wrapText="1"/>
    </xf>
    <xf numFmtId="0" fontId="62" fillId="0" borderId="81" xfId="41" applyFont="1" applyFill="1" applyBorder="1" applyAlignment="1">
      <alignment horizontal="center"/>
    </xf>
    <xf numFmtId="0" fontId="62" fillId="0" borderId="24" xfId="41" applyFont="1" applyFill="1" applyBorder="1" applyAlignment="1">
      <alignment horizontal="center" vertical="center" wrapText="1"/>
    </xf>
    <xf numFmtId="0" fontId="62" fillId="0" borderId="102" xfId="41" applyFont="1" applyFill="1" applyBorder="1" applyAlignment="1">
      <alignment horizontal="center" vertical="center" wrapText="1"/>
    </xf>
    <xf numFmtId="0" fontId="62" fillId="0" borderId="103" xfId="41" applyFont="1" applyFill="1" applyBorder="1" applyAlignment="1">
      <alignment horizontal="center" vertical="center" wrapText="1"/>
    </xf>
    <xf numFmtId="0" fontId="62" fillId="0" borderId="12" xfId="41" applyFont="1" applyFill="1" applyBorder="1" applyAlignment="1">
      <alignment horizontal="center" vertical="center" wrapText="1"/>
    </xf>
    <xf numFmtId="0" fontId="64" fillId="0" borderId="12" xfId="41" applyFont="1" applyFill="1" applyBorder="1" applyAlignment="1">
      <alignment horizontal="center" vertical="center" wrapText="1"/>
    </xf>
    <xf numFmtId="0" fontId="62" fillId="0" borderId="13" xfId="41" applyFont="1" applyFill="1" applyBorder="1" applyAlignment="1">
      <alignment horizontal="center" vertical="center" wrapText="1"/>
    </xf>
    <xf numFmtId="0" fontId="62" fillId="0" borderId="130" xfId="41" applyFont="1" applyFill="1" applyBorder="1" applyAlignment="1">
      <alignment horizontal="center" vertical="center" wrapText="1"/>
    </xf>
    <xf numFmtId="0" fontId="62" fillId="0" borderId="131" xfId="41" applyFont="1" applyFill="1" applyBorder="1" applyAlignment="1">
      <alignment horizontal="center" vertical="center" wrapText="1"/>
    </xf>
    <xf numFmtId="9" fontId="32" fillId="0" borderId="26" xfId="41" applyNumberFormat="1" applyFont="1" applyFill="1" applyBorder="1"/>
    <xf numFmtId="3" fontId="14" fillId="0" borderId="35" xfId="41" applyNumberFormat="1" applyFill="1" applyBorder="1"/>
    <xf numFmtId="0" fontId="90" fillId="0" borderId="12" xfId="41" applyFont="1" applyFill="1" applyBorder="1" applyAlignment="1">
      <alignment horizontal="center" vertical="center" wrapText="1"/>
    </xf>
    <xf numFmtId="0" fontId="67" fillId="0" borderId="12" xfId="42" applyFont="1" applyFill="1" applyBorder="1" applyAlignment="1">
      <alignment horizontal="center" vertical="center" wrapText="1"/>
    </xf>
    <xf numFmtId="0" fontId="48" fillId="0" borderId="103" xfId="49" applyFont="1" applyBorder="1" applyAlignment="1">
      <alignment horizontal="center" vertical="center" wrapText="1"/>
    </xf>
    <xf numFmtId="0" fontId="14" fillId="0" borderId="12" xfId="49" applyFont="1" applyFill="1" applyBorder="1" applyAlignment="1">
      <alignment horizontal="center" vertical="center" wrapText="1"/>
    </xf>
    <xf numFmtId="0" fontId="14" fillId="0" borderId="12" xfId="0" applyFont="1" applyBorder="1" applyAlignment="1">
      <alignment horizontal="center" vertical="center" wrapText="1"/>
    </xf>
    <xf numFmtId="0" fontId="43" fillId="0" borderId="24" xfId="38" applyFont="1" applyFill="1" applyBorder="1" applyAlignment="1">
      <alignment horizontal="center" vertical="center" wrapText="1"/>
    </xf>
    <xf numFmtId="175" fontId="14" fillId="0" borderId="9" xfId="38" applyNumberFormat="1" applyFont="1" applyFill="1" applyBorder="1" applyAlignment="1">
      <alignment horizontal="center" vertical="center" wrapText="1"/>
    </xf>
    <xf numFmtId="175" fontId="14" fillId="0" borderId="29" xfId="38" applyNumberFormat="1" applyFont="1" applyFill="1" applyBorder="1" applyAlignment="1">
      <alignment horizontal="center" vertical="center" wrapText="1"/>
    </xf>
    <xf numFmtId="175" fontId="31" fillId="0" borderId="9" xfId="38" applyNumberFormat="1" applyFont="1" applyFill="1" applyBorder="1" applyAlignment="1">
      <alignment horizontal="center" vertical="center" wrapText="1"/>
    </xf>
    <xf numFmtId="0" fontId="28" fillId="0" borderId="12" xfId="49" applyFont="1" applyBorder="1" applyAlignment="1">
      <alignment horizontal="center" vertical="center" wrapText="1"/>
    </xf>
    <xf numFmtId="0" fontId="14" fillId="0" borderId="13" xfId="49" applyFont="1" applyBorder="1" applyAlignment="1">
      <alignment horizontal="center" vertical="center" wrapText="1"/>
    </xf>
    <xf numFmtId="0" fontId="31" fillId="0" borderId="12" xfId="38" applyFont="1" applyFill="1" applyBorder="1" applyAlignment="1">
      <alignment horizontal="center" vertical="center" wrapText="1"/>
    </xf>
    <xf numFmtId="0" fontId="14" fillId="0" borderId="13" xfId="38" applyFont="1" applyFill="1" applyBorder="1" applyAlignment="1">
      <alignment vertical="center" wrapText="1"/>
    </xf>
    <xf numFmtId="172" fontId="35" fillId="0" borderId="9" xfId="38" applyNumberFormat="1" applyFont="1" applyFill="1" applyBorder="1" applyAlignment="1">
      <alignment horizontal="center"/>
    </xf>
    <xf numFmtId="0" fontId="35" fillId="0" borderId="9" xfId="38" applyFont="1" applyFill="1" applyBorder="1"/>
    <xf numFmtId="3" fontId="14" fillId="0" borderId="9" xfId="38" applyNumberFormat="1" applyFont="1" applyFill="1" applyBorder="1"/>
    <xf numFmtId="0" fontId="14" fillId="0" borderId="9" xfId="38" applyFont="1" applyFill="1" applyBorder="1"/>
    <xf numFmtId="3" fontId="14" fillId="0" borderId="35" xfId="38" applyNumberFormat="1" applyFont="1" applyFill="1" applyBorder="1"/>
    <xf numFmtId="9" fontId="25" fillId="0" borderId="9" xfId="53" applyFont="1" applyBorder="1" applyAlignment="1">
      <alignment horizontal="center"/>
    </xf>
    <xf numFmtId="9" fontId="26" fillId="0" borderId="17" xfId="53" applyFont="1" applyBorder="1" applyAlignment="1">
      <alignment horizontal="center"/>
    </xf>
    <xf numFmtId="9" fontId="25" fillId="0" borderId="29" xfId="53" applyFont="1" applyBorder="1" applyAlignment="1">
      <alignment horizontal="center"/>
    </xf>
    <xf numFmtId="9" fontId="26" fillId="0" borderId="33" xfId="53" applyFont="1" applyBorder="1" applyAlignment="1">
      <alignment horizontal="center"/>
    </xf>
    <xf numFmtId="9" fontId="26" fillId="0" borderId="21" xfId="53" applyFont="1" applyBorder="1" applyAlignment="1">
      <alignment horizontal="center"/>
    </xf>
    <xf numFmtId="9" fontId="26" fillId="0" borderId="70" xfId="53" applyFont="1" applyBorder="1" applyAlignment="1">
      <alignment horizontal="center"/>
    </xf>
    <xf numFmtId="9" fontId="25" fillId="0" borderId="19" xfId="53" applyFont="1" applyBorder="1" applyAlignment="1">
      <alignment horizontal="center"/>
    </xf>
    <xf numFmtId="9" fontId="25" fillId="0" borderId="69" xfId="53" applyFont="1" applyBorder="1" applyAlignment="1">
      <alignment horizontal="center"/>
    </xf>
    <xf numFmtId="0" fontId="35" fillId="0" borderId="12" xfId="38" applyFont="1" applyFill="1" applyBorder="1" applyAlignment="1">
      <alignment horizontal="center" vertical="center" wrapText="1"/>
    </xf>
    <xf numFmtId="0" fontId="35" fillId="0" borderId="119" xfId="38" applyFont="1" applyFill="1" applyBorder="1" applyAlignment="1">
      <alignment horizontal="center" vertical="center" wrapText="1"/>
    </xf>
    <xf numFmtId="9" fontId="31" fillId="0" borderId="55" xfId="38" applyNumberFormat="1" applyFont="1" applyBorder="1" applyAlignment="1">
      <alignment horizontal="center"/>
    </xf>
    <xf numFmtId="0" fontId="31" fillId="0" borderId="132" xfId="38" applyFont="1" applyBorder="1" applyAlignment="1">
      <alignment horizontal="center" vertical="center" wrapText="1"/>
    </xf>
    <xf numFmtId="0" fontId="31" fillId="0" borderId="103" xfId="38" applyFont="1" applyBorder="1" applyAlignment="1">
      <alignment horizontal="center" vertical="center" wrapText="1"/>
    </xf>
    <xf numFmtId="0" fontId="31" fillId="0" borderId="12" xfId="38" applyFont="1" applyBorder="1" applyAlignment="1">
      <alignment horizontal="center" vertical="center" wrapText="1"/>
    </xf>
    <xf numFmtId="0" fontId="31" fillId="0" borderId="24" xfId="38" applyFont="1" applyBorder="1" applyAlignment="1">
      <alignment horizontal="center" vertical="center" wrapText="1"/>
    </xf>
    <xf numFmtId="0" fontId="31" fillId="0" borderId="133" xfId="38" applyFont="1" applyBorder="1" applyAlignment="1">
      <alignment horizontal="center" vertical="center" wrapText="1"/>
    </xf>
    <xf numFmtId="0" fontId="52" fillId="0" borderId="80" xfId="38" applyFont="1" applyFill="1" applyBorder="1" applyAlignment="1">
      <alignment horizontal="center" vertical="center" wrapText="1"/>
    </xf>
    <xf numFmtId="0" fontId="26" fillId="0" borderId="80" xfId="38" applyFont="1" applyFill="1" applyBorder="1" applyAlignment="1">
      <alignment horizontal="center" vertical="center" wrapText="1"/>
    </xf>
    <xf numFmtId="0" fontId="31" fillId="0" borderId="132" xfId="49" applyFont="1" applyBorder="1" applyAlignment="1">
      <alignment horizontal="center" vertical="center" wrapText="1"/>
    </xf>
    <xf numFmtId="0" fontId="14" fillId="0" borderId="134" xfId="49" applyFont="1" applyBorder="1" applyAlignment="1">
      <alignment horizontal="center" vertical="center" wrapText="1"/>
    </xf>
    <xf numFmtId="0" fontId="31" fillId="0" borderId="135" xfId="49" applyFont="1" applyBorder="1" applyAlignment="1">
      <alignment horizontal="center" vertical="center" wrapText="1"/>
    </xf>
    <xf numFmtId="0" fontId="31" fillId="0" borderId="133" xfId="49" applyFont="1" applyBorder="1" applyAlignment="1">
      <alignment horizontal="center" vertical="center" wrapText="1"/>
    </xf>
    <xf numFmtId="0" fontId="31" fillId="0" borderId="13" xfId="49" applyFont="1" applyBorder="1" applyAlignment="1">
      <alignment horizontal="center" vertical="center" wrapText="1"/>
    </xf>
    <xf numFmtId="0" fontId="51" fillId="0" borderId="40" xfId="0" applyFont="1" applyBorder="1" applyAlignment="1">
      <alignment horizontal="center" vertical="center" wrapText="1"/>
    </xf>
    <xf numFmtId="0" fontId="48" fillId="0" borderId="14" xfId="49" applyFont="1" applyBorder="1" applyAlignment="1">
      <alignment horizontal="center" vertical="center" wrapText="1"/>
    </xf>
    <xf numFmtId="0" fontId="48" fillId="0" borderId="15" xfId="49" applyFont="1" applyBorder="1" applyAlignment="1">
      <alignment horizontal="center" vertical="center" wrapText="1"/>
    </xf>
    <xf numFmtId="0" fontId="51" fillId="0" borderId="15" xfId="0" applyFont="1" applyBorder="1" applyAlignment="1">
      <alignment horizontal="center" vertical="center" wrapText="1"/>
    </xf>
    <xf numFmtId="0" fontId="48" fillId="0" borderId="81" xfId="49" applyFont="1" applyBorder="1" applyAlignment="1">
      <alignment horizontal="center" vertical="center" wrapText="1"/>
    </xf>
    <xf numFmtId="0" fontId="77" fillId="0" borderId="66" xfId="49" applyFont="1" applyBorder="1" applyAlignment="1">
      <alignment horizontal="center" vertical="center" wrapText="1"/>
    </xf>
    <xf numFmtId="0" fontId="74" fillId="0" borderId="81" xfId="49" applyFont="1" applyBorder="1" applyAlignment="1">
      <alignment horizontal="center" vertical="center" wrapText="1"/>
    </xf>
    <xf numFmtId="0" fontId="0" fillId="0" borderId="24" xfId="0" applyBorder="1" applyAlignment="1">
      <alignment horizontal="center" vertical="center" wrapText="1"/>
    </xf>
    <xf numFmtId="0" fontId="0" fillId="0" borderId="12" xfId="0" applyBorder="1" applyAlignment="1">
      <alignment horizontal="center" vertical="center" wrapText="1"/>
    </xf>
    <xf numFmtId="0" fontId="52" fillId="0" borderId="12" xfId="0" applyFont="1" applyBorder="1" applyAlignment="1">
      <alignment horizontal="center" vertical="center" wrapText="1"/>
    </xf>
    <xf numFmtId="0" fontId="52" fillId="0" borderId="102" xfId="0" applyFont="1" applyBorder="1" applyAlignment="1">
      <alignment horizontal="center" vertical="center" wrapText="1"/>
    </xf>
    <xf numFmtId="0" fontId="80" fillId="0" borderId="103" xfId="0" applyFont="1" applyBorder="1" applyAlignment="1">
      <alignment horizontal="center" vertical="center" wrapText="1"/>
    </xf>
    <xf numFmtId="0" fontId="47" fillId="0" borderId="12" xfId="49" applyFont="1" applyBorder="1" applyAlignment="1">
      <alignment horizontal="center" vertical="center" wrapText="1"/>
    </xf>
    <xf numFmtId="0" fontId="76" fillId="0" borderId="66" xfId="49" applyFont="1" applyBorder="1" applyAlignment="1">
      <alignment horizontal="center" vertical="center" wrapText="1"/>
    </xf>
    <xf numFmtId="0" fontId="74" fillId="0" borderId="12" xfId="49" applyFont="1" applyBorder="1" applyAlignment="1">
      <alignment horizontal="center" vertical="center" wrapText="1"/>
    </xf>
    <xf numFmtId="0" fontId="74" fillId="0" borderId="13" xfId="49" applyFont="1" applyBorder="1" applyAlignment="1">
      <alignment horizontal="center" vertical="center" wrapText="1"/>
    </xf>
    <xf numFmtId="9" fontId="61" fillId="0" borderId="9" xfId="49" applyNumberFormat="1" applyFont="1" applyBorder="1" applyAlignment="1">
      <alignment horizontal="center"/>
    </xf>
    <xf numFmtId="9" fontId="61" fillId="0" borderId="29" xfId="49" applyNumberFormat="1" applyFont="1" applyBorder="1" applyAlignment="1">
      <alignment horizontal="center"/>
    </xf>
    <xf numFmtId="9" fontId="61" fillId="0" borderId="19" xfId="49" applyNumberFormat="1" applyFont="1" applyBorder="1" applyAlignment="1">
      <alignment horizontal="center"/>
    </xf>
    <xf numFmtId="0" fontId="48" fillId="0" borderId="12" xfId="49" applyFont="1" applyBorder="1" applyAlignment="1">
      <alignment horizontal="center" vertical="center" wrapText="1"/>
    </xf>
    <xf numFmtId="0" fontId="76" fillId="0" borderId="24" xfId="49" applyFont="1" applyBorder="1" applyAlignment="1">
      <alignment horizontal="center" vertical="center" wrapText="1"/>
    </xf>
    <xf numFmtId="0" fontId="74" fillId="0" borderId="119" xfId="49" applyFont="1" applyBorder="1" applyAlignment="1">
      <alignment horizontal="center" vertical="center" wrapText="1"/>
    </xf>
    <xf numFmtId="0" fontId="78" fillId="0" borderId="12" xfId="49" applyFont="1" applyBorder="1" applyAlignment="1">
      <alignment horizontal="center" vertical="center" wrapText="1"/>
    </xf>
    <xf numFmtId="0" fontId="50" fillId="0" borderId="9" xfId="49" applyFont="1" applyBorder="1" applyAlignment="1">
      <alignment horizontal="center" vertical="center" wrapText="1"/>
    </xf>
    <xf numFmtId="0" fontId="50" fillId="0" borderId="24" xfId="49" applyFont="1" applyBorder="1" applyAlignment="1">
      <alignment horizontal="center" vertical="center" wrapText="1"/>
    </xf>
    <xf numFmtId="0" fontId="60" fillId="0" borderId="90" xfId="38" applyFont="1" applyBorder="1" applyAlignment="1">
      <alignment horizontal="center" vertical="center" wrapText="1"/>
    </xf>
    <xf numFmtId="2" fontId="26" fillId="0" borderId="0" xfId="0" applyNumberFormat="1" applyFont="1" applyBorder="1" applyAlignment="1">
      <alignment horizontal="center"/>
    </xf>
    <xf numFmtId="9" fontId="14" fillId="0" borderId="91" xfId="52" applyFont="1" applyBorder="1" applyAlignment="1">
      <alignment horizontal="center" vertical="center" wrapText="1"/>
    </xf>
    <xf numFmtId="9" fontId="14" fillId="0" borderId="93" xfId="52" applyFont="1" applyBorder="1" applyAlignment="1">
      <alignment horizontal="center" vertical="center" wrapText="1"/>
    </xf>
    <xf numFmtId="9" fontId="14" fillId="0" borderId="91" xfId="52" applyFont="1" applyBorder="1" applyAlignment="1">
      <alignment horizontal="center"/>
    </xf>
    <xf numFmtId="172" fontId="14" fillId="0" borderId="91" xfId="38" applyNumberFormat="1" applyFont="1" applyBorder="1" applyAlignment="1">
      <alignment horizontal="center"/>
    </xf>
    <xf numFmtId="172" fontId="14" fillId="0" borderId="92" xfId="38" applyNumberFormat="1" applyFont="1" applyBorder="1" applyAlignment="1">
      <alignment horizontal="center"/>
    </xf>
    <xf numFmtId="172" fontId="14" fillId="0" borderId="93" xfId="38" applyNumberFormat="1" applyFont="1" applyBorder="1" applyAlignment="1">
      <alignment horizontal="center"/>
    </xf>
    <xf numFmtId="172" fontId="14" fillId="0" borderId="94" xfId="38" applyNumberFormat="1" applyFont="1" applyBorder="1" applyAlignment="1">
      <alignment horizontal="center"/>
    </xf>
    <xf numFmtId="0" fontId="14" fillId="0" borderId="135" xfId="38" applyFont="1" applyBorder="1" applyAlignment="1">
      <alignment horizontal="center" vertical="center" wrapText="1"/>
    </xf>
    <xf numFmtId="0" fontId="14" fillId="0" borderId="135" xfId="38" applyFont="1" applyFill="1" applyBorder="1" applyAlignment="1">
      <alignment horizontal="center" vertical="center" wrapText="1"/>
    </xf>
    <xf numFmtId="9" fontId="103" fillId="0" borderId="0" xfId="33" applyNumberFormat="1" applyFont="1" applyAlignment="1">
      <alignment horizontal="left"/>
    </xf>
    <xf numFmtId="0" fontId="14" fillId="0" borderId="14" xfId="49" applyFont="1" applyBorder="1" applyAlignment="1">
      <alignment horizontal="center" vertical="center" wrapText="1"/>
    </xf>
    <xf numFmtId="0" fontId="14" fillId="0" borderId="24" xfId="49" applyFont="1" applyBorder="1" applyAlignment="1">
      <alignment horizontal="center" vertical="center" wrapText="1"/>
    </xf>
    <xf numFmtId="0" fontId="14" fillId="0" borderId="16" xfId="49" applyFont="1" applyBorder="1" applyAlignment="1">
      <alignment horizontal="center" vertical="center" wrapText="1"/>
    </xf>
    <xf numFmtId="0" fontId="14" fillId="0" borderId="119" xfId="49" applyFont="1" applyBorder="1" applyAlignment="1">
      <alignment horizontal="center" vertical="center" wrapText="1"/>
    </xf>
    <xf numFmtId="0" fontId="43" fillId="0" borderId="79" xfId="49" applyFont="1" applyFill="1" applyBorder="1" applyAlignment="1">
      <alignment horizontal="center" vertical="center" wrapText="1"/>
    </xf>
    <xf numFmtId="0" fontId="43" fillId="0" borderId="80" xfId="49" applyFont="1" applyFill="1" applyBorder="1" applyAlignment="1">
      <alignment horizontal="center" vertical="center" wrapText="1"/>
    </xf>
    <xf numFmtId="0" fontId="43" fillId="0" borderId="136" xfId="49" applyFont="1" applyFill="1" applyBorder="1" applyAlignment="1">
      <alignment horizontal="center" vertical="center" wrapText="1"/>
    </xf>
    <xf numFmtId="0" fontId="14" fillId="0" borderId="81" xfId="49" applyFont="1" applyBorder="1" applyAlignment="1">
      <alignment horizontal="center" vertical="center" wrapText="1"/>
    </xf>
    <xf numFmtId="0" fontId="14" fillId="0" borderId="102" xfId="49" applyFont="1" applyBorder="1" applyAlignment="1">
      <alignment horizontal="center" vertical="center" wrapText="1"/>
    </xf>
    <xf numFmtId="0" fontId="31" fillId="0" borderId="66" xfId="49" applyFont="1" applyBorder="1" applyAlignment="1">
      <alignment horizontal="center" vertical="center" wrapText="1"/>
    </xf>
    <xf numFmtId="0" fontId="31" fillId="0" borderId="103" xfId="49" applyFont="1" applyBorder="1" applyAlignment="1">
      <alignment horizontal="center" vertical="center" wrapText="1"/>
    </xf>
    <xf numFmtId="0" fontId="32" fillId="0" borderId="76" xfId="49" applyFont="1" applyBorder="1" applyAlignment="1">
      <alignment horizontal="center" vertical="center" wrapText="1"/>
    </xf>
    <xf numFmtId="0" fontId="32" fillId="0" borderId="78" xfId="49" applyFont="1" applyBorder="1" applyAlignment="1">
      <alignment horizontal="center" vertical="center" wrapText="1"/>
    </xf>
    <xf numFmtId="0" fontId="32" fillId="0" borderId="137" xfId="49" applyFont="1" applyBorder="1" applyAlignment="1">
      <alignment horizontal="center" vertical="center" wrapText="1"/>
    </xf>
    <xf numFmtId="0" fontId="31" fillId="0" borderId="16" xfId="49" applyFont="1" applyBorder="1" applyAlignment="1">
      <alignment horizontal="center" vertical="center" wrapText="1"/>
    </xf>
    <xf numFmtId="0" fontId="31" fillId="0" borderId="17" xfId="49" applyFont="1" applyBorder="1" applyAlignment="1">
      <alignment horizontal="center" vertical="center" wrapText="1"/>
    </xf>
    <xf numFmtId="0" fontId="31" fillId="0" borderId="119" xfId="49" applyFont="1" applyBorder="1" applyAlignment="1">
      <alignment horizontal="center" vertical="center" wrapText="1"/>
    </xf>
    <xf numFmtId="0" fontId="43" fillId="0" borderId="120" xfId="49" applyFont="1" applyBorder="1" applyAlignment="1">
      <alignment horizontal="center" vertical="center" wrapText="1"/>
    </xf>
    <xf numFmtId="0" fontId="43" fillId="0" borderId="138" xfId="49" applyFont="1" applyBorder="1" applyAlignment="1">
      <alignment horizontal="center" vertical="center" wrapText="1"/>
    </xf>
    <xf numFmtId="0" fontId="26" fillId="0" borderId="83" xfId="0" applyFont="1" applyBorder="1" applyAlignment="1">
      <alignment horizontal="left" vertical="center" wrapText="1"/>
    </xf>
    <xf numFmtId="0" fontId="26" fillId="0" borderId="85" xfId="0" applyFont="1" applyBorder="1" applyAlignment="1">
      <alignment horizontal="left" vertical="center" wrapText="1"/>
    </xf>
    <xf numFmtId="0" fontId="26" fillId="0" borderId="84" xfId="0" applyFont="1" applyBorder="1" applyAlignment="1">
      <alignment horizontal="left" vertical="center" wrapText="1"/>
    </xf>
    <xf numFmtId="0" fontId="26" fillId="0" borderId="25" xfId="0" applyFont="1" applyBorder="1" applyAlignment="1">
      <alignment horizontal="left" vertical="center" wrapText="1"/>
    </xf>
    <xf numFmtId="0" fontId="26" fillId="0" borderId="0" xfId="0" applyFont="1" applyBorder="1" applyAlignment="1">
      <alignment horizontal="left" vertical="center" wrapText="1"/>
    </xf>
    <xf numFmtId="0" fontId="26" fillId="0" borderId="26" xfId="0" applyFont="1" applyBorder="1" applyAlignment="1">
      <alignment horizontal="left" vertical="center" wrapText="1"/>
    </xf>
    <xf numFmtId="0" fontId="26" fillId="0" borderId="72" xfId="0" applyFont="1" applyBorder="1" applyAlignment="1">
      <alignment horizontal="left" vertical="center" wrapText="1"/>
    </xf>
    <xf numFmtId="0" fontId="26" fillId="0" borderId="74" xfId="0" applyFont="1" applyBorder="1" applyAlignment="1">
      <alignment horizontal="left" vertical="center" wrapText="1"/>
    </xf>
    <xf numFmtId="0" fontId="26" fillId="0" borderId="75" xfId="0" applyFont="1" applyBorder="1" applyAlignment="1">
      <alignment horizontal="left" vertical="center" wrapText="1"/>
    </xf>
    <xf numFmtId="0" fontId="31" fillId="0" borderId="81" xfId="49" applyFont="1" applyBorder="1" applyAlignment="1">
      <alignment horizontal="center" vertical="center" wrapText="1"/>
    </xf>
    <xf numFmtId="0" fontId="31" fillId="0" borderId="102" xfId="49" applyFont="1" applyBorder="1" applyAlignment="1">
      <alignment horizontal="center" vertical="center" wrapText="1"/>
    </xf>
    <xf numFmtId="0" fontId="14" fillId="0" borderId="66" xfId="49" applyFont="1" applyBorder="1" applyAlignment="1">
      <alignment horizontal="center" vertical="center" wrapText="1"/>
    </xf>
    <xf numFmtId="0" fontId="14" fillId="0" borderId="103" xfId="49" applyFont="1" applyBorder="1" applyAlignment="1">
      <alignment horizontal="center" vertical="center" wrapText="1"/>
    </xf>
    <xf numFmtId="0" fontId="55" fillId="0" borderId="66"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86" xfId="0" applyFont="1" applyBorder="1" applyAlignment="1">
      <alignment horizontal="center" vertical="center" wrapText="1"/>
    </xf>
    <xf numFmtId="0" fontId="55" fillId="0" borderId="11" xfId="0" applyFont="1" applyBorder="1" applyAlignment="1">
      <alignment horizontal="center" vertical="center" wrapText="1"/>
    </xf>
    <xf numFmtId="0" fontId="47" fillId="0" borderId="14" xfId="49" applyFont="1" applyFill="1" applyBorder="1" applyAlignment="1">
      <alignment horizontal="center" vertical="center" wrapText="1"/>
    </xf>
    <xf numFmtId="0" fontId="47" fillId="0" borderId="9" xfId="49" applyFont="1" applyFill="1" applyBorder="1" applyAlignment="1">
      <alignment horizontal="center" vertical="center" wrapText="1"/>
    </xf>
    <xf numFmtId="0" fontId="47" fillId="0" borderId="24" xfId="49" applyFont="1" applyFill="1" applyBorder="1" applyAlignment="1">
      <alignment horizontal="center" vertical="center" wrapText="1"/>
    </xf>
    <xf numFmtId="0" fontId="39" fillId="0" borderId="81" xfId="49" applyFont="1" applyBorder="1" applyAlignment="1">
      <alignment horizontal="center" vertical="center" wrapText="1"/>
    </xf>
    <xf numFmtId="0" fontId="39" fillId="0" borderId="26" xfId="49" applyFont="1" applyBorder="1" applyAlignment="1">
      <alignment horizontal="center" vertical="center" wrapText="1"/>
    </xf>
    <xf numFmtId="0" fontId="39" fillId="0" borderId="102" xfId="49" applyFont="1" applyBorder="1" applyAlignment="1">
      <alignment horizontal="center" vertical="center" wrapText="1"/>
    </xf>
    <xf numFmtId="0" fontId="35" fillId="0" borderId="15" xfId="49" applyFont="1" applyFill="1" applyBorder="1" applyAlignment="1">
      <alignment horizontal="center" vertical="center" wrapText="1"/>
    </xf>
    <xf numFmtId="0" fontId="35" fillId="0" borderId="0" xfId="49" applyFont="1" applyFill="1" applyBorder="1" applyAlignment="1">
      <alignment horizontal="center" vertical="center" wrapText="1"/>
    </xf>
    <xf numFmtId="0" fontId="35" fillId="0" borderId="12" xfId="49" applyFont="1" applyFill="1" applyBorder="1" applyAlignment="1">
      <alignment horizontal="center" vertical="center" wrapText="1"/>
    </xf>
    <xf numFmtId="0" fontId="26" fillId="0" borderId="83" xfId="0" applyFont="1" applyFill="1" applyBorder="1" applyAlignment="1">
      <alignment horizontal="left" vertical="center" wrapText="1"/>
    </xf>
    <xf numFmtId="0" fontId="26" fillId="0" borderId="85" xfId="0" applyFont="1" applyFill="1" applyBorder="1" applyAlignment="1">
      <alignment horizontal="left" vertical="center" wrapText="1"/>
    </xf>
    <xf numFmtId="0" fontId="26" fillId="0" borderId="84" xfId="0" applyFont="1" applyFill="1" applyBorder="1" applyAlignment="1">
      <alignment horizontal="left" vertical="center" wrapText="1"/>
    </xf>
    <xf numFmtId="0" fontId="26" fillId="0" borderId="72" xfId="0" applyFont="1" applyFill="1" applyBorder="1" applyAlignment="1">
      <alignment horizontal="left" vertical="center" wrapText="1"/>
    </xf>
    <xf numFmtId="0" fontId="26" fillId="0" borderId="74" xfId="0" applyFont="1" applyFill="1" applyBorder="1" applyAlignment="1">
      <alignment horizontal="left" vertical="center" wrapText="1"/>
    </xf>
    <xf numFmtId="0" fontId="26" fillId="0" borderId="75" xfId="0" applyFont="1" applyFill="1" applyBorder="1" applyAlignment="1">
      <alignment horizontal="left" vertical="center" wrapText="1"/>
    </xf>
    <xf numFmtId="0" fontId="47" fillId="0" borderId="14" xfId="49" applyFont="1" applyBorder="1" applyAlignment="1">
      <alignment horizontal="center" vertical="center" wrapText="1"/>
    </xf>
    <xf numFmtId="0" fontId="47" fillId="0" borderId="9" xfId="49" applyFont="1" applyBorder="1" applyAlignment="1">
      <alignment horizontal="center" vertical="center" wrapText="1"/>
    </xf>
    <xf numFmtId="0" fontId="47" fillId="0" borderId="24" xfId="49" applyFont="1" applyBorder="1" applyAlignment="1">
      <alignment horizontal="center" vertical="center" wrapText="1"/>
    </xf>
    <xf numFmtId="0" fontId="35" fillId="0" borderId="15" xfId="49" applyFont="1" applyBorder="1" applyAlignment="1">
      <alignment horizontal="center" vertical="center" wrapText="1"/>
    </xf>
    <xf numFmtId="0" fontId="35" fillId="0" borderId="0" xfId="49" applyFont="1" applyBorder="1" applyAlignment="1">
      <alignment horizontal="center" vertical="center" wrapText="1"/>
    </xf>
    <xf numFmtId="0" fontId="35" fillId="0" borderId="12" xfId="49" applyFont="1" applyBorder="1" applyAlignment="1">
      <alignment horizontal="center" vertical="center" wrapText="1"/>
    </xf>
    <xf numFmtId="0" fontId="43" fillId="0" borderId="79" xfId="49" applyFont="1" applyBorder="1" applyAlignment="1">
      <alignment horizontal="center" vertical="center" wrapText="1"/>
    </xf>
    <xf numFmtId="0" fontId="43" fillId="0" borderId="80" xfId="49" applyFont="1" applyBorder="1" applyAlignment="1">
      <alignment horizontal="center" vertical="center" wrapText="1"/>
    </xf>
    <xf numFmtId="0" fontId="43" fillId="0" borderId="136" xfId="49" applyFont="1" applyBorder="1" applyAlignment="1">
      <alignment horizontal="center" vertical="center" wrapText="1"/>
    </xf>
    <xf numFmtId="0" fontId="32" fillId="0" borderId="76" xfId="41" applyFont="1" applyFill="1" applyBorder="1" applyAlignment="1">
      <alignment horizontal="center" vertical="center" wrapText="1"/>
    </xf>
    <xf numFmtId="0" fontId="32" fillId="0" borderId="78" xfId="41" applyFont="1" applyFill="1" applyBorder="1" applyAlignment="1">
      <alignment horizontal="center" vertical="center" wrapText="1"/>
    </xf>
    <xf numFmtId="0" fontId="32" fillId="0" borderId="137" xfId="41" applyFont="1" applyFill="1" applyBorder="1" applyAlignment="1">
      <alignment horizontal="center" vertical="center" wrapText="1"/>
    </xf>
    <xf numFmtId="0" fontId="63" fillId="0" borderId="128" xfId="41" applyFont="1" applyFill="1" applyBorder="1" applyAlignment="1">
      <alignment horizontal="center" vertical="center" wrapText="1"/>
    </xf>
    <xf numFmtId="0" fontId="63" fillId="0" borderId="80" xfId="41" applyFont="1" applyFill="1" applyBorder="1" applyAlignment="1">
      <alignment horizontal="center" vertical="center" wrapText="1"/>
    </xf>
    <xf numFmtId="0" fontId="63" fillId="0" borderId="105" xfId="41" applyFont="1" applyFill="1" applyBorder="1" applyAlignment="1">
      <alignment horizontal="center" vertical="center" wrapText="1"/>
    </xf>
    <xf numFmtId="0" fontId="63" fillId="0" borderId="129" xfId="41" applyFont="1" applyFill="1" applyBorder="1" applyAlignment="1">
      <alignment horizontal="center" vertical="center" wrapText="1"/>
    </xf>
    <xf numFmtId="0" fontId="62" fillId="0" borderId="10" xfId="41" applyFont="1" applyFill="1" applyBorder="1" applyAlignment="1">
      <alignment wrapText="1"/>
    </xf>
    <xf numFmtId="0" fontId="32" fillId="0" borderId="9" xfId="41" applyFont="1" applyFill="1" applyBorder="1" applyAlignment="1">
      <alignment horizontal="center" vertical="center" wrapText="1"/>
    </xf>
    <xf numFmtId="0" fontId="32" fillId="0" borderId="26" xfId="41" applyFont="1" applyFill="1" applyBorder="1" applyAlignment="1">
      <alignment horizontal="center" vertical="center" wrapText="1"/>
    </xf>
    <xf numFmtId="0" fontId="32" fillId="0" borderId="66" xfId="41" applyFont="1" applyFill="1" applyBorder="1" applyAlignment="1">
      <alignment horizontal="center" vertical="center" wrapText="1"/>
    </xf>
    <xf numFmtId="0" fontId="32" fillId="0" borderId="15" xfId="41" applyFont="1" applyFill="1" applyBorder="1" applyAlignment="1">
      <alignment horizontal="center" vertical="center" wrapText="1"/>
    </xf>
    <xf numFmtId="0" fontId="32" fillId="0" borderId="81" xfId="41" applyFont="1" applyFill="1" applyBorder="1" applyAlignment="1">
      <alignment horizontal="center" vertical="center" wrapText="1"/>
    </xf>
    <xf numFmtId="0" fontId="32" fillId="0" borderId="86" xfId="41" applyFont="1" applyFill="1" applyBorder="1" applyAlignment="1">
      <alignment horizontal="center" vertical="center" wrapText="1"/>
    </xf>
    <xf numFmtId="0" fontId="62" fillId="0" borderId="120" xfId="41" applyFont="1" applyFill="1" applyBorder="1" applyAlignment="1">
      <alignment wrapText="1"/>
    </xf>
    <xf numFmtId="0" fontId="32" fillId="0" borderId="14" xfId="41" applyFont="1" applyFill="1" applyBorder="1" applyAlignment="1">
      <alignment horizontal="center" vertical="center" wrapText="1"/>
    </xf>
    <xf numFmtId="0" fontId="62" fillId="0" borderId="139" xfId="41" applyFont="1" applyFill="1" applyBorder="1" applyAlignment="1">
      <alignment wrapText="1"/>
    </xf>
    <xf numFmtId="0" fontId="32" fillId="0" borderId="83" xfId="41" applyFont="1" applyFill="1" applyBorder="1" applyAlignment="1">
      <alignment horizontal="center" vertical="center" wrapText="1"/>
    </xf>
    <xf numFmtId="0" fontId="32" fillId="0" borderId="103" xfId="41" applyFont="1" applyFill="1" applyBorder="1" applyAlignment="1">
      <alignment horizontal="center" vertical="center" wrapText="1"/>
    </xf>
    <xf numFmtId="0" fontId="62" fillId="0" borderId="85" xfId="41" applyFont="1" applyFill="1" applyBorder="1" applyAlignment="1">
      <alignment horizontal="center" vertical="center" wrapText="1"/>
    </xf>
    <xf numFmtId="0" fontId="62" fillId="0" borderId="12" xfId="41" applyFont="1" applyFill="1" applyBorder="1" applyAlignment="1">
      <alignment horizontal="center" vertical="center" wrapText="1"/>
    </xf>
    <xf numFmtId="0" fontId="67" fillId="0" borderId="85" xfId="41" applyFont="1" applyFill="1" applyBorder="1" applyAlignment="1">
      <alignment horizontal="center" vertical="center" wrapText="1"/>
    </xf>
    <xf numFmtId="0" fontId="67" fillId="0" borderId="12" xfId="41" applyFont="1" applyFill="1" applyBorder="1" applyAlignment="1">
      <alignment horizontal="center" vertical="center" wrapText="1"/>
    </xf>
    <xf numFmtId="0" fontId="67" fillId="0" borderId="84" xfId="41" applyFont="1" applyFill="1" applyBorder="1" applyAlignment="1">
      <alignment horizontal="center" vertical="center" wrapText="1"/>
    </xf>
    <xf numFmtId="0" fontId="67" fillId="0" borderId="102" xfId="41" applyFont="1" applyFill="1" applyBorder="1" applyAlignment="1">
      <alignment horizontal="center" vertical="center" wrapText="1"/>
    </xf>
    <xf numFmtId="0" fontId="32" fillId="0" borderId="88" xfId="41" applyFont="1" applyFill="1" applyBorder="1" applyAlignment="1">
      <alignment horizontal="center" vertical="center" wrapText="1"/>
    </xf>
    <xf numFmtId="0" fontId="32" fillId="0" borderId="140" xfId="41" applyFont="1" applyFill="1" applyBorder="1" applyAlignment="1">
      <alignment horizontal="center" vertical="center" wrapText="1"/>
    </xf>
    <xf numFmtId="0" fontId="32" fillId="0" borderId="88" xfId="42" applyFont="1" applyFill="1" applyBorder="1" applyAlignment="1">
      <alignment horizontal="center" vertical="center" wrapText="1"/>
    </xf>
    <xf numFmtId="0" fontId="32" fillId="0" borderId="141" xfId="42" applyFont="1" applyFill="1" applyBorder="1" applyAlignment="1">
      <alignment horizontal="center" vertical="center" wrapText="1"/>
    </xf>
    <xf numFmtId="0" fontId="32" fillId="0" borderId="89" xfId="42" applyFont="1" applyFill="1" applyBorder="1" applyAlignment="1">
      <alignment horizontal="center" vertical="center" wrapText="1"/>
    </xf>
    <xf numFmtId="9" fontId="14" fillId="0" borderId="83" xfId="49" applyNumberFormat="1" applyFont="1" applyBorder="1" applyAlignment="1">
      <alignment horizontal="center" vertical="center" wrapText="1"/>
    </xf>
    <xf numFmtId="9" fontId="14" fillId="0" borderId="85" xfId="49" applyNumberFormat="1" applyFont="1" applyBorder="1" applyAlignment="1">
      <alignment horizontal="center" vertical="center" wrapText="1"/>
    </xf>
    <xf numFmtId="0" fontId="14" fillId="0" borderId="64" xfId="49" applyBorder="1" applyAlignment="1">
      <alignment horizontal="center" vertical="center" wrapText="1"/>
    </xf>
    <xf numFmtId="0" fontId="14" fillId="0" borderId="134" xfId="49" applyBorder="1" applyAlignment="1">
      <alignment horizontal="center" vertical="center" wrapText="1"/>
    </xf>
    <xf numFmtId="0" fontId="14" fillId="0" borderId="120" xfId="49" applyBorder="1" applyAlignment="1">
      <alignment horizontal="center" vertical="center" wrapText="1"/>
    </xf>
    <xf numFmtId="0" fontId="61" fillId="0" borderId="128" xfId="49" applyFont="1" applyBorder="1" applyAlignment="1">
      <alignment horizontal="center" vertical="center" wrapText="1"/>
    </xf>
    <xf numFmtId="0" fontId="61" fillId="0" borderId="80" xfId="49" applyFont="1" applyBorder="1" applyAlignment="1">
      <alignment horizontal="center" vertical="center" wrapText="1"/>
    </xf>
    <xf numFmtId="0" fontId="61" fillId="0" borderId="105" xfId="49" applyFont="1" applyBorder="1" applyAlignment="1">
      <alignment horizontal="center" vertical="center" wrapText="1"/>
    </xf>
    <xf numFmtId="0" fontId="61" fillId="0" borderId="128" xfId="49" applyFont="1" applyBorder="1" applyAlignment="1">
      <alignment horizontal="center" vertical="center"/>
    </xf>
    <xf numFmtId="0" fontId="61" fillId="0" borderId="80" xfId="49" applyFont="1" applyBorder="1" applyAlignment="1">
      <alignment horizontal="center" vertical="center"/>
    </xf>
    <xf numFmtId="0" fontId="32" fillId="0" borderId="76" xfId="49" applyFont="1" applyBorder="1" applyAlignment="1">
      <alignment horizontal="center" vertical="center"/>
    </xf>
    <xf numFmtId="0" fontId="32" fillId="0" borderId="78" xfId="49" applyFont="1" applyBorder="1" applyAlignment="1">
      <alignment horizontal="center" vertical="center"/>
    </xf>
    <xf numFmtId="0" fontId="32" fillId="0" borderId="137" xfId="49" applyFont="1" applyBorder="1" applyAlignment="1">
      <alignment horizontal="center" vertical="center"/>
    </xf>
    <xf numFmtId="178" fontId="43" fillId="0" borderId="53" xfId="49" applyNumberFormat="1" applyFont="1" applyBorder="1" applyAlignment="1">
      <alignment horizontal="center" wrapText="1"/>
    </xf>
    <xf numFmtId="0" fontId="14" fillId="0" borderId="76" xfId="38" applyFont="1" applyBorder="1" applyAlignment="1">
      <alignment vertical="center" wrapText="1"/>
    </xf>
    <xf numFmtId="0" fontId="14" fillId="0" borderId="78" xfId="38" applyFont="1" applyBorder="1" applyAlignment="1">
      <alignment vertical="center" wrapText="1"/>
    </xf>
    <xf numFmtId="0" fontId="14" fillId="0" borderId="88" xfId="49" applyBorder="1" applyAlignment="1">
      <alignment horizontal="center" vertical="center" wrapText="1"/>
    </xf>
    <xf numFmtId="0" fontId="14" fillId="0" borderId="141" xfId="49" applyBorder="1" applyAlignment="1">
      <alignment horizontal="center" vertical="center" wrapText="1"/>
    </xf>
    <xf numFmtId="0" fontId="14" fillId="0" borderId="140" xfId="49" applyBorder="1" applyAlignment="1">
      <alignment horizontal="center" vertical="center" wrapText="1"/>
    </xf>
    <xf numFmtId="0" fontId="14" fillId="0" borderId="14" xfId="45" applyFont="1" applyBorder="1" applyAlignment="1">
      <alignment horizontal="center" vertical="center" wrapText="1"/>
    </xf>
    <xf numFmtId="0" fontId="14" fillId="0" borderId="9" xfId="45" applyFont="1" applyBorder="1" applyAlignment="1">
      <alignment horizontal="center" vertical="center" wrapText="1"/>
    </xf>
    <xf numFmtId="0" fontId="27" fillId="0" borderId="81" xfId="45" applyFont="1" applyBorder="1" applyAlignment="1">
      <alignment horizontal="center" vertical="center" wrapText="1"/>
    </xf>
    <xf numFmtId="0" fontId="27" fillId="0" borderId="26" xfId="45" applyFont="1" applyBorder="1" applyAlignment="1">
      <alignment horizontal="center" vertical="center" wrapText="1"/>
    </xf>
    <xf numFmtId="9" fontId="14" fillId="0" borderId="15" xfId="49" applyNumberFormat="1" applyFont="1" applyBorder="1" applyAlignment="1">
      <alignment horizontal="center" vertical="center" wrapText="1"/>
    </xf>
    <xf numFmtId="9" fontId="14" fillId="0" borderId="0" xfId="49" applyNumberFormat="1" applyFont="1" applyBorder="1" applyAlignment="1">
      <alignment horizontal="center" vertical="center" wrapText="1"/>
    </xf>
    <xf numFmtId="0" fontId="14" fillId="0" borderId="66" xfId="45" applyFont="1" applyBorder="1" applyAlignment="1">
      <alignment horizontal="center" vertical="center" wrapText="1"/>
    </xf>
    <xf numFmtId="0" fontId="14" fillId="0" borderId="25" xfId="45" applyFont="1" applyBorder="1" applyAlignment="1">
      <alignment horizontal="center" vertical="center" wrapText="1"/>
    </xf>
    <xf numFmtId="0" fontId="27" fillId="0" borderId="16" xfId="45" applyFont="1" applyBorder="1" applyAlignment="1">
      <alignment horizontal="center" vertical="center" wrapText="1"/>
    </xf>
    <xf numFmtId="0" fontId="27" fillId="0" borderId="17" xfId="45" applyFont="1" applyBorder="1" applyAlignment="1">
      <alignment horizontal="center" vertical="center" wrapText="1"/>
    </xf>
    <xf numFmtId="0" fontId="14" fillId="0" borderId="60" xfId="49" applyBorder="1" applyAlignment="1">
      <alignment horizontal="center" vertical="center" wrapText="1"/>
    </xf>
    <xf numFmtId="0" fontId="14" fillId="0" borderId="38" xfId="38" applyFont="1" applyBorder="1" applyAlignment="1">
      <alignment vertical="center" wrapText="1"/>
    </xf>
    <xf numFmtId="9" fontId="14" fillId="0" borderId="26" xfId="49" applyNumberFormat="1" applyFont="1" applyBorder="1" applyAlignment="1">
      <alignment horizontal="center" vertical="center" wrapText="1"/>
    </xf>
    <xf numFmtId="9" fontId="14" fillId="0" borderId="84" xfId="49" applyNumberFormat="1" applyFont="1" applyBorder="1" applyAlignment="1">
      <alignment horizontal="center" vertical="center" wrapText="1"/>
    </xf>
    <xf numFmtId="0" fontId="14" fillId="0" borderId="16" xfId="38" applyFont="1" applyFill="1" applyBorder="1" applyAlignment="1">
      <alignment horizontal="center" vertical="center" wrapText="1"/>
    </xf>
    <xf numFmtId="0" fontId="14" fillId="0" borderId="119" xfId="38" applyFont="1" applyFill="1" applyBorder="1" applyAlignment="1">
      <alignment horizontal="center" vertical="center" wrapText="1"/>
    </xf>
    <xf numFmtId="0" fontId="31" fillId="0" borderId="79" xfId="38" applyFont="1" applyFill="1" applyBorder="1" applyAlignment="1">
      <alignment horizontal="center" vertical="center" wrapText="1"/>
    </xf>
    <xf numFmtId="0" fontId="31" fillId="0" borderId="80" xfId="38" applyFont="1" applyFill="1" applyBorder="1" applyAlignment="1">
      <alignment horizontal="center" vertical="center" wrapText="1"/>
    </xf>
    <xf numFmtId="0" fontId="31" fillId="0" borderId="129" xfId="38" applyFont="1" applyFill="1" applyBorder="1" applyAlignment="1">
      <alignment horizontal="center" vertical="center" wrapText="1"/>
    </xf>
    <xf numFmtId="0" fontId="14" fillId="0" borderId="24" xfId="38" applyFont="1" applyBorder="1" applyAlignment="1">
      <alignment horizontal="center" vertical="center" wrapText="1"/>
    </xf>
    <xf numFmtId="0" fontId="14" fillId="0" borderId="12" xfId="38" applyFont="1" applyBorder="1" applyAlignment="1">
      <alignment horizontal="center" vertical="center" wrapText="1"/>
    </xf>
    <xf numFmtId="0" fontId="14" fillId="0" borderId="13" xfId="38" applyFont="1" applyBorder="1" applyAlignment="1">
      <alignment horizontal="center" vertical="center" wrapText="1"/>
    </xf>
    <xf numFmtId="0" fontId="32" fillId="0" borderId="76" xfId="38" applyFont="1" applyFill="1" applyBorder="1" applyAlignment="1">
      <alignment horizontal="center" vertical="center"/>
    </xf>
    <xf numFmtId="0" fontId="32" fillId="0" borderId="78" xfId="38" applyFont="1" applyFill="1" applyBorder="1" applyAlignment="1">
      <alignment horizontal="center" vertical="center"/>
    </xf>
    <xf numFmtId="0" fontId="32" fillId="0" borderId="137" xfId="38" applyFont="1" applyFill="1" applyBorder="1" applyAlignment="1">
      <alignment horizontal="center" vertical="center"/>
    </xf>
    <xf numFmtId="0" fontId="31" fillId="0" borderId="136" xfId="38" applyFont="1" applyFill="1" applyBorder="1" applyAlignment="1">
      <alignment horizontal="center" vertical="center" wrapText="1"/>
    </xf>
    <xf numFmtId="0" fontId="14" fillId="0" borderId="15" xfId="38" applyFont="1" applyBorder="1" applyAlignment="1">
      <alignment horizontal="center" vertical="center" wrapText="1"/>
    </xf>
    <xf numFmtId="0" fontId="14" fillId="0" borderId="10" xfId="38" applyFont="1" applyFill="1" applyBorder="1" applyAlignment="1">
      <alignment horizontal="center" vertical="center" wrapText="1"/>
    </xf>
    <xf numFmtId="0" fontId="14" fillId="0" borderId="14" xfId="38" applyFont="1" applyFill="1" applyBorder="1" applyAlignment="1">
      <alignment horizontal="center" vertical="center" wrapText="1"/>
    </xf>
    <xf numFmtId="0" fontId="14" fillId="0" borderId="9" xfId="38" applyFont="1" applyFill="1" applyBorder="1" applyAlignment="1">
      <alignment horizontal="center" vertical="center" wrapText="1"/>
    </xf>
    <xf numFmtId="0" fontId="60" fillId="0" borderId="16" xfId="38" applyFont="1" applyFill="1" applyBorder="1" applyAlignment="1">
      <alignment horizontal="center" vertical="center" wrapText="1"/>
    </xf>
    <xf numFmtId="0" fontId="60" fillId="0" borderId="17" xfId="38" applyFont="1" applyFill="1" applyBorder="1" applyAlignment="1">
      <alignment horizontal="center" vertical="center" wrapText="1"/>
    </xf>
    <xf numFmtId="0" fontId="31" fillId="0" borderId="14" xfId="38" applyFont="1" applyFill="1" applyBorder="1" applyAlignment="1">
      <alignment horizontal="center" vertical="center" wrapText="1"/>
    </xf>
    <xf numFmtId="0" fontId="31" fillId="0" borderId="24" xfId="38" applyFont="1" applyFill="1" applyBorder="1" applyAlignment="1">
      <alignment horizontal="center" vertical="center" wrapText="1"/>
    </xf>
    <xf numFmtId="0" fontId="35" fillId="0" borderId="15" xfId="38" applyFont="1" applyBorder="1" applyAlignment="1">
      <alignment horizontal="center" vertical="center" wrapText="1"/>
    </xf>
    <xf numFmtId="0" fontId="35" fillId="0" borderId="12" xfId="38" applyFont="1" applyBorder="1" applyAlignment="1">
      <alignment horizontal="center" vertical="center" wrapText="1"/>
    </xf>
    <xf numFmtId="0" fontId="14" fillId="0" borderId="83" xfId="49" applyFont="1" applyBorder="1" applyAlignment="1">
      <alignment horizontal="left" wrapText="1"/>
    </xf>
    <xf numFmtId="0" fontId="14" fillId="0" borderId="85" xfId="49" applyFont="1" applyBorder="1" applyAlignment="1">
      <alignment horizontal="left" wrapText="1"/>
    </xf>
    <xf numFmtId="0" fontId="14" fillId="0" borderId="84" xfId="49" applyFont="1" applyBorder="1" applyAlignment="1">
      <alignment horizontal="left" wrapText="1"/>
    </xf>
    <xf numFmtId="0" fontId="14" fillId="0" borderId="72" xfId="49" applyFont="1" applyBorder="1" applyAlignment="1">
      <alignment horizontal="left" wrapText="1"/>
    </xf>
    <xf numFmtId="0" fontId="14" fillId="0" borderId="74" xfId="49" applyFont="1" applyBorder="1" applyAlignment="1">
      <alignment horizontal="left" wrapText="1"/>
    </xf>
    <xf numFmtId="0" fontId="14" fillId="0" borderId="75" xfId="49" applyFont="1" applyBorder="1" applyAlignment="1">
      <alignment horizontal="left" wrapText="1"/>
    </xf>
    <xf numFmtId="2" fontId="14" fillId="0" borderId="83" xfId="49" applyNumberFormat="1" applyFont="1" applyBorder="1" applyAlignment="1">
      <alignment horizontal="center" vertical="center" wrapText="1"/>
    </xf>
    <xf numFmtId="2" fontId="14" fillId="0" borderId="84" xfId="49" applyNumberFormat="1" applyFont="1" applyBorder="1" applyAlignment="1">
      <alignment horizontal="center" vertical="center" wrapText="1"/>
    </xf>
    <xf numFmtId="0" fontId="28" fillId="0" borderId="15" xfId="49" applyFont="1" applyBorder="1" applyAlignment="1">
      <alignment horizontal="center" vertical="center" wrapText="1"/>
    </xf>
    <xf numFmtId="0" fontId="28" fillId="0" borderId="0" xfId="49" applyFont="1" applyBorder="1" applyAlignment="1">
      <alignment horizontal="center" vertical="center" wrapText="1"/>
    </xf>
    <xf numFmtId="0" fontId="28" fillId="0" borderId="12" xfId="49" applyFont="1" applyBorder="1" applyAlignment="1">
      <alignment horizontal="center" vertical="center" wrapText="1"/>
    </xf>
    <xf numFmtId="0" fontId="31" fillId="0" borderId="25" xfId="49" applyFont="1" applyBorder="1" applyAlignment="1">
      <alignment horizontal="center" vertical="center" wrapText="1"/>
    </xf>
    <xf numFmtId="0" fontId="14" fillId="0" borderId="86" xfId="49" applyFont="1" applyBorder="1" applyAlignment="1">
      <alignment horizontal="center" vertical="center" wrapText="1"/>
    </xf>
    <xf numFmtId="0" fontId="14" fillId="0" borderId="11" xfId="49" applyFont="1" applyBorder="1" applyAlignment="1">
      <alignment horizontal="center" vertical="center" wrapText="1"/>
    </xf>
    <xf numFmtId="0" fontId="14" fillId="0" borderId="15" xfId="49" applyFont="1" applyBorder="1" applyAlignment="1">
      <alignment horizontal="center" vertical="center" wrapText="1"/>
    </xf>
    <xf numFmtId="0" fontId="14" fillId="0" borderId="0" xfId="49" applyFont="1" applyBorder="1" applyAlignment="1">
      <alignment horizontal="center" vertical="center" wrapText="1"/>
    </xf>
    <xf numFmtId="0" fontId="14" fillId="0" borderId="12" xfId="49" applyFont="1" applyBorder="1" applyAlignment="1">
      <alignment horizontal="center" vertical="center" wrapText="1"/>
    </xf>
    <xf numFmtId="0" fontId="14" fillId="0" borderId="26" xfId="49" applyFont="1" applyBorder="1" applyAlignment="1">
      <alignment horizontal="center" vertical="center" wrapText="1"/>
    </xf>
    <xf numFmtId="0" fontId="14" fillId="0" borderId="9" xfId="49" applyFont="1" applyBorder="1" applyAlignment="1">
      <alignment horizontal="center" vertical="center" wrapText="1"/>
    </xf>
    <xf numFmtId="0" fontId="28" fillId="0" borderId="81" xfId="49" applyFont="1" applyBorder="1" applyAlignment="1">
      <alignment horizontal="center" vertical="center" wrapText="1"/>
    </xf>
    <xf numFmtId="0" fontId="28" fillId="0" borderId="26" xfId="49" applyFont="1" applyBorder="1" applyAlignment="1">
      <alignment horizontal="center" vertical="center" wrapText="1"/>
    </xf>
    <xf numFmtId="0" fontId="28" fillId="0" borderId="102" xfId="49" applyFont="1" applyBorder="1" applyAlignment="1">
      <alignment horizontal="center" vertical="center" wrapText="1"/>
    </xf>
    <xf numFmtId="0" fontId="60" fillId="0" borderId="15" xfId="38" applyFont="1" applyFill="1" applyBorder="1" applyAlignment="1">
      <alignment horizontal="center" vertical="center" wrapText="1"/>
    </xf>
    <xf numFmtId="0" fontId="60" fillId="0" borderId="0" xfId="38" applyFont="1" applyFill="1" applyBorder="1" applyAlignment="1">
      <alignment horizontal="center" vertical="center" wrapText="1"/>
    </xf>
    <xf numFmtId="0" fontId="31" fillId="0" borderId="15" xfId="38" applyFont="1" applyFill="1" applyBorder="1" applyAlignment="1">
      <alignment horizontal="center" vertical="center" wrapText="1"/>
    </xf>
    <xf numFmtId="0" fontId="31" fillId="0" borderId="12" xfId="38" applyFont="1" applyFill="1" applyBorder="1" applyAlignment="1">
      <alignment horizontal="center" vertical="center" wrapText="1"/>
    </xf>
    <xf numFmtId="0" fontId="14" fillId="0" borderId="16" xfId="38" applyFont="1" applyBorder="1" applyAlignment="1">
      <alignment horizontal="center" vertical="center" wrapText="1"/>
    </xf>
    <xf numFmtId="0" fontId="14" fillId="0" borderId="119" xfId="38" applyFont="1" applyBorder="1" applyAlignment="1">
      <alignment horizontal="center" vertical="center" wrapText="1"/>
    </xf>
    <xf numFmtId="0" fontId="14" fillId="0" borderId="24" xfId="38" applyFont="1" applyFill="1" applyBorder="1" applyAlignment="1">
      <alignment horizontal="center" vertical="center" wrapText="1"/>
    </xf>
    <xf numFmtId="0" fontId="14" fillId="0" borderId="17" xfId="38" applyFont="1" applyFill="1" applyBorder="1" applyAlignment="1">
      <alignment horizontal="center" vertical="center" wrapText="1"/>
    </xf>
    <xf numFmtId="0" fontId="14" fillId="0" borderId="12" xfId="38" applyFont="1" applyFill="1" applyBorder="1" applyAlignment="1">
      <alignment horizontal="center" vertical="center" wrapText="1"/>
    </xf>
    <xf numFmtId="0" fontId="14" fillId="0" borderId="15" xfId="38" applyFont="1" applyFill="1" applyBorder="1" applyAlignment="1">
      <alignment horizontal="center" vertical="center" wrapText="1"/>
    </xf>
    <xf numFmtId="0" fontId="14" fillId="0" borderId="0" xfId="38" applyFont="1" applyFill="1" applyBorder="1" applyAlignment="1">
      <alignment horizontal="center" vertical="center" wrapText="1"/>
    </xf>
    <xf numFmtId="0" fontId="31" fillId="0" borderId="79" xfId="38" applyFont="1" applyFill="1" applyBorder="1" applyAlignment="1">
      <alignment horizontal="center" vertical="center"/>
    </xf>
    <xf numFmtId="0" fontId="31" fillId="0" borderId="80" xfId="38" applyFont="1" applyFill="1" applyBorder="1" applyAlignment="1">
      <alignment horizontal="center" vertical="center"/>
    </xf>
    <xf numFmtId="0" fontId="31" fillId="0" borderId="136" xfId="38" applyFont="1" applyFill="1" applyBorder="1" applyAlignment="1">
      <alignment horizontal="center" vertical="center"/>
    </xf>
    <xf numFmtId="0" fontId="14" fillId="0" borderId="86" xfId="38" applyFont="1" applyFill="1" applyBorder="1" applyAlignment="1">
      <alignment horizontal="center" vertical="center" wrapText="1"/>
    </xf>
    <xf numFmtId="0" fontId="14" fillId="0" borderId="11" xfId="38" applyFont="1" applyFill="1" applyBorder="1" applyAlignment="1">
      <alignment horizontal="center" vertical="center" wrapText="1"/>
    </xf>
    <xf numFmtId="0" fontId="14" fillId="0" borderId="13" xfId="38" applyFont="1" applyFill="1" applyBorder="1" applyAlignment="1">
      <alignment horizontal="center" vertical="center" wrapText="1"/>
    </xf>
    <xf numFmtId="0" fontId="14" fillId="0" borderId="79" xfId="38" applyFont="1" applyFill="1" applyBorder="1" applyAlignment="1">
      <alignment horizontal="center" vertical="center" wrapText="1"/>
    </xf>
    <xf numFmtId="0" fontId="14" fillId="0" borderId="80" xfId="38" applyFont="1" applyFill="1" applyBorder="1" applyAlignment="1">
      <alignment horizontal="center" vertical="center" wrapText="1"/>
    </xf>
    <xf numFmtId="0" fontId="14" fillId="0" borderId="136" xfId="38" applyFont="1" applyFill="1" applyBorder="1" applyAlignment="1">
      <alignment horizontal="center" vertical="center" wrapText="1"/>
    </xf>
    <xf numFmtId="0" fontId="48" fillId="0" borderId="15" xfId="38" applyFont="1" applyFill="1" applyBorder="1" applyAlignment="1">
      <alignment horizontal="center" vertical="center" wrapText="1"/>
    </xf>
    <xf numFmtId="0" fontId="48" fillId="0" borderId="0" xfId="38" applyFont="1" applyFill="1" applyBorder="1" applyAlignment="1">
      <alignment horizontal="center" vertical="center" wrapText="1"/>
    </xf>
    <xf numFmtId="0" fontId="48" fillId="0" borderId="12" xfId="38" applyFont="1" applyFill="1" applyBorder="1" applyAlignment="1">
      <alignment horizontal="center" vertical="center" wrapText="1"/>
    </xf>
    <xf numFmtId="9" fontId="14" fillId="0" borderId="20" xfId="52" applyFont="1" applyFill="1" applyBorder="1" applyAlignment="1">
      <alignment horizontal="center" vertical="center" wrapText="1"/>
    </xf>
    <xf numFmtId="9" fontId="14" fillId="0" borderId="21" xfId="52" applyFont="1" applyFill="1" applyBorder="1" applyAlignment="1">
      <alignment horizontal="center" vertical="center" wrapText="1"/>
    </xf>
    <xf numFmtId="9" fontId="14" fillId="0" borderId="0" xfId="52" applyFont="1" applyFill="1" applyBorder="1" applyAlignment="1">
      <alignment horizontal="center" vertical="center" wrapText="1"/>
    </xf>
    <xf numFmtId="9" fontId="14" fillId="0" borderId="17" xfId="52" applyFont="1" applyFill="1" applyBorder="1" applyAlignment="1">
      <alignment horizontal="center" vertical="center" wrapText="1"/>
    </xf>
    <xf numFmtId="9" fontId="14" fillId="0" borderId="32" xfId="52" applyFont="1" applyFill="1" applyBorder="1" applyAlignment="1">
      <alignment horizontal="center"/>
    </xf>
    <xf numFmtId="9" fontId="14" fillId="0" borderId="33" xfId="52" applyFont="1" applyFill="1" applyBorder="1" applyAlignment="1">
      <alignment horizontal="center"/>
    </xf>
    <xf numFmtId="9" fontId="14" fillId="0" borderId="0" xfId="38" applyNumberFormat="1" applyFont="1" applyFill="1" applyBorder="1" applyAlignment="1">
      <alignment horizontal="center"/>
    </xf>
    <xf numFmtId="9" fontId="14" fillId="0" borderId="17" xfId="38" applyNumberFormat="1" applyFont="1" applyFill="1" applyBorder="1" applyAlignment="1">
      <alignment horizontal="center"/>
    </xf>
    <xf numFmtId="9" fontId="14" fillId="0" borderId="32" xfId="52" applyFont="1" applyFill="1" applyBorder="1" applyAlignment="1">
      <alignment horizontal="center" vertical="center" wrapText="1"/>
    </xf>
    <xf numFmtId="9" fontId="14" fillId="0" borderId="33" xfId="52" applyFont="1" applyFill="1" applyBorder="1" applyAlignment="1">
      <alignment horizontal="center" vertical="center" wrapText="1"/>
    </xf>
    <xf numFmtId="0" fontId="31" fillId="0" borderId="129" xfId="38" applyFont="1" applyFill="1" applyBorder="1" applyAlignment="1">
      <alignment horizontal="center" vertical="center"/>
    </xf>
    <xf numFmtId="9" fontId="14" fillId="0" borderId="20" xfId="38" applyNumberFormat="1" applyFont="1" applyFill="1" applyBorder="1" applyAlignment="1">
      <alignment horizontal="center"/>
    </xf>
    <xf numFmtId="9" fontId="14" fillId="0" borderId="21" xfId="38" applyNumberFormat="1" applyFont="1" applyFill="1" applyBorder="1" applyAlignment="1">
      <alignment horizontal="center"/>
    </xf>
    <xf numFmtId="0" fontId="14" fillId="0" borderId="14" xfId="38" applyNumberFormat="1" applyFont="1" applyFill="1" applyBorder="1" applyAlignment="1" applyProtection="1">
      <alignment horizontal="left" vertical="center" wrapText="1"/>
    </xf>
    <xf numFmtId="0" fontId="14" fillId="0" borderId="15" xfId="38" applyNumberFormat="1" applyFont="1" applyFill="1" applyBorder="1" applyAlignment="1" applyProtection="1">
      <alignment horizontal="left" vertical="center" wrapText="1"/>
    </xf>
    <xf numFmtId="0" fontId="14" fillId="0" borderId="16" xfId="38" applyNumberFormat="1" applyFont="1" applyFill="1" applyBorder="1" applyAlignment="1" applyProtection="1">
      <alignment horizontal="left" vertical="center" wrapText="1"/>
    </xf>
    <xf numFmtId="0" fontId="14" fillId="0" borderId="9" xfId="38" applyNumberFormat="1" applyFont="1" applyFill="1" applyBorder="1" applyAlignment="1" applyProtection="1">
      <alignment horizontal="left" vertical="center" wrapText="1"/>
    </xf>
    <xf numFmtId="0" fontId="14" fillId="0" borderId="0" xfId="38" applyNumberFormat="1" applyFont="1" applyFill="1" applyBorder="1" applyAlignment="1" applyProtection="1">
      <alignment horizontal="left" vertical="center" wrapText="1"/>
    </xf>
    <xf numFmtId="0" fontId="14" fillId="0" borderId="17" xfId="38" applyNumberFormat="1" applyFont="1" applyFill="1" applyBorder="1" applyAlignment="1" applyProtection="1">
      <alignment horizontal="left" vertical="center" wrapText="1"/>
    </xf>
    <xf numFmtId="0" fontId="14" fillId="0" borderId="24" xfId="38" applyNumberFormat="1" applyFont="1" applyFill="1" applyBorder="1" applyAlignment="1" applyProtection="1">
      <alignment horizontal="left" vertical="center" wrapText="1"/>
    </xf>
    <xf numFmtId="0" fontId="14" fillId="0" borderId="12" xfId="38" applyNumberFormat="1" applyFont="1" applyFill="1" applyBorder="1" applyAlignment="1" applyProtection="1">
      <alignment horizontal="left" vertical="center" wrapText="1"/>
    </xf>
    <xf numFmtId="0" fontId="14" fillId="0" borderId="119" xfId="38" applyNumberFormat="1" applyFont="1" applyFill="1" applyBorder="1" applyAlignment="1" applyProtection="1">
      <alignment horizontal="left" vertical="center" wrapText="1"/>
    </xf>
    <xf numFmtId="0" fontId="31" fillId="0" borderId="40" xfId="38" applyFont="1" applyFill="1" applyBorder="1" applyAlignment="1">
      <alignment horizontal="center" vertical="center" wrapText="1"/>
    </xf>
    <xf numFmtId="0" fontId="31" fillId="0" borderId="42" xfId="38" applyFont="1" applyFill="1" applyBorder="1" applyAlignment="1">
      <alignment horizontal="center" vertical="center" wrapText="1"/>
    </xf>
    <xf numFmtId="0" fontId="31" fillId="0" borderId="135" xfId="38" applyFont="1" applyFill="1" applyBorder="1" applyAlignment="1">
      <alignment horizontal="center" vertical="center" wrapText="1"/>
    </xf>
    <xf numFmtId="0" fontId="31" fillId="0" borderId="16" xfId="38" applyFont="1" applyFill="1" applyBorder="1" applyAlignment="1">
      <alignment horizontal="center" vertical="center" wrapText="1"/>
    </xf>
    <xf numFmtId="0" fontId="31" fillId="0" borderId="119" xfId="38" applyFont="1" applyFill="1" applyBorder="1" applyAlignment="1">
      <alignment horizontal="center" vertical="center" wrapText="1"/>
    </xf>
    <xf numFmtId="0" fontId="14" fillId="0" borderId="120" xfId="38" applyFill="1" applyBorder="1" applyAlignment="1">
      <alignment horizontal="center" vertical="center" wrapText="1"/>
    </xf>
    <xf numFmtId="0" fontId="39" fillId="0" borderId="14" xfId="38" applyFont="1" applyFill="1" applyBorder="1" applyAlignment="1">
      <alignment horizontal="center" vertical="center" wrapText="1"/>
    </xf>
    <xf numFmtId="0" fontId="39" fillId="0" borderId="9" xfId="38" applyFont="1" applyFill="1" applyBorder="1" applyAlignment="1">
      <alignment horizontal="center" vertical="center" wrapText="1"/>
    </xf>
    <xf numFmtId="0" fontId="39" fillId="0" borderId="24" xfId="38" applyFont="1" applyFill="1" applyBorder="1" applyAlignment="1">
      <alignment horizontal="center" vertical="center" wrapText="1"/>
    </xf>
    <xf numFmtId="0" fontId="31" fillId="0" borderId="17" xfId="38" applyFont="1" applyFill="1" applyBorder="1" applyAlignment="1">
      <alignment horizontal="center" vertical="center" wrapText="1"/>
    </xf>
    <xf numFmtId="0" fontId="39" fillId="0" borderId="90" xfId="38" applyFont="1" applyFill="1" applyBorder="1" applyAlignment="1">
      <alignment horizontal="center" vertical="center" wrapText="1"/>
    </xf>
    <xf numFmtId="0" fontId="39" fillId="0" borderId="91" xfId="38" applyFont="1" applyFill="1" applyBorder="1" applyAlignment="1">
      <alignment horizontal="center" vertical="center" wrapText="1"/>
    </xf>
    <xf numFmtId="0" fontId="39" fillId="0" borderId="133" xfId="38" applyFont="1" applyFill="1" applyBorder="1" applyAlignment="1">
      <alignment horizontal="center" vertical="center" wrapText="1"/>
    </xf>
    <xf numFmtId="0" fontId="14" fillId="0" borderId="80" xfId="38" applyFill="1" applyBorder="1" applyAlignment="1">
      <alignment horizontal="center" vertical="center" wrapText="1"/>
    </xf>
    <xf numFmtId="0" fontId="14" fillId="0" borderId="129" xfId="38" applyFill="1" applyBorder="1" applyAlignment="1">
      <alignment horizontal="center" vertical="center" wrapText="1"/>
    </xf>
    <xf numFmtId="0" fontId="14" fillId="0" borderId="138" xfId="38" applyFill="1" applyBorder="1" applyAlignment="1">
      <alignment horizontal="center" vertical="center" wrapText="1"/>
    </xf>
    <xf numFmtId="0" fontId="14" fillId="0" borderId="12" xfId="38" applyFill="1" applyBorder="1" applyAlignment="1">
      <alignment horizontal="center" vertical="center" wrapText="1"/>
    </xf>
    <xf numFmtId="0" fontId="14" fillId="0" borderId="13" xfId="38" applyFill="1" applyBorder="1" applyAlignment="1">
      <alignment horizontal="center" vertical="center" wrapText="1"/>
    </xf>
    <xf numFmtId="0" fontId="32" fillId="0" borderId="76" xfId="38" applyFont="1" applyBorder="1" applyAlignment="1">
      <alignment horizontal="center" vertical="center"/>
    </xf>
    <xf numFmtId="0" fontId="32" fillId="0" borderId="78" xfId="38" applyFont="1" applyBorder="1" applyAlignment="1">
      <alignment horizontal="center" vertical="center"/>
    </xf>
    <xf numFmtId="0" fontId="32" fillId="0" borderId="137" xfId="38" applyFont="1" applyBorder="1" applyAlignment="1">
      <alignment horizontal="center" vertical="center"/>
    </xf>
    <xf numFmtId="0" fontId="14" fillId="0" borderId="88" xfId="38" applyNumberFormat="1" applyFont="1" applyBorder="1" applyAlignment="1">
      <alignment horizontal="center" vertical="center" wrapText="1"/>
    </xf>
    <xf numFmtId="0" fontId="14" fillId="0" borderId="141" xfId="38" applyNumberFormat="1" applyFont="1" applyBorder="1" applyAlignment="1">
      <alignment horizontal="center" vertical="center" wrapText="1"/>
    </xf>
    <xf numFmtId="0" fontId="14" fillId="0" borderId="14" xfId="38" applyBorder="1" applyAlignment="1">
      <alignment horizontal="left" vertical="center" wrapText="1"/>
    </xf>
    <xf numFmtId="0" fontId="14" fillId="0" borderId="15" xfId="38" applyBorder="1" applyAlignment="1">
      <alignment horizontal="left" vertical="center" wrapText="1"/>
    </xf>
    <xf numFmtId="0" fontId="14" fillId="0" borderId="16" xfId="38" applyBorder="1" applyAlignment="1">
      <alignment horizontal="left" vertical="center" wrapText="1"/>
    </xf>
    <xf numFmtId="0" fontId="14" fillId="0" borderId="24" xfId="38" applyBorder="1" applyAlignment="1">
      <alignment horizontal="left" vertical="center" wrapText="1"/>
    </xf>
    <xf numFmtId="0" fontId="14" fillId="0" borderId="12" xfId="38" applyBorder="1" applyAlignment="1">
      <alignment horizontal="left" vertical="center" wrapText="1"/>
    </xf>
    <xf numFmtId="0" fontId="14" fillId="0" borderId="119" xfId="38" applyBorder="1" applyAlignment="1">
      <alignment horizontal="left" vertical="center" wrapText="1"/>
    </xf>
    <xf numFmtId="0" fontId="14" fillId="0" borderId="10" xfId="49" applyBorder="1" applyAlignment="1">
      <alignment horizontal="center" vertical="center" wrapText="1"/>
    </xf>
    <xf numFmtId="191" fontId="39" fillId="0" borderId="142" xfId="49" applyNumberFormat="1" applyFont="1" applyBorder="1" applyAlignment="1">
      <alignment horizontal="center" vertical="center" wrapText="1"/>
    </xf>
    <xf numFmtId="191" fontId="39" fillId="0" borderId="143" xfId="49" applyNumberFormat="1" applyFont="1" applyBorder="1" applyAlignment="1">
      <alignment horizontal="center" vertical="center" wrapText="1"/>
    </xf>
    <xf numFmtId="191" fontId="39" fillId="0" borderId="144" xfId="49" applyNumberFormat="1" applyFont="1" applyBorder="1" applyAlignment="1">
      <alignment horizontal="center" vertical="center" wrapText="1"/>
    </xf>
    <xf numFmtId="191" fontId="39" fillId="0" borderId="114" xfId="49" applyNumberFormat="1" applyFont="1" applyBorder="1" applyAlignment="1">
      <alignment horizontal="center" vertical="center"/>
    </xf>
    <xf numFmtId="191" fontId="39" fillId="0" borderId="74" xfId="49" applyNumberFormat="1" applyFont="1" applyBorder="1" applyAlignment="1">
      <alignment horizontal="center" vertical="center"/>
    </xf>
    <xf numFmtId="191" fontId="39" fillId="0" borderId="87" xfId="49" applyNumberFormat="1" applyFont="1" applyBorder="1" applyAlignment="1">
      <alignment horizontal="center" vertical="center"/>
    </xf>
    <xf numFmtId="0" fontId="74" fillId="0" borderId="86" xfId="49" applyFont="1" applyBorder="1" applyAlignment="1">
      <alignment horizontal="center" vertical="center" wrapText="1"/>
    </xf>
    <xf numFmtId="0" fontId="74" fillId="0" borderId="11" xfId="49" applyFont="1" applyBorder="1" applyAlignment="1">
      <alignment horizontal="center" vertical="center" wrapText="1"/>
    </xf>
    <xf numFmtId="0" fontId="35" fillId="0" borderId="81" xfId="49" applyFont="1" applyBorder="1" applyAlignment="1">
      <alignment horizontal="center" vertical="center" wrapText="1"/>
    </xf>
    <xf numFmtId="0" fontId="35" fillId="0" borderId="26" xfId="49" applyFont="1" applyBorder="1" applyAlignment="1">
      <alignment horizontal="center" vertical="center" wrapText="1"/>
    </xf>
    <xf numFmtId="0" fontId="45" fillId="0" borderId="14" xfId="38" applyFont="1" applyFill="1" applyBorder="1" applyAlignment="1">
      <alignment horizontal="center" vertical="center" wrapText="1"/>
    </xf>
    <xf numFmtId="0" fontId="45" fillId="0" borderId="9" xfId="38" applyFont="1" applyFill="1" applyBorder="1" applyAlignment="1">
      <alignment horizontal="center" vertical="center" wrapText="1"/>
    </xf>
    <xf numFmtId="0" fontId="45" fillId="0" borderId="24" xfId="38" applyFont="1" applyFill="1" applyBorder="1" applyAlignment="1">
      <alignment horizontal="center" vertical="center" wrapText="1"/>
    </xf>
    <xf numFmtId="0" fontId="45" fillId="0" borderId="16" xfId="38" applyFont="1" applyFill="1" applyBorder="1" applyAlignment="1">
      <alignment horizontal="center" vertical="center" wrapText="1"/>
    </xf>
    <xf numFmtId="0" fontId="45" fillId="0" borderId="17" xfId="38" applyFont="1" applyFill="1" applyBorder="1" applyAlignment="1">
      <alignment horizontal="center" vertical="center" wrapText="1"/>
    </xf>
    <xf numFmtId="0" fontId="45" fillId="0" borderId="119" xfId="38" applyFont="1" applyFill="1" applyBorder="1" applyAlignment="1">
      <alignment horizontal="center" vertical="center" wrapText="1"/>
    </xf>
    <xf numFmtId="0" fontId="50" fillId="0" borderId="16" xfId="38" applyFont="1" applyFill="1" applyBorder="1" applyAlignment="1">
      <alignment horizontal="center" vertical="center" wrapText="1"/>
    </xf>
    <xf numFmtId="0" fontId="50" fillId="0" borderId="119" xfId="38" applyFont="1" applyFill="1" applyBorder="1" applyAlignment="1">
      <alignment horizontal="center" vertical="center" wrapText="1"/>
    </xf>
    <xf numFmtId="0" fontId="25" fillId="0" borderId="90" xfId="38" applyFont="1" applyFill="1" applyBorder="1" applyAlignment="1">
      <alignment horizontal="center" vertical="center" wrapText="1"/>
    </xf>
    <xf numFmtId="0" fontId="25" fillId="0" borderId="91" xfId="38" applyFont="1" applyFill="1" applyBorder="1" applyAlignment="1">
      <alignment horizontal="center" vertical="center" wrapText="1"/>
    </xf>
    <xf numFmtId="0" fontId="25" fillId="0" borderId="133" xfId="38" applyFont="1" applyFill="1" applyBorder="1" applyAlignment="1">
      <alignment horizontal="center" vertical="center" wrapText="1"/>
    </xf>
    <xf numFmtId="0" fontId="14" fillId="0" borderId="120" xfId="38" applyFont="1" applyFill="1" applyBorder="1" applyAlignment="1">
      <alignment horizontal="center" vertical="center" wrapText="1"/>
    </xf>
    <xf numFmtId="0" fontId="14" fillId="0" borderId="63" xfId="49" applyFont="1" applyBorder="1" applyAlignment="1">
      <alignment horizontal="center" vertical="center" wrapText="1"/>
    </xf>
    <xf numFmtId="0" fontId="14" fillId="0" borderId="52" xfId="49" applyFont="1" applyBorder="1" applyAlignment="1">
      <alignment horizontal="center" vertical="center" wrapText="1"/>
    </xf>
    <xf numFmtId="0" fontId="43" fillId="0" borderId="139" xfId="49" applyFont="1" applyBorder="1" applyAlignment="1">
      <alignment horizontal="center" vertical="center" wrapText="1"/>
    </xf>
    <xf numFmtId="0" fontId="31" fillId="0" borderId="64" xfId="49" applyFont="1" applyBorder="1" applyAlignment="1">
      <alignment horizontal="center" vertical="center" wrapText="1"/>
    </xf>
    <xf numFmtId="0" fontId="31" fillId="0" borderId="134" xfId="49" applyFont="1" applyBorder="1" applyAlignment="1">
      <alignment horizontal="center" vertical="center" wrapText="1"/>
    </xf>
    <xf numFmtId="0" fontId="31" fillId="0" borderId="46" xfId="49" applyFont="1" applyBorder="1" applyAlignment="1">
      <alignment horizontal="center" vertical="center" wrapText="1"/>
    </xf>
    <xf numFmtId="0" fontId="31" fillId="0" borderId="132" xfId="49" applyFont="1" applyBorder="1" applyAlignment="1">
      <alignment horizontal="center" vertical="center" wrapText="1"/>
    </xf>
    <xf numFmtId="0" fontId="49" fillId="0" borderId="15" xfId="49" applyFont="1" applyBorder="1" applyAlignment="1">
      <alignment horizontal="center" vertical="center" wrapText="1"/>
    </xf>
    <xf numFmtId="0" fontId="49" fillId="0" borderId="12" xfId="49" applyFont="1" applyBorder="1" applyAlignment="1">
      <alignment horizontal="center" vertical="center" wrapText="1"/>
    </xf>
    <xf numFmtId="0" fontId="31" fillId="0" borderId="79" xfId="49" applyFont="1" applyBorder="1" applyAlignment="1">
      <alignment horizontal="center"/>
    </xf>
    <xf numFmtId="0" fontId="31" fillId="0" borderId="80" xfId="49" applyFont="1" applyBorder="1" applyAlignment="1">
      <alignment horizontal="center"/>
    </xf>
    <xf numFmtId="0" fontId="31" fillId="0" borderId="128" xfId="49" applyFont="1" applyBorder="1" applyAlignment="1">
      <alignment horizontal="center"/>
    </xf>
    <xf numFmtId="0" fontId="31" fillId="0" borderId="129" xfId="49" applyFont="1" applyBorder="1" applyAlignment="1">
      <alignment horizontal="center"/>
    </xf>
    <xf numFmtId="0" fontId="31" fillId="0" borderId="79" xfId="49" applyFont="1" applyBorder="1" applyAlignment="1">
      <alignment horizontal="center" vertical="center" wrapText="1"/>
    </xf>
    <xf numFmtId="0" fontId="31" fillId="0" borderId="80" xfId="49" applyFont="1" applyBorder="1" applyAlignment="1">
      <alignment horizontal="center" vertical="center" wrapText="1"/>
    </xf>
    <xf numFmtId="0" fontId="31" fillId="0" borderId="129" xfId="49" applyFont="1" applyBorder="1" applyAlignment="1">
      <alignment horizontal="center" vertical="center" wrapText="1"/>
    </xf>
    <xf numFmtId="0" fontId="14" fillId="0" borderId="128" xfId="49" applyBorder="1" applyAlignment="1">
      <alignment horizontal="center" vertical="center" wrapText="1"/>
    </xf>
    <xf numFmtId="0" fontId="14" fillId="0" borderId="105" xfId="49" applyBorder="1" applyAlignment="1">
      <alignment horizontal="center" vertical="center" wrapText="1"/>
    </xf>
    <xf numFmtId="0" fontId="49" fillId="0" borderId="145" xfId="49" applyFont="1" applyBorder="1" applyAlignment="1">
      <alignment horizontal="center" vertical="center" wrapText="1"/>
    </xf>
    <xf numFmtId="0" fontId="49" fillId="0" borderId="146" xfId="49" applyFont="1" applyBorder="1" applyAlignment="1">
      <alignment horizontal="center" vertical="center" wrapText="1"/>
    </xf>
    <xf numFmtId="0" fontId="49" fillId="0" borderId="63" xfId="49" applyFont="1" applyBorder="1" applyAlignment="1">
      <alignment horizontal="center" vertical="center" wrapText="1"/>
    </xf>
    <xf numFmtId="0" fontId="49" fillId="0" borderId="52" xfId="49" applyFont="1" applyBorder="1" applyAlignment="1">
      <alignment horizontal="center" vertical="center" wrapText="1"/>
    </xf>
    <xf numFmtId="0" fontId="14" fillId="0" borderId="14" xfId="49" applyBorder="1" applyAlignment="1">
      <alignment horizontal="center" vertical="center" wrapText="1"/>
    </xf>
    <xf numFmtId="0" fontId="14" fillId="0" borderId="15" xfId="49" applyBorder="1" applyAlignment="1">
      <alignment horizontal="center" vertical="center" wrapText="1"/>
    </xf>
    <xf numFmtId="0" fontId="14" fillId="0" borderId="86" xfId="49" applyBorder="1" applyAlignment="1">
      <alignment horizontal="center" vertical="center" wrapText="1"/>
    </xf>
    <xf numFmtId="0" fontId="14" fillId="0" borderId="9" xfId="49" applyBorder="1" applyAlignment="1">
      <alignment horizontal="center" vertical="center" wrapText="1"/>
    </xf>
    <xf numFmtId="0" fontId="14" fillId="0" borderId="0" xfId="49" applyBorder="1" applyAlignment="1">
      <alignment horizontal="center" vertical="center" wrapText="1"/>
    </xf>
    <xf numFmtId="0" fontId="14" fillId="0" borderId="11" xfId="49" applyBorder="1" applyAlignment="1">
      <alignment horizontal="center" vertical="center" wrapText="1"/>
    </xf>
    <xf numFmtId="0" fontId="14" fillId="0" borderId="24" xfId="49" applyBorder="1" applyAlignment="1">
      <alignment horizontal="center" vertical="center" wrapText="1"/>
    </xf>
    <xf numFmtId="0" fontId="14" fillId="0" borderId="12" xfId="49" applyBorder="1" applyAlignment="1">
      <alignment horizontal="center" vertical="center" wrapText="1"/>
    </xf>
    <xf numFmtId="0" fontId="14" fillId="0" borderId="13" xfId="49" applyBorder="1" applyAlignment="1">
      <alignment horizontal="center" vertical="center" wrapText="1"/>
    </xf>
    <xf numFmtId="0" fontId="14" fillId="0" borderId="16" xfId="49" applyBorder="1" applyAlignment="1">
      <alignment horizontal="center" vertical="center" wrapText="1"/>
    </xf>
    <xf numFmtId="0" fontId="14" fillId="0" borderId="17" xfId="49" applyBorder="1" applyAlignment="1">
      <alignment horizontal="center" vertical="center" wrapText="1"/>
    </xf>
    <xf numFmtId="0" fontId="14" fillId="0" borderId="119" xfId="49" applyBorder="1" applyAlignment="1">
      <alignment horizontal="center" vertical="center" wrapText="1"/>
    </xf>
    <xf numFmtId="0" fontId="14" fillId="0" borderId="83" xfId="49" applyFont="1" applyBorder="1" applyAlignment="1">
      <alignment horizontal="left" vertical="center" wrapText="1"/>
    </xf>
    <xf numFmtId="0" fontId="14" fillId="0" borderId="85" xfId="49" applyFont="1" applyBorder="1" applyAlignment="1">
      <alignment horizontal="left" vertical="center" wrapText="1"/>
    </xf>
    <xf numFmtId="0" fontId="14" fillId="0" borderId="84" xfId="49" applyFont="1" applyBorder="1" applyAlignment="1">
      <alignment horizontal="left" vertical="center" wrapText="1"/>
    </xf>
    <xf numFmtId="0" fontId="14" fillId="0" borderId="72" xfId="49" applyFont="1" applyBorder="1" applyAlignment="1">
      <alignment horizontal="left" vertical="center" wrapText="1"/>
    </xf>
    <xf numFmtId="0" fontId="14" fillId="0" borderId="74" xfId="49" applyFont="1" applyBorder="1" applyAlignment="1">
      <alignment horizontal="left" vertical="center" wrapText="1"/>
    </xf>
    <xf numFmtId="0" fontId="14" fillId="0" borderId="75" xfId="49" applyFont="1" applyBorder="1" applyAlignment="1">
      <alignment horizontal="left" vertical="center" wrapText="1"/>
    </xf>
    <xf numFmtId="0" fontId="61" fillId="0" borderId="129" xfId="49" applyFont="1" applyBorder="1" applyAlignment="1">
      <alignment horizontal="center" vertical="center" wrapText="1"/>
    </xf>
    <xf numFmtId="0" fontId="43" fillId="0" borderId="10" xfId="49" applyFont="1" applyBorder="1" applyAlignment="1">
      <alignment horizontal="center" vertical="center" wrapText="1"/>
    </xf>
    <xf numFmtId="0" fontId="14" fillId="0" borderId="80" xfId="49" applyFont="1" applyBorder="1" applyAlignment="1">
      <alignment horizontal="center" vertical="center"/>
    </xf>
    <xf numFmtId="0" fontId="14" fillId="0" borderId="129" xfId="49" applyFont="1" applyBorder="1" applyAlignment="1">
      <alignment horizontal="center" vertical="center"/>
    </xf>
    <xf numFmtId="0" fontId="31" fillId="0" borderId="105" xfId="49" applyFont="1" applyBorder="1" applyAlignment="1">
      <alignment horizontal="center" vertical="center" wrapText="1"/>
    </xf>
    <xf numFmtId="0" fontId="14" fillId="0" borderId="79" xfId="49" applyFont="1" applyBorder="1" applyAlignment="1">
      <alignment horizontal="center" vertical="center" wrapText="1"/>
    </xf>
    <xf numFmtId="0" fontId="14" fillId="0" borderId="80" xfId="49" applyFont="1" applyBorder="1" applyAlignment="1">
      <alignment horizontal="center" vertical="center" wrapText="1"/>
    </xf>
    <xf numFmtId="0" fontId="14" fillId="0" borderId="129" xfId="49" applyFont="1" applyBorder="1" applyAlignment="1">
      <alignment horizontal="center" vertical="center" wrapText="1"/>
    </xf>
    <xf numFmtId="1" fontId="28" fillId="0" borderId="0" xfId="49" applyNumberFormat="1" applyFont="1" applyBorder="1" applyAlignment="1">
      <alignment horizontal="center"/>
    </xf>
    <xf numFmtId="0" fontId="74" fillId="0" borderId="15" xfId="49" applyFont="1" applyBorder="1" applyAlignment="1">
      <alignment horizontal="center" vertical="center" wrapText="1"/>
    </xf>
    <xf numFmtId="0" fontId="74" fillId="0" borderId="12" xfId="49" applyFont="1" applyBorder="1" applyAlignment="1">
      <alignment horizontal="center" vertical="center" wrapText="1"/>
    </xf>
    <xf numFmtId="0" fontId="74" fillId="0" borderId="13" xfId="49" applyFont="1" applyBorder="1" applyAlignment="1">
      <alignment horizontal="center" vertical="center" wrapText="1"/>
    </xf>
    <xf numFmtId="0" fontId="14" fillId="0" borderId="25" xfId="49" applyFont="1" applyBorder="1" applyAlignment="1">
      <alignment horizontal="left" wrapText="1"/>
    </xf>
    <xf numFmtId="0" fontId="14" fillId="0" borderId="0" xfId="49" applyFont="1" applyBorder="1" applyAlignment="1">
      <alignment horizontal="left" wrapText="1"/>
    </xf>
    <xf numFmtId="0" fontId="14" fillId="0" borderId="26" xfId="49" applyFont="1" applyBorder="1" applyAlignment="1">
      <alignment horizontal="left" wrapText="1"/>
    </xf>
    <xf numFmtId="0" fontId="61" fillId="0" borderId="14" xfId="49" applyFont="1" applyBorder="1" applyAlignment="1">
      <alignment horizontal="center" vertical="center" wrapText="1"/>
    </xf>
    <xf numFmtId="0" fontId="61" fillId="0" borderId="15" xfId="49" applyFont="1" applyBorder="1" applyAlignment="1">
      <alignment horizontal="center" vertical="center" wrapText="1"/>
    </xf>
    <xf numFmtId="0" fontId="61" fillId="0" borderId="86" xfId="49" applyFont="1" applyBorder="1" applyAlignment="1">
      <alignment horizontal="center" vertical="center" wrapText="1"/>
    </xf>
    <xf numFmtId="0" fontId="32" fillId="0" borderId="76" xfId="38" applyFont="1" applyBorder="1" applyAlignment="1">
      <alignment horizontal="center" vertical="center" wrapText="1"/>
    </xf>
    <xf numFmtId="0" fontId="32" fillId="0" borderId="78" xfId="38" applyFont="1" applyBorder="1" applyAlignment="1">
      <alignment horizontal="center" vertical="center" wrapText="1"/>
    </xf>
    <xf numFmtId="0" fontId="32" fillId="0" borderId="137" xfId="38" applyFont="1" applyBorder="1" applyAlignment="1">
      <alignment horizontal="center" vertical="center" wrapText="1"/>
    </xf>
    <xf numFmtId="0" fontId="14" fillId="0" borderId="120" xfId="38" applyBorder="1" applyAlignment="1">
      <alignment horizontal="center" vertical="center" wrapText="1"/>
    </xf>
    <xf numFmtId="0" fontId="31" fillId="0" borderId="79" xfId="38" applyFont="1" applyBorder="1" applyAlignment="1">
      <alignment horizontal="center" vertical="center"/>
    </xf>
    <xf numFmtId="0" fontId="31" fillId="0" borderId="80" xfId="38" applyFont="1" applyBorder="1" applyAlignment="1">
      <alignment horizontal="center" vertical="center"/>
    </xf>
    <xf numFmtId="0" fontId="31" fillId="0" borderId="129" xfId="38" applyFont="1" applyBorder="1" applyAlignment="1">
      <alignment horizontal="center" vertical="center"/>
    </xf>
    <xf numFmtId="0" fontId="60" fillId="0" borderId="40" xfId="38" applyFont="1" applyBorder="1" applyAlignment="1">
      <alignment horizontal="center" vertical="center" wrapText="1"/>
    </xf>
    <xf numFmtId="0" fontId="60" fillId="0" borderId="135" xfId="38" applyFont="1" applyBorder="1" applyAlignment="1">
      <alignment horizontal="center" vertical="center" wrapText="1"/>
    </xf>
    <xf numFmtId="0" fontId="60" fillId="0" borderId="90" xfId="38" applyFont="1" applyBorder="1" applyAlignment="1">
      <alignment horizontal="center" vertical="center" wrapText="1"/>
    </xf>
    <xf numFmtId="0" fontId="60" fillId="0" borderId="133" xfId="38" applyFont="1" applyBorder="1" applyAlignment="1">
      <alignment horizontal="center" vertical="center" wrapText="1"/>
    </xf>
    <xf numFmtId="0" fontId="31" fillId="0" borderId="9" xfId="49" applyFont="1" applyBorder="1" applyAlignment="1">
      <alignment horizontal="left" vertical="center"/>
    </xf>
    <xf numFmtId="0" fontId="31" fillId="0" borderId="0" xfId="49" applyFont="1" applyBorder="1" applyAlignment="1">
      <alignment horizontal="left" vertical="center"/>
    </xf>
    <xf numFmtId="0" fontId="31" fillId="0" borderId="17" xfId="49" applyFont="1" applyBorder="1" applyAlignment="1">
      <alignment horizontal="left" vertical="center"/>
    </xf>
    <xf numFmtId="0" fontId="31" fillId="0" borderId="9" xfId="49" applyFont="1" applyBorder="1" applyAlignment="1">
      <alignment horizontal="left"/>
    </xf>
    <xf numFmtId="0" fontId="31" fillId="0" borderId="0" xfId="49" applyFont="1" applyBorder="1" applyAlignment="1">
      <alignment horizontal="left"/>
    </xf>
    <xf numFmtId="0" fontId="31" fillId="0" borderId="17" xfId="49" applyFont="1" applyBorder="1" applyAlignment="1">
      <alignment horizontal="left"/>
    </xf>
    <xf numFmtId="0" fontId="31" fillId="0" borderId="9" xfId="49" applyFont="1" applyBorder="1" applyAlignment="1">
      <alignment horizontal="left" wrapText="1"/>
    </xf>
    <xf numFmtId="0" fontId="31" fillId="0" borderId="0" xfId="49" applyFont="1" applyBorder="1" applyAlignment="1">
      <alignment horizontal="left" wrapText="1"/>
    </xf>
    <xf numFmtId="0" fontId="31" fillId="0" borderId="17" xfId="49" applyFont="1" applyBorder="1" applyAlignment="1">
      <alignment horizontal="left" wrapText="1"/>
    </xf>
    <xf numFmtId="0" fontId="31" fillId="0" borderId="9" xfId="49" applyFont="1" applyBorder="1" applyAlignment="1"/>
    <xf numFmtId="0" fontId="31" fillId="0" borderId="0" xfId="49" applyFont="1" applyBorder="1" applyAlignment="1"/>
    <xf numFmtId="0" fontId="14" fillId="0" borderId="0" xfId="49" applyBorder="1" applyAlignment="1">
      <alignment horizontal="left"/>
    </xf>
    <xf numFmtId="0" fontId="14" fillId="0" borderId="17" xfId="49" applyBorder="1" applyAlignment="1">
      <alignment horizontal="left"/>
    </xf>
    <xf numFmtId="0" fontId="14" fillId="0" borderId="0" xfId="49" applyBorder="1" applyAlignment="1"/>
    <xf numFmtId="0" fontId="31" fillId="0" borderId="0" xfId="49" applyFont="1" applyAlignment="1">
      <alignment horizontal="left"/>
    </xf>
    <xf numFmtId="0" fontId="31" fillId="0" borderId="99" xfId="49" applyFont="1" applyBorder="1" applyAlignment="1">
      <alignment horizontal="left"/>
    </xf>
    <xf numFmtId="0" fontId="31" fillId="0" borderId="100" xfId="49" applyFont="1" applyBorder="1" applyAlignment="1">
      <alignment horizontal="left"/>
    </xf>
    <xf numFmtId="0" fontId="31" fillId="0" borderId="99" xfId="49" applyFont="1" applyBorder="1" applyAlignment="1"/>
    <xf numFmtId="0" fontId="31" fillId="0" borderId="17" xfId="49" applyFont="1" applyBorder="1" applyAlignment="1"/>
    <xf numFmtId="0" fontId="14" fillId="0" borderId="0" xfId="49" applyFont="1" applyBorder="1" applyAlignment="1">
      <alignment horizontal="center"/>
    </xf>
    <xf numFmtId="0" fontId="14" fillId="0" borderId="0" xfId="0" applyFont="1" applyAlignment="1">
      <alignment horizontal="center"/>
    </xf>
    <xf numFmtId="175" fontId="14" fillId="0" borderId="0" xfId="49" applyNumberFormat="1" applyFont="1" applyBorder="1" applyAlignment="1">
      <alignment horizontal="center"/>
    </xf>
    <xf numFmtId="175" fontId="14" fillId="0" borderId="12" xfId="49" applyNumberFormat="1" applyFont="1" applyBorder="1" applyAlignment="1">
      <alignment horizontal="center"/>
    </xf>
    <xf numFmtId="3" fontId="14" fillId="0" borderId="0" xfId="49" applyNumberFormat="1" applyFont="1" applyBorder="1" applyAlignment="1">
      <alignment horizontal="center"/>
    </xf>
    <xf numFmtId="172" fontId="31" fillId="0" borderId="9" xfId="52" applyNumberFormat="1" applyFont="1" applyBorder="1" applyAlignment="1">
      <alignment horizontal="left" wrapText="1"/>
    </xf>
    <xf numFmtId="172" fontId="31" fillId="0" borderId="0" xfId="52" applyNumberFormat="1" applyFont="1" applyBorder="1" applyAlignment="1">
      <alignment horizontal="left" wrapText="1"/>
    </xf>
    <xf numFmtId="0" fontId="43" fillId="0" borderId="0" xfId="49" applyFont="1" applyBorder="1" applyAlignment="1">
      <alignment horizontal="center" vertical="center" wrapText="1"/>
    </xf>
  </cellXfs>
  <cellStyles count="61">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Calculation" xfId="20"/>
    <cellStyle name="Check Cell" xfId="21"/>
    <cellStyle name="Date" xfId="22"/>
    <cellStyle name="En-tête 1" xfId="23"/>
    <cellStyle name="En-tête 2" xfId="24"/>
    <cellStyle name="Explanatory Text" xfId="25"/>
    <cellStyle name="Financier0" xfId="26"/>
    <cellStyle name="Good" xfId="27"/>
    <cellStyle name="Heading 1" xfId="28"/>
    <cellStyle name="Heading 2" xfId="29"/>
    <cellStyle name="Heading 3" xfId="30"/>
    <cellStyle name="Heading 4" xfId="31"/>
    <cellStyle name="Input" xfId="32"/>
    <cellStyle name="Lien hypertexte" xfId="33" builtinId="8"/>
    <cellStyle name="Linked Cell" xfId="34"/>
    <cellStyle name="Monétaire0" xfId="35"/>
    <cellStyle name="Motif" xfId="36"/>
    <cellStyle name="Neutral" xfId="37"/>
    <cellStyle name="Normal" xfId="0" builtinId="0"/>
    <cellStyle name="Normal 2" xfId="38"/>
    <cellStyle name="Normal 2 2" xfId="39"/>
    <cellStyle name="Normal 2 3" xfId="40"/>
    <cellStyle name="Normal 2_AccumulationEquation" xfId="41"/>
    <cellStyle name="Normal 2_AccumulationEquation 2" xfId="42"/>
    <cellStyle name="Normal 3" xfId="43"/>
    <cellStyle name="Normal 4" xfId="44"/>
    <cellStyle name="Normal_AccumulationEquation" xfId="45"/>
    <cellStyle name="Normal_DataUK" xfId="46"/>
    <cellStyle name="Normal_DataUK1" xfId="47"/>
    <cellStyle name="Normal_DataUK2" xfId="48"/>
    <cellStyle name="Normal_France" xfId="49"/>
    <cellStyle name="Note" xfId="50"/>
    <cellStyle name="Output" xfId="51"/>
    <cellStyle name="Pourcentage" xfId="52" builtinId="5"/>
    <cellStyle name="Pourcentage 2" xfId="53"/>
    <cellStyle name="Pourcentage 3" xfId="54"/>
    <cellStyle name="Pourcentage 4" xfId="55"/>
    <cellStyle name="Standard_2 + 3" xfId="56"/>
    <cellStyle name="style_col_headings" xfId="57"/>
    <cellStyle name="Title" xfId="58"/>
    <cellStyle name="Virgule fixe" xfId="59"/>
    <cellStyle name="Warning Text" xfId="6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externalLink" Target="externalLinks/externalLink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externalLink" Target="externalLinks/externalLink2.xml"/><Relationship Id="rId38" Type="http://schemas.openxmlformats.org/officeDocument/2006/relationships/externalLink" Target="externalLinks/externalLink3.xml"/><Relationship Id="rId39" Type="http://schemas.openxmlformats.org/officeDocument/2006/relationships/theme" Target="theme/theme1.xml"/><Relationship Id="rId40" Type="http://schemas.openxmlformats.org/officeDocument/2006/relationships/styles" Target="styles.xml"/><Relationship Id="rId41" Type="http://schemas.openxmlformats.org/officeDocument/2006/relationships/sharedStrings" Target="sharedStrings.xml"/><Relationship Id="rId4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r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ermany.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TableUS1"/>
      <sheetName val="TableUS2"/>
      <sheetName val="TableUS3"/>
      <sheetName val="TableUS3b"/>
      <sheetName val="TableUS3c"/>
      <sheetName val="TableUS3d"/>
      <sheetName val="TableUS4a"/>
      <sheetName val="TableUS4b"/>
      <sheetName val="TableUS4c"/>
      <sheetName val="TableUS4d"/>
      <sheetName val="TableUS4e"/>
      <sheetName val="TableUS4f"/>
      <sheetName val="TableUS4g"/>
      <sheetName val="TableUS5a"/>
      <sheetName val="TableUS5b"/>
      <sheetName val="TableUS5c"/>
      <sheetName val="TableUS6a"/>
      <sheetName val="TableUS6b"/>
      <sheetName val="TableUS6c"/>
      <sheetName val="TableUS6d"/>
      <sheetName val="TableUS6e"/>
      <sheetName val="TableUS6f"/>
      <sheetName val="TableUS8"/>
      <sheetName val="TableUS9"/>
      <sheetName val="TableUS10"/>
      <sheetName val="TableUS11"/>
      <sheetName val="TableUS12"/>
      <sheetName val="TableUS12b"/>
      <sheetName val="TableUS12c"/>
      <sheetName val="TableUS13"/>
      <sheetName val="TableUS14a"/>
      <sheetName val="TableUS14b"/>
      <sheetName val="TableUS14c"/>
      <sheetName val="TableUS14d"/>
      <sheetName val="TableUS14e"/>
      <sheetName val="TableUS14f"/>
      <sheetName val="TableUS14g"/>
      <sheetName val="TableUS14h"/>
      <sheetName val="TableUS14i"/>
      <sheetName val="TableUS14j"/>
      <sheetName val="TableUS14k"/>
      <sheetName val="TableUS14l"/>
      <sheetName val="TableUS14m"/>
      <sheetName val="TableUS14n"/>
      <sheetName val="TableUS14o"/>
      <sheetName val="TableUS14p"/>
      <sheetName val="TableUS14q"/>
      <sheetName val="TableUS14r"/>
      <sheetName val="TableUS14s"/>
      <sheetName val="TableUS14t"/>
      <sheetName val="TableUS14u"/>
      <sheetName val="TableUS14v"/>
      <sheetName val="TableUS14w"/>
      <sheetName val="TableUS15a"/>
      <sheetName val="TableUS15b"/>
      <sheetName val="DataUS1"/>
      <sheetName val="DataUS2"/>
    </sheetNames>
    <sheetDataSet>
      <sheetData sheetId="0" refreshError="1"/>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dex"/>
      <sheetName val="Table FR.1"/>
      <sheetName val="Table FR.2"/>
      <sheetName val="Table FR.3"/>
      <sheetName val="Table FR.3b"/>
      <sheetName val="Table FR.3c"/>
      <sheetName val="Table FR.4a"/>
      <sheetName val="Table FR.4b"/>
      <sheetName val="Table FR.4c"/>
      <sheetName val="Table FR.4d"/>
      <sheetName val="Table FR.4e"/>
      <sheetName val="Table FR.4f"/>
      <sheetName val="Table FR.5a"/>
      <sheetName val="Table FR.5b"/>
      <sheetName val="Table FR.5c"/>
      <sheetName val="Table FR.5d"/>
      <sheetName val="Table FR.6a"/>
      <sheetName val="Table FR.6b"/>
      <sheetName val="Table FR.6c"/>
      <sheetName val="Table FR.6d"/>
      <sheetName val="Table FR.6e"/>
      <sheetName val="Table FR.6f"/>
      <sheetName val="Table FR.7"/>
      <sheetName val="Table FR.8"/>
      <sheetName val="Table FR.8b"/>
      <sheetName val="Table FR.9"/>
      <sheetName val="Table FR.10"/>
      <sheetName val="Table FR.11a"/>
      <sheetName val="Table FR.11b"/>
      <sheetName val="Table FR.12"/>
      <sheetName val="Table FR.12b"/>
      <sheetName val="Table FR.12c"/>
      <sheetName val="Table FR.13"/>
      <sheetName val="Table FR.14a"/>
      <sheetName val="Table FR.14b"/>
      <sheetName val="Table FR.14c"/>
      <sheetName val="Table FR.14d"/>
      <sheetName val="Table FR.14e"/>
      <sheetName val="Table FR.15a"/>
      <sheetName val="Table FR.15b"/>
      <sheetName val="Table FR.15c"/>
      <sheetName val="DataFR1"/>
      <sheetName val="DataFR2"/>
      <sheetName val="Summary"/>
      <sheetName val="TableFR1"/>
      <sheetName val="TableFR2"/>
      <sheetName val="TableFR3"/>
      <sheetName val="TableFR6d"/>
      <sheetName val="TableFR6dold"/>
      <sheetName val="TableFR4a"/>
      <sheetName val="TableFR4b"/>
      <sheetName val="TableFR4c"/>
      <sheetName val="TableFR4d"/>
      <sheetName val="TableFR4e"/>
      <sheetName val="TableFR4f"/>
      <sheetName val="TableFR5a"/>
      <sheetName val="TableFR5b"/>
      <sheetName val="TableFR5d"/>
      <sheetName val="TableFR6a"/>
      <sheetName val="TableFR6b"/>
      <sheetName val="TableFR6c"/>
      <sheetName val="TableFR7a"/>
      <sheetName val="TableFR7b"/>
      <sheetName val="TableFR7d"/>
      <sheetName val="TableFR9z"/>
      <sheetName val="TableFR8z"/>
      <sheetName val="TableFR9"/>
      <sheetName val="TableFR10"/>
      <sheetName val="TableFR11a"/>
      <sheetName val="TableFR11b"/>
      <sheetName val="TableFR12"/>
      <sheetName val="TableFR13"/>
      <sheetName val="TableFR14a"/>
      <sheetName val="TableFR14b"/>
      <sheetName val="TableFR14c"/>
      <sheetName val="TableFR14d"/>
      <sheetName val="TableFR14e"/>
      <sheetName val="TableFR15a"/>
      <sheetName val="TableFR15b"/>
      <sheetName val="TableFR15c"/>
      <sheetName val="TableFR3b"/>
      <sheetName val="TableFR3c"/>
      <sheetName val="TableFR5c"/>
      <sheetName val="TableFR6e"/>
      <sheetName val="TableFR6f"/>
      <sheetName val="TableFR7"/>
      <sheetName val="TableFR8"/>
      <sheetName val="TableFR12b"/>
      <sheetName val="TableFR12c"/>
      <sheetName val="Ind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tabColor theme="1"/>
  </sheetPr>
  <dimension ref="A1:M51"/>
  <sheetViews>
    <sheetView tabSelected="1" workbookViewId="0">
      <pane xSplit="1" ySplit="7" topLeftCell="B8" activePane="bottomRight" state="frozen"/>
      <selection pane="topRight" activeCell="B1" sqref="B1"/>
      <selection pane="bottomLeft" activeCell="A8" sqref="A8"/>
      <selection pane="bottomRight" activeCell="B7" sqref="B7"/>
    </sheetView>
  </sheetViews>
  <sheetFormatPr baseColWidth="10" defaultColWidth="0" defaultRowHeight="15" zeroHeight="1" x14ac:dyDescent="0"/>
  <cols>
    <col min="1" max="1" width="12.1640625" style="1804" customWidth="1"/>
    <col min="2" max="2" width="117.1640625" style="1804" customWidth="1"/>
    <col min="3" max="3" width="12.1640625" style="1804" customWidth="1"/>
    <col min="4" max="7" width="0" style="1804" hidden="1"/>
    <col min="8" max="16384" width="10.83203125" style="1804" hidden="1"/>
  </cols>
  <sheetData>
    <row r="1" spans="2:13"/>
    <row r="2" spans="2:13" ht="28">
      <c r="B2" s="1895" t="s">
        <v>1414</v>
      </c>
      <c r="D2" s="1806"/>
      <c r="E2" s="1806"/>
      <c r="F2" s="1806"/>
      <c r="G2" s="1806"/>
      <c r="H2" s="1806"/>
      <c r="I2" s="1806"/>
      <c r="J2" s="1806"/>
      <c r="K2" s="1806"/>
      <c r="L2" s="1806"/>
      <c r="M2" s="1806"/>
    </row>
    <row r="3" spans="2:13" ht="18">
      <c r="B3" s="1813" t="s">
        <v>1451</v>
      </c>
      <c r="C3" s="2016"/>
      <c r="D3" s="1806"/>
      <c r="E3" s="1806"/>
      <c r="F3" s="1806"/>
      <c r="G3" s="1806"/>
      <c r="H3" s="1806"/>
      <c r="I3" s="1806"/>
      <c r="J3" s="1806"/>
      <c r="K3" s="1806"/>
      <c r="L3" s="1806"/>
      <c r="M3" s="1806"/>
    </row>
    <row r="4" spans="2:13">
      <c r="B4" s="1815"/>
    </row>
    <row r="5" spans="2:13">
      <c r="B5" s="1815"/>
    </row>
    <row r="6" spans="2:13" ht="23">
      <c r="B6" s="1816" t="s">
        <v>1415</v>
      </c>
      <c r="C6" s="1805"/>
      <c r="D6" s="1805"/>
      <c r="E6" s="1805"/>
      <c r="F6" s="1805"/>
      <c r="G6" s="1805"/>
      <c r="H6" s="1805"/>
      <c r="I6" s="1805"/>
      <c r="J6" s="1805"/>
      <c r="K6" s="1805"/>
      <c r="L6" s="1805"/>
      <c r="M6" s="1805"/>
    </row>
    <row r="7" spans="2:13" ht="23" customHeight="1" thickBot="1">
      <c r="B7" s="2143" t="s">
        <v>1521</v>
      </c>
      <c r="C7" s="1805"/>
      <c r="D7" s="1805"/>
      <c r="E7" s="1805"/>
      <c r="F7" s="1805"/>
      <c r="G7" s="1805"/>
      <c r="H7" s="1805"/>
      <c r="I7" s="1805"/>
      <c r="J7" s="1805"/>
      <c r="K7" s="1805"/>
      <c r="L7" s="1805"/>
      <c r="M7" s="1805"/>
    </row>
    <row r="8" spans="2:13" ht="23" customHeight="1" thickTop="1">
      <c r="B8" s="2144"/>
      <c r="C8" s="1805"/>
      <c r="D8" s="1805"/>
      <c r="E8" s="1805"/>
      <c r="F8" s="1805"/>
      <c r="G8" s="1805"/>
      <c r="H8" s="1805"/>
      <c r="I8" s="1805"/>
      <c r="J8" s="1805"/>
      <c r="K8" s="1805"/>
      <c r="L8" s="1805"/>
      <c r="M8" s="1805"/>
    </row>
    <row r="9" spans="2:13" ht="30" customHeight="1">
      <c r="B9" s="1803" t="s">
        <v>1095</v>
      </c>
    </row>
    <row r="10" spans="2:13">
      <c r="B10" s="1807" t="str">
        <f>TableUK1!A4</f>
        <v>Table UK.1: National income and private wealth in the UK, 1855-2010 (annual series)</v>
      </c>
    </row>
    <row r="11" spans="2:13">
      <c r="B11" s="1807" t="str">
        <f>TableUK2!A4</f>
        <v>Table UK.2: National income and private wealth in the U.K., 1700-2010 (decennial estimates)</v>
      </c>
    </row>
    <row r="12" spans="2:13">
      <c r="B12" s="1808" t="str">
        <f>TableUK3!A4</f>
        <v xml:space="preserve">Table UK.3: Economic growth, population growth and price deflators in the UK, 1700-2010 </v>
      </c>
    </row>
    <row r="13" spans="2:13" s="1814" customFormat="1" ht="30" customHeight="1">
      <c r="B13" s="1809" t="s">
        <v>1484</v>
      </c>
    </row>
    <row r="14" spans="2:13">
      <c r="B14" s="1810" t="str">
        <f>TableUK4a!A3</f>
        <v>Table UK.4a: Sources of private wealth accumulation in the UK, 1700-2010 - Additive decomposition</v>
      </c>
    </row>
    <row r="15" spans="2:13">
      <c r="B15" s="1810" t="str">
        <f>TableUK4b!A4</f>
        <v>Table UK.4b: Sources of private wealth accumulation in the UK, 1700-2010 - Multiplicative decomposition</v>
      </c>
    </row>
    <row r="16" spans="2:13">
      <c r="B16" s="1810" t="str">
        <f>TableUK4c!A4</f>
        <v>Table UK.4c: Sources of national wealth accumulation in the UK, 1700-2010 - Additive decomposition</v>
      </c>
    </row>
    <row r="17" spans="2:2">
      <c r="B17" s="1810" t="str">
        <f>TableUK4d!A3</f>
        <v>Table UK.4d: Sources of national wealth accumulation in the UK, 1700-2010 - Multiplicative decomposition</v>
      </c>
    </row>
    <row r="18" spans="2:2">
      <c r="B18" s="1810" t="str">
        <f>TableUK4e!A4</f>
        <v>Table UK.4e: Sources of government wealth accumulation in the UK, 1700-2010 - Additive decomposition</v>
      </c>
    </row>
    <row r="19" spans="2:2">
      <c r="B19" s="1810" t="str">
        <f>TableUK4f!A4</f>
        <v>Table UK.4f: Sources of foreign wealth accumulation in the UK, 1700-2010 - Additive decomposition</v>
      </c>
    </row>
    <row r="20" spans="2:2">
      <c r="B20" s="1810" t="str">
        <f>TableUK5a!A4</f>
        <v>Table UK.5a: Accumulation equation for private wealth in the UK, 1855-2010 (annual series)</v>
      </c>
    </row>
    <row r="21" spans="2:2">
      <c r="B21" s="1810" t="str">
        <f>TableUK5b!A4</f>
        <v>Table UK.5b: Accumulation equation for national wealth in the UK, 1855-2010 (annual series)</v>
      </c>
    </row>
    <row r="22" spans="2:2">
      <c r="B22" s="1810" t="str">
        <f>TableUK5c!A4</f>
        <v>Table UK.5c: Structure and accumulation of government wealth in the UK, 1855-2010 (annual series)</v>
      </c>
    </row>
    <row r="23" spans="2:2">
      <c r="B23" s="1810" t="str">
        <f>TableUK5d!A4</f>
        <v>Table UK.5d: Accumulation equation for private and national wealth in the UK, 1700-1913 (decennial estimates)</v>
      </c>
    </row>
    <row r="24" spans="2:2">
      <c r="B24" s="1810" t="str">
        <f>TableUK5e!A4</f>
        <v>Table UK.5e: Structure and accumulation of government wealth in the U.K., 1700-2010 (decennial estimates)</v>
      </c>
    </row>
    <row r="25" spans="2:2" ht="30" customHeight="1">
      <c r="B25" s="1811" t="s">
        <v>1096</v>
      </c>
    </row>
    <row r="26" spans="2:2">
      <c r="B26" s="1812" t="str">
        <f>TableUK6a!A3</f>
        <v>Table UK.6a: Structure of national wealth in the UK, 1855-2010: private wealth vs government wealth</v>
      </c>
    </row>
    <row r="27" spans="2:2">
      <c r="B27" s="1812" t="str">
        <f>TableUK6b!A3</f>
        <v>Table UK.6b : Structure of national wealth in the UK, 1970-2010: net corporate wealth and net foreign asset position</v>
      </c>
    </row>
    <row r="28" spans="2:2">
      <c r="B28" s="1812" t="str">
        <f>TableUK6c!A3</f>
        <v>Table UK.6c: Composition of private wealth in the U.K., 1970-2010, % of national income</v>
      </c>
    </row>
    <row r="29" spans="2:2">
      <c r="B29" s="1812" t="str">
        <f>TableUK6d!A3</f>
        <v>Table UK.6d: Composition of private wealth in the U.K., 1970-2010, % of private wealth</v>
      </c>
    </row>
    <row r="30" spans="2:2">
      <c r="B30" s="1812" t="str">
        <f>TableUK6e!A4</f>
        <v>Table UK.6e: The structure of national wealth in the U.K., 1700-2010 (decenial averages)</v>
      </c>
    </row>
    <row r="31" spans="2:2">
      <c r="B31" s="1812" t="str">
        <f>TableUK6f!A4</f>
        <v>Table UK.6f: The changing nature of national wealth in the UK, 1700-2010</v>
      </c>
    </row>
    <row r="32" spans="2:2">
      <c r="B32" s="1812" t="str">
        <f>TableUK6g!A3</f>
        <v>Table UK.6g: Structure of national wealth in the UK, 1929-2010: net public-sector corporate wealth and corrected national wealth</v>
      </c>
    </row>
    <row r="33" spans="1:2">
      <c r="B33" s="1812" t="str">
        <f>TableUK7!A3</f>
        <v>Table UK.7: Balance sheet of the Bank of England, 1810-2010</v>
      </c>
    </row>
    <row r="34" spans="1:2" ht="30" customHeight="1">
      <c r="B34" s="1821" t="s">
        <v>1097</v>
      </c>
    </row>
    <row r="35" spans="1:2">
      <c r="B35" s="1822" t="str">
        <f>TableUK8!A5</f>
        <v>Table UK.8: Structure of national income in the UK, 1855-2010: national income vs gross domestic product</v>
      </c>
    </row>
    <row r="36" spans="1:2">
      <c r="B36" s="1822" t="str">
        <f>TableUK9!A4</f>
        <v>Table UK.9: Structure of national income in the UK, 1855-2010: decomposition by production sectors</v>
      </c>
    </row>
    <row r="37" spans="1:2">
      <c r="B37" s="1822" t="str">
        <f>TableUK10!A4</f>
        <v>Table UK.10: Structure of national income in the UK, 1855-2010: profits &amp; wages in the corporate sector</v>
      </c>
    </row>
    <row r="38" spans="1:2">
      <c r="B38" s="1822" t="str">
        <f>TableUK11a!A4</f>
        <v>Table UK.11a: Structure of national income in the UK, 1855-2010: capital &amp; labor shares in national income</v>
      </c>
    </row>
    <row r="39" spans="1:2">
      <c r="B39" s="1822" t="str">
        <f>TableUK12b!A3</f>
        <v>Table UK.12b: Structure of national income in the UK, 1700-2010: savings, investment and external balance</v>
      </c>
    </row>
    <row r="40" spans="1:2">
      <c r="B40" s="1822" t="str">
        <f>TableUK12c!A4</f>
        <v>Table UK.12c: Structure of national income in the UK, 1700-2010: private vs government savings</v>
      </c>
    </row>
    <row r="41" spans="1:2">
      <c r="B41" s="1822" t="str">
        <f>TableUK12d!A4</f>
        <v>Table UK.12d: Structure of national income in the UK, 1700-2010: private vs government investment</v>
      </c>
    </row>
    <row r="42" spans="1:2" ht="30" customHeight="1">
      <c r="B42" s="1893" t="s">
        <v>1450</v>
      </c>
    </row>
    <row r="43" spans="1:2" ht="16" thickBot="1">
      <c r="B43" s="1894" t="str">
        <f>TableUK15a!A4</f>
        <v>Table UK.15a: Price and return indexes in the UK, 1700-2010 (annual series)</v>
      </c>
    </row>
    <row r="44" spans="1:2" ht="16" thickTop="1"/>
    <row r="45" spans="1:2"/>
    <row r="46" spans="1:2"/>
    <row r="47" spans="1:2"/>
    <row r="48" spans="1:2">
      <c r="A48" s="2141"/>
      <c r="B48" s="2142"/>
    </row>
    <row r="49" hidden="1"/>
    <row r="50" hidden="1"/>
    <row r="51" hidden="1"/>
  </sheetData>
  <phoneticPr fontId="24" type="noConversion"/>
  <hyperlinks>
    <hyperlink ref="B10" location="TableUK1!A1" display="TableUK1!A1"/>
    <hyperlink ref="B11" location="TableUK2!A1" display="TableUK2!A1"/>
    <hyperlink ref="B12" location="TableUK3!A1" display="TableUK3!A1"/>
    <hyperlink ref="B26" location="TableUK6a!A1" display="TableUK6a!A1"/>
    <hyperlink ref="B27" location="TableUK6b!A1" display="Table UK.6b : Structure of national wealth in the UK, 1970-2010: net corporate wealth and net foreign asset position"/>
    <hyperlink ref="B28" location="TableUK6c!A1" display="TableUK6c!A1"/>
    <hyperlink ref="B29" location="TableUK6d!A1" display="TableUK6d!A1"/>
    <hyperlink ref="B35" location="TableUK8!A1" display="Table UK.8: Structure of national income in the UK, 1855-2010: national income vs gross domestic product"/>
    <hyperlink ref="B36" location="TableUK9!A1" display="TableUK9!A1"/>
    <hyperlink ref="B37" location="TableUK10!A1" display="TableUK10!A1"/>
    <hyperlink ref="B38" location="TableUK11a!A1" display="TableUK11a!A1"/>
    <hyperlink ref="B14" location="TableUK4a!A1" display="TableUK4a!A1"/>
    <hyperlink ref="B15" location="TableUK4b!A1" display="TableUK4b!A1"/>
    <hyperlink ref="B16" location="TableUK4c!A1" display="TableUK4c!A1"/>
    <hyperlink ref="B17" location="TableUK4d!A1" display="TableUK4d!A1"/>
    <hyperlink ref="B18" location="TableUK4e!A1" display="TableUK4e!A1"/>
    <hyperlink ref="B19" location="TableUK4f!A1" display="TableUK4f!A1"/>
    <hyperlink ref="B20" location="TableUK5a!A1" display="TableUK5a!A1"/>
    <hyperlink ref="B21" location="TableUK5b!A1" display="TableUK5b!A1"/>
    <hyperlink ref="B22" location="TableUK5c!A1" display="TableUK5c!A1"/>
    <hyperlink ref="B23" location="TableUK5d!A1" display="TableUK5d!A1"/>
    <hyperlink ref="B30" location="TableUK6e!A1" display="Table UK.6e: The structure of national wealth in the U.K., 1870-2010 (decenial averages)"/>
    <hyperlink ref="B31" location="TableUK6f!A1" display="Table UK.6f: The changing nature of national wealth in the UK, 1700-2010"/>
    <hyperlink ref="B33" location="TableUK7!A1" display="TableUK7!A1"/>
    <hyperlink ref="B39" location="TableUK12b!A1" display="Table UK.12b: Structure of national income in the UK, 1855-2010: savings, investment and external balance"/>
    <hyperlink ref="B40" location="TableUK12c!A1" display="Table UK.12c: Structure of national income in the UK, 1855-2010: private vs government savings"/>
    <hyperlink ref="B32" location="TableUK6g!A1" display="Table UK.6g: Structure of national wealth in the UK, 1957-2010: net public-sector corporate wealth and corrected national wealth"/>
    <hyperlink ref="B41" location="TableUK12d!A1" display="TableUK12d!A1"/>
    <hyperlink ref="B24" location="TableUK5e!A1" display="TableUK5e!A1"/>
    <hyperlink ref="B43" location="TableUK15a!A1" display="TableUK15a!A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enableFormatConditionsCalculation="0">
    <tabColor theme="5" tint="0.59999389629810485"/>
    <pageSetUpPr fitToPage="1"/>
  </sheetPr>
  <dimension ref="A1:Q225"/>
  <sheetViews>
    <sheetView workbookViewId="0">
      <pane xSplit="1" ySplit="8" topLeftCell="B9" activePane="bottomRight" state="frozen"/>
      <selection activeCell="B1" sqref="B1:C1"/>
      <selection pane="topRight" activeCell="B1" sqref="B1:C1"/>
      <selection pane="bottomLeft" activeCell="B1" sqref="B1:C1"/>
      <selection pane="bottomRight" activeCell="A4" sqref="A4:M4"/>
    </sheetView>
  </sheetViews>
  <sheetFormatPr baseColWidth="10" defaultColWidth="12" defaultRowHeight="12" x14ac:dyDescent="0"/>
  <cols>
    <col min="1" max="1" width="12.83203125" style="444" customWidth="1"/>
    <col min="2" max="7" width="10.83203125" style="444" customWidth="1"/>
    <col min="8" max="8" width="10.83203125" style="442" customWidth="1"/>
    <col min="9" max="11" width="10.83203125" style="444" customWidth="1"/>
    <col min="12" max="12" width="10.83203125" style="442" customWidth="1"/>
    <col min="13" max="13" width="10.83203125" style="444" customWidth="1"/>
    <col min="14" max="16384" width="12" style="444"/>
  </cols>
  <sheetData>
    <row r="1" spans="1:17">
      <c r="B1" s="2252" t="s">
        <v>1416</v>
      </c>
      <c r="C1" s="2252"/>
    </row>
    <row r="2" spans="1:17" ht="15">
      <c r="A2" s="685"/>
      <c r="F2" s="443"/>
      <c r="G2" s="443"/>
      <c r="I2" s="443"/>
      <c r="J2" s="443"/>
      <c r="K2" s="443"/>
      <c r="M2" s="443"/>
    </row>
    <row r="3" spans="1:17" ht="13" thickBot="1"/>
    <row r="4" spans="1:17" ht="19.75" customHeight="1" thickTop="1">
      <c r="A4" s="2315" t="s">
        <v>1371</v>
      </c>
      <c r="B4" s="2316"/>
      <c r="C4" s="2316"/>
      <c r="D4" s="2316"/>
      <c r="E4" s="2316"/>
      <c r="F4" s="2316"/>
      <c r="G4" s="2316"/>
      <c r="H4" s="2316"/>
      <c r="I4" s="2316"/>
      <c r="J4" s="2316"/>
      <c r="K4" s="2316"/>
      <c r="L4" s="2316"/>
      <c r="M4" s="2317"/>
    </row>
    <row r="5" spans="1:17">
      <c r="A5" s="445"/>
      <c r="B5" s="446"/>
      <c r="C5" s="446"/>
      <c r="D5" s="446"/>
      <c r="E5" s="446"/>
      <c r="F5" s="446"/>
      <c r="G5" s="446"/>
      <c r="H5" s="1618"/>
      <c r="I5" s="446"/>
      <c r="J5" s="446"/>
      <c r="K5" s="446"/>
      <c r="L5" s="1618"/>
      <c r="M5" s="617"/>
    </row>
    <row r="6" spans="1:17" ht="13" thickBot="1">
      <c r="A6" s="445"/>
      <c r="B6" s="866" t="s">
        <v>952</v>
      </c>
      <c r="C6" s="859" t="s">
        <v>953</v>
      </c>
      <c r="D6" s="866" t="s">
        <v>954</v>
      </c>
      <c r="E6" s="866" t="s">
        <v>955</v>
      </c>
      <c r="F6" s="866" t="s">
        <v>956</v>
      </c>
      <c r="G6" s="859" t="s">
        <v>957</v>
      </c>
      <c r="H6" s="867" t="s">
        <v>958</v>
      </c>
      <c r="I6" s="867" t="s">
        <v>959</v>
      </c>
      <c r="J6" s="867" t="s">
        <v>960</v>
      </c>
      <c r="K6" s="867" t="s">
        <v>961</v>
      </c>
      <c r="L6" s="867" t="s">
        <v>962</v>
      </c>
      <c r="M6" s="949" t="s">
        <v>963</v>
      </c>
    </row>
    <row r="7" spans="1:17" ht="60" customHeight="1">
      <c r="A7" s="2322"/>
      <c r="B7" s="2332" t="s">
        <v>1370</v>
      </c>
      <c r="C7" s="2336" t="s">
        <v>1373</v>
      </c>
      <c r="D7" s="2336" t="s">
        <v>1376</v>
      </c>
      <c r="E7" s="2338" t="s">
        <v>1372</v>
      </c>
      <c r="F7" s="2340" t="s">
        <v>1374</v>
      </c>
      <c r="G7" s="2341"/>
      <c r="H7" s="2342" t="s">
        <v>1375</v>
      </c>
      <c r="I7" s="2343"/>
      <c r="J7" s="2343"/>
      <c r="K7" s="2343"/>
      <c r="L7" s="2343"/>
      <c r="M7" s="2344"/>
    </row>
    <row r="8" spans="1:17" ht="71" customHeight="1">
      <c r="A8" s="2322"/>
      <c r="B8" s="2333"/>
      <c r="C8" s="2337"/>
      <c r="D8" s="2337"/>
      <c r="E8" s="2339"/>
      <c r="F8" s="2167" t="s">
        <v>924</v>
      </c>
      <c r="G8" s="2166" t="s">
        <v>925</v>
      </c>
      <c r="H8" s="2167" t="s">
        <v>921</v>
      </c>
      <c r="I8" s="2169" t="s">
        <v>922</v>
      </c>
      <c r="J8" s="2176" t="s">
        <v>1377</v>
      </c>
      <c r="K8" s="2176" t="s">
        <v>1376</v>
      </c>
      <c r="L8" s="2176" t="s">
        <v>1372</v>
      </c>
      <c r="M8" s="2170" t="s">
        <v>923</v>
      </c>
    </row>
    <row r="9" spans="1:17" ht="15" customHeight="1">
      <c r="A9" s="463" t="s">
        <v>444</v>
      </c>
      <c r="B9" s="488">
        <f>((5*SUMPRODUCT(TableUK12b!G10:G24,TableUK5d!$B10:$B24)+5*SUMPRODUCT(TableUK12b!G10:G24,TableUK5d!$B11:$B25)+5*AVERAGE(TableUK5d!$B24:$B25)*TableUK12b!G24)*DataUK1!$HU169/DataUK1!$HU71+SUMPRODUCT(TableUK5c!$B10:$B164,TableUK12b!G25:G179))/((10*SUM(TableUK5d!$B11:$B24)+5*TableUK5d!$B10+5*TableUK5d!$B25+5*AVERAGE(TableUK5d!$B24:$B25))*DataUK1!$HU169/DataUK1!$HU71+SUM(TableUK5c!$B10:$B164))</f>
        <v>-4.6029843200365546E-3</v>
      </c>
      <c r="C9" s="871">
        <f>((5*SUMPRODUCT(TableUK12b!K10:K24,TableUK5d!$B10:$B24)+5*SUMPRODUCT(TableUK12b!K10:K24,TableUK5d!$B11:$B25)+5*AVERAGE(TableUK5d!$B24:$B25)*TableUK12b!K24)*DataUK1!$HU169/DataUK1!$HU71+SUMPRODUCT(TableUK5c!$B10:$B164,TableUK12b!K25:K179))/((10*SUM(TableUK5d!$B11:$B24)+5*TableUK5d!$B10+5*TableUK5d!$B25+5*AVERAGE(TableUK5d!$B24:$B25))*DataUK1!$HU169/DataUK1!$HU71+SUM(TableUK5c!$B10:$B164))</f>
        <v>-1.5783450644414724E-2</v>
      </c>
      <c r="D9" s="871">
        <f>((5*SUMPRODUCT(TableUK12b!N10:N24,TableUK5d!$B10:$B24)+5*SUMPRODUCT(TableUK12b!N10:N24,TableUK5d!$B11:$B25)+5*AVERAGE(TableUK5d!$B24:$B25)*TableUK12b!N24)*DataUK1!$HU169/DataUK1!$HU71+SUMPRODUCT(TableUK5c!$B10:$B164,TableUK12b!N25:N179))/((10*SUM(TableUK5d!$B11:$B24)+5*TableUK5d!$B10+5*TableUK5d!$B25+5*AVERAGE(TableUK5d!$B24:$B25))*DataUK1!$HU169/DataUK1!$HU71+SUM(TableUK5c!$B10:$B164))</f>
        <v>1.2479867157613378E-2</v>
      </c>
      <c r="E9" s="487">
        <f>((5*SUMPRODUCT(TableUK12b!O10:O24,TableUK5d!$B10:$B24)+5*SUMPRODUCT(TableUK12b!O10:O24,TableUK5d!$B11:$B25)+5*AVERAGE(TableUK5d!$B24:$B25)*TableUK12b!O24)*DataUK1!$HU169/DataUK1!$HU71+SUMPRODUCT(TableUK5c!$B10:$B164,TableUK12b!O25:O179))/((10*SUM(TableUK5d!$B11:$B24)+5*TableUK5d!$B10+5*TableUK5d!$B25+5*AVERAGE(TableUK5d!$B24:$B25))*DataUK1!$HU169/DataUK1!$HU71+SUM(TableUK5c!$B10:$B164))</f>
        <v>-1.299400833235212E-3</v>
      </c>
      <c r="F9" s="1738">
        <f>TableUK6f!G31</f>
        <v>0</v>
      </c>
      <c r="G9" s="1739">
        <f>G18</f>
        <v>-0.203912977215575</v>
      </c>
      <c r="H9" s="638">
        <f>$F9/((1+TableUK4b!B10)^310)</f>
        <v>0</v>
      </c>
      <c r="I9" s="1603">
        <f>I36+I12/(1+TableUK4d!$B36)^100</f>
        <v>-0.22974334414296979</v>
      </c>
      <c r="J9" s="1621">
        <f>J36+J12/(1+TableUK4d!$B36)^100</f>
        <v>-0.75584092629794797</v>
      </c>
      <c r="K9" s="1621">
        <f>K36+K12/(1+TableUK4d!$B36)^100</f>
        <v>0.5946833183032153</v>
      </c>
      <c r="L9" s="1621">
        <f>L36+L12/(1+TableUK4d!$B36)^100</f>
        <v>-6.8585736148237028E-2</v>
      </c>
      <c r="M9" s="623">
        <f>G9-H9-I9</f>
        <v>2.5830366927394793E-2</v>
      </c>
      <c r="O9" s="651">
        <f>B9-C9-D9-E9</f>
        <v>4.5536491244391186E-18</v>
      </c>
      <c r="P9" s="651">
        <f>I9-J9-K9-L9</f>
        <v>-1.2490009027033011E-16</v>
      </c>
    </row>
    <row r="10" spans="1:17" ht="15" customHeight="1">
      <c r="A10" s="448"/>
      <c r="B10" s="473"/>
      <c r="C10" s="477"/>
      <c r="D10" s="477"/>
      <c r="E10" s="1600"/>
      <c r="F10" s="812"/>
      <c r="G10" s="687"/>
      <c r="H10" s="1619"/>
      <c r="I10" s="476"/>
      <c r="J10" s="495"/>
      <c r="K10" s="495"/>
      <c r="L10" s="495"/>
      <c r="M10" s="657"/>
      <c r="O10" s="442"/>
      <c r="P10" s="651"/>
      <c r="Q10" s="442"/>
    </row>
    <row r="11" spans="1:17" ht="4.75" customHeight="1">
      <c r="A11" s="451"/>
      <c r="B11" s="459"/>
      <c r="C11" s="461"/>
      <c r="D11" s="461"/>
      <c r="E11" s="458"/>
      <c r="F11" s="459"/>
      <c r="G11" s="458"/>
      <c r="H11" s="1619"/>
      <c r="I11" s="654"/>
      <c r="J11" s="654"/>
      <c r="K11" s="654"/>
      <c r="L11" s="654"/>
      <c r="M11" s="658"/>
      <c r="O11" s="442"/>
      <c r="P11" s="651"/>
      <c r="Q11" s="442"/>
    </row>
    <row r="12" spans="1:17" ht="15" customHeight="1">
      <c r="A12" s="463" t="s">
        <v>443</v>
      </c>
      <c r="B12" s="488">
        <f>(B15*(10*SUM(TableUK5d!$B11:$B20)+5*TableUK5d!$B10+5*TableUK5d!$B21)+B21*(10*SUM(TableUK5d!$B22:$B24)+5*TableUK5d!$B21+5*TableUK5d!$B25+5*AVERAGE(TableUK5d!$B24:$B25)+SUM(TableUK5c!$B10:$B64)*DataUK1!$HU71/DataUK1!$HU169))/(10*SUM(TableUK5d!$B11:$B20)+5*TableUK5d!$B10+5*TableUK5d!$B21+10*SUM(TableUK5d!$B22:$B24)+5*TableUK5d!$B21+5*TableUK5d!$B25+5*AVERAGE(TableUK5d!$B24:$B25)+SUM(TableUK5c!$B10:$B64)*DataUK1!$HU71/DataUK1!$HU169)</f>
        <v>3.0351810183067509E-2</v>
      </c>
      <c r="C12" s="871">
        <f>(C15*(10*SUM(TableUK5d!$B11:$B20)+5*TableUK5d!$B10+5*TableUK5d!$B21)+C21*(10*SUM(TableUK5d!$B22:$B24)+5*TableUK5d!$B21+5*TableUK5d!$B25+5*AVERAGE(TableUK5d!$B24:$B25)+SUM(TableUK5c!$B10:$B64)*DataUK1!$HU71/DataUK1!$HU169))/(10*SUM(TableUK5d!$B11:$B20)+5*TableUK5d!$B10+5*TableUK5d!$B21+10*SUM(TableUK5d!$B22:$B24)+5*TableUK5d!$B21+5*TableUK5d!$B25+5*AVERAGE(TableUK5d!$B24:$B25)+SUM(TableUK5c!$B10:$B64)*DataUK1!$HU71/DataUK1!$HU169)</f>
        <v>-4.6921875240286863E-3</v>
      </c>
      <c r="D12" s="871">
        <f>(D15*(10*SUM(TableUK5d!$B11:$B20)+5*TableUK5d!$B10+5*TableUK5d!$B21)+D21*(10*SUM(TableUK5d!$B22:$B24)+5*TableUK5d!$B21+5*TableUK5d!$B25+5*AVERAGE(TableUK5d!$B24:$B25)+SUM(TableUK5c!$B10:$B64)*DataUK1!$HU71/DataUK1!$HU169))/(10*SUM(TableUK5d!$B11:$B20)+5*TableUK5d!$B10+5*TableUK5d!$B21+10*SUM(TableUK5d!$B22:$B24)+5*TableUK5d!$B21+5*TableUK5d!$B25+5*AVERAGE(TableUK5d!$B24:$B25)+SUM(TableUK5c!$B10:$B64)*DataUK1!$HU71/DataUK1!$HU169)</f>
        <v>3.4210183406385444E-2</v>
      </c>
      <c r="E12" s="487">
        <f>(E15*(10*SUM(TableUK5d!$B11:$B20)+5*TableUK5d!$B10+5*TableUK5d!$B21)+E21*(10*SUM(TableUK5d!$B22:$B24)+5*TableUK5d!$B21+5*TableUK5d!$B25+5*AVERAGE(TableUK5d!$B24:$B25)+SUM(TableUK5c!$B10:$B64)*DataUK1!$HU71/DataUK1!$HU169))/(10*SUM(TableUK5d!$B11:$B20)+5*TableUK5d!$B10+5*TableUK5d!$B21+10*SUM(TableUK5d!$B22:$B24)+5*TableUK5d!$B21+5*TableUK5d!$B25+5*AVERAGE(TableUK5d!$B24:$B25)+SUM(TableUK5c!$B10:$B64)*DataUK1!$HU71/DataUK1!$HU169)</f>
        <v>8.3381430071076206E-4</v>
      </c>
      <c r="F12" s="1738">
        <f>F9</f>
        <v>0</v>
      </c>
      <c r="G12" s="1739">
        <f>AVERAGE(DataUK3!BR68:BR69)/DataUK1!B68</f>
        <v>1.7322929856480056</v>
      </c>
      <c r="H12" s="638">
        <f>$F12/((1+TableUK4b!B13)^210)</f>
        <v>0</v>
      </c>
      <c r="I12" s="1603">
        <f>I21+I15/(1+TableUK4d!$B21)^100</f>
        <v>1.5456609503712937</v>
      </c>
      <c r="J12" s="1621">
        <f>J21+J15/(1+TableUK4d!$B21)^100</f>
        <v>-0.23826246799479922</v>
      </c>
      <c r="K12" s="1621">
        <f>K21+K15/(1+TableUK4d!$B21)^100</f>
        <v>1.740136643362163</v>
      </c>
      <c r="L12" s="1621">
        <f>L21+L15/(1+TableUK4d!$B21)^100</f>
        <v>4.3786775003930002E-2</v>
      </c>
      <c r="M12" s="623">
        <f>G12-H12-I12</f>
        <v>0.18663203527671191</v>
      </c>
      <c r="O12" s="651">
        <f>B12-C12-D12-E12</f>
        <v>-1.1926223897340549E-17</v>
      </c>
      <c r="P12" s="651">
        <f>I12-J12-K12-L12</f>
        <v>0</v>
      </c>
    </row>
    <row r="13" spans="1:17" ht="15" customHeight="1">
      <c r="A13" s="448"/>
      <c r="B13" s="488"/>
      <c r="C13" s="477"/>
      <c r="D13" s="477"/>
      <c r="E13" s="487"/>
      <c r="F13" s="812"/>
      <c r="G13" s="687"/>
      <c r="H13" s="1619"/>
      <c r="I13" s="476"/>
      <c r="J13" s="495"/>
      <c r="K13" s="495"/>
      <c r="L13" s="495"/>
      <c r="M13" s="657"/>
      <c r="O13" s="442"/>
      <c r="P13" s="1586"/>
      <c r="Q13" s="824"/>
    </row>
    <row r="14" spans="1:17" ht="4.75" customHeight="1">
      <c r="A14" s="451"/>
      <c r="B14" s="459"/>
      <c r="C14" s="461"/>
      <c r="D14" s="461"/>
      <c r="E14" s="458"/>
      <c r="F14" s="459"/>
      <c r="G14" s="458"/>
      <c r="H14" s="1619"/>
      <c r="I14" s="654"/>
      <c r="J14" s="654"/>
      <c r="K14" s="654"/>
      <c r="L14" s="654"/>
      <c r="M14" s="658"/>
      <c r="O14" s="442"/>
      <c r="P14" s="1586"/>
      <c r="Q14" s="824"/>
    </row>
    <row r="15" spans="1:17" ht="15" customHeight="1">
      <c r="A15" s="463" t="s">
        <v>676</v>
      </c>
      <c r="B15" s="488">
        <f>(5*SUMPRODUCT(TableUK12b!G10:G20,TableUK5d!$B10:$B20)+5*SUMPRODUCT(TableUK12b!G10:G20,TableUK5d!$B11:$B21))/(10*SUM(TableUK5d!$B11:$B20)+5*TableUK5d!$B10+5*TableUK5d!$B21)</f>
        <v>-2.5399094672079215E-4</v>
      </c>
      <c r="C15" s="871">
        <f>(5*SUMPRODUCT(TableUK12b!K10:K20,TableUK5d!$B10:$B20)+5*SUMPRODUCT(TableUK12b!K10:K20,TableUK5d!$B11:$B21))/(10*SUM(TableUK5d!$B11:$B20)+5*TableUK5d!$B10+5*TableUK5d!$B21)</f>
        <v>2.8032064423943967E-3</v>
      </c>
      <c r="D15" s="871">
        <f>(5*SUMPRODUCT(TableUK12b!N10:N20,TableUK5d!$B10:$B20)+5*SUMPRODUCT(TableUK12b!N10:N20,TableUK5d!$B11:$B21))/(10*SUM(TableUK5d!$B11:$B20)+5*TableUK5d!$B10+5*TableUK5d!$B21)</f>
        <v>-8.3852094280792381E-3</v>
      </c>
      <c r="E15" s="487">
        <f>(5*SUMPRODUCT(TableUK12b!O10:O20,TableUK5d!$B10:$B20)+5*SUMPRODUCT(TableUK12b!O10:O20,TableUK5d!$B11:$B21))/(10*SUM(TableUK5d!$B11:$B20)+5*TableUK5d!$B10+5*TableUK5d!$B21)</f>
        <v>5.3280120389640499E-3</v>
      </c>
      <c r="F15" s="622">
        <f>F9</f>
        <v>0</v>
      </c>
      <c r="G15" s="621">
        <f>F21</f>
        <v>0</v>
      </c>
      <c r="H15" s="638">
        <f>$F15/((1+TableUK4b!B16)^110)</f>
        <v>0</v>
      </c>
      <c r="I15" s="889">
        <f>B15*(10*SUM(TableUK5d!$B11:$B20)+5*TableUK5d!$B10+5*TableUK5d!$B21)/TableUK5d!$B21</f>
        <v>-1.6204382705033691E-2</v>
      </c>
      <c r="J15" s="1622">
        <f>C15*(10*SUM(TableUK5d!$B11:$B20)+5*TableUK5d!$B10+5*TableUK5d!$B21)/TableUK5d!$B21</f>
        <v>0.17884192558921738</v>
      </c>
      <c r="K15" s="1622">
        <f>D15*(10*SUM(TableUK5d!$B11:$B20)+5*TableUK5d!$B10+5*TableUK5d!$B21)/TableUK5d!$B21</f>
        <v>-0.53496844824087397</v>
      </c>
      <c r="L15" s="1622">
        <f>E15*(10*SUM(TableUK5d!$B11:$B20)+5*TableUK5d!$B10+5*TableUK5d!$B21)/TableUK5d!$B21</f>
        <v>0.33992213994662285</v>
      </c>
      <c r="M15" s="623">
        <f>G15-H15-I15</f>
        <v>1.6204382705033691E-2</v>
      </c>
      <c r="O15" s="651">
        <f>B15-C15-D15-E15</f>
        <v>0</v>
      </c>
      <c r="P15" s="651">
        <f>I15-J15-K15-L15</f>
        <v>0</v>
      </c>
      <c r="Q15" s="823"/>
    </row>
    <row r="16" spans="1:17" ht="15" customHeight="1">
      <c r="A16" s="448"/>
      <c r="B16" s="473"/>
      <c r="C16" s="477"/>
      <c r="D16" s="477"/>
      <c r="E16" s="472"/>
      <c r="F16" s="812"/>
      <c r="G16" s="687"/>
      <c r="H16" s="459"/>
      <c r="I16" s="476"/>
      <c r="J16" s="495"/>
      <c r="K16" s="495"/>
      <c r="L16" s="495"/>
      <c r="M16" s="657"/>
      <c r="O16" s="442"/>
      <c r="P16" s="1586"/>
      <c r="Q16" s="824"/>
    </row>
    <row r="17" spans="1:17" ht="4.75" customHeight="1">
      <c r="A17" s="451"/>
      <c r="B17" s="459"/>
      <c r="C17" s="461"/>
      <c r="D17" s="461"/>
      <c r="E17" s="458"/>
      <c r="F17" s="459"/>
      <c r="G17" s="458"/>
      <c r="H17" s="459"/>
      <c r="I17" s="461"/>
      <c r="J17" s="461"/>
      <c r="K17" s="461"/>
      <c r="L17" s="461"/>
      <c r="M17" s="658"/>
      <c r="O17" s="442"/>
      <c r="P17" s="1586"/>
      <c r="Q17" s="824"/>
    </row>
    <row r="18" spans="1:17" ht="15" customHeight="1">
      <c r="A18" s="463" t="s">
        <v>387</v>
      </c>
      <c r="B18" s="1732">
        <f>(B36*SUM(TableUK5c!$B65:$B164)+B21*((10*SUM(TableUK5d!$B22:$B24)+5*TableUK5d!$B21+5*TableUK5d!$B25+5*AVERAGE(TableUK5d!$B24:$B25))*DataUK1!$HU169/DataUK1!$HU71+SUM(TableUK5c!$B10:$B64)))/(SUM(TableUK5c!$B65:$B164)+((10*SUM(TableUK5d!$B22:$B24)+5*TableUK5d!$B21+5*TableUK5d!$B25+5*AVERAGE(TableUK5d!$B24:$B25))*DataUK1!$HU169/DataUK1!$HU71+SUM(TableUK5c!$B10:$B64)))</f>
        <v>-4.9873940229235797E-3</v>
      </c>
      <c r="C18" s="871">
        <f>(C36*SUM(TableUK5c!$B65:$B164)+C21*((10*SUM(TableUK5d!$B22:$B24)+5*TableUK5d!$B21+5*TableUK5d!$B25+5*AVERAGE(TableUK5d!$B24:$B25))*DataUK1!$HU169/DataUK1!$HU71+SUM(TableUK5c!$B10:$B64)))/(SUM(TableUK5c!$B65:$B164)+((10*SUM(TableUK5d!$B22:$B24)+5*TableUK5d!$B21+5*TableUK5d!$B25+5*AVERAGE(TableUK5d!$B24:$B25))*DataUK1!$HU169/DataUK1!$HU71+SUM(TableUK5c!$B10:$B64)))</f>
        <v>-1.65011872317288E-2</v>
      </c>
      <c r="D18" s="871">
        <f>(D36*SUM(TableUK5c!$B65:$B164)+D21*((10*SUM(TableUK5d!$B22:$B24)+5*TableUK5d!$B21+5*TableUK5d!$B25+5*AVERAGE(TableUK5d!$B24:$B25))*DataUK1!$HU169/DataUK1!$HU71+SUM(TableUK5c!$B10:$B64)))/(SUM(TableUK5c!$B65:$B164)+((10*SUM(TableUK5d!$B22:$B24)+5*TableUK5d!$B21+5*TableUK5d!$B25+5*AVERAGE(TableUK5d!$B24:$B25))*DataUK1!$HU169/DataUK1!$HU71+SUM(TableUK5c!$B10:$B64)))</f>
        <v>1.3140769186016575E-2</v>
      </c>
      <c r="E18" s="1598">
        <f>(E36*SUM(TableUK5c!$B65:$B164)+E21*((10*SUM(TableUK5d!$B22:$B24)+5*TableUK5d!$B21+5*TableUK5d!$B25+5*AVERAGE(TableUK5d!$B24:$B25))*DataUK1!$HU169/DataUK1!$HU71+SUM(TableUK5c!$B10:$B64)))/(SUM(TableUK5c!$B65:$B164)+((10*SUM(TableUK5d!$B22:$B24)+5*TableUK5d!$B21+5*TableUK5d!$B25+5*AVERAGE(TableUK5d!$B24:$B25))*DataUK1!$HU169/DataUK1!$HU71+SUM(TableUK5c!$B10:$B64)))</f>
        <v>-1.6269759772113545E-3</v>
      </c>
      <c r="F18" s="622">
        <f>F21</f>
        <v>0</v>
      </c>
      <c r="G18" s="860">
        <f>G30</f>
        <v>-0.203912977215575</v>
      </c>
      <c r="H18" s="638">
        <f>$F18/((1+TableUK4b!B19)^200)</f>
        <v>0</v>
      </c>
      <c r="I18" s="1604">
        <f>I36+I21/(1+TableUK4b!$B37)^100</f>
        <v>-0.22944477202040089</v>
      </c>
      <c r="J18" s="1623">
        <f>J36+J21/(1+TableUK4b!$B37)^100</f>
        <v>-0.75913615909388144</v>
      </c>
      <c r="K18" s="1623">
        <f>K36+K21/(1+TableUK4b!$B37)^100</f>
        <v>0.60454032230060017</v>
      </c>
      <c r="L18" s="1623">
        <f>L36+L21/(1+TableUK4b!$B37)^100</f>
        <v>-7.4848935227119578E-2</v>
      </c>
      <c r="M18" s="623">
        <f>G18-H18-I18</f>
        <v>2.5531794804825897E-2</v>
      </c>
      <c r="O18" s="651">
        <f>B18-C18-D18-E18</f>
        <v>0</v>
      </c>
      <c r="P18" s="651">
        <f>I18-J18-K18-L18</f>
        <v>0</v>
      </c>
    </row>
    <row r="19" spans="1:17" ht="15" customHeight="1">
      <c r="A19" s="448"/>
      <c r="B19" s="484"/>
      <c r="C19" s="868"/>
      <c r="D19" s="868"/>
      <c r="E19" s="868"/>
      <c r="F19" s="627"/>
      <c r="G19" s="629"/>
      <c r="H19" s="627"/>
      <c r="I19" s="628"/>
      <c r="J19" s="628"/>
      <c r="K19" s="628"/>
      <c r="L19" s="628"/>
      <c r="M19" s="630"/>
      <c r="P19" s="651"/>
    </row>
    <row r="20" spans="1:17" ht="4.75" customHeight="1">
      <c r="A20" s="451"/>
      <c r="B20" s="1731"/>
      <c r="C20" s="869"/>
      <c r="D20" s="869"/>
      <c r="E20" s="869"/>
      <c r="F20" s="459"/>
      <c r="G20" s="460"/>
      <c r="H20" s="459"/>
      <c r="I20" s="458"/>
      <c r="J20" s="458"/>
      <c r="K20" s="458"/>
      <c r="L20" s="458"/>
      <c r="M20" s="462"/>
      <c r="P20" s="651"/>
    </row>
    <row r="21" spans="1:17" ht="15" customHeight="1">
      <c r="A21" s="463" t="s">
        <v>665</v>
      </c>
      <c r="B21" s="1732">
        <f>(B24*(10*SUM(TableUK5d!$B22:$B24)+5*TableUK5d!$B21+5*TableUK5d!$B25+5*AVERAGE(TableUK5d!$B24:$B25))+SUMPRODUCT(TableUK12b!G25:G79,TableUK5c!$B10:$B64)*DataUK1!$HU71/DataUK1!$HU169)/(10*SUM(TableUK5d!$B22:$B24)+5*TableUK5d!$B21+5*TableUK5d!$B25+5*AVERAGE(TableUK5d!$B24:$B25)+SUM(TableUK5c!$B10:$B64)*DataUK1!$HU71/DataUK1!$HU169)</f>
        <v>3.6030143926487866E-2</v>
      </c>
      <c r="C21" s="871">
        <f>(C24*(10*SUM(TableUK5d!$B22:$B24)+5*TableUK5d!$B21+5*TableUK5d!$B25+5*AVERAGE(TableUK5d!$B24:$B25))+SUMPRODUCT(TableUK12b!K25:K79,TableUK5c!$B10:$B64)*DataUK1!$HU71/DataUK1!$HU169)/(10*SUM(TableUK5d!$B22:$B24)+5*TableUK5d!$B21+5*TableUK5d!$B25+5*AVERAGE(TableUK5d!$B24:$B25)+SUM(TableUK5c!$B10:$B64)*DataUK1!$HU71/DataUK1!$HU169)</f>
        <v>-6.0828176303697043E-3</v>
      </c>
      <c r="D21" s="871">
        <f>(D24*(10*SUM(TableUK5d!$B22:$B24)+5*TableUK5d!$B21+5*TableUK5d!$B25+5*AVERAGE(TableUK5d!$B24:$B25))+SUMPRODUCT(TableUK12b!N25:N79,TableUK5c!$B10:$B64)*DataUK1!$HU71/DataUK1!$HU169)/(10*SUM(TableUK5d!$B22:$B24)+5*TableUK5d!$B21+5*TableUK5d!$B25+5*AVERAGE(TableUK5d!$B24:$B25)+SUM(TableUK5c!$B10:$B64)*DataUK1!$HU71/DataUK1!$HU169)</f>
        <v>4.2112961556857578E-2</v>
      </c>
      <c r="E21" s="1598">
        <f>(E24*(10*SUM(TableUK5d!$B22:$B24)+5*TableUK5d!$B21+5*TableUK5d!$B25+5*AVERAGE(TableUK5d!$B24:$B25))+SUMPRODUCT(TableUK12b!O25:O79,TableUK5c!$B10:$B64)*DataUK1!$HU71/DataUK1!$HU169)/(10*SUM(TableUK5d!$B22:$B24)+5*TableUK5d!$B21+5*TableUK5d!$B25+5*AVERAGE(TableUK5d!$B24:$B25)+SUM(TableUK5c!$B10:$B64)*DataUK1!$HU71/DataUK1!$HU169)</f>
        <v>0</v>
      </c>
      <c r="F21" s="622">
        <f>TableUK6f!G33</f>
        <v>0</v>
      </c>
      <c r="G21" s="860">
        <f>G12</f>
        <v>1.7322929856480056</v>
      </c>
      <c r="H21" s="638">
        <f>$F21/((1+TableUK4b!B22)^100)</f>
        <v>0</v>
      </c>
      <c r="I21" s="621">
        <f>B21*((10*SUM(TableUK5d!$B22:$B24)+5*TableUK5d!$B21+5*TableUK5d!$B25+5*AVERAGE(TableUK5d!$B24:$B25))*DataUK1!$HU169/DataUK1!$HU71+SUM(TableUK5c!$B10:$B64))/TableUK5c!$B65</f>
        <v>1.5477483038449282</v>
      </c>
      <c r="J21" s="637">
        <f>C21*((10*SUM(TableUK5d!$B22:$B24)+5*TableUK5d!$B21+5*TableUK5d!$B25+5*AVERAGE(TableUK5d!$B24:$B25))*DataUK1!$HU169/DataUK1!$HU71+SUM(TableUK5c!$B10:$B64))/TableUK5c!$B65</f>
        <v>-0.26129983519387112</v>
      </c>
      <c r="K21" s="637">
        <f>D21*((10*SUM(TableUK5d!$B22:$B24)+5*TableUK5d!$B21+5*TableUK5d!$B25+5*AVERAGE(TableUK5d!$B24:$B25))*DataUK1!$HU169/DataUK1!$HU71+SUM(TableUK5c!$B10:$B64))/TableUK5c!$B65</f>
        <v>1.8090481390387996</v>
      </c>
      <c r="L21" s="637">
        <f>E21*((10*SUM(TableUK5d!$B22:$B24)+5*TableUK5d!$B21+5*TableUK5d!$B25+5*AVERAGE(TableUK5d!$B24:$B25))*DataUK1!$HU169/DataUK1!$HU71+SUM(TableUK5c!$B10:$B64))/TableUK5c!$B65</f>
        <v>0</v>
      </c>
      <c r="M21" s="623">
        <f>G21-H21-I21</f>
        <v>0.18454468180307737</v>
      </c>
      <c r="O21" s="651">
        <f>B21-C21-D21-E21</f>
        <v>-6.9388939039072284E-18</v>
      </c>
      <c r="P21" s="651">
        <f>I21-J21-K21-L21</f>
        <v>-2.2204460492503131E-16</v>
      </c>
    </row>
    <row r="22" spans="1:17" ht="15" customHeight="1">
      <c r="A22" s="448"/>
      <c r="B22" s="484"/>
      <c r="C22" s="868"/>
      <c r="D22" s="868"/>
      <c r="E22" s="868"/>
      <c r="F22" s="627"/>
      <c r="G22" s="629"/>
      <c r="H22" s="627"/>
      <c r="I22" s="628"/>
      <c r="J22" s="628"/>
      <c r="K22" s="628"/>
      <c r="L22" s="628"/>
      <c r="M22" s="630"/>
      <c r="P22" s="651"/>
    </row>
    <row r="23" spans="1:17" ht="4.75" customHeight="1">
      <c r="A23" s="451"/>
      <c r="B23" s="1731"/>
      <c r="C23" s="869"/>
      <c r="D23" s="869"/>
      <c r="E23" s="869"/>
      <c r="F23" s="459"/>
      <c r="G23" s="460"/>
      <c r="H23" s="459"/>
      <c r="I23" s="458"/>
      <c r="J23" s="458"/>
      <c r="K23" s="458"/>
      <c r="L23" s="458"/>
      <c r="M23" s="462"/>
      <c r="P23" s="651"/>
    </row>
    <row r="24" spans="1:17" ht="15" customHeight="1">
      <c r="A24" s="463" t="s">
        <v>437</v>
      </c>
      <c r="B24" s="1732">
        <f>(5*SUMPRODUCT(TableUK5d!$B21:$B24,TableUK12b!G21:G24)+5*SUMPRODUCT(TableUK5d!$B22:$B25,TableUK12b!G21:G24)+5*TableUK12b!G24*AVERAGE(TableUK5d!$B24,TableUK5d!$B25))/(10*SUM(TableUK5d!$B22:$B24)+5*TableUK5d!$B21+5*TableUK5d!$B25+5*AVERAGE(TableUK5d!$B24:$B25))</f>
        <v>1.4582072076736247E-2</v>
      </c>
      <c r="C24" s="871">
        <f>(5*SUMPRODUCT(TableUK5d!$B21:$B24,TableUK12b!K21:K24)+5*SUMPRODUCT(TableUK5d!$B22:$B25,TableUK12b!K21:K24)+5*TableUK12b!K24*AVERAGE(TableUK5d!$B24,TableUK5d!$B25))/(10*SUM(TableUK5d!$B22:$B24)+5*TableUK5d!$B21+5*TableUK5d!$B25+5*AVERAGE(TableUK5d!$B24:$B25))</f>
        <v>2.68403052661872E-3</v>
      </c>
      <c r="D24" s="871">
        <f>(5*SUMPRODUCT(TableUK5d!$B21:$B24,TableUK12b!N21:N24)+5*SUMPRODUCT(TableUK5d!$B22:$B25,TableUK12b!N21:N24)+5*TableUK12b!N24*AVERAGE(TableUK5d!$B24,TableUK5d!$B25))/(10*SUM(TableUK5d!$B22:$B24)+5*TableUK5d!$B21+5*TableUK5d!$B25+5*AVERAGE(TableUK5d!$B24:$B25))</f>
        <v>1.1898041550117526E-2</v>
      </c>
      <c r="E24" s="1598">
        <f>(5*SUMPRODUCT(TableUK5d!$B21:$B24,TableUK12b!O21:O24)+5*SUMPRODUCT(TableUK5d!$B22:$B25,TableUK12b!O21:O24)+5*TableUK12b!O24*AVERAGE(TableUK5d!$B24,TableUK5d!$B25))/(10*SUM(TableUK5d!$B22:$B24)+5*TableUK5d!$B21+5*TableUK5d!$B25+5*AVERAGE(TableUK5d!$B24:$B25))</f>
        <v>0</v>
      </c>
      <c r="F24" s="953">
        <f>F18</f>
        <v>0</v>
      </c>
      <c r="G24" s="952">
        <f>TableUK6f!G34</f>
        <v>0.39244358001991797</v>
      </c>
      <c r="H24" s="638">
        <f>$F24/((1+TableUK4b!B25)^45)</f>
        <v>0</v>
      </c>
      <c r="I24" s="1602">
        <f>B24*(10*SUM(TableUK5d!$B22:$B24)+5*TableUK5d!$B21+5*TableUK5d!$B25+5*AVERAGE(TableUK5d!$B24:$B25))/TableUK5d!$B25</f>
        <v>0.44258330433440757</v>
      </c>
      <c r="J24" s="1601">
        <f>C24*(10*SUM(TableUK5d!$B22:$B24)+5*TableUK5d!$B21+5*TableUK5d!$B25+5*AVERAGE(TableUK5d!$B24:$B25))/TableUK5d!$B25</f>
        <v>8.1463532284995394E-2</v>
      </c>
      <c r="K24" s="1601">
        <f>D24*(10*SUM(TableUK5d!$B22:$B24)+5*TableUK5d!$B21+5*TableUK5d!$B25+5*AVERAGE(TableUK5d!$B24:$B25))/TableUK5d!$B25</f>
        <v>0.36111977204941215</v>
      </c>
      <c r="L24" s="1601">
        <f>E24*(10*SUM(TableUK5d!$B22:$B24)+5*TableUK5d!$B21+5*TableUK5d!$B25+5*AVERAGE(TableUK5d!$B24:$B25))/TableUK5d!$B25</f>
        <v>0</v>
      </c>
      <c r="M24" s="623">
        <f>G24-H24-I24</f>
        <v>-5.0139724314489598E-2</v>
      </c>
      <c r="O24" s="651">
        <f>B24-C24-D24-E24</f>
        <v>1.7347234759768071E-18</v>
      </c>
      <c r="P24" s="651">
        <f>I24-J24-K24-L24</f>
        <v>0</v>
      </c>
    </row>
    <row r="25" spans="1:17" ht="15" customHeight="1">
      <c r="A25" s="451"/>
      <c r="B25" s="1731"/>
      <c r="C25" s="869"/>
      <c r="D25" s="869"/>
      <c r="E25" s="1599"/>
      <c r="F25" s="459"/>
      <c r="G25" s="460"/>
      <c r="H25" s="459"/>
      <c r="I25" s="458"/>
      <c r="J25" s="458"/>
      <c r="K25" s="458"/>
      <c r="L25" s="458"/>
      <c r="M25" s="462"/>
      <c r="P25" s="651"/>
    </row>
    <row r="26" spans="1:17" ht="4.75" customHeight="1">
      <c r="A26" s="451"/>
      <c r="B26" s="1731"/>
      <c r="C26" s="869"/>
      <c r="D26" s="869"/>
      <c r="E26" s="869"/>
      <c r="F26" s="459"/>
      <c r="G26" s="460"/>
      <c r="H26" s="459"/>
      <c r="I26" s="458"/>
      <c r="J26" s="458"/>
      <c r="K26" s="458"/>
      <c r="L26" s="458"/>
      <c r="M26" s="462"/>
      <c r="P26" s="651"/>
    </row>
    <row r="27" spans="1:17" ht="15" customHeight="1">
      <c r="A27" s="463" t="s">
        <v>442</v>
      </c>
      <c r="B27" s="1730">
        <f>SUMPRODUCT(TableUK12b!G25:G79,TableUK1!$D10:$D64)/SUM(TableUK1!$D10:$D64)</f>
        <v>4.1497166574037875E-2</v>
      </c>
      <c r="C27" s="871">
        <f>SUMPRODUCT(TableUK12b!K25:K79,TableUK1!$D10:$D64)/SUM(TableUK1!$D10:$D64)</f>
        <v>-8.3174500839365197E-3</v>
      </c>
      <c r="D27" s="871">
        <f>SUMPRODUCT(TableUK12b!N25:N79,TableUK1!$D10:$D64)/SUM(TableUK1!$D10:$D64)</f>
        <v>4.981461665797441E-2</v>
      </c>
      <c r="E27" s="871">
        <f>SUMPRODUCT(TableUK12b!O25:O79,TableUK1!$D10:$D64)/SUM(TableUK1!$D10:$D64)</f>
        <v>0</v>
      </c>
      <c r="F27" s="953">
        <f>G24</f>
        <v>0.39244358001991797</v>
      </c>
      <c r="G27" s="1585">
        <f>G21</f>
        <v>1.7322929856480056</v>
      </c>
      <c r="H27" s="638">
        <f>$F27/((1+TableUK4b!B28)^55)</f>
        <v>0.11282120821750716</v>
      </c>
      <c r="I27" s="1602">
        <f>B27*SUM(TableUK5c!$B10:$B64)/TableUK5c!$B65</f>
        <v>1.4205127324810909</v>
      </c>
      <c r="J27" s="1601">
        <f>C27*SUM(TableUK5c!$B10:$B64)/TableUK5c!$B65</f>
        <v>-0.28471928860318046</v>
      </c>
      <c r="K27" s="1601">
        <f>D27*SUM(TableUK5c!$B10:$B64)/TableUK5c!$B65</f>
        <v>1.7052320210842717</v>
      </c>
      <c r="L27" s="1601">
        <f>E27*SUM(TableUK5c!$B10:$B64)/TableUK5c!$B65</f>
        <v>0</v>
      </c>
      <c r="M27" s="623">
        <f>G27-H27-I27</f>
        <v>0.19895904494940764</v>
      </c>
      <c r="O27" s="651">
        <f>B27-C27-D27-E27</f>
        <v>-1.3877787807814457E-17</v>
      </c>
      <c r="P27" s="651">
        <f>I27-J27-K27-L27</f>
        <v>-4.4408920985006262E-16</v>
      </c>
    </row>
    <row r="28" spans="1:17" ht="15" customHeight="1">
      <c r="A28" s="451"/>
      <c r="B28" s="1731"/>
      <c r="C28" s="869"/>
      <c r="D28" s="869"/>
      <c r="E28" s="869"/>
      <c r="F28" s="459"/>
      <c r="G28" s="460"/>
      <c r="H28" s="459"/>
      <c r="I28" s="458"/>
      <c r="J28" s="458"/>
      <c r="K28" s="458"/>
      <c r="L28" s="458"/>
      <c r="M28" s="462"/>
      <c r="P28" s="651"/>
    </row>
    <row r="29" spans="1:17" ht="4.75" customHeight="1">
      <c r="A29" s="451"/>
      <c r="B29" s="1731"/>
      <c r="C29" s="869"/>
      <c r="D29" s="869"/>
      <c r="E29" s="869"/>
      <c r="F29" s="459"/>
      <c r="G29" s="460"/>
      <c r="H29" s="459"/>
      <c r="I29" s="458"/>
      <c r="J29" s="458"/>
      <c r="K29" s="458"/>
      <c r="L29" s="458"/>
      <c r="M29" s="462"/>
      <c r="P29" s="651"/>
    </row>
    <row r="30" spans="1:17" ht="15" customHeight="1">
      <c r="A30" s="463" t="s">
        <v>1041</v>
      </c>
      <c r="B30" s="1730">
        <f>SUMPRODUCT(TableUK12b!G40:G180,TableUK1!$D25:$D165)/SUM(TableUK1!$D25:$D165)</f>
        <v>-6.0923852364580325E-3</v>
      </c>
      <c r="C30" s="871">
        <f>SUMPRODUCT(TableUK12b!K40:K180,TableUK1!$D25:$D165)/SUM(TableUK1!$D25:$D165)</f>
        <v>-1.7451603395248472E-2</v>
      </c>
      <c r="D30" s="871">
        <f>SUMPRODUCT(TableUK12b!N40:N180,TableUK1!$D25:$D165)/SUM(TableUK1!$D25:$D165)</f>
        <v>1.3056978602277777E-2</v>
      </c>
      <c r="E30" s="871">
        <f>SUMPRODUCT(TableUK12b!O40:O180,TableUK1!$D25:$D165)/SUM(TableUK1!$D25:$D165)</f>
        <v>-1.6977604434873332E-3</v>
      </c>
      <c r="F30" s="622">
        <f>AVERAGE(DataUK3!BR28:BR29)/DataUK1!B28</f>
        <v>0.82856109906001441</v>
      </c>
      <c r="G30" s="860">
        <f>TableUK6b!K50</f>
        <v>-0.203912977215575</v>
      </c>
      <c r="H30" s="638">
        <f>$F30/((1+TableUK4b!B31)^140)</f>
        <v>5.6150681607623959E-2</v>
      </c>
      <c r="I30" s="621">
        <f>B30*SUM(TableUK5c!$B25:$B164)/TableUK5c!$B165</f>
        <v>-0.26774372013081171</v>
      </c>
      <c r="J30" s="637">
        <f>C30*SUM(TableUK5c!$B25:$B164)/TableUK5c!$B165</f>
        <v>-0.76695038707168872</v>
      </c>
      <c r="K30" s="637">
        <f>D30*SUM(TableUK5c!$B25:$B164)/TableUK5c!$B165</f>
        <v>0.57381860945397212</v>
      </c>
      <c r="L30" s="637">
        <f>E30*SUM(TableUK5c!$B25:$B164)/TableUK5c!$B165</f>
        <v>-7.461194251309497E-2</v>
      </c>
      <c r="M30" s="623">
        <f>G30-H30-I30</f>
        <v>7.6800613076127844E-3</v>
      </c>
      <c r="O30" s="651">
        <f>B30-C30-D30-E30</f>
        <v>-3.4694469519536142E-18</v>
      </c>
      <c r="P30" s="651">
        <f>I30-J30-K30-L30</f>
        <v>-1.3877787807814457E-16</v>
      </c>
    </row>
    <row r="31" spans="1:17" ht="15" customHeight="1">
      <c r="A31" s="448"/>
      <c r="B31" s="484"/>
      <c r="C31" s="868"/>
      <c r="D31" s="868"/>
      <c r="E31" s="868"/>
      <c r="F31" s="627"/>
      <c r="G31" s="629"/>
      <c r="H31" s="627"/>
      <c r="I31" s="628"/>
      <c r="J31" s="628"/>
      <c r="K31" s="628"/>
      <c r="L31" s="628"/>
      <c r="M31" s="630"/>
      <c r="P31" s="651"/>
    </row>
    <row r="32" spans="1:17" ht="4.75" customHeight="1">
      <c r="A32" s="451"/>
      <c r="B32" s="1731"/>
      <c r="C32" s="1606"/>
      <c r="D32" s="1606"/>
      <c r="E32" s="869"/>
      <c r="F32" s="459"/>
      <c r="G32" s="460"/>
      <c r="H32" s="459"/>
      <c r="I32" s="458"/>
      <c r="J32" s="458"/>
      <c r="K32" s="458"/>
      <c r="L32" s="458"/>
      <c r="M32" s="462"/>
      <c r="P32" s="651"/>
    </row>
    <row r="33" spans="1:17" ht="15" customHeight="1">
      <c r="A33" s="463" t="s">
        <v>1042</v>
      </c>
      <c r="B33" s="1730">
        <f>SUMPRODUCT(TableUK12b!G40:G79,TableUK1!$D25:$D64)/SUM(TableUK1!$D25:$D64)</f>
        <v>4.2789864216967247E-2</v>
      </c>
      <c r="C33" s="871">
        <f>SUMPRODUCT(TableUK12b!K40:K79,TableUK1!$D25:$D64)/SUM(TableUK1!$D25:$D64)</f>
        <v>-1.2016134575988121E-2</v>
      </c>
      <c r="D33" s="871">
        <f>SUMPRODUCT(TableUK12b!N40:N79,TableUK1!$D25:$D64)/SUM(TableUK1!$D25:$D64)</f>
        <v>5.4805998792955377E-2</v>
      </c>
      <c r="E33" s="871">
        <f>SUMPRODUCT(TableUK12b!O40:O79,TableUK1!$D25:$D64)/SUM(TableUK1!$D25:$D64)</f>
        <v>0</v>
      </c>
      <c r="F33" s="622">
        <f>F30</f>
        <v>0.82856109906001441</v>
      </c>
      <c r="G33" s="860">
        <f>G21</f>
        <v>1.7322929856480056</v>
      </c>
      <c r="H33" s="638">
        <f>$F33/((1+TableUK4b!B34)^40)</f>
        <v>0.39255614118352372</v>
      </c>
      <c r="I33" s="621">
        <f>B33*SUM(TableUK1!$D25:$D64)/TableUK1!$D65</f>
        <v>1.2225763005127495</v>
      </c>
      <c r="J33" s="637">
        <f>C33*SUM(TableUK1!$D25:$D64)/TableUK1!$D65</f>
        <v>-0.34332058830300483</v>
      </c>
      <c r="K33" s="637">
        <f>D33*SUM(TableUK1!$D25:$D64)/TableUK1!$D65</f>
        <v>1.5658968888157545</v>
      </c>
      <c r="L33" s="637">
        <f>E33*SUM(TableUK1!$D25:$D64)/TableUK1!$D65</f>
        <v>0</v>
      </c>
      <c r="M33" s="623">
        <f>G33-H33-I33</f>
        <v>0.11716054395173248</v>
      </c>
      <c r="O33" s="651">
        <f>B33-C33-D33-E33</f>
        <v>-6.9388939039072284E-18</v>
      </c>
      <c r="P33" s="651">
        <f>I33-J33-K33-L33</f>
        <v>-2.2204460492503131E-16</v>
      </c>
    </row>
    <row r="34" spans="1:17" ht="15" customHeight="1">
      <c r="A34" s="448"/>
      <c r="B34" s="484"/>
      <c r="C34" s="868"/>
      <c r="D34" s="868"/>
      <c r="E34" s="868"/>
      <c r="F34" s="627"/>
      <c r="G34" s="629"/>
      <c r="H34" s="627"/>
      <c r="I34" s="628"/>
      <c r="J34" s="628"/>
      <c r="K34" s="628"/>
      <c r="L34" s="628"/>
      <c r="M34" s="630"/>
      <c r="P34" s="651"/>
    </row>
    <row r="35" spans="1:17" ht="4.75" customHeight="1">
      <c r="A35" s="451"/>
      <c r="B35" s="1731"/>
      <c r="C35" s="869"/>
      <c r="D35" s="869"/>
      <c r="E35" s="869"/>
      <c r="F35" s="459"/>
      <c r="G35" s="460"/>
      <c r="H35" s="459"/>
      <c r="I35" s="458"/>
      <c r="J35" s="458"/>
      <c r="K35" s="458"/>
      <c r="L35" s="458"/>
      <c r="M35" s="462"/>
      <c r="P35" s="651"/>
    </row>
    <row r="36" spans="1:17" ht="15" customHeight="1">
      <c r="A36" s="463" t="s">
        <v>666</v>
      </c>
      <c r="B36" s="1730">
        <f>(SUMPRODUCT(TableUK12b!G80:G180,TableUK1!$D65:$D165)-TableUK12b!G90*TableUK1!$D75)/(SUM(TableUK1!$D65:$D165)-TableUK1!$D75)</f>
        <v>-1.1310278367145932E-2</v>
      </c>
      <c r="C36" s="871">
        <f>(SUMPRODUCT(TableUK12b!K80:K180,TableUK1!$D65:$D165)-TableUK12b!K90*TableUK1!$D75)/(SUM(TableUK1!$D65:$D165)-TableUK1!$D75)</f>
        <v>-1.8107186746521731E-2</v>
      </c>
      <c r="D36" s="871">
        <f>(SUMPRODUCT(TableUK12b!N80:N180,TableUK1!$D65:$D165)-TableUK12b!N90*TableUK1!$D75)/(SUM(TableUK1!$D65:$D165)-TableUK1!$D75)</f>
        <v>8.6746839279174277E-3</v>
      </c>
      <c r="E36" s="871">
        <f>(SUMPRODUCT(TableUK12b!O80:O180,TableUK1!$D65:$D165)-TableUK12b!O90*TableUK1!$D75)/(SUM(TableUK1!$D65:$D165)-TableUK1!$D75)</f>
        <v>-1.8777755485416261E-3</v>
      </c>
      <c r="F36" s="622">
        <f>G33</f>
        <v>1.7322929856480056</v>
      </c>
      <c r="G36" s="860">
        <f>G30</f>
        <v>-0.203912977215575</v>
      </c>
      <c r="H36" s="638">
        <f>$F36/((1+TableUK4b!B37)^100)</f>
        <v>0.24778476677242151</v>
      </c>
      <c r="I36" s="621">
        <f>B36*(SUM(TableUK1!$D65:$D165)-TableUK1!$D75)/TableUK1!$D166</f>
        <v>-0.45083252551705666</v>
      </c>
      <c r="J36" s="637">
        <f>C36*(SUM(TableUK1!$D65:$D165)-TableUK1!$D75)/TableUK1!$D166</f>
        <v>-0.72176019598740626</v>
      </c>
      <c r="K36" s="637">
        <f>D36*(SUM(TableUK1!$D65:$D165)-TableUK1!$D75)/TableUK1!$D166</f>
        <v>0.34577660569746921</v>
      </c>
      <c r="L36" s="637">
        <f>E36*(SUM(TableUK1!$D65:$D165)-TableUK1!$D75)/TableUK1!$D166</f>
        <v>-7.4848935227119578E-2</v>
      </c>
      <c r="M36" s="623">
        <f>G36-H36-I36</f>
        <v>-8.6521847093984361E-4</v>
      </c>
      <c r="O36" s="651">
        <f>B36-C36-D36-E36</f>
        <v>-2.6020852139652106E-18</v>
      </c>
      <c r="P36" s="651">
        <f>I36-J36-K36-L36</f>
        <v>0</v>
      </c>
    </row>
    <row r="37" spans="1:17" ht="15" customHeight="1">
      <c r="A37" s="448"/>
      <c r="B37" s="484"/>
      <c r="C37" s="868"/>
      <c r="D37" s="868"/>
      <c r="E37" s="868"/>
      <c r="F37" s="627"/>
      <c r="G37" s="629"/>
      <c r="H37" s="627"/>
      <c r="I37" s="628"/>
      <c r="J37" s="628"/>
      <c r="K37" s="628"/>
      <c r="L37" s="628"/>
      <c r="M37" s="630"/>
      <c r="P37" s="651"/>
    </row>
    <row r="38" spans="1:17" ht="4.75" customHeight="1">
      <c r="A38" s="448"/>
      <c r="B38" s="484"/>
      <c r="C38" s="868"/>
      <c r="D38" s="868"/>
      <c r="E38" s="868"/>
      <c r="F38" s="473"/>
      <c r="G38" s="493"/>
      <c r="H38" s="473"/>
      <c r="I38" s="472"/>
      <c r="J38" s="472"/>
      <c r="K38" s="472"/>
      <c r="L38" s="472"/>
      <c r="M38" s="613"/>
      <c r="P38" s="651"/>
    </row>
    <row r="39" spans="1:17" ht="15" customHeight="1">
      <c r="A39" s="463" t="s">
        <v>667</v>
      </c>
      <c r="B39" s="1730">
        <f>(SUMPRODUCT(TableUK12b!G80:G120,TableUK1!$D65:$D105)-TableUK12b!G90*TableUK1!$D75)/(SUM(TableUK1!$D65:$D105)-TableUK1!$D75)</f>
        <v>-9.5230368204423689E-3</v>
      </c>
      <c r="C39" s="871">
        <f>(SUMPRODUCT(TableUK12b!K80:K120,TableUK1!$D65:$D105)-TableUK12b!K90*TableUK1!$D75)/(SUM(TableUK1!$D65:$D105)-TableUK1!$D75)</f>
        <v>-4.5908172965067759E-2</v>
      </c>
      <c r="D39" s="871">
        <f>(SUMPRODUCT(TableUK12b!N80:N120,TableUK1!$D65:$D105)-TableUK12b!N90*TableUK1!$D75)/(SUM(TableUK1!$D65:$D105)-TableUK1!$D75)</f>
        <v>3.6020354669812862E-2</v>
      </c>
      <c r="E39" s="871">
        <f>(SUMPRODUCT(TableUK12b!O80:O120,TableUK1!$D65:$D105)-TableUK12b!O90*TableUK1!$D75)/(SUM(TableUK1!$D65:$D105)-TableUK1!$D75)</f>
        <v>3.6478147481253472E-4</v>
      </c>
      <c r="F39" s="622">
        <f>F36</f>
        <v>1.7322929856480056</v>
      </c>
      <c r="G39" s="860">
        <f>TableUK6f!G41</f>
        <v>-5.5384128491178096E-2</v>
      </c>
      <c r="H39" s="638">
        <f>$F39/((1+TableUK4b!B40)^40)</f>
        <v>0.98477886494849687</v>
      </c>
      <c r="I39" s="621">
        <f>B39*(SUM(TableUK1!$D65:$D105)-TableUK1!$D75)/TableUK1!$D106</f>
        <v>-0.27417687113472272</v>
      </c>
      <c r="J39" s="637">
        <f>C39*(SUM(TableUK1!$D65:$D105)-TableUK1!$D75)/TableUK1!$D106</f>
        <v>-1.321737956116529</v>
      </c>
      <c r="K39" s="637">
        <f>D39*(SUM(TableUK1!$D65:$D105)-TableUK1!$D75)/TableUK1!$D106</f>
        <v>1.0370586953242009</v>
      </c>
      <c r="L39" s="637">
        <f>E39*(SUM(TableUK1!$D65:$D105)-TableUK1!$D75)/TableUK1!$D106</f>
        <v>1.0502389657605516E-2</v>
      </c>
      <c r="M39" s="623">
        <f>G39-H39-I39</f>
        <v>-0.76598612230495222</v>
      </c>
      <c r="O39" s="651">
        <f>B39-C39-D39-E39</f>
        <v>-3.6320772778264399E-18</v>
      </c>
      <c r="P39" s="651">
        <f>I39-J39-K39-L39</f>
        <v>-2.1163626406917047E-16</v>
      </c>
    </row>
    <row r="40" spans="1:17" ht="15" customHeight="1">
      <c r="A40" s="448"/>
      <c r="B40" s="484"/>
      <c r="C40" s="487"/>
      <c r="D40" s="487"/>
      <c r="E40" s="868"/>
      <c r="F40" s="627"/>
      <c r="G40" s="629"/>
      <c r="H40" s="627"/>
      <c r="I40" s="628"/>
      <c r="J40" s="628"/>
      <c r="K40" s="628"/>
      <c r="L40" s="628"/>
      <c r="M40" s="630"/>
      <c r="P40" s="651"/>
    </row>
    <row r="41" spans="1:17" ht="4" customHeight="1">
      <c r="A41" s="448"/>
      <c r="B41" s="484"/>
      <c r="C41" s="868"/>
      <c r="D41" s="868"/>
      <c r="E41" s="868"/>
      <c r="F41" s="473"/>
      <c r="G41" s="493"/>
      <c r="H41" s="473"/>
      <c r="I41" s="472"/>
      <c r="J41" s="472"/>
      <c r="K41" s="472"/>
      <c r="L41" s="472"/>
      <c r="M41" s="613"/>
      <c r="P41" s="651"/>
    </row>
    <row r="42" spans="1:17" ht="15" customHeight="1">
      <c r="A42" s="463" t="s">
        <v>374</v>
      </c>
      <c r="B42" s="1730">
        <f>SUMPRODUCT(TableUK12b!G121:G180,TableUK1!$D106:$D165)/SUM(TableUK1!$D106:$D165)</f>
        <v>-1.1707233064559419E-2</v>
      </c>
      <c r="C42" s="871">
        <f>SUMPRODUCT(TableUK12b!K121:K180,TableUK1!$D106:$D165)/SUM(TableUK1!$D106:$D165)</f>
        <v>-1.1932457822759847E-2</v>
      </c>
      <c r="D42" s="871">
        <f>SUMPRODUCT(TableUK12b!N121:N180,TableUK1!$D106:$D165)/SUM(TableUK1!$D106:$D165)</f>
        <v>2.6010826987275903E-3</v>
      </c>
      <c r="E42" s="871">
        <f>SUMPRODUCT(TableUK12b!O121:O180,TableUK1!$D106:$D165)/SUM(TableUK1!$D106:$D165)</f>
        <v>-2.3758579405271604E-3</v>
      </c>
      <c r="F42" s="622">
        <f>G39</f>
        <v>-5.5384128491178096E-2</v>
      </c>
      <c r="G42" s="860">
        <f>G18</f>
        <v>-0.203912977215575</v>
      </c>
      <c r="H42" s="638">
        <f>$F42/((1+TableUK4b!B43)^60)</f>
        <v>-1.3935456831517206E-2</v>
      </c>
      <c r="I42" s="621">
        <f>B42*SUM(TableUK1!$D106:$D165)/TableUK1!$D166</f>
        <v>-0.38184561435699438</v>
      </c>
      <c r="J42" s="637">
        <f>C42*SUM(TableUK1!$D106:$D165)/TableUK1!$D166</f>
        <v>-0.38919159317959029</v>
      </c>
      <c r="K42" s="637">
        <f>D42*SUM(TableUK1!$D106:$D165)/TableUK1!$D166</f>
        <v>8.4837468905925764E-2</v>
      </c>
      <c r="L42" s="637">
        <f>E42*SUM(TableUK1!$D106:$D165)/TableUK1!$D166</f>
        <v>-7.7491490083329798E-2</v>
      </c>
      <c r="M42" s="623">
        <f>G42-H42-I42</f>
        <v>0.19186809397293658</v>
      </c>
      <c r="O42" s="651">
        <f>B42-C42-D42-E42</f>
        <v>0</v>
      </c>
      <c r="P42" s="651">
        <f>I42-J42-K42-L42</f>
        <v>0</v>
      </c>
    </row>
    <row r="43" spans="1:17" ht="15" customHeight="1">
      <c r="A43" s="448"/>
      <c r="B43" s="484"/>
      <c r="C43" s="868"/>
      <c r="D43" s="868"/>
      <c r="E43" s="868"/>
      <c r="F43" s="627"/>
      <c r="G43" s="629"/>
      <c r="H43" s="627"/>
      <c r="I43" s="628"/>
      <c r="J43" s="628"/>
      <c r="K43" s="628"/>
      <c r="L43" s="628"/>
      <c r="M43" s="630"/>
      <c r="P43" s="651"/>
    </row>
    <row r="44" spans="1:17" ht="4.75" customHeight="1">
      <c r="A44" s="448"/>
      <c r="B44" s="484"/>
      <c r="C44" s="868"/>
      <c r="D44" s="868"/>
      <c r="E44" s="868"/>
      <c r="F44" s="473"/>
      <c r="G44" s="493"/>
      <c r="H44" s="638"/>
      <c r="I44" s="621"/>
      <c r="J44" s="637"/>
      <c r="K44" s="637"/>
      <c r="L44" s="637"/>
      <c r="M44" s="623"/>
      <c r="P44" s="651"/>
    </row>
    <row r="45" spans="1:17" ht="15">
      <c r="A45" s="479" t="s">
        <v>288</v>
      </c>
      <c r="B45" s="1730">
        <f>SUMPRODUCT(TableUK12b!G121:G150,TableUK1!$D106:$D135)/SUM(TableUK1!$D106:$D135)</f>
        <v>1.4702684281082476E-4</v>
      </c>
      <c r="C45" s="871">
        <f>SUMPRODUCT(TableUK12b!K121:K150,TableUK1!$D106:$D135)/SUM(TableUK1!$D106:$D135)</f>
        <v>-5.9515776452488079E-3</v>
      </c>
      <c r="D45" s="871">
        <f>SUMPRODUCT(TableUK12b!N121:N150,TableUK1!$D106:$D135)/SUM(TableUK1!$D106:$D135)</f>
        <v>7.0138322870976705E-3</v>
      </c>
      <c r="E45" s="871">
        <f>SUMPRODUCT(TableUK12b!O121:O150,TableUK1!$D106:$D135)/SUM(TableUK1!$D106:$D135)</f>
        <v>-9.1522779903803876E-4</v>
      </c>
      <c r="F45" s="622">
        <f>F42</f>
        <v>-5.5384128491178096E-2</v>
      </c>
      <c r="G45" s="860">
        <f>F48</f>
        <v>4.2055335964845543E-2</v>
      </c>
      <c r="H45" s="638">
        <f>$F45/((1+TableUK4b!B46)^30)</f>
        <v>-2.9640260043205212E-2</v>
      </c>
      <c r="I45" s="621">
        <f>B45*SUM(TableUK1!$D106:$D135)/TableUK1!$D136</f>
        <v>3.4047700539231785E-3</v>
      </c>
      <c r="J45" s="637">
        <f>C45*SUM(TableUK1!$D106:$D135)/TableUK1!$D136</f>
        <v>-0.13782349503494787</v>
      </c>
      <c r="K45" s="637">
        <f>D45*SUM(TableUK1!$D106:$D135)/TableUK1!$D136</f>
        <v>0.16242262758152268</v>
      </c>
      <c r="L45" s="637">
        <f>E45*SUM(TableUK1!$D106:$D135)/TableUK1!$D136</f>
        <v>-2.1194362492651657E-2</v>
      </c>
      <c r="M45" s="623">
        <f>G45-H45-I45</f>
        <v>6.8290825954127582E-2</v>
      </c>
      <c r="O45" s="651">
        <f>B45-C45-D45-E45</f>
        <v>0</v>
      </c>
      <c r="P45" s="651">
        <f>I45-J45-K45-L45</f>
        <v>0</v>
      </c>
    </row>
    <row r="46" spans="1:17" ht="15">
      <c r="A46" s="633"/>
      <c r="B46" s="1733"/>
      <c r="C46" s="870"/>
      <c r="D46" s="870"/>
      <c r="E46" s="870"/>
      <c r="F46" s="862"/>
      <c r="G46" s="888"/>
      <c r="H46" s="627"/>
      <c r="I46" s="628"/>
      <c r="J46" s="628"/>
      <c r="K46" s="628"/>
      <c r="L46" s="628"/>
      <c r="M46" s="630"/>
      <c r="P46" s="651"/>
    </row>
    <row r="47" spans="1:17" ht="4" customHeight="1">
      <c r="A47" s="633"/>
      <c r="B47" s="1733"/>
      <c r="C47" s="870"/>
      <c r="D47" s="870"/>
      <c r="E47" s="870"/>
      <c r="F47" s="861"/>
      <c r="G47" s="475"/>
      <c r="H47" s="483"/>
      <c r="I47" s="474"/>
      <c r="J47" s="474"/>
      <c r="K47" s="474"/>
      <c r="L47" s="474"/>
      <c r="M47" s="635"/>
      <c r="P47" s="651"/>
    </row>
    <row r="48" spans="1:17" ht="15">
      <c r="A48" s="479" t="s">
        <v>289</v>
      </c>
      <c r="B48" s="1730">
        <f>SUMPRODUCT(TableUK12b!G151:G180,TableUK1!$D136:$D165)/SUM(TableUK1!$D136:$D165)</f>
        <v>-1.7647033875742461E-2</v>
      </c>
      <c r="C48" s="871">
        <f>SUMPRODUCT(TableUK12b!K151:K180,TableUK1!$D136:$D165)/SUM(TableUK1!$D136:$D165)</f>
        <v>-1.4929290793148933E-2</v>
      </c>
      <c r="D48" s="871">
        <f>SUMPRODUCT(TableUK12b!N151:N180,TableUK1!$D136:$D165)/SUM(TableUK1!$D136:$D165)</f>
        <v>3.8999117640893706E-4</v>
      </c>
      <c r="E48" s="871">
        <f>SUMPRODUCT(TableUK12b!O151:O180,TableUK1!$D136:$D165)/SUM(TableUK1!$D136:$D165)</f>
        <v>-3.107734259002461E-3</v>
      </c>
      <c r="F48" s="622">
        <f>TableUK6b!K20</f>
        <v>4.2055335964845543E-2</v>
      </c>
      <c r="G48" s="860">
        <f>G36</f>
        <v>-0.203912977215575</v>
      </c>
      <c r="H48" s="638">
        <f>$F48/((1+TableUK4b!B49)^30)</f>
        <v>1.9772441875300126E-2</v>
      </c>
      <c r="I48" s="621">
        <f>B48*SUM(TableUK1!$D136:$D165)/TableUK1!$D166</f>
        <v>-0.38344637717211566</v>
      </c>
      <c r="J48" s="637">
        <f>C48*SUM(TableUK1!$D136:$D165)/TableUK1!$D166</f>
        <v>-0.32439346513925871</v>
      </c>
      <c r="K48" s="637">
        <f>D48*SUM(TableUK1!$D136:$D165)/TableUK1!$D166</f>
        <v>8.4739851907156133E-3</v>
      </c>
      <c r="L48" s="637">
        <f>E48*SUM(TableUK1!$D136:$D165)/TableUK1!$D166</f>
        <v>-6.7526897223572482E-2</v>
      </c>
      <c r="M48" s="623">
        <f>G48-H48-I48</f>
        <v>0.15976095808124052</v>
      </c>
      <c r="O48" s="651">
        <f>B48-C48-D48-E48</f>
        <v>-3.4694469519536142E-18</v>
      </c>
      <c r="P48" s="651">
        <f>I48-J48-K48-L48</f>
        <v>0</v>
      </c>
      <c r="Q48" s="621"/>
    </row>
    <row r="49" spans="1:17" ht="15">
      <c r="A49" s="633"/>
      <c r="B49" s="1730"/>
      <c r="C49" s="871"/>
      <c r="D49" s="871"/>
      <c r="E49" s="871"/>
      <c r="F49" s="862"/>
      <c r="G49" s="888"/>
      <c r="H49" s="627"/>
      <c r="I49" s="628"/>
      <c r="J49" s="628"/>
      <c r="K49" s="628"/>
      <c r="L49" s="628"/>
      <c r="M49" s="630"/>
      <c r="P49" s="651"/>
      <c r="Q49" s="621"/>
    </row>
    <row r="50" spans="1:17" ht="4" customHeight="1">
      <c r="A50" s="633"/>
      <c r="B50" s="1730"/>
      <c r="C50" s="871"/>
      <c r="D50" s="871"/>
      <c r="E50" s="871"/>
      <c r="F50" s="862"/>
      <c r="G50" s="888"/>
      <c r="H50" s="483"/>
      <c r="I50" s="474"/>
      <c r="J50" s="474"/>
      <c r="K50" s="474"/>
      <c r="L50" s="474"/>
      <c r="M50" s="635"/>
      <c r="P50" s="651"/>
    </row>
    <row r="51" spans="1:17" ht="15">
      <c r="A51" s="479" t="s">
        <v>375</v>
      </c>
      <c r="B51" s="1730">
        <f>SUMPRODUCT(TableUK12b!G121:G140,TableUK1!$D106:$D125)/SUM(TableUK1!D$106:$D125)</f>
        <v>3.8878309775174824E-3</v>
      </c>
      <c r="C51" s="871">
        <f>SUMPRODUCT(TableUK12b!K121:K140,TableUK1!$D106:$D125)/SUM(TableUK1!$D106:$D125)</f>
        <v>-7.200271013875565E-3</v>
      </c>
      <c r="D51" s="871">
        <f>SUMPRODUCT(TableUK12b!N121:N140,TableUK1!$D106:$D125)/SUM(TableUK1!$D106:$D125)</f>
        <v>1.0889429402356288E-2</v>
      </c>
      <c r="E51" s="871">
        <f>SUMPRODUCT(TableUK12b!O121:O140,TableUK1!$D106:$D125)/SUM(TableUK1!$D106:$D125)</f>
        <v>1.9867258903675622E-4</v>
      </c>
      <c r="F51" s="622">
        <f>F45</f>
        <v>-5.5384128491178096E-2</v>
      </c>
      <c r="G51" s="860">
        <f>F54</f>
        <v>6.1009193848501529E-2</v>
      </c>
      <c r="H51" s="638">
        <f>$F51/((1+TableUK4b!B52)^20)</f>
        <v>-3.3239068039844631E-2</v>
      </c>
      <c r="I51" s="621">
        <f>B51*SUM(TableUK1!$D106:$D125)/TableUK1!$D126</f>
        <v>5.9119141110909476E-2</v>
      </c>
      <c r="J51" s="637">
        <f>C51*SUM(TableUK1!$D106:$D125)/TableUK1!$D126</f>
        <v>-0.10948877164868637</v>
      </c>
      <c r="K51" s="637">
        <f>D51*SUM(TableUK1!$D106:$D125)/TableUK1!$D126</f>
        <v>0.1655868573448788</v>
      </c>
      <c r="L51" s="637">
        <f>E51*SUM(TableUK1!$D106:$D125)/TableUK1!$D126</f>
        <v>3.0210554147170102E-3</v>
      </c>
      <c r="M51" s="623">
        <f>G51-H51-I51</f>
        <v>3.5129120777436684E-2</v>
      </c>
      <c r="O51" s="1740">
        <f>B51-C51-D51-E51</f>
        <v>2.8189256484623115E-18</v>
      </c>
      <c r="P51" s="651">
        <f>I51-J51-K51-L51</f>
        <v>5.0740661672321608E-17</v>
      </c>
    </row>
    <row r="52" spans="1:17" ht="15">
      <c r="A52" s="633"/>
      <c r="B52" s="1730"/>
      <c r="C52" s="871"/>
      <c r="D52" s="871"/>
      <c r="E52" s="871"/>
      <c r="F52" s="862"/>
      <c r="G52" s="888"/>
      <c r="H52" s="627"/>
      <c r="I52" s="628"/>
      <c r="J52" s="628"/>
      <c r="K52" s="628"/>
      <c r="L52" s="628"/>
      <c r="M52" s="630"/>
      <c r="O52" s="426"/>
      <c r="P52" s="651"/>
    </row>
    <row r="53" spans="1:17" ht="4" customHeight="1">
      <c r="A53" s="633"/>
      <c r="B53" s="1730"/>
      <c r="C53" s="871"/>
      <c r="D53" s="871"/>
      <c r="E53" s="871"/>
      <c r="F53" s="862"/>
      <c r="G53" s="888"/>
      <c r="H53" s="483"/>
      <c r="I53" s="474"/>
      <c r="J53" s="474"/>
      <c r="K53" s="474"/>
      <c r="L53" s="474"/>
      <c r="M53" s="635"/>
      <c r="O53" s="426"/>
      <c r="P53" s="651"/>
    </row>
    <row r="54" spans="1:17" ht="15">
      <c r="A54" s="479" t="s">
        <v>348</v>
      </c>
      <c r="B54" s="1730">
        <f>SUMPRODUCT(TableUK12b!G141:G180,TableUK1!$D126:$D165)/SUM(TableUK1!$D126:$D165)</f>
        <v>-1.5496014018882308E-2</v>
      </c>
      <c r="C54" s="871">
        <f>SUMPRODUCT(TableUK12b!K141:K180,TableUK1!$D126:$D165)/SUM(TableUK1!$D126:$D165)</f>
        <v>-1.3082130514415622E-2</v>
      </c>
      <c r="D54" s="871">
        <f>SUMPRODUCT(TableUK12b!N141:N180,TableUK1!$D126:$D165)/SUM(TableUK1!$D126:$D165)</f>
        <v>5.8745004875540043E-4</v>
      </c>
      <c r="E54" s="871">
        <f>SUMPRODUCT(TableUK12b!O141:O180,TableUK1!$D126:$D165)/SUM(TableUK1!$D126:$D165)</f>
        <v>-3.0013335532220816E-3</v>
      </c>
      <c r="F54" s="622">
        <f>TableUK6b!K10</f>
        <v>6.1009193848501529E-2</v>
      </c>
      <c r="G54" s="860">
        <f>G48</f>
        <v>-0.203912977215575</v>
      </c>
      <c r="H54" s="638">
        <f>$F54/((1+TableUK4b!B55)^40)</f>
        <v>2.5578063325430941E-2</v>
      </c>
      <c r="I54" s="621">
        <f>B54*SUM(TableUK1!$D126:$D165)/TableUK1!$D166</f>
        <v>-0.40663127434841995</v>
      </c>
      <c r="J54" s="637">
        <f>C54*SUM(TableUK1!$D126:$D165)/TableUK1!$D166</f>
        <v>-0.34328849959654761</v>
      </c>
      <c r="K54" s="637">
        <f>D54*SUM(TableUK1!$D126:$D165)/TableUK1!$D166</f>
        <v>1.5415290774154801E-2</v>
      </c>
      <c r="L54" s="637">
        <f>E54*SUM(TableUK1!$D126:$D165)/TableUK1!$D166</f>
        <v>-7.8758065526027043E-2</v>
      </c>
      <c r="M54" s="623">
        <f>G54-H54-I54</f>
        <v>0.177140233807414</v>
      </c>
      <c r="O54" s="1740">
        <f>B54-C54-D54-E54</f>
        <v>-4.7704895589362195E-18</v>
      </c>
      <c r="P54" s="651">
        <f>I54-J54-K54-L54</f>
        <v>0</v>
      </c>
    </row>
    <row r="55" spans="1:17" ht="15">
      <c r="A55" s="633"/>
      <c r="B55" s="1730"/>
      <c r="C55" s="871"/>
      <c r="D55" s="871"/>
      <c r="E55" s="871"/>
      <c r="F55" s="862"/>
      <c r="G55" s="888"/>
      <c r="H55" s="627"/>
      <c r="I55" s="628"/>
      <c r="J55" s="628"/>
      <c r="K55" s="628"/>
      <c r="L55" s="628"/>
      <c r="M55" s="630"/>
      <c r="O55" s="426"/>
      <c r="P55" s="651"/>
    </row>
    <row r="56" spans="1:17" ht="4" customHeight="1">
      <c r="A56" s="633"/>
      <c r="B56" s="1730"/>
      <c r="C56" s="871"/>
      <c r="D56" s="871"/>
      <c r="E56" s="871"/>
      <c r="F56" s="862"/>
      <c r="G56" s="888"/>
      <c r="H56" s="483"/>
      <c r="I56" s="474"/>
      <c r="J56" s="474"/>
      <c r="K56" s="474"/>
      <c r="L56" s="474"/>
      <c r="M56" s="635"/>
      <c r="O56" s="426"/>
      <c r="P56" s="651"/>
    </row>
    <row r="57" spans="1:17" ht="15">
      <c r="A57" s="479" t="s">
        <v>376</v>
      </c>
      <c r="B57" s="1730">
        <f>SUMPRODUCT(TableUK12b!G141:G160,TableUK1!$D126:$D145)/SUM(TableUK1!$D126:$D145)</f>
        <v>-8.7381791684829936E-3</v>
      </c>
      <c r="C57" s="871">
        <f>SUMPRODUCT(TableUK12b!K141:K160,TableUK1!$D126:$D145)/SUM(TableUK1!$D126:$D145)</f>
        <v>-1.4669744666016315E-3</v>
      </c>
      <c r="D57" s="871">
        <f>SUMPRODUCT(TableUK12b!N141:N160,TableUK1!$D126:$D145)/SUM(TableUK1!$D126:$D145)</f>
        <v>-6.6878084376782373E-3</v>
      </c>
      <c r="E57" s="871">
        <f>SUMPRODUCT(TableUK12b!O141:O160,TableUK1!$D126:$D145)/SUM(TableUK1!$D126:$D145)</f>
        <v>-5.83396264203125E-4</v>
      </c>
      <c r="F57" s="622">
        <f>F54</f>
        <v>6.1009193848501529E-2</v>
      </c>
      <c r="G57" s="860">
        <f>TableUK6b!K30</f>
        <v>4.6467276638226584E-2</v>
      </c>
      <c r="H57" s="638">
        <f>$F57/((1+TableUK4b!B58)^20)</f>
        <v>4.1257049521183836E-2</v>
      </c>
      <c r="I57" s="621">
        <f>B57*SUM(TableUK1!$D126:$D145)/TableUK1!$D146</f>
        <v>-0.13844922996724479</v>
      </c>
      <c r="J57" s="637">
        <f>C57*SUM(TableUK1!$D126:$D145)/TableUK1!$D146</f>
        <v>-2.3242998497347744E-2</v>
      </c>
      <c r="K57" s="637">
        <f>D57*SUM(TableUK1!$D126:$D145)/TableUK1!$D146</f>
        <v>-0.10596279963045672</v>
      </c>
      <c r="L57" s="637">
        <f>E57*SUM(TableUK1!$D126:$D145)/TableUK1!$D146</f>
        <v>-9.2434318394403331E-3</v>
      </c>
      <c r="M57" s="623">
        <f>G57-H57-I57</f>
        <v>0.14365945708428754</v>
      </c>
      <c r="O57" s="1740">
        <f>B57-C57-D57-E57</f>
        <v>0</v>
      </c>
      <c r="P57" s="651">
        <f>I57-J57-K57-L57</f>
        <v>1.3877787807814457E-17</v>
      </c>
    </row>
    <row r="58" spans="1:17" ht="15">
      <c r="A58" s="633"/>
      <c r="B58" s="1730"/>
      <c r="C58" s="871"/>
      <c r="D58" s="871"/>
      <c r="E58" s="871"/>
      <c r="F58" s="862"/>
      <c r="G58" s="888"/>
      <c r="H58" s="627"/>
      <c r="I58" s="628"/>
      <c r="J58" s="628"/>
      <c r="K58" s="628"/>
      <c r="L58" s="628"/>
      <c r="M58" s="630"/>
      <c r="O58" s="426"/>
      <c r="P58" s="651"/>
    </row>
    <row r="59" spans="1:17" ht="4" customHeight="1">
      <c r="A59" s="633"/>
      <c r="B59" s="1730"/>
      <c r="C59" s="871"/>
      <c r="D59" s="871"/>
      <c r="E59" s="871"/>
      <c r="F59" s="861"/>
      <c r="G59" s="475"/>
      <c r="H59" s="483"/>
      <c r="I59" s="474"/>
      <c r="J59" s="474"/>
      <c r="K59" s="474"/>
      <c r="L59" s="474"/>
      <c r="M59" s="635"/>
      <c r="O59" s="426"/>
      <c r="P59" s="651"/>
    </row>
    <row r="60" spans="1:17" ht="15">
      <c r="A60" s="479" t="s">
        <v>377</v>
      </c>
      <c r="B60" s="1730">
        <f>SUMPRODUCT(TableUK12b!G161:G180,TableUK1!$D146:$D165)/SUM(TableUK1!$D146:$D165)</f>
        <v>-1.9539191060223719E-2</v>
      </c>
      <c r="C60" s="871">
        <f>SUMPRODUCT(TableUK12b!K161:K180,TableUK1!$D146:$D165)/SUM(TableUK1!$D146:$D165)</f>
        <v>-2.0031417276187319E-2</v>
      </c>
      <c r="D60" s="871">
        <f>SUMPRODUCT(TableUK12b!N161:N180,TableUK1!$D146:$D165)/SUM(TableUK1!$D146:$D165)</f>
        <v>4.9401989296243409E-3</v>
      </c>
      <c r="E60" s="871">
        <f>SUMPRODUCT(TableUK12b!O161:O180,TableUK1!$D146:$D165)/SUM(TableUK1!$D146:$D165)</f>
        <v>-4.4479727136607361E-3</v>
      </c>
      <c r="F60" s="622">
        <f>G57</f>
        <v>4.6467276638226584E-2</v>
      </c>
      <c r="G60" s="860">
        <f>G48</f>
        <v>-0.203912977215575</v>
      </c>
      <c r="H60" s="638">
        <f>$F60/((1+TableUK4b!B61)^20)</f>
        <v>2.8808239033249652E-2</v>
      </c>
      <c r="I60" s="621">
        <f>B60*SUM(TableUK1!$D146:$D165)/TableUK1!$D166</f>
        <v>-0.32079713902953227</v>
      </c>
      <c r="J60" s="637">
        <f>C60*SUM(TableUK1!$D146:$D165)/TableUK1!$D166</f>
        <v>-0.3288785770660283</v>
      </c>
      <c r="K60" s="637">
        <f>D60*SUM(TableUK1!$D146:$D165)/TableUK1!$D166</f>
        <v>8.1108868733386574E-2</v>
      </c>
      <c r="L60" s="637">
        <f>E60*SUM(TableUK1!$D146:$D165)/TableUK1!$D166</f>
        <v>-7.3027430696890439E-2</v>
      </c>
      <c r="M60" s="623">
        <f>G60-H60-I60</f>
        <v>8.8075922780707638E-2</v>
      </c>
      <c r="O60" s="1740">
        <f>B60-C60-D60-E60</f>
        <v>0</v>
      </c>
      <c r="P60" s="651">
        <f>I60-J60-K60-L60</f>
        <v>-1.1102230246251565E-16</v>
      </c>
    </row>
    <row r="61" spans="1:17" ht="15">
      <c r="A61" s="633"/>
      <c r="B61" s="1730"/>
      <c r="C61" s="871"/>
      <c r="D61" s="871"/>
      <c r="E61" s="871"/>
      <c r="F61" s="862"/>
      <c r="G61" s="888"/>
      <c r="H61" s="627"/>
      <c r="I61" s="628"/>
      <c r="J61" s="628"/>
      <c r="K61" s="628"/>
      <c r="L61" s="628"/>
      <c r="M61" s="630"/>
      <c r="O61" s="426"/>
      <c r="P61" s="651"/>
    </row>
    <row r="62" spans="1:17" ht="4.75" customHeight="1">
      <c r="A62" s="407"/>
      <c r="B62" s="1734"/>
      <c r="C62" s="1328"/>
      <c r="D62" s="1328"/>
      <c r="E62" s="1328"/>
      <c r="F62" s="862"/>
      <c r="G62" s="888"/>
      <c r="H62" s="473"/>
      <c r="I62" s="472"/>
      <c r="J62" s="472"/>
      <c r="K62" s="472"/>
      <c r="L62" s="472"/>
      <c r="M62" s="613"/>
      <c r="O62" s="426"/>
      <c r="P62" s="651"/>
    </row>
    <row r="63" spans="1:17" ht="15">
      <c r="A63" s="485" t="s">
        <v>378</v>
      </c>
      <c r="B63" s="1730">
        <f>SUMPRODUCT(TableUK12b!G121:G130,TableUK1!$D106:$D115)/SUM(TableUK1!D$106:$D115)</f>
        <v>8.9523183247242673E-3</v>
      </c>
      <c r="C63" s="871">
        <f>SUMPRODUCT(TableUK12b!K121:K130,TableUK1!$D106:$D115)/SUM(TableUK1!$D106:$D115)</f>
        <v>-7.1191210316493151E-3</v>
      </c>
      <c r="D63" s="871">
        <f>SUMPRODUCT(TableUK12b!N121:N130,TableUK1!$D106:$D115)/SUM(TableUK1!$D106:$D115)</f>
        <v>1.3054541469485354E-2</v>
      </c>
      <c r="E63" s="871">
        <f>SUMPRODUCT(TableUK12b!O121:O130,TableUK1!$D106:$D115)/SUM(TableUK1!$D106:$D115)</f>
        <v>3.0168978868882271E-3</v>
      </c>
      <c r="F63" s="638">
        <f>F45</f>
        <v>-5.5384128491178096E-2</v>
      </c>
      <c r="G63" s="864">
        <f>AVERAGE(DataUK3!BR119:BR120)/DataUK1!B119</f>
        <v>4.5971656765016224E-2</v>
      </c>
      <c r="H63" s="638">
        <f>$F63/((1+TableUK4b!B64)^10)</f>
        <v>-4.3561234649850691E-2</v>
      </c>
      <c r="I63" s="637">
        <f>B63*SUM(TableUK1!$D106:$D115)/TableUK1!$D116</f>
        <v>7.6796646083204939E-2</v>
      </c>
      <c r="J63" s="637">
        <f>C63*SUM(TableUK1!$D106:$D115)/TableUK1!$D116</f>
        <v>-6.107073033597836E-2</v>
      </c>
      <c r="K63" s="637">
        <f>D63*SUM(TableUK1!$D106:$D115)/TableUK1!$D116</f>
        <v>0.11198719310972081</v>
      </c>
      <c r="L63" s="637">
        <f>E63*SUM(TableUK1!$D106:$D115)/TableUK1!$D116</f>
        <v>2.5880183309462471E-2</v>
      </c>
      <c r="M63" s="639">
        <f>G63-H63-I63</f>
        <v>1.2736245331661983E-2</v>
      </c>
      <c r="O63" s="1740">
        <f>B63-C63-D63-E63</f>
        <v>0</v>
      </c>
      <c r="P63" s="651">
        <f>I63-J63-K63-L63</f>
        <v>0</v>
      </c>
    </row>
    <row r="64" spans="1:17" ht="15">
      <c r="A64" s="492"/>
      <c r="B64" s="1735"/>
      <c r="C64" s="872"/>
      <c r="D64" s="872"/>
      <c r="E64" s="872"/>
      <c r="F64" s="862"/>
      <c r="G64" s="888"/>
      <c r="H64" s="627"/>
      <c r="I64" s="628"/>
      <c r="J64" s="628"/>
      <c r="K64" s="628"/>
      <c r="L64" s="628"/>
      <c r="M64" s="630"/>
      <c r="O64" s="426"/>
      <c r="P64" s="651"/>
    </row>
    <row r="65" spans="1:16" ht="4.75" customHeight="1">
      <c r="A65" s="448"/>
      <c r="B65" s="1736"/>
      <c r="C65" s="873"/>
      <c r="D65" s="873"/>
      <c r="E65" s="873"/>
      <c r="F65" s="862"/>
      <c r="G65" s="888"/>
      <c r="H65" s="473"/>
      <c r="I65" s="472"/>
      <c r="J65" s="472"/>
      <c r="K65" s="472"/>
      <c r="L65" s="472"/>
      <c r="M65" s="613"/>
      <c r="O65" s="426"/>
      <c r="P65" s="651"/>
    </row>
    <row r="66" spans="1:16" ht="15">
      <c r="A66" s="485" t="s">
        <v>379</v>
      </c>
      <c r="B66" s="1730">
        <f>SUMPRODUCT(TableUK12b!G131:G140,TableUK1!$D116:$D125)/SUM(TableUK1!D$116:$D125)</f>
        <v>6.0047918890496079E-5</v>
      </c>
      <c r="C66" s="871">
        <f>SUMPRODUCT(TableUK12b!K131:K140,TableUK1!$D116:$D125)/SUM(TableUK1!$D116:$D125)</f>
        <v>-7.2616048678035101E-3</v>
      </c>
      <c r="D66" s="871">
        <f>SUMPRODUCT(TableUK12b!N131:N140,TableUK1!$D116:$D125)/SUM(TableUK1!$D116:$D125)</f>
        <v>9.2530190961569204E-3</v>
      </c>
      <c r="E66" s="871">
        <f>SUMPRODUCT(TableUK12b!O131:O140,TableUK1!$D116:$D125)/SUM(TableUK1!$D116:$D125)</f>
        <v>-1.9313663094629137E-3</v>
      </c>
      <c r="F66" s="638">
        <f>G63</f>
        <v>4.5971656765016224E-2</v>
      </c>
      <c r="G66" s="864">
        <f>F69</f>
        <v>6.1009193848501529E-2</v>
      </c>
      <c r="H66" s="638">
        <f>$F66/((1+TableUK4b!B67)^10)</f>
        <v>3.5078322260592716E-2</v>
      </c>
      <c r="I66" s="637">
        <f>B66*SUM(TableUK1!$D116:$D125)/TableUK1!$D126</f>
        <v>5.2004572461119647E-4</v>
      </c>
      <c r="J66" s="637">
        <f>C66*SUM(TableUK1!$D116:$D125)/TableUK1!$D126</f>
        <v>-6.2889216397385622E-2</v>
      </c>
      <c r="K66" s="637">
        <f>D66*SUM(TableUK1!$D116:$D125)/TableUK1!$D126</f>
        <v>8.0135883301423932E-2</v>
      </c>
      <c r="L66" s="637">
        <f>E66*SUM(TableUK1!$D116:$D125)/TableUK1!$D126</f>
        <v>-1.6726621179427116E-2</v>
      </c>
      <c r="M66" s="639">
        <f>G66-H66-I66</f>
        <v>2.5410825863297615E-2</v>
      </c>
      <c r="O66" s="1740">
        <f>B66-C66-D66-E66</f>
        <v>0</v>
      </c>
      <c r="P66" s="651">
        <f>I66-J66-K66-L66</f>
        <v>0</v>
      </c>
    </row>
    <row r="67" spans="1:16" ht="15">
      <c r="A67" s="492"/>
      <c r="B67" s="1735"/>
      <c r="C67" s="872"/>
      <c r="D67" s="872"/>
      <c r="E67" s="872"/>
      <c r="F67" s="862"/>
      <c r="G67" s="888"/>
      <c r="H67" s="627"/>
      <c r="I67" s="628"/>
      <c r="J67" s="628"/>
      <c r="K67" s="628"/>
      <c r="L67" s="628"/>
      <c r="M67" s="630"/>
      <c r="O67" s="426"/>
      <c r="P67" s="651"/>
    </row>
    <row r="68" spans="1:16" ht="4.75" customHeight="1">
      <c r="A68" s="448"/>
      <c r="B68" s="1736"/>
      <c r="C68" s="873"/>
      <c r="D68" s="873"/>
      <c r="E68" s="873"/>
      <c r="F68" s="862"/>
      <c r="G68" s="888"/>
      <c r="H68" s="473"/>
      <c r="I68" s="472"/>
      <c r="J68" s="472"/>
      <c r="K68" s="472"/>
      <c r="L68" s="472"/>
      <c r="M68" s="613"/>
      <c r="P68" s="651"/>
    </row>
    <row r="69" spans="1:16" ht="15">
      <c r="A69" s="485" t="s">
        <v>380</v>
      </c>
      <c r="B69" s="1730">
        <f>SUMPRODUCT(TableUK12b!G141:G150,TableUK1!$D126:$D135)/SUM(TableUK1!$D126:$D135)</f>
        <v>-5.1380808964105809E-3</v>
      </c>
      <c r="C69" s="871">
        <f>SUMPRODUCT(TableUK12b!K141:K150,TableUK1!$D126:$D135)/SUM(TableUK1!$D126:$D135)</f>
        <v>-4.187390387965095E-3</v>
      </c>
      <c r="D69" s="871">
        <f>SUMPRODUCT(TableUK12b!N141:N150,TableUK1!$D126:$D135)/SUM(TableUK1!$D126:$D135)</f>
        <v>1.5382854339706807E-3</v>
      </c>
      <c r="E69" s="871">
        <f>SUMPRODUCT(TableUK12b!O141:O150,TableUK1!$D126:$D135)/SUM(TableUK1!$D126:$D135)</f>
        <v>-2.4889759424161664E-3</v>
      </c>
      <c r="F69" s="638">
        <f>F54</f>
        <v>6.1009193848501529E-2</v>
      </c>
      <c r="G69" s="864">
        <f>F48</f>
        <v>4.2055335964845543E-2</v>
      </c>
      <c r="H69" s="638">
        <f>$F69/((1+TableUK4b!B70)^10)</f>
        <v>5.4403702550510961E-2</v>
      </c>
      <c r="I69" s="637">
        <f>B69*SUM(TableUK1!$D126:$D135)/TableUK1!$D136</f>
        <v>-4.9313516570652548E-2</v>
      </c>
      <c r="J69" s="637">
        <f>C69*SUM(TableUK1!$D126:$D135)/TableUK1!$D136</f>
        <v>-4.0189119137646022E-2</v>
      </c>
      <c r="K69" s="637">
        <f>D69*SUM(TableUK1!$D126:$D135)/TableUK1!$D136</f>
        <v>1.4763929523083323E-2</v>
      </c>
      <c r="L69" s="637">
        <f>E69*SUM(TableUK1!$D126:$D135)/TableUK1!$D136</f>
        <v>-2.3888326956089844E-2</v>
      </c>
      <c r="M69" s="639">
        <f>G69-H69-I69</f>
        <v>3.6965149984987129E-2</v>
      </c>
      <c r="O69" s="651">
        <f>B69-C69-D69-E69</f>
        <v>0</v>
      </c>
      <c r="P69" s="651">
        <f>I69-J69-K69-L69</f>
        <v>0</v>
      </c>
    </row>
    <row r="70" spans="1:16" ht="15">
      <c r="A70" s="492"/>
      <c r="B70" s="1735"/>
      <c r="C70" s="872"/>
      <c r="D70" s="872"/>
      <c r="E70" s="872"/>
      <c r="F70" s="862"/>
      <c r="G70" s="888"/>
      <c r="H70" s="627"/>
      <c r="I70" s="628"/>
      <c r="J70" s="628"/>
      <c r="K70" s="628"/>
      <c r="L70" s="628"/>
      <c r="M70" s="630"/>
      <c r="P70" s="651"/>
    </row>
    <row r="71" spans="1:16" ht="4.75" customHeight="1">
      <c r="A71" s="448"/>
      <c r="B71" s="1736"/>
      <c r="C71" s="873"/>
      <c r="D71" s="873"/>
      <c r="E71" s="873"/>
      <c r="F71" s="862"/>
      <c r="G71" s="888"/>
      <c r="H71" s="473"/>
      <c r="I71" s="472"/>
      <c r="J71" s="472"/>
      <c r="K71" s="472"/>
      <c r="L71" s="472"/>
      <c r="M71" s="613"/>
      <c r="P71" s="651"/>
    </row>
    <row r="72" spans="1:16" ht="15">
      <c r="A72" s="485" t="s">
        <v>381</v>
      </c>
      <c r="B72" s="1730">
        <f>SUMPRODUCT(TableUK12b!G151:G160,TableUK1!$D136:$D145)/SUM(TableUK1!$D136:$D145)</f>
        <v>-1.179719339997734E-2</v>
      </c>
      <c r="C72" s="871">
        <f>SUMPRODUCT(TableUK12b!K151:K160,TableUK1!$D136:$D145)/SUM(TableUK1!$D136:$D145)</f>
        <v>8.4457104969455502E-4</v>
      </c>
      <c r="D72" s="871">
        <f>SUMPRODUCT(TableUK12b!N151:N160,TableUK1!$D136:$D145)/SUM(TableUK1!$D136:$D145)</f>
        <v>-1.3677544917426289E-2</v>
      </c>
      <c r="E72" s="871">
        <f>SUMPRODUCT(TableUK12b!O151:O160,TableUK1!$D136:$D145)/SUM(TableUK1!$D136:$D145)</f>
        <v>1.0357804677543912E-3</v>
      </c>
      <c r="F72" s="638">
        <f>G69</f>
        <v>4.2055335964845543E-2</v>
      </c>
      <c r="G72" s="864">
        <f>F60</f>
        <v>4.6467276638226584E-2</v>
      </c>
      <c r="H72" s="638">
        <f>$F72/((1+TableUK4b!B73)^10)</f>
        <v>3.1892665336899238E-2</v>
      </c>
      <c r="I72" s="637">
        <f>B72*SUM(TableUK1!$D136:$D145)/TableUK1!$D146</f>
        <v>-0.10105232314219594</v>
      </c>
      <c r="J72" s="637">
        <f>C72*SUM(TableUK1!$D136:$D145)/TableUK1!$D146</f>
        <v>7.2344212506037014E-3</v>
      </c>
      <c r="K72" s="637">
        <f>D72*SUM(TableUK1!$D136:$D145)/TableUK1!$D146</f>
        <v>-0.11715902604345843</v>
      </c>
      <c r="L72" s="637">
        <f>E72*SUM(TableUK1!$D136:$D145)/TableUK1!$D146</f>
        <v>8.8722816506587622E-3</v>
      </c>
      <c r="M72" s="639">
        <f>G72-H72-I72</f>
        <v>0.11562693444352329</v>
      </c>
      <c r="O72" s="651">
        <f>B72-C72-D72-E72</f>
        <v>3.0357660829594124E-18</v>
      </c>
      <c r="P72" s="651">
        <f>I72-J72-K72-L72</f>
        <v>3.8163916471489756E-17</v>
      </c>
    </row>
    <row r="73" spans="1:16" ht="15">
      <c r="A73" s="492"/>
      <c r="B73" s="1735"/>
      <c r="C73" s="872"/>
      <c r="D73" s="872"/>
      <c r="E73" s="872"/>
      <c r="F73" s="862"/>
      <c r="G73" s="888"/>
      <c r="H73" s="627"/>
      <c r="I73" s="628"/>
      <c r="J73" s="628"/>
      <c r="K73" s="628"/>
      <c r="L73" s="628"/>
      <c r="M73" s="630"/>
      <c r="P73" s="651"/>
    </row>
    <row r="74" spans="1:16" ht="4.75" customHeight="1">
      <c r="A74" s="448"/>
      <c r="B74" s="1736"/>
      <c r="C74" s="873"/>
      <c r="D74" s="873"/>
      <c r="E74" s="873"/>
      <c r="F74" s="862"/>
      <c r="G74" s="888"/>
      <c r="H74" s="473"/>
      <c r="I74" s="472"/>
      <c r="J74" s="472"/>
      <c r="K74" s="472"/>
      <c r="L74" s="472"/>
      <c r="M74" s="613"/>
      <c r="P74" s="651"/>
    </row>
    <row r="75" spans="1:16" ht="15">
      <c r="A75" s="485" t="s">
        <v>382</v>
      </c>
      <c r="B75" s="1730">
        <f>SUMPRODUCT(TableUK12b!G161:G170,TableUK1!$D146:$D155)/SUM(TableUK1!$D146:$D155)</f>
        <v>-1.6361833005669891E-2</v>
      </c>
      <c r="C75" s="871">
        <f>SUMPRODUCT(TableUK12b!K161:K170,TableUK1!$D146:$D155)/SUM(TableUK1!$D146:$D155)</f>
        <v>-7.6191077205279055E-3</v>
      </c>
      <c r="D75" s="871">
        <f>SUMPRODUCT(TableUK12b!N161:N170,TableUK1!$D146:$D155)/SUM(TableUK1!$D146:$D155)</f>
        <v>-7.1817781982875407E-3</v>
      </c>
      <c r="E75" s="871">
        <f>SUMPRODUCT(TableUK12b!O161:O170,TableUK1!$D146:$D155)/SUM(TableUK1!$D146:$D155)</f>
        <v>-1.5609470868544455E-3</v>
      </c>
      <c r="F75" s="638">
        <f>G72</f>
        <v>4.6467276638226584E-2</v>
      </c>
      <c r="G75" s="864">
        <f>TableUK6b!K40</f>
        <v>-0.16880435198131671</v>
      </c>
      <c r="H75" s="638">
        <f>$F75/((1+TableUK4b!B76)^10)</f>
        <v>3.4532634260809256E-2</v>
      </c>
      <c r="I75" s="637">
        <f>B75*SUM(TableUK1!$D146:$D155)/TableUK1!$D156</f>
        <v>-0.13457441286916888</v>
      </c>
      <c r="J75" s="637">
        <f>C75*SUM(TableUK1!$D146:$D155)/TableUK1!$D156</f>
        <v>-6.2666386322466613E-2</v>
      </c>
      <c r="K75" s="637">
        <f>D75*SUM(TableUK1!$D146:$D155)/TableUK1!$D156</f>
        <v>-5.9069395467868803E-2</v>
      </c>
      <c r="L75" s="637">
        <f>E75*SUM(TableUK1!$D146:$D155)/TableUK1!$D156</f>
        <v>-1.283863107883346E-2</v>
      </c>
      <c r="M75" s="639">
        <f>G75-H75-I75</f>
        <v>-6.8762573372957103E-2</v>
      </c>
      <c r="O75" s="651">
        <f>B75-C75-D75-E75</f>
        <v>0</v>
      </c>
      <c r="P75" s="651">
        <f>I75-J75-K75-L75</f>
        <v>0</v>
      </c>
    </row>
    <row r="76" spans="1:16" ht="15">
      <c r="A76" s="492"/>
      <c r="B76" s="1735"/>
      <c r="C76" s="872"/>
      <c r="D76" s="872"/>
      <c r="E76" s="872"/>
      <c r="F76" s="862"/>
      <c r="G76" s="888"/>
      <c r="H76" s="627"/>
      <c r="I76" s="628"/>
      <c r="J76" s="628"/>
      <c r="K76" s="628"/>
      <c r="L76" s="628"/>
      <c r="M76" s="630"/>
      <c r="P76" s="651"/>
    </row>
    <row r="77" spans="1:16" ht="4.75" customHeight="1">
      <c r="A77" s="448"/>
      <c r="B77" s="1736"/>
      <c r="C77" s="873"/>
      <c r="D77" s="873"/>
      <c r="E77" s="873"/>
      <c r="F77" s="862"/>
      <c r="G77" s="888"/>
      <c r="H77" s="473"/>
      <c r="I77" s="472"/>
      <c r="J77" s="472"/>
      <c r="K77" s="472"/>
      <c r="L77" s="472"/>
      <c r="M77" s="613"/>
      <c r="P77" s="651"/>
    </row>
    <row r="78" spans="1:16" ht="15">
      <c r="A78" s="485" t="s">
        <v>383</v>
      </c>
      <c r="B78" s="1730">
        <f>SUMPRODUCT(TableUK12b!G171:G180,TableUK1!$D156:$D165)/SUM(TableUK1!$D156:$D165)</f>
        <v>-2.1820465099210738E-2</v>
      </c>
      <c r="C78" s="871">
        <f>SUMPRODUCT(TableUK12b!K171:K180,TableUK1!$D156:$D165)/SUM(TableUK1!$D156:$D165)</f>
        <v>-2.8943185816913707E-2</v>
      </c>
      <c r="D78" s="871">
        <f>SUMPRODUCT(TableUK12b!N171:N180,TableUK1!$D156:$D165)/SUM(TableUK1!$D156:$D165)</f>
        <v>1.3643515096169208E-2</v>
      </c>
      <c r="E78" s="871">
        <f>SUMPRODUCT(TableUK12b!O171:O180,TableUK1!$D156:$D165)/SUM(TableUK1!$D156:$D165)</f>
        <v>-6.5207943784662374E-3</v>
      </c>
      <c r="F78" s="638">
        <f>G75</f>
        <v>-0.16880435198131671</v>
      </c>
      <c r="G78" s="864">
        <f>G60</f>
        <v>-0.203912977215575</v>
      </c>
      <c r="H78" s="638">
        <f>$F78/((1+TableUK4b!B79)^10)</f>
        <v>-0.14082204343297042</v>
      </c>
      <c r="I78" s="637">
        <f>B78*SUM(TableUK1!$D156:$D165)/TableUK1!$D166</f>
        <v>-0.20853081655861569</v>
      </c>
      <c r="J78" s="637">
        <f>C78*SUM(TableUK1!$D156:$D165)/TableUK1!$D166</f>
        <v>-0.27660025323782261</v>
      </c>
      <c r="K78" s="637">
        <f>D78*SUM(TableUK1!$D156:$D165)/TableUK1!$D166</f>
        <v>0.13038646659446659</v>
      </c>
      <c r="L78" s="637">
        <f>E78*SUM(TableUK1!$D156:$D165)/TableUK1!$D166</f>
        <v>-6.2317029915259677E-2</v>
      </c>
      <c r="M78" s="639">
        <f>G78-H78-I78</f>
        <v>0.14543988277601111</v>
      </c>
      <c r="O78" s="651">
        <f>B78-C78-D78-E78</f>
        <v>0</v>
      </c>
      <c r="P78" s="651">
        <f>I78-J78-K78-L78</f>
        <v>0</v>
      </c>
    </row>
    <row r="79" spans="1:16" ht="14" thickBot="1">
      <c r="A79" s="640"/>
      <c r="B79" s="1737"/>
      <c r="C79" s="874"/>
      <c r="D79" s="874"/>
      <c r="E79" s="874"/>
      <c r="F79" s="865"/>
      <c r="G79" s="887"/>
      <c r="H79" s="642"/>
      <c r="I79" s="643"/>
      <c r="J79" s="643"/>
      <c r="K79" s="643"/>
      <c r="L79" s="643"/>
      <c r="M79" s="645"/>
    </row>
    <row r="80" spans="1:16" ht="13" thickTop="1">
      <c r="F80" s="503"/>
      <c r="G80" s="503"/>
      <c r="H80" s="1620"/>
      <c r="I80" s="890"/>
      <c r="J80" s="890"/>
      <c r="K80" s="890"/>
      <c r="L80" s="1620"/>
      <c r="M80" s="890"/>
    </row>
    <row r="81" spans="6:15">
      <c r="F81" s="503"/>
      <c r="G81" s="503"/>
      <c r="H81" s="1620"/>
      <c r="I81" s="890"/>
      <c r="J81" s="890"/>
      <c r="K81" s="890"/>
      <c r="L81" s="1620"/>
      <c r="M81" s="890"/>
      <c r="O81" s="682"/>
    </row>
    <row r="82" spans="6:15">
      <c r="F82" s="503"/>
      <c r="G82" s="503"/>
      <c r="H82" s="1620"/>
      <c r="I82" s="890"/>
      <c r="J82" s="890"/>
      <c r="K82" s="890"/>
      <c r="L82" s="1620"/>
      <c r="M82" s="890"/>
    </row>
    <row r="83" spans="6:15">
      <c r="F83" s="503"/>
      <c r="G83" s="503"/>
      <c r="H83" s="1620"/>
      <c r="I83" s="503"/>
      <c r="J83" s="503"/>
      <c r="K83" s="503"/>
      <c r="L83" s="1620"/>
      <c r="M83" s="890"/>
    </row>
    <row r="84" spans="6:15">
      <c r="F84" s="503"/>
      <c r="G84" s="503"/>
      <c r="H84" s="1620"/>
      <c r="I84" s="503"/>
      <c r="J84" s="503"/>
      <c r="K84" s="503"/>
      <c r="L84" s="1620"/>
      <c r="M84" s="890"/>
      <c r="O84" s="682"/>
    </row>
    <row r="85" spans="6:15">
      <c r="F85" s="503"/>
      <c r="G85" s="503"/>
      <c r="H85" s="1620"/>
      <c r="I85" s="503"/>
      <c r="J85" s="503"/>
      <c r="K85" s="503"/>
      <c r="L85" s="1620"/>
      <c r="M85" s="890"/>
    </row>
    <row r="86" spans="6:15">
      <c r="F86" s="503"/>
      <c r="G86" s="503"/>
      <c r="H86" s="1620"/>
      <c r="I86" s="503"/>
      <c r="J86" s="503"/>
      <c r="K86" s="503"/>
      <c r="L86" s="1620"/>
      <c r="M86" s="503"/>
    </row>
    <row r="87" spans="6:15">
      <c r="F87" s="503"/>
      <c r="G87" s="503"/>
      <c r="H87" s="1620"/>
      <c r="I87" s="503"/>
      <c r="J87" s="503"/>
      <c r="K87" s="503"/>
      <c r="L87" s="1620"/>
      <c r="M87" s="503"/>
      <c r="O87" s="682"/>
    </row>
    <row r="88" spans="6:15">
      <c r="F88" s="503"/>
      <c r="G88" s="503"/>
      <c r="H88" s="1620"/>
      <c r="I88" s="503"/>
      <c r="J88" s="503"/>
      <c r="K88" s="503"/>
      <c r="L88" s="1620"/>
      <c r="M88" s="503"/>
    </row>
    <row r="89" spans="6:15">
      <c r="F89" s="503"/>
      <c r="G89" s="503"/>
      <c r="H89" s="1620"/>
      <c r="I89" s="503"/>
      <c r="J89" s="503"/>
      <c r="K89" s="503"/>
      <c r="L89" s="1620"/>
      <c r="M89" s="503"/>
    </row>
    <row r="90" spans="6:15">
      <c r="F90" s="503"/>
      <c r="G90" s="503"/>
      <c r="H90" s="1620"/>
      <c r="I90" s="503"/>
      <c r="J90" s="503"/>
      <c r="K90" s="503"/>
      <c r="L90" s="1620"/>
      <c r="M90" s="503"/>
      <c r="O90" s="682"/>
    </row>
    <row r="91" spans="6:15">
      <c r="F91" s="503"/>
      <c r="G91" s="503"/>
      <c r="H91" s="1620"/>
      <c r="I91" s="503"/>
      <c r="J91" s="503"/>
      <c r="K91" s="503"/>
      <c r="L91" s="1620"/>
      <c r="M91" s="503"/>
    </row>
    <row r="92" spans="6:15">
      <c r="F92" s="503"/>
      <c r="G92" s="503"/>
      <c r="H92" s="1620"/>
      <c r="I92" s="503"/>
      <c r="J92" s="503"/>
      <c r="K92" s="503"/>
      <c r="L92" s="1620"/>
      <c r="M92" s="503"/>
    </row>
    <row r="93" spans="6:15">
      <c r="F93" s="503"/>
      <c r="G93" s="503"/>
      <c r="H93" s="1620"/>
      <c r="I93" s="503"/>
      <c r="J93" s="503"/>
      <c r="K93" s="503"/>
      <c r="L93" s="1620"/>
      <c r="M93" s="503"/>
      <c r="O93" s="682"/>
    </row>
    <row r="94" spans="6:15">
      <c r="F94" s="503"/>
      <c r="G94" s="503"/>
      <c r="H94" s="1620"/>
      <c r="I94" s="503"/>
      <c r="J94" s="503"/>
      <c r="K94" s="503"/>
      <c r="L94" s="1620"/>
      <c r="M94" s="503"/>
    </row>
    <row r="95" spans="6:15">
      <c r="F95" s="503"/>
      <c r="G95" s="503"/>
      <c r="H95" s="1620"/>
      <c r="I95" s="503"/>
      <c r="J95" s="503"/>
      <c r="K95" s="503"/>
      <c r="L95" s="1620"/>
      <c r="M95" s="503"/>
    </row>
    <row r="96" spans="6:15">
      <c r="F96" s="503"/>
      <c r="G96" s="503"/>
      <c r="H96" s="1620"/>
      <c r="I96" s="503"/>
      <c r="J96" s="503"/>
      <c r="K96" s="503"/>
      <c r="L96" s="1620"/>
      <c r="M96" s="503"/>
      <c r="O96" s="682"/>
    </row>
    <row r="97" spans="6:13">
      <c r="F97" s="503"/>
      <c r="G97" s="503"/>
      <c r="H97" s="1620"/>
      <c r="I97" s="503"/>
      <c r="J97" s="503"/>
      <c r="K97" s="503"/>
      <c r="L97" s="1620"/>
      <c r="M97" s="503"/>
    </row>
    <row r="98" spans="6:13">
      <c r="F98" s="503"/>
      <c r="G98" s="503"/>
      <c r="H98" s="1620"/>
      <c r="I98" s="503"/>
      <c r="J98" s="503"/>
      <c r="K98" s="503"/>
      <c r="L98" s="1620"/>
      <c r="M98" s="503"/>
    </row>
    <row r="99" spans="6:13">
      <c r="F99" s="503"/>
      <c r="G99" s="503"/>
      <c r="H99" s="1620"/>
      <c r="I99" s="503"/>
      <c r="J99" s="503"/>
      <c r="K99" s="503"/>
      <c r="L99" s="1620"/>
      <c r="M99" s="503"/>
    </row>
    <row r="100" spans="6:13">
      <c r="F100" s="503"/>
      <c r="G100" s="503"/>
      <c r="H100" s="1620"/>
      <c r="I100" s="503"/>
      <c r="J100" s="503"/>
      <c r="K100" s="503"/>
      <c r="L100" s="1620"/>
      <c r="M100" s="503"/>
    </row>
    <row r="101" spans="6:13">
      <c r="F101" s="503"/>
      <c r="G101" s="503"/>
      <c r="H101" s="1620"/>
      <c r="I101" s="503"/>
      <c r="J101" s="503"/>
      <c r="K101" s="503"/>
      <c r="L101" s="1620"/>
      <c r="M101" s="503"/>
    </row>
    <row r="102" spans="6:13">
      <c r="F102" s="503"/>
      <c r="G102" s="503"/>
      <c r="H102" s="1620"/>
      <c r="I102" s="503"/>
      <c r="J102" s="503"/>
      <c r="K102" s="503"/>
      <c r="L102" s="1620"/>
      <c r="M102" s="503"/>
    </row>
    <row r="103" spans="6:13">
      <c r="F103" s="503"/>
      <c r="G103" s="503"/>
      <c r="H103" s="1620"/>
      <c r="I103" s="503"/>
      <c r="J103" s="503"/>
      <c r="K103" s="503"/>
      <c r="L103" s="1620"/>
      <c r="M103" s="503"/>
    </row>
    <row r="104" spans="6:13">
      <c r="F104" s="503"/>
      <c r="G104" s="503"/>
      <c r="H104" s="1620"/>
      <c r="I104" s="503"/>
      <c r="J104" s="503"/>
      <c r="K104" s="503"/>
      <c r="L104" s="1620"/>
      <c r="M104" s="503"/>
    </row>
    <row r="105" spans="6:13">
      <c r="F105" s="503"/>
      <c r="G105" s="503"/>
      <c r="H105" s="1620"/>
      <c r="I105" s="503"/>
      <c r="J105" s="503"/>
      <c r="K105" s="503"/>
      <c r="L105" s="1620"/>
      <c r="M105" s="503"/>
    </row>
    <row r="106" spans="6:13">
      <c r="F106" s="503"/>
      <c r="G106" s="503"/>
      <c r="H106" s="1620"/>
      <c r="I106" s="503"/>
      <c r="J106" s="503"/>
      <c r="K106" s="503"/>
      <c r="L106" s="1620"/>
      <c r="M106" s="503"/>
    </row>
    <row r="107" spans="6:13">
      <c r="F107" s="503"/>
      <c r="G107" s="503"/>
      <c r="H107" s="1620"/>
      <c r="I107" s="503"/>
      <c r="J107" s="503"/>
      <c r="K107" s="503"/>
      <c r="L107" s="1620"/>
      <c r="M107" s="503"/>
    </row>
    <row r="108" spans="6:13">
      <c r="F108" s="503"/>
      <c r="G108" s="503"/>
      <c r="H108" s="1620"/>
      <c r="I108" s="503"/>
      <c r="J108" s="503"/>
      <c r="K108" s="503"/>
      <c r="L108" s="1620"/>
      <c r="M108" s="503"/>
    </row>
    <row r="109" spans="6:13">
      <c r="F109" s="503"/>
      <c r="G109" s="503"/>
      <c r="H109" s="1620"/>
      <c r="I109" s="503"/>
      <c r="J109" s="503"/>
      <c r="K109" s="503"/>
      <c r="L109" s="1620"/>
      <c r="M109" s="503"/>
    </row>
    <row r="110" spans="6:13">
      <c r="F110" s="503"/>
      <c r="G110" s="503"/>
      <c r="H110" s="1620"/>
      <c r="I110" s="503"/>
      <c r="J110" s="503"/>
      <c r="K110" s="503"/>
      <c r="L110" s="1620"/>
      <c r="M110" s="503"/>
    </row>
    <row r="111" spans="6:13">
      <c r="F111" s="503"/>
      <c r="G111" s="503"/>
      <c r="H111" s="1620"/>
      <c r="I111" s="503"/>
      <c r="J111" s="503"/>
      <c r="K111" s="503"/>
      <c r="L111" s="1620"/>
      <c r="M111" s="503"/>
    </row>
    <row r="112" spans="6:13">
      <c r="F112" s="503"/>
      <c r="G112" s="503"/>
      <c r="H112" s="1620"/>
      <c r="I112" s="503"/>
      <c r="J112" s="503"/>
      <c r="K112" s="503"/>
      <c r="L112" s="1620"/>
      <c r="M112" s="503"/>
    </row>
    <row r="113" spans="6:13">
      <c r="F113" s="503"/>
      <c r="G113" s="503"/>
      <c r="H113" s="1620"/>
      <c r="I113" s="503"/>
      <c r="J113" s="503"/>
      <c r="K113" s="503"/>
      <c r="L113" s="1620"/>
      <c r="M113" s="503"/>
    </row>
    <row r="114" spans="6:13">
      <c r="F114" s="503"/>
      <c r="G114" s="503"/>
      <c r="H114" s="1620"/>
      <c r="I114" s="503"/>
      <c r="J114" s="503"/>
      <c r="K114" s="503"/>
      <c r="L114" s="1620"/>
      <c r="M114" s="503"/>
    </row>
    <row r="115" spans="6:13">
      <c r="F115" s="503"/>
      <c r="G115" s="503"/>
      <c r="H115" s="1620"/>
      <c r="I115" s="503"/>
      <c r="J115" s="503"/>
      <c r="K115" s="503"/>
      <c r="L115" s="1620"/>
      <c r="M115" s="503"/>
    </row>
    <row r="116" spans="6:13">
      <c r="F116" s="503"/>
      <c r="G116" s="503"/>
      <c r="H116" s="1620"/>
      <c r="I116" s="503"/>
      <c r="J116" s="503"/>
      <c r="K116" s="503"/>
      <c r="L116" s="1620"/>
      <c r="M116" s="503"/>
    </row>
    <row r="117" spans="6:13">
      <c r="F117" s="503"/>
      <c r="G117" s="503"/>
      <c r="H117" s="1620"/>
      <c r="I117" s="503"/>
      <c r="J117" s="503"/>
      <c r="K117" s="503"/>
      <c r="L117" s="1620"/>
      <c r="M117" s="503"/>
    </row>
    <row r="118" spans="6:13">
      <c r="F118" s="503"/>
      <c r="G118" s="503"/>
      <c r="H118" s="1620"/>
      <c r="I118" s="503"/>
      <c r="J118" s="503"/>
      <c r="K118" s="503"/>
      <c r="L118" s="1620"/>
      <c r="M118" s="503"/>
    </row>
    <row r="119" spans="6:13">
      <c r="F119" s="503"/>
      <c r="G119" s="503"/>
      <c r="H119" s="1620"/>
      <c r="I119" s="503"/>
      <c r="J119" s="503"/>
      <c r="K119" s="503"/>
      <c r="L119" s="1620"/>
      <c r="M119" s="503"/>
    </row>
    <row r="120" spans="6:13">
      <c r="F120" s="503"/>
      <c r="G120" s="503"/>
      <c r="H120" s="1620"/>
      <c r="I120" s="503"/>
      <c r="J120" s="503"/>
      <c r="K120" s="503"/>
      <c r="L120" s="1620"/>
      <c r="M120" s="503"/>
    </row>
    <row r="121" spans="6:13">
      <c r="F121" s="503"/>
      <c r="G121" s="503"/>
      <c r="H121" s="1620"/>
      <c r="I121" s="503"/>
      <c r="J121" s="503"/>
      <c r="K121" s="503"/>
      <c r="L121" s="1620"/>
      <c r="M121" s="503"/>
    </row>
    <row r="122" spans="6:13">
      <c r="F122" s="503"/>
      <c r="G122" s="503"/>
      <c r="H122" s="1620"/>
      <c r="I122" s="503"/>
      <c r="J122" s="503"/>
      <c r="K122" s="503"/>
      <c r="L122" s="1620"/>
      <c r="M122" s="503"/>
    </row>
    <row r="123" spans="6:13">
      <c r="F123" s="503"/>
      <c r="G123" s="503"/>
      <c r="H123" s="1620"/>
      <c r="I123" s="503"/>
      <c r="J123" s="503"/>
      <c r="K123" s="503"/>
      <c r="L123" s="1620"/>
      <c r="M123" s="503"/>
    </row>
    <row r="124" spans="6:13">
      <c r="F124" s="503"/>
      <c r="G124" s="503"/>
      <c r="H124" s="1620"/>
      <c r="I124" s="503"/>
      <c r="J124" s="503"/>
      <c r="K124" s="503"/>
      <c r="L124" s="1620"/>
      <c r="M124" s="503"/>
    </row>
    <row r="125" spans="6:13">
      <c r="F125" s="503"/>
      <c r="G125" s="503"/>
      <c r="H125" s="1620"/>
      <c r="I125" s="503"/>
      <c r="J125" s="503"/>
      <c r="K125" s="503"/>
      <c r="L125" s="1620"/>
      <c r="M125" s="503"/>
    </row>
    <row r="126" spans="6:13">
      <c r="F126" s="503"/>
      <c r="G126" s="503"/>
      <c r="H126" s="1620"/>
      <c r="I126" s="503"/>
      <c r="J126" s="503"/>
      <c r="K126" s="503"/>
      <c r="L126" s="1620"/>
      <c r="M126" s="503"/>
    </row>
    <row r="127" spans="6:13">
      <c r="F127" s="503"/>
      <c r="G127" s="503"/>
      <c r="H127" s="1620"/>
      <c r="I127" s="503"/>
      <c r="J127" s="503"/>
      <c r="K127" s="503"/>
      <c r="L127" s="1620"/>
      <c r="M127" s="503"/>
    </row>
    <row r="128" spans="6:13">
      <c r="F128" s="503"/>
      <c r="G128" s="503"/>
      <c r="H128" s="1620"/>
      <c r="I128" s="503"/>
      <c r="J128" s="503"/>
      <c r="K128" s="503"/>
      <c r="L128" s="1620"/>
      <c r="M128" s="503"/>
    </row>
    <row r="129" spans="6:13">
      <c r="F129" s="503"/>
      <c r="G129" s="503"/>
      <c r="H129" s="1620"/>
      <c r="I129" s="503"/>
      <c r="J129" s="503"/>
      <c r="K129" s="503"/>
      <c r="L129" s="1620"/>
      <c r="M129" s="503"/>
    </row>
    <row r="130" spans="6:13">
      <c r="F130" s="503"/>
      <c r="G130" s="503"/>
      <c r="H130" s="1620"/>
      <c r="I130" s="503"/>
      <c r="J130" s="503"/>
      <c r="K130" s="503"/>
      <c r="L130" s="1620"/>
      <c r="M130" s="503"/>
    </row>
    <row r="131" spans="6:13">
      <c r="F131" s="503"/>
      <c r="G131" s="503"/>
      <c r="H131" s="1620"/>
      <c r="I131" s="503"/>
      <c r="J131" s="503"/>
      <c r="K131" s="503"/>
      <c r="L131" s="1620"/>
      <c r="M131" s="503"/>
    </row>
    <row r="132" spans="6:13">
      <c r="F132" s="503"/>
      <c r="G132" s="503"/>
      <c r="H132" s="1620"/>
      <c r="I132" s="503"/>
      <c r="J132" s="503"/>
      <c r="K132" s="503"/>
      <c r="L132" s="1620"/>
      <c r="M132" s="503"/>
    </row>
    <row r="133" spans="6:13">
      <c r="F133" s="503"/>
      <c r="G133" s="503"/>
      <c r="H133" s="1620"/>
      <c r="I133" s="503"/>
      <c r="J133" s="503"/>
      <c r="K133" s="503"/>
      <c r="L133" s="1620"/>
      <c r="M133" s="503"/>
    </row>
    <row r="134" spans="6:13">
      <c r="F134" s="503"/>
      <c r="G134" s="503"/>
      <c r="H134" s="1620"/>
      <c r="I134" s="503"/>
      <c r="J134" s="503"/>
      <c r="K134" s="503"/>
      <c r="L134" s="1620"/>
      <c r="M134" s="503"/>
    </row>
    <row r="135" spans="6:13">
      <c r="F135" s="503"/>
      <c r="G135" s="503"/>
      <c r="H135" s="1620"/>
      <c r="I135" s="503"/>
      <c r="J135" s="503"/>
      <c r="K135" s="503"/>
      <c r="L135" s="1620"/>
      <c r="M135" s="503"/>
    </row>
    <row r="136" spans="6:13">
      <c r="F136" s="503"/>
      <c r="G136" s="503"/>
      <c r="H136" s="1620"/>
      <c r="I136" s="503"/>
      <c r="J136" s="503"/>
      <c r="K136" s="503"/>
      <c r="L136" s="1620"/>
      <c r="M136" s="503"/>
    </row>
    <row r="137" spans="6:13">
      <c r="F137" s="503"/>
      <c r="G137" s="503"/>
      <c r="H137" s="1620"/>
      <c r="I137" s="503"/>
      <c r="J137" s="503"/>
      <c r="K137" s="503"/>
      <c r="L137" s="1620"/>
      <c r="M137" s="503"/>
    </row>
    <row r="138" spans="6:13">
      <c r="F138" s="503"/>
      <c r="G138" s="503"/>
      <c r="H138" s="1620"/>
      <c r="I138" s="503"/>
      <c r="J138" s="503"/>
      <c r="K138" s="503"/>
      <c r="L138" s="1620"/>
      <c r="M138" s="503"/>
    </row>
    <row r="139" spans="6:13">
      <c r="F139" s="503"/>
      <c r="G139" s="503"/>
      <c r="H139" s="1620"/>
      <c r="I139" s="503"/>
      <c r="J139" s="503"/>
      <c r="K139" s="503"/>
      <c r="L139" s="1620"/>
      <c r="M139" s="503"/>
    </row>
    <row r="140" spans="6:13">
      <c r="F140" s="503"/>
      <c r="G140" s="503"/>
      <c r="H140" s="1620"/>
      <c r="I140" s="503"/>
      <c r="J140" s="503"/>
      <c r="K140" s="503"/>
      <c r="L140" s="1620"/>
      <c r="M140" s="503"/>
    </row>
    <row r="141" spans="6:13">
      <c r="F141" s="503"/>
      <c r="G141" s="503"/>
      <c r="H141" s="1620"/>
      <c r="I141" s="503"/>
      <c r="J141" s="503"/>
      <c r="K141" s="503"/>
      <c r="L141" s="1620"/>
      <c r="M141" s="503"/>
    </row>
    <row r="142" spans="6:13">
      <c r="F142" s="503"/>
      <c r="G142" s="503"/>
      <c r="H142" s="1620"/>
      <c r="I142" s="503"/>
      <c r="J142" s="503"/>
      <c r="K142" s="503"/>
      <c r="L142" s="1620"/>
      <c r="M142" s="503"/>
    </row>
    <row r="143" spans="6:13">
      <c r="F143" s="503"/>
      <c r="G143" s="503"/>
      <c r="H143" s="1620"/>
      <c r="I143" s="503"/>
      <c r="J143" s="503"/>
      <c r="K143" s="503"/>
      <c r="L143" s="1620"/>
      <c r="M143" s="503"/>
    </row>
    <row r="144" spans="6:13">
      <c r="F144" s="503"/>
      <c r="G144" s="503"/>
      <c r="H144" s="1620"/>
      <c r="I144" s="503"/>
      <c r="J144" s="503"/>
      <c r="K144" s="503"/>
      <c r="L144" s="1620"/>
      <c r="M144" s="503"/>
    </row>
    <row r="145" spans="6:13">
      <c r="F145" s="503"/>
      <c r="G145" s="503"/>
      <c r="H145" s="1620"/>
      <c r="I145" s="503"/>
      <c r="J145" s="503"/>
      <c r="K145" s="503"/>
      <c r="L145" s="1620"/>
      <c r="M145" s="503"/>
    </row>
    <row r="146" spans="6:13">
      <c r="F146" s="503"/>
      <c r="G146" s="503"/>
      <c r="H146" s="1620"/>
      <c r="I146" s="503"/>
      <c r="J146" s="503"/>
      <c r="K146" s="503"/>
      <c r="L146" s="1620"/>
      <c r="M146" s="503"/>
    </row>
    <row r="147" spans="6:13">
      <c r="F147" s="503"/>
      <c r="G147" s="503"/>
      <c r="H147" s="1620"/>
      <c r="I147" s="503"/>
      <c r="J147" s="503"/>
      <c r="K147" s="503"/>
      <c r="L147" s="1620"/>
      <c r="M147" s="503"/>
    </row>
    <row r="148" spans="6:13">
      <c r="F148" s="503"/>
      <c r="G148" s="503"/>
      <c r="H148" s="1620"/>
      <c r="I148" s="503"/>
      <c r="J148" s="503"/>
      <c r="K148" s="503"/>
      <c r="L148" s="1620"/>
      <c r="M148" s="503"/>
    </row>
    <row r="149" spans="6:13">
      <c r="F149" s="503"/>
      <c r="G149" s="503"/>
      <c r="H149" s="1620"/>
      <c r="I149" s="503"/>
      <c r="J149" s="503"/>
      <c r="K149" s="503"/>
      <c r="L149" s="1620"/>
      <c r="M149" s="503"/>
    </row>
    <row r="150" spans="6:13">
      <c r="F150" s="503"/>
      <c r="G150" s="503"/>
      <c r="H150" s="1620"/>
      <c r="I150" s="503"/>
      <c r="J150" s="503"/>
      <c r="K150" s="503"/>
      <c r="L150" s="1620"/>
      <c r="M150" s="503"/>
    </row>
    <row r="151" spans="6:13">
      <c r="F151" s="503"/>
      <c r="G151" s="503"/>
      <c r="H151" s="1620"/>
      <c r="I151" s="503"/>
      <c r="J151" s="503"/>
      <c r="K151" s="503"/>
      <c r="L151" s="1620"/>
      <c r="M151" s="503"/>
    </row>
    <row r="152" spans="6:13">
      <c r="F152" s="503"/>
      <c r="G152" s="503"/>
      <c r="H152" s="1620"/>
      <c r="I152" s="503"/>
      <c r="J152" s="503"/>
      <c r="K152" s="503"/>
      <c r="L152" s="1620"/>
      <c r="M152" s="503"/>
    </row>
    <row r="153" spans="6:13">
      <c r="F153" s="503"/>
      <c r="G153" s="503"/>
      <c r="H153" s="1620"/>
      <c r="I153" s="503"/>
      <c r="J153" s="503"/>
      <c r="K153" s="503"/>
      <c r="L153" s="1620"/>
      <c r="M153" s="503"/>
    </row>
    <row r="154" spans="6:13">
      <c r="F154" s="503"/>
      <c r="G154" s="503"/>
      <c r="H154" s="1620"/>
      <c r="I154" s="503"/>
      <c r="J154" s="503"/>
      <c r="K154" s="503"/>
      <c r="L154" s="1620"/>
      <c r="M154" s="503"/>
    </row>
    <row r="155" spans="6:13">
      <c r="F155" s="503"/>
      <c r="G155" s="503"/>
      <c r="H155" s="1620"/>
      <c r="I155" s="503"/>
      <c r="J155" s="503"/>
      <c r="K155" s="503"/>
      <c r="L155" s="1620"/>
      <c r="M155" s="503"/>
    </row>
    <row r="156" spans="6:13">
      <c r="F156" s="503"/>
      <c r="G156" s="503"/>
      <c r="H156" s="1620"/>
      <c r="I156" s="503"/>
      <c r="J156" s="503"/>
      <c r="K156" s="503"/>
      <c r="L156" s="1620"/>
      <c r="M156" s="503"/>
    </row>
    <row r="157" spans="6:13">
      <c r="F157" s="503"/>
      <c r="G157" s="503"/>
      <c r="H157" s="1620"/>
      <c r="I157" s="503"/>
      <c r="J157" s="503"/>
      <c r="K157" s="503"/>
      <c r="L157" s="1620"/>
      <c r="M157" s="503"/>
    </row>
    <row r="158" spans="6:13">
      <c r="F158" s="503"/>
      <c r="G158" s="503"/>
      <c r="H158" s="1620"/>
      <c r="I158" s="503"/>
      <c r="J158" s="503"/>
      <c r="K158" s="503"/>
      <c r="L158" s="1620"/>
      <c r="M158" s="503"/>
    </row>
    <row r="159" spans="6:13">
      <c r="F159" s="503"/>
      <c r="G159" s="503"/>
      <c r="H159" s="1620"/>
      <c r="I159" s="503"/>
      <c r="J159" s="503"/>
      <c r="K159" s="503"/>
      <c r="L159" s="1620"/>
      <c r="M159" s="503"/>
    </row>
    <row r="160" spans="6:13">
      <c r="F160" s="503"/>
      <c r="G160" s="503"/>
      <c r="H160" s="1620"/>
      <c r="I160" s="503"/>
      <c r="J160" s="503"/>
      <c r="K160" s="503"/>
      <c r="L160" s="1620"/>
      <c r="M160" s="503"/>
    </row>
    <row r="161" spans="6:13">
      <c r="F161" s="503"/>
      <c r="G161" s="503"/>
      <c r="H161" s="1620"/>
      <c r="I161" s="503"/>
      <c r="J161" s="503"/>
      <c r="K161" s="503"/>
      <c r="L161" s="1620"/>
      <c r="M161" s="503"/>
    </row>
    <row r="162" spans="6:13">
      <c r="F162" s="503"/>
      <c r="G162" s="503"/>
      <c r="H162" s="1620"/>
      <c r="I162" s="503"/>
      <c r="J162" s="503"/>
      <c r="K162" s="503"/>
      <c r="L162" s="1620"/>
      <c r="M162" s="503"/>
    </row>
    <row r="163" spans="6:13">
      <c r="F163" s="503"/>
      <c r="G163" s="503"/>
      <c r="H163" s="1620"/>
      <c r="I163" s="503"/>
      <c r="J163" s="503"/>
      <c r="K163" s="503"/>
      <c r="L163" s="1620"/>
      <c r="M163" s="503"/>
    </row>
    <row r="164" spans="6:13">
      <c r="F164" s="503"/>
      <c r="G164" s="503"/>
      <c r="H164" s="1620"/>
      <c r="I164" s="503"/>
      <c r="J164" s="503"/>
      <c r="K164" s="503"/>
      <c r="L164" s="1620"/>
      <c r="M164" s="503"/>
    </row>
    <row r="165" spans="6:13">
      <c r="F165" s="503"/>
      <c r="G165" s="503"/>
      <c r="H165" s="1620"/>
      <c r="I165" s="503"/>
      <c r="J165" s="503"/>
      <c r="K165" s="503"/>
      <c r="L165" s="1620"/>
      <c r="M165" s="503"/>
    </row>
    <row r="166" spans="6:13">
      <c r="F166" s="503"/>
      <c r="G166" s="503"/>
      <c r="H166" s="1620"/>
      <c r="I166" s="503"/>
      <c r="J166" s="503"/>
      <c r="K166" s="503"/>
      <c r="L166" s="1620"/>
      <c r="M166" s="503"/>
    </row>
    <row r="167" spans="6:13">
      <c r="F167" s="503"/>
      <c r="G167" s="503"/>
      <c r="H167" s="1620"/>
      <c r="I167" s="503"/>
      <c r="J167" s="503"/>
      <c r="K167" s="503"/>
      <c r="L167" s="1620"/>
      <c r="M167" s="503"/>
    </row>
    <row r="168" spans="6:13">
      <c r="F168" s="503"/>
      <c r="G168" s="503"/>
      <c r="H168" s="1620"/>
      <c r="I168" s="503"/>
      <c r="J168" s="503"/>
      <c r="K168" s="503"/>
      <c r="L168" s="1620"/>
      <c r="M168" s="503"/>
    </row>
    <row r="169" spans="6:13">
      <c r="F169" s="503"/>
      <c r="G169" s="503"/>
      <c r="H169" s="1620"/>
      <c r="I169" s="503"/>
      <c r="J169" s="503"/>
      <c r="K169" s="503"/>
      <c r="L169" s="1620"/>
      <c r="M169" s="503"/>
    </row>
    <row r="170" spans="6:13">
      <c r="F170" s="503"/>
      <c r="G170" s="503"/>
      <c r="H170" s="1620"/>
      <c r="I170" s="503"/>
      <c r="J170" s="503"/>
      <c r="K170" s="503"/>
      <c r="L170" s="1620"/>
      <c r="M170" s="503"/>
    </row>
    <row r="171" spans="6:13">
      <c r="F171" s="503"/>
      <c r="G171" s="503"/>
      <c r="H171" s="1620"/>
      <c r="I171" s="503"/>
      <c r="J171" s="503"/>
      <c r="K171" s="503"/>
      <c r="L171" s="1620"/>
      <c r="M171" s="503"/>
    </row>
    <row r="172" spans="6:13">
      <c r="F172" s="503"/>
      <c r="G172" s="503"/>
      <c r="H172" s="1620"/>
      <c r="I172" s="503"/>
      <c r="J172" s="503"/>
      <c r="K172" s="503"/>
      <c r="L172" s="1620"/>
      <c r="M172" s="503"/>
    </row>
    <row r="173" spans="6:13">
      <c r="F173" s="503"/>
      <c r="G173" s="503"/>
      <c r="H173" s="1620"/>
      <c r="I173" s="503"/>
      <c r="J173" s="503"/>
      <c r="K173" s="503"/>
      <c r="L173" s="1620"/>
      <c r="M173" s="503"/>
    </row>
    <row r="174" spans="6:13">
      <c r="F174" s="503"/>
      <c r="G174" s="503"/>
      <c r="H174" s="1620"/>
      <c r="I174" s="503"/>
      <c r="J174" s="503"/>
      <c r="K174" s="503"/>
      <c r="L174" s="1620"/>
      <c r="M174" s="503"/>
    </row>
    <row r="175" spans="6:13">
      <c r="F175" s="503"/>
      <c r="G175" s="503"/>
      <c r="H175" s="1620"/>
      <c r="I175" s="503"/>
      <c r="J175" s="503"/>
      <c r="K175" s="503"/>
      <c r="L175" s="1620"/>
      <c r="M175" s="503"/>
    </row>
    <row r="176" spans="6:13">
      <c r="F176" s="503"/>
      <c r="G176" s="503"/>
      <c r="H176" s="1620"/>
      <c r="I176" s="503"/>
      <c r="J176" s="503"/>
      <c r="K176" s="503"/>
      <c r="L176" s="1620"/>
      <c r="M176" s="503"/>
    </row>
    <row r="177" spans="6:13">
      <c r="F177" s="503"/>
      <c r="G177" s="503"/>
      <c r="H177" s="1620"/>
      <c r="I177" s="503"/>
      <c r="J177" s="503"/>
      <c r="K177" s="503"/>
      <c r="L177" s="1620"/>
      <c r="M177" s="503"/>
    </row>
    <row r="178" spans="6:13">
      <c r="F178" s="503"/>
      <c r="G178" s="503"/>
      <c r="H178" s="1620"/>
      <c r="I178" s="503"/>
      <c r="J178" s="503"/>
      <c r="K178" s="503"/>
      <c r="L178" s="1620"/>
      <c r="M178" s="503"/>
    </row>
    <row r="179" spans="6:13">
      <c r="F179" s="503"/>
      <c r="G179" s="503"/>
      <c r="H179" s="1620"/>
      <c r="I179" s="503"/>
      <c r="J179" s="503"/>
      <c r="K179" s="503"/>
      <c r="L179" s="1620"/>
      <c r="M179" s="503"/>
    </row>
    <row r="180" spans="6:13">
      <c r="F180" s="503"/>
      <c r="G180" s="503"/>
      <c r="H180" s="1620"/>
      <c r="I180" s="503"/>
      <c r="J180" s="503"/>
      <c r="K180" s="503"/>
      <c r="L180" s="1620"/>
      <c r="M180" s="503"/>
    </row>
    <row r="181" spans="6:13">
      <c r="F181" s="503"/>
      <c r="G181" s="503"/>
      <c r="H181" s="1620"/>
      <c r="I181" s="503"/>
      <c r="J181" s="503"/>
      <c r="K181" s="503"/>
      <c r="L181" s="1620"/>
      <c r="M181" s="503"/>
    </row>
    <row r="182" spans="6:13">
      <c r="F182" s="503"/>
      <c r="G182" s="503"/>
      <c r="H182" s="1620"/>
      <c r="I182" s="503"/>
      <c r="J182" s="503"/>
      <c r="K182" s="503"/>
      <c r="L182" s="1620"/>
      <c r="M182" s="503"/>
    </row>
    <row r="183" spans="6:13">
      <c r="F183" s="503"/>
      <c r="G183" s="503"/>
      <c r="H183" s="1620"/>
      <c r="I183" s="503"/>
      <c r="J183" s="503"/>
      <c r="K183" s="503"/>
      <c r="L183" s="1620"/>
      <c r="M183" s="503"/>
    </row>
    <row r="184" spans="6:13">
      <c r="F184" s="503"/>
      <c r="G184" s="503"/>
      <c r="H184" s="1620"/>
      <c r="I184" s="503"/>
      <c r="J184" s="503"/>
      <c r="K184" s="503"/>
      <c r="L184" s="1620"/>
      <c r="M184" s="503"/>
    </row>
    <row r="185" spans="6:13">
      <c r="F185" s="503"/>
      <c r="G185" s="503"/>
      <c r="H185" s="1620"/>
      <c r="I185" s="503"/>
      <c r="J185" s="503"/>
      <c r="K185" s="503"/>
      <c r="L185" s="1620"/>
      <c r="M185" s="503"/>
    </row>
    <row r="186" spans="6:13">
      <c r="F186" s="503"/>
      <c r="G186" s="503"/>
      <c r="H186" s="1620"/>
      <c r="I186" s="503"/>
      <c r="J186" s="503"/>
      <c r="K186" s="503"/>
      <c r="L186" s="1620"/>
      <c r="M186" s="503"/>
    </row>
    <row r="187" spans="6:13">
      <c r="F187" s="503"/>
      <c r="G187" s="503"/>
      <c r="H187" s="1620"/>
      <c r="I187" s="503"/>
      <c r="J187" s="503"/>
      <c r="K187" s="503"/>
      <c r="L187" s="1620"/>
      <c r="M187" s="503"/>
    </row>
    <row r="188" spans="6:13">
      <c r="F188" s="503"/>
      <c r="G188" s="503"/>
      <c r="H188" s="1620"/>
      <c r="I188" s="503"/>
      <c r="J188" s="503"/>
      <c r="K188" s="503"/>
      <c r="L188" s="1620"/>
      <c r="M188" s="503"/>
    </row>
    <row r="189" spans="6:13">
      <c r="F189" s="503"/>
      <c r="G189" s="503"/>
      <c r="H189" s="1620"/>
      <c r="I189" s="503"/>
      <c r="J189" s="503"/>
      <c r="K189" s="503"/>
      <c r="L189" s="1620"/>
      <c r="M189" s="503"/>
    </row>
    <row r="190" spans="6:13">
      <c r="F190" s="503"/>
      <c r="G190" s="503"/>
      <c r="H190" s="1620"/>
      <c r="I190" s="503"/>
      <c r="J190" s="503"/>
      <c r="K190" s="503"/>
      <c r="L190" s="1620"/>
      <c r="M190" s="503"/>
    </row>
    <row r="191" spans="6:13">
      <c r="F191" s="503"/>
      <c r="G191" s="503"/>
      <c r="H191" s="1620"/>
      <c r="I191" s="503"/>
      <c r="J191" s="503"/>
      <c r="K191" s="503"/>
      <c r="L191" s="1620"/>
      <c r="M191" s="503"/>
    </row>
    <row r="192" spans="6:13">
      <c r="F192" s="503"/>
      <c r="G192" s="503"/>
      <c r="H192" s="1620"/>
      <c r="I192" s="503"/>
      <c r="J192" s="503"/>
      <c r="K192" s="503"/>
      <c r="L192" s="1620"/>
      <c r="M192" s="503"/>
    </row>
    <row r="193" spans="6:13">
      <c r="F193" s="503"/>
      <c r="G193" s="503"/>
      <c r="H193" s="1620"/>
      <c r="I193" s="503"/>
      <c r="J193" s="503"/>
      <c r="K193" s="503"/>
      <c r="L193" s="1620"/>
      <c r="M193" s="503"/>
    </row>
    <row r="194" spans="6:13">
      <c r="F194" s="503"/>
      <c r="G194" s="503"/>
      <c r="H194" s="1620"/>
      <c r="I194" s="503"/>
      <c r="J194" s="503"/>
      <c r="K194" s="503"/>
      <c r="L194" s="1620"/>
      <c r="M194" s="503"/>
    </row>
    <row r="195" spans="6:13">
      <c r="F195" s="503"/>
      <c r="G195" s="503"/>
      <c r="H195" s="1620"/>
      <c r="I195" s="503"/>
      <c r="J195" s="503"/>
      <c r="K195" s="503"/>
      <c r="L195" s="1620"/>
      <c r="M195" s="503"/>
    </row>
    <row r="196" spans="6:13">
      <c r="F196" s="503"/>
      <c r="G196" s="503"/>
      <c r="H196" s="1620"/>
      <c r="I196" s="503"/>
      <c r="J196" s="503"/>
      <c r="K196" s="503"/>
      <c r="L196" s="1620"/>
      <c r="M196" s="503"/>
    </row>
    <row r="197" spans="6:13">
      <c r="F197" s="503"/>
      <c r="G197" s="503"/>
      <c r="H197" s="1620"/>
      <c r="I197" s="503"/>
      <c r="J197" s="503"/>
      <c r="K197" s="503"/>
      <c r="L197" s="1620"/>
      <c r="M197" s="503"/>
    </row>
    <row r="198" spans="6:13">
      <c r="F198" s="503"/>
      <c r="G198" s="503"/>
      <c r="H198" s="1620"/>
      <c r="I198" s="503"/>
      <c r="J198" s="503"/>
      <c r="K198" s="503"/>
      <c r="L198" s="1620"/>
      <c r="M198" s="503"/>
    </row>
    <row r="199" spans="6:13">
      <c r="F199" s="503"/>
      <c r="G199" s="503"/>
      <c r="H199" s="1620"/>
      <c r="I199" s="503"/>
      <c r="J199" s="503"/>
      <c r="K199" s="503"/>
      <c r="L199" s="1620"/>
      <c r="M199" s="503"/>
    </row>
    <row r="200" spans="6:13">
      <c r="F200" s="503"/>
      <c r="G200" s="503"/>
      <c r="H200" s="1620"/>
      <c r="I200" s="503"/>
      <c r="J200" s="503"/>
      <c r="K200" s="503"/>
      <c r="L200" s="1620"/>
      <c r="M200" s="503"/>
    </row>
    <row r="201" spans="6:13">
      <c r="F201" s="503"/>
      <c r="G201" s="503"/>
      <c r="H201" s="1620"/>
      <c r="I201" s="503"/>
      <c r="J201" s="503"/>
      <c r="K201" s="503"/>
      <c r="L201" s="1620"/>
      <c r="M201" s="503"/>
    </row>
    <row r="202" spans="6:13">
      <c r="F202" s="503"/>
      <c r="G202" s="503"/>
      <c r="H202" s="1620"/>
      <c r="I202" s="503"/>
      <c r="J202" s="503"/>
      <c r="K202" s="503"/>
      <c r="L202" s="1620"/>
      <c r="M202" s="503"/>
    </row>
    <row r="203" spans="6:13">
      <c r="F203" s="503"/>
      <c r="G203" s="503"/>
      <c r="H203" s="1620"/>
      <c r="I203" s="503"/>
      <c r="J203" s="503"/>
      <c r="K203" s="503"/>
      <c r="L203" s="1620"/>
      <c r="M203" s="503"/>
    </row>
    <row r="204" spans="6:13">
      <c r="F204" s="503"/>
      <c r="G204" s="503"/>
      <c r="H204" s="1620"/>
      <c r="I204" s="503"/>
      <c r="J204" s="503"/>
      <c r="K204" s="503"/>
      <c r="L204" s="1620"/>
      <c r="M204" s="503"/>
    </row>
    <row r="205" spans="6:13">
      <c r="F205" s="503"/>
      <c r="G205" s="503"/>
      <c r="H205" s="1620"/>
      <c r="I205" s="503"/>
      <c r="J205" s="503"/>
      <c r="K205" s="503"/>
      <c r="L205" s="1620"/>
      <c r="M205" s="503"/>
    </row>
    <row r="206" spans="6:13">
      <c r="F206" s="503"/>
      <c r="G206" s="503"/>
      <c r="H206" s="1620"/>
      <c r="I206" s="503"/>
      <c r="J206" s="503"/>
      <c r="K206" s="503"/>
      <c r="L206" s="1620"/>
      <c r="M206" s="503"/>
    </row>
    <row r="207" spans="6:13">
      <c r="F207" s="503"/>
      <c r="G207" s="503"/>
      <c r="H207" s="1620"/>
      <c r="I207" s="503"/>
      <c r="J207" s="503"/>
      <c r="K207" s="503"/>
      <c r="L207" s="1620"/>
      <c r="M207" s="503"/>
    </row>
    <row r="208" spans="6:13">
      <c r="F208" s="503"/>
      <c r="G208" s="503"/>
      <c r="H208" s="1620"/>
      <c r="I208" s="503"/>
      <c r="J208" s="503"/>
      <c r="K208" s="503"/>
      <c r="L208" s="1620"/>
      <c r="M208" s="503"/>
    </row>
    <row r="209" spans="6:13">
      <c r="F209" s="503"/>
      <c r="G209" s="503"/>
      <c r="H209" s="1620"/>
      <c r="I209" s="503"/>
      <c r="J209" s="503"/>
      <c r="K209" s="503"/>
      <c r="L209" s="1620"/>
      <c r="M209" s="503"/>
    </row>
    <row r="210" spans="6:13">
      <c r="F210" s="503"/>
      <c r="G210" s="503"/>
      <c r="H210" s="1620"/>
      <c r="I210" s="503"/>
      <c r="J210" s="503"/>
      <c r="K210" s="503"/>
      <c r="L210" s="1620"/>
      <c r="M210" s="503"/>
    </row>
    <row r="211" spans="6:13">
      <c r="F211" s="503"/>
      <c r="G211" s="503"/>
      <c r="H211" s="1620"/>
      <c r="I211" s="503"/>
      <c r="J211" s="503"/>
      <c r="K211" s="503"/>
      <c r="L211" s="1620"/>
      <c r="M211" s="503"/>
    </row>
    <row r="212" spans="6:13">
      <c r="F212" s="503"/>
      <c r="G212" s="503"/>
      <c r="H212" s="1620"/>
      <c r="I212" s="503"/>
      <c r="J212" s="503"/>
      <c r="K212" s="503"/>
      <c r="L212" s="1620"/>
      <c r="M212" s="503"/>
    </row>
    <row r="213" spans="6:13">
      <c r="F213" s="503"/>
      <c r="G213" s="503"/>
      <c r="H213" s="1620"/>
      <c r="I213" s="503"/>
      <c r="J213" s="503"/>
      <c r="K213" s="503"/>
      <c r="L213" s="1620"/>
      <c r="M213" s="503"/>
    </row>
    <row r="214" spans="6:13">
      <c r="F214" s="503"/>
      <c r="G214" s="503"/>
      <c r="H214" s="1620"/>
      <c r="I214" s="503"/>
      <c r="J214" s="503"/>
      <c r="K214" s="503"/>
      <c r="L214" s="1620"/>
      <c r="M214" s="503"/>
    </row>
    <row r="215" spans="6:13">
      <c r="F215" s="503"/>
      <c r="G215" s="503"/>
      <c r="H215" s="1620"/>
      <c r="I215" s="503"/>
      <c r="J215" s="503"/>
      <c r="K215" s="503"/>
      <c r="L215" s="1620"/>
      <c r="M215" s="503"/>
    </row>
    <row r="216" spans="6:13">
      <c r="F216" s="503"/>
      <c r="G216" s="503"/>
      <c r="H216" s="1620"/>
      <c r="I216" s="503"/>
      <c r="J216" s="503"/>
      <c r="K216" s="503"/>
      <c r="L216" s="1620"/>
      <c r="M216" s="503"/>
    </row>
    <row r="217" spans="6:13">
      <c r="F217" s="503"/>
      <c r="G217" s="503"/>
      <c r="H217" s="1620"/>
      <c r="I217" s="503"/>
      <c r="J217" s="503"/>
      <c r="K217" s="503"/>
      <c r="L217" s="1620"/>
      <c r="M217" s="503"/>
    </row>
    <row r="218" spans="6:13">
      <c r="F218" s="503"/>
      <c r="G218" s="503"/>
      <c r="H218" s="1620"/>
      <c r="I218" s="503"/>
      <c r="J218" s="503"/>
      <c r="K218" s="503"/>
      <c r="L218" s="1620"/>
      <c r="M218" s="503"/>
    </row>
    <row r="219" spans="6:13">
      <c r="F219" s="503"/>
      <c r="G219" s="503"/>
      <c r="H219" s="1620"/>
      <c r="I219" s="503"/>
      <c r="J219" s="503"/>
      <c r="K219" s="503"/>
      <c r="L219" s="1620"/>
      <c r="M219" s="503"/>
    </row>
    <row r="220" spans="6:13">
      <c r="F220" s="503"/>
      <c r="G220" s="503"/>
      <c r="H220" s="1620"/>
      <c r="I220" s="503"/>
      <c r="J220" s="503"/>
      <c r="K220" s="503"/>
      <c r="L220" s="1620"/>
      <c r="M220" s="503"/>
    </row>
    <row r="221" spans="6:13">
      <c r="F221" s="503"/>
      <c r="G221" s="503"/>
      <c r="H221" s="1620"/>
      <c r="I221" s="503"/>
      <c r="J221" s="503"/>
      <c r="K221" s="503"/>
      <c r="L221" s="1620"/>
      <c r="M221" s="503"/>
    </row>
    <row r="222" spans="6:13">
      <c r="F222" s="503"/>
      <c r="G222" s="503"/>
      <c r="H222" s="1620"/>
      <c r="I222" s="503"/>
      <c r="J222" s="503"/>
      <c r="K222" s="503"/>
      <c r="L222" s="1620"/>
      <c r="M222" s="503"/>
    </row>
    <row r="223" spans="6:13">
      <c r="F223" s="503"/>
      <c r="G223" s="503"/>
      <c r="H223" s="1620"/>
      <c r="I223" s="503"/>
      <c r="J223" s="503"/>
      <c r="K223" s="503"/>
      <c r="L223" s="1620"/>
      <c r="M223" s="503"/>
    </row>
    <row r="224" spans="6:13">
      <c r="F224" s="503"/>
      <c r="G224" s="503"/>
      <c r="H224" s="1620"/>
      <c r="I224" s="503"/>
      <c r="J224" s="503"/>
      <c r="K224" s="503"/>
      <c r="L224" s="1620"/>
      <c r="M224" s="503"/>
    </row>
    <row r="225" spans="6:13">
      <c r="F225" s="503"/>
      <c r="G225" s="503"/>
      <c r="H225" s="1620"/>
      <c r="I225" s="503"/>
      <c r="J225" s="503"/>
      <c r="K225" s="503"/>
      <c r="L225" s="1620"/>
      <c r="M225" s="503"/>
    </row>
  </sheetData>
  <mergeCells count="9">
    <mergeCell ref="B1:C1"/>
    <mergeCell ref="A4:M4"/>
    <mergeCell ref="A7:A8"/>
    <mergeCell ref="B7:B8"/>
    <mergeCell ref="C7:C8"/>
    <mergeCell ref="D7:D8"/>
    <mergeCell ref="E7:E8"/>
    <mergeCell ref="F7:G7"/>
    <mergeCell ref="H7:M7"/>
  </mergeCells>
  <phoneticPr fontId="24"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44" orientation="portrait" horizontalDpi="4294967292" verticalDpi="4294967292"/>
  <ignoredErrors>
    <ignoredError sqref="E24" formulaRange="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enableFormatConditionsCalculation="0">
    <tabColor theme="5" tint="0.59999389629810485"/>
    <pageSetUpPr fitToPage="1"/>
  </sheetPr>
  <dimension ref="A1:AI396"/>
  <sheetViews>
    <sheetView workbookViewId="0">
      <pane xSplit="1" ySplit="9" topLeftCell="C10" activePane="bottomRight" state="frozen"/>
      <selection activeCell="B1" sqref="B1:C1"/>
      <selection pane="topRight" activeCell="B1" sqref="B1:C1"/>
      <selection pane="bottomLeft" activeCell="B1" sqref="B1:C1"/>
      <selection pane="bottomRight" activeCell="A4" sqref="A4:Q4"/>
    </sheetView>
  </sheetViews>
  <sheetFormatPr baseColWidth="10" defaultColWidth="10.33203125" defaultRowHeight="12" x14ac:dyDescent="0"/>
  <cols>
    <col min="1" max="1" width="9.6640625" style="76" customWidth="1"/>
    <col min="2" max="21" width="8" style="76" customWidth="1"/>
    <col min="22" max="25" width="9.33203125" style="76" customWidth="1"/>
    <col min="26" max="36" width="8" style="76" customWidth="1"/>
    <col min="37" max="16384" width="10.33203125" style="76"/>
  </cols>
  <sheetData>
    <row r="1" spans="1:35">
      <c r="A1" s="87"/>
      <c r="B1" s="2252" t="s">
        <v>1416</v>
      </c>
      <c r="C1" s="2252"/>
    </row>
    <row r="2" spans="1:35">
      <c r="A2" s="87"/>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row>
    <row r="3" spans="1:35" ht="13" thickBot="1"/>
    <row r="4" spans="1:35" ht="16" thickTop="1">
      <c r="A4" s="2355" t="s">
        <v>887</v>
      </c>
      <c r="B4" s="2356"/>
      <c r="C4" s="2356"/>
      <c r="D4" s="2356"/>
      <c r="E4" s="2356"/>
      <c r="F4" s="2356"/>
      <c r="G4" s="2356"/>
      <c r="H4" s="2356"/>
      <c r="I4" s="2356"/>
      <c r="J4" s="2356"/>
      <c r="K4" s="2356"/>
      <c r="L4" s="2356"/>
      <c r="M4" s="2356"/>
      <c r="N4" s="2356"/>
      <c r="O4" s="2356"/>
      <c r="P4" s="2356"/>
      <c r="Q4" s="2357"/>
      <c r="R4" s="357"/>
      <c r="S4" s="357"/>
      <c r="T4" s="357"/>
      <c r="U4" s="357"/>
      <c r="V4" s="357"/>
      <c r="W4" s="357"/>
      <c r="X4" s="357"/>
      <c r="Y4" s="357"/>
      <c r="Z4" s="357"/>
      <c r="AA4" s="357"/>
      <c r="AB4" s="357"/>
      <c r="AC4" s="357"/>
      <c r="AD4" s="357"/>
      <c r="AE4" s="357"/>
      <c r="AF4" s="357"/>
    </row>
    <row r="5" spans="1:35">
      <c r="A5" s="120"/>
      <c r="B5" s="83"/>
      <c r="C5" s="83"/>
      <c r="D5" s="83"/>
      <c r="E5" s="83"/>
      <c r="F5" s="83"/>
      <c r="G5" s="83"/>
      <c r="H5" s="83"/>
      <c r="I5" s="83"/>
      <c r="J5" s="83"/>
      <c r="K5" s="83"/>
      <c r="L5" s="83"/>
      <c r="M5" s="83"/>
      <c r="N5" s="83"/>
      <c r="O5" s="83"/>
      <c r="P5" s="83"/>
      <c r="Q5" s="121"/>
      <c r="R5" s="83"/>
      <c r="S5" s="83"/>
    </row>
    <row r="6" spans="1:35" ht="13" thickBot="1">
      <c r="A6" s="120"/>
      <c r="B6" s="123" t="s">
        <v>952</v>
      </c>
      <c r="C6" s="123" t="s">
        <v>953</v>
      </c>
      <c r="D6" s="123" t="s">
        <v>954</v>
      </c>
      <c r="E6" s="123" t="s">
        <v>955</v>
      </c>
      <c r="F6" s="123" t="s">
        <v>956</v>
      </c>
      <c r="G6" s="123" t="s">
        <v>957</v>
      </c>
      <c r="H6" s="123" t="s">
        <v>958</v>
      </c>
      <c r="I6" s="123" t="s">
        <v>959</v>
      </c>
      <c r="J6" s="110" t="s">
        <v>960</v>
      </c>
      <c r="K6" s="123" t="s">
        <v>961</v>
      </c>
      <c r="L6" s="123" t="s">
        <v>962</v>
      </c>
      <c r="M6" s="123" t="s">
        <v>963</v>
      </c>
      <c r="N6" s="123" t="s">
        <v>964</v>
      </c>
      <c r="O6" s="123" t="s">
        <v>965</v>
      </c>
      <c r="P6" s="110" t="s">
        <v>120</v>
      </c>
      <c r="Q6" s="1668" t="s">
        <v>121</v>
      </c>
      <c r="R6" s="358"/>
      <c r="S6" s="358"/>
      <c r="T6" s="358"/>
      <c r="U6" s="358"/>
      <c r="V6" s="358"/>
      <c r="W6" s="358"/>
      <c r="X6" s="358"/>
      <c r="Y6" s="358"/>
      <c r="Z6" s="358"/>
      <c r="AA6" s="358"/>
      <c r="AB6" s="358"/>
      <c r="AC6" s="358"/>
      <c r="AD6" s="358"/>
      <c r="AE6" s="358"/>
      <c r="AF6" s="358"/>
    </row>
    <row r="7" spans="1:35" ht="39.75" customHeight="1">
      <c r="A7" s="2349"/>
      <c r="B7" s="650"/>
      <c r="C7" s="1165"/>
      <c r="D7" s="1166"/>
      <c r="E7" s="2350" t="s">
        <v>410</v>
      </c>
      <c r="F7" s="2351"/>
      <c r="G7" s="2351"/>
      <c r="H7" s="2351"/>
      <c r="I7" s="2351"/>
      <c r="J7" s="2352"/>
      <c r="K7" s="2353" t="s">
        <v>340</v>
      </c>
      <c r="L7" s="2354"/>
      <c r="M7" s="2354"/>
      <c r="N7" s="2354"/>
      <c r="O7" s="2354"/>
      <c r="P7" s="2354"/>
      <c r="Q7" s="2091"/>
      <c r="R7" s="359"/>
      <c r="S7" s="359"/>
      <c r="T7" s="359"/>
      <c r="U7" s="359"/>
      <c r="V7" s="2361" t="s">
        <v>366</v>
      </c>
      <c r="W7" s="2362"/>
      <c r="X7" s="2362" t="s">
        <v>367</v>
      </c>
      <c r="Y7" s="2363"/>
      <c r="Z7" s="357"/>
      <c r="AA7" s="357"/>
      <c r="AB7" s="357"/>
      <c r="AC7" s="357"/>
      <c r="AD7" s="357"/>
      <c r="AE7" s="357"/>
      <c r="AF7" s="357"/>
    </row>
    <row r="8" spans="1:35" ht="79.75" customHeight="1">
      <c r="A8" s="2349"/>
      <c r="B8" s="166" t="s">
        <v>349</v>
      </c>
      <c r="C8" s="78" t="s">
        <v>350</v>
      </c>
      <c r="D8" s="1167" t="s">
        <v>351</v>
      </c>
      <c r="E8" s="1179" t="s">
        <v>352</v>
      </c>
      <c r="F8" s="1070" t="s">
        <v>341</v>
      </c>
      <c r="G8" s="208" t="s">
        <v>1420</v>
      </c>
      <c r="H8" s="208" t="s">
        <v>342</v>
      </c>
      <c r="I8" s="2089" t="s">
        <v>1485</v>
      </c>
      <c r="J8" s="1233" t="s">
        <v>343</v>
      </c>
      <c r="K8" s="1192" t="s">
        <v>352</v>
      </c>
      <c r="L8" s="1070" t="s">
        <v>341</v>
      </c>
      <c r="M8" s="208" t="s">
        <v>344</v>
      </c>
      <c r="N8" s="208" t="s">
        <v>342</v>
      </c>
      <c r="O8" s="2089" t="s">
        <v>1485</v>
      </c>
      <c r="P8" s="208" t="s">
        <v>343</v>
      </c>
      <c r="Q8" s="2347" t="s">
        <v>1486</v>
      </c>
      <c r="R8" s="207"/>
      <c r="S8" s="207"/>
      <c r="T8" s="335"/>
      <c r="U8" s="335"/>
      <c r="V8" s="2370" t="s">
        <v>368</v>
      </c>
      <c r="W8" s="2372" t="s">
        <v>369</v>
      </c>
      <c r="X8" s="2364" t="s">
        <v>368</v>
      </c>
      <c r="Y8" s="2366" t="s">
        <v>369</v>
      </c>
      <c r="AB8" s="100" t="s">
        <v>345</v>
      </c>
      <c r="AF8" s="100" t="s">
        <v>346</v>
      </c>
    </row>
    <row r="9" spans="1:35" ht="39.75" customHeight="1">
      <c r="A9" s="2349"/>
      <c r="B9" s="125" t="s">
        <v>347</v>
      </c>
      <c r="C9" s="1069" t="s">
        <v>347</v>
      </c>
      <c r="D9" s="1066" t="s">
        <v>353</v>
      </c>
      <c r="E9" s="1067" t="s">
        <v>354</v>
      </c>
      <c r="F9" s="1071" t="s">
        <v>355</v>
      </c>
      <c r="G9" s="1069" t="s">
        <v>356</v>
      </c>
      <c r="H9" s="1069" t="s">
        <v>384</v>
      </c>
      <c r="I9" s="2090" t="s">
        <v>1487</v>
      </c>
      <c r="J9" s="1168" t="s">
        <v>357</v>
      </c>
      <c r="K9" s="78" t="s">
        <v>354</v>
      </c>
      <c r="L9" s="207" t="s">
        <v>355</v>
      </c>
      <c r="M9" s="78" t="s">
        <v>358</v>
      </c>
      <c r="N9" s="78" t="s">
        <v>385</v>
      </c>
      <c r="O9" s="2090" t="s">
        <v>1487</v>
      </c>
      <c r="P9" s="78" t="s">
        <v>357</v>
      </c>
      <c r="Q9" s="2348"/>
      <c r="R9" s="207"/>
      <c r="S9" s="207"/>
      <c r="T9" s="335"/>
      <c r="U9" s="335"/>
      <c r="V9" s="2371"/>
      <c r="W9" s="2373"/>
      <c r="X9" s="2365"/>
      <c r="Y9" s="2367"/>
      <c r="AB9" s="79" t="s">
        <v>359</v>
      </c>
      <c r="AC9" s="360" t="s">
        <v>360</v>
      </c>
      <c r="AD9" s="2090" t="s">
        <v>1488</v>
      </c>
      <c r="AE9" s="360" t="s">
        <v>361</v>
      </c>
      <c r="AF9" s="79" t="s">
        <v>359</v>
      </c>
      <c r="AG9" s="360" t="s">
        <v>360</v>
      </c>
      <c r="AH9" s="2090" t="s">
        <v>1488</v>
      </c>
      <c r="AI9" s="360" t="s">
        <v>361</v>
      </c>
    </row>
    <row r="10" spans="1:35" ht="12" customHeight="1">
      <c r="A10" s="588">
        <v>1855</v>
      </c>
      <c r="B10" s="1159">
        <f>TableUK1!D10</f>
        <v>53.963474307680634</v>
      </c>
      <c r="C10" s="115">
        <f t="shared" ref="C10:C38" si="0">F10*B10</f>
        <v>408.01995260664063</v>
      </c>
      <c r="D10" s="1178"/>
      <c r="E10" s="1180"/>
      <c r="F10" s="1189">
        <f>TableUK6f!K34</f>
        <v>7.5610393482127423</v>
      </c>
      <c r="G10" s="1190">
        <f>TableUK12c!C25</f>
        <v>0.10418779753563946</v>
      </c>
      <c r="H10" s="1191"/>
      <c r="I10" s="1191">
        <f>Q10/F10</f>
        <v>0</v>
      </c>
      <c r="J10" s="2102">
        <f t="shared" ref="J10:J29" si="1">W$185</f>
        <v>1.45065E-2</v>
      </c>
      <c r="K10" s="1070"/>
      <c r="L10" s="208"/>
      <c r="M10" s="1070"/>
      <c r="N10" s="1070"/>
      <c r="O10" s="1070"/>
      <c r="P10" s="2088"/>
      <c r="Q10" s="2096">
        <v>0</v>
      </c>
      <c r="R10" s="961"/>
      <c r="S10" s="961"/>
      <c r="T10" s="335"/>
      <c r="U10" s="335"/>
      <c r="V10" s="560"/>
      <c r="W10" s="558"/>
      <c r="X10" s="558"/>
      <c r="Y10" s="559"/>
      <c r="AB10" s="300"/>
      <c r="AC10" s="300"/>
      <c r="AD10" s="300"/>
      <c r="AE10" s="300">
        <f t="shared" ref="AE10:AE51" si="2">1+J10</f>
        <v>1.0145065</v>
      </c>
      <c r="AF10" s="366"/>
      <c r="AG10" s="300"/>
      <c r="AH10" s="300"/>
      <c r="AI10" s="300"/>
    </row>
    <row r="11" spans="1:35" ht="12" customHeight="1">
      <c r="A11" s="586">
        <f t="shared" ref="A11:A38" si="3">A10+1</f>
        <v>1856</v>
      </c>
      <c r="B11" s="1160">
        <f>TableUK1!D11</f>
        <v>56.584415262871076</v>
      </c>
      <c r="C11" s="959">
        <f t="shared" si="0"/>
        <v>419.64278999506269</v>
      </c>
      <c r="D11" s="391">
        <f t="shared" ref="D11:D38" si="4">B11/B10-1</f>
        <v>4.8568795631036776E-2</v>
      </c>
      <c r="E11" s="390">
        <f>(1+H11)*(1+J11)-1</f>
        <v>2.8485953478915471E-2</v>
      </c>
      <c r="F11" s="308">
        <f t="shared" ref="F11:F38" si="5">F10*(1+E11)/(1+D11)</f>
        <v>7.4162256169927971</v>
      </c>
      <c r="G11" s="365">
        <f>TableUK12c!C26</f>
        <v>7.4856846308447245E-2</v>
      </c>
      <c r="H11" s="365">
        <f t="shared" ref="H11:H38" si="6">G10/F10</f>
        <v>1.3779560287603462E-2</v>
      </c>
      <c r="I11" s="365">
        <f t="shared" ref="I11:I74" si="7">Q11/F11</f>
        <v>0</v>
      </c>
      <c r="J11" s="391">
        <f t="shared" si="1"/>
        <v>1.45065E-2</v>
      </c>
      <c r="K11" s="78"/>
      <c r="L11" s="207"/>
      <c r="M11" s="78"/>
      <c r="N11" s="78"/>
      <c r="O11" s="78"/>
      <c r="P11" s="78"/>
      <c r="Q11" s="2096">
        <v>0</v>
      </c>
      <c r="R11" s="961"/>
      <c r="S11" s="961"/>
      <c r="T11" s="335"/>
      <c r="U11" s="335"/>
      <c r="V11" s="560"/>
      <c r="W11" s="558"/>
      <c r="X11" s="558"/>
      <c r="Y11" s="559"/>
      <c r="AB11" s="300">
        <f t="shared" ref="AB11:AB51" si="8">1+E11</f>
        <v>1.0284859534789155</v>
      </c>
      <c r="AC11" s="300">
        <f t="shared" ref="AC11:AC51" si="9">1+H11</f>
        <v>1.0137795602876034</v>
      </c>
      <c r="AD11" s="300">
        <f>1+I10</f>
        <v>1</v>
      </c>
      <c r="AE11" s="300">
        <f t="shared" si="2"/>
        <v>1.0145065</v>
      </c>
      <c r="AF11" s="366"/>
      <c r="AG11" s="300"/>
      <c r="AH11" s="300"/>
      <c r="AI11" s="300"/>
    </row>
    <row r="12" spans="1:35" ht="12" customHeight="1">
      <c r="A12" s="586">
        <f t="shared" si="3"/>
        <v>1857</v>
      </c>
      <c r="B12" s="1160">
        <f>TableUK1!D12</f>
        <v>58.32610029992847</v>
      </c>
      <c r="C12" s="959">
        <f t="shared" si="0"/>
        <v>430.02751463487624</v>
      </c>
      <c r="D12" s="391">
        <f t="shared" si="4"/>
        <v>3.0780295757518061E-2</v>
      </c>
      <c r="E12" s="390">
        <f t="shared" ref="E12:E74" si="10">(1+H12)*(1+J12)-1</f>
        <v>2.4746581824831804E-2</v>
      </c>
      <c r="F12" s="308">
        <f t="shared" si="5"/>
        <v>7.3728144419661055</v>
      </c>
      <c r="G12" s="365">
        <f>TableUK12c!C27</f>
        <v>5.8282179873712661E-2</v>
      </c>
      <c r="H12" s="365">
        <f t="shared" si="6"/>
        <v>1.0093658172551784E-2</v>
      </c>
      <c r="I12" s="365">
        <f t="shared" si="7"/>
        <v>0</v>
      </c>
      <c r="J12" s="391">
        <f t="shared" si="1"/>
        <v>1.45065E-2</v>
      </c>
      <c r="K12" s="78"/>
      <c r="L12" s="207"/>
      <c r="M12" s="78"/>
      <c r="N12" s="78"/>
      <c r="O12" s="78"/>
      <c r="P12" s="78"/>
      <c r="Q12" s="2096">
        <v>0</v>
      </c>
      <c r="R12" s="961"/>
      <c r="S12" s="961"/>
      <c r="T12" s="335"/>
      <c r="U12" s="335"/>
      <c r="V12" s="560"/>
      <c r="W12" s="558"/>
      <c r="X12" s="558"/>
      <c r="Y12" s="559"/>
      <c r="AB12" s="300">
        <f t="shared" si="8"/>
        <v>1.0247465818248318</v>
      </c>
      <c r="AC12" s="300">
        <f t="shared" si="9"/>
        <v>1.0100936581725517</v>
      </c>
      <c r="AD12" s="300">
        <f t="shared" ref="AD12:AD75" si="11">1+I11</f>
        <v>1</v>
      </c>
      <c r="AE12" s="300">
        <f t="shared" si="2"/>
        <v>1.0145065</v>
      </c>
      <c r="AF12" s="366"/>
      <c r="AG12" s="300"/>
      <c r="AH12" s="300"/>
      <c r="AI12" s="300"/>
    </row>
    <row r="13" spans="1:35" ht="12" customHeight="1">
      <c r="A13" s="586">
        <f t="shared" si="3"/>
        <v>1858</v>
      </c>
      <c r="B13" s="1160">
        <f>TableUK1!D13</f>
        <v>63.134669799605717</v>
      </c>
      <c r="C13" s="959">
        <f t="shared" si="0"/>
        <v>439.71439403876019</v>
      </c>
      <c r="D13" s="391">
        <f t="shared" si="4"/>
        <v>8.2442842483044343E-2</v>
      </c>
      <c r="E13" s="390">
        <f t="shared" si="10"/>
        <v>2.2526185125872233E-2</v>
      </c>
      <c r="F13" s="308">
        <f t="shared" si="5"/>
        <v>6.9647056907788922</v>
      </c>
      <c r="G13" s="365">
        <f>TableUK12c!C28</f>
        <v>7.1225814761880168E-2</v>
      </c>
      <c r="H13" s="365">
        <f t="shared" si="6"/>
        <v>7.9050110826023416E-3</v>
      </c>
      <c r="I13" s="365">
        <f t="shared" si="7"/>
        <v>0</v>
      </c>
      <c r="J13" s="391">
        <f t="shared" si="1"/>
        <v>1.45065E-2</v>
      </c>
      <c r="K13" s="78"/>
      <c r="L13" s="207"/>
      <c r="M13" s="78"/>
      <c r="N13" s="78"/>
      <c r="O13" s="78"/>
      <c r="P13" s="78"/>
      <c r="Q13" s="2096">
        <v>0</v>
      </c>
      <c r="R13" s="961"/>
      <c r="S13" s="961"/>
      <c r="T13" s="335"/>
      <c r="U13" s="335"/>
      <c r="V13" s="560"/>
      <c r="W13" s="558"/>
      <c r="X13" s="558"/>
      <c r="Y13" s="559"/>
      <c r="AB13" s="300">
        <f t="shared" si="8"/>
        <v>1.0225261851258722</v>
      </c>
      <c r="AC13" s="300">
        <f t="shared" si="9"/>
        <v>1.0079050110826024</v>
      </c>
      <c r="AD13" s="300">
        <f t="shared" si="11"/>
        <v>1</v>
      </c>
      <c r="AE13" s="300">
        <f t="shared" si="2"/>
        <v>1.0145065</v>
      </c>
      <c r="AF13" s="366"/>
      <c r="AG13" s="300"/>
      <c r="AH13" s="300"/>
      <c r="AI13" s="300"/>
    </row>
    <row r="14" spans="1:35" ht="12" customHeight="1">
      <c r="A14" s="1176">
        <f t="shared" si="3"/>
        <v>1859</v>
      </c>
      <c r="B14" s="1177">
        <f>TableUK1!D14</f>
        <v>66.557472426882924</v>
      </c>
      <c r="C14" s="1171">
        <f t="shared" si="0"/>
        <v>450.65516228669651</v>
      </c>
      <c r="D14" s="1172">
        <f t="shared" si="4"/>
        <v>5.4214311061441256E-2</v>
      </c>
      <c r="E14" s="1181">
        <f t="shared" si="10"/>
        <v>2.488153309571195E-2</v>
      </c>
      <c r="F14" s="550">
        <f t="shared" si="5"/>
        <v>6.7709176123201829</v>
      </c>
      <c r="G14" s="1184">
        <f>TableUK12c!C29</f>
        <v>7.9825530591179888E-2</v>
      </c>
      <c r="H14" s="1184">
        <f t="shared" si="6"/>
        <v>1.0226679765690815E-2</v>
      </c>
      <c r="I14" s="1184">
        <f t="shared" si="7"/>
        <v>0</v>
      </c>
      <c r="J14" s="1172">
        <f t="shared" si="1"/>
        <v>1.45065E-2</v>
      </c>
      <c r="K14" s="1193"/>
      <c r="L14" s="1195"/>
      <c r="M14" s="1193"/>
      <c r="N14" s="1193"/>
      <c r="O14" s="1193"/>
      <c r="P14" s="1193"/>
      <c r="Q14" s="2097">
        <v>0</v>
      </c>
      <c r="R14" s="961"/>
      <c r="S14" s="961"/>
      <c r="T14" s="335"/>
      <c r="U14" s="335"/>
      <c r="V14" s="560"/>
      <c r="W14" s="558"/>
      <c r="X14" s="558"/>
      <c r="Y14" s="559"/>
      <c r="AB14" s="300">
        <f t="shared" si="8"/>
        <v>1.0248815330957119</v>
      </c>
      <c r="AC14" s="300">
        <f t="shared" si="9"/>
        <v>1.0102266797656909</v>
      </c>
      <c r="AD14" s="300">
        <f t="shared" si="11"/>
        <v>1</v>
      </c>
      <c r="AE14" s="300">
        <f t="shared" si="2"/>
        <v>1.0145065</v>
      </c>
      <c r="AF14" s="366"/>
      <c r="AG14" s="300"/>
      <c r="AH14" s="300"/>
      <c r="AI14" s="300"/>
    </row>
    <row r="15" spans="1:35" ht="12" customHeight="1">
      <c r="A15" s="586">
        <f t="shared" si="3"/>
        <v>1860</v>
      </c>
      <c r="B15" s="1160">
        <f>TableUK1!D15</f>
        <v>66.871242082865905</v>
      </c>
      <c r="C15" s="959">
        <f t="shared" si="0"/>
        <v>462.58264977459191</v>
      </c>
      <c r="D15" s="391">
        <f t="shared" si="4"/>
        <v>4.7142664007813195E-3</v>
      </c>
      <c r="E15" s="390">
        <f t="shared" si="10"/>
        <v>2.6466994025705626E-2</v>
      </c>
      <c r="F15" s="308">
        <f t="shared" si="5"/>
        <v>6.9175124517855666</v>
      </c>
      <c r="G15" s="365">
        <f>TableUK12c!C30</f>
        <v>7.1458039418447472E-2</v>
      </c>
      <c r="H15" s="365">
        <f t="shared" si="6"/>
        <v>1.1789470078018888E-2</v>
      </c>
      <c r="I15" s="365">
        <f t="shared" si="7"/>
        <v>0</v>
      </c>
      <c r="J15" s="391">
        <f t="shared" si="1"/>
        <v>1.45065E-2</v>
      </c>
      <c r="K15" s="78"/>
      <c r="L15" s="207"/>
      <c r="M15" s="78"/>
      <c r="N15" s="78"/>
      <c r="O15" s="78"/>
      <c r="P15" s="78"/>
      <c r="Q15" s="2096">
        <v>0</v>
      </c>
      <c r="R15" s="961"/>
      <c r="S15" s="961"/>
      <c r="T15" s="335"/>
      <c r="U15" s="335"/>
      <c r="V15" s="560"/>
      <c r="W15" s="558"/>
      <c r="X15" s="558"/>
      <c r="Y15" s="559"/>
      <c r="AB15" s="300">
        <f t="shared" si="8"/>
        <v>1.0264669940257056</v>
      </c>
      <c r="AC15" s="300">
        <f t="shared" si="9"/>
        <v>1.0117894700780188</v>
      </c>
      <c r="AD15" s="300">
        <f t="shared" si="11"/>
        <v>1</v>
      </c>
      <c r="AE15" s="300">
        <f t="shared" si="2"/>
        <v>1.0145065</v>
      </c>
      <c r="AF15" s="366"/>
      <c r="AG15" s="300"/>
      <c r="AH15" s="300"/>
      <c r="AI15" s="300"/>
    </row>
    <row r="16" spans="1:35" ht="12" customHeight="1">
      <c r="A16" s="586">
        <f t="shared" si="3"/>
        <v>1861</v>
      </c>
      <c r="B16" s="1160">
        <f>TableUK1!D16</f>
        <v>68.754072476437528</v>
      </c>
      <c r="C16" s="959">
        <f t="shared" si="0"/>
        <v>474.14091197030035</v>
      </c>
      <c r="D16" s="391">
        <f t="shared" si="4"/>
        <v>2.8156055352440479E-2</v>
      </c>
      <c r="E16" s="390">
        <f t="shared" si="10"/>
        <v>2.4986372059869977E-2</v>
      </c>
      <c r="F16" s="308">
        <f t="shared" si="5"/>
        <v>6.8961865805518876</v>
      </c>
      <c r="G16" s="365">
        <f>TableUK12c!C31</f>
        <v>6.9912669717826365E-2</v>
      </c>
      <c r="H16" s="365">
        <f t="shared" si="6"/>
        <v>1.0330019630105984E-2</v>
      </c>
      <c r="I16" s="365">
        <f t="shared" si="7"/>
        <v>0</v>
      </c>
      <c r="J16" s="391">
        <f t="shared" si="1"/>
        <v>1.45065E-2</v>
      </c>
      <c r="K16" s="78"/>
      <c r="L16" s="207"/>
      <c r="M16" s="78"/>
      <c r="N16" s="78"/>
      <c r="O16" s="78"/>
      <c r="P16" s="78"/>
      <c r="Q16" s="2096">
        <v>0</v>
      </c>
      <c r="R16" s="961"/>
      <c r="S16" s="961"/>
      <c r="T16" s="335"/>
      <c r="U16" s="335"/>
      <c r="V16" s="560"/>
      <c r="W16" s="558"/>
      <c r="X16" s="558"/>
      <c r="Y16" s="559"/>
      <c r="AB16" s="300">
        <f t="shared" si="8"/>
        <v>1.02498637205987</v>
      </c>
      <c r="AC16" s="300">
        <f t="shared" si="9"/>
        <v>1.0103300196301059</v>
      </c>
      <c r="AD16" s="300">
        <f t="shared" si="11"/>
        <v>1</v>
      </c>
      <c r="AE16" s="300">
        <f t="shared" si="2"/>
        <v>1.0145065</v>
      </c>
      <c r="AF16" s="366"/>
      <c r="AG16" s="300"/>
      <c r="AH16" s="300"/>
      <c r="AI16" s="300"/>
    </row>
    <row r="17" spans="1:35" ht="12" customHeight="1">
      <c r="A17" s="586">
        <f t="shared" si="3"/>
        <v>1862</v>
      </c>
      <c r="B17" s="1160">
        <f>TableUK1!D17</f>
        <v>72.11834029705436</v>
      </c>
      <c r="C17" s="959">
        <f t="shared" si="0"/>
        <v>485.89554743570483</v>
      </c>
      <c r="D17" s="391">
        <f t="shared" si="4"/>
        <v>4.8931906132102743E-2</v>
      </c>
      <c r="E17" s="390">
        <f t="shared" si="10"/>
        <v>2.479143893438307E-2</v>
      </c>
      <c r="F17" s="308">
        <f t="shared" si="5"/>
        <v>6.7374754526283933</v>
      </c>
      <c r="G17" s="365">
        <f>TableUK12c!C32</f>
        <v>7.3103172082674306E-2</v>
      </c>
      <c r="H17" s="365">
        <f t="shared" si="6"/>
        <v>1.0137873867129533E-2</v>
      </c>
      <c r="I17" s="365">
        <f t="shared" si="7"/>
        <v>0</v>
      </c>
      <c r="J17" s="391">
        <f t="shared" si="1"/>
        <v>1.45065E-2</v>
      </c>
      <c r="K17" s="78"/>
      <c r="L17" s="207"/>
      <c r="M17" s="78"/>
      <c r="N17" s="78"/>
      <c r="O17" s="78"/>
      <c r="P17" s="78"/>
      <c r="Q17" s="2096">
        <v>0</v>
      </c>
      <c r="R17" s="961"/>
      <c r="S17" s="961"/>
      <c r="T17" s="335"/>
      <c r="U17" s="335"/>
      <c r="V17" s="560"/>
      <c r="W17" s="558"/>
      <c r="X17" s="558"/>
      <c r="Y17" s="559"/>
      <c r="AB17" s="300">
        <f t="shared" si="8"/>
        <v>1.0247914389343831</v>
      </c>
      <c r="AC17" s="300">
        <f t="shared" si="9"/>
        <v>1.0101378738671296</v>
      </c>
      <c r="AD17" s="300">
        <f t="shared" si="11"/>
        <v>1</v>
      </c>
      <c r="AE17" s="300">
        <f t="shared" si="2"/>
        <v>1.0145065</v>
      </c>
      <c r="AF17" s="366"/>
      <c r="AG17" s="300"/>
      <c r="AH17" s="300"/>
      <c r="AI17" s="300"/>
    </row>
    <row r="18" spans="1:35" ht="12" customHeight="1">
      <c r="A18" s="586">
        <f t="shared" si="3"/>
        <v>1863</v>
      </c>
      <c r="B18" s="1160">
        <f>TableUK1!D18</f>
        <v>77.527403649811717</v>
      </c>
      <c r="C18" s="959">
        <f t="shared" si="0"/>
        <v>498.29275005604495</v>
      </c>
      <c r="D18" s="391">
        <f t="shared" si="4"/>
        <v>7.500260447588647E-2</v>
      </c>
      <c r="E18" s="390">
        <f t="shared" si="10"/>
        <v>2.5514130939799484E-2</v>
      </c>
      <c r="F18" s="308">
        <f t="shared" si="5"/>
        <v>6.4273112034915298</v>
      </c>
      <c r="G18" s="365">
        <f>TableUK12c!C33</f>
        <v>0.10534692953192287</v>
      </c>
      <c r="H18" s="365">
        <f t="shared" si="6"/>
        <v>1.0850232048586631E-2</v>
      </c>
      <c r="I18" s="365">
        <f t="shared" si="7"/>
        <v>0</v>
      </c>
      <c r="J18" s="391">
        <f t="shared" si="1"/>
        <v>1.45065E-2</v>
      </c>
      <c r="K18" s="78"/>
      <c r="L18" s="207"/>
      <c r="M18" s="78"/>
      <c r="N18" s="78"/>
      <c r="O18" s="78"/>
      <c r="P18" s="78"/>
      <c r="Q18" s="2096">
        <v>0</v>
      </c>
      <c r="R18" s="961"/>
      <c r="S18" s="961"/>
      <c r="T18" s="335"/>
      <c r="U18" s="335"/>
      <c r="V18" s="560"/>
      <c r="W18" s="558"/>
      <c r="X18" s="558"/>
      <c r="Y18" s="559"/>
      <c r="AB18" s="300">
        <f t="shared" si="8"/>
        <v>1.0255141309397995</v>
      </c>
      <c r="AC18" s="300">
        <f t="shared" si="9"/>
        <v>1.0108502320485866</v>
      </c>
      <c r="AD18" s="300">
        <f t="shared" si="11"/>
        <v>1</v>
      </c>
      <c r="AE18" s="300">
        <f t="shared" si="2"/>
        <v>1.0145065</v>
      </c>
      <c r="AF18" s="366"/>
      <c r="AG18" s="300"/>
      <c r="AH18" s="300"/>
      <c r="AI18" s="300"/>
    </row>
    <row r="19" spans="1:35" ht="12" customHeight="1">
      <c r="A19" s="586">
        <f t="shared" si="3"/>
        <v>1864</v>
      </c>
      <c r="B19" s="1160">
        <f>TableUK1!D19</f>
        <v>81.223675520672643</v>
      </c>
      <c r="C19" s="959">
        <f t="shared" si="0"/>
        <v>513.80698632307485</v>
      </c>
      <c r="D19" s="391">
        <f t="shared" si="4"/>
        <v>4.7676972229804715E-2</v>
      </c>
      <c r="E19" s="390">
        <f t="shared" si="10"/>
        <v>3.1134782244544024E-2</v>
      </c>
      <c r="F19" s="308">
        <f t="shared" si="5"/>
        <v>6.325827820883374</v>
      </c>
      <c r="G19" s="365">
        <f>TableUK12c!C34</f>
        <v>0.11891749591311325</v>
      </c>
      <c r="H19" s="365">
        <f t="shared" si="6"/>
        <v>1.6390513263881624E-2</v>
      </c>
      <c r="I19" s="365">
        <f t="shared" si="7"/>
        <v>0</v>
      </c>
      <c r="J19" s="391">
        <f t="shared" si="1"/>
        <v>1.45065E-2</v>
      </c>
      <c r="K19" s="78"/>
      <c r="L19" s="207"/>
      <c r="M19" s="78"/>
      <c r="N19" s="78"/>
      <c r="O19" s="78"/>
      <c r="P19" s="78"/>
      <c r="Q19" s="2096">
        <v>0</v>
      </c>
      <c r="R19" s="961"/>
      <c r="S19" s="961"/>
      <c r="T19" s="335"/>
      <c r="U19" s="335"/>
      <c r="V19" s="560"/>
      <c r="W19" s="558"/>
      <c r="X19" s="558"/>
      <c r="Y19" s="559"/>
      <c r="AB19" s="300">
        <f t="shared" si="8"/>
        <v>1.031134782244544</v>
      </c>
      <c r="AC19" s="300">
        <f t="shared" si="9"/>
        <v>1.0163905132638815</v>
      </c>
      <c r="AD19" s="300">
        <f t="shared" si="11"/>
        <v>1</v>
      </c>
      <c r="AE19" s="300">
        <f t="shared" si="2"/>
        <v>1.0145065</v>
      </c>
      <c r="AF19" s="366"/>
      <c r="AG19" s="300"/>
      <c r="AH19" s="300"/>
      <c r="AI19" s="300"/>
    </row>
    <row r="20" spans="1:35" ht="12" customHeight="1">
      <c r="A20" s="586">
        <f t="shared" si="3"/>
        <v>1865</v>
      </c>
      <c r="B20" s="1160">
        <f>TableUK1!D20</f>
        <v>83.296114957810303</v>
      </c>
      <c r="C20" s="959">
        <f t="shared" si="0"/>
        <v>531.05956053837861</v>
      </c>
      <c r="D20" s="391">
        <f t="shared" si="4"/>
        <v>2.5515213684342397E-2</v>
      </c>
      <c r="E20" s="390">
        <f t="shared" si="10"/>
        <v>3.3577928433334847E-2</v>
      </c>
      <c r="F20" s="308">
        <f t="shared" si="5"/>
        <v>6.375562183270632</v>
      </c>
      <c r="G20" s="365">
        <f>TableUK12c!C35</f>
        <v>0.13563865327542035</v>
      </c>
      <c r="H20" s="365">
        <f t="shared" si="6"/>
        <v>1.8798724732995806E-2</v>
      </c>
      <c r="I20" s="365">
        <f t="shared" si="7"/>
        <v>0</v>
      </c>
      <c r="J20" s="391">
        <f t="shared" si="1"/>
        <v>1.45065E-2</v>
      </c>
      <c r="K20" s="78"/>
      <c r="L20" s="207"/>
      <c r="M20" s="78"/>
      <c r="N20" s="78"/>
      <c r="O20" s="78"/>
      <c r="P20" s="78"/>
      <c r="Q20" s="2096">
        <v>0</v>
      </c>
      <c r="R20" s="961"/>
      <c r="S20" s="961"/>
      <c r="T20" s="335"/>
      <c r="U20" s="335"/>
      <c r="V20" s="560"/>
      <c r="W20" s="558"/>
      <c r="X20" s="558"/>
      <c r="Y20" s="559"/>
      <c r="AB20" s="300">
        <f t="shared" si="8"/>
        <v>1.0335779284333348</v>
      </c>
      <c r="AC20" s="300">
        <f t="shared" si="9"/>
        <v>1.0187987247329957</v>
      </c>
      <c r="AD20" s="300">
        <f t="shared" si="11"/>
        <v>1</v>
      </c>
      <c r="AE20" s="300">
        <f t="shared" si="2"/>
        <v>1.0145065</v>
      </c>
      <c r="AF20" s="366"/>
      <c r="AG20" s="300"/>
      <c r="AH20" s="300"/>
      <c r="AI20" s="300"/>
    </row>
    <row r="21" spans="1:35" ht="12" customHeight="1">
      <c r="A21" s="586">
        <f t="shared" si="3"/>
        <v>1866</v>
      </c>
      <c r="B21" s="1160">
        <f>TableUK1!D21</f>
        <v>80.847122326730215</v>
      </c>
      <c r="C21" s="959">
        <f t="shared" si="0"/>
        <v>550.22544585381547</v>
      </c>
      <c r="D21" s="391">
        <f t="shared" si="4"/>
        <v>-2.9401042681528544E-2</v>
      </c>
      <c r="E21" s="390">
        <f t="shared" si="10"/>
        <v>3.608989789395145E-2</v>
      </c>
      <c r="F21" s="308">
        <f t="shared" si="5"/>
        <v>6.8057517697435257</v>
      </c>
      <c r="G21" s="365">
        <f>TableUK12c!C36</f>
        <v>0.11960862030153431</v>
      </c>
      <c r="H21" s="365">
        <f t="shared" si="6"/>
        <v>2.1274775365117432E-2</v>
      </c>
      <c r="I21" s="365">
        <f t="shared" si="7"/>
        <v>0</v>
      </c>
      <c r="J21" s="391">
        <f t="shared" si="1"/>
        <v>1.45065E-2</v>
      </c>
      <c r="K21" s="78"/>
      <c r="L21" s="207"/>
      <c r="M21" s="78"/>
      <c r="N21" s="78"/>
      <c r="O21" s="78"/>
      <c r="P21" s="78"/>
      <c r="Q21" s="2096">
        <v>0</v>
      </c>
      <c r="R21" s="961"/>
      <c r="S21" s="961"/>
      <c r="T21" s="335"/>
      <c r="U21" s="335"/>
      <c r="V21" s="560"/>
      <c r="W21" s="558"/>
      <c r="X21" s="558"/>
      <c r="Y21" s="559"/>
      <c r="AB21" s="300">
        <f t="shared" si="8"/>
        <v>1.0360898978939515</v>
      </c>
      <c r="AC21" s="300">
        <f t="shared" si="9"/>
        <v>1.0212747753651175</v>
      </c>
      <c r="AD21" s="300">
        <f t="shared" si="11"/>
        <v>1</v>
      </c>
      <c r="AE21" s="300">
        <f t="shared" si="2"/>
        <v>1.0145065</v>
      </c>
      <c r="AF21" s="366"/>
      <c r="AG21" s="300"/>
      <c r="AH21" s="300"/>
      <c r="AI21" s="300"/>
    </row>
    <row r="22" spans="1:35" ht="12" customHeight="1">
      <c r="A22" s="586">
        <f t="shared" si="3"/>
        <v>1867</v>
      </c>
      <c r="B22" s="1160">
        <f>TableUK1!D22</f>
        <v>74.970980082566783</v>
      </c>
      <c r="C22" s="959">
        <f t="shared" si="0"/>
        <v>568.01758208100068</v>
      </c>
      <c r="D22" s="391">
        <f t="shared" si="4"/>
        <v>-7.268214470783485E-2</v>
      </c>
      <c r="E22" s="390">
        <f t="shared" si="10"/>
        <v>3.2336083983858899E-2</v>
      </c>
      <c r="F22" s="308">
        <f t="shared" si="5"/>
        <v>7.5764993528887246</v>
      </c>
      <c r="G22" s="365">
        <f>TableUK12c!C37</f>
        <v>0.11492207077898861</v>
      </c>
      <c r="H22" s="365">
        <f t="shared" si="6"/>
        <v>1.7574637504894151E-2</v>
      </c>
      <c r="I22" s="365">
        <f t="shared" si="7"/>
        <v>0</v>
      </c>
      <c r="J22" s="391">
        <f t="shared" si="1"/>
        <v>1.45065E-2</v>
      </c>
      <c r="K22" s="78"/>
      <c r="L22" s="207"/>
      <c r="M22" s="78"/>
      <c r="N22" s="78"/>
      <c r="O22" s="78"/>
      <c r="P22" s="78"/>
      <c r="Q22" s="2096">
        <v>0</v>
      </c>
      <c r="R22" s="961"/>
      <c r="S22" s="961"/>
      <c r="T22" s="335"/>
      <c r="U22" s="335"/>
      <c r="V22" s="560"/>
      <c r="W22" s="558"/>
      <c r="X22" s="558"/>
      <c r="Y22" s="559"/>
      <c r="AB22" s="300">
        <f t="shared" si="8"/>
        <v>1.0323360839838589</v>
      </c>
      <c r="AC22" s="300">
        <f t="shared" si="9"/>
        <v>1.0175746375048942</v>
      </c>
      <c r="AD22" s="300">
        <f t="shared" si="11"/>
        <v>1</v>
      </c>
      <c r="AE22" s="300">
        <f t="shared" si="2"/>
        <v>1.0145065</v>
      </c>
      <c r="AF22" s="366"/>
      <c r="AG22" s="300"/>
      <c r="AH22" s="300"/>
      <c r="AI22" s="300"/>
    </row>
    <row r="23" spans="1:35" ht="12" customHeight="1">
      <c r="A23" s="586">
        <f t="shared" si="3"/>
        <v>1868</v>
      </c>
      <c r="B23" s="1160">
        <f>TableUK1!D23</f>
        <v>75.771747497826667</v>
      </c>
      <c r="C23" s="959">
        <f t="shared" si="0"/>
        <v>584.99833481176108</v>
      </c>
      <c r="D23" s="391">
        <f t="shared" si="4"/>
        <v>1.0681031705574329E-2</v>
      </c>
      <c r="E23" s="390">
        <f t="shared" si="10"/>
        <v>2.9894766053806476E-2</v>
      </c>
      <c r="F23" s="308">
        <f t="shared" si="5"/>
        <v>7.7205337626473556</v>
      </c>
      <c r="G23" s="365">
        <f>TableUK12c!C38</f>
        <v>0.10152554690965457</v>
      </c>
      <c r="H23" s="365">
        <f t="shared" si="6"/>
        <v>1.5168228152117743E-2</v>
      </c>
      <c r="I23" s="365">
        <f t="shared" si="7"/>
        <v>0</v>
      </c>
      <c r="J23" s="391">
        <f t="shared" si="1"/>
        <v>1.45065E-2</v>
      </c>
      <c r="K23" s="78"/>
      <c r="L23" s="207"/>
      <c r="M23" s="78"/>
      <c r="N23" s="78"/>
      <c r="O23" s="78"/>
      <c r="P23" s="78"/>
      <c r="Q23" s="2096">
        <v>0</v>
      </c>
      <c r="R23" s="961"/>
      <c r="S23" s="961"/>
      <c r="T23" s="335"/>
      <c r="U23" s="335"/>
      <c r="V23" s="560"/>
      <c r="W23" s="558"/>
      <c r="X23" s="558"/>
      <c r="Y23" s="559"/>
      <c r="AB23" s="300">
        <f t="shared" si="8"/>
        <v>1.0298947660538065</v>
      </c>
      <c r="AC23" s="300">
        <f t="shared" si="9"/>
        <v>1.0151682281521177</v>
      </c>
      <c r="AD23" s="300">
        <f t="shared" si="11"/>
        <v>1</v>
      </c>
      <c r="AE23" s="300">
        <f t="shared" si="2"/>
        <v>1.0145065</v>
      </c>
      <c r="AF23" s="366"/>
      <c r="AG23" s="300"/>
      <c r="AH23" s="300"/>
      <c r="AI23" s="300"/>
    </row>
    <row r="24" spans="1:35" ht="12" customHeight="1">
      <c r="A24" s="1176">
        <f t="shared" si="3"/>
        <v>1869</v>
      </c>
      <c r="B24" s="1177">
        <f>TableUK1!D24</f>
        <v>82.47547547376486</v>
      </c>
      <c r="C24" s="1171">
        <f t="shared" si="0"/>
        <v>601.28897640124046</v>
      </c>
      <c r="D24" s="1172">
        <f t="shared" si="4"/>
        <v>8.8472658970026652E-2</v>
      </c>
      <c r="E24" s="1181">
        <f t="shared" si="10"/>
        <v>2.7847329847052071E-2</v>
      </c>
      <c r="F24" s="550">
        <f t="shared" si="5"/>
        <v>7.2905184595450825</v>
      </c>
      <c r="G24" s="1184">
        <f>TableUK12c!C39</f>
        <v>9.3694673309647342E-2</v>
      </c>
      <c r="H24" s="1184">
        <f t="shared" si="6"/>
        <v>1.3150068380096257E-2</v>
      </c>
      <c r="I24" s="1184">
        <f t="shared" si="7"/>
        <v>0</v>
      </c>
      <c r="J24" s="1172">
        <f t="shared" si="1"/>
        <v>1.45065E-2</v>
      </c>
      <c r="K24" s="1193"/>
      <c r="L24" s="1195"/>
      <c r="M24" s="1193"/>
      <c r="N24" s="1193"/>
      <c r="O24" s="1193"/>
      <c r="P24" s="1193"/>
      <c r="Q24" s="2097">
        <v>0</v>
      </c>
      <c r="R24" s="961"/>
      <c r="S24" s="961"/>
      <c r="T24" s="335"/>
      <c r="U24" s="335"/>
      <c r="V24" s="560"/>
      <c r="W24" s="558"/>
      <c r="X24" s="558"/>
      <c r="Y24" s="559"/>
      <c r="AB24" s="300">
        <f t="shared" si="8"/>
        <v>1.0278473298470521</v>
      </c>
      <c r="AC24" s="300">
        <f t="shared" si="9"/>
        <v>1.0131500683800962</v>
      </c>
      <c r="AD24" s="300">
        <f t="shared" si="11"/>
        <v>1</v>
      </c>
      <c r="AE24" s="300">
        <f t="shared" si="2"/>
        <v>1.0145065</v>
      </c>
      <c r="AF24" s="366"/>
      <c r="AG24" s="300"/>
      <c r="AH24" s="300"/>
      <c r="AI24" s="300"/>
    </row>
    <row r="25" spans="1:35" ht="12" customHeight="1">
      <c r="A25" s="586">
        <f t="shared" si="3"/>
        <v>1870</v>
      </c>
      <c r="B25" s="1160">
        <f>TableUK1!D25</f>
        <v>88.933139097744359</v>
      </c>
      <c r="C25" s="959">
        <f t="shared" si="0"/>
        <v>617.8511868314032</v>
      </c>
      <c r="D25" s="391">
        <f t="shared" si="4"/>
        <v>7.8297985999894681E-2</v>
      </c>
      <c r="E25" s="390">
        <f t="shared" si="10"/>
        <v>2.754451034390959E-2</v>
      </c>
      <c r="F25" s="308">
        <f t="shared" si="5"/>
        <v>6.947367349221051</v>
      </c>
      <c r="G25" s="365">
        <f>TableUK12c!C40</f>
        <v>0.11539154378651019</v>
      </c>
      <c r="H25" s="365">
        <f t="shared" si="6"/>
        <v>1.2851578914388175E-2</v>
      </c>
      <c r="I25" s="365">
        <f t="shared" si="7"/>
        <v>0</v>
      </c>
      <c r="J25" s="391">
        <f t="shared" si="1"/>
        <v>1.45065E-2</v>
      </c>
      <c r="K25" s="78"/>
      <c r="L25" s="207"/>
      <c r="M25" s="78"/>
      <c r="N25" s="78"/>
      <c r="O25" s="78"/>
      <c r="P25" s="78"/>
      <c r="Q25" s="2096">
        <v>0</v>
      </c>
      <c r="R25" s="961"/>
      <c r="S25" s="961"/>
      <c r="T25" s="335"/>
      <c r="U25" s="335"/>
      <c r="V25" s="560"/>
      <c r="W25" s="558"/>
      <c r="X25" s="558"/>
      <c r="Y25" s="559"/>
      <c r="AB25" s="300">
        <f t="shared" si="8"/>
        <v>1.0275445103439096</v>
      </c>
      <c r="AC25" s="300">
        <f t="shared" si="9"/>
        <v>1.0128515789143882</v>
      </c>
      <c r="AD25" s="300">
        <f t="shared" si="11"/>
        <v>1</v>
      </c>
      <c r="AE25" s="300">
        <f t="shared" si="2"/>
        <v>1.0145065</v>
      </c>
      <c r="AF25" s="366"/>
      <c r="AG25" s="300"/>
      <c r="AH25" s="300"/>
      <c r="AI25" s="300"/>
    </row>
    <row r="26" spans="1:35" ht="12" customHeight="1">
      <c r="A26" s="586">
        <f t="shared" si="3"/>
        <v>1871</v>
      </c>
      <c r="B26" s="1160">
        <f>TableUK1!D26</f>
        <v>94.631630729166702</v>
      </c>
      <c r="C26" s="959">
        <f t="shared" si="0"/>
        <v>637.22504490840845</v>
      </c>
      <c r="D26" s="391">
        <f t="shared" si="4"/>
        <v>6.4076132803085439E-2</v>
      </c>
      <c r="E26" s="390">
        <f t="shared" si="10"/>
        <v>3.1356835577774467E-2</v>
      </c>
      <c r="F26" s="308">
        <f t="shared" si="5"/>
        <v>6.7337426185978995</v>
      </c>
      <c r="G26" s="365">
        <f>TableUK12c!C41</f>
        <v>0.15119554405268687</v>
      </c>
      <c r="H26" s="365">
        <f t="shared" si="6"/>
        <v>1.6609391440838096E-2</v>
      </c>
      <c r="I26" s="365">
        <f t="shared" si="7"/>
        <v>0</v>
      </c>
      <c r="J26" s="391">
        <f t="shared" si="1"/>
        <v>1.45065E-2</v>
      </c>
      <c r="K26" s="78"/>
      <c r="L26" s="207"/>
      <c r="M26" s="78"/>
      <c r="N26" s="78"/>
      <c r="O26" s="78"/>
      <c r="P26" s="78"/>
      <c r="Q26" s="2096">
        <v>0</v>
      </c>
      <c r="R26" s="961"/>
      <c r="S26" s="961"/>
      <c r="T26" s="335"/>
      <c r="U26" s="335"/>
      <c r="V26" s="560"/>
      <c r="W26" s="558"/>
      <c r="X26" s="558"/>
      <c r="Y26" s="559"/>
      <c r="AB26" s="300">
        <f t="shared" si="8"/>
        <v>1.0313568355777745</v>
      </c>
      <c r="AC26" s="300">
        <f t="shared" si="9"/>
        <v>1.0166093914408381</v>
      </c>
      <c r="AD26" s="300">
        <f t="shared" si="11"/>
        <v>1</v>
      </c>
      <c r="AE26" s="300">
        <f t="shared" si="2"/>
        <v>1.0145065</v>
      </c>
      <c r="AF26" s="366"/>
      <c r="AG26" s="300"/>
      <c r="AH26" s="300"/>
      <c r="AI26" s="300"/>
    </row>
    <row r="27" spans="1:35" ht="12" customHeight="1">
      <c r="A27" s="586">
        <f t="shared" si="3"/>
        <v>1872</v>
      </c>
      <c r="B27" s="1160">
        <f>TableUK1!D27</f>
        <v>96.711792178571443</v>
      </c>
      <c r="C27" s="959">
        <f t="shared" si="0"/>
        <v>660.98438818923137</v>
      </c>
      <c r="D27" s="391">
        <f t="shared" si="4"/>
        <v>2.1981671808637859E-2</v>
      </c>
      <c r="E27" s="390">
        <f t="shared" si="10"/>
        <v>3.7285639462331543E-2</v>
      </c>
      <c r="F27" s="308">
        <f t="shared" si="5"/>
        <v>6.8345790445985193</v>
      </c>
      <c r="G27" s="365">
        <f>TableUK12c!C42</f>
        <v>0.14241955362042441</v>
      </c>
      <c r="H27" s="365">
        <f t="shared" si="6"/>
        <v>2.2453418940471596E-2</v>
      </c>
      <c r="I27" s="365">
        <f t="shared" si="7"/>
        <v>0</v>
      </c>
      <c r="J27" s="391">
        <f t="shared" si="1"/>
        <v>1.45065E-2</v>
      </c>
      <c r="K27" s="78"/>
      <c r="L27" s="207"/>
      <c r="M27" s="78"/>
      <c r="N27" s="78"/>
      <c r="O27" s="78"/>
      <c r="P27" s="78"/>
      <c r="Q27" s="2096">
        <v>0</v>
      </c>
      <c r="R27" s="961"/>
      <c r="S27" s="961"/>
      <c r="T27" s="335"/>
      <c r="U27" s="335"/>
      <c r="V27" s="560"/>
      <c r="W27" s="558"/>
      <c r="X27" s="558"/>
      <c r="Y27" s="559"/>
      <c r="AB27" s="300">
        <f t="shared" si="8"/>
        <v>1.0372856394623315</v>
      </c>
      <c r="AC27" s="300">
        <f t="shared" si="9"/>
        <v>1.0224534189404717</v>
      </c>
      <c r="AD27" s="300">
        <f t="shared" si="11"/>
        <v>1</v>
      </c>
      <c r="AE27" s="300">
        <f t="shared" si="2"/>
        <v>1.0145065</v>
      </c>
      <c r="AF27" s="366"/>
      <c r="AG27" s="300"/>
      <c r="AH27" s="300"/>
      <c r="AI27" s="300"/>
    </row>
    <row r="28" spans="1:35" ht="12" customHeight="1">
      <c r="A28" s="586">
        <f t="shared" si="3"/>
        <v>1873</v>
      </c>
      <c r="B28" s="1160">
        <f>TableUK1!D28</f>
        <v>99.273319969093436</v>
      </c>
      <c r="C28" s="959">
        <f t="shared" si="0"/>
        <v>684.54641594607119</v>
      </c>
      <c r="D28" s="391">
        <f t="shared" si="4"/>
        <v>2.6486199178196612E-2</v>
      </c>
      <c r="E28" s="390">
        <f t="shared" si="10"/>
        <v>3.5646874839794895E-2</v>
      </c>
      <c r="F28" s="308">
        <f t="shared" si="5"/>
        <v>6.8955729108202455</v>
      </c>
      <c r="G28" s="365">
        <f>TableUK12c!C43</f>
        <v>0.12925694735555088</v>
      </c>
      <c r="H28" s="365">
        <f t="shared" si="6"/>
        <v>2.0838087128859959E-2</v>
      </c>
      <c r="I28" s="365">
        <f t="shared" si="7"/>
        <v>0</v>
      </c>
      <c r="J28" s="391">
        <f t="shared" si="1"/>
        <v>1.45065E-2</v>
      </c>
      <c r="K28" s="78"/>
      <c r="L28" s="207"/>
      <c r="M28" s="78"/>
      <c r="N28" s="78"/>
      <c r="O28" s="78"/>
      <c r="P28" s="78"/>
      <c r="Q28" s="2096">
        <v>0</v>
      </c>
      <c r="R28" s="961"/>
      <c r="S28" s="961"/>
      <c r="T28" s="335"/>
      <c r="U28" s="335"/>
      <c r="V28" s="560"/>
      <c r="W28" s="558"/>
      <c r="X28" s="558"/>
      <c r="Y28" s="559"/>
      <c r="AB28" s="300">
        <f t="shared" si="8"/>
        <v>1.0356468748397949</v>
      </c>
      <c r="AC28" s="300">
        <f t="shared" si="9"/>
        <v>1.02083808712886</v>
      </c>
      <c r="AD28" s="300">
        <f t="shared" si="11"/>
        <v>1</v>
      </c>
      <c r="AE28" s="300">
        <f t="shared" si="2"/>
        <v>1.0145065</v>
      </c>
      <c r="AF28" s="366"/>
      <c r="AG28" s="300"/>
      <c r="AH28" s="300"/>
      <c r="AI28" s="300"/>
    </row>
    <row r="29" spans="1:35" ht="12" customHeight="1">
      <c r="A29" s="586">
        <f t="shared" si="3"/>
        <v>1874</v>
      </c>
      <c r="B29" s="1160">
        <f>TableUK1!D29</f>
        <v>100.91339107142856</v>
      </c>
      <c r="C29" s="959">
        <f t="shared" si="0"/>
        <v>707.49469883977895</v>
      </c>
      <c r="D29" s="391">
        <f t="shared" si="4"/>
        <v>1.6520764117143649E-2</v>
      </c>
      <c r="E29" s="390">
        <f t="shared" si="10"/>
        <v>3.3523340943933277E-2</v>
      </c>
      <c r="F29" s="308">
        <f t="shared" si="5"/>
        <v>7.0109099627719349</v>
      </c>
      <c r="G29" s="365">
        <f>TableUK12c!C44</f>
        <v>0.15607423714147553</v>
      </c>
      <c r="H29" s="365">
        <f t="shared" si="6"/>
        <v>1.8744917793955346E-2</v>
      </c>
      <c r="I29" s="365">
        <f t="shared" si="7"/>
        <v>0</v>
      </c>
      <c r="J29" s="391">
        <f t="shared" si="1"/>
        <v>1.45065E-2</v>
      </c>
      <c r="K29" s="78"/>
      <c r="L29" s="207"/>
      <c r="M29" s="78"/>
      <c r="N29" s="78"/>
      <c r="O29" s="78"/>
      <c r="P29" s="78"/>
      <c r="Q29" s="2096">
        <v>0</v>
      </c>
      <c r="R29" s="961"/>
      <c r="S29" s="961"/>
      <c r="T29" s="335"/>
      <c r="U29" s="335"/>
      <c r="V29" s="560"/>
      <c r="W29" s="558"/>
      <c r="X29" s="558"/>
      <c r="Y29" s="559"/>
      <c r="AB29" s="300">
        <f t="shared" si="8"/>
        <v>1.0335233409439333</v>
      </c>
      <c r="AC29" s="300">
        <f t="shared" si="9"/>
        <v>1.0187449177939554</v>
      </c>
      <c r="AD29" s="300">
        <f t="shared" si="11"/>
        <v>1</v>
      </c>
      <c r="AE29" s="300">
        <f t="shared" si="2"/>
        <v>1.0145065</v>
      </c>
      <c r="AF29" s="366"/>
      <c r="AG29" s="300"/>
      <c r="AH29" s="300"/>
      <c r="AI29" s="300"/>
    </row>
    <row r="30" spans="1:35" ht="12" customHeight="1">
      <c r="A30" s="586">
        <f t="shared" si="3"/>
        <v>1875</v>
      </c>
      <c r="B30" s="1161">
        <f>TableUK1!D30</f>
        <v>101.91382162900875</v>
      </c>
      <c r="C30" s="1169">
        <f t="shared" si="0"/>
        <v>714.83305520048964</v>
      </c>
      <c r="D30" s="1170">
        <f t="shared" si="4"/>
        <v>9.9137542298233239E-3</v>
      </c>
      <c r="E30" s="1182">
        <f t="shared" si="10"/>
        <v>1.0369653915101695E-2</v>
      </c>
      <c r="F30" s="1185">
        <f>TableUK6f!K36</f>
        <v>7.0140933170248179</v>
      </c>
      <c r="G30" s="1186">
        <f>TableUK12c!C45</f>
        <v>0.138966067820911</v>
      </c>
      <c r="H30" s="1186">
        <f t="shared" si="6"/>
        <v>2.2261623379879743E-2</v>
      </c>
      <c r="I30" s="1186">
        <f t="shared" si="7"/>
        <v>0</v>
      </c>
      <c r="J30" s="1170">
        <f t="shared" ref="J30:J39" si="12">W$182</f>
        <v>-1.1632999999999999E-2</v>
      </c>
      <c r="K30" s="78"/>
      <c r="L30" s="207"/>
      <c r="M30" s="78"/>
      <c r="N30" s="78"/>
      <c r="O30" s="78"/>
      <c r="P30" s="78"/>
      <c r="Q30" s="2096">
        <v>0</v>
      </c>
      <c r="R30" s="961"/>
      <c r="S30" s="961"/>
      <c r="T30" s="335"/>
      <c r="U30" s="335"/>
      <c r="V30" s="560"/>
      <c r="W30" s="558"/>
      <c r="X30" s="558"/>
      <c r="Y30" s="559"/>
      <c r="AB30" s="300">
        <f t="shared" si="8"/>
        <v>1.0103696539151017</v>
      </c>
      <c r="AC30" s="300">
        <f t="shared" si="9"/>
        <v>1.0222616233798798</v>
      </c>
      <c r="AD30" s="300">
        <f t="shared" si="11"/>
        <v>1</v>
      </c>
      <c r="AE30" s="300">
        <f t="shared" si="2"/>
        <v>0.988367</v>
      </c>
      <c r="AF30" s="366"/>
      <c r="AG30" s="300"/>
      <c r="AH30" s="300"/>
      <c r="AI30" s="300"/>
    </row>
    <row r="31" spans="1:35" ht="12" customHeight="1">
      <c r="A31" s="586">
        <f t="shared" si="3"/>
        <v>1876</v>
      </c>
      <c r="B31" s="1160">
        <f>TableUK1!D31</f>
        <v>100.63848928571429</v>
      </c>
      <c r="C31" s="959">
        <f t="shared" si="0"/>
        <v>720.51521222178553</v>
      </c>
      <c r="D31" s="391">
        <f t="shared" si="4"/>
        <v>-1.25138310281111E-2</v>
      </c>
      <c r="E31" s="390">
        <f t="shared" si="10"/>
        <v>7.9489287463101466E-3</v>
      </c>
      <c r="F31" s="308">
        <f t="shared" si="5"/>
        <v>7.1594398657578342</v>
      </c>
      <c r="G31" s="365">
        <f>TableUK12c!C46</f>
        <v>0.12458098840606444</v>
      </c>
      <c r="H31" s="365">
        <f t="shared" si="6"/>
        <v>1.9812406470784812E-2</v>
      </c>
      <c r="I31" s="365">
        <f t="shared" si="7"/>
        <v>0</v>
      </c>
      <c r="J31" s="391">
        <f t="shared" si="12"/>
        <v>-1.1632999999999999E-2</v>
      </c>
      <c r="K31" s="78"/>
      <c r="L31" s="207"/>
      <c r="M31" s="78"/>
      <c r="N31" s="78"/>
      <c r="O31" s="78"/>
      <c r="P31" s="78"/>
      <c r="Q31" s="2096">
        <v>0</v>
      </c>
      <c r="R31" s="961"/>
      <c r="S31" s="961"/>
      <c r="T31" s="335"/>
      <c r="U31" s="335"/>
      <c r="V31" s="560"/>
      <c r="W31" s="558"/>
      <c r="X31" s="558"/>
      <c r="Y31" s="559"/>
      <c r="AB31" s="300">
        <f t="shared" si="8"/>
        <v>1.0079489287463101</v>
      </c>
      <c r="AC31" s="300">
        <f t="shared" si="9"/>
        <v>1.0198124064707847</v>
      </c>
      <c r="AD31" s="300">
        <f t="shared" si="11"/>
        <v>1</v>
      </c>
      <c r="AE31" s="300">
        <f t="shared" si="2"/>
        <v>0.988367</v>
      </c>
      <c r="AF31" s="366"/>
      <c r="AG31" s="300"/>
      <c r="AH31" s="300"/>
      <c r="AI31" s="300"/>
    </row>
    <row r="32" spans="1:35" ht="12" customHeight="1">
      <c r="A32" s="586">
        <f t="shared" si="3"/>
        <v>1877</v>
      </c>
      <c r="B32" s="1160">
        <f>TableUK1!D32</f>
        <v>100.91345405007367</v>
      </c>
      <c r="C32" s="959">
        <f t="shared" si="0"/>
        <v>724.52525083009937</v>
      </c>
      <c r="D32" s="391">
        <f t="shared" si="4"/>
        <v>2.732202821315699E-3</v>
      </c>
      <c r="E32" s="390">
        <f t="shared" si="10"/>
        <v>5.5655155370675224E-3</v>
      </c>
      <c r="F32" s="308">
        <f t="shared" si="5"/>
        <v>7.1796695262317254</v>
      </c>
      <c r="G32" s="365">
        <f>TableUK12c!C47</f>
        <v>0.10357977941012093</v>
      </c>
      <c r="H32" s="365">
        <f t="shared" si="6"/>
        <v>1.7400940679997933E-2</v>
      </c>
      <c r="I32" s="365">
        <f t="shared" si="7"/>
        <v>0</v>
      </c>
      <c r="J32" s="391">
        <f t="shared" si="12"/>
        <v>-1.1632999999999999E-2</v>
      </c>
      <c r="K32" s="78"/>
      <c r="L32" s="207"/>
      <c r="M32" s="78"/>
      <c r="N32" s="78"/>
      <c r="O32" s="78"/>
      <c r="P32" s="78"/>
      <c r="Q32" s="2096">
        <v>0</v>
      </c>
      <c r="R32" s="961"/>
      <c r="S32" s="961"/>
      <c r="T32" s="335"/>
      <c r="U32" s="335"/>
      <c r="V32" s="560"/>
      <c r="W32" s="558"/>
      <c r="X32" s="558"/>
      <c r="Y32" s="559"/>
      <c r="AB32" s="300">
        <f t="shared" si="8"/>
        <v>1.0055655155370675</v>
      </c>
      <c r="AC32" s="300">
        <f t="shared" si="9"/>
        <v>1.017400940679998</v>
      </c>
      <c r="AD32" s="300">
        <f t="shared" si="11"/>
        <v>1</v>
      </c>
      <c r="AE32" s="300">
        <f t="shared" si="2"/>
        <v>0.988367</v>
      </c>
      <c r="AF32" s="366"/>
      <c r="AG32" s="300"/>
      <c r="AH32" s="300"/>
      <c r="AI32" s="300"/>
    </row>
    <row r="33" spans="1:35" ht="12" customHeight="1">
      <c r="A33" s="586">
        <f t="shared" si="3"/>
        <v>1878</v>
      </c>
      <c r="B33" s="1160">
        <f>TableUK1!D33</f>
        <v>100.1830847368421</v>
      </c>
      <c r="C33" s="959">
        <f t="shared" si="0"/>
        <v>726.42784687923734</v>
      </c>
      <c r="D33" s="391">
        <f t="shared" si="4"/>
        <v>-7.2375811541357526E-3</v>
      </c>
      <c r="E33" s="390">
        <f t="shared" si="10"/>
        <v>2.6259899802776321E-3</v>
      </c>
      <c r="F33" s="308">
        <f t="shared" si="5"/>
        <v>7.2510029890514556</v>
      </c>
      <c r="G33" s="365">
        <f>TableUK12c!C48</f>
        <v>0.10027116778111653</v>
      </c>
      <c r="H33" s="365">
        <f t="shared" si="6"/>
        <v>1.4426817144115147E-2</v>
      </c>
      <c r="I33" s="365">
        <f t="shared" si="7"/>
        <v>0</v>
      </c>
      <c r="J33" s="391">
        <f t="shared" si="12"/>
        <v>-1.1632999999999999E-2</v>
      </c>
      <c r="K33" s="78"/>
      <c r="L33" s="207"/>
      <c r="M33" s="78"/>
      <c r="N33" s="78"/>
      <c r="O33" s="78"/>
      <c r="P33" s="78"/>
      <c r="Q33" s="2096">
        <v>0</v>
      </c>
      <c r="R33" s="961"/>
      <c r="S33" s="961"/>
      <c r="T33" s="335"/>
      <c r="U33" s="335"/>
      <c r="V33" s="560"/>
      <c r="W33" s="558"/>
      <c r="X33" s="558"/>
      <c r="Y33" s="559"/>
      <c r="AB33" s="300">
        <f t="shared" si="8"/>
        <v>1.0026259899802776</v>
      </c>
      <c r="AC33" s="300">
        <f t="shared" si="9"/>
        <v>1.0144268171441151</v>
      </c>
      <c r="AD33" s="300">
        <f t="shared" si="11"/>
        <v>1</v>
      </c>
      <c r="AE33" s="300">
        <f t="shared" si="2"/>
        <v>0.988367</v>
      </c>
      <c r="AF33" s="366"/>
      <c r="AG33" s="300"/>
      <c r="AH33" s="300"/>
      <c r="AI33" s="300"/>
    </row>
    <row r="34" spans="1:35" ht="12" customHeight="1">
      <c r="A34" s="1176">
        <f t="shared" si="3"/>
        <v>1879</v>
      </c>
      <c r="B34" s="1177">
        <f>TableUK1!D34</f>
        <v>102.22459538854007</v>
      </c>
      <c r="C34" s="1171">
        <f t="shared" si="0"/>
        <v>727.90592762547487</v>
      </c>
      <c r="D34" s="1172">
        <f t="shared" si="4"/>
        <v>2.0377797879358006E-2</v>
      </c>
      <c r="E34" s="1181">
        <f t="shared" si="10"/>
        <v>2.0347247873100383E-3</v>
      </c>
      <c r="F34" s="550">
        <f t="shared" si="5"/>
        <v>7.1206535458400753</v>
      </c>
      <c r="G34" s="1184">
        <f>TableUK12c!C49</f>
        <v>8.799400066873049E-2</v>
      </c>
      <c r="H34" s="1184">
        <f t="shared" si="6"/>
        <v>1.3828592807439121E-2</v>
      </c>
      <c r="I34" s="1184">
        <f t="shared" si="7"/>
        <v>0</v>
      </c>
      <c r="J34" s="1172">
        <f t="shared" si="12"/>
        <v>-1.1632999999999999E-2</v>
      </c>
      <c r="K34" s="1193"/>
      <c r="L34" s="1195"/>
      <c r="M34" s="1193"/>
      <c r="N34" s="1193"/>
      <c r="O34" s="1193"/>
      <c r="P34" s="1193"/>
      <c r="Q34" s="2097">
        <v>0</v>
      </c>
      <c r="R34" s="961"/>
      <c r="S34" s="961"/>
      <c r="T34" s="335"/>
      <c r="U34" s="335"/>
      <c r="V34" s="560"/>
      <c r="W34" s="558"/>
      <c r="X34" s="558"/>
      <c r="Y34" s="559"/>
      <c r="AB34" s="300">
        <f t="shared" si="8"/>
        <v>1.00203472478731</v>
      </c>
      <c r="AC34" s="300">
        <f t="shared" si="9"/>
        <v>1.0138285928074391</v>
      </c>
      <c r="AD34" s="300">
        <f t="shared" si="11"/>
        <v>1</v>
      </c>
      <c r="AE34" s="300">
        <f t="shared" si="2"/>
        <v>0.988367</v>
      </c>
      <c r="AF34" s="366"/>
      <c r="AG34" s="300"/>
      <c r="AH34" s="300"/>
      <c r="AI34" s="300"/>
    </row>
    <row r="35" spans="1:35" ht="12" customHeight="1">
      <c r="A35" s="586">
        <f t="shared" si="3"/>
        <v>1880</v>
      </c>
      <c r="B35" s="1160">
        <f>TableUK1!D35</f>
        <v>102.9152999620061</v>
      </c>
      <c r="C35" s="959">
        <f t="shared" si="0"/>
        <v>728.32870849146695</v>
      </c>
      <c r="D35" s="391">
        <f t="shared" si="4"/>
        <v>6.7567357037783271E-3</v>
      </c>
      <c r="E35" s="390">
        <f t="shared" si="10"/>
        <v>5.8081800126474903E-4</v>
      </c>
      <c r="F35" s="308">
        <f t="shared" si="5"/>
        <v>7.076972119406431</v>
      </c>
      <c r="G35" s="365">
        <f>TableUK12c!C50</f>
        <v>0.11181552480013747</v>
      </c>
      <c r="H35" s="365">
        <f t="shared" si="6"/>
        <v>1.2357573655600343E-2</v>
      </c>
      <c r="I35" s="365">
        <f t="shared" si="7"/>
        <v>0</v>
      </c>
      <c r="J35" s="391">
        <f t="shared" si="12"/>
        <v>-1.1632999999999999E-2</v>
      </c>
      <c r="K35" s="78"/>
      <c r="L35" s="207"/>
      <c r="M35" s="78"/>
      <c r="N35" s="78"/>
      <c r="O35" s="78"/>
      <c r="P35" s="78"/>
      <c r="Q35" s="2096">
        <v>0</v>
      </c>
      <c r="R35" s="961"/>
      <c r="S35" s="961"/>
      <c r="T35" s="335"/>
      <c r="U35" s="335"/>
      <c r="V35" s="560"/>
      <c r="W35" s="558"/>
      <c r="X35" s="558"/>
      <c r="Y35" s="559"/>
      <c r="AB35" s="300">
        <f t="shared" si="8"/>
        <v>1.0005808180012647</v>
      </c>
      <c r="AC35" s="300">
        <f t="shared" si="9"/>
        <v>1.0123575736556003</v>
      </c>
      <c r="AD35" s="300">
        <f t="shared" si="11"/>
        <v>1</v>
      </c>
      <c r="AE35" s="300">
        <f t="shared" si="2"/>
        <v>0.988367</v>
      </c>
      <c r="AF35" s="366"/>
      <c r="AG35" s="300"/>
      <c r="AH35" s="300"/>
      <c r="AI35" s="300"/>
    </row>
    <row r="36" spans="1:35" ht="12" customHeight="1">
      <c r="A36" s="586">
        <f t="shared" si="3"/>
        <v>1881</v>
      </c>
      <c r="B36" s="1160">
        <f>TableUK1!D36</f>
        <v>107.82147259984637</v>
      </c>
      <c r="C36" s="959">
        <f t="shared" si="0"/>
        <v>731.22972182437525</v>
      </c>
      <c r="D36" s="391">
        <f t="shared" si="4"/>
        <v>4.7671946150392719E-2</v>
      </c>
      <c r="E36" s="390">
        <f t="shared" si="10"/>
        <v>3.9831099599478836E-3</v>
      </c>
      <c r="F36" s="308">
        <f t="shared" si="5"/>
        <v>6.7818561942495403</v>
      </c>
      <c r="G36" s="365">
        <f>TableUK12c!C51</f>
        <v>0.10811671651740676</v>
      </c>
      <c r="H36" s="365">
        <f t="shared" si="6"/>
        <v>1.5799910316661784E-2</v>
      </c>
      <c r="I36" s="365">
        <f t="shared" si="7"/>
        <v>0</v>
      </c>
      <c r="J36" s="391">
        <f t="shared" si="12"/>
        <v>-1.1632999999999999E-2</v>
      </c>
      <c r="K36" s="78"/>
      <c r="L36" s="207"/>
      <c r="M36" s="78"/>
      <c r="N36" s="78"/>
      <c r="O36" s="78"/>
      <c r="P36" s="78"/>
      <c r="Q36" s="2096">
        <v>0</v>
      </c>
      <c r="R36" s="961"/>
      <c r="S36" s="961"/>
      <c r="T36" s="335"/>
      <c r="U36" s="335"/>
      <c r="V36" s="560"/>
      <c r="W36" s="558"/>
      <c r="X36" s="558"/>
      <c r="Y36" s="559"/>
      <c r="AB36" s="300">
        <f t="shared" si="8"/>
        <v>1.0039831099599479</v>
      </c>
      <c r="AC36" s="300">
        <f t="shared" si="9"/>
        <v>1.0157999103166617</v>
      </c>
      <c r="AD36" s="300">
        <f t="shared" si="11"/>
        <v>1</v>
      </c>
      <c r="AE36" s="300">
        <f t="shared" si="2"/>
        <v>0.988367</v>
      </c>
      <c r="AF36" s="366"/>
      <c r="AG36" s="300"/>
      <c r="AH36" s="300"/>
      <c r="AI36" s="300"/>
    </row>
    <row r="37" spans="1:35" ht="12" customHeight="1">
      <c r="A37" s="586">
        <f t="shared" si="3"/>
        <v>1882</v>
      </c>
      <c r="B37" s="1160">
        <f>TableUK1!D37</f>
        <v>110.46983499240125</v>
      </c>
      <c r="C37" s="959">
        <f t="shared" si="0"/>
        <v>734.2450206453251</v>
      </c>
      <c r="D37" s="391">
        <f t="shared" si="4"/>
        <v>2.4562476552176582E-2</v>
      </c>
      <c r="E37" s="390">
        <f t="shared" si="10"/>
        <v>4.1235999179940475E-3</v>
      </c>
      <c r="F37" s="308">
        <f t="shared" si="5"/>
        <v>6.6465657407366514</v>
      </c>
      <c r="G37" s="365">
        <f>TableUK12c!C52</f>
        <v>0.11035043352601151</v>
      </c>
      <c r="H37" s="365">
        <f t="shared" si="6"/>
        <v>1.5942053830200777E-2</v>
      </c>
      <c r="I37" s="365">
        <f t="shared" si="7"/>
        <v>0</v>
      </c>
      <c r="J37" s="391">
        <f t="shared" si="12"/>
        <v>-1.1632999999999999E-2</v>
      </c>
      <c r="K37" s="78"/>
      <c r="L37" s="207"/>
      <c r="M37" s="78"/>
      <c r="N37" s="78"/>
      <c r="O37" s="78"/>
      <c r="P37" s="78"/>
      <c r="Q37" s="2096">
        <v>0</v>
      </c>
      <c r="R37" s="961"/>
      <c r="S37" s="961"/>
      <c r="T37" s="335"/>
      <c r="U37" s="335"/>
      <c r="V37" s="560"/>
      <c r="W37" s="558"/>
      <c r="X37" s="558"/>
      <c r="Y37" s="559"/>
      <c r="AB37" s="300">
        <f t="shared" si="8"/>
        <v>1.004123599917994</v>
      </c>
      <c r="AC37" s="300">
        <f t="shared" si="9"/>
        <v>1.0159420538302009</v>
      </c>
      <c r="AD37" s="300">
        <f t="shared" si="11"/>
        <v>1</v>
      </c>
      <c r="AE37" s="300">
        <f t="shared" si="2"/>
        <v>0.988367</v>
      </c>
      <c r="AF37" s="366"/>
      <c r="AG37" s="300"/>
      <c r="AH37" s="300"/>
      <c r="AI37" s="300"/>
    </row>
    <row r="38" spans="1:35" ht="12" customHeight="1">
      <c r="A38" s="586">
        <f t="shared" si="3"/>
        <v>1883</v>
      </c>
      <c r="B38" s="1160">
        <f>TableUK1!D38</f>
        <v>110.33920510752687</v>
      </c>
      <c r="C38" s="959">
        <f t="shared" si="0"/>
        <v>737.752131647586</v>
      </c>
      <c r="D38" s="391">
        <f t="shared" si="4"/>
        <v>-1.1824937086524212E-3</v>
      </c>
      <c r="E38" s="390">
        <f t="shared" si="10"/>
        <v>4.7764859190717601E-3</v>
      </c>
      <c r="F38" s="308">
        <f t="shared" si="5"/>
        <v>6.6862193807598826</v>
      </c>
      <c r="G38" s="365">
        <f>TableUK12c!C53</f>
        <v>0.11496148030815749</v>
      </c>
      <c r="H38" s="365">
        <f t="shared" si="6"/>
        <v>1.6602624246936457E-2</v>
      </c>
      <c r="I38" s="365">
        <f t="shared" si="7"/>
        <v>0</v>
      </c>
      <c r="J38" s="391">
        <f t="shared" si="12"/>
        <v>-1.1632999999999999E-2</v>
      </c>
      <c r="K38" s="78"/>
      <c r="L38" s="207"/>
      <c r="M38" s="78"/>
      <c r="N38" s="78"/>
      <c r="O38" s="78"/>
      <c r="P38" s="78"/>
      <c r="Q38" s="2096">
        <v>0</v>
      </c>
      <c r="R38" s="961"/>
      <c r="S38" s="961"/>
      <c r="T38" s="335"/>
      <c r="U38" s="335"/>
      <c r="V38" s="560"/>
      <c r="W38" s="558"/>
      <c r="X38" s="558"/>
      <c r="Y38" s="559"/>
      <c r="AB38" s="300">
        <f t="shared" si="8"/>
        <v>1.0047764859190718</v>
      </c>
      <c r="AC38" s="300">
        <f t="shared" si="9"/>
        <v>1.0166026242469364</v>
      </c>
      <c r="AD38" s="300">
        <f t="shared" si="11"/>
        <v>1</v>
      </c>
      <c r="AE38" s="300">
        <f t="shared" si="2"/>
        <v>0.988367</v>
      </c>
      <c r="AF38" s="366"/>
      <c r="AG38" s="300"/>
      <c r="AH38" s="300"/>
      <c r="AI38" s="300"/>
    </row>
    <row r="39" spans="1:35" ht="12" customHeight="1">
      <c r="A39" s="586">
        <f t="shared" ref="A39:A50" si="13">A38+1</f>
        <v>1884</v>
      </c>
      <c r="B39" s="1160">
        <f>TableUK1!D39</f>
        <v>110.04717912087912</v>
      </c>
      <c r="C39" s="959">
        <f>F39*B39</f>
        <v>741.70705766137041</v>
      </c>
      <c r="D39" s="391">
        <f>B39/B38-1</f>
        <v>-2.6466203591294368E-3</v>
      </c>
      <c r="E39" s="390">
        <f t="shared" si="10"/>
        <v>5.3607788363174702E-3</v>
      </c>
      <c r="F39" s="308">
        <f>F38*(1+E39)/(1+D39)</f>
        <v>6.7399006824759873</v>
      </c>
      <c r="G39" s="365">
        <f>TableUK12c!C54</f>
        <v>0.10233784410402132</v>
      </c>
      <c r="H39" s="365">
        <f>G38/F38</f>
        <v>1.7193794244766799E-2</v>
      </c>
      <c r="I39" s="365">
        <f t="shared" si="7"/>
        <v>0</v>
      </c>
      <c r="J39" s="391">
        <f t="shared" si="12"/>
        <v>-1.1632999999999999E-2</v>
      </c>
      <c r="K39" s="78"/>
      <c r="L39" s="207"/>
      <c r="M39" s="78"/>
      <c r="N39" s="78"/>
      <c r="O39" s="78"/>
      <c r="P39" s="78"/>
      <c r="Q39" s="2096">
        <v>0</v>
      </c>
      <c r="R39" s="961"/>
      <c r="S39" s="961"/>
      <c r="T39" s="335"/>
      <c r="U39" s="335"/>
      <c r="V39" s="560"/>
      <c r="W39" s="558"/>
      <c r="X39" s="558"/>
      <c r="Y39" s="559"/>
      <c r="AB39" s="300">
        <f t="shared" si="8"/>
        <v>1.0053607788363175</v>
      </c>
      <c r="AC39" s="300">
        <f t="shared" si="9"/>
        <v>1.0171937942447669</v>
      </c>
      <c r="AD39" s="300">
        <f t="shared" si="11"/>
        <v>1</v>
      </c>
      <c r="AE39" s="300">
        <f t="shared" si="2"/>
        <v>0.988367</v>
      </c>
      <c r="AF39" s="366"/>
      <c r="AG39" s="300"/>
      <c r="AH39" s="300"/>
      <c r="AI39" s="300"/>
    </row>
    <row r="40" spans="1:35" ht="12" customHeight="1">
      <c r="A40" s="588">
        <f t="shared" si="13"/>
        <v>1885</v>
      </c>
      <c r="B40" s="1159">
        <f>TableUK1!D40</f>
        <v>112.1667316964286</v>
      </c>
      <c r="C40" s="115">
        <f t="shared" ref="C40:C51" si="14">F40*B40</f>
        <v>749.20789054977513</v>
      </c>
      <c r="D40" s="391">
        <f t="shared" ref="D40:D51" si="15">B40/B39-1</f>
        <v>1.9260398971438386E-2</v>
      </c>
      <c r="E40" s="390">
        <f t="shared" si="10"/>
        <v>1.010796073720388E-2</v>
      </c>
      <c r="F40" s="307">
        <f>TableUK6f!K37</f>
        <v>6.6794126851930908</v>
      </c>
      <c r="G40" s="533">
        <f>TableUK12c!C55</f>
        <v>9.0652169152267661E-2</v>
      </c>
      <c r="H40" s="365">
        <f t="shared" ref="H40:H51" si="16">G39/F39</f>
        <v>1.51838801378934E-2</v>
      </c>
      <c r="I40" s="365">
        <f t="shared" si="7"/>
        <v>0</v>
      </c>
      <c r="J40" s="391">
        <f>W$179</f>
        <v>-5.0000000000000001E-3</v>
      </c>
      <c r="K40" s="78"/>
      <c r="L40" s="207"/>
      <c r="M40" s="78"/>
      <c r="N40" s="78"/>
      <c r="O40" s="78"/>
      <c r="P40" s="78"/>
      <c r="Q40" s="2096">
        <v>0</v>
      </c>
      <c r="R40" s="961"/>
      <c r="S40" s="961"/>
      <c r="T40" s="335"/>
      <c r="U40" s="335"/>
      <c r="V40" s="560"/>
      <c r="W40" s="558"/>
      <c r="X40" s="558"/>
      <c r="Y40" s="559"/>
      <c r="AB40" s="300">
        <f t="shared" si="8"/>
        <v>1.0101079607372039</v>
      </c>
      <c r="AC40" s="300">
        <f t="shared" si="9"/>
        <v>1.0151838801378934</v>
      </c>
      <c r="AD40" s="300">
        <f t="shared" si="11"/>
        <v>1</v>
      </c>
      <c r="AE40" s="300">
        <f t="shared" si="2"/>
        <v>0.995</v>
      </c>
      <c r="AF40" s="366"/>
      <c r="AG40" s="300"/>
      <c r="AH40" s="300"/>
      <c r="AI40" s="300"/>
    </row>
    <row r="41" spans="1:35" ht="12" customHeight="1">
      <c r="A41" s="586">
        <f t="shared" si="13"/>
        <v>1886</v>
      </c>
      <c r="B41" s="1160">
        <f>TableUK1!D41</f>
        <v>115.75190835385879</v>
      </c>
      <c r="C41" s="959">
        <f t="shared" si="14"/>
        <v>770.35966324427511</v>
      </c>
      <c r="D41" s="391">
        <f t="shared" si="15"/>
        <v>3.1962923437345303E-2</v>
      </c>
      <c r="E41" s="390">
        <f t="shared" si="10"/>
        <v>2.8232180895717329E-2</v>
      </c>
      <c r="F41" s="308">
        <f t="shared" ref="F41:F51" si="17">F40*(1+E41)/(1+D41)</f>
        <v>6.6552653360085516</v>
      </c>
      <c r="G41" s="365">
        <f>TableUK12c!C56</f>
        <v>9.0250236071765785E-2</v>
      </c>
      <c r="H41" s="365">
        <f t="shared" si="16"/>
        <v>1.3571877262985295E-2</v>
      </c>
      <c r="I41" s="365">
        <f t="shared" si="7"/>
        <v>0</v>
      </c>
      <c r="J41" s="391">
        <f t="shared" ref="J41:J55" si="18">W$178</f>
        <v>1.4463999999999999E-2</v>
      </c>
      <c r="K41" s="78"/>
      <c r="L41" s="207"/>
      <c r="M41" s="78"/>
      <c r="N41" s="78"/>
      <c r="O41" s="78"/>
      <c r="P41" s="78"/>
      <c r="Q41" s="2096">
        <v>0</v>
      </c>
      <c r="R41" s="961"/>
      <c r="S41" s="961"/>
      <c r="T41" s="335"/>
      <c r="U41" s="335"/>
      <c r="V41" s="560"/>
      <c r="W41" s="558"/>
      <c r="X41" s="558"/>
      <c r="Y41" s="559"/>
      <c r="AB41" s="300">
        <f t="shared" si="8"/>
        <v>1.0282321808957173</v>
      </c>
      <c r="AC41" s="300">
        <f t="shared" si="9"/>
        <v>1.0135718772629854</v>
      </c>
      <c r="AD41" s="300">
        <f t="shared" si="11"/>
        <v>1</v>
      </c>
      <c r="AE41" s="300">
        <f t="shared" si="2"/>
        <v>1.014464</v>
      </c>
      <c r="AF41" s="366"/>
      <c r="AG41" s="300"/>
      <c r="AH41" s="300"/>
      <c r="AI41" s="300"/>
    </row>
    <row r="42" spans="1:35" ht="12" customHeight="1">
      <c r="A42" s="586">
        <f t="shared" si="13"/>
        <v>1887</v>
      </c>
      <c r="B42" s="1160">
        <f>TableUK1!D42</f>
        <v>121.65313253737541</v>
      </c>
      <c r="C42" s="959">
        <f t="shared" si="14"/>
        <v>792.09988262649256</v>
      </c>
      <c r="D42" s="391">
        <f t="shared" si="15"/>
        <v>5.0981657818342851E-2</v>
      </c>
      <c r="E42" s="390">
        <f t="shared" si="10"/>
        <v>2.8220869315328745E-2</v>
      </c>
      <c r="F42" s="308">
        <f t="shared" si="17"/>
        <v>6.5111342889845947</v>
      </c>
      <c r="G42" s="365">
        <f>TableUK12c!C57</f>
        <v>0.11023438477907116</v>
      </c>
      <c r="H42" s="365">
        <f t="shared" si="16"/>
        <v>1.3560726960571151E-2</v>
      </c>
      <c r="I42" s="365">
        <f t="shared" si="7"/>
        <v>0</v>
      </c>
      <c r="J42" s="391">
        <f t="shared" si="18"/>
        <v>1.4463999999999999E-2</v>
      </c>
      <c r="K42" s="78"/>
      <c r="L42" s="207"/>
      <c r="M42" s="78"/>
      <c r="N42" s="78"/>
      <c r="O42" s="78"/>
      <c r="P42" s="78"/>
      <c r="Q42" s="2096">
        <v>0</v>
      </c>
      <c r="R42" s="961"/>
      <c r="S42" s="961"/>
      <c r="T42" s="335"/>
      <c r="U42" s="335"/>
      <c r="V42" s="560"/>
      <c r="W42" s="558"/>
      <c r="X42" s="558"/>
      <c r="Y42" s="559"/>
      <c r="AB42" s="300">
        <f t="shared" si="8"/>
        <v>1.0282208693153287</v>
      </c>
      <c r="AC42" s="300">
        <f t="shared" si="9"/>
        <v>1.0135607269605711</v>
      </c>
      <c r="AD42" s="300">
        <f t="shared" si="11"/>
        <v>1</v>
      </c>
      <c r="AE42" s="300">
        <f t="shared" si="2"/>
        <v>1.014464</v>
      </c>
      <c r="AF42" s="366"/>
      <c r="AG42" s="300"/>
      <c r="AH42" s="300"/>
      <c r="AI42" s="300"/>
    </row>
    <row r="43" spans="1:35" ht="12" customHeight="1">
      <c r="A43" s="586">
        <f t="shared" si="13"/>
        <v>1888</v>
      </c>
      <c r="B43" s="1160">
        <f>TableUK1!D43</f>
        <v>127.97917465106734</v>
      </c>
      <c r="C43" s="959">
        <f t="shared" si="14"/>
        <v>817.16114097182526</v>
      </c>
      <c r="D43" s="391">
        <f t="shared" si="15"/>
        <v>5.2000651210098336E-2</v>
      </c>
      <c r="E43" s="390">
        <f t="shared" si="10"/>
        <v>3.1639012825293023E-2</v>
      </c>
      <c r="F43" s="308">
        <f t="shared" si="17"/>
        <v>6.3851102587573232</v>
      </c>
      <c r="G43" s="365">
        <f>TableUK12c!C58</f>
        <v>0.10911157406457167</v>
      </c>
      <c r="H43" s="365">
        <f t="shared" si="16"/>
        <v>1.6930135347624983E-2</v>
      </c>
      <c r="I43" s="365">
        <f t="shared" si="7"/>
        <v>0</v>
      </c>
      <c r="J43" s="391">
        <f t="shared" si="18"/>
        <v>1.4463999999999999E-2</v>
      </c>
      <c r="K43" s="78"/>
      <c r="L43" s="207"/>
      <c r="M43" s="78"/>
      <c r="N43" s="78"/>
      <c r="O43" s="78"/>
      <c r="P43" s="78"/>
      <c r="Q43" s="2096">
        <v>0</v>
      </c>
      <c r="R43" s="961"/>
      <c r="S43" s="961"/>
      <c r="T43" s="335"/>
      <c r="U43" s="335"/>
      <c r="V43" s="560"/>
      <c r="W43" s="558"/>
      <c r="X43" s="558"/>
      <c r="Y43" s="559"/>
      <c r="AB43" s="300">
        <f t="shared" si="8"/>
        <v>1.031639012825293</v>
      </c>
      <c r="AC43" s="300">
        <f t="shared" si="9"/>
        <v>1.016930135347625</v>
      </c>
      <c r="AD43" s="300">
        <f t="shared" si="11"/>
        <v>1</v>
      </c>
      <c r="AE43" s="300">
        <f t="shared" si="2"/>
        <v>1.014464</v>
      </c>
      <c r="AF43" s="366"/>
      <c r="AG43" s="300"/>
      <c r="AH43" s="300"/>
      <c r="AI43" s="300"/>
    </row>
    <row r="44" spans="1:35" ht="12" customHeight="1">
      <c r="A44" s="1176">
        <f t="shared" si="13"/>
        <v>1889</v>
      </c>
      <c r="B44" s="1177">
        <f>TableUK1!D44</f>
        <v>135.04591875000003</v>
      </c>
      <c r="C44" s="1171">
        <f t="shared" si="14"/>
        <v>843.1465443374816</v>
      </c>
      <c r="D44" s="1172">
        <f t="shared" si="15"/>
        <v>5.521792212053267E-2</v>
      </c>
      <c r="E44" s="1181">
        <f t="shared" si="10"/>
        <v>3.1799607277889663E-2</v>
      </c>
      <c r="F44" s="550">
        <f t="shared" si="17"/>
        <v>6.2434063327625102</v>
      </c>
      <c r="G44" s="1184">
        <f>TableUK12c!C59</f>
        <v>0.10745617083987929</v>
      </c>
      <c r="H44" s="1184">
        <f t="shared" si="16"/>
        <v>1.7088440080564416E-2</v>
      </c>
      <c r="I44" s="1184">
        <f t="shared" si="7"/>
        <v>0</v>
      </c>
      <c r="J44" s="1172">
        <f t="shared" si="18"/>
        <v>1.4463999999999999E-2</v>
      </c>
      <c r="K44" s="1184"/>
      <c r="L44" s="550"/>
      <c r="M44" s="1196"/>
      <c r="N44" s="1184"/>
      <c r="O44" s="1184"/>
      <c r="P44" s="1184"/>
      <c r="Q44" s="2098">
        <v>0</v>
      </c>
      <c r="R44" s="1968"/>
      <c r="S44" s="1968"/>
      <c r="T44" s="335"/>
      <c r="U44" s="335"/>
      <c r="V44" s="560"/>
      <c r="W44" s="558"/>
      <c r="X44" s="558"/>
      <c r="Y44" s="559"/>
      <c r="AB44" s="300">
        <f t="shared" si="8"/>
        <v>1.0317996072778897</v>
      </c>
      <c r="AC44" s="300">
        <f t="shared" si="9"/>
        <v>1.0170884400805644</v>
      </c>
      <c r="AD44" s="300">
        <f t="shared" si="11"/>
        <v>1</v>
      </c>
      <c r="AE44" s="300">
        <f t="shared" si="2"/>
        <v>1.014464</v>
      </c>
      <c r="AF44" s="366"/>
      <c r="AG44" s="300"/>
      <c r="AH44" s="300"/>
      <c r="AI44" s="300"/>
    </row>
    <row r="45" spans="1:35" ht="12" customHeight="1">
      <c r="A45" s="586">
        <f t="shared" si="13"/>
        <v>1890</v>
      </c>
      <c r="B45" s="1160">
        <f>TableUK1!D45</f>
        <v>138.10343750000004</v>
      </c>
      <c r="C45" s="959">
        <f t="shared" si="14"/>
        <v>870.06322785767225</v>
      </c>
      <c r="D45" s="391">
        <f t="shared" si="15"/>
        <v>2.264058609323949E-2</v>
      </c>
      <c r="E45" s="390">
        <f t="shared" si="10"/>
        <v>3.1924086863619694E-2</v>
      </c>
      <c r="F45" s="308">
        <f t="shared" si="17"/>
        <v>6.3000837894253863</v>
      </c>
      <c r="G45" s="365">
        <f>TableUK12c!C60</f>
        <v>0.11561024949426837</v>
      </c>
      <c r="H45" s="365">
        <f t="shared" si="16"/>
        <v>1.721114486430252E-2</v>
      </c>
      <c r="I45" s="365">
        <f t="shared" si="7"/>
        <v>0</v>
      </c>
      <c r="J45" s="391">
        <f t="shared" si="18"/>
        <v>1.4463999999999999E-2</v>
      </c>
      <c r="K45" s="365"/>
      <c r="L45" s="308"/>
      <c r="M45" s="1187"/>
      <c r="N45" s="365"/>
      <c r="O45" s="365"/>
      <c r="P45" s="365"/>
      <c r="Q45" s="2099">
        <v>0</v>
      </c>
      <c r="R45" s="1968"/>
      <c r="S45" s="1968"/>
      <c r="T45" s="335"/>
      <c r="U45" s="335"/>
      <c r="V45" s="560"/>
      <c r="W45" s="558"/>
      <c r="X45" s="558"/>
      <c r="Y45" s="559"/>
      <c r="AB45" s="300">
        <f t="shared" si="8"/>
        <v>1.0319240868636197</v>
      </c>
      <c r="AC45" s="300">
        <f t="shared" si="9"/>
        <v>1.0172111448643024</v>
      </c>
      <c r="AD45" s="300">
        <f t="shared" si="11"/>
        <v>1</v>
      </c>
      <c r="AE45" s="300">
        <f t="shared" si="2"/>
        <v>1.014464</v>
      </c>
      <c r="AF45" s="366"/>
      <c r="AG45" s="300"/>
      <c r="AH45" s="300"/>
      <c r="AI45" s="300"/>
    </row>
    <row r="46" spans="1:35" ht="12" customHeight="1">
      <c r="A46" s="586">
        <f t="shared" si="13"/>
        <v>1891</v>
      </c>
      <c r="B46" s="1160">
        <f>TableUK1!D46</f>
        <v>133.86103932584271</v>
      </c>
      <c r="C46" s="959">
        <f t="shared" si="14"/>
        <v>898.84492997512189</v>
      </c>
      <c r="D46" s="391">
        <f t="shared" si="15"/>
        <v>-3.0718990424531079E-2</v>
      </c>
      <c r="E46" s="390">
        <f t="shared" si="10"/>
        <v>3.3080012113967605E-2</v>
      </c>
      <c r="F46" s="308">
        <f t="shared" si="17"/>
        <v>6.7147613263868795</v>
      </c>
      <c r="G46" s="365">
        <f>TableUK12c!C61</f>
        <v>0.10114423239317683</v>
      </c>
      <c r="H46" s="365">
        <f t="shared" si="16"/>
        <v>1.8350589191895951E-2</v>
      </c>
      <c r="I46" s="365">
        <f t="shared" si="7"/>
        <v>0</v>
      </c>
      <c r="J46" s="391">
        <f t="shared" si="18"/>
        <v>1.4463999999999999E-2</v>
      </c>
      <c r="K46" s="365"/>
      <c r="L46" s="308"/>
      <c r="M46" s="1187"/>
      <c r="N46" s="365"/>
      <c r="O46" s="365"/>
      <c r="P46" s="365"/>
      <c r="Q46" s="2099">
        <v>0</v>
      </c>
      <c r="R46" s="1968"/>
      <c r="S46" s="1968"/>
      <c r="T46" s="335"/>
      <c r="U46" s="335"/>
      <c r="V46" s="560"/>
      <c r="W46" s="558"/>
      <c r="X46" s="558"/>
      <c r="Y46" s="559"/>
      <c r="AB46" s="300">
        <f t="shared" si="8"/>
        <v>1.0330800121139676</v>
      </c>
      <c r="AC46" s="300">
        <f t="shared" si="9"/>
        <v>1.018350589191896</v>
      </c>
      <c r="AD46" s="300">
        <f t="shared" si="11"/>
        <v>1</v>
      </c>
      <c r="AE46" s="300">
        <f t="shared" si="2"/>
        <v>1.014464</v>
      </c>
      <c r="AF46" s="366"/>
      <c r="AG46" s="300"/>
      <c r="AH46" s="300"/>
      <c r="AI46" s="300"/>
    </row>
    <row r="47" spans="1:35" ht="12" customHeight="1">
      <c r="A47" s="586">
        <f t="shared" si="13"/>
        <v>1892</v>
      </c>
      <c r="B47" s="1160">
        <f>TableUK1!D47</f>
        <v>131.17036516853935</v>
      </c>
      <c r="C47" s="959">
        <f t="shared" si="14"/>
        <v>925.58092714346719</v>
      </c>
      <c r="D47" s="391">
        <f t="shared" si="15"/>
        <v>-2.010050251256279E-2</v>
      </c>
      <c r="E47" s="390">
        <f t="shared" si="10"/>
        <v>2.9744838377277594E-2</v>
      </c>
      <c r="F47" s="308">
        <f t="shared" si="17"/>
        <v>7.056326525844451</v>
      </c>
      <c r="G47" s="365">
        <f>TableUK12c!C62</f>
        <v>8.7441475881620212E-2</v>
      </c>
      <c r="H47" s="365">
        <f t="shared" si="16"/>
        <v>1.5062967613712808E-2</v>
      </c>
      <c r="I47" s="365">
        <f t="shared" si="7"/>
        <v>0</v>
      </c>
      <c r="J47" s="391">
        <f t="shared" si="18"/>
        <v>1.4463999999999999E-2</v>
      </c>
      <c r="K47" s="365"/>
      <c r="L47" s="308"/>
      <c r="M47" s="1187"/>
      <c r="N47" s="365"/>
      <c r="O47" s="365"/>
      <c r="P47" s="365"/>
      <c r="Q47" s="2099">
        <v>0</v>
      </c>
      <c r="R47" s="1968"/>
      <c r="S47" s="1968"/>
      <c r="T47" s="335"/>
      <c r="U47" s="335"/>
      <c r="V47" s="560"/>
      <c r="W47" s="558"/>
      <c r="X47" s="558"/>
      <c r="Y47" s="559"/>
      <c r="AB47" s="300">
        <f t="shared" si="8"/>
        <v>1.0297448383772776</v>
      </c>
      <c r="AC47" s="300">
        <f t="shared" si="9"/>
        <v>1.0150629676137128</v>
      </c>
      <c r="AD47" s="300">
        <f t="shared" si="11"/>
        <v>1</v>
      </c>
      <c r="AE47" s="300">
        <f t="shared" si="2"/>
        <v>1.014464</v>
      </c>
      <c r="AF47" s="366"/>
      <c r="AG47" s="300"/>
      <c r="AH47" s="300"/>
      <c r="AI47" s="300"/>
    </row>
    <row r="48" spans="1:35" ht="12" customHeight="1">
      <c r="A48" s="586">
        <f t="shared" si="13"/>
        <v>1893</v>
      </c>
      <c r="B48" s="1160">
        <f>TableUK1!D48</f>
        <v>133.34125000000003</v>
      </c>
      <c r="C48" s="959">
        <f t="shared" si="14"/>
        <v>950.60415817532009</v>
      </c>
      <c r="D48" s="391">
        <f t="shared" si="15"/>
        <v>1.6550116550116512E-2</v>
      </c>
      <c r="E48" s="390">
        <f t="shared" si="10"/>
        <v>2.7035162780503219E-2</v>
      </c>
      <c r="F48" s="308">
        <f t="shared" si="17"/>
        <v>7.1291078955336014</v>
      </c>
      <c r="G48" s="365">
        <f>TableUK12c!C63</f>
        <v>7.9946164199192468E-2</v>
      </c>
      <c r="H48" s="365">
        <f t="shared" si="16"/>
        <v>1.2391925963368857E-2</v>
      </c>
      <c r="I48" s="365">
        <f t="shared" si="7"/>
        <v>0</v>
      </c>
      <c r="J48" s="391">
        <f t="shared" si="18"/>
        <v>1.4463999999999999E-2</v>
      </c>
      <c r="K48" s="365"/>
      <c r="L48" s="308"/>
      <c r="M48" s="1187"/>
      <c r="N48" s="365"/>
      <c r="O48" s="365"/>
      <c r="P48" s="365"/>
      <c r="Q48" s="2099">
        <v>0</v>
      </c>
      <c r="R48" s="1968"/>
      <c r="S48" s="1968"/>
      <c r="T48" s="335"/>
      <c r="U48" s="335"/>
      <c r="V48" s="560"/>
      <c r="W48" s="558"/>
      <c r="X48" s="558"/>
      <c r="Y48" s="559"/>
      <c r="AB48" s="300">
        <f t="shared" si="8"/>
        <v>1.0270351627805032</v>
      </c>
      <c r="AC48" s="300">
        <f t="shared" si="9"/>
        <v>1.0123919259633689</v>
      </c>
      <c r="AD48" s="300">
        <f t="shared" si="11"/>
        <v>1</v>
      </c>
      <c r="AE48" s="300">
        <f t="shared" si="2"/>
        <v>1.014464</v>
      </c>
      <c r="AF48" s="366"/>
      <c r="AG48" s="300"/>
      <c r="AH48" s="300"/>
      <c r="AI48" s="300"/>
    </row>
    <row r="49" spans="1:35" ht="12" customHeight="1">
      <c r="A49" s="586">
        <f t="shared" si="13"/>
        <v>1894</v>
      </c>
      <c r="B49" s="1160">
        <f>TableUK1!D49</f>
        <v>143.91793103448276</v>
      </c>
      <c r="C49" s="959">
        <f t="shared" si="14"/>
        <v>975.16800618309264</v>
      </c>
      <c r="D49" s="391">
        <f t="shared" si="15"/>
        <v>7.9320398109982593E-2</v>
      </c>
      <c r="E49" s="390">
        <f t="shared" si="10"/>
        <v>2.5840248852816661E-2</v>
      </c>
      <c r="F49" s="308">
        <f t="shared" si="17"/>
        <v>6.7758617649210242</v>
      </c>
      <c r="G49" s="365">
        <f>TableUK12c!C64</f>
        <v>9.5792017070415403E-2</v>
      </c>
      <c r="H49" s="365">
        <f t="shared" si="16"/>
        <v>1.1214048850246589E-2</v>
      </c>
      <c r="I49" s="365">
        <f t="shared" si="7"/>
        <v>0</v>
      </c>
      <c r="J49" s="391">
        <f t="shared" si="18"/>
        <v>1.4463999999999999E-2</v>
      </c>
      <c r="K49" s="365"/>
      <c r="L49" s="308"/>
      <c r="M49" s="1187"/>
      <c r="N49" s="365"/>
      <c r="O49" s="365"/>
      <c r="P49" s="365"/>
      <c r="Q49" s="2099">
        <v>0</v>
      </c>
      <c r="R49" s="1968"/>
      <c r="S49" s="1968"/>
      <c r="T49" s="335"/>
      <c r="U49" s="335"/>
      <c r="V49" s="560"/>
      <c r="W49" s="558"/>
      <c r="X49" s="558"/>
      <c r="Y49" s="559"/>
      <c r="AB49" s="300">
        <f t="shared" si="8"/>
        <v>1.0258402488528167</v>
      </c>
      <c r="AC49" s="300">
        <f t="shared" si="9"/>
        <v>1.0112140488502466</v>
      </c>
      <c r="AD49" s="300">
        <f t="shared" si="11"/>
        <v>1</v>
      </c>
      <c r="AE49" s="300">
        <f t="shared" si="2"/>
        <v>1.014464</v>
      </c>
      <c r="AF49" s="366"/>
      <c r="AG49" s="300"/>
      <c r="AH49" s="300"/>
      <c r="AI49" s="300"/>
    </row>
    <row r="50" spans="1:35" ht="12" customHeight="1">
      <c r="A50" s="586">
        <f t="shared" si="13"/>
        <v>1895</v>
      </c>
      <c r="B50" s="1160">
        <f>TableUK1!D50</f>
        <v>149.37040697674416</v>
      </c>
      <c r="C50" s="959">
        <f t="shared" si="14"/>
        <v>1003.258428567261</v>
      </c>
      <c r="D50" s="391">
        <f t="shared" si="15"/>
        <v>3.7886008387342462E-2</v>
      </c>
      <c r="E50" s="390">
        <f t="shared" si="10"/>
        <v>2.8805725993941378E-2</v>
      </c>
      <c r="F50" s="308">
        <f t="shared" si="17"/>
        <v>6.7165809404500099</v>
      </c>
      <c r="G50" s="365">
        <f>TableUK12c!C65</f>
        <v>9.5455570822139693E-2</v>
      </c>
      <c r="H50" s="365">
        <f t="shared" si="16"/>
        <v>1.4137244883940147E-2</v>
      </c>
      <c r="I50" s="365">
        <f t="shared" si="7"/>
        <v>0</v>
      </c>
      <c r="J50" s="391">
        <f t="shared" si="18"/>
        <v>1.4463999999999999E-2</v>
      </c>
      <c r="K50" s="365"/>
      <c r="L50" s="308"/>
      <c r="M50" s="1187"/>
      <c r="N50" s="365"/>
      <c r="O50" s="365"/>
      <c r="P50" s="365"/>
      <c r="Q50" s="2099">
        <v>0</v>
      </c>
      <c r="R50" s="1968"/>
      <c r="S50" s="1968"/>
      <c r="T50" s="335"/>
      <c r="U50" s="335"/>
      <c r="V50" s="560"/>
      <c r="W50" s="558"/>
      <c r="X50" s="558"/>
      <c r="Y50" s="559"/>
      <c r="AB50" s="300">
        <f t="shared" si="8"/>
        <v>1.0288057259939414</v>
      </c>
      <c r="AC50" s="300">
        <f t="shared" si="9"/>
        <v>1.0141372448839401</v>
      </c>
      <c r="AD50" s="300">
        <f t="shared" si="11"/>
        <v>1</v>
      </c>
      <c r="AE50" s="300">
        <f t="shared" si="2"/>
        <v>1.014464</v>
      </c>
      <c r="AF50" s="366"/>
      <c r="AG50" s="300"/>
      <c r="AH50" s="300"/>
      <c r="AI50" s="300"/>
    </row>
    <row r="51" spans="1:35">
      <c r="A51" s="436">
        <v>1896</v>
      </c>
      <c r="B51" s="1164">
        <f>TableUK1!D51</f>
        <v>155.1524117647059</v>
      </c>
      <c r="C51" s="959">
        <f t="shared" si="14"/>
        <v>1032.2340270866075</v>
      </c>
      <c r="D51" s="391">
        <f t="shared" si="15"/>
        <v>3.8709172084280041E-2</v>
      </c>
      <c r="E51" s="390">
        <f t="shared" si="10"/>
        <v>2.8881490246462249E-2</v>
      </c>
      <c r="F51" s="308">
        <f t="shared" si="17"/>
        <v>6.6530324301502111</v>
      </c>
      <c r="G51" s="365">
        <f>TableUK12c!C66</f>
        <v>0.10216724656484044</v>
      </c>
      <c r="H51" s="365">
        <f t="shared" si="16"/>
        <v>1.4211928906754779E-2</v>
      </c>
      <c r="I51" s="365">
        <f t="shared" si="7"/>
        <v>0</v>
      </c>
      <c r="J51" s="391">
        <f t="shared" si="18"/>
        <v>1.4463999999999999E-2</v>
      </c>
      <c r="K51" s="365"/>
      <c r="L51" s="308"/>
      <c r="M51" s="1187"/>
      <c r="N51" s="365"/>
      <c r="O51" s="365"/>
      <c r="P51" s="365"/>
      <c r="Q51" s="2099">
        <v>0</v>
      </c>
      <c r="R51" s="1968"/>
      <c r="S51" s="1968"/>
      <c r="T51" s="361"/>
      <c r="U51" s="361"/>
      <c r="V51" s="362"/>
      <c r="W51" s="83"/>
      <c r="X51" s="83"/>
      <c r="Y51" s="363"/>
      <c r="AB51" s="300">
        <f t="shared" si="8"/>
        <v>1.0288814902464622</v>
      </c>
      <c r="AC51" s="300">
        <f t="shared" si="9"/>
        <v>1.0142119289067548</v>
      </c>
      <c r="AD51" s="300">
        <f t="shared" si="11"/>
        <v>1</v>
      </c>
      <c r="AE51" s="300">
        <f t="shared" si="2"/>
        <v>1.014464</v>
      </c>
      <c r="AF51" s="366"/>
      <c r="AG51" s="300"/>
      <c r="AH51" s="300"/>
      <c r="AI51" s="300"/>
    </row>
    <row r="52" spans="1:35">
      <c r="A52" s="198">
        <f t="shared" ref="A52:A83" si="19">A51+1</f>
        <v>1897</v>
      </c>
      <c r="B52" s="1162">
        <f>TableUK1!D52</f>
        <v>156.6975287356322</v>
      </c>
      <c r="C52" s="959">
        <f t="shared" ref="C52:C74" si="20">F52*B52</f>
        <v>1063.2450307817376</v>
      </c>
      <c r="D52" s="391">
        <f t="shared" ref="D52:D83" si="21">B52/B51-1</f>
        <v>9.9587041757980277E-3</v>
      </c>
      <c r="E52" s="390">
        <f t="shared" si="10"/>
        <v>3.0042609409666632E-2</v>
      </c>
      <c r="F52" s="308">
        <f t="shared" ref="F52:F67" si="22">F51*(1+E52)/(1+D52)</f>
        <v>6.7853337532563218</v>
      </c>
      <c r="G52" s="365">
        <f>TableUK12c!C67</f>
        <v>9.6092521023091404E-2</v>
      </c>
      <c r="H52" s="365">
        <f t="shared" ref="H52:H102" si="23">G51/F51</f>
        <v>1.5356493093561206E-2</v>
      </c>
      <c r="I52" s="365">
        <f t="shared" si="7"/>
        <v>0</v>
      </c>
      <c r="J52" s="391">
        <f t="shared" si="18"/>
        <v>1.4463999999999999E-2</v>
      </c>
      <c r="K52" s="365"/>
      <c r="L52" s="308"/>
      <c r="M52" s="1187"/>
      <c r="N52" s="365"/>
      <c r="O52" s="365"/>
      <c r="P52" s="365"/>
      <c r="Q52" s="2099">
        <v>0</v>
      </c>
      <c r="R52" s="1968"/>
      <c r="S52" s="1968"/>
      <c r="T52" s="365"/>
      <c r="U52" s="365"/>
      <c r="V52" s="362"/>
      <c r="W52" s="83"/>
      <c r="X52" s="83"/>
      <c r="Y52" s="363"/>
      <c r="AB52" s="300">
        <f t="shared" ref="AB52:AB83" si="24">1+E52</f>
        <v>1.0300426094096666</v>
      </c>
      <c r="AC52" s="300">
        <f t="shared" ref="AC52:AC83" si="25">1+H52</f>
        <v>1.0153564930935612</v>
      </c>
      <c r="AD52" s="300">
        <f t="shared" si="11"/>
        <v>1</v>
      </c>
      <c r="AE52" s="300">
        <f t="shared" ref="AE52:AE83" si="26">1+J52</f>
        <v>1.014464</v>
      </c>
      <c r="AF52" s="366"/>
      <c r="AG52" s="300"/>
      <c r="AH52" s="300"/>
      <c r="AI52" s="300"/>
    </row>
    <row r="53" spans="1:35">
      <c r="A53" s="198">
        <f t="shared" si="19"/>
        <v>1898</v>
      </c>
      <c r="B53" s="1162">
        <f>TableUK1!D53</f>
        <v>164.95511494252872</v>
      </c>
      <c r="C53" s="959">
        <f t="shared" si="20"/>
        <v>1093.8990585910065</v>
      </c>
      <c r="D53" s="391">
        <f t="shared" si="21"/>
        <v>5.2697616060225716E-2</v>
      </c>
      <c r="E53" s="390">
        <f t="shared" si="10"/>
        <v>2.8830633505741332E-2</v>
      </c>
      <c r="F53" s="308">
        <f t="shared" si="22"/>
        <v>6.63149523415583</v>
      </c>
      <c r="G53" s="365">
        <f>TableUK12c!C68</f>
        <v>0.11507451210135103</v>
      </c>
      <c r="H53" s="365">
        <f t="shared" si="23"/>
        <v>1.4161797270027586E-2</v>
      </c>
      <c r="I53" s="365">
        <f t="shared" si="7"/>
        <v>0</v>
      </c>
      <c r="J53" s="391">
        <f t="shared" si="18"/>
        <v>1.4463999999999999E-2</v>
      </c>
      <c r="K53" s="365"/>
      <c r="L53" s="308"/>
      <c r="M53" s="1187"/>
      <c r="N53" s="365"/>
      <c r="O53" s="365"/>
      <c r="P53" s="365"/>
      <c r="Q53" s="2099">
        <v>0</v>
      </c>
      <c r="R53" s="1968"/>
      <c r="S53" s="1968"/>
      <c r="T53" s="365"/>
      <c r="U53" s="365"/>
      <c r="V53" s="362"/>
      <c r="W53" s="83"/>
      <c r="X53" s="83"/>
      <c r="Y53" s="363"/>
      <c r="AB53" s="300">
        <f t="shared" si="24"/>
        <v>1.0288306335057413</v>
      </c>
      <c r="AC53" s="300">
        <f t="shared" si="25"/>
        <v>1.0141617972700276</v>
      </c>
      <c r="AD53" s="300">
        <f t="shared" si="11"/>
        <v>1</v>
      </c>
      <c r="AE53" s="300">
        <f t="shared" si="26"/>
        <v>1.014464</v>
      </c>
      <c r="AF53" s="366"/>
      <c r="AG53" s="300"/>
      <c r="AH53" s="300"/>
      <c r="AI53" s="300"/>
    </row>
    <row r="54" spans="1:35">
      <c r="A54" s="214">
        <f t="shared" si="19"/>
        <v>1899</v>
      </c>
      <c r="B54" s="1163">
        <f>TableUK1!D54</f>
        <v>172.02187500000002</v>
      </c>
      <c r="C54" s="1171">
        <f t="shared" si="20"/>
        <v>1128.9779014643173</v>
      </c>
      <c r="D54" s="1172">
        <f t="shared" si="21"/>
        <v>4.2840502763029864E-2</v>
      </c>
      <c r="E54" s="1181">
        <f t="shared" si="10"/>
        <v>3.206771465595204E-2</v>
      </c>
      <c r="F54" s="550">
        <f t="shared" si="22"/>
        <v>6.562990325877549</v>
      </c>
      <c r="G54" s="1184">
        <f>TableUK12c!C69</f>
        <v>0.13855207030647726</v>
      </c>
      <c r="H54" s="1184">
        <f t="shared" si="23"/>
        <v>1.7352724843811139E-2</v>
      </c>
      <c r="I54" s="1184">
        <f t="shared" si="7"/>
        <v>0</v>
      </c>
      <c r="J54" s="1172">
        <f t="shared" si="18"/>
        <v>1.4463999999999999E-2</v>
      </c>
      <c r="K54" s="1184"/>
      <c r="L54" s="550"/>
      <c r="M54" s="1196"/>
      <c r="N54" s="1184"/>
      <c r="O54" s="1184"/>
      <c r="P54" s="1184"/>
      <c r="Q54" s="2098">
        <v>0</v>
      </c>
      <c r="R54" s="1968"/>
      <c r="S54" s="1968"/>
      <c r="T54" s="365"/>
      <c r="U54" s="365"/>
      <c r="V54" s="362"/>
      <c r="W54" s="83"/>
      <c r="X54" s="83"/>
      <c r="Y54" s="363"/>
      <c r="AB54" s="300">
        <f t="shared" si="24"/>
        <v>1.032067714655952</v>
      </c>
      <c r="AC54" s="300">
        <f t="shared" si="25"/>
        <v>1.0173527248438112</v>
      </c>
      <c r="AD54" s="300">
        <f t="shared" si="11"/>
        <v>1</v>
      </c>
      <c r="AE54" s="300">
        <f t="shared" si="26"/>
        <v>1.014464</v>
      </c>
      <c r="AF54" s="366"/>
      <c r="AG54" s="300"/>
      <c r="AH54" s="300"/>
      <c r="AI54" s="300"/>
    </row>
    <row r="55" spans="1:35">
      <c r="A55" s="198">
        <f t="shared" si="19"/>
        <v>1900</v>
      </c>
      <c r="B55" s="1162">
        <f>TableUK1!D55</f>
        <v>169.46964673913044</v>
      </c>
      <c r="C55" s="959">
        <f t="shared" si="20"/>
        <v>1169.4861595371494</v>
      </c>
      <c r="D55" s="391">
        <f t="shared" si="21"/>
        <v>-1.4836649471874352E-2</v>
      </c>
      <c r="E55" s="390">
        <f t="shared" si="10"/>
        <v>3.588047030884467E-2</v>
      </c>
      <c r="F55" s="308">
        <f t="shared" si="22"/>
        <v>6.9008591334197646</v>
      </c>
      <c r="G55" s="365">
        <f>TableUK12c!C70</f>
        <v>0.13821989958323749</v>
      </c>
      <c r="H55" s="365">
        <f t="shared" si="23"/>
        <v>2.1111119082436132E-2</v>
      </c>
      <c r="I55" s="365">
        <f t="shared" si="7"/>
        <v>0</v>
      </c>
      <c r="J55" s="391">
        <f t="shared" si="18"/>
        <v>1.4463999999999999E-2</v>
      </c>
      <c r="K55" s="365"/>
      <c r="L55" s="308"/>
      <c r="M55" s="1187"/>
      <c r="N55" s="365"/>
      <c r="O55" s="365"/>
      <c r="P55" s="365"/>
      <c r="Q55" s="2099">
        <v>0</v>
      </c>
      <c r="R55" s="1968"/>
      <c r="S55" s="1968"/>
      <c r="T55" s="365"/>
      <c r="U55" s="365"/>
      <c r="V55" s="362"/>
      <c r="W55" s="83"/>
      <c r="X55" s="83"/>
      <c r="Y55" s="363"/>
      <c r="AB55" s="300">
        <f t="shared" si="24"/>
        <v>1.0358804703088447</v>
      </c>
      <c r="AC55" s="300">
        <f t="shared" si="25"/>
        <v>1.0211111190824362</v>
      </c>
      <c r="AD55" s="300">
        <f t="shared" si="11"/>
        <v>1</v>
      </c>
      <c r="AE55" s="300">
        <f t="shared" si="26"/>
        <v>1.014464</v>
      </c>
      <c r="AF55" s="366"/>
      <c r="AG55" s="300"/>
      <c r="AH55" s="300"/>
      <c r="AI55" s="300"/>
    </row>
    <row r="56" spans="1:35">
      <c r="A56" s="198">
        <f t="shared" si="19"/>
        <v>1901</v>
      </c>
      <c r="B56" s="1162">
        <f>TableUK1!D56</f>
        <v>167.70336956521746</v>
      </c>
      <c r="C56" s="959">
        <f t="shared" si="20"/>
        <v>1186.9456859063796</v>
      </c>
      <c r="D56" s="391">
        <f t="shared" si="21"/>
        <v>-1.0422380691168076E-2</v>
      </c>
      <c r="E56" s="390">
        <f t="shared" si="10"/>
        <v>1.4929228727375676E-2</v>
      </c>
      <c r="F56" s="308">
        <f t="shared" si="22"/>
        <v>7.0776495963296275</v>
      </c>
      <c r="G56" s="365">
        <f>TableUK12c!C71</f>
        <v>0.13844692772800649</v>
      </c>
      <c r="H56" s="365">
        <f t="shared" si="23"/>
        <v>2.0029375605402591E-2</v>
      </c>
      <c r="I56" s="365">
        <f t="shared" si="7"/>
        <v>0</v>
      </c>
      <c r="J56" s="391">
        <f t="shared" ref="J56:J68" si="27">W$179</f>
        <v>-5.0000000000000001E-3</v>
      </c>
      <c r="K56" s="365"/>
      <c r="L56" s="308"/>
      <c r="M56" s="1187"/>
      <c r="N56" s="365"/>
      <c r="O56" s="365"/>
      <c r="P56" s="365"/>
      <c r="Q56" s="2099">
        <v>0</v>
      </c>
      <c r="R56" s="1968"/>
      <c r="S56" s="1968"/>
      <c r="T56" s="365"/>
      <c r="U56" s="365"/>
      <c r="V56" s="367"/>
      <c r="W56" s="83"/>
      <c r="X56" s="83"/>
      <c r="Y56" s="363"/>
      <c r="AB56" s="300">
        <f t="shared" si="24"/>
        <v>1.0149292287273757</v>
      </c>
      <c r="AC56" s="300">
        <f t="shared" si="25"/>
        <v>1.0200293756054026</v>
      </c>
      <c r="AD56" s="300">
        <f t="shared" si="11"/>
        <v>1</v>
      </c>
      <c r="AE56" s="300">
        <f t="shared" si="26"/>
        <v>0.995</v>
      </c>
      <c r="AF56" s="366"/>
      <c r="AG56" s="300"/>
      <c r="AH56" s="300"/>
      <c r="AI56" s="300"/>
    </row>
    <row r="57" spans="1:35">
      <c r="A57" s="198">
        <f t="shared" si="19"/>
        <v>1902</v>
      </c>
      <c r="B57" s="1162">
        <f>TableUK1!D57</f>
        <v>170.39926630434786</v>
      </c>
      <c r="C57" s="959">
        <f t="shared" si="20"/>
        <v>1204.1128836813571</v>
      </c>
      <c r="D57" s="391">
        <f t="shared" si="21"/>
        <v>1.6075388026607351E-2</v>
      </c>
      <c r="E57" s="390">
        <f t="shared" si="10"/>
        <v>1.4463338953768501E-2</v>
      </c>
      <c r="F57" s="308">
        <f t="shared" si="22"/>
        <v>7.0664205885177171</v>
      </c>
      <c r="G57" s="365">
        <f>TableUK12c!C72</f>
        <v>0.12332696136997198</v>
      </c>
      <c r="H57" s="365">
        <f t="shared" si="23"/>
        <v>1.9561144677154287E-2</v>
      </c>
      <c r="I57" s="365">
        <f t="shared" si="7"/>
        <v>0</v>
      </c>
      <c r="J57" s="391">
        <f t="shared" si="27"/>
        <v>-5.0000000000000001E-3</v>
      </c>
      <c r="K57" s="365"/>
      <c r="L57" s="308"/>
      <c r="M57" s="1187"/>
      <c r="N57" s="365"/>
      <c r="O57" s="365"/>
      <c r="P57" s="365"/>
      <c r="Q57" s="2099">
        <v>0</v>
      </c>
      <c r="R57" s="1968"/>
      <c r="S57" s="1968"/>
      <c r="T57" s="365"/>
      <c r="U57" s="365"/>
      <c r="V57" s="368"/>
      <c r="W57" s="83"/>
      <c r="X57" s="83"/>
      <c r="Y57" s="363"/>
      <c r="AB57" s="300">
        <f t="shared" si="24"/>
        <v>1.0144633389537685</v>
      </c>
      <c r="AC57" s="300">
        <f t="shared" si="25"/>
        <v>1.0195611446771542</v>
      </c>
      <c r="AD57" s="300">
        <f t="shared" si="11"/>
        <v>1</v>
      </c>
      <c r="AE57" s="300">
        <f t="shared" si="26"/>
        <v>0.995</v>
      </c>
      <c r="AF57" s="366"/>
      <c r="AG57" s="300"/>
      <c r="AH57" s="300"/>
      <c r="AI57" s="300"/>
    </row>
    <row r="58" spans="1:35">
      <c r="A58" s="198">
        <f t="shared" si="19"/>
        <v>1903</v>
      </c>
      <c r="B58" s="1162">
        <f>TableUK1!D58</f>
        <v>166.1759946236559</v>
      </c>
      <c r="C58" s="959">
        <f t="shared" si="20"/>
        <v>1219.0020688772731</v>
      </c>
      <c r="D58" s="391">
        <f t="shared" si="21"/>
        <v>-2.4784564935560471E-2</v>
      </c>
      <c r="E58" s="390">
        <f t="shared" si="10"/>
        <v>1.2365273553418987E-2</v>
      </c>
      <c r="F58" s="308">
        <f t="shared" si="22"/>
        <v>7.335608681855561</v>
      </c>
      <c r="G58" s="365">
        <f>TableUK12c!C73</f>
        <v>0.11302441280117351</v>
      </c>
      <c r="H58" s="365">
        <f t="shared" si="23"/>
        <v>1.7452536234591944E-2</v>
      </c>
      <c r="I58" s="365">
        <f t="shared" si="7"/>
        <v>0</v>
      </c>
      <c r="J58" s="391">
        <f t="shared" si="27"/>
        <v>-5.0000000000000001E-3</v>
      </c>
      <c r="K58" s="365"/>
      <c r="L58" s="308"/>
      <c r="M58" s="1187"/>
      <c r="N58" s="365"/>
      <c r="O58" s="365"/>
      <c r="P58" s="365"/>
      <c r="Q58" s="2099">
        <v>0</v>
      </c>
      <c r="R58" s="1968"/>
      <c r="S58" s="1968"/>
      <c r="T58" s="365"/>
      <c r="U58" s="365"/>
      <c r="V58" s="368"/>
      <c r="W58" s="83"/>
      <c r="X58" s="83"/>
      <c r="Y58" s="363"/>
      <c r="AB58" s="300">
        <f t="shared" si="24"/>
        <v>1.012365273553419</v>
      </c>
      <c r="AC58" s="300">
        <f t="shared" si="25"/>
        <v>1.0174525362345919</v>
      </c>
      <c r="AD58" s="300">
        <f t="shared" si="11"/>
        <v>1</v>
      </c>
      <c r="AE58" s="300">
        <f t="shared" si="26"/>
        <v>0.995</v>
      </c>
      <c r="AF58" s="366"/>
      <c r="AG58" s="300"/>
      <c r="AH58" s="300"/>
      <c r="AI58" s="300"/>
    </row>
    <row r="59" spans="1:35">
      <c r="A59" s="198">
        <f t="shared" si="19"/>
        <v>1904</v>
      </c>
      <c r="B59" s="1162">
        <f>TableUK1!D59</f>
        <v>165.3483333333333</v>
      </c>
      <c r="C59" s="959">
        <f t="shared" si="20"/>
        <v>1231.5950930258066</v>
      </c>
      <c r="D59" s="391">
        <f t="shared" si="21"/>
        <v>-4.9806308799115184E-3</v>
      </c>
      <c r="E59" s="390">
        <f t="shared" si="10"/>
        <v>1.0330601128619721E-2</v>
      </c>
      <c r="F59" s="308">
        <f t="shared" si="22"/>
        <v>7.448488099018074</v>
      </c>
      <c r="G59" s="365">
        <f>TableUK12c!C74</f>
        <v>0.10976355676376215</v>
      </c>
      <c r="H59" s="365">
        <f t="shared" si="23"/>
        <v>1.5407639325245972E-2</v>
      </c>
      <c r="I59" s="365">
        <f t="shared" si="7"/>
        <v>0</v>
      </c>
      <c r="J59" s="391">
        <f t="shared" si="27"/>
        <v>-5.0000000000000001E-3</v>
      </c>
      <c r="K59" s="365"/>
      <c r="L59" s="308"/>
      <c r="M59" s="1187"/>
      <c r="N59" s="365"/>
      <c r="O59" s="365"/>
      <c r="P59" s="365"/>
      <c r="Q59" s="2099">
        <v>0</v>
      </c>
      <c r="R59" s="1968"/>
      <c r="S59" s="1968"/>
      <c r="T59" s="365"/>
      <c r="U59" s="365"/>
      <c r="V59" s="368"/>
      <c r="W59" s="83"/>
      <c r="X59" s="83"/>
      <c r="Y59" s="363"/>
      <c r="AB59" s="300">
        <f t="shared" si="24"/>
        <v>1.0103306011286197</v>
      </c>
      <c r="AC59" s="300">
        <f t="shared" si="25"/>
        <v>1.015407639325246</v>
      </c>
      <c r="AD59" s="300">
        <f t="shared" si="11"/>
        <v>1</v>
      </c>
      <c r="AE59" s="300">
        <f t="shared" si="26"/>
        <v>0.995</v>
      </c>
      <c r="AF59" s="366"/>
      <c r="AG59" s="300"/>
      <c r="AH59" s="300"/>
      <c r="AI59" s="300"/>
    </row>
    <row r="60" spans="1:35">
      <c r="A60" s="198">
        <f t="shared" si="19"/>
        <v>1905</v>
      </c>
      <c r="B60" s="1162">
        <f>TableUK1!D60</f>
        <v>172.61336021505375</v>
      </c>
      <c r="C60" s="959">
        <f t="shared" si="20"/>
        <v>1243.4955926264463</v>
      </c>
      <c r="D60" s="391">
        <f t="shared" si="21"/>
        <v>4.3937708565072509E-2</v>
      </c>
      <c r="E60" s="390">
        <f t="shared" si="10"/>
        <v>9.6626721460886245E-3</v>
      </c>
      <c r="F60" s="308">
        <f t="shared" si="22"/>
        <v>7.2039359588227292</v>
      </c>
      <c r="G60" s="365">
        <f>TableUK12c!C75</f>
        <v>0.12005147727447862</v>
      </c>
      <c r="H60" s="365">
        <f t="shared" si="23"/>
        <v>1.4736353915666746E-2</v>
      </c>
      <c r="I60" s="365">
        <f t="shared" si="7"/>
        <v>0</v>
      </c>
      <c r="J60" s="391">
        <f t="shared" si="27"/>
        <v>-5.0000000000000001E-3</v>
      </c>
      <c r="K60" s="365"/>
      <c r="L60" s="308"/>
      <c r="M60" s="1187"/>
      <c r="N60" s="365"/>
      <c r="O60" s="365"/>
      <c r="P60" s="365"/>
      <c r="Q60" s="2099">
        <v>0</v>
      </c>
      <c r="R60" s="1968"/>
      <c r="S60" s="1968"/>
      <c r="T60" s="365"/>
      <c r="U60" s="365"/>
      <c r="V60" s="368"/>
      <c r="W60" s="83"/>
      <c r="X60" s="83"/>
      <c r="Y60" s="363"/>
      <c r="AB60" s="300">
        <f t="shared" si="24"/>
        <v>1.0096626721460886</v>
      </c>
      <c r="AC60" s="300">
        <f t="shared" si="25"/>
        <v>1.0147363539156669</v>
      </c>
      <c r="AD60" s="300">
        <f t="shared" si="11"/>
        <v>1</v>
      </c>
      <c r="AE60" s="300">
        <f t="shared" si="26"/>
        <v>0.995</v>
      </c>
      <c r="AF60" s="366"/>
      <c r="AG60" s="300"/>
      <c r="AH60" s="300"/>
      <c r="AI60" s="300"/>
    </row>
    <row r="61" spans="1:35">
      <c r="A61" s="198">
        <f t="shared" si="19"/>
        <v>1906</v>
      </c>
      <c r="B61" s="1162">
        <f>TableUK1!D61</f>
        <v>182.08548387096769</v>
      </c>
      <c r="C61" s="959">
        <f t="shared" si="20"/>
        <v>1257.8969911099871</v>
      </c>
      <c r="D61" s="391">
        <f t="shared" si="21"/>
        <v>5.4874800213105868E-2</v>
      </c>
      <c r="E61" s="390">
        <f t="shared" si="10"/>
        <v>1.1581382812240637E-2</v>
      </c>
      <c r="F61" s="308">
        <f t="shared" si="22"/>
        <v>6.9082771694276195</v>
      </c>
      <c r="G61" s="365">
        <f>TableUK12c!C76</f>
        <v>0.13027093780405644</v>
      </c>
      <c r="H61" s="365">
        <f t="shared" si="23"/>
        <v>1.6664706343960545E-2</v>
      </c>
      <c r="I61" s="365">
        <f t="shared" si="7"/>
        <v>0</v>
      </c>
      <c r="J61" s="391">
        <f t="shared" si="27"/>
        <v>-5.0000000000000001E-3</v>
      </c>
      <c r="K61" s="365"/>
      <c r="L61" s="308"/>
      <c r="M61" s="1187"/>
      <c r="N61" s="365"/>
      <c r="O61" s="365"/>
      <c r="P61" s="365"/>
      <c r="Q61" s="2099">
        <v>0</v>
      </c>
      <c r="R61" s="1968"/>
      <c r="S61" s="1968"/>
      <c r="T61" s="365"/>
      <c r="U61" s="365"/>
      <c r="V61" s="368"/>
      <c r="W61" s="83"/>
      <c r="X61" s="83"/>
      <c r="Y61" s="363"/>
      <c r="AB61" s="300">
        <f t="shared" si="24"/>
        <v>1.0115813828122406</v>
      </c>
      <c r="AC61" s="300">
        <f t="shared" si="25"/>
        <v>1.0166647063439604</v>
      </c>
      <c r="AD61" s="300">
        <f t="shared" si="11"/>
        <v>1</v>
      </c>
      <c r="AE61" s="300">
        <f t="shared" si="26"/>
        <v>0.995</v>
      </c>
      <c r="AF61" s="366"/>
      <c r="AG61" s="300"/>
      <c r="AH61" s="300"/>
      <c r="AI61" s="300"/>
    </row>
    <row r="62" spans="1:35">
      <c r="A62" s="198">
        <f t="shared" si="19"/>
        <v>1907</v>
      </c>
      <c r="B62" s="1162">
        <f>TableUK1!D62</f>
        <v>188.88287234042556</v>
      </c>
      <c r="C62" s="959">
        <f t="shared" si="20"/>
        <v>1275.2093506650917</v>
      </c>
      <c r="D62" s="391">
        <f t="shared" si="21"/>
        <v>3.733075435203137E-2</v>
      </c>
      <c r="E62" s="390">
        <f t="shared" si="10"/>
        <v>1.3762938998548524E-2</v>
      </c>
      <c r="F62" s="308">
        <f t="shared" si="22"/>
        <v>6.7513233723318686</v>
      </c>
      <c r="G62" s="365">
        <f>TableUK12c!C77</f>
        <v>0.12474436729073263</v>
      </c>
      <c r="H62" s="365">
        <f t="shared" si="23"/>
        <v>1.8857225124169409E-2</v>
      </c>
      <c r="I62" s="365">
        <f t="shared" si="7"/>
        <v>0</v>
      </c>
      <c r="J62" s="391">
        <f t="shared" si="27"/>
        <v>-5.0000000000000001E-3</v>
      </c>
      <c r="K62" s="365"/>
      <c r="L62" s="308"/>
      <c r="M62" s="1187"/>
      <c r="N62" s="365"/>
      <c r="O62" s="365"/>
      <c r="P62" s="365"/>
      <c r="Q62" s="2099">
        <v>0</v>
      </c>
      <c r="R62" s="1968"/>
      <c r="S62" s="1968"/>
      <c r="T62" s="365"/>
      <c r="U62" s="365"/>
      <c r="V62" s="368"/>
      <c r="W62" s="83"/>
      <c r="X62" s="83"/>
      <c r="Y62" s="363"/>
      <c r="AB62" s="300">
        <f t="shared" si="24"/>
        <v>1.0137629389985485</v>
      </c>
      <c r="AC62" s="300">
        <f t="shared" si="25"/>
        <v>1.0188572251241694</v>
      </c>
      <c r="AD62" s="300">
        <f t="shared" si="11"/>
        <v>1</v>
      </c>
      <c r="AE62" s="300">
        <f t="shared" si="26"/>
        <v>0.995</v>
      </c>
      <c r="AF62" s="366"/>
      <c r="AG62" s="300"/>
      <c r="AH62" s="300"/>
      <c r="AI62" s="300"/>
    </row>
    <row r="63" spans="1:35">
      <c r="A63" s="198">
        <f t="shared" si="19"/>
        <v>1908</v>
      </c>
      <c r="B63" s="1162">
        <f>TableUK1!D63</f>
        <v>180.23938829787238</v>
      </c>
      <c r="C63" s="959">
        <f t="shared" si="20"/>
        <v>1292.2775679419178</v>
      </c>
      <c r="D63" s="391">
        <f t="shared" si="21"/>
        <v>-4.5761078998073135E-2</v>
      </c>
      <c r="E63" s="390">
        <f t="shared" si="10"/>
        <v>1.3384639367586271E-2</v>
      </c>
      <c r="F63" s="308">
        <f t="shared" si="22"/>
        <v>7.1697844746689716</v>
      </c>
      <c r="G63" s="365">
        <f>TableUK12c!C78</f>
        <v>9.3147618831571355E-2</v>
      </c>
      <c r="H63" s="365">
        <f t="shared" si="23"/>
        <v>1.8477024490036631E-2</v>
      </c>
      <c r="I63" s="365">
        <f t="shared" si="7"/>
        <v>0</v>
      </c>
      <c r="J63" s="391">
        <f t="shared" si="27"/>
        <v>-5.0000000000000001E-3</v>
      </c>
      <c r="K63" s="365"/>
      <c r="L63" s="308"/>
      <c r="M63" s="1187"/>
      <c r="N63" s="365"/>
      <c r="O63" s="365"/>
      <c r="P63" s="365"/>
      <c r="Q63" s="2099">
        <v>0</v>
      </c>
      <c r="R63" s="1968"/>
      <c r="S63" s="1968"/>
      <c r="T63" s="365"/>
      <c r="U63" s="365"/>
      <c r="V63" s="368"/>
      <c r="W63" s="83"/>
      <c r="X63" s="83"/>
      <c r="Y63" s="363"/>
      <c r="AB63" s="300">
        <f t="shared" si="24"/>
        <v>1.0133846393675863</v>
      </c>
      <c r="AC63" s="300">
        <f t="shared" si="25"/>
        <v>1.0184770244900365</v>
      </c>
      <c r="AD63" s="300">
        <f t="shared" si="11"/>
        <v>1</v>
      </c>
      <c r="AE63" s="300">
        <f t="shared" si="26"/>
        <v>0.995</v>
      </c>
      <c r="AF63" s="366"/>
      <c r="AG63" s="300"/>
      <c r="AH63" s="300"/>
      <c r="AI63" s="300"/>
    </row>
    <row r="64" spans="1:35">
      <c r="A64" s="214">
        <f t="shared" si="19"/>
        <v>1909</v>
      </c>
      <c r="B64" s="1163">
        <f>TableUK1!D64</f>
        <v>181.13294736842104</v>
      </c>
      <c r="C64" s="1171">
        <f t="shared" si="20"/>
        <v>1302.5211055926161</v>
      </c>
      <c r="D64" s="1172">
        <f t="shared" si="21"/>
        <v>4.9576237413317958E-3</v>
      </c>
      <c r="E64" s="1181">
        <f t="shared" si="10"/>
        <v>7.9267317678601845E-3</v>
      </c>
      <c r="F64" s="550">
        <f t="shared" si="22"/>
        <v>7.1909673227108284</v>
      </c>
      <c r="G64" s="1184">
        <f>TableUK12c!C79</f>
        <v>0.12742960014050692</v>
      </c>
      <c r="H64" s="1184">
        <f t="shared" si="23"/>
        <v>1.299169021895487E-2</v>
      </c>
      <c r="I64" s="1184">
        <f t="shared" si="7"/>
        <v>0</v>
      </c>
      <c r="J64" s="1172">
        <f t="shared" si="27"/>
        <v>-5.0000000000000001E-3</v>
      </c>
      <c r="K64" s="1184"/>
      <c r="L64" s="550"/>
      <c r="M64" s="1196"/>
      <c r="N64" s="1184"/>
      <c r="O64" s="1184"/>
      <c r="P64" s="1184"/>
      <c r="Q64" s="2098">
        <v>0</v>
      </c>
      <c r="R64" s="1968"/>
      <c r="S64" s="1968"/>
      <c r="T64" s="365"/>
      <c r="U64" s="365"/>
      <c r="V64" s="368"/>
      <c r="W64" s="83"/>
      <c r="X64" s="83"/>
      <c r="Y64" s="363"/>
      <c r="AB64" s="300">
        <f t="shared" si="24"/>
        <v>1.0079267317678602</v>
      </c>
      <c r="AC64" s="300">
        <f t="shared" si="25"/>
        <v>1.0129916902189549</v>
      </c>
      <c r="AD64" s="300">
        <f t="shared" si="11"/>
        <v>1</v>
      </c>
      <c r="AE64" s="300">
        <f t="shared" si="26"/>
        <v>0.995</v>
      </c>
      <c r="AF64" s="366"/>
      <c r="AG64" s="300"/>
      <c r="AH64" s="300"/>
      <c r="AI64" s="300"/>
    </row>
    <row r="65" spans="1:35">
      <c r="A65" s="198">
        <f t="shared" si="19"/>
        <v>1910</v>
      </c>
      <c r="B65" s="1162">
        <f>TableUK1!D65</f>
        <v>187.7095572916667</v>
      </c>
      <c r="C65" s="959">
        <f t="shared" si="20"/>
        <v>1318.9747906248051</v>
      </c>
      <c r="D65" s="391">
        <f t="shared" si="21"/>
        <v>3.6308192511597337E-2</v>
      </c>
      <c r="E65" s="390">
        <f t="shared" si="10"/>
        <v>1.2632183049888557E-2</v>
      </c>
      <c r="F65" s="308">
        <f t="shared" si="22"/>
        <v>7.0266789270370333</v>
      </c>
      <c r="G65" s="365">
        <f>TableUK12c!C80</f>
        <v>0.11494264143543478</v>
      </c>
      <c r="H65" s="365">
        <f t="shared" si="23"/>
        <v>1.7720786984812623E-2</v>
      </c>
      <c r="I65" s="365">
        <f t="shared" si="7"/>
        <v>0</v>
      </c>
      <c r="J65" s="391">
        <f t="shared" si="27"/>
        <v>-5.0000000000000001E-3</v>
      </c>
      <c r="K65" s="365"/>
      <c r="L65" s="308"/>
      <c r="M65" s="1187"/>
      <c r="N65" s="365"/>
      <c r="O65" s="365"/>
      <c r="P65" s="365"/>
      <c r="Q65" s="2099">
        <v>0</v>
      </c>
      <c r="R65" s="1968"/>
      <c r="S65" s="1968"/>
      <c r="T65" s="365"/>
      <c r="U65" s="365"/>
      <c r="V65" s="368"/>
      <c r="W65" s="83"/>
      <c r="X65" s="83"/>
      <c r="Y65" s="363"/>
      <c r="AB65" s="300">
        <f t="shared" si="24"/>
        <v>1.0126321830498886</v>
      </c>
      <c r="AC65" s="300">
        <f t="shared" si="25"/>
        <v>1.0177207869848126</v>
      </c>
      <c r="AD65" s="300">
        <f t="shared" si="11"/>
        <v>1</v>
      </c>
      <c r="AE65" s="300">
        <f t="shared" si="26"/>
        <v>0.995</v>
      </c>
      <c r="AF65" s="366"/>
      <c r="AG65" s="300"/>
      <c r="AH65" s="300"/>
      <c r="AI65" s="300"/>
    </row>
    <row r="66" spans="1:35">
      <c r="A66" s="198">
        <f t="shared" si="19"/>
        <v>1911</v>
      </c>
      <c r="B66" s="1162">
        <f>TableUK1!D66</f>
        <v>195.28208333333336</v>
      </c>
      <c r="C66" s="959">
        <f t="shared" si="20"/>
        <v>1333.8478698477727</v>
      </c>
      <c r="D66" s="391">
        <f t="shared" si="21"/>
        <v>4.0341718082581801E-2</v>
      </c>
      <c r="E66" s="390">
        <f t="shared" si="10"/>
        <v>1.1276242221371024E-2</v>
      </c>
      <c r="F66" s="308">
        <f t="shared" si="22"/>
        <v>6.8303648091001987</v>
      </c>
      <c r="G66" s="365">
        <f>TableUK12c!C81</f>
        <v>0.13022135240923188</v>
      </c>
      <c r="H66" s="365">
        <f t="shared" si="23"/>
        <v>1.6358032383287376E-2</v>
      </c>
      <c r="I66" s="365">
        <f t="shared" si="7"/>
        <v>0</v>
      </c>
      <c r="J66" s="391">
        <f t="shared" si="27"/>
        <v>-5.0000000000000001E-3</v>
      </c>
      <c r="K66" s="365"/>
      <c r="L66" s="308"/>
      <c r="M66" s="1187"/>
      <c r="N66" s="365"/>
      <c r="O66" s="365"/>
      <c r="P66" s="365"/>
      <c r="Q66" s="2099">
        <v>0</v>
      </c>
      <c r="R66" s="1968"/>
      <c r="S66" s="1968"/>
      <c r="T66" s="365"/>
      <c r="U66" s="365"/>
      <c r="V66" s="368"/>
      <c r="W66" s="83"/>
      <c r="X66" s="83"/>
      <c r="Y66" s="363"/>
      <c r="AB66" s="300">
        <f t="shared" si="24"/>
        <v>1.011276242221371</v>
      </c>
      <c r="AC66" s="300">
        <f t="shared" si="25"/>
        <v>1.0163580323832875</v>
      </c>
      <c r="AD66" s="300">
        <f t="shared" si="11"/>
        <v>1</v>
      </c>
      <c r="AE66" s="300">
        <f t="shared" si="26"/>
        <v>0.995</v>
      </c>
      <c r="AF66" s="366"/>
      <c r="AG66" s="300"/>
      <c r="AH66" s="300"/>
      <c r="AI66" s="300"/>
    </row>
    <row r="67" spans="1:35">
      <c r="A67" s="198">
        <f t="shared" si="19"/>
        <v>1912</v>
      </c>
      <c r="B67" s="1162">
        <f>TableUK1!D67</f>
        <v>199.03999999999996</v>
      </c>
      <c r="C67" s="959">
        <f t="shared" si="20"/>
        <v>1352.4813780065278</v>
      </c>
      <c r="D67" s="391">
        <f t="shared" si="21"/>
        <v>1.9243530192434966E-2</v>
      </c>
      <c r="E67" s="390">
        <f t="shared" si="10"/>
        <v>1.3969740163008115E-2</v>
      </c>
      <c r="F67" s="308">
        <f t="shared" si="22"/>
        <v>6.7950230004347274</v>
      </c>
      <c r="G67" s="365">
        <f>TableUK12c!C82</f>
        <v>0.12565140266736735</v>
      </c>
      <c r="H67" s="365">
        <f t="shared" si="23"/>
        <v>1.906506549046048E-2</v>
      </c>
      <c r="I67" s="365">
        <f t="shared" si="7"/>
        <v>0</v>
      </c>
      <c r="J67" s="391">
        <f t="shared" si="27"/>
        <v>-5.0000000000000001E-3</v>
      </c>
      <c r="K67" s="365"/>
      <c r="L67" s="308"/>
      <c r="M67" s="1187"/>
      <c r="N67" s="365"/>
      <c r="O67" s="365"/>
      <c r="P67" s="365"/>
      <c r="Q67" s="2099">
        <v>0</v>
      </c>
      <c r="R67" s="1968"/>
      <c r="S67" s="1968"/>
      <c r="T67" s="365"/>
      <c r="U67" s="365"/>
      <c r="V67" s="369"/>
      <c r="W67" s="83"/>
      <c r="X67" s="83"/>
      <c r="Y67" s="363"/>
      <c r="AB67" s="300">
        <f t="shared" si="24"/>
        <v>1.0139697401630081</v>
      </c>
      <c r="AC67" s="300">
        <f t="shared" si="25"/>
        <v>1.0190650654904605</v>
      </c>
      <c r="AD67" s="300">
        <f t="shared" si="11"/>
        <v>1</v>
      </c>
      <c r="AE67" s="300">
        <f t="shared" si="26"/>
        <v>0.995</v>
      </c>
      <c r="AF67" s="366"/>
      <c r="AG67" s="300"/>
      <c r="AH67" s="300"/>
      <c r="AI67" s="300"/>
    </row>
    <row r="68" spans="1:35">
      <c r="A68" s="370">
        <f t="shared" si="19"/>
        <v>1913</v>
      </c>
      <c r="B68" s="1048">
        <f>TableUK1!D68</f>
        <v>207.79084183673476</v>
      </c>
      <c r="C68" s="518">
        <f t="shared" si="20"/>
        <v>1370.6079413265304</v>
      </c>
      <c r="D68" s="1173">
        <f t="shared" si="21"/>
        <v>4.3965242346939215E-2</v>
      </c>
      <c r="E68" s="390">
        <f t="shared" si="10"/>
        <v>1.339922332066168E-2</v>
      </c>
      <c r="F68" s="669">
        <f>TableUK6f!K39</f>
        <v>6.5960940781184352</v>
      </c>
      <c r="G68" s="361">
        <f>TableUK12c!C83</f>
        <v>0.14954421996502576</v>
      </c>
      <c r="H68" s="361">
        <f t="shared" si="23"/>
        <v>1.8491681729308131E-2</v>
      </c>
      <c r="I68" s="361">
        <f t="shared" si="7"/>
        <v>0</v>
      </c>
      <c r="J68" s="1173">
        <f t="shared" si="27"/>
        <v>-5.0000000000000001E-3</v>
      </c>
      <c r="K68" s="365"/>
      <c r="L68" s="308"/>
      <c r="M68" s="1187"/>
      <c r="N68" s="365"/>
      <c r="O68" s="365"/>
      <c r="P68" s="365"/>
      <c r="Q68" s="2099">
        <v>0</v>
      </c>
      <c r="R68" s="1968"/>
      <c r="S68" s="1968"/>
      <c r="T68" s="361"/>
      <c r="U68" s="361"/>
      <c r="V68" s="369"/>
      <c r="W68" s="83"/>
      <c r="X68" s="83"/>
      <c r="Y68" s="363"/>
      <c r="AB68" s="300">
        <f t="shared" si="24"/>
        <v>1.0133992233206617</v>
      </c>
      <c r="AC68" s="300">
        <f t="shared" si="25"/>
        <v>1.0184916817293082</v>
      </c>
      <c r="AD68" s="300">
        <f t="shared" si="11"/>
        <v>1</v>
      </c>
      <c r="AE68" s="300">
        <f t="shared" si="26"/>
        <v>0.995</v>
      </c>
      <c r="AF68" s="366"/>
      <c r="AG68" s="300"/>
      <c r="AH68" s="300"/>
      <c r="AI68" s="300"/>
    </row>
    <row r="69" spans="1:35">
      <c r="A69" s="198">
        <f t="shared" si="19"/>
        <v>1914</v>
      </c>
      <c r="B69" s="1162">
        <f>TableUK1!D69</f>
        <v>213.98704081632653</v>
      </c>
      <c r="C69" s="959">
        <f t="shared" si="20"/>
        <v>1173.1306248909077</v>
      </c>
      <c r="D69" s="391">
        <f t="shared" si="21"/>
        <v>2.9819403611927475E-2</v>
      </c>
      <c r="E69" s="390">
        <f t="shared" si="10"/>
        <v>-0.14408009065268956</v>
      </c>
      <c r="F69" s="308">
        <f t="shared" ref="F69:F74" si="28">F68*(1+E69)/(1+D69)</f>
        <v>5.4822507961958866</v>
      </c>
      <c r="G69" s="365">
        <f>TableUK12c!C84</f>
        <v>0.23970553925120017</v>
      </c>
      <c r="H69" s="365">
        <f t="shared" si="23"/>
        <v>2.2671632362115113E-2</v>
      </c>
      <c r="I69" s="365">
        <f t="shared" si="7"/>
        <v>0</v>
      </c>
      <c r="J69" s="391">
        <f t="shared" ref="J69:J75" si="29">W$175</f>
        <v>-0.16305500000000001</v>
      </c>
      <c r="K69" s="365"/>
      <c r="L69" s="308"/>
      <c r="M69" s="1187"/>
      <c r="N69" s="365"/>
      <c r="O69" s="365"/>
      <c r="P69" s="365"/>
      <c r="Q69" s="2099">
        <v>0</v>
      </c>
      <c r="R69" s="1968"/>
      <c r="S69" s="1968"/>
      <c r="T69" s="365"/>
      <c r="U69" s="365"/>
      <c r="V69" s="368"/>
      <c r="W69" s="83"/>
      <c r="X69" s="83"/>
      <c r="Y69" s="363"/>
      <c r="AB69" s="300">
        <f t="shared" si="24"/>
        <v>0.85591990934731044</v>
      </c>
      <c r="AC69" s="300">
        <f t="shared" si="25"/>
        <v>1.022671632362115</v>
      </c>
      <c r="AD69" s="300">
        <f t="shared" si="11"/>
        <v>1</v>
      </c>
      <c r="AE69" s="300">
        <f t="shared" si="26"/>
        <v>0.83694500000000005</v>
      </c>
      <c r="AF69" s="366"/>
      <c r="AG69" s="300"/>
      <c r="AH69" s="300"/>
      <c r="AI69" s="300"/>
    </row>
    <row r="70" spans="1:35">
      <c r="A70" s="198">
        <f t="shared" si="19"/>
        <v>1915</v>
      </c>
      <c r="B70" s="1162">
        <f>TableUK1!D70</f>
        <v>227.41874999999999</v>
      </c>
      <c r="C70" s="959">
        <f t="shared" si="20"/>
        <v>1024.7759664187231</v>
      </c>
      <c r="D70" s="391">
        <f t="shared" si="21"/>
        <v>6.2768797271244292E-2</v>
      </c>
      <c r="E70" s="390">
        <f t="shared" si="10"/>
        <v>-0.12646047705555419</v>
      </c>
      <c r="F70" s="308">
        <f t="shared" si="28"/>
        <v>4.5061190707394321</v>
      </c>
      <c r="G70" s="365">
        <f>TableUK12c!C85</f>
        <v>0.31846043386840345</v>
      </c>
      <c r="H70" s="365">
        <f t="shared" si="23"/>
        <v>4.3723928029255968E-2</v>
      </c>
      <c r="I70" s="365">
        <f t="shared" si="7"/>
        <v>0</v>
      </c>
      <c r="J70" s="391">
        <f t="shared" si="29"/>
        <v>-0.16305500000000001</v>
      </c>
      <c r="K70" s="365"/>
      <c r="L70" s="308"/>
      <c r="M70" s="1187"/>
      <c r="N70" s="365"/>
      <c r="O70" s="365"/>
      <c r="P70" s="365"/>
      <c r="Q70" s="2099">
        <v>0</v>
      </c>
      <c r="R70" s="1968"/>
      <c r="S70" s="1968"/>
      <c r="T70" s="365"/>
      <c r="U70" s="365"/>
      <c r="V70" s="368"/>
      <c r="W70" s="83"/>
      <c r="X70" s="83"/>
      <c r="Y70" s="363"/>
      <c r="AB70" s="300">
        <f t="shared" si="24"/>
        <v>0.87353952294444581</v>
      </c>
      <c r="AC70" s="300">
        <f t="shared" si="25"/>
        <v>1.0437239280292561</v>
      </c>
      <c r="AD70" s="300">
        <f t="shared" si="11"/>
        <v>1</v>
      </c>
      <c r="AE70" s="300">
        <f t="shared" si="26"/>
        <v>0.83694500000000005</v>
      </c>
      <c r="AF70" s="366"/>
      <c r="AG70" s="300"/>
      <c r="AH70" s="300"/>
      <c r="AI70" s="300"/>
    </row>
    <row r="71" spans="1:35">
      <c r="A71" s="198">
        <f t="shared" si="19"/>
        <v>1916</v>
      </c>
      <c r="B71" s="1162">
        <f>TableUK1!D71</f>
        <v>234.00955769230771</v>
      </c>
      <c r="C71" s="959">
        <f t="shared" si="20"/>
        <v>918.29592026751561</v>
      </c>
      <c r="D71" s="391">
        <f t="shared" si="21"/>
        <v>2.8980933596318259E-2</v>
      </c>
      <c r="E71" s="390">
        <f t="shared" si="10"/>
        <v>-0.10390568245206078</v>
      </c>
      <c r="F71" s="308">
        <f t="shared" si="28"/>
        <v>3.9241812570534229</v>
      </c>
      <c r="G71" s="365">
        <f>TableUK12c!C86</f>
        <v>0.38146439236998569</v>
      </c>
      <c r="H71" s="365">
        <f t="shared" si="23"/>
        <v>7.0672884774912445E-2</v>
      </c>
      <c r="I71" s="365">
        <f t="shared" si="7"/>
        <v>0</v>
      </c>
      <c r="J71" s="391">
        <f t="shared" si="29"/>
        <v>-0.16305500000000001</v>
      </c>
      <c r="K71" s="365"/>
      <c r="L71" s="308"/>
      <c r="M71" s="1187"/>
      <c r="N71" s="365"/>
      <c r="O71" s="365"/>
      <c r="P71" s="365"/>
      <c r="Q71" s="2099">
        <v>0</v>
      </c>
      <c r="R71" s="1968"/>
      <c r="S71" s="1968"/>
      <c r="T71" s="365"/>
      <c r="U71" s="365"/>
      <c r="V71" s="368"/>
      <c r="W71" s="83"/>
      <c r="X71" s="83"/>
      <c r="Y71" s="363"/>
      <c r="AB71" s="300">
        <f t="shared" si="24"/>
        <v>0.89609431754793922</v>
      </c>
      <c r="AC71" s="300">
        <f t="shared" si="25"/>
        <v>1.0706728847749125</v>
      </c>
      <c r="AD71" s="300">
        <f t="shared" si="11"/>
        <v>1</v>
      </c>
      <c r="AE71" s="300">
        <f t="shared" si="26"/>
        <v>0.83694500000000005</v>
      </c>
      <c r="AF71" s="366"/>
      <c r="AG71" s="300"/>
      <c r="AH71" s="300"/>
      <c r="AI71" s="300"/>
    </row>
    <row r="72" spans="1:35">
      <c r="A72" s="198">
        <f t="shared" si="19"/>
        <v>1917</v>
      </c>
      <c r="B72" s="1162">
        <f>TableUK1!D72</f>
        <v>218.84955521472395</v>
      </c>
      <c r="C72" s="959">
        <f t="shared" si="20"/>
        <v>843.27417393628571</v>
      </c>
      <c r="D72" s="391">
        <f t="shared" si="21"/>
        <v>-6.4783689294935609E-2</v>
      </c>
      <c r="E72" s="390">
        <f t="shared" si="10"/>
        <v>-8.1696700023860203E-2</v>
      </c>
      <c r="F72" s="308">
        <f t="shared" si="28"/>
        <v>3.8532140177708305</v>
      </c>
      <c r="G72" s="365">
        <f>TableUK12c!C87</f>
        <v>0.42623913806566222</v>
      </c>
      <c r="H72" s="365">
        <f t="shared" si="23"/>
        <v>9.7208657649116473E-2</v>
      </c>
      <c r="I72" s="365">
        <f t="shared" si="7"/>
        <v>0</v>
      </c>
      <c r="J72" s="391">
        <f t="shared" si="29"/>
        <v>-0.16305500000000001</v>
      </c>
      <c r="K72" s="365"/>
      <c r="L72" s="308"/>
      <c r="M72" s="1187"/>
      <c r="N72" s="365"/>
      <c r="O72" s="365"/>
      <c r="P72" s="365"/>
      <c r="Q72" s="2099">
        <v>0</v>
      </c>
      <c r="R72" s="1968"/>
      <c r="S72" s="1968"/>
      <c r="T72" s="365"/>
      <c r="U72" s="365"/>
      <c r="V72" s="368"/>
      <c r="W72" s="83"/>
      <c r="X72" s="83"/>
      <c r="Y72" s="363"/>
      <c r="AB72" s="300">
        <f t="shared" si="24"/>
        <v>0.9183032999761398</v>
      </c>
      <c r="AC72" s="300">
        <f t="shared" si="25"/>
        <v>1.0972086576491165</v>
      </c>
      <c r="AD72" s="300">
        <f t="shared" si="11"/>
        <v>1</v>
      </c>
      <c r="AE72" s="300">
        <f t="shared" si="26"/>
        <v>0.83694500000000005</v>
      </c>
      <c r="AF72" s="366"/>
      <c r="AG72" s="300"/>
      <c r="AH72" s="300"/>
      <c r="AI72" s="300"/>
    </row>
    <row r="73" spans="1:35">
      <c r="A73" s="198">
        <f t="shared" si="19"/>
        <v>1918</v>
      </c>
      <c r="B73" s="1162">
        <f>TableUK1!D73</f>
        <v>205.73275125628143</v>
      </c>
      <c r="C73" s="959">
        <f t="shared" si="20"/>
        <v>783.84621270009745</v>
      </c>
      <c r="D73" s="391">
        <f t="shared" si="21"/>
        <v>-5.9935255274213284E-2</v>
      </c>
      <c r="E73" s="390">
        <f t="shared" si="10"/>
        <v>-7.0472881860933589E-2</v>
      </c>
      <c r="F73" s="308">
        <f t="shared" si="28"/>
        <v>3.8100215348000654</v>
      </c>
      <c r="G73" s="365">
        <f>TableUK12c!C88</f>
        <v>0.27977594491722313</v>
      </c>
      <c r="H73" s="365">
        <f t="shared" si="23"/>
        <v>0.11061911850726916</v>
      </c>
      <c r="I73" s="365">
        <f t="shared" si="7"/>
        <v>0</v>
      </c>
      <c r="J73" s="391">
        <f t="shared" si="29"/>
        <v>-0.16305500000000001</v>
      </c>
      <c r="K73" s="365"/>
      <c r="L73" s="308"/>
      <c r="M73" s="1187"/>
      <c r="N73" s="365"/>
      <c r="O73" s="365"/>
      <c r="P73" s="365"/>
      <c r="Q73" s="2099">
        <v>0</v>
      </c>
      <c r="R73" s="1968"/>
      <c r="S73" s="1968"/>
      <c r="T73" s="365"/>
      <c r="U73" s="365"/>
      <c r="V73" s="368"/>
      <c r="W73" s="83"/>
      <c r="X73" s="83"/>
      <c r="Y73" s="363"/>
      <c r="AB73" s="300">
        <f t="shared" si="24"/>
        <v>0.92952711813906641</v>
      </c>
      <c r="AC73" s="300">
        <f t="shared" si="25"/>
        <v>1.1106191185072691</v>
      </c>
      <c r="AD73" s="300">
        <f t="shared" si="11"/>
        <v>1</v>
      </c>
      <c r="AE73" s="300">
        <f t="shared" si="26"/>
        <v>0.83694500000000005</v>
      </c>
      <c r="AF73" s="366"/>
      <c r="AG73" s="300"/>
      <c r="AH73" s="300"/>
      <c r="AI73" s="300"/>
    </row>
    <row r="74" spans="1:35">
      <c r="A74" s="214">
        <v>1919</v>
      </c>
      <c r="B74" s="1163">
        <f>TableUK1!D74</f>
        <v>201.27664383561645</v>
      </c>
      <c r="C74" s="1171">
        <f t="shared" si="20"/>
        <v>704.20994841635797</v>
      </c>
      <c r="D74" s="1172">
        <f t="shared" si="21"/>
        <v>-2.1659689055117948E-2</v>
      </c>
      <c r="E74" s="1181">
        <f t="shared" si="10"/>
        <v>-0.10159679665915367</v>
      </c>
      <c r="F74" s="550">
        <f t="shared" si="28"/>
        <v>3.4987166667558776</v>
      </c>
      <c r="G74" s="1184">
        <f>TableUK12c!C89</f>
        <v>5.1850394532132998E-2</v>
      </c>
      <c r="H74" s="1184">
        <f t="shared" si="23"/>
        <v>7.343159149149131E-2</v>
      </c>
      <c r="I74" s="1184">
        <f t="shared" si="7"/>
        <v>0</v>
      </c>
      <c r="J74" s="1172">
        <f t="shared" si="29"/>
        <v>-0.16305500000000001</v>
      </c>
      <c r="K74" s="1184"/>
      <c r="L74" s="550"/>
      <c r="M74" s="1196"/>
      <c r="N74" s="1184"/>
      <c r="O74" s="1184"/>
      <c r="P74" s="1184"/>
      <c r="Q74" s="2098">
        <v>0</v>
      </c>
      <c r="R74" s="1968"/>
      <c r="S74" s="1968"/>
      <c r="T74" s="365"/>
      <c r="U74" s="365"/>
      <c r="V74" s="368"/>
      <c r="W74" s="83"/>
      <c r="X74" s="83"/>
      <c r="Y74" s="363"/>
      <c r="AB74" s="300">
        <f t="shared" si="24"/>
        <v>0.89840320334084633</v>
      </c>
      <c r="AC74" s="300">
        <f t="shared" si="25"/>
        <v>1.0734315914914914</v>
      </c>
      <c r="AD74" s="300">
        <f t="shared" si="11"/>
        <v>1</v>
      </c>
      <c r="AE74" s="300">
        <f t="shared" si="26"/>
        <v>0.83694500000000005</v>
      </c>
      <c r="AF74" s="366"/>
      <c r="AG74" s="300"/>
      <c r="AH74" s="300"/>
      <c r="AI74" s="300"/>
    </row>
    <row r="75" spans="1:35">
      <c r="A75" s="648" t="s">
        <v>652</v>
      </c>
      <c r="B75" s="1050">
        <f>TableUK1!D76</f>
        <v>177.37141304347827</v>
      </c>
      <c r="C75" s="115">
        <f>TableUK1!E76</f>
        <v>598.11722826086952</v>
      </c>
      <c r="D75" s="1178">
        <f t="shared" si="21"/>
        <v>-0.11876803158374249</v>
      </c>
      <c r="E75" s="1180">
        <f>(1+H75)*(1+J75)-1</f>
        <v>-0.150651615392142</v>
      </c>
      <c r="F75" s="307">
        <f t="shared" ref="F75:F102" si="30">C75/B75</f>
        <v>3.3721174004192869</v>
      </c>
      <c r="G75" s="1187">
        <f>TableUK12c!C91</f>
        <v>6.449162782668745E-2</v>
      </c>
      <c r="H75" s="1187">
        <f t="shared" si="23"/>
        <v>1.4819832375912379E-2</v>
      </c>
      <c r="I75" s="1187">
        <f t="shared" ref="I75:I138" si="31">Q75/F75</f>
        <v>0</v>
      </c>
      <c r="J75" s="1178">
        <f t="shared" si="29"/>
        <v>-0.16305500000000001</v>
      </c>
      <c r="K75" s="1187"/>
      <c r="L75" s="307">
        <f t="shared" ref="L75:L102" si="32">C75/B75</f>
        <v>3.3721174004192869</v>
      </c>
      <c r="M75" s="1187">
        <f>TableUK12c!D91</f>
        <v>2.0863998095433246E-2</v>
      </c>
      <c r="N75" s="1187"/>
      <c r="O75" s="1187">
        <f>Q75/L75</f>
        <v>0</v>
      </c>
      <c r="P75" s="1187"/>
      <c r="Q75" s="2100">
        <v>0</v>
      </c>
      <c r="R75" s="2103"/>
      <c r="S75" s="2103"/>
      <c r="T75" s="365"/>
      <c r="U75" s="365"/>
      <c r="V75" s="368"/>
      <c r="W75" s="83"/>
      <c r="X75" s="83"/>
      <c r="Y75" s="363"/>
      <c r="AB75" s="300">
        <f t="shared" si="24"/>
        <v>0.849348384607858</v>
      </c>
      <c r="AC75" s="300">
        <f t="shared" si="25"/>
        <v>1.0148198323759123</v>
      </c>
      <c r="AD75" s="300">
        <f t="shared" si="11"/>
        <v>1</v>
      </c>
      <c r="AE75" s="300">
        <f t="shared" si="26"/>
        <v>0.83694500000000005</v>
      </c>
      <c r="AF75" s="366"/>
      <c r="AG75" s="300"/>
      <c r="AH75" s="300"/>
      <c r="AI75" s="300"/>
    </row>
    <row r="76" spans="1:35">
      <c r="A76" s="198">
        <v>1921</v>
      </c>
      <c r="B76" s="1162">
        <f>TableUK1!D77</f>
        <v>159.23940476190478</v>
      </c>
      <c r="C76" s="959">
        <f>TableUK1!E77</f>
        <v>643.52934523809529</v>
      </c>
      <c r="D76" s="391">
        <f t="shared" si="21"/>
        <v>-0.10222621543376254</v>
      </c>
      <c r="E76" s="390">
        <f t="shared" ref="E76:E102" si="33">(1+D76)*(F76/F75)-1</f>
        <v>7.5925111051004857E-2</v>
      </c>
      <c r="F76" s="308">
        <f t="shared" si="30"/>
        <v>4.041269472215764</v>
      </c>
      <c r="G76" s="365">
        <f>TableUK12c!C92</f>
        <v>5.612903225806451E-2</v>
      </c>
      <c r="H76" s="365">
        <f t="shared" si="23"/>
        <v>1.9124965168374211E-2</v>
      </c>
      <c r="I76" s="365">
        <f t="shared" si="31"/>
        <v>0</v>
      </c>
      <c r="J76" s="391">
        <f>(1+$E76)/((1+H76)*(1+I75))-1</f>
        <v>5.5734230662523698E-2</v>
      </c>
      <c r="K76" s="365">
        <f t="shared" ref="K76:K107" si="34">(1+D76)*(L76/L75)-1</f>
        <v>7.5925111051004857E-2</v>
      </c>
      <c r="L76" s="308">
        <f t="shared" si="32"/>
        <v>4.041269472215764</v>
      </c>
      <c r="M76" s="365">
        <f>TableUK12c!D92</f>
        <v>3.0285355545665981E-2</v>
      </c>
      <c r="N76" s="365">
        <f t="shared" ref="N76:N102" si="35">M75/L75</f>
        <v>6.1872098797150507E-3</v>
      </c>
      <c r="O76" s="365">
        <f t="shared" ref="O76:O139" si="36">Q76/L76</f>
        <v>0</v>
      </c>
      <c r="P76" s="365">
        <f>(1+K76)/((1+N76)*(1+O75))-1</f>
        <v>6.9309071399970001E-2</v>
      </c>
      <c r="Q76" s="2099">
        <v>0</v>
      </c>
      <c r="R76" s="1968"/>
      <c r="S76" s="1968"/>
      <c r="T76" s="365"/>
      <c r="U76" s="365"/>
      <c r="V76" s="368"/>
      <c r="W76" s="83"/>
      <c r="X76" s="83"/>
      <c r="Y76" s="363"/>
      <c r="AB76" s="300">
        <f t="shared" si="24"/>
        <v>1.0759251110510049</v>
      </c>
      <c r="AC76" s="300">
        <f t="shared" si="25"/>
        <v>1.0191249651683743</v>
      </c>
      <c r="AD76" s="300">
        <f t="shared" ref="AD76:AD139" si="37">1+I75</f>
        <v>1</v>
      </c>
      <c r="AE76" s="300">
        <f t="shared" si="26"/>
        <v>1.0557342306625237</v>
      </c>
      <c r="AF76" s="366">
        <f t="shared" ref="AF76:AF83" si="38">1+K76</f>
        <v>1.0759251110510049</v>
      </c>
      <c r="AG76" s="300">
        <f t="shared" ref="AG76:AG83" si="39">1+N76</f>
        <v>1.0061872098797151</v>
      </c>
      <c r="AH76" s="300">
        <f>1+O75</f>
        <v>1</v>
      </c>
      <c r="AI76" s="300">
        <f t="shared" ref="AI76:AI83" si="40">1+P76</f>
        <v>1.06930907139997</v>
      </c>
    </row>
    <row r="77" spans="1:35">
      <c r="A77" s="198">
        <f t="shared" si="19"/>
        <v>1922</v>
      </c>
      <c r="B77" s="1162">
        <f>TableUK1!D78</f>
        <v>175.77751256281408</v>
      </c>
      <c r="C77" s="959">
        <f>TableUK1!E78</f>
        <v>755.64990577889455</v>
      </c>
      <c r="D77" s="391">
        <f t="shared" si="21"/>
        <v>0.10385688030947571</v>
      </c>
      <c r="E77" s="390">
        <f t="shared" si="33"/>
        <v>0.1742275800947608</v>
      </c>
      <c r="F77" s="308">
        <f t="shared" si="30"/>
        <v>4.2988997555012229</v>
      </c>
      <c r="G77" s="365">
        <f>TableUK12c!C93</f>
        <v>5.8599729851418286E-2</v>
      </c>
      <c r="H77" s="365">
        <f t="shared" si="23"/>
        <v>1.3888960546669472E-2</v>
      </c>
      <c r="I77" s="365">
        <f t="shared" si="31"/>
        <v>0</v>
      </c>
      <c r="J77" s="391">
        <f t="shared" ref="J77:J140" si="41">(1+$E77)/((1+H77)*(1+I76))-1</f>
        <v>0.15814218892534337</v>
      </c>
      <c r="K77" s="365">
        <f t="shared" si="34"/>
        <v>0.1742275800947608</v>
      </c>
      <c r="L77" s="308">
        <f t="shared" si="32"/>
        <v>4.2988997555012229</v>
      </c>
      <c r="M77" s="365">
        <f>TableUK12c!D93</f>
        <v>3.8148692479307335E-3</v>
      </c>
      <c r="N77" s="365">
        <f t="shared" si="35"/>
        <v>7.4940203205655078E-3</v>
      </c>
      <c r="O77" s="365">
        <f t="shared" si="36"/>
        <v>0</v>
      </c>
      <c r="P77" s="365">
        <f t="shared" ref="P77:P140" si="42">(1+K77)/((1+N77)*(1+O76))-1</f>
        <v>0.16549334925198234</v>
      </c>
      <c r="Q77" s="2099">
        <v>0</v>
      </c>
      <c r="R77" s="1968"/>
      <c r="S77" s="1968"/>
      <c r="T77" s="365"/>
      <c r="U77" s="365"/>
      <c r="V77" s="368"/>
      <c r="W77" s="83"/>
      <c r="X77" s="83"/>
      <c r="Y77" s="363"/>
      <c r="AB77" s="300">
        <f t="shared" si="24"/>
        <v>1.1742275800947608</v>
      </c>
      <c r="AC77" s="300">
        <f t="shared" si="25"/>
        <v>1.0138889605466694</v>
      </c>
      <c r="AD77" s="300">
        <f t="shared" si="37"/>
        <v>1</v>
      </c>
      <c r="AE77" s="300">
        <f t="shared" si="26"/>
        <v>1.1581421889253434</v>
      </c>
      <c r="AF77" s="366">
        <f t="shared" si="38"/>
        <v>1.1742275800947608</v>
      </c>
      <c r="AG77" s="300">
        <f t="shared" si="39"/>
        <v>1.0074940203205656</v>
      </c>
      <c r="AH77" s="300">
        <f t="shared" ref="AH77:AH140" si="43">1+O76</f>
        <v>1</v>
      </c>
      <c r="AI77" s="300">
        <f t="shared" si="40"/>
        <v>1.1654933492519823</v>
      </c>
    </row>
    <row r="78" spans="1:35">
      <c r="A78" s="198">
        <f t="shared" si="19"/>
        <v>1923</v>
      </c>
      <c r="B78" s="1162">
        <f>TableUK1!D79</f>
        <v>184.81632352941176</v>
      </c>
      <c r="C78" s="959">
        <f>TableUK1!E79</f>
        <v>832.79397058823542</v>
      </c>
      <c r="D78" s="391">
        <f t="shared" si="21"/>
        <v>5.1421884601806855E-2</v>
      </c>
      <c r="E78" s="390">
        <f t="shared" si="33"/>
        <v>0.10208969023799952</v>
      </c>
      <c r="F78" s="308">
        <f t="shared" si="30"/>
        <v>4.5060628557287812</v>
      </c>
      <c r="G78" s="365">
        <f>TableUK12c!C94</f>
        <v>5.3639129417271197E-2</v>
      </c>
      <c r="H78" s="365">
        <f t="shared" si="23"/>
        <v>1.3631332011505803E-2</v>
      </c>
      <c r="I78" s="365">
        <f t="shared" si="31"/>
        <v>0</v>
      </c>
      <c r="J78" s="391">
        <f t="shared" si="41"/>
        <v>8.7268768666564522E-2</v>
      </c>
      <c r="K78" s="365">
        <f t="shared" si="34"/>
        <v>0.10208969023799952</v>
      </c>
      <c r="L78" s="308">
        <f t="shared" si="32"/>
        <v>4.5060628557287812</v>
      </c>
      <c r="M78" s="365">
        <f>TableUK12c!D94</f>
        <v>8.6750764355023359E-3</v>
      </c>
      <c r="N78" s="365">
        <f t="shared" si="35"/>
        <v>8.8740595615166779E-4</v>
      </c>
      <c r="O78" s="365">
        <f t="shared" si="36"/>
        <v>0</v>
      </c>
      <c r="P78" s="365">
        <f t="shared" si="42"/>
        <v>0.10111255639705941</v>
      </c>
      <c r="Q78" s="2099">
        <v>0</v>
      </c>
      <c r="R78" s="1968"/>
      <c r="S78" s="1968"/>
      <c r="T78" s="365"/>
      <c r="U78" s="365"/>
      <c r="V78" s="368"/>
      <c r="W78" s="83"/>
      <c r="X78" s="83"/>
      <c r="Y78" s="363"/>
      <c r="AB78" s="300">
        <f t="shared" si="24"/>
        <v>1.1020896902379995</v>
      </c>
      <c r="AC78" s="300">
        <f t="shared" si="25"/>
        <v>1.0136313320115058</v>
      </c>
      <c r="AD78" s="300">
        <f t="shared" si="37"/>
        <v>1</v>
      </c>
      <c r="AE78" s="300">
        <f t="shared" si="26"/>
        <v>1.0872687686665645</v>
      </c>
      <c r="AF78" s="366">
        <f t="shared" si="38"/>
        <v>1.1020896902379995</v>
      </c>
      <c r="AG78" s="300">
        <f t="shared" si="39"/>
        <v>1.0008874059561517</v>
      </c>
      <c r="AH78" s="300">
        <f t="shared" si="43"/>
        <v>1</v>
      </c>
      <c r="AI78" s="300">
        <f t="shared" si="40"/>
        <v>1.1011125563970594</v>
      </c>
    </row>
    <row r="79" spans="1:35">
      <c r="A79" s="198">
        <f t="shared" si="19"/>
        <v>1924</v>
      </c>
      <c r="B79" s="1162">
        <f>TableUK1!D80</f>
        <v>190.68396505376344</v>
      </c>
      <c r="C79" s="959">
        <f>TableUK1!E80</f>
        <v>890.4026142473117</v>
      </c>
      <c r="D79" s="391">
        <f t="shared" si="21"/>
        <v>3.1748502579740601E-2</v>
      </c>
      <c r="E79" s="390">
        <f t="shared" si="33"/>
        <v>6.9175144986202364E-2</v>
      </c>
      <c r="F79" s="308">
        <f t="shared" si="30"/>
        <v>4.6695201350373754</v>
      </c>
      <c r="G79" s="365">
        <f>TableUK12c!C95</f>
        <v>6.6297322253000932E-2</v>
      </c>
      <c r="H79" s="365">
        <f t="shared" si="23"/>
        <v>1.1903768574616554E-2</v>
      </c>
      <c r="I79" s="365">
        <f t="shared" si="31"/>
        <v>0</v>
      </c>
      <c r="J79" s="391">
        <f t="shared" si="41"/>
        <v>5.6597651071365274E-2</v>
      </c>
      <c r="K79" s="365">
        <f t="shared" si="34"/>
        <v>6.9175144986202364E-2</v>
      </c>
      <c r="L79" s="308">
        <f t="shared" si="32"/>
        <v>4.6695201350373754</v>
      </c>
      <c r="M79" s="365">
        <f>TableUK12c!D95</f>
        <v>2.0494327553180723E-2</v>
      </c>
      <c r="N79" s="365">
        <f t="shared" si="35"/>
        <v>1.9252009377706042E-3</v>
      </c>
      <c r="O79" s="365">
        <f t="shared" si="36"/>
        <v>0</v>
      </c>
      <c r="P79" s="365">
        <f t="shared" si="42"/>
        <v>6.7120723169242558E-2</v>
      </c>
      <c r="Q79" s="2099">
        <v>0</v>
      </c>
      <c r="R79" s="1968"/>
      <c r="S79" s="1968"/>
      <c r="T79" s="365"/>
      <c r="U79" s="365"/>
      <c r="V79" s="369"/>
      <c r="W79" s="83"/>
      <c r="X79" s="83"/>
      <c r="Y79" s="363"/>
      <c r="AB79" s="300">
        <f t="shared" si="24"/>
        <v>1.0691751449862024</v>
      </c>
      <c r="AC79" s="300">
        <f t="shared" si="25"/>
        <v>1.0119037685746166</v>
      </c>
      <c r="AD79" s="300">
        <f t="shared" si="37"/>
        <v>1</v>
      </c>
      <c r="AE79" s="300">
        <f t="shared" si="26"/>
        <v>1.0565976510713653</v>
      </c>
      <c r="AF79" s="366">
        <f t="shared" si="38"/>
        <v>1.0691751449862024</v>
      </c>
      <c r="AG79" s="300">
        <f t="shared" si="39"/>
        <v>1.0019252009377706</v>
      </c>
      <c r="AH79" s="300">
        <f t="shared" si="43"/>
        <v>1</v>
      </c>
      <c r="AI79" s="300">
        <f t="shared" si="40"/>
        <v>1.0671207231692426</v>
      </c>
    </row>
    <row r="80" spans="1:35">
      <c r="A80" s="436">
        <f t="shared" si="19"/>
        <v>1925</v>
      </c>
      <c r="B80" s="1164">
        <f>TableUK1!D81</f>
        <v>195.3740456989247</v>
      </c>
      <c r="C80" s="1174">
        <f>TableUK1!E81</f>
        <v>909.3468615591396</v>
      </c>
      <c r="D80" s="1175">
        <f t="shared" si="21"/>
        <v>2.4596093561610743E-2</v>
      </c>
      <c r="E80" s="1183">
        <f t="shared" si="33"/>
        <v>2.1276046373518653E-2</v>
      </c>
      <c r="F80" s="309">
        <f t="shared" si="30"/>
        <v>4.6543892680630732</v>
      </c>
      <c r="G80" s="1188">
        <f>TableUK12c!C96</f>
        <v>9.9063792728064454E-2</v>
      </c>
      <c r="H80" s="1188">
        <f t="shared" si="23"/>
        <v>1.4197887649213505E-2</v>
      </c>
      <c r="I80" s="1188">
        <f t="shared" si="31"/>
        <v>0</v>
      </c>
      <c r="J80" s="1175">
        <f t="shared" si="41"/>
        <v>6.9790706631340793E-3</v>
      </c>
      <c r="K80" s="1188">
        <f t="shared" si="34"/>
        <v>2.1276046373518653E-2</v>
      </c>
      <c r="L80" s="309">
        <f t="shared" si="32"/>
        <v>4.6543892680630732</v>
      </c>
      <c r="M80" s="1188">
        <f>TableUK12c!D96</f>
        <v>3.680475774262057E-2</v>
      </c>
      <c r="N80" s="1188">
        <f t="shared" si="35"/>
        <v>4.3889579572434336E-3</v>
      </c>
      <c r="O80" s="1188">
        <f t="shared" si="36"/>
        <v>0</v>
      </c>
      <c r="P80" s="1188">
        <f t="shared" si="42"/>
        <v>1.6813295568900655E-2</v>
      </c>
      <c r="Q80" s="2101">
        <v>0</v>
      </c>
      <c r="R80" s="1973"/>
      <c r="S80" s="1973"/>
      <c r="T80" s="361"/>
      <c r="U80" s="361"/>
      <c r="V80" s="369"/>
      <c r="W80" s="83"/>
      <c r="X80" s="83"/>
      <c r="Y80" s="363"/>
      <c r="AB80" s="300">
        <f t="shared" si="24"/>
        <v>1.0212760463735187</v>
      </c>
      <c r="AC80" s="300">
        <f t="shared" si="25"/>
        <v>1.0141978876492135</v>
      </c>
      <c r="AD80" s="300">
        <f t="shared" si="37"/>
        <v>1</v>
      </c>
      <c r="AE80" s="300">
        <f t="shared" si="26"/>
        <v>1.0069790706631341</v>
      </c>
      <c r="AF80" s="366">
        <f t="shared" si="38"/>
        <v>1.0212760463735187</v>
      </c>
      <c r="AG80" s="300">
        <f t="shared" si="39"/>
        <v>1.0043889579572434</v>
      </c>
      <c r="AH80" s="300">
        <f t="shared" si="43"/>
        <v>1</v>
      </c>
      <c r="AI80" s="300">
        <f t="shared" si="40"/>
        <v>1.0168132955689007</v>
      </c>
    </row>
    <row r="81" spans="1:35">
      <c r="A81" s="198">
        <f t="shared" si="19"/>
        <v>1926</v>
      </c>
      <c r="B81" s="1162">
        <f>TableUK1!D82</f>
        <v>191.39108108108107</v>
      </c>
      <c r="C81" s="959">
        <f>TableUK1!E82</f>
        <v>928.63969594594585</v>
      </c>
      <c r="D81" s="391">
        <f t="shared" si="21"/>
        <v>-2.0386354817985675E-2</v>
      </c>
      <c r="E81" s="390">
        <f t="shared" si="33"/>
        <v>2.1216144468489517E-2</v>
      </c>
      <c r="F81" s="308">
        <f t="shared" si="30"/>
        <v>4.8520531400966185</v>
      </c>
      <c r="G81" s="365">
        <f>TableUK12c!C97</f>
        <v>6.5126436781609245E-2</v>
      </c>
      <c r="H81" s="365">
        <f t="shared" si="23"/>
        <v>2.1283950916569965E-2</v>
      </c>
      <c r="I81" s="365">
        <f t="shared" si="31"/>
        <v>0</v>
      </c>
      <c r="J81" s="391">
        <f t="shared" si="41"/>
        <v>-6.6393335584558066E-5</v>
      </c>
      <c r="K81" s="365">
        <f t="shared" si="34"/>
        <v>2.1216144468489517E-2</v>
      </c>
      <c r="L81" s="308">
        <f t="shared" si="32"/>
        <v>4.8520531400966185</v>
      </c>
      <c r="M81" s="365">
        <f>TableUK12c!D97</f>
        <v>2.4163612104180245E-2</v>
      </c>
      <c r="N81" s="365">
        <f t="shared" si="35"/>
        <v>7.9075375141402591E-3</v>
      </c>
      <c r="O81" s="365">
        <f t="shared" si="36"/>
        <v>0</v>
      </c>
      <c r="P81" s="365">
        <f t="shared" si="42"/>
        <v>1.3204194292636195E-2</v>
      </c>
      <c r="Q81" s="2099">
        <v>0</v>
      </c>
      <c r="R81" s="1968"/>
      <c r="S81" s="1968"/>
      <c r="T81" s="365"/>
      <c r="U81" s="365"/>
      <c r="V81" s="368"/>
      <c r="W81" s="83"/>
      <c r="X81" s="83"/>
      <c r="Y81" s="363"/>
      <c r="AB81" s="300">
        <f t="shared" si="24"/>
        <v>1.0212161444684895</v>
      </c>
      <c r="AC81" s="300">
        <f t="shared" si="25"/>
        <v>1.0212839509165699</v>
      </c>
      <c r="AD81" s="300">
        <f t="shared" si="37"/>
        <v>1</v>
      </c>
      <c r="AE81" s="300">
        <f t="shared" si="26"/>
        <v>0.99993360666441544</v>
      </c>
      <c r="AF81" s="366">
        <f t="shared" si="38"/>
        <v>1.0212161444684895</v>
      </c>
      <c r="AG81" s="300">
        <f t="shared" si="39"/>
        <v>1.0079075375141402</v>
      </c>
      <c r="AH81" s="300">
        <f t="shared" si="43"/>
        <v>1</v>
      </c>
      <c r="AI81" s="300">
        <f t="shared" si="40"/>
        <v>1.0132041942926362</v>
      </c>
    </row>
    <row r="82" spans="1:35">
      <c r="A82" s="198">
        <f t="shared" si="19"/>
        <v>1927</v>
      </c>
      <c r="B82" s="1162">
        <f>TableUK1!D83</f>
        <v>210.67658333333335</v>
      </c>
      <c r="C82" s="959">
        <f>TableUK1!E83</f>
        <v>995.01210416666686</v>
      </c>
      <c r="D82" s="391">
        <f t="shared" si="21"/>
        <v>0.10076489533011301</v>
      </c>
      <c r="E82" s="390">
        <f t="shared" si="33"/>
        <v>7.1472723501348812E-2</v>
      </c>
      <c r="F82" s="308">
        <f t="shared" si="30"/>
        <v>4.7229364005412728</v>
      </c>
      <c r="G82" s="365">
        <f>TableUK12c!C98</f>
        <v>8.7207522414170152E-2</v>
      </c>
      <c r="H82" s="365">
        <f t="shared" si="23"/>
        <v>1.3422449198549459E-2</v>
      </c>
      <c r="I82" s="365">
        <f t="shared" si="31"/>
        <v>0</v>
      </c>
      <c r="J82" s="391">
        <f t="shared" si="41"/>
        <v>5.7281417387889499E-2</v>
      </c>
      <c r="K82" s="365">
        <f t="shared" si="34"/>
        <v>7.1472723501348812E-2</v>
      </c>
      <c r="L82" s="308">
        <f t="shared" si="32"/>
        <v>4.7229364005412728</v>
      </c>
      <c r="M82" s="365">
        <f>TableUK12c!D98</f>
        <v>4.2795594207709661E-2</v>
      </c>
      <c r="N82" s="365">
        <f t="shared" si="35"/>
        <v>4.9800798561944601E-3</v>
      </c>
      <c r="O82" s="365">
        <f t="shared" si="36"/>
        <v>0</v>
      </c>
      <c r="P82" s="365">
        <f t="shared" si="42"/>
        <v>6.6163145895059783E-2</v>
      </c>
      <c r="Q82" s="2099">
        <v>0</v>
      </c>
      <c r="R82" s="1968"/>
      <c r="S82" s="1968"/>
      <c r="T82" s="365"/>
      <c r="U82" s="365"/>
      <c r="V82" s="368"/>
      <c r="W82" s="83"/>
      <c r="X82" s="83"/>
      <c r="Y82" s="363"/>
      <c r="AB82" s="300">
        <f t="shared" si="24"/>
        <v>1.0714727235013488</v>
      </c>
      <c r="AC82" s="300">
        <f t="shared" si="25"/>
        <v>1.0134224491985495</v>
      </c>
      <c r="AD82" s="300">
        <f t="shared" si="37"/>
        <v>1</v>
      </c>
      <c r="AE82" s="300">
        <f t="shared" si="26"/>
        <v>1.0572814173878895</v>
      </c>
      <c r="AF82" s="366">
        <f t="shared" si="38"/>
        <v>1.0714727235013488</v>
      </c>
      <c r="AG82" s="300">
        <f t="shared" si="39"/>
        <v>1.0049800798561945</v>
      </c>
      <c r="AH82" s="300">
        <f t="shared" si="43"/>
        <v>1</v>
      </c>
      <c r="AI82" s="300">
        <f t="shared" si="40"/>
        <v>1.0661631458950598</v>
      </c>
    </row>
    <row r="83" spans="1:35">
      <c r="A83" s="198">
        <f t="shared" si="19"/>
        <v>1928</v>
      </c>
      <c r="B83" s="1162">
        <f>TableUK1!D84</f>
        <v>212.43459722222224</v>
      </c>
      <c r="C83" s="959">
        <f>TableUK1!E84</f>
        <v>984.22645138888902</v>
      </c>
      <c r="D83" s="391">
        <f t="shared" si="21"/>
        <v>8.3446098331076968E-3</v>
      </c>
      <c r="E83" s="390">
        <f t="shared" si="33"/>
        <v>-1.0839720172862721E-2</v>
      </c>
      <c r="F83" s="308">
        <f t="shared" si="30"/>
        <v>4.6330798479087454</v>
      </c>
      <c r="G83" s="365">
        <f>TableUK12c!C99</f>
        <v>8.4940411700975091E-2</v>
      </c>
      <c r="H83" s="365">
        <f t="shared" si="23"/>
        <v>1.8464682777472024E-2</v>
      </c>
      <c r="I83" s="365">
        <f t="shared" si="31"/>
        <v>0</v>
      </c>
      <c r="J83" s="391">
        <f t="shared" si="41"/>
        <v>-2.8773116481975669E-2</v>
      </c>
      <c r="K83" s="365">
        <f t="shared" si="34"/>
        <v>-1.0839720172862721E-2</v>
      </c>
      <c r="L83" s="308">
        <f t="shared" si="32"/>
        <v>4.6330798479087454</v>
      </c>
      <c r="M83" s="365">
        <f>TableUK12c!D99</f>
        <v>3.9794217934069759E-2</v>
      </c>
      <c r="N83" s="365">
        <f t="shared" si="35"/>
        <v>9.0612260209146714E-3</v>
      </c>
      <c r="O83" s="365">
        <f t="shared" si="36"/>
        <v>0</v>
      </c>
      <c r="P83" s="365">
        <f t="shared" si="42"/>
        <v>-1.9722238532793313E-2</v>
      </c>
      <c r="Q83" s="2099">
        <v>0</v>
      </c>
      <c r="R83" s="1968"/>
      <c r="S83" s="1968"/>
      <c r="T83" s="365"/>
      <c r="U83" s="365"/>
      <c r="V83" s="368"/>
      <c r="W83" s="83"/>
      <c r="X83" s="83"/>
      <c r="Y83" s="363"/>
      <c r="AB83" s="300">
        <f t="shared" si="24"/>
        <v>0.98916027982713728</v>
      </c>
      <c r="AC83" s="300">
        <f t="shared" si="25"/>
        <v>1.0184646827774719</v>
      </c>
      <c r="AD83" s="300">
        <f t="shared" si="37"/>
        <v>1</v>
      </c>
      <c r="AE83" s="300">
        <f t="shared" si="26"/>
        <v>0.97122688351802433</v>
      </c>
      <c r="AF83" s="366">
        <f t="shared" si="38"/>
        <v>0.98916027982713728</v>
      </c>
      <c r="AG83" s="300">
        <f t="shared" si="39"/>
        <v>1.0090612260209146</v>
      </c>
      <c r="AH83" s="300">
        <f t="shared" si="43"/>
        <v>1</v>
      </c>
      <c r="AI83" s="300">
        <f t="shared" si="40"/>
        <v>0.98027776146720669</v>
      </c>
    </row>
    <row r="84" spans="1:35">
      <c r="A84" s="214">
        <f t="shared" ref="A84:A103" si="44">A83+1</f>
        <v>1929</v>
      </c>
      <c r="B84" s="1163">
        <f>TableUK1!D85</f>
        <v>217.31998595505615</v>
      </c>
      <c r="C84" s="1171">
        <f>TableUK1!E85</f>
        <v>951.36952949438205</v>
      </c>
      <c r="D84" s="1172">
        <f t="shared" ref="D84:D115" si="45">B84/B83-1</f>
        <v>2.29971426345561E-2</v>
      </c>
      <c r="E84" s="1181">
        <f t="shared" si="33"/>
        <v>-3.3383498124990418E-2</v>
      </c>
      <c r="F84" s="550">
        <f t="shared" si="30"/>
        <v>4.3777360159186385</v>
      </c>
      <c r="G84" s="1184">
        <f>TableUK12c!C100</f>
        <v>9.2281376951037039E-2</v>
      </c>
      <c r="H84" s="1184">
        <f t="shared" si="23"/>
        <v>1.833346596418256E-2</v>
      </c>
      <c r="I84" s="1184">
        <f t="shared" si="31"/>
        <v>0</v>
      </c>
      <c r="J84" s="1172">
        <f t="shared" si="41"/>
        <v>-5.078588283476082E-2</v>
      </c>
      <c r="K84" s="1184">
        <f t="shared" si="34"/>
        <v>-3.3383498124990418E-2</v>
      </c>
      <c r="L84" s="550">
        <f t="shared" si="32"/>
        <v>4.3777360159186385</v>
      </c>
      <c r="M84" s="1184">
        <f>TableUK12c!D100</f>
        <v>4.6723499643788233E-2</v>
      </c>
      <c r="N84" s="1184">
        <f t="shared" si="35"/>
        <v>8.5891500341898613E-3</v>
      </c>
      <c r="O84" s="1184">
        <f t="shared" si="36"/>
        <v>0</v>
      </c>
      <c r="P84" s="1184">
        <f t="shared" si="42"/>
        <v>-4.1615208886351285E-2</v>
      </c>
      <c r="Q84" s="2098">
        <v>0</v>
      </c>
      <c r="R84" s="1968"/>
      <c r="S84" s="1968"/>
      <c r="T84" s="365"/>
      <c r="U84" s="365"/>
      <c r="V84" s="368"/>
      <c r="W84" s="83"/>
      <c r="X84" s="83"/>
      <c r="Y84" s="363"/>
      <c r="AB84" s="300">
        <f t="shared" ref="AB84:AB115" si="46">1+E84</f>
        <v>0.96661650187500958</v>
      </c>
      <c r="AC84" s="300">
        <f t="shared" ref="AC84:AC115" si="47">1+H84</f>
        <v>1.0183334659641825</v>
      </c>
      <c r="AD84" s="300">
        <f t="shared" si="37"/>
        <v>1</v>
      </c>
      <c r="AE84" s="300">
        <f t="shared" ref="AE84:AE115" si="48">1+J84</f>
        <v>0.94921411716523918</v>
      </c>
      <c r="AF84" s="366">
        <f t="shared" ref="AF84:AF115" si="49">1+K84</f>
        <v>0.96661650187500958</v>
      </c>
      <c r="AG84" s="300">
        <f t="shared" ref="AG84:AG115" si="50">1+N84</f>
        <v>1.0085891500341899</v>
      </c>
      <c r="AH84" s="300">
        <f t="shared" si="43"/>
        <v>1</v>
      </c>
      <c r="AI84" s="300">
        <f t="shared" ref="AI84:AI115" si="51">1+P84</f>
        <v>0.95838479111364872</v>
      </c>
    </row>
    <row r="85" spans="1:35">
      <c r="A85" s="198">
        <f t="shared" si="44"/>
        <v>1930</v>
      </c>
      <c r="B85" s="1162">
        <f>TableUK1!D86</f>
        <v>213.02151734104046</v>
      </c>
      <c r="C85" s="959">
        <f>TableUK1!E86</f>
        <v>936.96839595375718</v>
      </c>
      <c r="D85" s="391">
        <f t="shared" si="45"/>
        <v>-1.9779444560173332E-2</v>
      </c>
      <c r="E85" s="390">
        <f t="shared" si="33"/>
        <v>-1.5137265903689801E-2</v>
      </c>
      <c r="F85" s="308">
        <f t="shared" si="30"/>
        <v>4.3984683221165</v>
      </c>
      <c r="G85" s="365">
        <f>TableUK12c!C101</f>
        <v>9.4055109568236053E-2</v>
      </c>
      <c r="H85" s="365">
        <f t="shared" si="23"/>
        <v>2.1079703439283882E-2</v>
      </c>
      <c r="I85" s="365">
        <f t="shared" si="31"/>
        <v>0</v>
      </c>
      <c r="J85" s="391">
        <f t="shared" si="41"/>
        <v>-3.5469287285786466E-2</v>
      </c>
      <c r="K85" s="365">
        <f t="shared" si="34"/>
        <v>-1.5137265903689801E-2</v>
      </c>
      <c r="L85" s="308">
        <f t="shared" si="32"/>
        <v>4.3984683221165</v>
      </c>
      <c r="M85" s="365">
        <f>TableUK12c!D101</f>
        <v>5.6606335779757336E-2</v>
      </c>
      <c r="N85" s="365">
        <f t="shared" si="35"/>
        <v>1.0672982444324849E-2</v>
      </c>
      <c r="O85" s="365">
        <f t="shared" si="36"/>
        <v>0</v>
      </c>
      <c r="P85" s="365">
        <f t="shared" si="42"/>
        <v>-2.5537685083450223E-2</v>
      </c>
      <c r="Q85" s="2099">
        <v>0</v>
      </c>
      <c r="R85" s="1968"/>
      <c r="S85" s="1968"/>
      <c r="T85" s="365"/>
      <c r="U85" s="365"/>
      <c r="V85" s="368"/>
      <c r="W85" s="83"/>
      <c r="X85" s="83"/>
      <c r="Y85" s="363"/>
      <c r="AB85" s="300">
        <f t="shared" si="46"/>
        <v>0.9848627340963102</v>
      </c>
      <c r="AC85" s="300">
        <f t="shared" si="47"/>
        <v>1.0210797034392838</v>
      </c>
      <c r="AD85" s="300">
        <f t="shared" si="37"/>
        <v>1</v>
      </c>
      <c r="AE85" s="300">
        <f t="shared" si="48"/>
        <v>0.96453071271421353</v>
      </c>
      <c r="AF85" s="366">
        <f t="shared" si="49"/>
        <v>0.9848627340963102</v>
      </c>
      <c r="AG85" s="300">
        <f t="shared" si="50"/>
        <v>1.0106729824443248</v>
      </c>
      <c r="AH85" s="300">
        <f t="shared" si="43"/>
        <v>1</v>
      </c>
      <c r="AI85" s="300">
        <f t="shared" si="51"/>
        <v>0.97446231491654978</v>
      </c>
    </row>
    <row r="86" spans="1:35">
      <c r="A86" s="198">
        <f t="shared" si="44"/>
        <v>1931</v>
      </c>
      <c r="B86" s="1162">
        <f>TableUK1!D87</f>
        <v>208.86647590361443</v>
      </c>
      <c r="C86" s="959">
        <f>TableUK1!E87</f>
        <v>1001.9820481927711</v>
      </c>
      <c r="D86" s="391">
        <f t="shared" si="45"/>
        <v>-1.950526636599792E-2</v>
      </c>
      <c r="E86" s="390">
        <f t="shared" si="33"/>
        <v>6.9387241362431906E-2</v>
      </c>
      <c r="F86" s="308">
        <f t="shared" si="30"/>
        <v>4.7972372964972871</v>
      </c>
      <c r="G86" s="365">
        <f>TableUK12c!C102</f>
        <v>4.4754253308128537E-2</v>
      </c>
      <c r="H86" s="365">
        <f t="shared" si="23"/>
        <v>2.138360508254784E-2</v>
      </c>
      <c r="I86" s="365">
        <f t="shared" si="31"/>
        <v>0</v>
      </c>
      <c r="J86" s="391">
        <f t="shared" si="41"/>
        <v>4.6998636008069195E-2</v>
      </c>
      <c r="K86" s="365">
        <f t="shared" si="34"/>
        <v>6.9387241362431906E-2</v>
      </c>
      <c r="L86" s="308">
        <f t="shared" si="32"/>
        <v>4.7972372964972871</v>
      </c>
      <c r="M86" s="365">
        <f>TableUK12c!D102</f>
        <v>3.3658339751307123E-2</v>
      </c>
      <c r="N86" s="365">
        <f t="shared" si="35"/>
        <v>1.2869556316940558E-2</v>
      </c>
      <c r="O86" s="365">
        <f t="shared" si="36"/>
        <v>0</v>
      </c>
      <c r="P86" s="365">
        <f t="shared" si="42"/>
        <v>5.5799569345340583E-2</v>
      </c>
      <c r="Q86" s="2099">
        <v>0</v>
      </c>
      <c r="R86" s="1968"/>
      <c r="S86" s="1968"/>
      <c r="T86" s="365"/>
      <c r="U86" s="365"/>
      <c r="V86" s="368"/>
      <c r="W86" s="83"/>
      <c r="X86" s="83"/>
      <c r="Y86" s="363"/>
      <c r="AB86" s="300">
        <f t="shared" si="46"/>
        <v>1.0693872413624319</v>
      </c>
      <c r="AC86" s="300">
        <f t="shared" si="47"/>
        <v>1.0213836050825478</v>
      </c>
      <c r="AD86" s="300">
        <f t="shared" si="37"/>
        <v>1</v>
      </c>
      <c r="AE86" s="300">
        <f t="shared" si="48"/>
        <v>1.0469986360080692</v>
      </c>
      <c r="AF86" s="366">
        <f t="shared" si="49"/>
        <v>1.0693872413624319</v>
      </c>
      <c r="AG86" s="300">
        <f t="shared" si="50"/>
        <v>1.0128695563169405</v>
      </c>
      <c r="AH86" s="300">
        <f t="shared" si="43"/>
        <v>1</v>
      </c>
      <c r="AI86" s="300">
        <f t="shared" si="51"/>
        <v>1.0557995693453406</v>
      </c>
    </row>
    <row r="87" spans="1:35">
      <c r="A87" s="198">
        <f t="shared" si="44"/>
        <v>1932</v>
      </c>
      <c r="B87" s="1162">
        <f>TableUK1!D88</f>
        <v>211.48959876543208</v>
      </c>
      <c r="C87" s="959">
        <f>TableUK1!E88</f>
        <v>1145.454274691358</v>
      </c>
      <c r="D87" s="391">
        <f t="shared" si="45"/>
        <v>1.255885057891315E-2</v>
      </c>
      <c r="E87" s="390">
        <f t="shared" si="33"/>
        <v>0.14318842014920463</v>
      </c>
      <c r="F87" s="308">
        <f t="shared" si="30"/>
        <v>5.4161258112830764</v>
      </c>
      <c r="G87" s="365">
        <f>TableUK12c!C103</f>
        <v>3.5218446601941782E-2</v>
      </c>
      <c r="H87" s="365">
        <f t="shared" si="23"/>
        <v>9.3291723010671054E-3</v>
      </c>
      <c r="I87" s="365">
        <f t="shared" si="31"/>
        <v>0</v>
      </c>
      <c r="J87" s="391">
        <f t="shared" si="41"/>
        <v>0.13262199441136269</v>
      </c>
      <c r="K87" s="365">
        <f t="shared" si="34"/>
        <v>0.14318842014920463</v>
      </c>
      <c r="L87" s="308">
        <f t="shared" si="32"/>
        <v>5.4161258112830764</v>
      </c>
      <c r="M87" s="365">
        <f>TableUK12c!D103</f>
        <v>3.188612232965915E-2</v>
      </c>
      <c r="N87" s="365">
        <f t="shared" si="35"/>
        <v>7.0161923772006926E-3</v>
      </c>
      <c r="O87" s="365">
        <f t="shared" si="36"/>
        <v>0</v>
      </c>
      <c r="P87" s="365">
        <f t="shared" si="42"/>
        <v>0.13522347386545053</v>
      </c>
      <c r="Q87" s="2099">
        <v>0</v>
      </c>
      <c r="R87" s="1968"/>
      <c r="S87" s="1968"/>
      <c r="T87" s="365"/>
      <c r="U87" s="365"/>
      <c r="V87" s="368"/>
      <c r="W87" s="83"/>
      <c r="X87" s="83"/>
      <c r="Y87" s="363"/>
      <c r="AB87" s="300">
        <f t="shared" si="46"/>
        <v>1.1431884201492046</v>
      </c>
      <c r="AC87" s="300">
        <f t="shared" si="47"/>
        <v>1.0093291723010671</v>
      </c>
      <c r="AD87" s="300">
        <f t="shared" si="37"/>
        <v>1</v>
      </c>
      <c r="AE87" s="300">
        <f t="shared" si="48"/>
        <v>1.1326219944113627</v>
      </c>
      <c r="AF87" s="366">
        <f t="shared" si="49"/>
        <v>1.1431884201492046</v>
      </c>
      <c r="AG87" s="300">
        <f t="shared" si="50"/>
        <v>1.0070161923772007</v>
      </c>
      <c r="AH87" s="300">
        <f t="shared" si="43"/>
        <v>1</v>
      </c>
      <c r="AI87" s="300">
        <f t="shared" si="51"/>
        <v>1.1352234738654505</v>
      </c>
    </row>
    <row r="88" spans="1:35">
      <c r="A88" s="198">
        <f t="shared" si="44"/>
        <v>1933</v>
      </c>
      <c r="B88" s="1162">
        <f>TableUK1!D89</f>
        <v>226.31647151898736</v>
      </c>
      <c r="C88" s="959">
        <f>TableUK1!E89</f>
        <v>1281.1699129746837</v>
      </c>
      <c r="D88" s="391">
        <f t="shared" si="45"/>
        <v>7.0106865018927378E-2</v>
      </c>
      <c r="E88" s="390">
        <f t="shared" si="33"/>
        <v>0.11848193444464994</v>
      </c>
      <c r="F88" s="308">
        <f t="shared" si="30"/>
        <v>5.6609662760105239</v>
      </c>
      <c r="G88" s="365">
        <f>TableUK12c!C104</f>
        <v>3.5133171912832918E-2</v>
      </c>
      <c r="H88" s="365">
        <f t="shared" si="23"/>
        <v>6.502516342691559E-3</v>
      </c>
      <c r="I88" s="365">
        <f t="shared" si="31"/>
        <v>0</v>
      </c>
      <c r="J88" s="391">
        <f t="shared" si="41"/>
        <v>0.1112559743107806</v>
      </c>
      <c r="K88" s="365">
        <f t="shared" si="34"/>
        <v>0.11848193444464994</v>
      </c>
      <c r="L88" s="308">
        <f t="shared" si="32"/>
        <v>5.6609662760105239</v>
      </c>
      <c r="M88" s="365">
        <f>TableUK12c!D104</f>
        <v>2.9729051484959981E-2</v>
      </c>
      <c r="N88" s="365">
        <f t="shared" si="35"/>
        <v>5.8872565816755554E-3</v>
      </c>
      <c r="O88" s="365">
        <f t="shared" si="36"/>
        <v>0</v>
      </c>
      <c r="P88" s="365">
        <f t="shared" si="42"/>
        <v>0.11193568377196339</v>
      </c>
      <c r="Q88" s="2099">
        <v>0</v>
      </c>
      <c r="R88" s="1968"/>
      <c r="S88" s="1968"/>
      <c r="T88" s="365"/>
      <c r="U88" s="365"/>
      <c r="V88" s="368"/>
      <c r="W88" s="83"/>
      <c r="X88" s="83"/>
      <c r="Y88" s="363"/>
      <c r="AB88" s="300">
        <f t="shared" si="46"/>
        <v>1.1184819344446499</v>
      </c>
      <c r="AC88" s="300">
        <f t="shared" si="47"/>
        <v>1.0065025163426915</v>
      </c>
      <c r="AD88" s="300">
        <f t="shared" si="37"/>
        <v>1</v>
      </c>
      <c r="AE88" s="300">
        <f t="shared" si="48"/>
        <v>1.1112559743107806</v>
      </c>
      <c r="AF88" s="366">
        <f t="shared" si="49"/>
        <v>1.1184819344446499</v>
      </c>
      <c r="AG88" s="300">
        <f t="shared" si="50"/>
        <v>1.0058872565816757</v>
      </c>
      <c r="AH88" s="300">
        <f t="shared" si="43"/>
        <v>1</v>
      </c>
      <c r="AI88" s="300">
        <f t="shared" si="51"/>
        <v>1.1119356837719634</v>
      </c>
    </row>
    <row r="89" spans="1:35">
      <c r="A89" s="198">
        <f t="shared" si="44"/>
        <v>1934</v>
      </c>
      <c r="B89" s="1162">
        <f>TableUK1!D90</f>
        <v>239.36174050632911</v>
      </c>
      <c r="C89" s="959">
        <f>TableUK1!E90</f>
        <v>1360.6053164556963</v>
      </c>
      <c r="D89" s="391">
        <f t="shared" si="45"/>
        <v>5.764171250896899E-2</v>
      </c>
      <c r="E89" s="390">
        <f t="shared" si="33"/>
        <v>6.2002239263155845E-2</v>
      </c>
      <c r="F89" s="308">
        <f t="shared" si="30"/>
        <v>5.6843057440072373</v>
      </c>
      <c r="G89" s="365">
        <f>TableUK12c!C105</f>
        <v>6.7780809458844932E-2</v>
      </c>
      <c r="H89" s="365">
        <f t="shared" si="23"/>
        <v>6.2062146636903239E-3</v>
      </c>
      <c r="I89" s="365">
        <f t="shared" si="31"/>
        <v>0</v>
      </c>
      <c r="J89" s="391">
        <f t="shared" si="41"/>
        <v>5.5451878338989014E-2</v>
      </c>
      <c r="K89" s="365">
        <f t="shared" si="34"/>
        <v>6.2002239263155845E-2</v>
      </c>
      <c r="L89" s="308">
        <f t="shared" si="32"/>
        <v>5.6843057440072373</v>
      </c>
      <c r="M89" s="365">
        <f>TableUK12c!D105</f>
        <v>3.3565769091000661E-2</v>
      </c>
      <c r="N89" s="365">
        <f t="shared" si="35"/>
        <v>5.2515860429945991E-3</v>
      </c>
      <c r="O89" s="365">
        <f t="shared" si="36"/>
        <v>0</v>
      </c>
      <c r="P89" s="365">
        <f t="shared" si="42"/>
        <v>5.6454179240393643E-2</v>
      </c>
      <c r="Q89" s="2099">
        <v>0</v>
      </c>
      <c r="R89" s="1968"/>
      <c r="S89" s="1968"/>
      <c r="T89" s="365"/>
      <c r="U89" s="365"/>
      <c r="V89" s="368"/>
      <c r="W89" s="83"/>
      <c r="X89" s="83"/>
      <c r="Y89" s="363"/>
      <c r="AB89" s="300">
        <f t="shared" si="46"/>
        <v>1.0620022392631558</v>
      </c>
      <c r="AC89" s="300">
        <f t="shared" si="47"/>
        <v>1.0062062146636903</v>
      </c>
      <c r="AD89" s="300">
        <f t="shared" si="37"/>
        <v>1</v>
      </c>
      <c r="AE89" s="300">
        <f t="shared" si="48"/>
        <v>1.055451878338989</v>
      </c>
      <c r="AF89" s="366">
        <f t="shared" si="49"/>
        <v>1.0620022392631558</v>
      </c>
      <c r="AG89" s="300">
        <f t="shared" si="50"/>
        <v>1.0052515860429947</v>
      </c>
      <c r="AH89" s="300">
        <f t="shared" si="43"/>
        <v>1</v>
      </c>
      <c r="AI89" s="300">
        <f t="shared" si="51"/>
        <v>1.0564541792403936</v>
      </c>
    </row>
    <row r="90" spans="1:35">
      <c r="A90" s="198">
        <f t="shared" si="44"/>
        <v>1935</v>
      </c>
      <c r="B90" s="1162">
        <f>TableUK1!D91</f>
        <v>248.82933962264161</v>
      </c>
      <c r="C90" s="959">
        <f>TableUK1!E91</f>
        <v>1422.88856918239</v>
      </c>
      <c r="D90" s="391">
        <f t="shared" si="45"/>
        <v>3.955351885512437E-2</v>
      </c>
      <c r="E90" s="390">
        <f t="shared" si="33"/>
        <v>4.5776135057988832E-2</v>
      </c>
      <c r="F90" s="308">
        <f t="shared" si="30"/>
        <v>5.718331171638563</v>
      </c>
      <c r="G90" s="365">
        <f>TableUK12c!C106</f>
        <v>8.0755864465682003E-2</v>
      </c>
      <c r="H90" s="365">
        <f t="shared" si="23"/>
        <v>1.1924201918643072E-2</v>
      </c>
      <c r="I90" s="365">
        <f t="shared" si="31"/>
        <v>0</v>
      </c>
      <c r="J90" s="391">
        <f t="shared" si="41"/>
        <v>3.3453032425908358E-2</v>
      </c>
      <c r="K90" s="365">
        <f t="shared" si="34"/>
        <v>4.5776135057988832E-2</v>
      </c>
      <c r="L90" s="308">
        <f t="shared" si="32"/>
        <v>5.718331171638563</v>
      </c>
      <c r="M90" s="365">
        <f>TableUK12c!D106</f>
        <v>4.635629438965512E-2</v>
      </c>
      <c r="N90" s="365">
        <f t="shared" si="35"/>
        <v>5.9049900907226643E-3</v>
      </c>
      <c r="O90" s="365">
        <f t="shared" si="36"/>
        <v>0</v>
      </c>
      <c r="P90" s="365">
        <f t="shared" si="42"/>
        <v>3.9637088353314809E-2</v>
      </c>
      <c r="Q90" s="2099">
        <v>0</v>
      </c>
      <c r="R90" s="1968"/>
      <c r="S90" s="1968"/>
      <c r="T90" s="365"/>
      <c r="U90" s="365"/>
      <c r="V90" s="368"/>
      <c r="W90" s="83"/>
      <c r="X90" s="83"/>
      <c r="Y90" s="363"/>
      <c r="AB90" s="300">
        <f t="shared" si="46"/>
        <v>1.0457761350579888</v>
      </c>
      <c r="AC90" s="300">
        <f t="shared" si="47"/>
        <v>1.011924201918643</v>
      </c>
      <c r="AD90" s="300">
        <f t="shared" si="37"/>
        <v>1</v>
      </c>
      <c r="AE90" s="300">
        <f t="shared" si="48"/>
        <v>1.0334530324259084</v>
      </c>
      <c r="AF90" s="366">
        <f t="shared" si="49"/>
        <v>1.0457761350579888</v>
      </c>
      <c r="AG90" s="300">
        <f t="shared" si="50"/>
        <v>1.0059049900907227</v>
      </c>
      <c r="AH90" s="300">
        <f t="shared" si="43"/>
        <v>1</v>
      </c>
      <c r="AI90" s="300">
        <f t="shared" si="51"/>
        <v>1.0396370883533148</v>
      </c>
    </row>
    <row r="91" spans="1:35">
      <c r="A91" s="198">
        <f t="shared" si="44"/>
        <v>1936</v>
      </c>
      <c r="B91" s="1162">
        <f>TableUK1!D92</f>
        <v>265.28785937500004</v>
      </c>
      <c r="C91" s="959">
        <f>TableUK1!E92</f>
        <v>1403.9196015625002</v>
      </c>
      <c r="D91" s="391">
        <f t="shared" si="45"/>
        <v>6.6143806744487499E-2</v>
      </c>
      <c r="E91" s="390">
        <f t="shared" si="33"/>
        <v>-1.3331309303292516E-2</v>
      </c>
      <c r="F91" s="308">
        <f t="shared" si="30"/>
        <v>5.2920612532742295</v>
      </c>
      <c r="G91" s="365">
        <f>TableUK12c!C107</f>
        <v>7.6541919297512057E-2</v>
      </c>
      <c r="H91" s="365">
        <f t="shared" si="23"/>
        <v>1.4122278343410769E-2</v>
      </c>
      <c r="I91" s="365">
        <f t="shared" si="31"/>
        <v>0</v>
      </c>
      <c r="J91" s="391">
        <f t="shared" si="41"/>
        <v>-2.7071279502457246E-2</v>
      </c>
      <c r="K91" s="365">
        <f t="shared" si="34"/>
        <v>-1.3331309303292516E-2</v>
      </c>
      <c r="L91" s="308">
        <f t="shared" si="32"/>
        <v>5.2920612532742295</v>
      </c>
      <c r="M91" s="365">
        <f>TableUK12c!D107</f>
        <v>4.6504969302806856E-2</v>
      </c>
      <c r="N91" s="365">
        <f t="shared" si="35"/>
        <v>8.1066124011093133E-3</v>
      </c>
      <c r="O91" s="365">
        <f t="shared" si="36"/>
        <v>0</v>
      </c>
      <c r="P91" s="365">
        <f t="shared" si="42"/>
        <v>-2.1265530292813972E-2</v>
      </c>
      <c r="Q91" s="2099">
        <v>0</v>
      </c>
      <c r="R91" s="1968"/>
      <c r="S91" s="1968"/>
      <c r="T91" s="365"/>
      <c r="U91" s="365"/>
      <c r="V91" s="368"/>
      <c r="W91" s="83"/>
      <c r="X91" s="83"/>
      <c r="Y91" s="363"/>
      <c r="AB91" s="300">
        <f t="shared" si="46"/>
        <v>0.98666869069670748</v>
      </c>
      <c r="AC91" s="300">
        <f t="shared" si="47"/>
        <v>1.0141222783434107</v>
      </c>
      <c r="AD91" s="300">
        <f t="shared" si="37"/>
        <v>1</v>
      </c>
      <c r="AE91" s="300">
        <f t="shared" si="48"/>
        <v>0.97292872049754275</v>
      </c>
      <c r="AF91" s="366">
        <f t="shared" si="49"/>
        <v>0.98666869069670748</v>
      </c>
      <c r="AG91" s="300">
        <f t="shared" si="50"/>
        <v>1.0081066124011093</v>
      </c>
      <c r="AH91" s="300">
        <f t="shared" si="43"/>
        <v>1</v>
      </c>
      <c r="AI91" s="300">
        <f t="shared" si="51"/>
        <v>0.97873446970718603</v>
      </c>
    </row>
    <row r="92" spans="1:35">
      <c r="A92" s="198">
        <f t="shared" si="44"/>
        <v>1937</v>
      </c>
      <c r="B92" s="1162">
        <f>TableUK1!D93</f>
        <v>268.1672439759036</v>
      </c>
      <c r="C92" s="959">
        <f>TableUK1!E93</f>
        <v>1280.2474246987952</v>
      </c>
      <c r="D92" s="391">
        <f t="shared" si="45"/>
        <v>1.0853812186080392E-2</v>
      </c>
      <c r="E92" s="390">
        <f t="shared" si="33"/>
        <v>-8.8090640465496306E-2</v>
      </c>
      <c r="F92" s="308">
        <f t="shared" si="30"/>
        <v>4.7740634005763694</v>
      </c>
      <c r="G92" s="365">
        <f>TableUK12c!C108</f>
        <v>9.0558691843488387E-2</v>
      </c>
      <c r="H92" s="365">
        <f t="shared" si="23"/>
        <v>1.4463536159970772E-2</v>
      </c>
      <c r="I92" s="365">
        <f t="shared" si="31"/>
        <v>0</v>
      </c>
      <c r="J92" s="391">
        <f t="shared" si="41"/>
        <v>-0.1010920284169734</v>
      </c>
      <c r="K92" s="365">
        <f t="shared" si="34"/>
        <v>-8.8090640465496306E-2</v>
      </c>
      <c r="L92" s="308">
        <f t="shared" si="32"/>
        <v>4.7740634005763694</v>
      </c>
      <c r="M92" s="365">
        <f>TableUK12c!D108</f>
        <v>4.4432770346033448E-2</v>
      </c>
      <c r="N92" s="365">
        <f t="shared" si="35"/>
        <v>8.7876853794981984E-3</v>
      </c>
      <c r="O92" s="365">
        <f t="shared" si="36"/>
        <v>0</v>
      </c>
      <c r="P92" s="365">
        <f t="shared" si="42"/>
        <v>-9.6034405702077552E-2</v>
      </c>
      <c r="Q92" s="2099">
        <v>0</v>
      </c>
      <c r="R92" s="1968"/>
      <c r="S92" s="1968"/>
      <c r="T92" s="365"/>
      <c r="U92" s="365"/>
      <c r="V92" s="368"/>
      <c r="W92" s="83"/>
      <c r="X92" s="83"/>
      <c r="Y92" s="363"/>
      <c r="AB92" s="300">
        <f t="shared" si="46"/>
        <v>0.91190935953450369</v>
      </c>
      <c r="AC92" s="300">
        <f t="shared" si="47"/>
        <v>1.0144635361599708</v>
      </c>
      <c r="AD92" s="300">
        <f t="shared" si="37"/>
        <v>1</v>
      </c>
      <c r="AE92" s="300">
        <f t="shared" si="48"/>
        <v>0.8989079715830266</v>
      </c>
      <c r="AF92" s="366">
        <f t="shared" si="49"/>
        <v>0.91190935953450369</v>
      </c>
      <c r="AG92" s="300">
        <f t="shared" si="50"/>
        <v>1.0087876853794981</v>
      </c>
      <c r="AH92" s="300">
        <f t="shared" si="43"/>
        <v>1</v>
      </c>
      <c r="AI92" s="300">
        <f t="shared" si="51"/>
        <v>0.90396559429792245</v>
      </c>
    </row>
    <row r="93" spans="1:35">
      <c r="A93" s="198">
        <f t="shared" si="44"/>
        <v>1938</v>
      </c>
      <c r="B93" s="1162">
        <f>TableUK1!D94</f>
        <v>266.34928571428577</v>
      </c>
      <c r="C93" s="959">
        <f>TableUK1!E94</f>
        <v>1235.8871577380953</v>
      </c>
      <c r="D93" s="391">
        <f t="shared" si="45"/>
        <v>-6.7791958281869791E-3</v>
      </c>
      <c r="E93" s="390">
        <f t="shared" si="33"/>
        <v>-3.4649760745378178E-2</v>
      </c>
      <c r="F93" s="308">
        <f t="shared" si="30"/>
        <v>4.6400993883792045</v>
      </c>
      <c r="G93" s="365">
        <f>TableUK12c!C109</f>
        <v>0.10745272525027812</v>
      </c>
      <c r="H93" s="365">
        <f t="shared" si="23"/>
        <v>1.896889174797203E-2</v>
      </c>
      <c r="I93" s="365">
        <f t="shared" si="31"/>
        <v>0</v>
      </c>
      <c r="J93" s="391">
        <f t="shared" si="41"/>
        <v>-5.2620499926519848E-2</v>
      </c>
      <c r="K93" s="365">
        <f t="shared" si="34"/>
        <v>-3.4649760745378178E-2</v>
      </c>
      <c r="L93" s="308">
        <f t="shared" si="32"/>
        <v>4.6400993883792045</v>
      </c>
      <c r="M93" s="365">
        <f>TableUK12c!D109</f>
        <v>6.0468127143807615E-2</v>
      </c>
      <c r="N93" s="365">
        <f t="shared" si="35"/>
        <v>9.307117777419778E-3</v>
      </c>
      <c r="O93" s="365">
        <f t="shared" si="36"/>
        <v>0</v>
      </c>
      <c r="P93" s="365">
        <f t="shared" si="42"/>
        <v>-4.3551539217908997E-2</v>
      </c>
      <c r="Q93" s="2099">
        <v>0</v>
      </c>
      <c r="R93" s="1968"/>
      <c r="S93" s="1968"/>
      <c r="T93" s="365"/>
      <c r="U93" s="365"/>
      <c r="V93" s="368"/>
      <c r="W93" s="83"/>
      <c r="X93" s="83"/>
      <c r="Y93" s="363"/>
      <c r="AB93" s="300">
        <f t="shared" si="46"/>
        <v>0.96535023925462182</v>
      </c>
      <c r="AC93" s="300">
        <f t="shared" si="47"/>
        <v>1.018968891747972</v>
      </c>
      <c r="AD93" s="300">
        <f t="shared" si="37"/>
        <v>1</v>
      </c>
      <c r="AE93" s="300">
        <f t="shared" si="48"/>
        <v>0.94737950007348015</v>
      </c>
      <c r="AF93" s="366">
        <f t="shared" si="49"/>
        <v>0.96535023925462182</v>
      </c>
      <c r="AG93" s="300">
        <f t="shared" si="50"/>
        <v>1.0093071177774198</v>
      </c>
      <c r="AH93" s="300">
        <f t="shared" si="43"/>
        <v>1</v>
      </c>
      <c r="AI93" s="300">
        <f t="shared" si="51"/>
        <v>0.956448460782091</v>
      </c>
    </row>
    <row r="94" spans="1:35">
      <c r="A94" s="214">
        <f t="shared" si="44"/>
        <v>1939</v>
      </c>
      <c r="B94" s="1163">
        <f>TableUK1!D95</f>
        <v>283.86390173410399</v>
      </c>
      <c r="C94" s="1171">
        <f>TableUK1!E95</f>
        <v>1253.2131502890174</v>
      </c>
      <c r="D94" s="1172">
        <f t="shared" si="45"/>
        <v>6.5758073924802041E-2</v>
      </c>
      <c r="E94" s="1181">
        <f t="shared" si="33"/>
        <v>1.4019073215901123E-2</v>
      </c>
      <c r="F94" s="550">
        <f t="shared" si="30"/>
        <v>4.4148380355276924</v>
      </c>
      <c r="G94" s="1184">
        <f>TableUK12c!C110</f>
        <v>9.0258379888268139E-2</v>
      </c>
      <c r="H94" s="1184">
        <f t="shared" si="23"/>
        <v>2.3157418894816293E-2</v>
      </c>
      <c r="I94" s="1184">
        <f t="shared" si="31"/>
        <v>0</v>
      </c>
      <c r="J94" s="1172">
        <f t="shared" si="41"/>
        <v>-8.931514848209865E-3</v>
      </c>
      <c r="K94" s="1184">
        <f t="shared" si="34"/>
        <v>1.4019073215901123E-2</v>
      </c>
      <c r="L94" s="550">
        <f t="shared" si="32"/>
        <v>4.4148380355276924</v>
      </c>
      <c r="M94" s="1184">
        <f>TableUK12c!D110</f>
        <v>5.2821498580461243E-2</v>
      </c>
      <c r="N94" s="1184">
        <f t="shared" si="35"/>
        <v>1.3031644816756661E-2</v>
      </c>
      <c r="O94" s="1184">
        <f t="shared" si="36"/>
        <v>0</v>
      </c>
      <c r="P94" s="1184">
        <f t="shared" si="42"/>
        <v>9.7472611462512404E-4</v>
      </c>
      <c r="Q94" s="2098">
        <v>0</v>
      </c>
      <c r="R94" s="1968"/>
      <c r="S94" s="1968"/>
      <c r="T94" s="365"/>
      <c r="U94" s="365"/>
      <c r="V94" s="368"/>
      <c r="W94" s="83"/>
      <c r="X94" s="83"/>
      <c r="Y94" s="363"/>
      <c r="AB94" s="300">
        <f t="shared" si="46"/>
        <v>1.0140190732159011</v>
      </c>
      <c r="AC94" s="300">
        <f t="shared" si="47"/>
        <v>1.0231574188948163</v>
      </c>
      <c r="AD94" s="300">
        <f t="shared" si="37"/>
        <v>1</v>
      </c>
      <c r="AE94" s="300">
        <f t="shared" si="48"/>
        <v>0.99106848515179014</v>
      </c>
      <c r="AF94" s="366">
        <f t="shared" si="49"/>
        <v>1.0140190732159011</v>
      </c>
      <c r="AG94" s="300">
        <f t="shared" si="50"/>
        <v>1.0130316448167567</v>
      </c>
      <c r="AH94" s="300">
        <f t="shared" si="43"/>
        <v>1</v>
      </c>
      <c r="AI94" s="300">
        <f t="shared" si="51"/>
        <v>1.0009747261146251</v>
      </c>
    </row>
    <row r="95" spans="1:35">
      <c r="A95" s="198">
        <f t="shared" si="44"/>
        <v>1940</v>
      </c>
      <c r="B95" s="1162">
        <f>TableUK1!D96</f>
        <v>289.09143564356447</v>
      </c>
      <c r="C95" s="959">
        <f>TableUK1!E96</f>
        <v>1191.9464233436156</v>
      </c>
      <c r="D95" s="391">
        <f t="shared" si="45"/>
        <v>1.8415634666915537E-2</v>
      </c>
      <c r="E95" s="390">
        <f t="shared" si="33"/>
        <v>-4.8887714696635887E-2</v>
      </c>
      <c r="F95" s="308">
        <f t="shared" si="30"/>
        <v>4.1230776023860738</v>
      </c>
      <c r="G95" s="365">
        <f>TableUK12c!C111</f>
        <v>0.30133959397873222</v>
      </c>
      <c r="H95" s="365">
        <f t="shared" si="23"/>
        <v>2.0444324154573392E-2</v>
      </c>
      <c r="I95" s="365">
        <f t="shared" si="31"/>
        <v>-1.0514005711544802E-2</v>
      </c>
      <c r="J95" s="391">
        <f t="shared" si="41"/>
        <v>-6.7942990332814146E-2</v>
      </c>
      <c r="K95" s="365">
        <f t="shared" si="34"/>
        <v>-4.8887714696635887E-2</v>
      </c>
      <c r="L95" s="308">
        <f t="shared" si="32"/>
        <v>4.1230776023860738</v>
      </c>
      <c r="M95" s="365">
        <f>TableUK12c!D111</f>
        <v>0.15819886893026733</v>
      </c>
      <c r="N95" s="365">
        <f t="shared" si="35"/>
        <v>1.1964538258343524E-2</v>
      </c>
      <c r="O95" s="365">
        <f t="shared" si="36"/>
        <v>-1.0514005711544802E-2</v>
      </c>
      <c r="P95" s="365">
        <f t="shared" si="42"/>
        <v>-6.0132791866116309E-2</v>
      </c>
      <c r="Q95" s="2093">
        <f>-(0.05*C$94/B95)/5</f>
        <v>-4.3350061460629627E-2</v>
      </c>
      <c r="R95" s="365"/>
      <c r="S95" s="365"/>
      <c r="T95" s="365"/>
      <c r="U95" s="365"/>
      <c r="V95" s="368"/>
      <c r="W95" s="83"/>
      <c r="X95" s="83"/>
      <c r="Y95" s="363"/>
      <c r="AB95" s="300">
        <f t="shared" si="46"/>
        <v>0.95111228530336411</v>
      </c>
      <c r="AC95" s="300">
        <f t="shared" si="47"/>
        <v>1.0204443241545733</v>
      </c>
      <c r="AD95" s="300">
        <f t="shared" si="37"/>
        <v>1</v>
      </c>
      <c r="AE95" s="300">
        <f t="shared" si="48"/>
        <v>0.93205700966718585</v>
      </c>
      <c r="AF95" s="366">
        <f t="shared" si="49"/>
        <v>0.95111228530336411</v>
      </c>
      <c r="AG95" s="300">
        <f t="shared" si="50"/>
        <v>1.0119645382583435</v>
      </c>
      <c r="AH95" s="300">
        <f t="shared" si="43"/>
        <v>1</v>
      </c>
      <c r="AI95" s="300">
        <f t="shared" si="51"/>
        <v>0.93986720813388369</v>
      </c>
    </row>
    <row r="96" spans="1:35">
      <c r="A96" s="198">
        <f t="shared" si="44"/>
        <v>1941</v>
      </c>
      <c r="B96" s="1162">
        <f>TableUK1!D97</f>
        <v>302.39196428571432</v>
      </c>
      <c r="C96" s="959">
        <f>TableUK1!E97</f>
        <v>1194.9230695077649</v>
      </c>
      <c r="D96" s="391">
        <f t="shared" si="45"/>
        <v>4.6008034145116561E-2</v>
      </c>
      <c r="E96" s="390">
        <f t="shared" si="33"/>
        <v>2.4972986250499929E-3</v>
      </c>
      <c r="F96" s="308">
        <f t="shared" si="30"/>
        <v>3.951570182528874</v>
      </c>
      <c r="G96" s="365">
        <f>TableUK12c!C112</f>
        <v>0.26029984653523786</v>
      </c>
      <c r="H96" s="365">
        <f t="shared" si="23"/>
        <v>7.3086083513039732E-2</v>
      </c>
      <c r="I96" s="365">
        <f t="shared" si="31"/>
        <v>-1.04878145067972E-2</v>
      </c>
      <c r="J96" s="391">
        <f t="shared" si="41"/>
        <v>-5.5854349022143812E-2</v>
      </c>
      <c r="K96" s="365">
        <f t="shared" si="34"/>
        <v>2.4972986250499929E-3</v>
      </c>
      <c r="L96" s="308">
        <f t="shared" si="32"/>
        <v>3.951570182528874</v>
      </c>
      <c r="M96" s="365">
        <f>TableUK12c!D112</f>
        <v>0.1376596005169696</v>
      </c>
      <c r="N96" s="365">
        <f t="shared" si="35"/>
        <v>3.8369122336847548E-2</v>
      </c>
      <c r="O96" s="365">
        <f t="shared" si="36"/>
        <v>-1.04878145067972E-2</v>
      </c>
      <c r="P96" s="365">
        <f t="shared" si="42"/>
        <v>-2.4287666996871016E-2</v>
      </c>
      <c r="Q96" s="2093">
        <f>-(0.05*C$94/B96)/5</f>
        <v>-4.1443335084953584E-2</v>
      </c>
      <c r="R96" s="365"/>
      <c r="S96" s="365"/>
      <c r="T96" s="365"/>
      <c r="U96" s="365"/>
      <c r="V96" s="368"/>
      <c r="W96" s="83"/>
      <c r="X96" s="83"/>
      <c r="Y96" s="363"/>
      <c r="AB96" s="300">
        <f t="shared" si="46"/>
        <v>1.00249729862505</v>
      </c>
      <c r="AC96" s="300">
        <f t="shared" si="47"/>
        <v>1.0730860835130398</v>
      </c>
      <c r="AD96" s="300">
        <f t="shared" si="37"/>
        <v>0.98948599428845518</v>
      </c>
      <c r="AE96" s="300">
        <f t="shared" si="48"/>
        <v>0.94414565097785619</v>
      </c>
      <c r="AF96" s="366">
        <f t="shared" si="49"/>
        <v>1.00249729862505</v>
      </c>
      <c r="AG96" s="300">
        <f t="shared" si="50"/>
        <v>1.0383691223368476</v>
      </c>
      <c r="AH96" s="300">
        <f t="shared" si="43"/>
        <v>0.98948599428845518</v>
      </c>
      <c r="AI96" s="300">
        <f t="shared" si="51"/>
        <v>0.97571233300312898</v>
      </c>
    </row>
    <row r="97" spans="1:35">
      <c r="A97" s="198">
        <f t="shared" si="44"/>
        <v>1942</v>
      </c>
      <c r="B97" s="1162">
        <f>TableUK1!D98</f>
        <v>310.02812500000005</v>
      </c>
      <c r="C97" s="959">
        <f>TableUK1!E98</f>
        <v>1208.8305885193674</v>
      </c>
      <c r="D97" s="391">
        <f t="shared" si="45"/>
        <v>2.5252525252525304E-2</v>
      </c>
      <c r="E97" s="390">
        <f t="shared" si="33"/>
        <v>1.1638840496511316E-2</v>
      </c>
      <c r="F97" s="308">
        <f t="shared" si="30"/>
        <v>3.8990997623824204</v>
      </c>
      <c r="G97" s="365">
        <f>TableUK12c!C113</f>
        <v>0.24506058290579633</v>
      </c>
      <c r="H97" s="365">
        <f t="shared" si="23"/>
        <v>6.587251004324933E-2</v>
      </c>
      <c r="I97" s="365">
        <f t="shared" si="31"/>
        <v>-1.0367152868161715E-2</v>
      </c>
      <c r="J97" s="391">
        <f t="shared" si="41"/>
        <v>-4.0822269807968992E-2</v>
      </c>
      <c r="K97" s="365">
        <f t="shared" si="34"/>
        <v>1.1638840496511316E-2</v>
      </c>
      <c r="L97" s="308">
        <f t="shared" si="32"/>
        <v>3.8990997623824204</v>
      </c>
      <c r="M97" s="365">
        <f>TableUK12c!D113</f>
        <v>0.12738030149922863</v>
      </c>
      <c r="N97" s="365">
        <f t="shared" si="35"/>
        <v>3.4836683687311361E-2</v>
      </c>
      <c r="O97" s="365">
        <f t="shared" si="36"/>
        <v>-1.0367152868161715E-2</v>
      </c>
      <c r="P97" s="365">
        <f t="shared" si="42"/>
        <v>-1.2055534005126267E-2</v>
      </c>
      <c r="Q97" s="2093">
        <f>-(0.05*C$94/B97)/5</f>
        <v>-4.042256328483157E-2</v>
      </c>
      <c r="R97" s="365"/>
      <c r="S97" s="365"/>
      <c r="T97" s="365"/>
      <c r="U97" s="365"/>
      <c r="V97" s="368"/>
      <c r="W97" s="83"/>
      <c r="X97" s="83"/>
      <c r="Y97" s="363"/>
      <c r="AB97" s="300">
        <f t="shared" si="46"/>
        <v>1.0116388404965113</v>
      </c>
      <c r="AC97" s="300">
        <f t="shared" si="47"/>
        <v>1.0658725100432493</v>
      </c>
      <c r="AD97" s="300">
        <f t="shared" si="37"/>
        <v>0.98951218549320274</v>
      </c>
      <c r="AE97" s="300">
        <f t="shared" si="48"/>
        <v>0.95917773019203101</v>
      </c>
      <c r="AF97" s="366">
        <f t="shared" si="49"/>
        <v>1.0116388404965113</v>
      </c>
      <c r="AG97" s="300">
        <f t="shared" si="50"/>
        <v>1.0348366836873113</v>
      </c>
      <c r="AH97" s="300">
        <f t="shared" si="43"/>
        <v>0.98951218549320274</v>
      </c>
      <c r="AI97" s="300">
        <f t="shared" si="51"/>
        <v>0.98794446599487373</v>
      </c>
    </row>
    <row r="98" spans="1:35">
      <c r="A98" s="198">
        <f t="shared" si="44"/>
        <v>1943</v>
      </c>
      <c r="B98" s="1162">
        <f>TableUK1!D99</f>
        <v>316.78735887096775</v>
      </c>
      <c r="C98" s="959">
        <f>TableUK1!E99</f>
        <v>1252.2402279484136</v>
      </c>
      <c r="D98" s="391">
        <f t="shared" si="45"/>
        <v>2.1802002224694084E-2</v>
      </c>
      <c r="E98" s="390">
        <f t="shared" si="33"/>
        <v>3.5910440918124342E-2</v>
      </c>
      <c r="F98" s="308">
        <f t="shared" si="30"/>
        <v>3.9529362295623351</v>
      </c>
      <c r="G98" s="365">
        <f>TableUK12c!C114</f>
        <v>0.22494317007646208</v>
      </c>
      <c r="H98" s="365">
        <f t="shared" si="23"/>
        <v>6.2850554702416711E-2</v>
      </c>
      <c r="I98" s="365">
        <f t="shared" si="31"/>
        <v>-1.0007769454445635E-2</v>
      </c>
      <c r="J98" s="391">
        <f t="shared" si="41"/>
        <v>-1.5136811129865757E-2</v>
      </c>
      <c r="K98" s="365">
        <f t="shared" si="34"/>
        <v>3.5910440918124342E-2</v>
      </c>
      <c r="L98" s="308">
        <f t="shared" si="32"/>
        <v>3.9529362295623351</v>
      </c>
      <c r="M98" s="365">
        <f>TableUK12c!D114</f>
        <v>0.12015782269989847</v>
      </c>
      <c r="N98" s="365">
        <f t="shared" si="35"/>
        <v>3.266915679566941E-2</v>
      </c>
      <c r="O98" s="365">
        <f t="shared" si="36"/>
        <v>-1.0007769454445635E-2</v>
      </c>
      <c r="P98" s="365">
        <f t="shared" si="42"/>
        <v>1.3647381359461308E-2</v>
      </c>
      <c r="Q98" s="2093">
        <f>-(0.05*C$94/B98)/5</f>
        <v>-3.9560074453585441E-2</v>
      </c>
      <c r="R98" s="365"/>
      <c r="S98" s="365"/>
      <c r="T98" s="365"/>
      <c r="U98" s="365"/>
      <c r="V98" s="368"/>
      <c r="W98" s="83"/>
      <c r="X98" s="83"/>
      <c r="Y98" s="363"/>
      <c r="AB98" s="300">
        <f t="shared" si="46"/>
        <v>1.0359104409181243</v>
      </c>
      <c r="AC98" s="300">
        <f t="shared" si="47"/>
        <v>1.0628505547024167</v>
      </c>
      <c r="AD98" s="300">
        <f t="shared" si="37"/>
        <v>0.9896328471318383</v>
      </c>
      <c r="AE98" s="300">
        <f t="shared" si="48"/>
        <v>0.98486318887013424</v>
      </c>
      <c r="AF98" s="366">
        <f t="shared" si="49"/>
        <v>1.0359104409181243</v>
      </c>
      <c r="AG98" s="300">
        <f t="shared" si="50"/>
        <v>1.0326691567956694</v>
      </c>
      <c r="AH98" s="300">
        <f t="shared" si="43"/>
        <v>0.9896328471318383</v>
      </c>
      <c r="AI98" s="300">
        <f t="shared" si="51"/>
        <v>1.0136473813594613</v>
      </c>
    </row>
    <row r="99" spans="1:35">
      <c r="A99" s="198">
        <f t="shared" si="44"/>
        <v>1944</v>
      </c>
      <c r="B99" s="1162">
        <f>TableUK1!D100</f>
        <v>314.46368627450983</v>
      </c>
      <c r="C99" s="959">
        <f>TableUK1!E100</f>
        <v>1284.003249500942</v>
      </c>
      <c r="D99" s="391">
        <f t="shared" si="45"/>
        <v>-7.3351178050143906E-3</v>
      </c>
      <c r="E99" s="390">
        <f t="shared" si="33"/>
        <v>2.5364958610670785E-2</v>
      </c>
      <c r="F99" s="308">
        <f t="shared" si="30"/>
        <v>4.0831526994823708</v>
      </c>
      <c r="G99" s="365">
        <f>TableUK12c!C115</f>
        <v>0.18996083281797571</v>
      </c>
      <c r="H99" s="365">
        <f t="shared" si="23"/>
        <v>5.6905337453765997E-2</v>
      </c>
      <c r="I99" s="365">
        <f t="shared" si="31"/>
        <v>-9.7602023264046107E-3</v>
      </c>
      <c r="J99" s="391">
        <f t="shared" si="41"/>
        <v>-2.0034934015074723E-2</v>
      </c>
      <c r="K99" s="365">
        <f t="shared" si="34"/>
        <v>2.5364958610670785E-2</v>
      </c>
      <c r="L99" s="308">
        <f t="shared" si="32"/>
        <v>4.0831526994823708</v>
      </c>
      <c r="M99" s="365">
        <f>TableUK12c!D115</f>
        <v>0.10445308948101435</v>
      </c>
      <c r="N99" s="365">
        <f t="shared" si="35"/>
        <v>3.0397106282992633E-2</v>
      </c>
      <c r="O99" s="365">
        <f t="shared" si="36"/>
        <v>-9.7602023264046107E-3</v>
      </c>
      <c r="P99" s="365">
        <f t="shared" si="42"/>
        <v>5.1758709745854947E-3</v>
      </c>
      <c r="Q99" s="2093">
        <f>-(0.05*C$94/B99)/5</f>
        <v>-3.9852396476553101E-2</v>
      </c>
      <c r="R99" s="365"/>
      <c r="S99" s="365"/>
      <c r="T99" s="365"/>
      <c r="U99" s="365"/>
      <c r="V99" s="368"/>
      <c r="W99" s="83"/>
      <c r="X99" s="83"/>
      <c r="Y99" s="363"/>
      <c r="AB99" s="300">
        <f t="shared" si="46"/>
        <v>1.0253649586106708</v>
      </c>
      <c r="AC99" s="300">
        <f t="shared" si="47"/>
        <v>1.056905337453766</v>
      </c>
      <c r="AD99" s="300">
        <f t="shared" si="37"/>
        <v>0.98999223054555441</v>
      </c>
      <c r="AE99" s="300">
        <f t="shared" si="48"/>
        <v>0.97996506598492528</v>
      </c>
      <c r="AF99" s="366">
        <f t="shared" si="49"/>
        <v>1.0253649586106708</v>
      </c>
      <c r="AG99" s="300">
        <f t="shared" si="50"/>
        <v>1.0303971062829926</v>
      </c>
      <c r="AH99" s="300">
        <f t="shared" si="43"/>
        <v>0.98999223054555441</v>
      </c>
      <c r="AI99" s="300">
        <f t="shared" si="51"/>
        <v>1.0051758709745855</v>
      </c>
    </row>
    <row r="100" spans="1:35">
      <c r="A100" s="198">
        <f t="shared" si="44"/>
        <v>1945</v>
      </c>
      <c r="B100" s="1162">
        <f>TableUK1!D101</f>
        <v>307.95528625954199</v>
      </c>
      <c r="C100" s="959">
        <f>TableUK1!E101</f>
        <v>1320.3266088136672</v>
      </c>
      <c r="D100" s="391">
        <f t="shared" si="45"/>
        <v>-2.0696825417502618E-2</v>
      </c>
      <c r="E100" s="390">
        <f t="shared" si="33"/>
        <v>2.8289149055380491E-2</v>
      </c>
      <c r="F100" s="308">
        <f t="shared" si="30"/>
        <v>4.2873971245971978</v>
      </c>
      <c r="G100" s="365">
        <f>TableUK12c!C116</f>
        <v>0.11918886851472332</v>
      </c>
      <c r="H100" s="365">
        <f t="shared" si="23"/>
        <v>4.6523078316923441E-2</v>
      </c>
      <c r="I100" s="365">
        <f t="shared" si="31"/>
        <v>0</v>
      </c>
      <c r="J100" s="391">
        <f t="shared" si="41"/>
        <v>-7.7386704306671161E-3</v>
      </c>
      <c r="K100" s="365">
        <f t="shared" si="34"/>
        <v>2.8289149055380491E-2</v>
      </c>
      <c r="L100" s="308">
        <f t="shared" si="32"/>
        <v>4.2873971245971978</v>
      </c>
      <c r="M100" s="365">
        <f>TableUK12c!D116</f>
        <v>6.9435912005175807E-2</v>
      </c>
      <c r="N100" s="365">
        <f t="shared" si="35"/>
        <v>2.5581480088720677E-2</v>
      </c>
      <c r="O100" s="365">
        <f t="shared" si="36"/>
        <v>0</v>
      </c>
      <c r="P100" s="365">
        <f t="shared" si="42"/>
        <v>1.2522555522268108E-2</v>
      </c>
      <c r="Q100" s="2093">
        <v>0</v>
      </c>
      <c r="R100" s="365"/>
      <c r="S100" s="365"/>
      <c r="T100" s="365"/>
      <c r="U100" s="365"/>
      <c r="V100" s="368"/>
      <c r="W100" s="83"/>
      <c r="X100" s="83"/>
      <c r="Y100" s="363"/>
      <c r="AB100" s="300">
        <f t="shared" si="46"/>
        <v>1.0282891490553805</v>
      </c>
      <c r="AC100" s="300">
        <f t="shared" si="47"/>
        <v>1.0465230783169235</v>
      </c>
      <c r="AD100" s="300">
        <f t="shared" si="37"/>
        <v>0.99023979767359538</v>
      </c>
      <c r="AE100" s="300">
        <f t="shared" si="48"/>
        <v>0.99226132956933288</v>
      </c>
      <c r="AF100" s="366">
        <f t="shared" si="49"/>
        <v>1.0282891490553805</v>
      </c>
      <c r="AG100" s="300">
        <f t="shared" si="50"/>
        <v>1.0255814800887206</v>
      </c>
      <c r="AH100" s="300">
        <f t="shared" si="43"/>
        <v>0.99023979767359538</v>
      </c>
      <c r="AI100" s="300">
        <f t="shared" si="51"/>
        <v>1.0125225555222681</v>
      </c>
    </row>
    <row r="101" spans="1:35">
      <c r="A101" s="198">
        <f t="shared" si="44"/>
        <v>1946</v>
      </c>
      <c r="B101" s="1162">
        <f>TableUK1!D102</f>
        <v>293.22404629629636</v>
      </c>
      <c r="C101" s="959">
        <f>TableUK1!E102</f>
        <v>1304.8619978718752</v>
      </c>
      <c r="D101" s="391">
        <f t="shared" si="45"/>
        <v>-4.7835645694454088E-2</v>
      </c>
      <c r="E101" s="390">
        <f t="shared" si="33"/>
        <v>-1.1712716261688572E-2</v>
      </c>
      <c r="F101" s="308">
        <f t="shared" si="30"/>
        <v>4.4500511276395844</v>
      </c>
      <c r="G101" s="365">
        <f>TableUK12c!C117</f>
        <v>7.6968147437946083E-2</v>
      </c>
      <c r="H101" s="365">
        <f t="shared" si="23"/>
        <v>2.7799820042544148E-2</v>
      </c>
      <c r="I101" s="365">
        <f t="shared" si="31"/>
        <v>0</v>
      </c>
      <c r="J101" s="391">
        <f t="shared" si="41"/>
        <v>-3.8443805431486844E-2</v>
      </c>
      <c r="K101" s="365">
        <f t="shared" si="34"/>
        <v>-1.1712716261688572E-2</v>
      </c>
      <c r="L101" s="308">
        <f t="shared" si="32"/>
        <v>4.4500511276395844</v>
      </c>
      <c r="M101" s="365">
        <f>TableUK12c!D117</f>
        <v>2.0702759801338948E-2</v>
      </c>
      <c r="N101" s="365">
        <f t="shared" si="35"/>
        <v>1.6195353494738215E-2</v>
      </c>
      <c r="O101" s="365">
        <f t="shared" si="36"/>
        <v>0</v>
      </c>
      <c r="P101" s="365">
        <f t="shared" si="42"/>
        <v>-2.7463292033809927E-2</v>
      </c>
      <c r="Q101" s="2093">
        <v>0</v>
      </c>
      <c r="R101" s="365"/>
      <c r="S101" s="365"/>
      <c r="T101" s="365"/>
      <c r="U101" s="365"/>
      <c r="V101" s="371"/>
      <c r="W101" s="83"/>
      <c r="X101" s="83"/>
      <c r="Y101" s="363"/>
      <c r="AB101" s="300">
        <f t="shared" si="46"/>
        <v>0.98828728373831143</v>
      </c>
      <c r="AC101" s="300">
        <f t="shared" si="47"/>
        <v>1.0277998200425442</v>
      </c>
      <c r="AD101" s="300">
        <f t="shared" si="37"/>
        <v>1</v>
      </c>
      <c r="AE101" s="300">
        <f t="shared" si="48"/>
        <v>0.96155619456851316</v>
      </c>
      <c r="AF101" s="366">
        <f t="shared" si="49"/>
        <v>0.98828728373831143</v>
      </c>
      <c r="AG101" s="300">
        <f t="shared" si="50"/>
        <v>1.0161953534947381</v>
      </c>
      <c r="AH101" s="300">
        <f t="shared" si="43"/>
        <v>1</v>
      </c>
      <c r="AI101" s="300">
        <f t="shared" si="51"/>
        <v>0.97253670796619007</v>
      </c>
    </row>
    <row r="102" spans="1:35">
      <c r="A102" s="198">
        <f t="shared" si="44"/>
        <v>1947</v>
      </c>
      <c r="B102" s="1162">
        <f>TableUK1!D103</f>
        <v>302.94789792387536</v>
      </c>
      <c r="C102" s="959">
        <f>TableUK1!E103</f>
        <v>1202.6938851388875</v>
      </c>
      <c r="D102" s="391">
        <f t="shared" si="45"/>
        <v>3.3161849276690081E-2</v>
      </c>
      <c r="E102" s="390">
        <f t="shared" si="33"/>
        <v>-7.8298021476306268E-2</v>
      </c>
      <c r="F102" s="308">
        <f t="shared" si="30"/>
        <v>3.9699694019368965</v>
      </c>
      <c r="G102" s="365">
        <f>TableUK12c!C118</f>
        <v>8.4994545274224113E-3</v>
      </c>
      <c r="H102" s="365">
        <f t="shared" si="23"/>
        <v>1.7296014187318309E-2</v>
      </c>
      <c r="I102" s="365">
        <f t="shared" si="31"/>
        <v>0</v>
      </c>
      <c r="J102" s="391">
        <f t="shared" si="41"/>
        <v>-9.3968750816340707E-2</v>
      </c>
      <c r="K102" s="365">
        <f t="shared" si="34"/>
        <v>-7.8298021476306268E-2</v>
      </c>
      <c r="L102" s="308">
        <f t="shared" si="32"/>
        <v>3.9699694019368965</v>
      </c>
      <c r="M102" s="365">
        <f>TableUK12c!D118</f>
        <v>-1.9408581542164762E-2</v>
      </c>
      <c r="N102" s="365">
        <f t="shared" si="35"/>
        <v>4.6522521219481347E-3</v>
      </c>
      <c r="O102" s="365">
        <f t="shared" si="36"/>
        <v>0</v>
      </c>
      <c r="P102" s="365">
        <f t="shared" si="42"/>
        <v>-8.2566155028322763E-2</v>
      </c>
      <c r="Q102" s="2093">
        <v>0</v>
      </c>
      <c r="R102" s="365"/>
      <c r="S102" s="365"/>
      <c r="T102" s="365"/>
      <c r="U102" s="365"/>
      <c r="V102" s="368"/>
      <c r="W102" s="83"/>
      <c r="X102" s="83"/>
      <c r="Y102" s="363"/>
      <c r="AB102" s="300">
        <f t="shared" si="46"/>
        <v>0.92170197852369373</v>
      </c>
      <c r="AC102" s="300">
        <f t="shared" si="47"/>
        <v>1.0172960141873184</v>
      </c>
      <c r="AD102" s="300">
        <f t="shared" si="37"/>
        <v>1</v>
      </c>
      <c r="AE102" s="300">
        <f t="shared" si="48"/>
        <v>0.90603124918365929</v>
      </c>
      <c r="AF102" s="366">
        <f t="shared" si="49"/>
        <v>0.92170197852369373</v>
      </c>
      <c r="AG102" s="300">
        <f t="shared" si="50"/>
        <v>1.0046522521219481</v>
      </c>
      <c r="AH102" s="300">
        <f t="shared" si="43"/>
        <v>1</v>
      </c>
      <c r="AI102" s="300">
        <f t="shared" si="51"/>
        <v>0.91743384497167724</v>
      </c>
    </row>
    <row r="103" spans="1:35">
      <c r="A103" s="436">
        <f t="shared" si="44"/>
        <v>1948</v>
      </c>
      <c r="B103" s="1164">
        <f>TableUK1!D104</f>
        <v>310.33750000000003</v>
      </c>
      <c r="C103" s="1174">
        <f>TableUK1!E104</f>
        <v>1130.9616299768522</v>
      </c>
      <c r="D103" s="1175">
        <f t="shared" si="45"/>
        <v>2.4392320021911829E-2</v>
      </c>
      <c r="E103" s="1183">
        <f t="shared" ref="E103:E125" si="52">(1+D103)*(F103/F102)-1</f>
        <v>-5.9642986505873519E-2</v>
      </c>
      <c r="F103" s="309">
        <f t="shared" ref="F103:F164" si="53">C103/B103</f>
        <v>3.6442957424637763</v>
      </c>
      <c r="G103" s="1188">
        <f>TableUK12c!C119</f>
        <v>1.4984297891431096E-2</v>
      </c>
      <c r="H103" s="1188">
        <f t="shared" ref="H103:H115" si="54">G102/F102</f>
        <v>2.1409370367629628E-3</v>
      </c>
      <c r="I103" s="1188">
        <f t="shared" si="31"/>
        <v>0</v>
      </c>
      <c r="J103" s="1175">
        <f t="shared" si="41"/>
        <v>-6.1651930640939323E-2</v>
      </c>
      <c r="K103" s="1188">
        <f t="shared" si="34"/>
        <v>-5.9642986505873519E-2</v>
      </c>
      <c r="L103" s="309">
        <f t="shared" ref="L103:L164" si="55">C103/B103</f>
        <v>3.6442957424637763</v>
      </c>
      <c r="M103" s="1188">
        <f>TableUK12c!D119</f>
        <v>-3.646044183326895E-2</v>
      </c>
      <c r="N103" s="1188">
        <f t="shared" ref="N103:N115" si="56">M102/L102</f>
        <v>-4.8888491515061971E-3</v>
      </c>
      <c r="O103" s="1188">
        <f t="shared" si="36"/>
        <v>0</v>
      </c>
      <c r="P103" s="1188">
        <f t="shared" si="42"/>
        <v>-5.502313717184304E-2</v>
      </c>
      <c r="Q103" s="2094">
        <v>0</v>
      </c>
      <c r="R103" s="1188"/>
      <c r="S103" s="1188"/>
      <c r="T103" s="365"/>
      <c r="U103" s="365"/>
      <c r="V103" s="367"/>
      <c r="W103" s="83"/>
      <c r="X103" s="83"/>
      <c r="Y103" s="363"/>
      <c r="AB103" s="300">
        <f t="shared" si="46"/>
        <v>0.94035701349412648</v>
      </c>
      <c r="AC103" s="300">
        <f t="shared" si="47"/>
        <v>1.0021409370367629</v>
      </c>
      <c r="AD103" s="300">
        <f t="shared" si="37"/>
        <v>1</v>
      </c>
      <c r="AE103" s="300">
        <f t="shared" si="48"/>
        <v>0.93834806935906068</v>
      </c>
      <c r="AF103" s="366">
        <f t="shared" si="49"/>
        <v>0.94035701349412648</v>
      </c>
      <c r="AG103" s="300">
        <f t="shared" si="50"/>
        <v>0.99511115084849378</v>
      </c>
      <c r="AH103" s="300">
        <f t="shared" si="43"/>
        <v>1</v>
      </c>
      <c r="AI103" s="300">
        <f t="shared" si="51"/>
        <v>0.94497686282815696</v>
      </c>
    </row>
    <row r="104" spans="1:35">
      <c r="A104" s="214">
        <v>1949</v>
      </c>
      <c r="B104" s="1163">
        <f>TableUK1!D105</f>
        <v>321.61884615384616</v>
      </c>
      <c r="C104" s="1171">
        <f>TableUK1!E105</f>
        <v>1138.8862560422599</v>
      </c>
      <c r="D104" s="1172">
        <f t="shared" si="45"/>
        <v>3.6351862581370797E-2</v>
      </c>
      <c r="E104" s="1181">
        <f t="shared" si="52"/>
        <v>7.006980480469327E-3</v>
      </c>
      <c r="F104" s="550">
        <f t="shared" si="53"/>
        <v>3.5411054720887667</v>
      </c>
      <c r="G104" s="1184">
        <f>TableUK12c!C120</f>
        <v>-1.4484110079236862E-3</v>
      </c>
      <c r="H104" s="1184">
        <f t="shared" si="54"/>
        <v>4.1117129207797927E-3</v>
      </c>
      <c r="I104" s="1184">
        <f t="shared" si="31"/>
        <v>0</v>
      </c>
      <c r="J104" s="1172">
        <f t="shared" si="41"/>
        <v>2.8834117981433316E-3</v>
      </c>
      <c r="K104" s="1184">
        <f t="shared" si="34"/>
        <v>7.006980480469327E-3</v>
      </c>
      <c r="L104" s="550">
        <f t="shared" si="55"/>
        <v>3.5411054720887667</v>
      </c>
      <c r="M104" s="1184">
        <f>TableUK12c!D120</f>
        <v>-3.4785427143609784E-2</v>
      </c>
      <c r="N104" s="1184">
        <f t="shared" si="56"/>
        <v>-1.0004797746908259E-2</v>
      </c>
      <c r="O104" s="1184">
        <f t="shared" si="36"/>
        <v>0</v>
      </c>
      <c r="P104" s="1184">
        <f t="shared" si="42"/>
        <v>1.718369764687866E-2</v>
      </c>
      <c r="Q104" s="2092">
        <v>0</v>
      </c>
      <c r="R104" s="365"/>
      <c r="S104" s="365"/>
      <c r="T104" s="365"/>
      <c r="U104" s="365"/>
      <c r="V104" s="367"/>
      <c r="W104" s="83"/>
      <c r="X104" s="83"/>
      <c r="Y104" s="363"/>
      <c r="AB104" s="300">
        <f t="shared" si="46"/>
        <v>1.0070069804804693</v>
      </c>
      <c r="AC104" s="300">
        <f t="shared" si="47"/>
        <v>1.0041117129207797</v>
      </c>
      <c r="AD104" s="300">
        <f t="shared" si="37"/>
        <v>1</v>
      </c>
      <c r="AE104" s="300">
        <f t="shared" si="48"/>
        <v>1.0028834117981433</v>
      </c>
      <c r="AF104" s="366">
        <f t="shared" si="49"/>
        <v>1.0070069804804693</v>
      </c>
      <c r="AG104" s="300">
        <f t="shared" si="50"/>
        <v>0.98999520225309179</v>
      </c>
      <c r="AH104" s="300">
        <f t="shared" si="43"/>
        <v>1</v>
      </c>
      <c r="AI104" s="300">
        <f t="shared" si="51"/>
        <v>1.0171836976468787</v>
      </c>
    </row>
    <row r="105" spans="1:35">
      <c r="A105" s="198">
        <v>1950</v>
      </c>
      <c r="B105" s="1162">
        <f>TableUK1!D106</f>
        <v>330.19387499999999</v>
      </c>
      <c r="C105" s="959">
        <f>TableUK1!E106</f>
        <v>1170.7100154571758</v>
      </c>
      <c r="D105" s="391">
        <f t="shared" si="45"/>
        <v>2.6662084478880299E-2</v>
      </c>
      <c r="E105" s="390">
        <f t="shared" si="52"/>
        <v>2.7942877742248573E-2</v>
      </c>
      <c r="F105" s="308">
        <f t="shared" si="53"/>
        <v>3.5455231126173246</v>
      </c>
      <c r="G105" s="365">
        <f>TableUK12c!C121</f>
        <v>5.4071503510612455E-3</v>
      </c>
      <c r="H105" s="365">
        <f t="shared" si="54"/>
        <v>-4.09027920614102E-4</v>
      </c>
      <c r="I105" s="365">
        <f t="shared" si="31"/>
        <v>0</v>
      </c>
      <c r="J105" s="391">
        <f t="shared" si="41"/>
        <v>2.8363507129205212E-2</v>
      </c>
      <c r="K105" s="365">
        <f t="shared" si="34"/>
        <v>2.7942877742248573E-2</v>
      </c>
      <c r="L105" s="308">
        <f t="shared" si="55"/>
        <v>3.5455231126173246</v>
      </c>
      <c r="M105" s="365">
        <f>TableUK12c!D121</f>
        <v>-2.8064848392822996E-2</v>
      </c>
      <c r="N105" s="365">
        <f t="shared" si="56"/>
        <v>-9.8233242183241587E-3</v>
      </c>
      <c r="O105" s="365">
        <f t="shared" si="36"/>
        <v>0</v>
      </c>
      <c r="P105" s="365">
        <f t="shared" si="42"/>
        <v>3.8140872113311408E-2</v>
      </c>
      <c r="Q105" s="2093">
        <v>0</v>
      </c>
      <c r="R105" s="365"/>
      <c r="S105" s="365"/>
      <c r="T105" s="365"/>
      <c r="U105" s="365"/>
      <c r="V105" s="367"/>
      <c r="W105" s="83"/>
      <c r="X105" s="83"/>
      <c r="Y105" s="363"/>
      <c r="AB105" s="300">
        <f t="shared" si="46"/>
        <v>1.0279428777422486</v>
      </c>
      <c r="AC105" s="300">
        <f t="shared" si="47"/>
        <v>0.99959097207938585</v>
      </c>
      <c r="AD105" s="300">
        <f t="shared" si="37"/>
        <v>1</v>
      </c>
      <c r="AE105" s="300">
        <f t="shared" si="48"/>
        <v>1.0283635071292052</v>
      </c>
      <c r="AF105" s="366">
        <f t="shared" si="49"/>
        <v>1.0279428777422486</v>
      </c>
      <c r="AG105" s="300">
        <f t="shared" si="50"/>
        <v>0.9901766757816759</v>
      </c>
      <c r="AH105" s="300">
        <f t="shared" si="43"/>
        <v>1</v>
      </c>
      <c r="AI105" s="300">
        <f t="shared" si="51"/>
        <v>1.0381408721133114</v>
      </c>
    </row>
    <row r="106" spans="1:35">
      <c r="A106" s="198">
        <f t="shared" ref="A106:A125" si="57">A105+1</f>
        <v>1951</v>
      </c>
      <c r="B106" s="1162">
        <f>TableUK1!D107</f>
        <v>337.43779069767447</v>
      </c>
      <c r="C106" s="959">
        <f>TableUK1!E107</f>
        <v>1136.114283570198</v>
      </c>
      <c r="D106" s="391">
        <f t="shared" si="45"/>
        <v>2.1938370897020665E-2</v>
      </c>
      <c r="E106" s="390">
        <f t="shared" si="52"/>
        <v>-2.9551068522692847E-2</v>
      </c>
      <c r="F106" s="308">
        <f t="shared" si="53"/>
        <v>3.3668851411728609</v>
      </c>
      <c r="G106" s="365">
        <f>TableUK12c!C122</f>
        <v>2.2383146807109979E-2</v>
      </c>
      <c r="H106" s="365">
        <f t="shared" si="54"/>
        <v>1.5250641948487138E-3</v>
      </c>
      <c r="I106" s="365">
        <f t="shared" si="31"/>
        <v>0</v>
      </c>
      <c r="J106" s="391">
        <f t="shared" si="41"/>
        <v>-3.1028811787675581E-2</v>
      </c>
      <c r="K106" s="365">
        <f t="shared" si="34"/>
        <v>-2.9551068522692847E-2</v>
      </c>
      <c r="L106" s="308">
        <f t="shared" si="55"/>
        <v>3.3668851411728609</v>
      </c>
      <c r="M106" s="365">
        <f>TableUK12c!D122</f>
        <v>-2.909560550267291E-2</v>
      </c>
      <c r="N106" s="365">
        <f t="shared" si="56"/>
        <v>-7.9155733868860254E-3</v>
      </c>
      <c r="O106" s="365">
        <f t="shared" si="36"/>
        <v>0</v>
      </c>
      <c r="P106" s="365">
        <f t="shared" si="42"/>
        <v>-2.1808118901400886E-2</v>
      </c>
      <c r="Q106" s="2093">
        <v>0</v>
      </c>
      <c r="R106" s="365"/>
      <c r="S106" s="365"/>
      <c r="T106" s="365"/>
      <c r="U106" s="365"/>
      <c r="V106" s="367"/>
      <c r="W106" s="83"/>
      <c r="X106" s="83"/>
      <c r="Y106" s="363"/>
      <c r="AB106" s="300">
        <f t="shared" si="46"/>
        <v>0.97044893147730715</v>
      </c>
      <c r="AC106" s="300">
        <f t="shared" si="47"/>
        <v>1.0015250641948488</v>
      </c>
      <c r="AD106" s="300">
        <f t="shared" si="37"/>
        <v>1</v>
      </c>
      <c r="AE106" s="300">
        <f t="shared" si="48"/>
        <v>0.96897118821232442</v>
      </c>
      <c r="AF106" s="366">
        <f t="shared" si="49"/>
        <v>0.97044893147730715</v>
      </c>
      <c r="AG106" s="300">
        <f t="shared" si="50"/>
        <v>0.99208442661311402</v>
      </c>
      <c r="AH106" s="300">
        <f t="shared" si="43"/>
        <v>1</v>
      </c>
      <c r="AI106" s="300">
        <f t="shared" si="51"/>
        <v>0.97819188109859911</v>
      </c>
    </row>
    <row r="107" spans="1:35">
      <c r="A107" s="198">
        <f t="shared" si="57"/>
        <v>1952</v>
      </c>
      <c r="B107" s="1162">
        <f>TableUK1!D108</f>
        <v>338.35282608695655</v>
      </c>
      <c r="C107" s="959">
        <f>TableUK1!E108</f>
        <v>1085.5902221366748</v>
      </c>
      <c r="D107" s="391">
        <f t="shared" si="45"/>
        <v>2.7117158021636723E-3</v>
      </c>
      <c r="E107" s="390">
        <f t="shared" si="52"/>
        <v>-4.4470932338561253E-2</v>
      </c>
      <c r="F107" s="308">
        <f t="shared" si="53"/>
        <v>3.2084561984940492</v>
      </c>
      <c r="G107" s="365">
        <f>TableUK12c!C123</f>
        <v>4.8586030664395236E-2</v>
      </c>
      <c r="H107" s="365">
        <f t="shared" si="54"/>
        <v>6.6480280343964356E-3</v>
      </c>
      <c r="I107" s="365">
        <f t="shared" si="31"/>
        <v>0</v>
      </c>
      <c r="J107" s="391">
        <f t="shared" si="41"/>
        <v>-5.0781364438545307E-2</v>
      </c>
      <c r="K107" s="365">
        <f t="shared" si="34"/>
        <v>-4.4470932338561253E-2</v>
      </c>
      <c r="L107" s="308">
        <f t="shared" si="55"/>
        <v>3.2084561984940492</v>
      </c>
      <c r="M107" s="365">
        <f>TableUK12c!D123</f>
        <v>-1.1210168218931411E-2</v>
      </c>
      <c r="N107" s="365">
        <f t="shared" si="56"/>
        <v>-8.6416982708645059E-3</v>
      </c>
      <c r="O107" s="365">
        <f t="shared" si="36"/>
        <v>0</v>
      </c>
      <c r="P107" s="365">
        <f t="shared" si="42"/>
        <v>-3.6141558511391003E-2</v>
      </c>
      <c r="Q107" s="2093">
        <v>0</v>
      </c>
      <c r="R107" s="365"/>
      <c r="S107" s="365"/>
      <c r="T107" s="365"/>
      <c r="U107" s="365"/>
      <c r="V107" s="367"/>
      <c r="W107" s="83"/>
      <c r="X107" s="83"/>
      <c r="Y107" s="363"/>
      <c r="AB107" s="300">
        <f t="shared" si="46"/>
        <v>0.95552906766143875</v>
      </c>
      <c r="AC107" s="300">
        <f t="shared" si="47"/>
        <v>1.0066480280343963</v>
      </c>
      <c r="AD107" s="300">
        <f t="shared" si="37"/>
        <v>1</v>
      </c>
      <c r="AE107" s="300">
        <f t="shared" si="48"/>
        <v>0.94921863556145469</v>
      </c>
      <c r="AF107" s="366">
        <f t="shared" si="49"/>
        <v>0.95552906766143875</v>
      </c>
      <c r="AG107" s="300">
        <f t="shared" si="50"/>
        <v>0.99135830172913553</v>
      </c>
      <c r="AH107" s="300">
        <f t="shared" si="43"/>
        <v>1</v>
      </c>
      <c r="AI107" s="300">
        <f t="shared" si="51"/>
        <v>0.963858441488609</v>
      </c>
    </row>
    <row r="108" spans="1:35">
      <c r="A108" s="198">
        <f t="shared" si="57"/>
        <v>1953</v>
      </c>
      <c r="B108" s="1162">
        <f>TableUK1!D109</f>
        <v>345.0241666666667</v>
      </c>
      <c r="C108" s="959">
        <f>TableUK1!E109</f>
        <v>1069.434996730324</v>
      </c>
      <c r="D108" s="391">
        <f t="shared" si="45"/>
        <v>1.9717112036166773E-2</v>
      </c>
      <c r="E108" s="390">
        <f t="shared" si="52"/>
        <v>-1.4881513371181376E-2</v>
      </c>
      <c r="F108" s="308">
        <f t="shared" si="53"/>
        <v>3.0995944633742774</v>
      </c>
      <c r="G108" s="365">
        <f>TableUK12c!C124</f>
        <v>6.8590230321437587E-2</v>
      </c>
      <c r="H108" s="365">
        <f t="shared" si="54"/>
        <v>1.5143117954111397E-2</v>
      </c>
      <c r="I108" s="365">
        <f t="shared" si="31"/>
        <v>0</v>
      </c>
      <c r="J108" s="391">
        <f t="shared" si="41"/>
        <v>-2.9576747154434369E-2</v>
      </c>
      <c r="K108" s="365">
        <f t="shared" ref="K108:K139" si="58">(1+D108)*(L108/L107)-1</f>
        <v>-1.4881513371181376E-2</v>
      </c>
      <c r="L108" s="308">
        <f t="shared" si="55"/>
        <v>3.0995944633742774</v>
      </c>
      <c r="M108" s="365">
        <f>TableUK12c!D124</f>
        <v>-8.1932669938973232E-4</v>
      </c>
      <c r="N108" s="365">
        <f t="shared" si="56"/>
        <v>-3.4939446030751858E-3</v>
      </c>
      <c r="O108" s="365">
        <f t="shared" si="36"/>
        <v>0</v>
      </c>
      <c r="P108" s="365">
        <f t="shared" si="42"/>
        <v>-1.1427495805402144E-2</v>
      </c>
      <c r="Q108" s="2093">
        <v>0</v>
      </c>
      <c r="R108" s="365"/>
      <c r="S108" s="365"/>
      <c r="T108" s="365"/>
      <c r="U108" s="365"/>
      <c r="V108" s="367"/>
      <c r="W108" s="83"/>
      <c r="X108" s="83"/>
      <c r="Y108" s="363"/>
      <c r="AB108" s="300">
        <f t="shared" si="46"/>
        <v>0.98511848662881862</v>
      </c>
      <c r="AC108" s="300">
        <f t="shared" si="47"/>
        <v>1.0151431179541115</v>
      </c>
      <c r="AD108" s="300">
        <f t="shared" si="37"/>
        <v>1</v>
      </c>
      <c r="AE108" s="300">
        <f t="shared" si="48"/>
        <v>0.97042325284556563</v>
      </c>
      <c r="AF108" s="366">
        <f t="shared" si="49"/>
        <v>0.98511848662881862</v>
      </c>
      <c r="AG108" s="300">
        <f t="shared" si="50"/>
        <v>0.99650605539692483</v>
      </c>
      <c r="AH108" s="300">
        <f t="shared" si="43"/>
        <v>1</v>
      </c>
      <c r="AI108" s="300">
        <f t="shared" si="51"/>
        <v>0.98857250419459786</v>
      </c>
    </row>
    <row r="109" spans="1:35">
      <c r="A109" s="436">
        <f t="shared" si="57"/>
        <v>1954</v>
      </c>
      <c r="B109" s="1164">
        <f>TableUK1!D110</f>
        <v>359.24540816326521</v>
      </c>
      <c r="C109" s="1174">
        <f>TableUK1!E110</f>
        <v>1097.8225235496975</v>
      </c>
      <c r="D109" s="1175">
        <f t="shared" si="45"/>
        <v>4.1218102586819239E-2</v>
      </c>
      <c r="E109" s="1183">
        <f t="shared" si="52"/>
        <v>2.6544415421381418E-2</v>
      </c>
      <c r="F109" s="309">
        <f t="shared" si="53"/>
        <v>3.0559124726537168</v>
      </c>
      <c r="G109" s="1188">
        <f>TableUK12c!C125</f>
        <v>6.2811206431099637E-2</v>
      </c>
      <c r="H109" s="1188">
        <f t="shared" si="54"/>
        <v>2.2128775596911138E-2</v>
      </c>
      <c r="I109" s="1188">
        <f t="shared" si="31"/>
        <v>0</v>
      </c>
      <c r="J109" s="1175">
        <f t="shared" si="41"/>
        <v>4.3200425718292745E-3</v>
      </c>
      <c r="K109" s="1188">
        <f t="shared" si="58"/>
        <v>2.6544415421381418E-2</v>
      </c>
      <c r="L109" s="309">
        <f t="shared" si="55"/>
        <v>3.0559124726537168</v>
      </c>
      <c r="M109" s="365">
        <f>TableUK12c!D125</f>
        <v>-9.1536965334071893E-3</v>
      </c>
      <c r="N109" s="1188">
        <f t="shared" si="56"/>
        <v>-2.6433351493917616E-4</v>
      </c>
      <c r="O109" s="1188">
        <f t="shared" si="36"/>
        <v>0</v>
      </c>
      <c r="P109" s="1188">
        <f t="shared" si="42"/>
        <v>2.6815837260839803E-2</v>
      </c>
      <c r="Q109" s="2094">
        <v>0</v>
      </c>
      <c r="R109" s="1188"/>
      <c r="S109" s="1188"/>
      <c r="T109" s="361"/>
      <c r="U109" s="361"/>
      <c r="V109" s="362"/>
      <c r="W109" s="83"/>
      <c r="X109" s="83"/>
      <c r="Y109" s="363"/>
      <c r="AB109" s="300">
        <f t="shared" si="46"/>
        <v>1.0265444154213814</v>
      </c>
      <c r="AC109" s="300">
        <f t="shared" si="47"/>
        <v>1.0221287755969111</v>
      </c>
      <c r="AD109" s="300">
        <f t="shared" si="37"/>
        <v>1</v>
      </c>
      <c r="AE109" s="300">
        <f t="shared" si="48"/>
        <v>1.0043200425718293</v>
      </c>
      <c r="AF109" s="366">
        <f t="shared" si="49"/>
        <v>1.0265444154213814</v>
      </c>
      <c r="AG109" s="300">
        <f t="shared" si="50"/>
        <v>0.99973566648506085</v>
      </c>
      <c r="AH109" s="300">
        <f t="shared" si="43"/>
        <v>1</v>
      </c>
      <c r="AI109" s="300">
        <f t="shared" si="51"/>
        <v>1.0268158372608398</v>
      </c>
    </row>
    <row r="110" spans="1:35">
      <c r="A110" s="198">
        <f t="shared" si="57"/>
        <v>1955</v>
      </c>
      <c r="B110" s="1162">
        <f>TableUK1!D111</f>
        <v>367.69656862745103</v>
      </c>
      <c r="C110" s="959">
        <f>TableUK1!E111</f>
        <v>1113.996898125454</v>
      </c>
      <c r="D110" s="391">
        <f t="shared" si="45"/>
        <v>2.3524755702222011E-2</v>
      </c>
      <c r="E110" s="390">
        <f t="shared" si="52"/>
        <v>1.4733141494909674E-2</v>
      </c>
      <c r="F110" s="308">
        <f t="shared" si="53"/>
        <v>3.0296635682073827</v>
      </c>
      <c r="G110" s="365">
        <f>TableUK12c!C126</f>
        <v>4.6067415730337097E-2</v>
      </c>
      <c r="H110" s="365">
        <f t="shared" si="54"/>
        <v>2.0553993935747496E-2</v>
      </c>
      <c r="I110" s="365">
        <f t="shared" si="31"/>
        <v>0</v>
      </c>
      <c r="J110" s="391">
        <f t="shared" si="41"/>
        <v>-5.7036202645093237E-3</v>
      </c>
      <c r="K110" s="365">
        <f t="shared" si="58"/>
        <v>1.4733141494909674E-2</v>
      </c>
      <c r="L110" s="308">
        <f t="shared" si="55"/>
        <v>3.0296635682073827</v>
      </c>
      <c r="M110" s="365">
        <f>TableUK12c!D126</f>
        <v>-6.2077911828826472E-3</v>
      </c>
      <c r="N110" s="365">
        <f t="shared" si="56"/>
        <v>-2.9954053381176298E-3</v>
      </c>
      <c r="O110" s="365">
        <f t="shared" si="36"/>
        <v>0</v>
      </c>
      <c r="P110" s="365">
        <f t="shared" si="42"/>
        <v>1.7781810563310074E-2</v>
      </c>
      <c r="Q110" s="2093">
        <v>0</v>
      </c>
      <c r="R110" s="365"/>
      <c r="S110" s="365"/>
      <c r="T110" s="365"/>
      <c r="U110" s="365"/>
      <c r="V110" s="367"/>
      <c r="W110" s="83"/>
      <c r="X110" s="83"/>
      <c r="Y110" s="363"/>
      <c r="AB110" s="300">
        <f t="shared" si="46"/>
        <v>1.0147331414949097</v>
      </c>
      <c r="AC110" s="300">
        <f t="shared" si="47"/>
        <v>1.0205539939357475</v>
      </c>
      <c r="AD110" s="300">
        <f t="shared" si="37"/>
        <v>1</v>
      </c>
      <c r="AE110" s="300">
        <f t="shared" si="48"/>
        <v>0.99429637973549068</v>
      </c>
      <c r="AF110" s="366">
        <f t="shared" si="49"/>
        <v>1.0147331414949097</v>
      </c>
      <c r="AG110" s="300">
        <f t="shared" si="50"/>
        <v>0.9970045946618824</v>
      </c>
      <c r="AH110" s="300">
        <f t="shared" si="43"/>
        <v>1</v>
      </c>
      <c r="AI110" s="300">
        <f t="shared" si="51"/>
        <v>1.0177818105633101</v>
      </c>
    </row>
    <row r="111" spans="1:35">
      <c r="A111" s="198">
        <f t="shared" si="57"/>
        <v>1956</v>
      </c>
      <c r="B111" s="1162">
        <f>TableUK1!D112</f>
        <v>372.23287037037039</v>
      </c>
      <c r="C111" s="959">
        <f>TableUK1!E112</f>
        <v>1103.566973036694</v>
      </c>
      <c r="D111" s="391">
        <f t="shared" si="45"/>
        <v>1.233707934738848E-2</v>
      </c>
      <c r="E111" s="390">
        <f t="shared" si="52"/>
        <v>-9.3626159159965194E-3</v>
      </c>
      <c r="F111" s="308">
        <f t="shared" si="53"/>
        <v>2.9647219815344323</v>
      </c>
      <c r="G111" s="365">
        <f>TableUK12c!C127</f>
        <v>7.6102788181439868E-2</v>
      </c>
      <c r="H111" s="365">
        <f t="shared" si="54"/>
        <v>1.5205455884197288E-2</v>
      </c>
      <c r="I111" s="365">
        <f t="shared" si="31"/>
        <v>0</v>
      </c>
      <c r="J111" s="391">
        <f t="shared" si="41"/>
        <v>-2.4200098273502779E-2</v>
      </c>
      <c r="K111" s="365">
        <f t="shared" si="58"/>
        <v>-9.3626159159965194E-3</v>
      </c>
      <c r="L111" s="308">
        <f t="shared" si="55"/>
        <v>2.9647219815344323</v>
      </c>
      <c r="M111" s="365">
        <f>TableUK12c!D127</f>
        <v>1.3230804741073906E-2</v>
      </c>
      <c r="N111" s="365">
        <f t="shared" si="56"/>
        <v>-2.0490034761700376E-3</v>
      </c>
      <c r="O111" s="365">
        <f t="shared" si="36"/>
        <v>0</v>
      </c>
      <c r="P111" s="365">
        <f t="shared" si="42"/>
        <v>-7.3286288257661258E-3</v>
      </c>
      <c r="Q111" s="2093">
        <v>0</v>
      </c>
      <c r="R111" s="365"/>
      <c r="S111" s="365"/>
      <c r="T111" s="365"/>
      <c r="U111" s="365"/>
      <c r="V111" s="367"/>
      <c r="W111" s="83"/>
      <c r="X111" s="83"/>
      <c r="Y111" s="363"/>
      <c r="AB111" s="300">
        <f t="shared" si="46"/>
        <v>0.99063738408400348</v>
      </c>
      <c r="AC111" s="300">
        <f t="shared" si="47"/>
        <v>1.0152054558841972</v>
      </c>
      <c r="AD111" s="300">
        <f t="shared" si="37"/>
        <v>1</v>
      </c>
      <c r="AE111" s="300">
        <f t="shared" si="48"/>
        <v>0.97579990172649722</v>
      </c>
      <c r="AF111" s="366">
        <f t="shared" si="49"/>
        <v>0.99063738408400348</v>
      </c>
      <c r="AG111" s="300">
        <f t="shared" si="50"/>
        <v>0.99795099652383001</v>
      </c>
      <c r="AH111" s="300">
        <f t="shared" si="43"/>
        <v>1</v>
      </c>
      <c r="AI111" s="300">
        <f t="shared" si="51"/>
        <v>0.99267137117423387</v>
      </c>
    </row>
    <row r="112" spans="1:35">
      <c r="A112" s="198">
        <f t="shared" si="57"/>
        <v>1957</v>
      </c>
      <c r="B112" s="1162">
        <f>TableUK1!D113</f>
        <v>376.85312500000003</v>
      </c>
      <c r="C112" s="959">
        <f>TableUK1!E113</f>
        <v>1116.9874349082343</v>
      </c>
      <c r="D112" s="391">
        <f t="shared" si="45"/>
        <v>1.2412269300753787E-2</v>
      </c>
      <c r="E112" s="390">
        <f t="shared" si="52"/>
        <v>1.2160985422217774E-2</v>
      </c>
      <c r="F112" s="308">
        <f t="shared" si="53"/>
        <v>2.9639861283045859</v>
      </c>
      <c r="G112" s="365">
        <f>TableUK12c!C128</f>
        <v>7.2621569690101986E-2</v>
      </c>
      <c r="H112" s="365">
        <f t="shared" si="54"/>
        <v>2.5669451859378675E-2</v>
      </c>
      <c r="I112" s="365">
        <f t="shared" si="31"/>
        <v>0</v>
      </c>
      <c r="J112" s="391">
        <f t="shared" si="41"/>
        <v>-1.3170389751466449E-2</v>
      </c>
      <c r="K112" s="365">
        <f t="shared" si="58"/>
        <v>1.2160985422217774E-2</v>
      </c>
      <c r="L112" s="308">
        <f t="shared" si="55"/>
        <v>2.9639861283045859</v>
      </c>
      <c r="M112" s="365">
        <f>TableUK12c!D128</f>
        <v>1.2627170452061701E-2</v>
      </c>
      <c r="N112" s="365">
        <f t="shared" si="56"/>
        <v>4.4627472064770546E-3</v>
      </c>
      <c r="O112" s="365">
        <f t="shared" si="36"/>
        <v>0</v>
      </c>
      <c r="P112" s="365">
        <f t="shared" si="42"/>
        <v>7.6640355624439938E-3</v>
      </c>
      <c r="Q112" s="2093">
        <v>0</v>
      </c>
      <c r="R112" s="365"/>
      <c r="S112" s="365"/>
      <c r="T112" s="365"/>
      <c r="U112" s="365"/>
      <c r="V112" s="367"/>
      <c r="W112" s="83"/>
      <c r="X112" s="83"/>
      <c r="Y112" s="363"/>
      <c r="AB112" s="300">
        <f t="shared" si="46"/>
        <v>1.0121609854222178</v>
      </c>
      <c r="AC112" s="300">
        <f t="shared" si="47"/>
        <v>1.0256694518593787</v>
      </c>
      <c r="AD112" s="300">
        <f t="shared" si="37"/>
        <v>1</v>
      </c>
      <c r="AE112" s="300">
        <f t="shared" si="48"/>
        <v>0.98682961024853355</v>
      </c>
      <c r="AF112" s="366">
        <f t="shared" si="49"/>
        <v>1.0121609854222178</v>
      </c>
      <c r="AG112" s="300">
        <f t="shared" si="50"/>
        <v>1.0044627472064771</v>
      </c>
      <c r="AH112" s="300">
        <f t="shared" si="43"/>
        <v>1</v>
      </c>
      <c r="AI112" s="300">
        <f t="shared" si="51"/>
        <v>1.007664035562444</v>
      </c>
    </row>
    <row r="113" spans="1:35">
      <c r="A113" s="198">
        <f t="shared" si="57"/>
        <v>1958</v>
      </c>
      <c r="B113" s="1162">
        <f>TableUK1!D114</f>
        <v>379.47913793103453</v>
      </c>
      <c r="C113" s="959">
        <f>TableUK1!E114</f>
        <v>1141.406744424489</v>
      </c>
      <c r="D113" s="391">
        <f t="shared" si="45"/>
        <v>6.9682663001255918E-3</v>
      </c>
      <c r="E113" s="390">
        <f t="shared" si="52"/>
        <v>2.1861758470238302E-2</v>
      </c>
      <c r="F113" s="308">
        <f t="shared" si="53"/>
        <v>3.0078247532857132</v>
      </c>
      <c r="G113" s="365">
        <f>TableUK12c!C129</f>
        <v>6.438336723591466E-2</v>
      </c>
      <c r="H113" s="365">
        <f t="shared" si="54"/>
        <v>2.4501319016510332E-2</v>
      </c>
      <c r="I113" s="365">
        <f t="shared" si="31"/>
        <v>0</v>
      </c>
      <c r="J113" s="391">
        <f t="shared" si="41"/>
        <v>-2.5764345025988122E-3</v>
      </c>
      <c r="K113" s="365">
        <f t="shared" si="58"/>
        <v>2.1861758470238302E-2</v>
      </c>
      <c r="L113" s="308">
        <f t="shared" si="55"/>
        <v>3.0078247532857132</v>
      </c>
      <c r="M113" s="365">
        <f>TableUK12c!D129</f>
        <v>4.973352309420153E-3</v>
      </c>
      <c r="N113" s="365">
        <f t="shared" si="56"/>
        <v>4.260198902916088E-3</v>
      </c>
      <c r="O113" s="365">
        <f t="shared" si="36"/>
        <v>0</v>
      </c>
      <c r="P113" s="365">
        <f t="shared" si="42"/>
        <v>1.7526891523283128E-2</v>
      </c>
      <c r="Q113" s="2093">
        <v>0</v>
      </c>
      <c r="R113" s="365"/>
      <c r="S113" s="365"/>
      <c r="T113" s="365"/>
      <c r="U113" s="365"/>
      <c r="V113" s="367"/>
      <c r="W113" s="83"/>
      <c r="X113" s="83"/>
      <c r="Y113" s="363"/>
      <c r="AB113" s="300">
        <f t="shared" si="46"/>
        <v>1.0218617584702383</v>
      </c>
      <c r="AC113" s="300">
        <f t="shared" si="47"/>
        <v>1.0245013190165104</v>
      </c>
      <c r="AD113" s="300">
        <f t="shared" si="37"/>
        <v>1</v>
      </c>
      <c r="AE113" s="300">
        <f t="shared" si="48"/>
        <v>0.99742356549740119</v>
      </c>
      <c r="AF113" s="366">
        <f t="shared" si="49"/>
        <v>1.0218617584702383</v>
      </c>
      <c r="AG113" s="300">
        <f t="shared" si="50"/>
        <v>1.0042601989029161</v>
      </c>
      <c r="AH113" s="300">
        <f t="shared" si="43"/>
        <v>1</v>
      </c>
      <c r="AI113" s="300">
        <f t="shared" si="51"/>
        <v>1.0175268915232831</v>
      </c>
    </row>
    <row r="114" spans="1:35">
      <c r="A114" s="214">
        <f t="shared" si="57"/>
        <v>1959</v>
      </c>
      <c r="B114" s="1163">
        <f>TableUK1!D115</f>
        <v>394.7974576271186</v>
      </c>
      <c r="C114" s="1171">
        <f>TableUK1!E115</f>
        <v>1198.7309175925925</v>
      </c>
      <c r="D114" s="1172">
        <f t="shared" si="45"/>
        <v>4.0366697836411669E-2</v>
      </c>
      <c r="E114" s="1181">
        <f t="shared" si="52"/>
        <v>5.0222388686696373E-2</v>
      </c>
      <c r="F114" s="550">
        <f t="shared" si="53"/>
        <v>3.03631873618796</v>
      </c>
      <c r="G114" s="1184">
        <f>TableUK12c!C130</f>
        <v>6.6951246910806506E-2</v>
      </c>
      <c r="H114" s="1184">
        <f t="shared" si="54"/>
        <v>2.1405292035575878E-2</v>
      </c>
      <c r="I114" s="1184">
        <f t="shared" si="31"/>
        <v>0</v>
      </c>
      <c r="J114" s="1172">
        <f t="shared" si="41"/>
        <v>2.821318518302407E-2</v>
      </c>
      <c r="K114" s="1184">
        <f t="shared" si="58"/>
        <v>5.0222388686696373E-2</v>
      </c>
      <c r="L114" s="550">
        <f t="shared" si="55"/>
        <v>3.03631873618796</v>
      </c>
      <c r="M114" s="1184">
        <f>TableUK12c!D130</f>
        <v>7.5572683058072743E-4</v>
      </c>
      <c r="N114" s="1184">
        <f t="shared" si="56"/>
        <v>1.6534714344601761E-3</v>
      </c>
      <c r="O114" s="1184">
        <f t="shared" si="36"/>
        <v>0</v>
      </c>
      <c r="P114" s="1184">
        <f t="shared" si="42"/>
        <v>4.8488742501616722E-2</v>
      </c>
      <c r="Q114" s="2092">
        <v>0</v>
      </c>
      <c r="R114" s="365"/>
      <c r="S114" s="365"/>
      <c r="T114" s="365"/>
      <c r="U114" s="365"/>
      <c r="V114" s="367"/>
      <c r="W114" s="83"/>
      <c r="X114" s="83"/>
      <c r="Y114" s="363"/>
      <c r="AB114" s="300">
        <f t="shared" si="46"/>
        <v>1.0502223886866964</v>
      </c>
      <c r="AC114" s="300">
        <f t="shared" si="47"/>
        <v>1.0214052920355758</v>
      </c>
      <c r="AD114" s="300">
        <f t="shared" si="37"/>
        <v>1</v>
      </c>
      <c r="AE114" s="300">
        <f t="shared" si="48"/>
        <v>1.0282131851830241</v>
      </c>
      <c r="AF114" s="366">
        <f t="shared" si="49"/>
        <v>1.0502223886866964</v>
      </c>
      <c r="AG114" s="300">
        <f t="shared" si="50"/>
        <v>1.0016534714344603</v>
      </c>
      <c r="AH114" s="300">
        <f t="shared" si="43"/>
        <v>1</v>
      </c>
      <c r="AI114" s="300">
        <f t="shared" si="51"/>
        <v>1.0484887425016167</v>
      </c>
    </row>
    <row r="115" spans="1:35">
      <c r="A115" s="198">
        <f t="shared" si="57"/>
        <v>1960</v>
      </c>
      <c r="B115" s="1162">
        <f>TableUK1!D116</f>
        <v>419.81133333333332</v>
      </c>
      <c r="C115" s="959">
        <f>TableUK1!E116</f>
        <v>1273.3941533873458</v>
      </c>
      <c r="D115" s="391">
        <f t="shared" si="45"/>
        <v>6.3358755794825861E-2</v>
      </c>
      <c r="E115" s="390">
        <f t="shared" si="52"/>
        <v>6.2285234074632267E-2</v>
      </c>
      <c r="F115" s="308">
        <f t="shared" si="53"/>
        <v>3.0332533980836134</v>
      </c>
      <c r="G115" s="365">
        <f>TableUK12c!C131</f>
        <v>8.3712233884332604E-2</v>
      </c>
      <c r="H115" s="365">
        <f t="shared" si="54"/>
        <v>2.2050137922892284E-2</v>
      </c>
      <c r="I115" s="365">
        <f t="shared" si="31"/>
        <v>0</v>
      </c>
      <c r="J115" s="391">
        <f t="shared" si="41"/>
        <v>3.9367047328528804E-2</v>
      </c>
      <c r="K115" s="365">
        <f t="shared" si="58"/>
        <v>6.2285234074632267E-2</v>
      </c>
      <c r="L115" s="308">
        <f t="shared" si="55"/>
        <v>3.0332533980836134</v>
      </c>
      <c r="M115" s="365">
        <f>TableUK12c!D131</f>
        <v>8.7512400627560889E-3</v>
      </c>
      <c r="N115" s="365">
        <f t="shared" si="56"/>
        <v>2.4889575049341758E-4</v>
      </c>
      <c r="O115" s="365">
        <f t="shared" si="36"/>
        <v>0</v>
      </c>
      <c r="P115" s="365">
        <f t="shared" si="42"/>
        <v>6.2020901585292609E-2</v>
      </c>
      <c r="Q115" s="2093">
        <v>0</v>
      </c>
      <c r="R115" s="365"/>
      <c r="S115" s="365"/>
      <c r="T115" s="365"/>
      <c r="U115" s="365"/>
      <c r="V115" s="367"/>
      <c r="W115" s="83"/>
      <c r="X115" s="83"/>
      <c r="Y115" s="363"/>
      <c r="AB115" s="300">
        <f t="shared" si="46"/>
        <v>1.0622852340746323</v>
      </c>
      <c r="AC115" s="300">
        <f t="shared" si="47"/>
        <v>1.0220501379228923</v>
      </c>
      <c r="AD115" s="300">
        <f t="shared" si="37"/>
        <v>1</v>
      </c>
      <c r="AE115" s="300">
        <f t="shared" si="48"/>
        <v>1.0393670473285288</v>
      </c>
      <c r="AF115" s="366">
        <f t="shared" si="49"/>
        <v>1.0622852340746323</v>
      </c>
      <c r="AG115" s="300">
        <f t="shared" si="50"/>
        <v>1.0002488957504934</v>
      </c>
      <c r="AH115" s="300">
        <f t="shared" si="43"/>
        <v>1</v>
      </c>
      <c r="AI115" s="300">
        <f t="shared" si="51"/>
        <v>1.0620209015852926</v>
      </c>
    </row>
    <row r="116" spans="1:35">
      <c r="A116" s="198">
        <f t="shared" si="57"/>
        <v>1961</v>
      </c>
      <c r="B116" s="1162">
        <f>TableUK1!D117</f>
        <v>435.95344262295083</v>
      </c>
      <c r="C116" s="959">
        <f>TableUK1!E117</f>
        <v>1345.8312368082418</v>
      </c>
      <c r="D116" s="391">
        <f t="shared" ref="D116:D147" si="59">B116/B115-1</f>
        <v>3.845086591981195E-2</v>
      </c>
      <c r="E116" s="390">
        <f t="shared" si="52"/>
        <v>5.6885044766545212E-2</v>
      </c>
      <c r="F116" s="308">
        <f t="shared" si="53"/>
        <v>3.0870985413280239</v>
      </c>
      <c r="G116" s="365">
        <f>TableUK12c!C132</f>
        <v>8.5380958088617204E-2</v>
      </c>
      <c r="H116" s="365">
        <f t="shared" ref="H116:H147" si="60">G115/F115</f>
        <v>2.7598167016715899E-2</v>
      </c>
      <c r="I116" s="365">
        <f t="shared" si="31"/>
        <v>0</v>
      </c>
      <c r="J116" s="391">
        <f t="shared" si="41"/>
        <v>2.8500321127327366E-2</v>
      </c>
      <c r="K116" s="365">
        <f t="shared" si="58"/>
        <v>5.6885044766545212E-2</v>
      </c>
      <c r="L116" s="308">
        <f t="shared" si="55"/>
        <v>3.0870985413280239</v>
      </c>
      <c r="M116" s="365">
        <f>TableUK12c!D132</f>
        <v>1.6738160555529145E-2</v>
      </c>
      <c r="N116" s="365">
        <f t="shared" ref="N116:N147" si="61">M115/L115</f>
        <v>2.885100225482334E-3</v>
      </c>
      <c r="O116" s="365">
        <f t="shared" si="36"/>
        <v>0</v>
      </c>
      <c r="P116" s="365">
        <f t="shared" si="42"/>
        <v>5.3844597480730227E-2</v>
      </c>
      <c r="Q116" s="2093">
        <v>0</v>
      </c>
      <c r="R116" s="365"/>
      <c r="S116" s="365"/>
      <c r="T116" s="365"/>
      <c r="U116" s="365"/>
      <c r="V116" s="367"/>
      <c r="W116" s="83"/>
      <c r="X116" s="83"/>
      <c r="Y116" s="363"/>
      <c r="AB116" s="300">
        <f t="shared" ref="AB116:AB147" si="62">1+E116</f>
        <v>1.0568850447665452</v>
      </c>
      <c r="AC116" s="300">
        <f t="shared" ref="AC116:AC147" si="63">1+H116</f>
        <v>1.0275981670167158</v>
      </c>
      <c r="AD116" s="300">
        <f t="shared" si="37"/>
        <v>1</v>
      </c>
      <c r="AE116" s="300">
        <f t="shared" ref="AE116:AE147" si="64">1+J116</f>
        <v>1.0285003211273274</v>
      </c>
      <c r="AF116" s="366">
        <f t="shared" ref="AF116:AF147" si="65">1+K116</f>
        <v>1.0568850447665452</v>
      </c>
      <c r="AG116" s="300">
        <f t="shared" ref="AG116:AG147" si="66">1+N116</f>
        <v>1.0028851002254824</v>
      </c>
      <c r="AH116" s="300">
        <f t="shared" si="43"/>
        <v>1</v>
      </c>
      <c r="AI116" s="300">
        <f t="shared" ref="AI116:AI147" si="67">1+P116</f>
        <v>1.0538445974807302</v>
      </c>
    </row>
    <row r="117" spans="1:35">
      <c r="A117" s="198">
        <f t="shared" si="57"/>
        <v>1962</v>
      </c>
      <c r="B117" s="1162">
        <f>TableUK1!D118</f>
        <v>438.47546874999995</v>
      </c>
      <c r="C117" s="959">
        <f>TableUK1!E118</f>
        <v>1383.2315848731519</v>
      </c>
      <c r="D117" s="391">
        <f t="shared" si="59"/>
        <v>5.7850813423450109E-3</v>
      </c>
      <c r="E117" s="390">
        <f t="shared" si="52"/>
        <v>2.7789775598914046E-2</v>
      </c>
      <c r="F117" s="308">
        <f t="shared" si="53"/>
        <v>3.1546384768490014</v>
      </c>
      <c r="G117" s="365">
        <f>TableUK12c!C133</f>
        <v>6.2266453138107219E-2</v>
      </c>
      <c r="H117" s="365">
        <f t="shared" si="60"/>
        <v>2.7657347812385536E-2</v>
      </c>
      <c r="I117" s="365">
        <f t="shared" si="31"/>
        <v>0</v>
      </c>
      <c r="J117" s="391">
        <f t="shared" si="41"/>
        <v>1.2886375678666795E-4</v>
      </c>
      <c r="K117" s="365">
        <f t="shared" si="58"/>
        <v>2.7789775598914046E-2</v>
      </c>
      <c r="L117" s="308">
        <f t="shared" si="55"/>
        <v>3.1546384768490014</v>
      </c>
      <c r="M117" s="365">
        <f>TableUK12c!D133</f>
        <v>7.0376983158547297E-3</v>
      </c>
      <c r="N117" s="365">
        <f t="shared" si="61"/>
        <v>5.4219715799316975E-3</v>
      </c>
      <c r="O117" s="365">
        <f t="shared" si="36"/>
        <v>0</v>
      </c>
      <c r="P117" s="365">
        <f t="shared" si="42"/>
        <v>2.2247180438908831E-2</v>
      </c>
      <c r="Q117" s="2093">
        <v>0</v>
      </c>
      <c r="R117" s="365"/>
      <c r="S117" s="365"/>
      <c r="T117" s="365"/>
      <c r="U117" s="365"/>
      <c r="V117" s="367"/>
      <c r="W117" s="83"/>
      <c r="X117" s="83"/>
      <c r="Y117" s="363"/>
      <c r="AB117" s="300">
        <f t="shared" si="62"/>
        <v>1.027789775598914</v>
      </c>
      <c r="AC117" s="300">
        <f t="shared" si="63"/>
        <v>1.0276573478123856</v>
      </c>
      <c r="AD117" s="300">
        <f t="shared" si="37"/>
        <v>1</v>
      </c>
      <c r="AE117" s="300">
        <f t="shared" si="64"/>
        <v>1.0001288637567867</v>
      </c>
      <c r="AF117" s="366">
        <f t="shared" si="65"/>
        <v>1.027789775598914</v>
      </c>
      <c r="AG117" s="300">
        <f t="shared" si="66"/>
        <v>1.0054219715799317</v>
      </c>
      <c r="AH117" s="300">
        <f t="shared" si="43"/>
        <v>1</v>
      </c>
      <c r="AI117" s="300">
        <f t="shared" si="67"/>
        <v>1.0222471804389088</v>
      </c>
    </row>
    <row r="118" spans="1:35">
      <c r="A118" s="198">
        <f t="shared" si="57"/>
        <v>1963</v>
      </c>
      <c r="B118" s="1162">
        <f>TableUK1!D119</f>
        <v>450.18599999999998</v>
      </c>
      <c r="C118" s="959">
        <f>TableUK1!E119</f>
        <v>1494.2020721526833</v>
      </c>
      <c r="D118" s="391">
        <f t="shared" si="59"/>
        <v>2.6707380650927259E-2</v>
      </c>
      <c r="E118" s="390">
        <f t="shared" si="52"/>
        <v>8.0225530195442873E-2</v>
      </c>
      <c r="F118" s="308">
        <f t="shared" si="53"/>
        <v>3.3190771640003982</v>
      </c>
      <c r="G118" s="365">
        <f>TableUK12c!C134</f>
        <v>7.3647168659556922E-2</v>
      </c>
      <c r="H118" s="365">
        <f t="shared" si="60"/>
        <v>1.9738063044327611E-2</v>
      </c>
      <c r="I118" s="365">
        <f t="shared" si="31"/>
        <v>0</v>
      </c>
      <c r="J118" s="391">
        <f t="shared" si="41"/>
        <v>5.9316670960124718E-2</v>
      </c>
      <c r="K118" s="365">
        <f t="shared" si="58"/>
        <v>8.0225530195442873E-2</v>
      </c>
      <c r="L118" s="308">
        <f t="shared" si="55"/>
        <v>3.3190771640003982</v>
      </c>
      <c r="M118" s="365">
        <f>TableUK12c!D134</f>
        <v>2.2334733742683764E-2</v>
      </c>
      <c r="N118" s="365">
        <f t="shared" si="61"/>
        <v>2.2309048620000058E-3</v>
      </c>
      <c r="O118" s="365">
        <f t="shared" si="36"/>
        <v>0</v>
      </c>
      <c r="P118" s="365">
        <f t="shared" si="42"/>
        <v>7.7821014054822335E-2</v>
      </c>
      <c r="Q118" s="2093">
        <v>0</v>
      </c>
      <c r="R118" s="365"/>
      <c r="S118" s="365"/>
      <c r="T118" s="365"/>
      <c r="U118" s="365"/>
      <c r="V118" s="367"/>
      <c r="W118" s="83"/>
      <c r="X118" s="83"/>
      <c r="Y118" s="363"/>
      <c r="AB118" s="300">
        <f t="shared" si="62"/>
        <v>1.0802255301954429</v>
      </c>
      <c r="AC118" s="300">
        <f t="shared" si="63"/>
        <v>1.0197380630443276</v>
      </c>
      <c r="AD118" s="300">
        <f t="shared" si="37"/>
        <v>1</v>
      </c>
      <c r="AE118" s="300">
        <f t="shared" si="64"/>
        <v>1.0593166709601247</v>
      </c>
      <c r="AF118" s="366">
        <f t="shared" si="65"/>
        <v>1.0802255301954429</v>
      </c>
      <c r="AG118" s="300">
        <f t="shared" si="66"/>
        <v>1.0022309048619999</v>
      </c>
      <c r="AH118" s="300">
        <f t="shared" si="43"/>
        <v>1</v>
      </c>
      <c r="AI118" s="300">
        <f t="shared" si="67"/>
        <v>1.0778210140548223</v>
      </c>
    </row>
    <row r="119" spans="1:35">
      <c r="A119" s="198">
        <f t="shared" si="57"/>
        <v>1964</v>
      </c>
      <c r="B119" s="1162">
        <f>TableUK1!D120</f>
        <v>476.13007462686568</v>
      </c>
      <c r="C119" s="959">
        <f>TableUK1!E120</f>
        <v>1529.8583413253948</v>
      </c>
      <c r="D119" s="391">
        <f t="shared" si="59"/>
        <v>5.7629678903532433E-2</v>
      </c>
      <c r="E119" s="390">
        <f t="shared" si="52"/>
        <v>2.3863083740301327E-2</v>
      </c>
      <c r="F119" s="308">
        <f t="shared" si="53"/>
        <v>3.2131100782161606</v>
      </c>
      <c r="G119" s="365">
        <f>TableUK12c!C135</f>
        <v>8.2057865113064066E-2</v>
      </c>
      <c r="H119" s="365">
        <f t="shared" si="60"/>
        <v>2.2189049853481527E-2</v>
      </c>
      <c r="I119" s="365">
        <f t="shared" si="31"/>
        <v>0</v>
      </c>
      <c r="J119" s="391">
        <f t="shared" si="41"/>
        <v>1.6376949910192895E-3</v>
      </c>
      <c r="K119" s="365">
        <f t="shared" si="58"/>
        <v>2.3863083740301327E-2</v>
      </c>
      <c r="L119" s="308">
        <f t="shared" si="55"/>
        <v>3.2131100782161606</v>
      </c>
      <c r="M119" s="365">
        <f>TableUK12c!D135</f>
        <v>3.0512491359731397E-2</v>
      </c>
      <c r="N119" s="365">
        <f t="shared" si="61"/>
        <v>6.7291999068091217E-3</v>
      </c>
      <c r="O119" s="365">
        <f t="shared" si="36"/>
        <v>0</v>
      </c>
      <c r="P119" s="365">
        <f t="shared" si="42"/>
        <v>1.7019357176764505E-2</v>
      </c>
      <c r="Q119" s="2093">
        <v>0</v>
      </c>
      <c r="R119" s="365"/>
      <c r="S119" s="365"/>
      <c r="T119" s="365"/>
      <c r="U119" s="365"/>
      <c r="V119" s="367"/>
      <c r="W119" s="83"/>
      <c r="X119" s="83"/>
      <c r="Y119" s="363"/>
      <c r="AB119" s="300">
        <f t="shared" si="62"/>
        <v>1.0238630837403013</v>
      </c>
      <c r="AC119" s="300">
        <f t="shared" si="63"/>
        <v>1.0221890498534816</v>
      </c>
      <c r="AD119" s="300">
        <f t="shared" si="37"/>
        <v>1</v>
      </c>
      <c r="AE119" s="300">
        <f t="shared" si="64"/>
        <v>1.0016376949910193</v>
      </c>
      <c r="AF119" s="366">
        <f t="shared" si="65"/>
        <v>1.0238630837403013</v>
      </c>
      <c r="AG119" s="300">
        <f t="shared" si="66"/>
        <v>1.0067291999068091</v>
      </c>
      <c r="AH119" s="300">
        <f t="shared" si="43"/>
        <v>1</v>
      </c>
      <c r="AI119" s="300">
        <f t="shared" si="67"/>
        <v>1.0170193571767645</v>
      </c>
    </row>
    <row r="120" spans="1:35">
      <c r="A120" s="198">
        <f t="shared" si="57"/>
        <v>1965</v>
      </c>
      <c r="B120" s="1162">
        <f>TableUK1!D121</f>
        <v>485.79253521126765</v>
      </c>
      <c r="C120" s="959">
        <f>TableUK1!E121</f>
        <v>1496.7521703287282</v>
      </c>
      <c r="D120" s="391">
        <f t="shared" si="59"/>
        <v>2.0293741352033434E-2</v>
      </c>
      <c r="E120" s="390">
        <f t="shared" si="52"/>
        <v>-2.1640023852133261E-2</v>
      </c>
      <c r="F120" s="308">
        <f t="shared" si="53"/>
        <v>3.08105222258675</v>
      </c>
      <c r="G120" s="365">
        <f>TableUK12c!C136</f>
        <v>8.1673124447020753E-2</v>
      </c>
      <c r="H120" s="365">
        <f t="shared" si="60"/>
        <v>2.5538454368367165E-2</v>
      </c>
      <c r="I120" s="365">
        <f t="shared" si="31"/>
        <v>0</v>
      </c>
      <c r="J120" s="391">
        <f t="shared" si="41"/>
        <v>-4.6003616948286807E-2</v>
      </c>
      <c r="K120" s="365">
        <f t="shared" si="58"/>
        <v>-2.1640023852133261E-2</v>
      </c>
      <c r="L120" s="308">
        <f t="shared" si="55"/>
        <v>3.08105222258675</v>
      </c>
      <c r="M120" s="365">
        <f>TableUK12c!D136</f>
        <v>3.2538060225157872E-2</v>
      </c>
      <c r="N120" s="365">
        <f t="shared" si="61"/>
        <v>9.4962483752412171E-3</v>
      </c>
      <c r="O120" s="365">
        <f t="shared" si="36"/>
        <v>0</v>
      </c>
      <c r="P120" s="365">
        <f t="shared" si="42"/>
        <v>-3.084337586938779E-2</v>
      </c>
      <c r="Q120" s="2093">
        <v>0</v>
      </c>
      <c r="R120" s="365"/>
      <c r="S120" s="365"/>
      <c r="T120" s="365"/>
      <c r="U120" s="365"/>
      <c r="V120" s="367"/>
      <c r="W120" s="83"/>
      <c r="X120" s="83"/>
      <c r="Y120" s="363"/>
      <c r="AB120" s="300">
        <f t="shared" si="62"/>
        <v>0.97835997614786674</v>
      </c>
      <c r="AC120" s="300">
        <f t="shared" si="63"/>
        <v>1.0255384543683672</v>
      </c>
      <c r="AD120" s="300">
        <f t="shared" si="37"/>
        <v>1</v>
      </c>
      <c r="AE120" s="300">
        <f t="shared" si="64"/>
        <v>0.95399638305171319</v>
      </c>
      <c r="AF120" s="366">
        <f t="shared" si="65"/>
        <v>0.97835997614786674</v>
      </c>
      <c r="AG120" s="300">
        <f t="shared" si="66"/>
        <v>1.0094962483752412</v>
      </c>
      <c r="AH120" s="300">
        <f t="shared" si="43"/>
        <v>1</v>
      </c>
      <c r="AI120" s="300">
        <f t="shared" si="67"/>
        <v>0.96915662413061221</v>
      </c>
    </row>
    <row r="121" spans="1:35">
      <c r="A121" s="198">
        <f t="shared" si="57"/>
        <v>1966</v>
      </c>
      <c r="B121" s="1162">
        <f>TableUK1!D122</f>
        <v>493.02817567567558</v>
      </c>
      <c r="C121" s="959">
        <f>TableUK1!E122</f>
        <v>1533.8197362290573</v>
      </c>
      <c r="D121" s="391">
        <f t="shared" si="59"/>
        <v>1.4894507304977767E-2</v>
      </c>
      <c r="E121" s="390">
        <f t="shared" si="52"/>
        <v>2.4765332989086453E-2</v>
      </c>
      <c r="F121" s="308">
        <f t="shared" si="53"/>
        <v>3.111018420249549</v>
      </c>
      <c r="G121" s="365">
        <f>TableUK12c!C137</f>
        <v>7.1522912599058186E-2</v>
      </c>
      <c r="H121" s="365">
        <f t="shared" si="60"/>
        <v>2.650819218456826E-2</v>
      </c>
      <c r="I121" s="365">
        <f t="shared" si="31"/>
        <v>0</v>
      </c>
      <c r="J121" s="391">
        <f t="shared" si="41"/>
        <v>-1.6978522029841292E-3</v>
      </c>
      <c r="K121" s="365">
        <f t="shared" si="58"/>
        <v>2.4765332989086453E-2</v>
      </c>
      <c r="L121" s="308">
        <f t="shared" si="55"/>
        <v>3.111018420249549</v>
      </c>
      <c r="M121" s="365">
        <f>TableUK12c!D137</f>
        <v>3.6106006661306977E-2</v>
      </c>
      <c r="N121" s="365">
        <f t="shared" si="61"/>
        <v>1.0560697409354518E-2</v>
      </c>
      <c r="O121" s="365">
        <f t="shared" si="36"/>
        <v>0</v>
      </c>
      <c r="P121" s="365">
        <f t="shared" si="42"/>
        <v>1.405619238522382E-2</v>
      </c>
      <c r="Q121" s="2093">
        <v>0</v>
      </c>
      <c r="R121" s="365"/>
      <c r="S121" s="365"/>
      <c r="T121" s="365"/>
      <c r="U121" s="365"/>
      <c r="V121" s="367"/>
      <c r="W121" s="83"/>
      <c r="X121" s="83"/>
      <c r="Y121" s="363"/>
      <c r="AB121" s="300">
        <f t="shared" si="62"/>
        <v>1.0247653329890865</v>
      </c>
      <c r="AC121" s="300">
        <f t="shared" si="63"/>
        <v>1.0265081921845682</v>
      </c>
      <c r="AD121" s="300">
        <f t="shared" si="37"/>
        <v>1</v>
      </c>
      <c r="AE121" s="300">
        <f t="shared" si="64"/>
        <v>0.99830214779701587</v>
      </c>
      <c r="AF121" s="366">
        <f t="shared" si="65"/>
        <v>1.0247653329890865</v>
      </c>
      <c r="AG121" s="300">
        <f t="shared" si="66"/>
        <v>1.0105606974093546</v>
      </c>
      <c r="AH121" s="300">
        <f t="shared" si="43"/>
        <v>1</v>
      </c>
      <c r="AI121" s="300">
        <f t="shared" si="67"/>
        <v>1.0140561923852238</v>
      </c>
    </row>
    <row r="122" spans="1:35">
      <c r="A122" s="198">
        <f t="shared" si="57"/>
        <v>1967</v>
      </c>
      <c r="B122" s="1162">
        <f>TableUK1!D123</f>
        <v>504.06125000000003</v>
      </c>
      <c r="C122" s="959">
        <f>TableUK1!E123</f>
        <v>1588.8870818665391</v>
      </c>
      <c r="D122" s="391">
        <f t="shared" si="59"/>
        <v>2.2378182158056203E-2</v>
      </c>
      <c r="E122" s="390">
        <f t="shared" si="52"/>
        <v>3.5902097447817694E-2</v>
      </c>
      <c r="F122" s="308">
        <f t="shared" si="53"/>
        <v>3.1521706575669901</v>
      </c>
      <c r="G122" s="365">
        <f>TableUK12c!C138</f>
        <v>6.7350483013133622E-2</v>
      </c>
      <c r="H122" s="365">
        <f t="shared" si="60"/>
        <v>2.2990192579226517E-2</v>
      </c>
      <c r="I122" s="365">
        <f t="shared" si="31"/>
        <v>0</v>
      </c>
      <c r="J122" s="391">
        <f t="shared" si="41"/>
        <v>1.2621728890711115E-2</v>
      </c>
      <c r="K122" s="365">
        <f t="shared" si="58"/>
        <v>3.5902097447817694E-2</v>
      </c>
      <c r="L122" s="308">
        <f t="shared" si="55"/>
        <v>3.1521706575669901</v>
      </c>
      <c r="M122" s="365">
        <f>TableUK12c!D138</f>
        <v>3.3241072397698905E-2</v>
      </c>
      <c r="N122" s="365">
        <f t="shared" si="61"/>
        <v>1.1605847919862446E-2</v>
      </c>
      <c r="O122" s="365">
        <f t="shared" si="36"/>
        <v>0</v>
      </c>
      <c r="P122" s="365">
        <f t="shared" si="42"/>
        <v>2.4017506005837186E-2</v>
      </c>
      <c r="Q122" s="2093">
        <v>0</v>
      </c>
      <c r="R122" s="365"/>
      <c r="S122" s="365"/>
      <c r="T122" s="365"/>
      <c r="U122" s="365"/>
      <c r="V122" s="367"/>
      <c r="W122" s="83"/>
      <c r="X122" s="83"/>
      <c r="Y122" s="363"/>
      <c r="AB122" s="300">
        <f t="shared" si="62"/>
        <v>1.0359020974478177</v>
      </c>
      <c r="AC122" s="300">
        <f t="shared" si="63"/>
        <v>1.0229901925792264</v>
      </c>
      <c r="AD122" s="300">
        <f t="shared" si="37"/>
        <v>1</v>
      </c>
      <c r="AE122" s="300">
        <f t="shared" si="64"/>
        <v>1.0126217288907111</v>
      </c>
      <c r="AF122" s="366">
        <f t="shared" si="65"/>
        <v>1.0359020974478177</v>
      </c>
      <c r="AG122" s="300">
        <f t="shared" si="66"/>
        <v>1.0116058479198624</v>
      </c>
      <c r="AH122" s="300">
        <f t="shared" si="43"/>
        <v>1</v>
      </c>
      <c r="AI122" s="300">
        <f t="shared" si="67"/>
        <v>1.0240175060058372</v>
      </c>
    </row>
    <row r="123" spans="1:35">
      <c r="A123" s="198">
        <f t="shared" si="57"/>
        <v>1968</v>
      </c>
      <c r="B123" s="1162">
        <f>TableUK1!D124</f>
        <v>523.76987341772144</v>
      </c>
      <c r="C123" s="959">
        <f>TableUK1!E124</f>
        <v>1624.3180953774024</v>
      </c>
      <c r="D123" s="391">
        <f t="shared" si="59"/>
        <v>3.9099659848324864E-2</v>
      </c>
      <c r="E123" s="390">
        <f t="shared" si="52"/>
        <v>2.2299264633230509E-2</v>
      </c>
      <c r="F123" s="308">
        <f t="shared" si="53"/>
        <v>3.101205658848504</v>
      </c>
      <c r="G123" s="365">
        <f>TableUK12c!C139</f>
        <v>6.081335037209655E-2</v>
      </c>
      <c r="H123" s="365">
        <f t="shared" si="60"/>
        <v>2.1366382194902556E-2</v>
      </c>
      <c r="I123" s="365">
        <f t="shared" si="31"/>
        <v>0</v>
      </c>
      <c r="J123" s="391">
        <f t="shared" si="41"/>
        <v>9.1336708804057309E-4</v>
      </c>
      <c r="K123" s="365">
        <f t="shared" si="58"/>
        <v>2.2299264633230509E-2</v>
      </c>
      <c r="L123" s="308">
        <f t="shared" si="55"/>
        <v>3.101205658848504</v>
      </c>
      <c r="M123" s="365">
        <f>TableUK12c!D139</f>
        <v>2.5194818211431019E-2</v>
      </c>
      <c r="N123" s="365">
        <f t="shared" si="61"/>
        <v>1.054545454824965E-2</v>
      </c>
      <c r="O123" s="365">
        <f t="shared" si="36"/>
        <v>0</v>
      </c>
      <c r="P123" s="365">
        <f t="shared" si="42"/>
        <v>1.1631154276217304E-2</v>
      </c>
      <c r="Q123" s="2093">
        <v>0</v>
      </c>
      <c r="R123" s="365"/>
      <c r="S123" s="365"/>
      <c r="T123" s="365"/>
      <c r="U123" s="365"/>
      <c r="V123" s="367"/>
      <c r="W123" s="83"/>
      <c r="X123" s="83"/>
      <c r="Y123" s="363"/>
      <c r="AB123" s="300">
        <f t="shared" si="62"/>
        <v>1.0222992646332305</v>
      </c>
      <c r="AC123" s="300">
        <f t="shared" si="63"/>
        <v>1.0213663821949026</v>
      </c>
      <c r="AD123" s="300">
        <f t="shared" si="37"/>
        <v>1</v>
      </c>
      <c r="AE123" s="300">
        <f t="shared" si="64"/>
        <v>1.0009133670880406</v>
      </c>
      <c r="AF123" s="366">
        <f t="shared" si="65"/>
        <v>1.0222992646332305</v>
      </c>
      <c r="AG123" s="300">
        <f t="shared" si="66"/>
        <v>1.0105454545482497</v>
      </c>
      <c r="AH123" s="300">
        <f t="shared" si="43"/>
        <v>1</v>
      </c>
      <c r="AI123" s="300">
        <f t="shared" si="67"/>
        <v>1.0116311542762173</v>
      </c>
    </row>
    <row r="124" spans="1:35">
      <c r="A124" s="214">
        <f t="shared" si="57"/>
        <v>1969</v>
      </c>
      <c r="B124" s="1163">
        <f>TableUK1!D125</f>
        <v>537.64005952380944</v>
      </c>
      <c r="C124" s="1171">
        <f>TableUK1!E125</f>
        <v>1629.4576657194793</v>
      </c>
      <c r="D124" s="1172">
        <f t="shared" si="59"/>
        <v>2.6481450747790847E-2</v>
      </c>
      <c r="E124" s="1181">
        <f t="shared" si="52"/>
        <v>3.1641402978292987E-3</v>
      </c>
      <c r="F124" s="550">
        <f t="shared" si="53"/>
        <v>3.0307594027920803</v>
      </c>
      <c r="G124" s="1184">
        <f>TableUK12c!C140</f>
        <v>4.4088739118225216E-2</v>
      </c>
      <c r="H124" s="1184">
        <f t="shared" si="60"/>
        <v>1.9609583195032899E-2</v>
      </c>
      <c r="I124" s="1184">
        <f t="shared" si="31"/>
        <v>0</v>
      </c>
      <c r="J124" s="1172">
        <f t="shared" si="41"/>
        <v>-1.6129156854009175E-2</v>
      </c>
      <c r="K124" s="1184">
        <f t="shared" si="58"/>
        <v>3.1641402978292987E-3</v>
      </c>
      <c r="L124" s="550">
        <f t="shared" si="55"/>
        <v>3.0307594027920803</v>
      </c>
      <c r="M124" s="1184">
        <f>TableUK12c!D140</f>
        <v>1.5901432181971355E-2</v>
      </c>
      <c r="N124" s="1184">
        <f t="shared" si="61"/>
        <v>8.1242010311518668E-3</v>
      </c>
      <c r="O124" s="1184">
        <f t="shared" si="36"/>
        <v>0</v>
      </c>
      <c r="P124" s="1184">
        <f t="shared" si="42"/>
        <v>-4.9200889416693983E-3</v>
      </c>
      <c r="Q124" s="2092">
        <v>0</v>
      </c>
      <c r="R124" s="365"/>
      <c r="S124" s="365"/>
      <c r="T124" s="365"/>
      <c r="U124" s="365"/>
      <c r="V124" s="367"/>
      <c r="W124" s="83"/>
      <c r="X124" s="83"/>
      <c r="Y124" s="363"/>
      <c r="AB124" s="300">
        <f t="shared" si="62"/>
        <v>1.0031641402978293</v>
      </c>
      <c r="AC124" s="300">
        <f t="shared" si="63"/>
        <v>1.0196095831950329</v>
      </c>
      <c r="AD124" s="300">
        <f t="shared" si="37"/>
        <v>1</v>
      </c>
      <c r="AE124" s="300">
        <f t="shared" si="64"/>
        <v>0.98387084314599083</v>
      </c>
      <c r="AF124" s="366">
        <f t="shared" si="65"/>
        <v>1.0031641402978293</v>
      </c>
      <c r="AG124" s="300">
        <f t="shared" si="66"/>
        <v>1.008124201031152</v>
      </c>
      <c r="AH124" s="300">
        <f t="shared" si="43"/>
        <v>1</v>
      </c>
      <c r="AI124" s="300">
        <f t="shared" si="67"/>
        <v>0.9950799110583306</v>
      </c>
    </row>
    <row r="125" spans="1:35">
      <c r="A125" s="436">
        <f t="shared" si="57"/>
        <v>1970</v>
      </c>
      <c r="B125" s="1164">
        <f>TableUK1!D126</f>
        <v>550.18088888888883</v>
      </c>
      <c r="C125" s="1174">
        <f>TableUK1!E126</f>
        <v>1681.3861708796248</v>
      </c>
      <c r="D125" s="1175">
        <f t="shared" si="59"/>
        <v>2.3325697449306348E-2</v>
      </c>
      <c r="E125" s="1183">
        <f t="shared" si="52"/>
        <v>3.1868581953748976E-2</v>
      </c>
      <c r="F125" s="309">
        <f t="shared" si="53"/>
        <v>3.0560606608405609</v>
      </c>
      <c r="G125" s="1188">
        <f>TableUK12c!C141</f>
        <v>3.8672266399471286E-2</v>
      </c>
      <c r="H125" s="1188">
        <f t="shared" si="60"/>
        <v>1.454709307429965E-2</v>
      </c>
      <c r="I125" s="1188">
        <f t="shared" si="31"/>
        <v>0</v>
      </c>
      <c r="J125" s="1175">
        <f t="shared" si="41"/>
        <v>1.707312454758636E-2</v>
      </c>
      <c r="K125" s="1188">
        <f t="shared" si="58"/>
        <v>3.1868581953748976E-2</v>
      </c>
      <c r="L125" s="309">
        <f t="shared" si="55"/>
        <v>3.0560606608405609</v>
      </c>
      <c r="M125" s="365">
        <f>TableUK12c!D141</f>
        <v>2.4015605346749947E-2</v>
      </c>
      <c r="N125" s="1188">
        <f t="shared" si="61"/>
        <v>5.2466824543453356E-3</v>
      </c>
      <c r="O125" s="1188">
        <f t="shared" si="36"/>
        <v>0</v>
      </c>
      <c r="P125" s="1188">
        <f t="shared" si="42"/>
        <v>2.6482951860537618E-2</v>
      </c>
      <c r="Q125" s="2094">
        <v>0</v>
      </c>
      <c r="R125" s="1188"/>
      <c r="S125" s="1188"/>
      <c r="T125" s="361"/>
      <c r="U125" s="361"/>
      <c r="V125" s="372">
        <f>L125</f>
        <v>3.0560606608405609</v>
      </c>
      <c r="W125" s="373"/>
      <c r="X125" s="374">
        <f>L125</f>
        <v>3.0560606608405609</v>
      </c>
      <c r="Y125" s="375"/>
      <c r="AB125" s="300">
        <f t="shared" si="62"/>
        <v>1.031868581953749</v>
      </c>
      <c r="AC125" s="300">
        <f t="shared" si="63"/>
        <v>1.0145470930742997</v>
      </c>
      <c r="AD125" s="300">
        <f t="shared" si="37"/>
        <v>1</v>
      </c>
      <c r="AE125" s="300">
        <f t="shared" si="64"/>
        <v>1.0170731245475864</v>
      </c>
      <c r="AF125" s="366">
        <f t="shared" si="65"/>
        <v>1.031868581953749</v>
      </c>
      <c r="AG125" s="300">
        <f t="shared" si="66"/>
        <v>1.0052466824543453</v>
      </c>
      <c r="AH125" s="300">
        <f t="shared" si="43"/>
        <v>1</v>
      </c>
      <c r="AI125" s="300">
        <f t="shared" si="67"/>
        <v>1.0264829518605376</v>
      </c>
    </row>
    <row r="126" spans="1:35">
      <c r="A126" s="198">
        <v>1971</v>
      </c>
      <c r="B126" s="1162">
        <f>TableUK1!D127</f>
        <v>553.93530612244888</v>
      </c>
      <c r="C126" s="959">
        <f>TableUK1!E127</f>
        <v>1817.6623284502464</v>
      </c>
      <c r="D126" s="391">
        <f t="shared" si="59"/>
        <v>6.8239688244029484E-3</v>
      </c>
      <c r="E126" s="390">
        <f t="shared" ref="E126:E165" si="68">(1+D126)*(F126/F125)-1</f>
        <v>8.1049886058791598E-2</v>
      </c>
      <c r="F126" s="308">
        <f t="shared" si="53"/>
        <v>3.281362116406509</v>
      </c>
      <c r="G126" s="365">
        <f>TableUK12c!C142</f>
        <v>5.3567680006106753E-2</v>
      </c>
      <c r="H126" s="365">
        <f t="shared" si="60"/>
        <v>1.265428624994459E-2</v>
      </c>
      <c r="I126" s="365">
        <f t="shared" si="31"/>
        <v>0</v>
      </c>
      <c r="J126" s="391">
        <f t="shared" si="41"/>
        <v>6.754091770265358E-2</v>
      </c>
      <c r="K126" s="365">
        <f t="shared" si="58"/>
        <v>8.1049886058791598E-2</v>
      </c>
      <c r="L126" s="308">
        <f t="shared" si="55"/>
        <v>3.281362116406509</v>
      </c>
      <c r="M126" s="365">
        <f>TableUK12c!D142</f>
        <v>2.2661781263716339E-2</v>
      </c>
      <c r="N126" s="365">
        <f t="shared" si="61"/>
        <v>7.8583536166276623E-3</v>
      </c>
      <c r="O126" s="365">
        <f t="shared" si="36"/>
        <v>0</v>
      </c>
      <c r="P126" s="365">
        <f t="shared" si="42"/>
        <v>7.2620852106371148E-2</v>
      </c>
      <c r="Q126" s="2093">
        <v>0</v>
      </c>
      <c r="R126" s="365"/>
      <c r="S126" s="365"/>
      <c r="T126" s="365"/>
      <c r="U126" s="365"/>
      <c r="V126" s="376">
        <f t="shared" ref="V126:V165" si="69">V125*(1+W126)*(1+G125/V125)/(1+D126)</f>
        <v>3.1278435410162424</v>
      </c>
      <c r="W126" s="377">
        <f t="shared" ref="W126:W165" si="70">W$172</f>
        <v>1.7596000000000001E-2</v>
      </c>
      <c r="X126" s="378">
        <f t="shared" ref="X126:X165" si="71">X125*(1+Y126)*(1+M125/X125)/(1+D126)</f>
        <v>3.1424916972755068</v>
      </c>
      <c r="Y126" s="379">
        <f t="shared" ref="Y126:Y165" si="72">X$172</f>
        <v>2.7226500000000001E-2</v>
      </c>
      <c r="AB126" s="300">
        <f t="shared" si="62"/>
        <v>1.0810498860587916</v>
      </c>
      <c r="AC126" s="300">
        <f t="shared" si="63"/>
        <v>1.0126542862499446</v>
      </c>
      <c r="AD126" s="300">
        <f t="shared" si="37"/>
        <v>1</v>
      </c>
      <c r="AE126" s="300">
        <f t="shared" si="64"/>
        <v>1.0675409177026536</v>
      </c>
      <c r="AF126" s="366">
        <f t="shared" si="65"/>
        <v>1.0810498860587916</v>
      </c>
      <c r="AG126" s="300">
        <f t="shared" si="66"/>
        <v>1.0078583536166277</v>
      </c>
      <c r="AH126" s="300">
        <f t="shared" si="43"/>
        <v>1</v>
      </c>
      <c r="AI126" s="300">
        <f t="shared" si="67"/>
        <v>1.0726208521063711</v>
      </c>
    </row>
    <row r="127" spans="1:35">
      <c r="A127" s="198">
        <v>1972</v>
      </c>
      <c r="B127" s="1162">
        <f>TableUK1!D128</f>
        <v>572.4135377358491</v>
      </c>
      <c r="C127" s="959">
        <f>TableUK1!E128</f>
        <v>2023.5808017028248</v>
      </c>
      <c r="D127" s="391">
        <f t="shared" si="59"/>
        <v>3.3358104112821474E-2</v>
      </c>
      <c r="E127" s="390">
        <f t="shared" si="68"/>
        <v>0.11328752872825776</v>
      </c>
      <c r="F127" s="308">
        <f t="shared" si="53"/>
        <v>3.5351728572091248</v>
      </c>
      <c r="G127" s="365">
        <f>TableUK12c!C143</f>
        <v>6.0262054143991148E-2</v>
      </c>
      <c r="H127" s="365">
        <f t="shared" si="60"/>
        <v>1.6324830392315824E-2</v>
      </c>
      <c r="I127" s="365">
        <f t="shared" si="31"/>
        <v>0</v>
      </c>
      <c r="J127" s="391">
        <f t="shared" si="41"/>
        <v>9.5405224231816632E-2</v>
      </c>
      <c r="K127" s="365">
        <f t="shared" si="58"/>
        <v>0.11328752872825776</v>
      </c>
      <c r="L127" s="308">
        <f t="shared" si="55"/>
        <v>3.5351728572091248</v>
      </c>
      <c r="M127" s="365">
        <f>TableUK12c!D143</f>
        <v>2.9221116849804163E-2</v>
      </c>
      <c r="N127" s="365">
        <f t="shared" si="61"/>
        <v>6.9062116461970219E-3</v>
      </c>
      <c r="O127" s="365">
        <f t="shared" si="36"/>
        <v>0</v>
      </c>
      <c r="P127" s="365">
        <f t="shared" si="42"/>
        <v>0.10565166432744233</v>
      </c>
      <c r="Q127" s="2093">
        <v>0</v>
      </c>
      <c r="R127" s="365"/>
      <c r="S127" s="365"/>
      <c r="T127" s="365"/>
      <c r="U127" s="365"/>
      <c r="V127" s="376">
        <f t="shared" si="69"/>
        <v>3.1328842537572061</v>
      </c>
      <c r="W127" s="377">
        <f t="shared" si="70"/>
        <v>1.7596000000000001E-2</v>
      </c>
      <c r="X127" s="378">
        <f t="shared" si="71"/>
        <v>3.1463725080223433</v>
      </c>
      <c r="Y127" s="379">
        <f t="shared" si="72"/>
        <v>2.7226500000000001E-2</v>
      </c>
      <c r="AB127" s="300">
        <f t="shared" si="62"/>
        <v>1.1132875287282578</v>
      </c>
      <c r="AC127" s="300">
        <f t="shared" si="63"/>
        <v>1.0163248303923158</v>
      </c>
      <c r="AD127" s="300">
        <f t="shared" si="37"/>
        <v>1</v>
      </c>
      <c r="AE127" s="300">
        <f t="shared" si="64"/>
        <v>1.0954052242318166</v>
      </c>
      <c r="AF127" s="366">
        <f t="shared" si="65"/>
        <v>1.1132875287282578</v>
      </c>
      <c r="AG127" s="300">
        <f t="shared" si="66"/>
        <v>1.0069062116461971</v>
      </c>
      <c r="AH127" s="300">
        <f t="shared" si="43"/>
        <v>1</v>
      </c>
      <c r="AI127" s="300">
        <f t="shared" si="67"/>
        <v>1.1056516643274423</v>
      </c>
    </row>
    <row r="128" spans="1:35">
      <c r="A128" s="198">
        <v>1973</v>
      </c>
      <c r="B128" s="1162">
        <f>TableUK1!D129</f>
        <v>614.67999999999995</v>
      </c>
      <c r="C128" s="959">
        <f>TableUK1!E129</f>
        <v>2090.8626809413581</v>
      </c>
      <c r="D128" s="391">
        <f t="shared" si="59"/>
        <v>7.3839033282360189E-2</v>
      </c>
      <c r="E128" s="390">
        <f t="shared" si="68"/>
        <v>3.3248921506824125E-2</v>
      </c>
      <c r="F128" s="308">
        <f t="shared" si="53"/>
        <v>3.4015466274181008</v>
      </c>
      <c r="G128" s="365">
        <f>TableUK12c!C144</f>
        <v>8.4790444133329368E-2</v>
      </c>
      <c r="H128" s="365">
        <f t="shared" si="60"/>
        <v>1.7046423634165826E-2</v>
      </c>
      <c r="I128" s="365">
        <f t="shared" si="31"/>
        <v>0</v>
      </c>
      <c r="J128" s="391">
        <f t="shared" si="41"/>
        <v>1.5930932449241153E-2</v>
      </c>
      <c r="K128" s="365">
        <f t="shared" si="58"/>
        <v>3.3248921506824125E-2</v>
      </c>
      <c r="L128" s="308">
        <f t="shared" si="55"/>
        <v>3.4015466274181008</v>
      </c>
      <c r="M128" s="365">
        <f>TableUK12c!D144</f>
        <v>4.1300527240773294E-2</v>
      </c>
      <c r="N128" s="365">
        <f t="shared" si="61"/>
        <v>8.2658240572917978E-3</v>
      </c>
      <c r="O128" s="365">
        <f t="shared" si="36"/>
        <v>0</v>
      </c>
      <c r="P128" s="365">
        <f t="shared" si="42"/>
        <v>2.4778284509336723E-2</v>
      </c>
      <c r="Q128" s="2093">
        <v>0</v>
      </c>
      <c r="R128" s="365"/>
      <c r="S128" s="365"/>
      <c r="T128" s="365"/>
      <c r="U128" s="365"/>
      <c r="V128" s="376">
        <f t="shared" si="69"/>
        <v>3.0259031471438718</v>
      </c>
      <c r="W128" s="377">
        <f t="shared" si="70"/>
        <v>1.7596000000000001E-2</v>
      </c>
      <c r="X128" s="378">
        <f t="shared" si="71"/>
        <v>3.0377494425107097</v>
      </c>
      <c r="Y128" s="379">
        <f t="shared" si="72"/>
        <v>2.7226500000000001E-2</v>
      </c>
      <c r="AB128" s="300">
        <f t="shared" si="62"/>
        <v>1.0332489215068241</v>
      </c>
      <c r="AC128" s="300">
        <f t="shared" si="63"/>
        <v>1.0170464236341659</v>
      </c>
      <c r="AD128" s="300">
        <f t="shared" si="37"/>
        <v>1</v>
      </c>
      <c r="AE128" s="300">
        <f t="shared" si="64"/>
        <v>1.0159309324492412</v>
      </c>
      <c r="AF128" s="366">
        <f t="shared" si="65"/>
        <v>1.0332489215068241</v>
      </c>
      <c r="AG128" s="300">
        <f t="shared" si="66"/>
        <v>1.0082658240572917</v>
      </c>
      <c r="AH128" s="300">
        <f t="shared" si="43"/>
        <v>1</v>
      </c>
      <c r="AI128" s="300">
        <f t="shared" si="67"/>
        <v>1.0247782845093367</v>
      </c>
    </row>
    <row r="129" spans="1:35">
      <c r="A129" s="198">
        <v>1974</v>
      </c>
      <c r="B129" s="1162">
        <f>TableUK1!D130</f>
        <v>592.81015267175565</v>
      </c>
      <c r="C129" s="959">
        <f>TableUK1!E130</f>
        <v>1999.8764604573087</v>
      </c>
      <c r="D129" s="391">
        <f t="shared" si="59"/>
        <v>-3.557924013835545E-2</v>
      </c>
      <c r="E129" s="390">
        <f t="shared" si="68"/>
        <v>-4.3516114813951012E-2</v>
      </c>
      <c r="F129" s="308">
        <f t="shared" si="53"/>
        <v>3.3735529856295465</v>
      </c>
      <c r="G129" s="365">
        <f>TableUK12c!C145</f>
        <v>7.8458779471491102E-2</v>
      </c>
      <c r="H129" s="365">
        <f t="shared" si="60"/>
        <v>2.4927026855924194E-2</v>
      </c>
      <c r="I129" s="365">
        <f t="shared" si="31"/>
        <v>0</v>
      </c>
      <c r="J129" s="391">
        <f t="shared" si="41"/>
        <v>-6.6778550937262482E-2</v>
      </c>
      <c r="K129" s="365">
        <f t="shared" si="58"/>
        <v>-4.3516114813951012E-2</v>
      </c>
      <c r="L129" s="308">
        <f t="shared" si="55"/>
        <v>3.3735529856295465</v>
      </c>
      <c r="M129" s="365">
        <f>TableUK12c!D145</f>
        <v>6.5199905058283658E-2</v>
      </c>
      <c r="N129" s="365">
        <f t="shared" si="61"/>
        <v>1.2141690755573125E-2</v>
      </c>
      <c r="O129" s="365">
        <f t="shared" si="36"/>
        <v>0</v>
      </c>
      <c r="P129" s="365">
        <f t="shared" si="42"/>
        <v>-5.4990132387467527E-2</v>
      </c>
      <c r="Q129" s="2093">
        <v>0</v>
      </c>
      <c r="R129" s="365"/>
      <c r="S129" s="365"/>
      <c r="T129" s="365"/>
      <c r="U129" s="365"/>
      <c r="V129" s="376">
        <f t="shared" si="69"/>
        <v>3.2822078157706041</v>
      </c>
      <c r="W129" s="377">
        <f t="shared" si="70"/>
        <v>1.7596000000000001E-2</v>
      </c>
      <c r="X129" s="378">
        <f t="shared" si="71"/>
        <v>3.279566197026563</v>
      </c>
      <c r="Y129" s="379">
        <f t="shared" si="72"/>
        <v>2.7226500000000001E-2</v>
      </c>
      <c r="AB129" s="300">
        <f t="shared" si="62"/>
        <v>0.95648388518604899</v>
      </c>
      <c r="AC129" s="300">
        <f t="shared" si="63"/>
        <v>1.0249270268559243</v>
      </c>
      <c r="AD129" s="300">
        <f t="shared" si="37"/>
        <v>1</v>
      </c>
      <c r="AE129" s="300">
        <f t="shared" si="64"/>
        <v>0.93322144906273752</v>
      </c>
      <c r="AF129" s="366">
        <f t="shared" si="65"/>
        <v>0.95648388518604899</v>
      </c>
      <c r="AG129" s="300">
        <f t="shared" si="66"/>
        <v>1.0121416907555731</v>
      </c>
      <c r="AH129" s="300">
        <f t="shared" si="43"/>
        <v>1</v>
      </c>
      <c r="AI129" s="300">
        <f t="shared" si="67"/>
        <v>0.94500986761253247</v>
      </c>
    </row>
    <row r="130" spans="1:35">
      <c r="A130" s="198">
        <v>1975</v>
      </c>
      <c r="B130" s="1162">
        <f>TableUK1!D131</f>
        <v>582.54056886227545</v>
      </c>
      <c r="C130" s="959">
        <f>TableUK1!E131</f>
        <v>1754.5514810266623</v>
      </c>
      <c r="D130" s="391">
        <f t="shared" si="59"/>
        <v>-1.7323562633325129E-2</v>
      </c>
      <c r="E130" s="390">
        <f t="shared" si="68"/>
        <v>-0.12267006701731376</v>
      </c>
      <c r="F130" s="308">
        <f t="shared" si="53"/>
        <v>3.0118957799855384</v>
      </c>
      <c r="G130" s="365">
        <f>TableUK12c!C146</f>
        <v>7.8645381211492449E-2</v>
      </c>
      <c r="H130" s="365">
        <f t="shared" si="60"/>
        <v>2.3257017099095518E-2</v>
      </c>
      <c r="I130" s="365">
        <f t="shared" si="31"/>
        <v>0</v>
      </c>
      <c r="J130" s="391">
        <f t="shared" si="41"/>
        <v>-0.14261039179590329</v>
      </c>
      <c r="K130" s="365">
        <f t="shared" si="58"/>
        <v>-0.12267006701731376</v>
      </c>
      <c r="L130" s="308">
        <f t="shared" si="55"/>
        <v>3.0118957799855384</v>
      </c>
      <c r="M130" s="365">
        <f>TableUK12c!D146</f>
        <v>6.9906417395354747E-2</v>
      </c>
      <c r="N130" s="365">
        <f t="shared" si="61"/>
        <v>1.9326776646466856E-2</v>
      </c>
      <c r="O130" s="365">
        <f t="shared" si="36"/>
        <v>0</v>
      </c>
      <c r="P130" s="365">
        <f t="shared" si="42"/>
        <v>-0.13930453601046666</v>
      </c>
      <c r="Q130" s="2093">
        <v>0</v>
      </c>
      <c r="R130" s="365"/>
      <c r="S130" s="365"/>
      <c r="T130" s="365"/>
      <c r="U130" s="365"/>
      <c r="V130" s="376">
        <f t="shared" si="69"/>
        <v>3.4800884142660213</v>
      </c>
      <c r="W130" s="377">
        <f t="shared" si="70"/>
        <v>1.7596000000000001E-2</v>
      </c>
      <c r="X130" s="378">
        <f t="shared" si="71"/>
        <v>3.4964025244875359</v>
      </c>
      <c r="Y130" s="379">
        <f t="shared" si="72"/>
        <v>2.7226500000000001E-2</v>
      </c>
      <c r="AB130" s="300">
        <f t="shared" si="62"/>
        <v>0.87732993298268624</v>
      </c>
      <c r="AC130" s="300">
        <f t="shared" si="63"/>
        <v>1.0232570170990956</v>
      </c>
      <c r="AD130" s="300">
        <f t="shared" si="37"/>
        <v>1</v>
      </c>
      <c r="AE130" s="300">
        <f t="shared" si="64"/>
        <v>0.85738960820409671</v>
      </c>
      <c r="AF130" s="366">
        <f t="shared" si="65"/>
        <v>0.87732993298268624</v>
      </c>
      <c r="AG130" s="300">
        <f t="shared" si="66"/>
        <v>1.0193267766464669</v>
      </c>
      <c r="AH130" s="300">
        <f t="shared" si="43"/>
        <v>1</v>
      </c>
      <c r="AI130" s="300">
        <f t="shared" si="67"/>
        <v>0.86069546398953334</v>
      </c>
    </row>
    <row r="131" spans="1:35">
      <c r="A131" s="198">
        <v>1976</v>
      </c>
      <c r="B131" s="1162">
        <f>TableUK1!D132</f>
        <v>595.76973958333338</v>
      </c>
      <c r="C131" s="959">
        <f>TableUK1!E132</f>
        <v>1684.7075436861255</v>
      </c>
      <c r="D131" s="391">
        <f t="shared" si="59"/>
        <v>2.2709441072739311E-2</v>
      </c>
      <c r="E131" s="390">
        <f t="shared" si="68"/>
        <v>-3.9807288697889076E-2</v>
      </c>
      <c r="F131" s="308">
        <f t="shared" si="53"/>
        <v>2.8277830036556879</v>
      </c>
      <c r="G131" s="365">
        <f>TableUK12c!C147</f>
        <v>0.10950921875276741</v>
      </c>
      <c r="H131" s="365">
        <f t="shared" si="60"/>
        <v>2.6111587835841405E-2</v>
      </c>
      <c r="I131" s="365">
        <f t="shared" si="31"/>
        <v>0</v>
      </c>
      <c r="J131" s="391">
        <f t="shared" si="41"/>
        <v>-6.4241430771441732E-2</v>
      </c>
      <c r="K131" s="365">
        <f t="shared" si="58"/>
        <v>-3.9807288697889076E-2</v>
      </c>
      <c r="L131" s="308">
        <f t="shared" si="55"/>
        <v>2.8277830036556879</v>
      </c>
      <c r="M131" s="365">
        <f>TableUK12c!D147</f>
        <v>7.375444997431857E-2</v>
      </c>
      <c r="N131" s="365">
        <f t="shared" si="61"/>
        <v>2.3210105030822284E-2</v>
      </c>
      <c r="O131" s="365">
        <f t="shared" si="36"/>
        <v>0</v>
      </c>
      <c r="P131" s="365">
        <f t="shared" si="42"/>
        <v>-6.158793137291485E-2</v>
      </c>
      <c r="Q131" s="2093">
        <v>0</v>
      </c>
      <c r="R131" s="365"/>
      <c r="S131" s="365"/>
      <c r="T131" s="365"/>
      <c r="U131" s="365"/>
      <c r="V131" s="376">
        <f t="shared" si="69"/>
        <v>3.5409404958110389</v>
      </c>
      <c r="W131" s="377">
        <f t="shared" si="70"/>
        <v>1.7596000000000001E-2</v>
      </c>
      <c r="X131" s="378">
        <f t="shared" si="71"/>
        <v>3.5820604613236462</v>
      </c>
      <c r="Y131" s="379">
        <f t="shared" si="72"/>
        <v>2.7226500000000001E-2</v>
      </c>
      <c r="AB131" s="300">
        <f t="shared" si="62"/>
        <v>0.96019271130211092</v>
      </c>
      <c r="AC131" s="300">
        <f t="shared" si="63"/>
        <v>1.0261115878358413</v>
      </c>
      <c r="AD131" s="300">
        <f t="shared" si="37"/>
        <v>1</v>
      </c>
      <c r="AE131" s="300">
        <f t="shared" si="64"/>
        <v>0.93575856922855827</v>
      </c>
      <c r="AF131" s="366">
        <f t="shared" si="65"/>
        <v>0.96019271130211092</v>
      </c>
      <c r="AG131" s="300">
        <f t="shared" si="66"/>
        <v>1.0232101050308222</v>
      </c>
      <c r="AH131" s="300">
        <f t="shared" si="43"/>
        <v>1</v>
      </c>
      <c r="AI131" s="300">
        <f t="shared" si="67"/>
        <v>0.93841206862708515</v>
      </c>
    </row>
    <row r="132" spans="1:35">
      <c r="A132" s="198">
        <v>1977</v>
      </c>
      <c r="B132" s="1162">
        <f>TableUK1!D133</f>
        <v>607.04433486238531</v>
      </c>
      <c r="C132" s="959">
        <f>TableUK1!E133</f>
        <v>1725.6102399832462</v>
      </c>
      <c r="D132" s="391">
        <f t="shared" si="59"/>
        <v>1.8924417488771939E-2</v>
      </c>
      <c r="E132" s="390">
        <f t="shared" si="68"/>
        <v>2.4278811150584501E-2</v>
      </c>
      <c r="F132" s="308">
        <f t="shared" si="53"/>
        <v>2.8426428530536167</v>
      </c>
      <c r="G132" s="365">
        <f>TableUK12c!C148</f>
        <v>9.9704058624577194E-2</v>
      </c>
      <c r="H132" s="365">
        <f t="shared" si="60"/>
        <v>3.8726174749334229E-2</v>
      </c>
      <c r="I132" s="365">
        <f t="shared" si="31"/>
        <v>0</v>
      </c>
      <c r="J132" s="391">
        <f t="shared" si="41"/>
        <v>-1.3908731627212623E-2</v>
      </c>
      <c r="K132" s="365">
        <f t="shared" si="58"/>
        <v>2.4278811150584501E-2</v>
      </c>
      <c r="L132" s="308">
        <f t="shared" si="55"/>
        <v>2.8426428530536167</v>
      </c>
      <c r="M132" s="365">
        <f>TableUK12c!D148</f>
        <v>5.1374796442440168E-2</v>
      </c>
      <c r="N132" s="365">
        <f t="shared" si="61"/>
        <v>2.6082075562011173E-2</v>
      </c>
      <c r="O132" s="365">
        <f t="shared" si="36"/>
        <v>0</v>
      </c>
      <c r="P132" s="365">
        <f t="shared" si="42"/>
        <v>-1.7574270658992086E-3</v>
      </c>
      <c r="Q132" s="2093">
        <v>0</v>
      </c>
      <c r="R132" s="365"/>
      <c r="S132" s="365"/>
      <c r="T132" s="365"/>
      <c r="U132" s="365"/>
      <c r="V132" s="376">
        <f t="shared" si="69"/>
        <v>3.6456904594517727</v>
      </c>
      <c r="W132" s="377">
        <f t="shared" si="70"/>
        <v>1.7596000000000001E-2</v>
      </c>
      <c r="X132" s="378">
        <f t="shared" si="71"/>
        <v>3.6856020834556169</v>
      </c>
      <c r="Y132" s="379">
        <f t="shared" si="72"/>
        <v>2.7226500000000001E-2</v>
      </c>
      <c r="AB132" s="300">
        <f t="shared" si="62"/>
        <v>1.0242788111505845</v>
      </c>
      <c r="AC132" s="300">
        <f t="shared" si="63"/>
        <v>1.0387261747493342</v>
      </c>
      <c r="AD132" s="300">
        <f t="shared" si="37"/>
        <v>1</v>
      </c>
      <c r="AE132" s="300">
        <f t="shared" si="64"/>
        <v>0.98609126837278738</v>
      </c>
      <c r="AF132" s="366">
        <f t="shared" si="65"/>
        <v>1.0242788111505845</v>
      </c>
      <c r="AG132" s="300">
        <f t="shared" si="66"/>
        <v>1.0260820755620113</v>
      </c>
      <c r="AH132" s="300">
        <f t="shared" si="43"/>
        <v>1</v>
      </c>
      <c r="AI132" s="300">
        <f t="shared" si="67"/>
        <v>0.99824257293410079</v>
      </c>
    </row>
    <row r="133" spans="1:35">
      <c r="A133" s="198">
        <v>1978</v>
      </c>
      <c r="B133" s="1162">
        <f>TableUK1!D134</f>
        <v>619.89485655737712</v>
      </c>
      <c r="C133" s="959">
        <f>TableUK1!E134</f>
        <v>1848.5677532718712</v>
      </c>
      <c r="D133" s="391">
        <f t="shared" si="59"/>
        <v>2.1169000280523154E-2</v>
      </c>
      <c r="E133" s="390">
        <f t="shared" si="68"/>
        <v>7.1254510688241401E-2</v>
      </c>
      <c r="F133" s="308">
        <f t="shared" si="53"/>
        <v>2.98206660971185</v>
      </c>
      <c r="G133" s="365">
        <f>TableUK12c!C149</f>
        <v>0.11557560236667097</v>
      </c>
      <c r="H133" s="365">
        <f t="shared" si="60"/>
        <v>3.507442326688115E-2</v>
      </c>
      <c r="I133" s="365">
        <f t="shared" si="31"/>
        <v>0</v>
      </c>
      <c r="J133" s="391">
        <f t="shared" si="41"/>
        <v>3.4954092776410484E-2</v>
      </c>
      <c r="K133" s="365">
        <f t="shared" si="58"/>
        <v>7.1254510688241401E-2</v>
      </c>
      <c r="L133" s="308">
        <f t="shared" si="55"/>
        <v>2.98206660971185</v>
      </c>
      <c r="M133" s="365">
        <f>TableUK12c!D149</f>
        <v>6.3086318277846082E-2</v>
      </c>
      <c r="N133" s="365">
        <f t="shared" si="61"/>
        <v>1.8072898741835423E-2</v>
      </c>
      <c r="O133" s="365">
        <f t="shared" si="36"/>
        <v>0</v>
      </c>
      <c r="P133" s="365">
        <f t="shared" si="42"/>
        <v>5.2237528385373322E-2</v>
      </c>
      <c r="Q133" s="2093">
        <v>0</v>
      </c>
      <c r="R133" s="365"/>
      <c r="S133" s="365"/>
      <c r="T133" s="365"/>
      <c r="U133" s="365"/>
      <c r="V133" s="376">
        <f t="shared" si="69"/>
        <v>3.7322896395889691</v>
      </c>
      <c r="W133" s="377">
        <f t="shared" si="70"/>
        <v>1.7596000000000001E-2</v>
      </c>
      <c r="X133" s="378">
        <f t="shared" si="71"/>
        <v>3.7591443530542685</v>
      </c>
      <c r="Y133" s="379">
        <f t="shared" si="72"/>
        <v>2.7226500000000001E-2</v>
      </c>
      <c r="AB133" s="300">
        <f t="shared" si="62"/>
        <v>1.0712545106882414</v>
      </c>
      <c r="AC133" s="300">
        <f t="shared" si="63"/>
        <v>1.0350744232668811</v>
      </c>
      <c r="AD133" s="300">
        <f t="shared" si="37"/>
        <v>1</v>
      </c>
      <c r="AE133" s="300">
        <f t="shared" si="64"/>
        <v>1.0349540927764105</v>
      </c>
      <c r="AF133" s="366">
        <f t="shared" si="65"/>
        <v>1.0712545106882414</v>
      </c>
      <c r="AG133" s="300">
        <f t="shared" si="66"/>
        <v>1.0180728987418355</v>
      </c>
      <c r="AH133" s="300">
        <f t="shared" si="43"/>
        <v>1</v>
      </c>
      <c r="AI133" s="300">
        <f t="shared" si="67"/>
        <v>1.0522375283853733</v>
      </c>
    </row>
    <row r="134" spans="1:35" ht="12.75" customHeight="1">
      <c r="A134" s="214">
        <v>1979</v>
      </c>
      <c r="B134" s="1163">
        <f>TableUK1!D135</f>
        <v>632.30740143369189</v>
      </c>
      <c r="C134" s="1171">
        <f>TableUK1!E135</f>
        <v>1978.3092726690966</v>
      </c>
      <c r="D134" s="1172">
        <f t="shared" si="59"/>
        <v>2.0023629402651455E-2</v>
      </c>
      <c r="E134" s="1181">
        <f t="shared" si="68"/>
        <v>7.0184887282378261E-2</v>
      </c>
      <c r="F134" s="550">
        <f t="shared" si="53"/>
        <v>3.1287144009124108</v>
      </c>
      <c r="G134" s="1184">
        <f>TableUK12c!C150</f>
        <v>0.10111315084830985</v>
      </c>
      <c r="H134" s="1184">
        <f t="shared" si="60"/>
        <v>3.8756881549952625E-2</v>
      </c>
      <c r="I134" s="1184">
        <f t="shared" si="31"/>
        <v>0</v>
      </c>
      <c r="J134" s="1172">
        <f t="shared" si="41"/>
        <v>3.0255400749337191E-2</v>
      </c>
      <c r="K134" s="1184">
        <f t="shared" si="58"/>
        <v>7.0184887282378261E-2</v>
      </c>
      <c r="L134" s="550">
        <f t="shared" si="55"/>
        <v>3.1287144009124108</v>
      </c>
      <c r="M134" s="1184">
        <f>TableUK12c!D150</f>
        <v>7.2609122692141315E-2</v>
      </c>
      <c r="N134" s="1184">
        <f t="shared" si="61"/>
        <v>2.1155234451299517E-2</v>
      </c>
      <c r="O134" s="1184">
        <f t="shared" si="36"/>
        <v>0</v>
      </c>
      <c r="P134" s="1184">
        <f t="shared" si="42"/>
        <v>4.801390736387301E-2</v>
      </c>
      <c r="Q134" s="2092">
        <v>0</v>
      </c>
      <c r="R134" s="365"/>
      <c r="S134" s="365"/>
      <c r="T134" s="365"/>
      <c r="U134" s="365"/>
      <c r="V134" s="376">
        <f t="shared" si="69"/>
        <v>3.8387074239114809</v>
      </c>
      <c r="W134" s="377">
        <f t="shared" si="70"/>
        <v>1.7596000000000001E-2</v>
      </c>
      <c r="X134" s="378">
        <f t="shared" si="71"/>
        <v>3.8492212548100135</v>
      </c>
      <c r="Y134" s="379">
        <f t="shared" si="72"/>
        <v>2.7226500000000001E-2</v>
      </c>
      <c r="AB134" s="300">
        <f t="shared" si="62"/>
        <v>1.0701848872823783</v>
      </c>
      <c r="AC134" s="300">
        <f t="shared" si="63"/>
        <v>1.0387568815499526</v>
      </c>
      <c r="AD134" s="300">
        <f t="shared" si="37"/>
        <v>1</v>
      </c>
      <c r="AE134" s="300">
        <f t="shared" si="64"/>
        <v>1.0302554007493372</v>
      </c>
      <c r="AF134" s="366">
        <f t="shared" si="65"/>
        <v>1.0701848872823783</v>
      </c>
      <c r="AG134" s="300">
        <f t="shared" si="66"/>
        <v>1.0211552344512995</v>
      </c>
      <c r="AH134" s="300">
        <f t="shared" si="43"/>
        <v>1</v>
      </c>
      <c r="AI134" s="300">
        <f t="shared" si="67"/>
        <v>1.048013907363873</v>
      </c>
    </row>
    <row r="135" spans="1:35">
      <c r="A135" s="198">
        <v>1980</v>
      </c>
      <c r="B135" s="1162">
        <f>TableUK1!D136</f>
        <v>616.981766467066</v>
      </c>
      <c r="C135" s="959">
        <f>TableUK1!E136</f>
        <v>1907.3292440488556</v>
      </c>
      <c r="D135" s="391">
        <f t="shared" si="59"/>
        <v>-2.4237633359781352E-2</v>
      </c>
      <c r="E135" s="390">
        <f t="shared" si="68"/>
        <v>-3.5879136594490157E-2</v>
      </c>
      <c r="F135" s="308">
        <f t="shared" si="53"/>
        <v>3.0913867276346281</v>
      </c>
      <c r="G135" s="365">
        <f>TableUK12c!C151</f>
        <v>7.4203111922312853E-2</v>
      </c>
      <c r="H135" s="365">
        <f t="shared" si="60"/>
        <v>3.2317795072258029E-2</v>
      </c>
      <c r="I135" s="365">
        <f t="shared" si="31"/>
        <v>0</v>
      </c>
      <c r="J135" s="391">
        <f t="shared" si="41"/>
        <v>-6.6061954944770296E-2</v>
      </c>
      <c r="K135" s="365">
        <f t="shared" si="58"/>
        <v>-3.5879136594490157E-2</v>
      </c>
      <c r="L135" s="308">
        <f t="shared" si="55"/>
        <v>3.0913867276346281</v>
      </c>
      <c r="M135" s="365">
        <f>TableUK12c!D151</f>
        <v>7.8365282805772082E-2</v>
      </c>
      <c r="N135" s="365">
        <f t="shared" si="61"/>
        <v>2.3207334830870691E-2</v>
      </c>
      <c r="O135" s="365">
        <f t="shared" si="36"/>
        <v>0</v>
      </c>
      <c r="P135" s="365">
        <f t="shared" si="42"/>
        <v>-5.7746332941531864E-2</v>
      </c>
      <c r="Q135" s="2093">
        <v>0</v>
      </c>
      <c r="R135" s="365"/>
      <c r="S135" s="365"/>
      <c r="T135" s="365"/>
      <c r="U135" s="365"/>
      <c r="V135" s="376">
        <f t="shared" si="69"/>
        <v>4.1087315873819801</v>
      </c>
      <c r="W135" s="377">
        <f t="shared" si="70"/>
        <v>1.7596000000000001E-2</v>
      </c>
      <c r="X135" s="378">
        <f t="shared" si="71"/>
        <v>4.1286774628813268</v>
      </c>
      <c r="Y135" s="379">
        <f t="shared" si="72"/>
        <v>2.7226500000000001E-2</v>
      </c>
      <c r="AB135" s="300">
        <f t="shared" si="62"/>
        <v>0.96412086340550984</v>
      </c>
      <c r="AC135" s="300">
        <f t="shared" si="63"/>
        <v>1.032317795072258</v>
      </c>
      <c r="AD135" s="300">
        <f t="shared" si="37"/>
        <v>1</v>
      </c>
      <c r="AE135" s="300">
        <f t="shared" si="64"/>
        <v>0.9339380450552297</v>
      </c>
      <c r="AF135" s="366">
        <f t="shared" si="65"/>
        <v>0.96412086340550984</v>
      </c>
      <c r="AG135" s="300">
        <f t="shared" si="66"/>
        <v>1.0232073348308708</v>
      </c>
      <c r="AH135" s="300">
        <f t="shared" si="43"/>
        <v>1</v>
      </c>
      <c r="AI135" s="300">
        <f t="shared" si="67"/>
        <v>0.94225366705846814</v>
      </c>
    </row>
    <row r="136" spans="1:35">
      <c r="A136" s="198">
        <v>1981</v>
      </c>
      <c r="B136" s="1162">
        <f>TableUK1!D137</f>
        <v>606.53541666666649</v>
      </c>
      <c r="C136" s="959">
        <f>TableUK1!E137</f>
        <v>1879.3404328620493</v>
      </c>
      <c r="D136" s="391">
        <f t="shared" si="59"/>
        <v>-1.6931375233691148E-2</v>
      </c>
      <c r="E136" s="390">
        <f t="shared" si="68"/>
        <v>-1.4674347008590938E-2</v>
      </c>
      <c r="F136" s="308">
        <f t="shared" si="53"/>
        <v>3.0984842454713206</v>
      </c>
      <c r="G136" s="365">
        <f>TableUK12c!C152</f>
        <v>6.4251866217798562E-2</v>
      </c>
      <c r="H136" s="365">
        <f t="shared" si="60"/>
        <v>2.4003179951247736E-2</v>
      </c>
      <c r="I136" s="365">
        <f t="shared" si="31"/>
        <v>0</v>
      </c>
      <c r="J136" s="391">
        <f t="shared" si="41"/>
        <v>-3.777090512715009E-2</v>
      </c>
      <c r="K136" s="365">
        <f t="shared" si="58"/>
        <v>-1.4674347008590938E-2</v>
      </c>
      <c r="L136" s="308">
        <f t="shared" si="55"/>
        <v>3.0984842454713206</v>
      </c>
      <c r="M136" s="365">
        <f>TableUK12c!D152</f>
        <v>6.8896827429742374E-2</v>
      </c>
      <c r="N136" s="365">
        <f t="shared" si="61"/>
        <v>2.5349556593889246E-2</v>
      </c>
      <c r="O136" s="365">
        <f t="shared" si="36"/>
        <v>0</v>
      </c>
      <c r="P136" s="365">
        <f t="shared" si="42"/>
        <v>-3.903439889849436E-2</v>
      </c>
      <c r="Q136" s="2093">
        <v>0</v>
      </c>
      <c r="R136" s="365"/>
      <c r="S136" s="365"/>
      <c r="T136" s="365"/>
      <c r="U136" s="365"/>
      <c r="V136" s="376">
        <f t="shared" si="69"/>
        <v>4.329847897734604</v>
      </c>
      <c r="W136" s="377">
        <f t="shared" si="70"/>
        <v>1.7596000000000001E-2</v>
      </c>
      <c r="X136" s="378">
        <f t="shared" si="71"/>
        <v>4.3960163981734839</v>
      </c>
      <c r="Y136" s="379">
        <f t="shared" si="72"/>
        <v>2.7226500000000001E-2</v>
      </c>
      <c r="AB136" s="300">
        <f t="shared" si="62"/>
        <v>0.98532565299140906</v>
      </c>
      <c r="AC136" s="300">
        <f t="shared" si="63"/>
        <v>1.0240031799512477</v>
      </c>
      <c r="AD136" s="300">
        <f t="shared" si="37"/>
        <v>1</v>
      </c>
      <c r="AE136" s="300">
        <f t="shared" si="64"/>
        <v>0.96222909487284991</v>
      </c>
      <c r="AF136" s="366">
        <f t="shared" si="65"/>
        <v>0.98532565299140906</v>
      </c>
      <c r="AG136" s="300">
        <f t="shared" si="66"/>
        <v>1.0253495565938893</v>
      </c>
      <c r="AH136" s="300">
        <f t="shared" si="43"/>
        <v>1</v>
      </c>
      <c r="AI136" s="300">
        <f t="shared" si="67"/>
        <v>0.96096560110150564</v>
      </c>
    </row>
    <row r="137" spans="1:35">
      <c r="A137" s="198">
        <v>1982</v>
      </c>
      <c r="B137" s="1162">
        <f>TableUK1!D138</f>
        <v>624.49619047619046</v>
      </c>
      <c r="C137" s="959">
        <f>TableUK1!E138</f>
        <v>1963.2248763322043</v>
      </c>
      <c r="D137" s="391">
        <f t="shared" si="59"/>
        <v>2.9612077573690332E-2</v>
      </c>
      <c r="E137" s="390">
        <f t="shared" si="68"/>
        <v>4.4635044297113957E-2</v>
      </c>
      <c r="F137" s="308">
        <f t="shared" si="53"/>
        <v>3.1436939188295243</v>
      </c>
      <c r="G137" s="365">
        <f>TableUK12c!C153</f>
        <v>5.0604562211401763E-2</v>
      </c>
      <c r="H137" s="365">
        <f t="shared" si="60"/>
        <v>2.0736547656070137E-2</v>
      </c>
      <c r="I137" s="365">
        <f t="shared" si="31"/>
        <v>0</v>
      </c>
      <c r="J137" s="391">
        <f t="shared" si="41"/>
        <v>2.3412992016326184E-2</v>
      </c>
      <c r="K137" s="365">
        <f t="shared" si="58"/>
        <v>4.4635044297113957E-2</v>
      </c>
      <c r="L137" s="308">
        <f t="shared" si="55"/>
        <v>3.1436939188295243</v>
      </c>
      <c r="M137" s="365">
        <f>TableUK12c!D153</f>
        <v>5.19298598791295E-2</v>
      </c>
      <c r="N137" s="365">
        <f t="shared" si="61"/>
        <v>2.2235655233826195E-2</v>
      </c>
      <c r="O137" s="365">
        <f t="shared" si="36"/>
        <v>0</v>
      </c>
      <c r="P137" s="365">
        <f t="shared" si="42"/>
        <v>2.1912157875342508E-2</v>
      </c>
      <c r="Q137" s="2093">
        <v>0</v>
      </c>
      <c r="R137" s="365"/>
      <c r="S137" s="365"/>
      <c r="T137" s="365"/>
      <c r="U137" s="365"/>
      <c r="V137" s="376">
        <f t="shared" si="69"/>
        <v>4.3428184660925213</v>
      </c>
      <c r="W137" s="377">
        <f t="shared" si="70"/>
        <v>1.7596000000000001E-2</v>
      </c>
      <c r="X137" s="378">
        <f t="shared" si="71"/>
        <v>4.4545681674094917</v>
      </c>
      <c r="Y137" s="379">
        <f t="shared" si="72"/>
        <v>2.7226500000000001E-2</v>
      </c>
      <c r="AB137" s="300">
        <f t="shared" si="62"/>
        <v>1.044635044297114</v>
      </c>
      <c r="AC137" s="300">
        <f t="shared" si="63"/>
        <v>1.0207365476560701</v>
      </c>
      <c r="AD137" s="300">
        <f t="shared" si="37"/>
        <v>1</v>
      </c>
      <c r="AE137" s="300">
        <f t="shared" si="64"/>
        <v>1.0234129920163262</v>
      </c>
      <c r="AF137" s="366">
        <f t="shared" si="65"/>
        <v>1.044635044297114</v>
      </c>
      <c r="AG137" s="300">
        <f t="shared" si="66"/>
        <v>1.0222356552338261</v>
      </c>
      <c r="AH137" s="300">
        <f t="shared" si="43"/>
        <v>1</v>
      </c>
      <c r="AI137" s="300">
        <f t="shared" si="67"/>
        <v>1.0219121578753425</v>
      </c>
    </row>
    <row r="138" spans="1:35">
      <c r="A138" s="198">
        <v>1983</v>
      </c>
      <c r="B138" s="1162">
        <f>TableUK1!D139</f>
        <v>654.23205463182899</v>
      </c>
      <c r="C138" s="959">
        <f>TableUK1!E139</f>
        <v>2107.2393550726779</v>
      </c>
      <c r="D138" s="391">
        <f t="shared" si="59"/>
        <v>4.761576549084201E-2</v>
      </c>
      <c r="E138" s="390">
        <f t="shared" si="68"/>
        <v>7.335607880515882E-2</v>
      </c>
      <c r="F138" s="308">
        <f t="shared" si="53"/>
        <v>3.2209356606021591</v>
      </c>
      <c r="G138" s="365">
        <f>TableUK12c!C154</f>
        <v>6.7368661141944841E-2</v>
      </c>
      <c r="H138" s="365">
        <f t="shared" si="60"/>
        <v>1.6097165792222898E-2</v>
      </c>
      <c r="I138" s="365">
        <f t="shared" si="31"/>
        <v>0</v>
      </c>
      <c r="J138" s="391">
        <f t="shared" si="41"/>
        <v>5.6351808607095988E-2</v>
      </c>
      <c r="K138" s="365">
        <f t="shared" si="58"/>
        <v>7.335607880515882E-2</v>
      </c>
      <c r="L138" s="308">
        <f t="shared" si="55"/>
        <v>3.2209356606021591</v>
      </c>
      <c r="M138" s="365">
        <f>TableUK12c!D154</f>
        <v>4.1543754276590905E-2</v>
      </c>
      <c r="N138" s="365">
        <f t="shared" si="61"/>
        <v>1.6518739171167238E-2</v>
      </c>
      <c r="O138" s="365">
        <f t="shared" si="36"/>
        <v>0</v>
      </c>
      <c r="P138" s="365">
        <f t="shared" si="42"/>
        <v>5.5913715550718557E-2</v>
      </c>
      <c r="Q138" s="2093">
        <v>0</v>
      </c>
      <c r="R138" s="365"/>
      <c r="S138" s="365"/>
      <c r="T138" s="365"/>
      <c r="U138" s="365"/>
      <c r="V138" s="376">
        <f t="shared" si="69"/>
        <v>4.2675280834622384</v>
      </c>
      <c r="W138" s="377">
        <f t="shared" si="70"/>
        <v>1.7596000000000001E-2</v>
      </c>
      <c r="X138" s="378">
        <f t="shared" si="71"/>
        <v>4.418790121643184</v>
      </c>
      <c r="Y138" s="379">
        <f t="shared" si="72"/>
        <v>2.7226500000000001E-2</v>
      </c>
      <c r="AB138" s="300">
        <f t="shared" si="62"/>
        <v>1.0733560788051588</v>
      </c>
      <c r="AC138" s="300">
        <f t="shared" si="63"/>
        <v>1.0160971657922229</v>
      </c>
      <c r="AD138" s="300">
        <f t="shared" si="37"/>
        <v>1</v>
      </c>
      <c r="AE138" s="300">
        <f t="shared" si="64"/>
        <v>1.056351808607096</v>
      </c>
      <c r="AF138" s="366">
        <f t="shared" si="65"/>
        <v>1.0733560788051588</v>
      </c>
      <c r="AG138" s="300">
        <f t="shared" si="66"/>
        <v>1.0165187391711672</v>
      </c>
      <c r="AH138" s="300">
        <f t="shared" si="43"/>
        <v>1</v>
      </c>
      <c r="AI138" s="300">
        <f t="shared" si="67"/>
        <v>1.0559137155507186</v>
      </c>
    </row>
    <row r="139" spans="1:35">
      <c r="A139" s="198">
        <v>1984</v>
      </c>
      <c r="B139" s="1162">
        <f>TableUK1!D140</f>
        <v>673.74538548752832</v>
      </c>
      <c r="C139" s="959">
        <f>TableUK1!E140</f>
        <v>2239.8911253502838</v>
      </c>
      <c r="D139" s="391">
        <f t="shared" si="59"/>
        <v>2.9826314252793029E-2</v>
      </c>
      <c r="E139" s="390">
        <f t="shared" si="68"/>
        <v>6.2950499646980518E-2</v>
      </c>
      <c r="F139" s="308">
        <f t="shared" si="53"/>
        <v>3.3245364993920932</v>
      </c>
      <c r="G139" s="365">
        <f>TableUK12c!C155</f>
        <v>7.7662489173280516E-2</v>
      </c>
      <c r="H139" s="365">
        <f t="shared" si="60"/>
        <v>2.0915866766910259E-2</v>
      </c>
      <c r="I139" s="365">
        <f t="shared" ref="I139:I165" si="73">Q139/F139</f>
        <v>0</v>
      </c>
      <c r="J139" s="391">
        <f t="shared" si="41"/>
        <v>4.1173454393639508E-2</v>
      </c>
      <c r="K139" s="365">
        <f t="shared" si="58"/>
        <v>6.2950499646980518E-2</v>
      </c>
      <c r="L139" s="308">
        <f t="shared" si="55"/>
        <v>3.3245364993920932</v>
      </c>
      <c r="M139" s="365">
        <f>TableUK12c!D155</f>
        <v>4.8397645519947671E-2</v>
      </c>
      <c r="N139" s="365">
        <f t="shared" si="61"/>
        <v>1.2898039158231504E-2</v>
      </c>
      <c r="O139" s="365">
        <f t="shared" si="36"/>
        <v>0</v>
      </c>
      <c r="P139" s="365">
        <f t="shared" si="42"/>
        <v>4.9415102560910418E-2</v>
      </c>
      <c r="Q139" s="2093">
        <v>0</v>
      </c>
      <c r="R139" s="365"/>
      <c r="S139" s="365"/>
      <c r="T139" s="365"/>
      <c r="U139" s="365"/>
      <c r="V139" s="376">
        <f t="shared" si="69"/>
        <v>4.2834151027912277</v>
      </c>
      <c r="W139" s="377">
        <f t="shared" si="70"/>
        <v>1.7596000000000001E-2</v>
      </c>
      <c r="X139" s="378">
        <f t="shared" si="71"/>
        <v>4.4490736862913476</v>
      </c>
      <c r="Y139" s="379">
        <f t="shared" si="72"/>
        <v>2.7226500000000001E-2</v>
      </c>
      <c r="AB139" s="300">
        <f t="shared" si="62"/>
        <v>1.0629504996469805</v>
      </c>
      <c r="AC139" s="300">
        <f t="shared" si="63"/>
        <v>1.0209158667669103</v>
      </c>
      <c r="AD139" s="300">
        <f t="shared" si="37"/>
        <v>1</v>
      </c>
      <c r="AE139" s="300">
        <f t="shared" si="64"/>
        <v>1.0411734543936395</v>
      </c>
      <c r="AF139" s="366">
        <f t="shared" si="65"/>
        <v>1.0629504996469805</v>
      </c>
      <c r="AG139" s="300">
        <f t="shared" si="66"/>
        <v>1.0128980391582314</v>
      </c>
      <c r="AH139" s="300">
        <f t="shared" si="43"/>
        <v>1</v>
      </c>
      <c r="AI139" s="300">
        <f t="shared" si="67"/>
        <v>1.0494151025609104</v>
      </c>
    </row>
    <row r="140" spans="1:35">
      <c r="A140" s="198">
        <v>1985</v>
      </c>
      <c r="B140" s="1162">
        <f>TableUK1!D141</f>
        <v>696.42971030042918</v>
      </c>
      <c r="C140" s="959">
        <f>TableUK1!E141</f>
        <v>2355.3506339249093</v>
      </c>
      <c r="D140" s="391">
        <f t="shared" si="59"/>
        <v>3.3668987278460127E-2</v>
      </c>
      <c r="E140" s="390">
        <f t="shared" si="68"/>
        <v>5.1546928896630817E-2</v>
      </c>
      <c r="F140" s="308">
        <f t="shared" si="53"/>
        <v>3.382036405237288</v>
      </c>
      <c r="G140" s="365">
        <f>TableUK12c!C156</f>
        <v>7.5590271039523899E-2</v>
      </c>
      <c r="H140" s="365">
        <f t="shared" si="60"/>
        <v>2.3360396009332866E-2</v>
      </c>
      <c r="I140" s="365">
        <f t="shared" si="73"/>
        <v>0</v>
      </c>
      <c r="J140" s="391">
        <f t="shared" si="41"/>
        <v>2.7543114817823122E-2</v>
      </c>
      <c r="K140" s="365">
        <f t="shared" ref="K140:K165" si="74">(1+D140)*(L140/L139)-1</f>
        <v>5.1546928896630817E-2</v>
      </c>
      <c r="L140" s="308">
        <f t="shared" si="55"/>
        <v>3.382036405237288</v>
      </c>
      <c r="M140" s="365">
        <f>TableUK12c!D156</f>
        <v>4.2882786726178929E-2</v>
      </c>
      <c r="N140" s="365">
        <f t="shared" si="61"/>
        <v>1.455771218899158E-2</v>
      </c>
      <c r="O140" s="365">
        <f t="shared" ref="O140:O165" si="75">Q140/L140</f>
        <v>0</v>
      </c>
      <c r="P140" s="365">
        <f t="shared" si="42"/>
        <v>3.6458464869220775E-2</v>
      </c>
      <c r="Q140" s="2093">
        <v>0</v>
      </c>
      <c r="R140" s="365"/>
      <c r="S140" s="365"/>
      <c r="T140" s="365"/>
      <c r="U140" s="365"/>
      <c r="V140" s="376">
        <f t="shared" si="69"/>
        <v>4.2932652211584754</v>
      </c>
      <c r="W140" s="377">
        <f t="shared" si="70"/>
        <v>1.7596000000000001E-2</v>
      </c>
      <c r="X140" s="378">
        <f t="shared" si="71"/>
        <v>4.4694402094722951</v>
      </c>
      <c r="Y140" s="379">
        <f t="shared" si="72"/>
        <v>2.7226500000000001E-2</v>
      </c>
      <c r="AB140" s="300">
        <f t="shared" si="62"/>
        <v>1.0515469288966308</v>
      </c>
      <c r="AC140" s="300">
        <f t="shared" si="63"/>
        <v>1.0233603960093329</v>
      </c>
      <c r="AD140" s="300">
        <f t="shared" ref="AD140:AD165" si="76">1+I139</f>
        <v>1</v>
      </c>
      <c r="AE140" s="300">
        <f t="shared" si="64"/>
        <v>1.0275431148178231</v>
      </c>
      <c r="AF140" s="366">
        <f t="shared" si="65"/>
        <v>1.0515469288966308</v>
      </c>
      <c r="AG140" s="300">
        <f t="shared" si="66"/>
        <v>1.0145577121889915</v>
      </c>
      <c r="AH140" s="300">
        <f t="shared" si="43"/>
        <v>1</v>
      </c>
      <c r="AI140" s="300">
        <f t="shared" si="67"/>
        <v>1.0364584648692208</v>
      </c>
    </row>
    <row r="141" spans="1:35">
      <c r="A141" s="198">
        <v>1986</v>
      </c>
      <c r="B141" s="1162">
        <f>TableUK1!D142</f>
        <v>728.70192360995838</v>
      </c>
      <c r="C141" s="959">
        <f>TableUK1!E142</f>
        <v>2630.4369194545643</v>
      </c>
      <c r="D141" s="391">
        <f t="shared" si="59"/>
        <v>4.6339512562735719E-2</v>
      </c>
      <c r="E141" s="390">
        <f t="shared" si="68"/>
        <v>0.11679207399845026</v>
      </c>
      <c r="F141" s="308">
        <f t="shared" si="53"/>
        <v>3.6097570683270486</v>
      </c>
      <c r="G141" s="365">
        <f>TableUK12c!C157</f>
        <v>6.4936849936805097E-2</v>
      </c>
      <c r="H141" s="365">
        <f t="shared" si="60"/>
        <v>2.2350519622576441E-2</v>
      </c>
      <c r="I141" s="365">
        <f t="shared" si="73"/>
        <v>0</v>
      </c>
      <c r="J141" s="391">
        <f t="shared" ref="J141:J165" si="77">(1+$E141)/((1+H141)*(1+I140))-1</f>
        <v>9.2376883038841839E-2</v>
      </c>
      <c r="K141" s="365">
        <f t="shared" si="74"/>
        <v>0.11679207399845026</v>
      </c>
      <c r="L141" s="308">
        <f t="shared" si="55"/>
        <v>3.6097570683270486</v>
      </c>
      <c r="M141" s="365">
        <f>TableUK12c!D157</f>
        <v>3.3587407635375981E-2</v>
      </c>
      <c r="N141" s="365">
        <f t="shared" si="61"/>
        <v>1.2679575731287912E-2</v>
      </c>
      <c r="O141" s="365">
        <f t="shared" si="75"/>
        <v>0</v>
      </c>
      <c r="P141" s="365">
        <f t="shared" ref="P141:P165" si="78">(1+K141)/((1+N141)*(1+O140))-1</f>
        <v>0.10280892472031877</v>
      </c>
      <c r="Q141" s="2093">
        <v>0</v>
      </c>
      <c r="R141" s="365"/>
      <c r="S141" s="365"/>
      <c r="T141" s="365"/>
      <c r="U141" s="365"/>
      <c r="V141" s="376">
        <f t="shared" si="69"/>
        <v>4.2488406679301045</v>
      </c>
      <c r="W141" s="377">
        <f t="shared" si="70"/>
        <v>1.7596000000000001E-2</v>
      </c>
      <c r="X141" s="378">
        <f t="shared" si="71"/>
        <v>4.4298984245580222</v>
      </c>
      <c r="Y141" s="379">
        <f t="shared" si="72"/>
        <v>2.7226500000000001E-2</v>
      </c>
      <c r="AB141" s="300">
        <f t="shared" si="62"/>
        <v>1.1167920739984503</v>
      </c>
      <c r="AC141" s="300">
        <f t="shared" si="63"/>
        <v>1.0223505196225764</v>
      </c>
      <c r="AD141" s="300">
        <f t="shared" si="76"/>
        <v>1</v>
      </c>
      <c r="AE141" s="300">
        <f t="shared" si="64"/>
        <v>1.0923768830388418</v>
      </c>
      <c r="AF141" s="366">
        <f t="shared" si="65"/>
        <v>1.1167920739984503</v>
      </c>
      <c r="AG141" s="300">
        <f t="shared" si="66"/>
        <v>1.0126795757312879</v>
      </c>
      <c r="AH141" s="300">
        <f t="shared" ref="AH141:AH165" si="79">1+O140</f>
        <v>1</v>
      </c>
      <c r="AI141" s="300">
        <f t="shared" si="67"/>
        <v>1.1028089247203188</v>
      </c>
    </row>
    <row r="142" spans="1:35">
      <c r="A142" s="198">
        <v>1987</v>
      </c>
      <c r="B142" s="1162">
        <f>TableUK1!D143</f>
        <v>756.20355314960636</v>
      </c>
      <c r="C142" s="959">
        <f>TableUK1!E143</f>
        <v>2867.341028977708</v>
      </c>
      <c r="D142" s="391">
        <f t="shared" si="59"/>
        <v>3.7740574916292458E-2</v>
      </c>
      <c r="E142" s="390">
        <f t="shared" si="68"/>
        <v>9.0062646160040671E-2</v>
      </c>
      <c r="F142" s="308">
        <f t="shared" si="53"/>
        <v>3.7917582072117515</v>
      </c>
      <c r="G142" s="365">
        <f>TableUK12c!C158</f>
        <v>6.6130045782339372E-2</v>
      </c>
      <c r="H142" s="365">
        <f t="shared" si="60"/>
        <v>1.7989257644670326E-2</v>
      </c>
      <c r="I142" s="365">
        <f t="shared" si="73"/>
        <v>0</v>
      </c>
      <c r="J142" s="391">
        <f t="shared" si="77"/>
        <v>7.0799753508329788E-2</v>
      </c>
      <c r="K142" s="365">
        <f t="shared" si="74"/>
        <v>9.0062646160040671E-2</v>
      </c>
      <c r="L142" s="308">
        <f t="shared" si="55"/>
        <v>3.7917582072117515</v>
      </c>
      <c r="M142" s="365">
        <f>TableUK12c!D158</f>
        <v>9.5998737789335931E-3</v>
      </c>
      <c r="N142" s="365">
        <f t="shared" si="61"/>
        <v>9.3046171804968998E-3</v>
      </c>
      <c r="O142" s="365">
        <f t="shared" si="75"/>
        <v>0</v>
      </c>
      <c r="P142" s="365">
        <f t="shared" si="78"/>
        <v>8.0013533679398119E-2</v>
      </c>
      <c r="Q142" s="2093">
        <v>0</v>
      </c>
      <c r="R142" s="365"/>
      <c r="S142" s="365"/>
      <c r="T142" s="365"/>
      <c r="U142" s="365"/>
      <c r="V142" s="376">
        <f t="shared" si="69"/>
        <v>4.2300386562656875</v>
      </c>
      <c r="W142" s="377">
        <f t="shared" si="70"/>
        <v>1.7596000000000001E-2</v>
      </c>
      <c r="X142" s="378">
        <f t="shared" si="71"/>
        <v>4.4182631382351554</v>
      </c>
      <c r="Y142" s="379">
        <f t="shared" si="72"/>
        <v>2.7226500000000001E-2</v>
      </c>
      <c r="AB142" s="300">
        <f t="shared" si="62"/>
        <v>1.0900626461600407</v>
      </c>
      <c r="AC142" s="300">
        <f t="shared" si="63"/>
        <v>1.0179892576446703</v>
      </c>
      <c r="AD142" s="300">
        <f t="shared" si="76"/>
        <v>1</v>
      </c>
      <c r="AE142" s="300">
        <f t="shared" si="64"/>
        <v>1.0707997535083298</v>
      </c>
      <c r="AF142" s="366">
        <f t="shared" si="65"/>
        <v>1.0900626461600407</v>
      </c>
      <c r="AG142" s="300">
        <f t="shared" si="66"/>
        <v>1.0093046171804969</v>
      </c>
      <c r="AH142" s="300">
        <f t="shared" si="79"/>
        <v>1</v>
      </c>
      <c r="AI142" s="300">
        <f t="shared" si="67"/>
        <v>1.0800135336793981</v>
      </c>
    </row>
    <row r="143" spans="1:35">
      <c r="A143" s="198">
        <v>1988</v>
      </c>
      <c r="B143" s="1162">
        <f>TableUK1!D144</f>
        <v>798.20970370370367</v>
      </c>
      <c r="C143" s="959">
        <f>TableUK1!E144</f>
        <v>3208.7760324074075</v>
      </c>
      <c r="D143" s="391">
        <f t="shared" si="59"/>
        <v>5.5548734701312386E-2</v>
      </c>
      <c r="E143" s="390">
        <f t="shared" si="68"/>
        <v>0.11907722171137447</v>
      </c>
      <c r="F143" s="308">
        <f t="shared" si="53"/>
        <v>4.0199662037665593</v>
      </c>
      <c r="G143" s="365">
        <f>TableUK12c!C159</f>
        <v>4.9406990050233725E-2</v>
      </c>
      <c r="H143" s="365">
        <f t="shared" si="60"/>
        <v>1.7440470137722135E-2</v>
      </c>
      <c r="I143" s="365">
        <f t="shared" si="73"/>
        <v>0</v>
      </c>
      <c r="J143" s="391">
        <f t="shared" si="77"/>
        <v>9.9894543766176902E-2</v>
      </c>
      <c r="K143" s="365">
        <f t="shared" si="74"/>
        <v>0.11907722171137447</v>
      </c>
      <c r="L143" s="308">
        <f t="shared" si="55"/>
        <v>4.0199662037665593</v>
      </c>
      <c r="M143" s="365">
        <f>TableUK12c!D159</f>
        <v>-3.837836265249521E-3</v>
      </c>
      <c r="N143" s="365">
        <f t="shared" si="61"/>
        <v>2.5317737192933534E-3</v>
      </c>
      <c r="O143" s="365">
        <f t="shared" si="75"/>
        <v>0</v>
      </c>
      <c r="P143" s="365">
        <f t="shared" si="78"/>
        <v>0.11625112644530855</v>
      </c>
      <c r="Q143" s="2093">
        <v>0</v>
      </c>
      <c r="R143" s="365"/>
      <c r="S143" s="365"/>
      <c r="T143" s="365"/>
      <c r="U143" s="365"/>
      <c r="V143" s="376">
        <f t="shared" si="69"/>
        <v>4.1416980029504158</v>
      </c>
      <c r="W143" s="377">
        <f t="shared" si="70"/>
        <v>1.7596000000000001E-2</v>
      </c>
      <c r="X143" s="378">
        <f t="shared" si="71"/>
        <v>4.309055635974735</v>
      </c>
      <c r="Y143" s="379">
        <f t="shared" si="72"/>
        <v>2.7226500000000001E-2</v>
      </c>
      <c r="AB143" s="300">
        <f t="shared" si="62"/>
        <v>1.1190772217113745</v>
      </c>
      <c r="AC143" s="300">
        <f t="shared" si="63"/>
        <v>1.0174404701377222</v>
      </c>
      <c r="AD143" s="300">
        <f t="shared" si="76"/>
        <v>1</v>
      </c>
      <c r="AE143" s="300">
        <f t="shared" si="64"/>
        <v>1.0998945437661769</v>
      </c>
      <c r="AF143" s="366">
        <f t="shared" si="65"/>
        <v>1.1190772217113745</v>
      </c>
      <c r="AG143" s="300">
        <f t="shared" si="66"/>
        <v>1.0025317737192934</v>
      </c>
      <c r="AH143" s="300">
        <f t="shared" si="79"/>
        <v>1</v>
      </c>
      <c r="AI143" s="300">
        <f t="shared" si="67"/>
        <v>1.1162511264453086</v>
      </c>
    </row>
    <row r="144" spans="1:35">
      <c r="A144" s="214">
        <v>1989</v>
      </c>
      <c r="B144" s="1163">
        <f>TableUK1!D145</f>
        <v>813.46043103448278</v>
      </c>
      <c r="C144" s="1171">
        <f>TableUK1!E145</f>
        <v>3540.362706896552</v>
      </c>
      <c r="D144" s="1172">
        <f t="shared" si="59"/>
        <v>1.9106166286898763E-2</v>
      </c>
      <c r="E144" s="1181">
        <f t="shared" si="68"/>
        <v>0.10333743182454813</v>
      </c>
      <c r="F144" s="550">
        <f t="shared" si="53"/>
        <v>4.3522248554785268</v>
      </c>
      <c r="G144" s="1184">
        <f>TableUK12c!C160</f>
        <v>4.1644333207823001E-2</v>
      </c>
      <c r="H144" s="1184">
        <f t="shared" si="60"/>
        <v>1.2290399358069529E-2</v>
      </c>
      <c r="I144" s="1184">
        <f t="shared" si="73"/>
        <v>0</v>
      </c>
      <c r="J144" s="1172">
        <f t="shared" si="77"/>
        <v>8.9941614110155221E-2</v>
      </c>
      <c r="K144" s="1184">
        <f t="shared" si="74"/>
        <v>0.10333743182454813</v>
      </c>
      <c r="L144" s="550">
        <f t="shared" si="55"/>
        <v>4.3522248554785268</v>
      </c>
      <c r="M144" s="1184">
        <f>TableUK12c!D160</f>
        <v>1.3488670845422934E-2</v>
      </c>
      <c r="N144" s="1184">
        <f t="shared" si="61"/>
        <v>-9.546936642535976E-4</v>
      </c>
      <c r="O144" s="1184">
        <f t="shared" si="75"/>
        <v>0</v>
      </c>
      <c r="P144" s="1184">
        <f t="shared" si="78"/>
        <v>0.10439178766708768</v>
      </c>
      <c r="Q144" s="2092">
        <v>0</v>
      </c>
      <c r="R144" s="365"/>
      <c r="S144" s="365"/>
      <c r="T144" s="365"/>
      <c r="U144" s="365"/>
      <c r="V144" s="376">
        <f t="shared" si="69"/>
        <v>4.1848943883799921</v>
      </c>
      <c r="W144" s="377">
        <f t="shared" si="70"/>
        <v>1.7596000000000001E-2</v>
      </c>
      <c r="X144" s="378">
        <f t="shared" si="71"/>
        <v>4.3395221797610759</v>
      </c>
      <c r="Y144" s="379">
        <f t="shared" si="72"/>
        <v>2.7226500000000001E-2</v>
      </c>
      <c r="AB144" s="300">
        <f t="shared" si="62"/>
        <v>1.1033374318245481</v>
      </c>
      <c r="AC144" s="300">
        <f t="shared" si="63"/>
        <v>1.0122903993580696</v>
      </c>
      <c r="AD144" s="300">
        <f t="shared" si="76"/>
        <v>1</v>
      </c>
      <c r="AE144" s="300">
        <f t="shared" si="64"/>
        <v>1.0899416141101552</v>
      </c>
      <c r="AF144" s="366">
        <f t="shared" si="65"/>
        <v>1.1033374318245481</v>
      </c>
      <c r="AG144" s="300">
        <f t="shared" si="66"/>
        <v>0.9990453063357464</v>
      </c>
      <c r="AH144" s="300">
        <f t="shared" si="79"/>
        <v>1</v>
      </c>
      <c r="AI144" s="300">
        <f t="shared" si="67"/>
        <v>1.1043917876670877</v>
      </c>
    </row>
    <row r="145" spans="1:35">
      <c r="A145" s="198">
        <v>1990</v>
      </c>
      <c r="B145" s="1162">
        <f>TableUK1!D146</f>
        <v>813.58441506410259</v>
      </c>
      <c r="C145" s="959">
        <f>TableUK1!E146</f>
        <v>3490.8869751602565</v>
      </c>
      <c r="D145" s="391">
        <f t="shared" si="59"/>
        <v>1.5241556305589654E-4</v>
      </c>
      <c r="E145" s="390">
        <f t="shared" si="68"/>
        <v>-1.3974763557394243E-2</v>
      </c>
      <c r="F145" s="308">
        <f t="shared" si="53"/>
        <v>4.2907495651636935</v>
      </c>
      <c r="G145" s="365">
        <f>TableUK12c!C161</f>
        <v>5.0072558484196658E-2</v>
      </c>
      <c r="H145" s="365">
        <f t="shared" si="60"/>
        <v>9.5685160097832792E-3</v>
      </c>
      <c r="I145" s="365">
        <f t="shared" si="73"/>
        <v>0</v>
      </c>
      <c r="J145" s="391">
        <f t="shared" si="77"/>
        <v>-2.332014043012165E-2</v>
      </c>
      <c r="K145" s="365">
        <f t="shared" si="74"/>
        <v>-1.3974763557394243E-2</v>
      </c>
      <c r="L145" s="308">
        <f t="shared" si="55"/>
        <v>4.2907495651636935</v>
      </c>
      <c r="M145" s="365">
        <f>TableUK12c!D161</f>
        <v>3.4266130111256343E-2</v>
      </c>
      <c r="N145" s="365">
        <f t="shared" si="61"/>
        <v>3.0992587224540026E-3</v>
      </c>
      <c r="O145" s="365">
        <f t="shared" si="75"/>
        <v>0</v>
      </c>
      <c r="P145" s="365">
        <f t="shared" si="78"/>
        <v>-1.7021268963545833E-2</v>
      </c>
      <c r="Q145" s="2093">
        <v>0</v>
      </c>
      <c r="R145" s="365"/>
      <c r="S145" s="365"/>
      <c r="T145" s="365"/>
      <c r="U145" s="365"/>
      <c r="V145" s="376">
        <f t="shared" si="69"/>
        <v>4.3002534713787508</v>
      </c>
      <c r="W145" s="377">
        <f t="shared" si="70"/>
        <v>1.7596000000000001E-2</v>
      </c>
      <c r="X145" s="378">
        <f t="shared" si="71"/>
        <v>4.4708466739173955</v>
      </c>
      <c r="Y145" s="379">
        <f t="shared" si="72"/>
        <v>2.7226500000000001E-2</v>
      </c>
      <c r="AB145" s="300">
        <f t="shared" si="62"/>
        <v>0.98602523644260576</v>
      </c>
      <c r="AC145" s="300">
        <f t="shared" si="63"/>
        <v>1.0095685160097834</v>
      </c>
      <c r="AD145" s="300">
        <f t="shared" si="76"/>
        <v>1</v>
      </c>
      <c r="AE145" s="300">
        <f t="shared" si="64"/>
        <v>0.97667985956987835</v>
      </c>
      <c r="AF145" s="366">
        <f t="shared" si="65"/>
        <v>0.98602523644260576</v>
      </c>
      <c r="AG145" s="300">
        <f t="shared" si="66"/>
        <v>1.0030992587224541</v>
      </c>
      <c r="AH145" s="300">
        <f t="shared" si="79"/>
        <v>1</v>
      </c>
      <c r="AI145" s="300">
        <f t="shared" si="67"/>
        <v>0.98297873103645417</v>
      </c>
    </row>
    <row r="146" spans="1:35">
      <c r="A146" s="198">
        <v>1991</v>
      </c>
      <c r="B146" s="1162">
        <f>TableUK1!D147</f>
        <v>799.8257142857143</v>
      </c>
      <c r="C146" s="959">
        <f>TableUK1!E147</f>
        <v>3342.1378571428572</v>
      </c>
      <c r="D146" s="391">
        <f t="shared" si="59"/>
        <v>-1.6911214772107219E-2</v>
      </c>
      <c r="E146" s="390">
        <f t="shared" si="68"/>
        <v>-4.261069438106635E-2</v>
      </c>
      <c r="F146" s="308">
        <f t="shared" si="53"/>
        <v>4.1785826555070926</v>
      </c>
      <c r="G146" s="365">
        <f>TableUK12c!C162</f>
        <v>5.1336005344021378E-2</v>
      </c>
      <c r="H146" s="365">
        <f t="shared" si="60"/>
        <v>1.1669886047587672E-2</v>
      </c>
      <c r="I146" s="365">
        <f t="shared" si="73"/>
        <v>0</v>
      </c>
      <c r="J146" s="391">
        <f t="shared" si="77"/>
        <v>-5.3654439236813234E-2</v>
      </c>
      <c r="K146" s="365">
        <f t="shared" si="74"/>
        <v>-4.261069438106635E-2</v>
      </c>
      <c r="L146" s="308">
        <f t="shared" si="55"/>
        <v>4.1785826555070926</v>
      </c>
      <c r="M146" s="365">
        <f>TableUK12c!D162</f>
        <v>5.6630908876576687E-2</v>
      </c>
      <c r="N146" s="365">
        <f t="shared" si="61"/>
        <v>7.9860475636846159E-3</v>
      </c>
      <c r="O146" s="365">
        <f t="shared" si="75"/>
        <v>0</v>
      </c>
      <c r="P146" s="365">
        <f t="shared" si="78"/>
        <v>-5.0195875297127324E-2</v>
      </c>
      <c r="Q146" s="2093">
        <v>0</v>
      </c>
      <c r="R146" s="365"/>
      <c r="S146" s="365"/>
      <c r="T146" s="365"/>
      <c r="U146" s="365"/>
      <c r="V146" s="376">
        <f t="shared" si="69"/>
        <v>4.5030260066065235</v>
      </c>
      <c r="W146" s="377">
        <f t="shared" si="70"/>
        <v>1.7596000000000001E-2</v>
      </c>
      <c r="X146" s="378">
        <f t="shared" si="71"/>
        <v>4.7073787508569334</v>
      </c>
      <c r="Y146" s="379">
        <f t="shared" si="72"/>
        <v>2.7226500000000001E-2</v>
      </c>
      <c r="AB146" s="300">
        <f t="shared" si="62"/>
        <v>0.95738930561893365</v>
      </c>
      <c r="AC146" s="300">
        <f t="shared" si="63"/>
        <v>1.0116698860475877</v>
      </c>
      <c r="AD146" s="300">
        <f t="shared" si="76"/>
        <v>1</v>
      </c>
      <c r="AE146" s="300">
        <f t="shared" si="64"/>
        <v>0.94634556076318677</v>
      </c>
      <c r="AF146" s="366">
        <f t="shared" si="65"/>
        <v>0.95738930561893365</v>
      </c>
      <c r="AG146" s="300">
        <f t="shared" si="66"/>
        <v>1.0079860475636846</v>
      </c>
      <c r="AH146" s="300">
        <f t="shared" si="79"/>
        <v>1</v>
      </c>
      <c r="AI146" s="300">
        <f t="shared" si="67"/>
        <v>0.94980412470287268</v>
      </c>
    </row>
    <row r="147" spans="1:35">
      <c r="A147" s="198">
        <v>1992</v>
      </c>
      <c r="B147" s="1162">
        <f>TableUK1!D148</f>
        <v>809.72809420289855</v>
      </c>
      <c r="C147" s="959">
        <f>TableUK1!E148</f>
        <v>3324.7583695652174</v>
      </c>
      <c r="D147" s="391">
        <f t="shared" si="59"/>
        <v>1.2380672114333802E-2</v>
      </c>
      <c r="E147" s="390">
        <f t="shared" si="68"/>
        <v>-5.2001109231613052E-3</v>
      </c>
      <c r="F147" s="308">
        <f t="shared" si="53"/>
        <v>4.1060182959788873</v>
      </c>
      <c r="G147" s="365">
        <f>TableUK12c!C163</f>
        <v>7.812917911243368E-2</v>
      </c>
      <c r="H147" s="365">
        <f t="shared" si="60"/>
        <v>1.2285506731897227E-2</v>
      </c>
      <c r="I147" s="365">
        <f t="shared" si="73"/>
        <v>0</v>
      </c>
      <c r="J147" s="391">
        <f t="shared" si="77"/>
        <v>-1.7273405120171836E-2</v>
      </c>
      <c r="K147" s="365">
        <f t="shared" si="74"/>
        <v>-5.2001109231613052E-3</v>
      </c>
      <c r="L147" s="308">
        <f t="shared" si="55"/>
        <v>4.1060182959788873</v>
      </c>
      <c r="M147" s="365">
        <f>TableUK12c!D163</f>
        <v>7.2480655677607725E-2</v>
      </c>
      <c r="N147" s="365">
        <f t="shared" si="61"/>
        <v>1.3552659728279142E-2</v>
      </c>
      <c r="O147" s="365">
        <f t="shared" si="75"/>
        <v>0</v>
      </c>
      <c r="P147" s="365">
        <f t="shared" si="78"/>
        <v>-1.8502019082528798E-2</v>
      </c>
      <c r="Q147" s="2093">
        <v>0</v>
      </c>
      <c r="R147" s="365"/>
      <c r="S147" s="365"/>
      <c r="T147" s="365"/>
      <c r="U147" s="365"/>
      <c r="V147" s="376">
        <f t="shared" si="69"/>
        <v>4.5778240276296254</v>
      </c>
      <c r="W147" s="377">
        <f t="shared" si="70"/>
        <v>1.7596000000000001E-2</v>
      </c>
      <c r="X147" s="378">
        <f t="shared" si="71"/>
        <v>4.8338704042164578</v>
      </c>
      <c r="Y147" s="379">
        <f t="shared" si="72"/>
        <v>2.7226500000000001E-2</v>
      </c>
      <c r="AB147" s="300">
        <f t="shared" si="62"/>
        <v>0.99479988907683869</v>
      </c>
      <c r="AC147" s="300">
        <f t="shared" si="63"/>
        <v>1.0122855067318972</v>
      </c>
      <c r="AD147" s="300">
        <f t="shared" si="76"/>
        <v>1</v>
      </c>
      <c r="AE147" s="300">
        <f t="shared" si="64"/>
        <v>0.98272659487982816</v>
      </c>
      <c r="AF147" s="366">
        <f t="shared" si="65"/>
        <v>0.99479988907683869</v>
      </c>
      <c r="AG147" s="300">
        <f t="shared" si="66"/>
        <v>1.0135526597282791</v>
      </c>
      <c r="AH147" s="300">
        <f t="shared" si="79"/>
        <v>1</v>
      </c>
      <c r="AI147" s="300">
        <f t="shared" si="67"/>
        <v>0.9814979809174712</v>
      </c>
    </row>
    <row r="148" spans="1:35">
      <c r="A148" s="198">
        <v>1993</v>
      </c>
      <c r="B148" s="1162">
        <f>TableUK1!D149</f>
        <v>828.50543661971824</v>
      </c>
      <c r="C148" s="959">
        <f>TableUK1!E149</f>
        <v>3482.8230985915498</v>
      </c>
      <c r="D148" s="391">
        <f t="shared" ref="D148:D165" si="80">B148/B147-1</f>
        <v>2.3189688676053866E-2</v>
      </c>
      <c r="E148" s="390">
        <f t="shared" si="68"/>
        <v>4.7541719263948234E-2</v>
      </c>
      <c r="F148" s="308">
        <f t="shared" si="53"/>
        <v>4.2037419969160155</v>
      </c>
      <c r="G148" s="365">
        <f>TableUK12c!C164</f>
        <v>9.6760038940643944E-2</v>
      </c>
      <c r="H148" s="365">
        <f t="shared" ref="H148:H165" si="81">G147/F147</f>
        <v>1.9027966628630776E-2</v>
      </c>
      <c r="I148" s="365">
        <f t="shared" si="73"/>
        <v>0</v>
      </c>
      <c r="J148" s="391">
        <f t="shared" si="77"/>
        <v>2.7981324918542549E-2</v>
      </c>
      <c r="K148" s="365">
        <f t="shared" si="74"/>
        <v>4.7541719263948234E-2</v>
      </c>
      <c r="L148" s="308">
        <f t="shared" si="55"/>
        <v>4.2037419969160155</v>
      </c>
      <c r="M148" s="365">
        <f>TableUK12c!D164</f>
        <v>6.6376743624180154E-2</v>
      </c>
      <c r="N148" s="365">
        <f t="shared" ref="N148:N165" si="82">M147/L147</f>
        <v>1.7652297299451784E-2</v>
      </c>
      <c r="O148" s="365">
        <f t="shared" si="75"/>
        <v>0</v>
      </c>
      <c r="P148" s="365">
        <f t="shared" si="78"/>
        <v>2.9370957097835992E-2</v>
      </c>
      <c r="Q148" s="2093">
        <v>0</v>
      </c>
      <c r="R148" s="365"/>
      <c r="S148" s="365"/>
      <c r="T148" s="365"/>
      <c r="U148" s="365"/>
      <c r="V148" s="376">
        <f t="shared" si="69"/>
        <v>4.630499517150553</v>
      </c>
      <c r="W148" s="377">
        <f t="shared" si="70"/>
        <v>1.7596000000000001E-2</v>
      </c>
      <c r="X148" s="378">
        <f t="shared" si="71"/>
        <v>4.9257081876456779</v>
      </c>
      <c r="Y148" s="379">
        <f t="shared" si="72"/>
        <v>2.7226500000000001E-2</v>
      </c>
      <c r="AB148" s="300">
        <f t="shared" ref="AB148:AB165" si="83">1+E148</f>
        <v>1.0475417192639482</v>
      </c>
      <c r="AC148" s="300">
        <f t="shared" ref="AC148:AC165" si="84">1+H148</f>
        <v>1.0190279666286308</v>
      </c>
      <c r="AD148" s="300">
        <f t="shared" si="76"/>
        <v>1</v>
      </c>
      <c r="AE148" s="300">
        <f t="shared" ref="AE148:AE165" si="85">1+J148</f>
        <v>1.0279813249185425</v>
      </c>
      <c r="AF148" s="366">
        <f t="shared" ref="AF148:AF165" si="86">1+K148</f>
        <v>1.0475417192639482</v>
      </c>
      <c r="AG148" s="300">
        <f t="shared" ref="AG148:AG165" si="87">1+N148</f>
        <v>1.0176522972994517</v>
      </c>
      <c r="AH148" s="300">
        <f t="shared" si="79"/>
        <v>1</v>
      </c>
      <c r="AI148" s="300">
        <f t="shared" ref="AI148:AI165" si="88">1+P148</f>
        <v>1.029370957097836</v>
      </c>
    </row>
    <row r="149" spans="1:35">
      <c r="A149" s="198">
        <v>1994</v>
      </c>
      <c r="B149" s="1162">
        <f>TableUK1!D150</f>
        <v>876.33902912621363</v>
      </c>
      <c r="C149" s="959">
        <f>TableUK1!E150</f>
        <v>3606.2065880721225</v>
      </c>
      <c r="D149" s="391">
        <f t="shared" si="80"/>
        <v>5.7734796167005609E-2</v>
      </c>
      <c r="E149" s="390">
        <f t="shared" si="68"/>
        <v>3.5426286661090822E-2</v>
      </c>
      <c r="F149" s="308">
        <f t="shared" si="53"/>
        <v>4.1150815702774581</v>
      </c>
      <c r="G149" s="365">
        <f>TableUK12c!C165</f>
        <v>0.10470004895539764</v>
      </c>
      <c r="H149" s="365">
        <f t="shared" si="81"/>
        <v>2.3017596943777675E-2</v>
      </c>
      <c r="I149" s="365">
        <f t="shared" si="73"/>
        <v>0</v>
      </c>
      <c r="J149" s="391">
        <f t="shared" si="77"/>
        <v>1.2129497825241309E-2</v>
      </c>
      <c r="K149" s="365">
        <f t="shared" si="74"/>
        <v>3.5426286661090822E-2</v>
      </c>
      <c r="L149" s="308">
        <f t="shared" si="55"/>
        <v>4.1150815702774581</v>
      </c>
      <c r="M149" s="365">
        <f>TableUK12c!D165</f>
        <v>4.9117479723203537E-2</v>
      </c>
      <c r="N149" s="365">
        <f t="shared" si="82"/>
        <v>1.5789918523276648E-2</v>
      </c>
      <c r="O149" s="365">
        <f t="shared" si="75"/>
        <v>0</v>
      </c>
      <c r="P149" s="365">
        <f t="shared" si="78"/>
        <v>1.9331131151961944E-2</v>
      </c>
      <c r="Q149" s="2093">
        <v>0</v>
      </c>
      <c r="R149" s="365"/>
      <c r="S149" s="365"/>
      <c r="T149" s="365"/>
      <c r="U149" s="365"/>
      <c r="V149" s="376">
        <f t="shared" si="69"/>
        <v>4.5478700640955916</v>
      </c>
      <c r="W149" s="377">
        <f t="shared" si="70"/>
        <v>1.7596000000000001E-2</v>
      </c>
      <c r="X149" s="378">
        <f t="shared" si="71"/>
        <v>4.8480979828155508</v>
      </c>
      <c r="Y149" s="379">
        <f t="shared" si="72"/>
        <v>2.7226500000000001E-2</v>
      </c>
      <c r="AB149" s="300">
        <f t="shared" si="83"/>
        <v>1.0354262866610908</v>
      </c>
      <c r="AC149" s="300">
        <f t="shared" si="84"/>
        <v>1.0230175969437776</v>
      </c>
      <c r="AD149" s="300">
        <f t="shared" si="76"/>
        <v>1</v>
      </c>
      <c r="AE149" s="300">
        <f t="shared" si="85"/>
        <v>1.0121294978252413</v>
      </c>
      <c r="AF149" s="366">
        <f t="shared" si="86"/>
        <v>1.0354262866610908</v>
      </c>
      <c r="AG149" s="300">
        <f t="shared" si="87"/>
        <v>1.0157899185232766</v>
      </c>
      <c r="AH149" s="300">
        <f t="shared" si="79"/>
        <v>1</v>
      </c>
      <c r="AI149" s="300">
        <f t="shared" si="88"/>
        <v>1.0193311311519619</v>
      </c>
    </row>
    <row r="150" spans="1:35">
      <c r="A150" s="198">
        <v>1995</v>
      </c>
      <c r="B150" s="1162">
        <f>TableUK1!D151</f>
        <v>901.48054729729733</v>
      </c>
      <c r="C150" s="959">
        <f>TableUK1!E151</f>
        <v>3636.4721993243243</v>
      </c>
      <c r="D150" s="391">
        <f t="shared" si="80"/>
        <v>2.8689259904528086E-2</v>
      </c>
      <c r="E150" s="390">
        <f t="shared" si="68"/>
        <v>8.392644878501665E-3</v>
      </c>
      <c r="F150" s="308">
        <f t="shared" si="53"/>
        <v>4.0338887070017497</v>
      </c>
      <c r="G150" s="365">
        <f>TableUK12c!C166</f>
        <v>0.101967670735891</v>
      </c>
      <c r="H150" s="365">
        <f t="shared" si="81"/>
        <v>2.5443006941011443E-2</v>
      </c>
      <c r="I150" s="365">
        <f t="shared" si="73"/>
        <v>0</v>
      </c>
      <c r="J150" s="391">
        <f t="shared" si="77"/>
        <v>-1.6627313216921236E-2</v>
      </c>
      <c r="K150" s="365">
        <f t="shared" si="74"/>
        <v>8.392644878501665E-3</v>
      </c>
      <c r="L150" s="308">
        <f t="shared" si="55"/>
        <v>4.0338887070017497</v>
      </c>
      <c r="M150" s="365">
        <f>TableUK12c!D166</f>
        <v>5.6826067681857988E-2</v>
      </c>
      <c r="N150" s="365">
        <f t="shared" si="82"/>
        <v>1.1935967461245684E-2</v>
      </c>
      <c r="O150" s="365">
        <f t="shared" si="75"/>
        <v>0</v>
      </c>
      <c r="P150" s="365">
        <f t="shared" si="78"/>
        <v>-3.5015284530635071E-3</v>
      </c>
      <c r="Q150" s="2093">
        <v>0</v>
      </c>
      <c r="R150" s="365"/>
      <c r="S150" s="365"/>
      <c r="T150" s="365"/>
      <c r="U150" s="365"/>
      <c r="V150" s="376">
        <f t="shared" si="69"/>
        <v>4.6023973626395529</v>
      </c>
      <c r="W150" s="377">
        <f t="shared" si="70"/>
        <v>1.7596000000000001E-2</v>
      </c>
      <c r="X150" s="378">
        <f t="shared" si="71"/>
        <v>4.8902517945958222</v>
      </c>
      <c r="Y150" s="379">
        <f t="shared" si="72"/>
        <v>2.7226500000000001E-2</v>
      </c>
      <c r="AB150" s="300">
        <f t="shared" si="83"/>
        <v>1.0083926448785017</v>
      </c>
      <c r="AC150" s="300">
        <f t="shared" si="84"/>
        <v>1.0254430069410114</v>
      </c>
      <c r="AD150" s="300">
        <f t="shared" si="76"/>
        <v>1</v>
      </c>
      <c r="AE150" s="300">
        <f t="shared" si="85"/>
        <v>0.98337268678307876</v>
      </c>
      <c r="AF150" s="366">
        <f t="shared" si="86"/>
        <v>1.0083926448785017</v>
      </c>
      <c r="AG150" s="300">
        <f t="shared" si="87"/>
        <v>1.0119359674612456</v>
      </c>
      <c r="AH150" s="300">
        <f t="shared" si="79"/>
        <v>1</v>
      </c>
      <c r="AI150" s="300">
        <f t="shared" si="88"/>
        <v>0.99649847154693649</v>
      </c>
    </row>
    <row r="151" spans="1:35">
      <c r="A151" s="198">
        <v>1996</v>
      </c>
      <c r="B151" s="1162">
        <f>TableUK1!D152</f>
        <v>930.74757496740551</v>
      </c>
      <c r="C151" s="959">
        <f>TableUK1!E152</f>
        <v>3820.0642601043028</v>
      </c>
      <c r="D151" s="391">
        <f t="shared" si="80"/>
        <v>3.2465512159805199E-2</v>
      </c>
      <c r="E151" s="390">
        <f t="shared" si="68"/>
        <v>5.0486309455106237E-2</v>
      </c>
      <c r="F151" s="308">
        <f t="shared" si="53"/>
        <v>4.1042967640695496</v>
      </c>
      <c r="G151" s="365">
        <f>TableUK12c!C167</f>
        <v>9.262495937886997E-2</v>
      </c>
      <c r="H151" s="365">
        <f t="shared" si="81"/>
        <v>2.527776003311704E-2</v>
      </c>
      <c r="I151" s="365">
        <f t="shared" si="73"/>
        <v>0</v>
      </c>
      <c r="J151" s="391">
        <f t="shared" si="77"/>
        <v>2.4587044023245852E-2</v>
      </c>
      <c r="K151" s="365">
        <f t="shared" si="74"/>
        <v>5.0486309455106237E-2</v>
      </c>
      <c r="L151" s="308">
        <f t="shared" si="55"/>
        <v>4.1042967640695496</v>
      </c>
      <c r="M151" s="365">
        <f>TableUK12c!D167</f>
        <v>4.8484795254866479E-2</v>
      </c>
      <c r="N151" s="365">
        <f t="shared" si="82"/>
        <v>1.4087167943732102E-2</v>
      </c>
      <c r="O151" s="365">
        <f t="shared" si="75"/>
        <v>0</v>
      </c>
      <c r="P151" s="365">
        <f t="shared" si="78"/>
        <v>3.5893503696709628E-2</v>
      </c>
      <c r="Q151" s="2093">
        <v>0</v>
      </c>
      <c r="R151" s="365"/>
      <c r="S151" s="365"/>
      <c r="T151" s="365"/>
      <c r="U151" s="365"/>
      <c r="V151" s="376">
        <f t="shared" si="69"/>
        <v>4.6366130239919947</v>
      </c>
      <c r="W151" s="377">
        <f t="shared" si="70"/>
        <v>1.7596000000000001E-2</v>
      </c>
      <c r="X151" s="378">
        <f t="shared" si="71"/>
        <v>4.9219750372721665</v>
      </c>
      <c r="Y151" s="379">
        <f t="shared" si="72"/>
        <v>2.7226500000000001E-2</v>
      </c>
      <c r="AB151" s="300">
        <f t="shared" si="83"/>
        <v>1.0504863094551062</v>
      </c>
      <c r="AC151" s="300">
        <f t="shared" si="84"/>
        <v>1.0252777600331171</v>
      </c>
      <c r="AD151" s="300">
        <f t="shared" si="76"/>
        <v>1</v>
      </c>
      <c r="AE151" s="300">
        <f t="shared" si="85"/>
        <v>1.0245870440232459</v>
      </c>
      <c r="AF151" s="366">
        <f t="shared" si="86"/>
        <v>1.0504863094551062</v>
      </c>
      <c r="AG151" s="300">
        <f t="shared" si="87"/>
        <v>1.014087167943732</v>
      </c>
      <c r="AH151" s="300">
        <f t="shared" si="79"/>
        <v>1</v>
      </c>
      <c r="AI151" s="300">
        <f t="shared" si="88"/>
        <v>1.0358935036967096</v>
      </c>
    </row>
    <row r="152" spans="1:35">
      <c r="A152" s="198">
        <v>1997</v>
      </c>
      <c r="B152" s="1162">
        <f>TableUK1!D153</f>
        <v>972.57233799237611</v>
      </c>
      <c r="C152" s="959">
        <f>TableUK1!E153</f>
        <v>4197.1840756035581</v>
      </c>
      <c r="D152" s="391">
        <f t="shared" si="80"/>
        <v>4.4936741335517727E-2</v>
      </c>
      <c r="E152" s="390">
        <f t="shared" si="68"/>
        <v>9.87208041073524E-2</v>
      </c>
      <c r="F152" s="308">
        <f t="shared" si="53"/>
        <v>4.3155495089111398</v>
      </c>
      <c r="G152" s="365">
        <f>TableUK12c!C168</f>
        <v>8.9679841627414852E-2</v>
      </c>
      <c r="H152" s="365">
        <f t="shared" si="81"/>
        <v>2.2567802647640221E-2</v>
      </c>
      <c r="I152" s="365">
        <f t="shared" si="73"/>
        <v>0</v>
      </c>
      <c r="J152" s="391">
        <f t="shared" si="77"/>
        <v>7.4472324732439699E-2</v>
      </c>
      <c r="K152" s="365">
        <f t="shared" si="74"/>
        <v>9.87208041073524E-2</v>
      </c>
      <c r="L152" s="308">
        <f t="shared" si="55"/>
        <v>4.3155495089111398</v>
      </c>
      <c r="M152" s="365">
        <f>TableUK12c!D168</f>
        <v>4.7383439142603588E-2</v>
      </c>
      <c r="N152" s="365">
        <f t="shared" si="82"/>
        <v>1.1813179709449704E-2</v>
      </c>
      <c r="O152" s="365">
        <f t="shared" si="75"/>
        <v>0</v>
      </c>
      <c r="P152" s="365">
        <f t="shared" si="78"/>
        <v>8.5892955479053068E-2</v>
      </c>
      <c r="Q152" s="2093">
        <v>0</v>
      </c>
      <c r="R152" s="365"/>
      <c r="S152" s="365"/>
      <c r="T152" s="365"/>
      <c r="U152" s="365"/>
      <c r="V152" s="376">
        <f t="shared" si="69"/>
        <v>4.6054976005298984</v>
      </c>
      <c r="W152" s="377">
        <f t="shared" si="70"/>
        <v>1.7596000000000001E-2</v>
      </c>
      <c r="X152" s="378">
        <f t="shared" si="71"/>
        <v>4.886217371045543</v>
      </c>
      <c r="Y152" s="379">
        <f t="shared" si="72"/>
        <v>2.7226500000000001E-2</v>
      </c>
      <c r="AB152" s="300">
        <f t="shared" si="83"/>
        <v>1.0987208041073524</v>
      </c>
      <c r="AC152" s="300">
        <f t="shared" si="84"/>
        <v>1.0225678026476401</v>
      </c>
      <c r="AD152" s="300">
        <f t="shared" si="76"/>
        <v>1</v>
      </c>
      <c r="AE152" s="300">
        <f t="shared" si="85"/>
        <v>1.0744723247324397</v>
      </c>
      <c r="AF152" s="366">
        <f t="shared" si="86"/>
        <v>1.0987208041073524</v>
      </c>
      <c r="AG152" s="300">
        <f t="shared" si="87"/>
        <v>1.0118131797094496</v>
      </c>
      <c r="AH152" s="300">
        <f t="shared" si="79"/>
        <v>1</v>
      </c>
      <c r="AI152" s="300">
        <f t="shared" si="88"/>
        <v>1.0858929554790531</v>
      </c>
    </row>
    <row r="153" spans="1:35">
      <c r="A153" s="198">
        <v>1998</v>
      </c>
      <c r="B153" s="1162">
        <f>TableUK1!D154</f>
        <v>1026.2394520547944</v>
      </c>
      <c r="C153" s="959">
        <f>TableUK1!E154</f>
        <v>4652.4050684931508</v>
      </c>
      <c r="D153" s="391">
        <f t="shared" si="80"/>
        <v>5.5180588595805657E-2</v>
      </c>
      <c r="E153" s="390">
        <f t="shared" si="68"/>
        <v>0.10845866768998702</v>
      </c>
      <c r="F153" s="308">
        <f t="shared" si="53"/>
        <v>4.5334498290606966</v>
      </c>
      <c r="G153" s="365">
        <f>TableUK12c!C169</f>
        <v>7.4941541083556912E-2</v>
      </c>
      <c r="H153" s="365">
        <f t="shared" si="81"/>
        <v>2.0780630935234492E-2</v>
      </c>
      <c r="I153" s="365">
        <f t="shared" si="73"/>
        <v>0</v>
      </c>
      <c r="J153" s="391">
        <f t="shared" si="77"/>
        <v>8.5893123456331821E-2</v>
      </c>
      <c r="K153" s="365">
        <f t="shared" si="74"/>
        <v>0.10845866768998702</v>
      </c>
      <c r="L153" s="308">
        <f t="shared" si="55"/>
        <v>4.5334498290606966</v>
      </c>
      <c r="M153" s="365">
        <f>TableUK12c!D169</f>
        <v>2.8449583305858055E-2</v>
      </c>
      <c r="N153" s="365">
        <f t="shared" si="82"/>
        <v>1.0979700046254121E-2</v>
      </c>
      <c r="O153" s="365">
        <f t="shared" si="75"/>
        <v>0</v>
      </c>
      <c r="P153" s="365">
        <f t="shared" si="78"/>
        <v>9.6420301653211249E-2</v>
      </c>
      <c r="Q153" s="2093">
        <v>0</v>
      </c>
      <c r="R153" s="365"/>
      <c r="S153" s="365"/>
      <c r="T153" s="365"/>
      <c r="U153" s="365"/>
      <c r="V153" s="376">
        <f t="shared" si="69"/>
        <v>4.5279394219975382</v>
      </c>
      <c r="W153" s="377">
        <f t="shared" si="70"/>
        <v>1.7596000000000001E-2</v>
      </c>
      <c r="X153" s="378">
        <f t="shared" si="71"/>
        <v>4.8028987146085944</v>
      </c>
      <c r="Y153" s="379">
        <f t="shared" si="72"/>
        <v>2.7226500000000001E-2</v>
      </c>
      <c r="AB153" s="300">
        <f t="shared" si="83"/>
        <v>1.108458667689987</v>
      </c>
      <c r="AC153" s="300">
        <f t="shared" si="84"/>
        <v>1.0207806309352345</v>
      </c>
      <c r="AD153" s="300">
        <f t="shared" si="76"/>
        <v>1</v>
      </c>
      <c r="AE153" s="300">
        <f t="shared" si="85"/>
        <v>1.0858931234563318</v>
      </c>
      <c r="AF153" s="366">
        <f t="shared" si="86"/>
        <v>1.108458667689987</v>
      </c>
      <c r="AG153" s="300">
        <f t="shared" si="87"/>
        <v>1.0109797000462541</v>
      </c>
      <c r="AH153" s="300">
        <f t="shared" si="79"/>
        <v>1</v>
      </c>
      <c r="AI153" s="300">
        <f t="shared" si="88"/>
        <v>1.0964203016532112</v>
      </c>
    </row>
    <row r="154" spans="1:35">
      <c r="A154" s="380">
        <f t="shared" ref="A154:A162" si="89">A153+1</f>
        <v>1999</v>
      </c>
      <c r="B154" s="1163">
        <f>TableUK1!D155</f>
        <v>1045.2921916971916</v>
      </c>
      <c r="C154" s="1171">
        <f>TableUK1!E155</f>
        <v>5163.4151770451763</v>
      </c>
      <c r="D154" s="1172">
        <f t="shared" si="80"/>
        <v>1.8565588766100038E-2</v>
      </c>
      <c r="E154" s="1181">
        <f t="shared" si="68"/>
        <v>0.10983783678095205</v>
      </c>
      <c r="F154" s="550">
        <f t="shared" si="53"/>
        <v>4.9396859730307394</v>
      </c>
      <c r="G154" s="1184">
        <f>TableUK12c!C170</f>
        <v>3.7588955482587255E-2</v>
      </c>
      <c r="H154" s="1184">
        <f t="shared" si="81"/>
        <v>1.6530797496237946E-2</v>
      </c>
      <c r="I154" s="1184">
        <f t="shared" si="73"/>
        <v>0</v>
      </c>
      <c r="J154" s="1172">
        <f t="shared" si="77"/>
        <v>9.1789682628931279E-2</v>
      </c>
      <c r="K154" s="1184">
        <f t="shared" si="74"/>
        <v>0.10983783678095205</v>
      </c>
      <c r="L154" s="550">
        <f t="shared" si="55"/>
        <v>4.9396859730307394</v>
      </c>
      <c r="M154" s="1184">
        <f>TableUK12c!D170</f>
        <v>8.3151251785212738E-3</v>
      </c>
      <c r="N154" s="1184">
        <f t="shared" si="82"/>
        <v>6.2754821115452017E-3</v>
      </c>
      <c r="O154" s="1184">
        <f t="shared" si="75"/>
        <v>0</v>
      </c>
      <c r="P154" s="1184">
        <f t="shared" si="78"/>
        <v>0.10291650398963714</v>
      </c>
      <c r="Q154" s="2092">
        <v>0</v>
      </c>
      <c r="R154" s="365"/>
      <c r="S154" s="365"/>
      <c r="T154" s="365"/>
      <c r="U154" s="365"/>
      <c r="V154" s="376">
        <f t="shared" si="69"/>
        <v>4.5984994075654546</v>
      </c>
      <c r="W154" s="377">
        <f t="shared" si="70"/>
        <v>1.7596000000000001E-2</v>
      </c>
      <c r="X154" s="378">
        <f t="shared" si="71"/>
        <v>4.8724294803241017</v>
      </c>
      <c r="Y154" s="379">
        <f t="shared" si="72"/>
        <v>2.7226500000000001E-2</v>
      </c>
      <c r="AB154" s="300">
        <f t="shared" si="83"/>
        <v>1.109837836780952</v>
      </c>
      <c r="AC154" s="300">
        <f t="shared" si="84"/>
        <v>1.0165307974962379</v>
      </c>
      <c r="AD154" s="300">
        <f t="shared" si="76"/>
        <v>1</v>
      </c>
      <c r="AE154" s="300">
        <f t="shared" si="85"/>
        <v>1.0917896826289313</v>
      </c>
      <c r="AF154" s="366">
        <f t="shared" si="86"/>
        <v>1.109837836780952</v>
      </c>
      <c r="AG154" s="300">
        <f t="shared" si="87"/>
        <v>1.0062754821115452</v>
      </c>
      <c r="AH154" s="300">
        <f t="shared" si="79"/>
        <v>1</v>
      </c>
      <c r="AI154" s="300">
        <f t="shared" si="88"/>
        <v>1.1029165039896371</v>
      </c>
    </row>
    <row r="155" spans="1:35">
      <c r="A155" s="200">
        <f t="shared" si="89"/>
        <v>2000</v>
      </c>
      <c r="B155" s="1162">
        <f>TableUK1!D156</f>
        <v>1094.763052184466</v>
      </c>
      <c r="C155" s="959">
        <f>TableUK1!E156</f>
        <v>5633.1581037621354</v>
      </c>
      <c r="D155" s="391">
        <f t="shared" si="80"/>
        <v>4.7327303198305692E-2</v>
      </c>
      <c r="E155" s="390">
        <f t="shared" si="68"/>
        <v>9.0975238405247794E-2</v>
      </c>
      <c r="F155" s="308">
        <f t="shared" si="53"/>
        <v>5.1455500736180824</v>
      </c>
      <c r="G155" s="365">
        <f>TableUK12c!C171</f>
        <v>2.4593477805052374E-2</v>
      </c>
      <c r="H155" s="365">
        <f t="shared" si="81"/>
        <v>7.6095840277726375E-3</v>
      </c>
      <c r="I155" s="365">
        <f t="shared" si="73"/>
        <v>0</v>
      </c>
      <c r="J155" s="391">
        <f t="shared" si="77"/>
        <v>8.2736067321068196E-2</v>
      </c>
      <c r="K155" s="365">
        <f t="shared" si="74"/>
        <v>9.0975238405247794E-2</v>
      </c>
      <c r="L155" s="308">
        <f t="shared" si="55"/>
        <v>5.1455500736180824</v>
      </c>
      <c r="M155" s="365">
        <f>TableUK12c!D171</f>
        <v>2.644696647618211E-3</v>
      </c>
      <c r="N155" s="365">
        <f t="shared" si="82"/>
        <v>1.6833307266736102E-3</v>
      </c>
      <c r="O155" s="365">
        <f t="shared" si="75"/>
        <v>0</v>
      </c>
      <c r="P155" s="365">
        <f t="shared" si="78"/>
        <v>8.9141852459296844E-2</v>
      </c>
      <c r="Q155" s="2093">
        <v>0</v>
      </c>
      <c r="R155" s="365"/>
      <c r="S155" s="365"/>
      <c r="T155" s="365"/>
      <c r="U155" s="365"/>
      <c r="V155" s="376">
        <f t="shared" si="69"/>
        <v>4.504480079415031</v>
      </c>
      <c r="W155" s="377">
        <f t="shared" si="70"/>
        <v>1.7596000000000001E-2</v>
      </c>
      <c r="X155" s="378">
        <f t="shared" si="71"/>
        <v>4.7870710361448836</v>
      </c>
      <c r="Y155" s="379">
        <f t="shared" si="72"/>
        <v>2.7226500000000001E-2</v>
      </c>
      <c r="AB155" s="300">
        <f t="shared" si="83"/>
        <v>1.0909752384052478</v>
      </c>
      <c r="AC155" s="300">
        <f t="shared" si="84"/>
        <v>1.0076095840277726</v>
      </c>
      <c r="AD155" s="300">
        <f t="shared" si="76"/>
        <v>1</v>
      </c>
      <c r="AE155" s="300">
        <f t="shared" si="85"/>
        <v>1.0827360673210682</v>
      </c>
      <c r="AF155" s="366">
        <f t="shared" si="86"/>
        <v>1.0909752384052478</v>
      </c>
      <c r="AG155" s="300">
        <f t="shared" si="87"/>
        <v>1.0016833307266737</v>
      </c>
      <c r="AH155" s="300">
        <f t="shared" si="79"/>
        <v>1</v>
      </c>
      <c r="AI155" s="300">
        <f t="shared" si="88"/>
        <v>1.0891418524592968</v>
      </c>
    </row>
    <row r="156" spans="1:35">
      <c r="A156" s="200">
        <f t="shared" si="89"/>
        <v>2001</v>
      </c>
      <c r="B156" s="1162">
        <f>TableUK1!D157</f>
        <v>1139.9037500000002</v>
      </c>
      <c r="C156" s="959">
        <f>TableUK1!E157</f>
        <v>5627.0287500000004</v>
      </c>
      <c r="D156" s="391">
        <f t="shared" si="80"/>
        <v>4.1233304070192656E-2</v>
      </c>
      <c r="E156" s="390">
        <f t="shared" si="68"/>
        <v>-1.0880848094857454E-3</v>
      </c>
      <c r="F156" s="308">
        <f t="shared" si="53"/>
        <v>4.9364069115484526</v>
      </c>
      <c r="G156" s="365">
        <f>TableUK12c!C172</f>
        <v>3.5754193619842049E-2</v>
      </c>
      <c r="H156" s="365">
        <f t="shared" si="81"/>
        <v>4.7795624283487976E-3</v>
      </c>
      <c r="I156" s="365">
        <f t="shared" si="73"/>
        <v>0</v>
      </c>
      <c r="J156" s="391">
        <f t="shared" si="77"/>
        <v>-5.8397358557470413E-3</v>
      </c>
      <c r="K156" s="365">
        <f t="shared" si="74"/>
        <v>-1.0880848094857454E-3</v>
      </c>
      <c r="L156" s="308">
        <f t="shared" si="55"/>
        <v>4.9364069115484526</v>
      </c>
      <c r="M156" s="365">
        <f>TableUK12c!D172</f>
        <v>1.3639887665707874E-2</v>
      </c>
      <c r="N156" s="365">
        <f t="shared" si="82"/>
        <v>5.1397743871504063E-4</v>
      </c>
      <c r="O156" s="365">
        <f t="shared" si="75"/>
        <v>0</v>
      </c>
      <c r="P156" s="365">
        <f t="shared" si="78"/>
        <v>-1.6012392473536696E-3</v>
      </c>
      <c r="Q156" s="2093">
        <v>0</v>
      </c>
      <c r="R156" s="365"/>
      <c r="S156" s="365"/>
      <c r="T156" s="365"/>
      <c r="U156" s="365"/>
      <c r="V156" s="376">
        <f t="shared" si="69"/>
        <v>4.4262578977422313</v>
      </c>
      <c r="W156" s="377">
        <f t="shared" si="70"/>
        <v>1.7596000000000001E-2</v>
      </c>
      <c r="X156" s="378">
        <f t="shared" si="71"/>
        <v>4.7252838618958517</v>
      </c>
      <c r="Y156" s="379">
        <f t="shared" si="72"/>
        <v>2.7226500000000001E-2</v>
      </c>
      <c r="AB156" s="300">
        <f t="shared" si="83"/>
        <v>0.99891191519051425</v>
      </c>
      <c r="AC156" s="300">
        <f t="shared" si="84"/>
        <v>1.0047795624283489</v>
      </c>
      <c r="AD156" s="300">
        <f t="shared" si="76"/>
        <v>1</v>
      </c>
      <c r="AE156" s="300">
        <f t="shared" si="85"/>
        <v>0.99416026414425296</v>
      </c>
      <c r="AF156" s="366">
        <f t="shared" si="86"/>
        <v>0.99891191519051425</v>
      </c>
      <c r="AG156" s="300">
        <f t="shared" si="87"/>
        <v>1.0005139774387151</v>
      </c>
      <c r="AH156" s="300">
        <f t="shared" si="79"/>
        <v>1</v>
      </c>
      <c r="AI156" s="300">
        <f t="shared" si="88"/>
        <v>0.99839876075264633</v>
      </c>
    </row>
    <row r="157" spans="1:35">
      <c r="A157" s="200">
        <f t="shared" si="89"/>
        <v>2002</v>
      </c>
      <c r="B157" s="1162">
        <f>TableUK1!D158</f>
        <v>1182.2803208868143</v>
      </c>
      <c r="C157" s="959">
        <f>TableUK1!E158</f>
        <v>5507.7084714119019</v>
      </c>
      <c r="D157" s="391">
        <f t="shared" si="80"/>
        <v>3.7175569329265024E-2</v>
      </c>
      <c r="E157" s="390">
        <f t="shared" si="68"/>
        <v>-2.1204846090061014E-2</v>
      </c>
      <c r="F157" s="308">
        <f t="shared" si="53"/>
        <v>4.6585470248550154</v>
      </c>
      <c r="G157" s="365">
        <f>TableUK12c!C173</f>
        <v>6.249045986542736E-2</v>
      </c>
      <c r="H157" s="365">
        <f t="shared" si="81"/>
        <v>7.2429591523739826E-3</v>
      </c>
      <c r="I157" s="365">
        <f t="shared" si="73"/>
        <v>0</v>
      </c>
      <c r="J157" s="391">
        <f t="shared" si="77"/>
        <v>-2.8243240604406528E-2</v>
      </c>
      <c r="K157" s="365">
        <f t="shared" si="74"/>
        <v>-2.1204846090061014E-2</v>
      </c>
      <c r="L157" s="308">
        <f t="shared" si="55"/>
        <v>4.6585470248550154</v>
      </c>
      <c r="M157" s="365">
        <f>TableUK12c!D173</f>
        <v>1.48207279793066E-3</v>
      </c>
      <c r="N157" s="365">
        <f t="shared" si="82"/>
        <v>2.7631206077841975E-3</v>
      </c>
      <c r="O157" s="365">
        <f t="shared" si="75"/>
        <v>0</v>
      </c>
      <c r="P157" s="365">
        <f t="shared" si="78"/>
        <v>-2.3901922802384346E-2</v>
      </c>
      <c r="Q157" s="2093">
        <v>0</v>
      </c>
      <c r="R157" s="365"/>
      <c r="S157" s="365"/>
      <c r="T157" s="365"/>
      <c r="U157" s="365"/>
      <c r="V157" s="376">
        <f t="shared" si="69"/>
        <v>4.3777792211766133</v>
      </c>
      <c r="W157" s="377">
        <f t="shared" si="70"/>
        <v>1.7596000000000001E-2</v>
      </c>
      <c r="X157" s="378">
        <f t="shared" si="71"/>
        <v>4.6934657940092723</v>
      </c>
      <c r="Y157" s="379">
        <f t="shared" si="72"/>
        <v>2.7226500000000001E-2</v>
      </c>
      <c r="AB157" s="300">
        <f t="shared" si="83"/>
        <v>0.97879515390993899</v>
      </c>
      <c r="AC157" s="300">
        <f t="shared" si="84"/>
        <v>1.0072429591523739</v>
      </c>
      <c r="AD157" s="300">
        <f t="shared" si="76"/>
        <v>1</v>
      </c>
      <c r="AE157" s="300">
        <f t="shared" si="85"/>
        <v>0.97175675939559347</v>
      </c>
      <c r="AF157" s="366">
        <f t="shared" si="86"/>
        <v>0.97879515390993899</v>
      </c>
      <c r="AG157" s="300">
        <f t="shared" si="87"/>
        <v>1.0027631206077843</v>
      </c>
      <c r="AH157" s="300">
        <f t="shared" si="79"/>
        <v>1</v>
      </c>
      <c r="AI157" s="300">
        <f t="shared" si="88"/>
        <v>0.97609807719761565</v>
      </c>
    </row>
    <row r="158" spans="1:35">
      <c r="A158" s="200">
        <f t="shared" si="89"/>
        <v>2003</v>
      </c>
      <c r="B158" s="1162">
        <f>TableUK1!D159</f>
        <v>1226.8419156214366</v>
      </c>
      <c r="C158" s="959">
        <f>TableUK1!E159</f>
        <v>5702.3880530216657</v>
      </c>
      <c r="D158" s="391">
        <f t="shared" si="80"/>
        <v>3.7691225970163389E-2</v>
      </c>
      <c r="E158" s="390">
        <f t="shared" si="68"/>
        <v>3.5346747675600643E-2</v>
      </c>
      <c r="F158" s="308">
        <f t="shared" si="53"/>
        <v>4.6480218685169516</v>
      </c>
      <c r="G158" s="365">
        <f>TableUK12c!C174</f>
        <v>7.8388009428822E-2</v>
      </c>
      <c r="H158" s="365">
        <f t="shared" si="81"/>
        <v>1.341415242392497E-2</v>
      </c>
      <c r="I158" s="365">
        <f t="shared" si="73"/>
        <v>0</v>
      </c>
      <c r="J158" s="391">
        <f t="shared" si="77"/>
        <v>2.164228237706789E-2</v>
      </c>
      <c r="K158" s="365">
        <f t="shared" si="74"/>
        <v>3.5346747675600643E-2</v>
      </c>
      <c r="L158" s="308">
        <f t="shared" si="55"/>
        <v>4.6480218685169516</v>
      </c>
      <c r="M158" s="365">
        <f>TableUK12c!D174</f>
        <v>5.2529649604849959E-3</v>
      </c>
      <c r="N158" s="365">
        <f t="shared" si="82"/>
        <v>3.1814056829807045E-4</v>
      </c>
      <c r="O158" s="365">
        <f t="shared" si="75"/>
        <v>0</v>
      </c>
      <c r="P158" s="365">
        <f t="shared" si="78"/>
        <v>3.5017466630568261E-2</v>
      </c>
      <c r="Q158" s="2093">
        <v>0</v>
      </c>
      <c r="R158" s="365"/>
      <c r="S158" s="365"/>
      <c r="T158" s="365"/>
      <c r="U158" s="365"/>
      <c r="V158" s="376">
        <f t="shared" si="69"/>
        <v>4.3542824235844249</v>
      </c>
      <c r="W158" s="377">
        <f t="shared" si="70"/>
        <v>1.7596000000000001E-2</v>
      </c>
      <c r="X158" s="378">
        <f t="shared" si="71"/>
        <v>4.6476010822910236</v>
      </c>
      <c r="Y158" s="379">
        <f t="shared" si="72"/>
        <v>2.7226500000000001E-2</v>
      </c>
      <c r="AB158" s="300">
        <f t="shared" si="83"/>
        <v>1.0353467476756006</v>
      </c>
      <c r="AC158" s="300">
        <f t="shared" si="84"/>
        <v>1.0134141524239251</v>
      </c>
      <c r="AD158" s="300">
        <f t="shared" si="76"/>
        <v>1</v>
      </c>
      <c r="AE158" s="300">
        <f t="shared" si="85"/>
        <v>1.0216422823770679</v>
      </c>
      <c r="AF158" s="366">
        <f t="shared" si="86"/>
        <v>1.0353467476756006</v>
      </c>
      <c r="AG158" s="300">
        <f t="shared" si="87"/>
        <v>1.0003181405682982</v>
      </c>
      <c r="AH158" s="300">
        <f t="shared" si="79"/>
        <v>1</v>
      </c>
      <c r="AI158" s="300">
        <f t="shared" si="88"/>
        <v>1.0350174666305683</v>
      </c>
    </row>
    <row r="159" spans="1:35">
      <c r="A159" s="200">
        <f t="shared" si="89"/>
        <v>2004</v>
      </c>
      <c r="B159" s="1162">
        <f>TableUK1!D160</f>
        <v>1260.8605005561735</v>
      </c>
      <c r="C159" s="959">
        <f>TableUK1!E160</f>
        <v>6067.2083926585101</v>
      </c>
      <c r="D159" s="391">
        <f t="shared" si="80"/>
        <v>2.7728580595084651E-2</v>
      </c>
      <c r="E159" s="390">
        <f t="shared" si="68"/>
        <v>6.3976764864946079E-2</v>
      </c>
      <c r="F159" s="308">
        <f t="shared" si="53"/>
        <v>4.811958491825405</v>
      </c>
      <c r="G159" s="365">
        <f>TableUK12c!C175</f>
        <v>7.2485867164250678E-2</v>
      </c>
      <c r="H159" s="365">
        <f t="shared" si="81"/>
        <v>1.6864810804737743E-2</v>
      </c>
      <c r="I159" s="365">
        <f t="shared" si="73"/>
        <v>0</v>
      </c>
      <c r="J159" s="391">
        <f t="shared" si="77"/>
        <v>4.6330597302235654E-2</v>
      </c>
      <c r="K159" s="365">
        <f t="shared" si="74"/>
        <v>6.3976764864946079E-2</v>
      </c>
      <c r="L159" s="308">
        <f t="shared" si="55"/>
        <v>4.811958491825405</v>
      </c>
      <c r="M159" s="365">
        <f>TableUK12c!D175</f>
        <v>-9.1992499363884039E-3</v>
      </c>
      <c r="N159" s="365">
        <f t="shared" si="82"/>
        <v>1.1301506552853341E-3</v>
      </c>
      <c r="O159" s="365">
        <f t="shared" si="75"/>
        <v>0</v>
      </c>
      <c r="P159" s="365">
        <f t="shared" si="78"/>
        <v>6.2775668247055272E-2</v>
      </c>
      <c r="Q159" s="2093">
        <v>0</v>
      </c>
      <c r="R159" s="365"/>
      <c r="S159" s="365"/>
      <c r="T159" s="365"/>
      <c r="U159" s="365"/>
      <c r="V159" s="376">
        <f t="shared" si="69"/>
        <v>4.3889678531083964</v>
      </c>
      <c r="W159" s="377">
        <f t="shared" si="70"/>
        <v>1.7596000000000001E-2</v>
      </c>
      <c r="X159" s="378">
        <f t="shared" si="71"/>
        <v>4.6505809687626991</v>
      </c>
      <c r="Y159" s="379">
        <f t="shared" si="72"/>
        <v>2.7226500000000001E-2</v>
      </c>
      <c r="AB159" s="300">
        <f t="shared" si="83"/>
        <v>1.0639767648649461</v>
      </c>
      <c r="AC159" s="300">
        <f t="shared" si="84"/>
        <v>1.0168648108047378</v>
      </c>
      <c r="AD159" s="300">
        <f t="shared" si="76"/>
        <v>1</v>
      </c>
      <c r="AE159" s="300">
        <f t="shared" si="85"/>
        <v>1.0463305973022357</v>
      </c>
      <c r="AF159" s="366">
        <f t="shared" si="86"/>
        <v>1.0639767648649461</v>
      </c>
      <c r="AG159" s="300">
        <f t="shared" si="87"/>
        <v>1.0011301506552854</v>
      </c>
      <c r="AH159" s="300">
        <f t="shared" si="79"/>
        <v>1</v>
      </c>
      <c r="AI159" s="300">
        <f t="shared" si="88"/>
        <v>1.0627756682470553</v>
      </c>
    </row>
    <row r="160" spans="1:35">
      <c r="A160" s="200">
        <f t="shared" si="89"/>
        <v>2005</v>
      </c>
      <c r="B160" s="1162">
        <f>TableUK1!D161</f>
        <v>1294.4237418300654</v>
      </c>
      <c r="C160" s="959">
        <f>TableUK1!E161</f>
        <v>6461.9538643790856</v>
      </c>
      <c r="D160" s="391">
        <f t="shared" si="80"/>
        <v>2.661931376158333E-2</v>
      </c>
      <c r="E160" s="390">
        <f t="shared" si="68"/>
        <v>6.5062125144445204E-2</v>
      </c>
      <c r="F160" s="308">
        <f t="shared" si="53"/>
        <v>4.9921472046264617</v>
      </c>
      <c r="G160" s="365">
        <f>TableUK12c!C176</f>
        <v>7.994726992591758E-2</v>
      </c>
      <c r="H160" s="365">
        <f t="shared" si="81"/>
        <v>1.5063693356330956E-2</v>
      </c>
      <c r="I160" s="365">
        <f t="shared" si="73"/>
        <v>0</v>
      </c>
      <c r="J160" s="391">
        <f t="shared" si="77"/>
        <v>4.9256447763187383E-2</v>
      </c>
      <c r="K160" s="365">
        <f t="shared" si="74"/>
        <v>6.5062125144445204E-2</v>
      </c>
      <c r="L160" s="308">
        <f t="shared" si="55"/>
        <v>4.9921472046264617</v>
      </c>
      <c r="M160" s="365">
        <f>TableUK12c!D176</f>
        <v>-5.8573825621398706E-3</v>
      </c>
      <c r="N160" s="365">
        <f t="shared" si="82"/>
        <v>-1.9117475664048569E-3</v>
      </c>
      <c r="O160" s="365">
        <f t="shared" si="75"/>
        <v>0</v>
      </c>
      <c r="P160" s="365">
        <f t="shared" si="78"/>
        <v>6.7102155092548799E-2</v>
      </c>
      <c r="Q160" s="2093">
        <v>0</v>
      </c>
      <c r="R160" s="365"/>
      <c r="S160" s="365"/>
      <c r="T160" s="365"/>
      <c r="U160" s="365"/>
      <c r="V160" s="376">
        <f t="shared" si="69"/>
        <v>4.4222404537665838</v>
      </c>
      <c r="W160" s="377">
        <f t="shared" si="70"/>
        <v>1.7596000000000001E-2</v>
      </c>
      <c r="X160" s="378">
        <f t="shared" si="71"/>
        <v>4.6441268289846072</v>
      </c>
      <c r="Y160" s="379">
        <f t="shared" si="72"/>
        <v>2.7226500000000001E-2</v>
      </c>
      <c r="AB160" s="300">
        <f t="shared" si="83"/>
        <v>1.0650621251444452</v>
      </c>
      <c r="AC160" s="300">
        <f t="shared" si="84"/>
        <v>1.0150636933563311</v>
      </c>
      <c r="AD160" s="300">
        <f t="shared" si="76"/>
        <v>1</v>
      </c>
      <c r="AE160" s="300">
        <f t="shared" si="85"/>
        <v>1.0492564477631874</v>
      </c>
      <c r="AF160" s="366">
        <f t="shared" si="86"/>
        <v>1.0650621251444452</v>
      </c>
      <c r="AG160" s="300">
        <f t="shared" si="87"/>
        <v>0.99808825243359511</v>
      </c>
      <c r="AH160" s="300">
        <f t="shared" si="79"/>
        <v>1</v>
      </c>
      <c r="AI160" s="300">
        <f t="shared" si="88"/>
        <v>1.0671021550925488</v>
      </c>
    </row>
    <row r="161" spans="1:35">
      <c r="A161" s="200">
        <f t="shared" si="89"/>
        <v>2006</v>
      </c>
      <c r="B161" s="1162">
        <f>TableUK1!D162</f>
        <v>1311.2324894514768</v>
      </c>
      <c r="C161" s="959">
        <f>TableUK1!E162</f>
        <v>6804.5081302742619</v>
      </c>
      <c r="D161" s="391">
        <f t="shared" si="80"/>
        <v>1.2985506274511893E-2</v>
      </c>
      <c r="E161" s="390">
        <f t="shared" si="68"/>
        <v>5.3010942678417328E-2</v>
      </c>
      <c r="F161" s="308">
        <f t="shared" si="53"/>
        <v>5.1893986650077348</v>
      </c>
      <c r="G161" s="365">
        <f>TableUK12c!C177</f>
        <v>5.7301168032201158E-2</v>
      </c>
      <c r="H161" s="365">
        <f t="shared" si="81"/>
        <v>1.6014605869760133E-2</v>
      </c>
      <c r="I161" s="365">
        <f t="shared" si="73"/>
        <v>0</v>
      </c>
      <c r="J161" s="391">
        <f t="shared" si="77"/>
        <v>3.6413193860521886E-2</v>
      </c>
      <c r="K161" s="365">
        <f t="shared" si="74"/>
        <v>5.3010942678417328E-2</v>
      </c>
      <c r="L161" s="308">
        <f t="shared" si="55"/>
        <v>5.1893986650077348</v>
      </c>
      <c r="M161" s="365">
        <f>TableUK12c!D177</f>
        <v>-1.4707588426275425E-2</v>
      </c>
      <c r="N161" s="365">
        <f t="shared" si="82"/>
        <v>-1.1733192796701897E-3</v>
      </c>
      <c r="O161" s="365">
        <f t="shared" si="75"/>
        <v>0</v>
      </c>
      <c r="P161" s="365">
        <f t="shared" si="78"/>
        <v>5.4247912079211869E-2</v>
      </c>
      <c r="Q161" s="2093">
        <v>0</v>
      </c>
      <c r="R161" s="365"/>
      <c r="S161" s="365"/>
      <c r="T161" s="365"/>
      <c r="U161" s="365"/>
      <c r="V161" s="376">
        <f t="shared" si="69"/>
        <v>4.5226789430855545</v>
      </c>
      <c r="W161" s="377">
        <f t="shared" si="70"/>
        <v>1.7596000000000001E-2</v>
      </c>
      <c r="X161" s="378">
        <f t="shared" si="71"/>
        <v>4.7034762689036231</v>
      </c>
      <c r="Y161" s="379">
        <f t="shared" si="72"/>
        <v>2.7226500000000001E-2</v>
      </c>
      <c r="AB161" s="300">
        <f t="shared" si="83"/>
        <v>1.0530109426784173</v>
      </c>
      <c r="AC161" s="300">
        <f t="shared" si="84"/>
        <v>1.0160146058697601</v>
      </c>
      <c r="AD161" s="300">
        <f t="shared" si="76"/>
        <v>1</v>
      </c>
      <c r="AE161" s="300">
        <f t="shared" si="85"/>
        <v>1.0364131938605219</v>
      </c>
      <c r="AF161" s="366">
        <f t="shared" si="86"/>
        <v>1.0530109426784173</v>
      </c>
      <c r="AG161" s="300">
        <f t="shared" si="87"/>
        <v>0.99882668072032976</v>
      </c>
      <c r="AH161" s="300">
        <f t="shared" si="79"/>
        <v>1</v>
      </c>
      <c r="AI161" s="300">
        <f t="shared" si="88"/>
        <v>1.0542479120792119</v>
      </c>
    </row>
    <row r="162" spans="1:35">
      <c r="A162" s="200">
        <f t="shared" si="89"/>
        <v>2007</v>
      </c>
      <c r="B162" s="1162">
        <f>TableUK1!D163</f>
        <v>1369.4100154639175</v>
      </c>
      <c r="C162" s="959">
        <f>TableUK1!E163</f>
        <v>7158.0544664948447</v>
      </c>
      <c r="D162" s="391">
        <f t="shared" si="80"/>
        <v>4.4368581834620224E-2</v>
      </c>
      <c r="E162" s="390">
        <f t="shared" si="68"/>
        <v>5.1957662398491644E-2</v>
      </c>
      <c r="F162" s="308">
        <f t="shared" si="53"/>
        <v>5.2271083062510666</v>
      </c>
      <c r="G162" s="365">
        <f>TableUK12c!C178</f>
        <v>7.7149586823671554E-2</v>
      </c>
      <c r="H162" s="365">
        <f t="shared" si="81"/>
        <v>1.1041966850337514E-2</v>
      </c>
      <c r="I162" s="365">
        <f t="shared" si="73"/>
        <v>0</v>
      </c>
      <c r="J162" s="391">
        <f t="shared" si="77"/>
        <v>4.0468839958856861E-2</v>
      </c>
      <c r="K162" s="365">
        <f t="shared" si="74"/>
        <v>5.1957662398491644E-2</v>
      </c>
      <c r="L162" s="308">
        <f t="shared" si="55"/>
        <v>5.2271083062510666</v>
      </c>
      <c r="M162" s="365">
        <f>TableUK12c!D178</f>
        <v>-1.7115113505484909E-2</v>
      </c>
      <c r="N162" s="365">
        <f t="shared" si="82"/>
        <v>-2.8341604443399425E-3</v>
      </c>
      <c r="O162" s="365">
        <f t="shared" si="75"/>
        <v>0</v>
      </c>
      <c r="P162" s="365">
        <f t="shared" si="78"/>
        <v>5.4947553024125906E-2</v>
      </c>
      <c r="Q162" s="2093">
        <v>0</v>
      </c>
      <c r="R162" s="365"/>
      <c r="S162" s="365"/>
      <c r="T162" s="365"/>
      <c r="U162" s="365"/>
      <c r="V162" s="376">
        <f t="shared" si="69"/>
        <v>4.4625714735365358</v>
      </c>
      <c r="W162" s="377">
        <f t="shared" si="70"/>
        <v>1.7596000000000001E-2</v>
      </c>
      <c r="X162" s="378">
        <f t="shared" si="71"/>
        <v>4.6118080577409257</v>
      </c>
      <c r="Y162" s="379">
        <f t="shared" si="72"/>
        <v>2.7226500000000001E-2</v>
      </c>
      <c r="AB162" s="300">
        <f t="shared" si="83"/>
        <v>1.0519576623984916</v>
      </c>
      <c r="AC162" s="300">
        <f t="shared" si="84"/>
        <v>1.0110419668503374</v>
      </c>
      <c r="AD162" s="300">
        <f t="shared" si="76"/>
        <v>1</v>
      </c>
      <c r="AE162" s="300">
        <f t="shared" si="85"/>
        <v>1.0404688399588569</v>
      </c>
      <c r="AF162" s="366">
        <f t="shared" si="86"/>
        <v>1.0519576623984916</v>
      </c>
      <c r="AG162" s="300">
        <f t="shared" si="87"/>
        <v>0.99716583955566007</v>
      </c>
      <c r="AH162" s="300">
        <f t="shared" si="79"/>
        <v>1</v>
      </c>
      <c r="AI162" s="300">
        <f t="shared" si="88"/>
        <v>1.0549475530241259</v>
      </c>
    </row>
    <row r="163" spans="1:35">
      <c r="A163" s="200">
        <v>2008</v>
      </c>
      <c r="B163" s="1162">
        <f>TableUK1!D164</f>
        <v>1372.91264</v>
      </c>
      <c r="C163" s="959">
        <f>TableUK1!E164</f>
        <v>6734.4413674999996</v>
      </c>
      <c r="D163" s="391">
        <f t="shared" si="80"/>
        <v>2.5577617342720238E-3</v>
      </c>
      <c r="E163" s="390">
        <f t="shared" si="68"/>
        <v>-5.9179921161214621E-2</v>
      </c>
      <c r="F163" s="308">
        <f t="shared" si="53"/>
        <v>4.9052220595040916</v>
      </c>
      <c r="G163" s="365">
        <f>TableUK12c!C179</f>
        <v>9.7696814328632711E-2</v>
      </c>
      <c r="H163" s="365">
        <f t="shared" si="81"/>
        <v>1.475951564489468E-2</v>
      </c>
      <c r="I163" s="365">
        <f t="shared" si="73"/>
        <v>0</v>
      </c>
      <c r="J163" s="391">
        <f t="shared" si="77"/>
        <v>-7.2863999466040719E-2</v>
      </c>
      <c r="K163" s="365">
        <f t="shared" si="74"/>
        <v>-5.9179921161214621E-2</v>
      </c>
      <c r="L163" s="308">
        <f t="shared" si="55"/>
        <v>4.9052220595040916</v>
      </c>
      <c r="M163" s="365">
        <f>TableUK12c!D179</f>
        <v>-7.1674370846460007E-3</v>
      </c>
      <c r="N163" s="365">
        <f t="shared" si="82"/>
        <v>-3.2742986184191077E-3</v>
      </c>
      <c r="O163" s="365">
        <f t="shared" si="75"/>
        <v>0</v>
      </c>
      <c r="P163" s="365">
        <f t="shared" si="78"/>
        <v>-5.6089275580336384E-2</v>
      </c>
      <c r="Q163" s="2093">
        <v>0</v>
      </c>
      <c r="R163" s="365"/>
      <c r="S163" s="365"/>
      <c r="T163" s="365"/>
      <c r="U163" s="365"/>
      <c r="V163" s="376">
        <f t="shared" si="69"/>
        <v>4.607816295938</v>
      </c>
      <c r="W163" s="377">
        <f t="shared" si="70"/>
        <v>1.7596000000000001E-2</v>
      </c>
      <c r="X163" s="378">
        <f t="shared" si="71"/>
        <v>4.7077490513036864</v>
      </c>
      <c r="Y163" s="379">
        <f t="shared" si="72"/>
        <v>2.7226500000000001E-2</v>
      </c>
      <c r="AB163" s="300">
        <f t="shared" si="83"/>
        <v>0.94082007883878538</v>
      </c>
      <c r="AC163" s="300">
        <f t="shared" si="84"/>
        <v>1.0147595156448947</v>
      </c>
      <c r="AD163" s="300">
        <f t="shared" si="76"/>
        <v>1</v>
      </c>
      <c r="AE163" s="300">
        <f t="shared" si="85"/>
        <v>0.92713600053395928</v>
      </c>
      <c r="AF163" s="366">
        <f t="shared" si="86"/>
        <v>0.94082007883878538</v>
      </c>
      <c r="AG163" s="300">
        <f t="shared" si="87"/>
        <v>0.9967257013815809</v>
      </c>
      <c r="AH163" s="300">
        <f t="shared" si="79"/>
        <v>1</v>
      </c>
      <c r="AI163" s="300">
        <f t="shared" si="88"/>
        <v>0.94391072441966362</v>
      </c>
    </row>
    <row r="164" spans="1:35">
      <c r="A164" s="380">
        <v>2009</v>
      </c>
      <c r="B164" s="1163">
        <f>TableUK1!D165</f>
        <v>1288.5795329400198</v>
      </c>
      <c r="C164" s="1171">
        <f>TableUK1!E165</f>
        <v>6499.663153883972</v>
      </c>
      <c r="D164" s="1172">
        <f t="shared" si="80"/>
        <v>-6.142641898903356E-2</v>
      </c>
      <c r="E164" s="1181">
        <f t="shared" si="68"/>
        <v>-3.4862314601037725E-2</v>
      </c>
      <c r="F164" s="550">
        <f t="shared" si="53"/>
        <v>5.0440527633202095</v>
      </c>
      <c r="G164" s="1184">
        <f>TableUK12c!C180</f>
        <v>0.12125353853514609</v>
      </c>
      <c r="H164" s="1184">
        <f t="shared" si="81"/>
        <v>1.9916899407100373E-2</v>
      </c>
      <c r="I164" s="1184">
        <f t="shared" si="73"/>
        <v>0</v>
      </c>
      <c r="J164" s="1172">
        <f t="shared" si="77"/>
        <v>-5.3709487547448642E-2</v>
      </c>
      <c r="K164" s="1184">
        <f t="shared" si="74"/>
        <v>-3.4862314601037725E-2</v>
      </c>
      <c r="L164" s="550">
        <f t="shared" si="55"/>
        <v>5.0440527633202095</v>
      </c>
      <c r="M164" s="1184">
        <f>TableUK12c!D180</f>
        <v>2.9393166141700879E-2</v>
      </c>
      <c r="N164" s="1184">
        <f t="shared" si="82"/>
        <v>-1.4611850386587013E-3</v>
      </c>
      <c r="O164" s="1184">
        <f t="shared" si="75"/>
        <v>0</v>
      </c>
      <c r="P164" s="1184">
        <f t="shared" si="78"/>
        <v>-3.3450006210997585E-2</v>
      </c>
      <c r="Q164" s="2092">
        <v>0</v>
      </c>
      <c r="R164" s="365"/>
      <c r="S164" s="365"/>
      <c r="T164" s="365"/>
      <c r="U164" s="365"/>
      <c r="V164" s="376">
        <f t="shared" si="69"/>
        <v>5.1016898577064653</v>
      </c>
      <c r="W164" s="377">
        <f t="shared" si="70"/>
        <v>1.7596000000000001E-2</v>
      </c>
      <c r="X164" s="378">
        <f t="shared" si="71"/>
        <v>5.1445748071638491</v>
      </c>
      <c r="Y164" s="379">
        <f t="shared" si="72"/>
        <v>2.7226500000000001E-2</v>
      </c>
      <c r="AB164" s="300">
        <f t="shared" si="83"/>
        <v>0.96513768539896228</v>
      </c>
      <c r="AC164" s="300">
        <f t="shared" si="84"/>
        <v>1.0199168994071004</v>
      </c>
      <c r="AD164" s="300">
        <f t="shared" si="76"/>
        <v>1</v>
      </c>
      <c r="AE164" s="300">
        <f t="shared" si="85"/>
        <v>0.94629051245255136</v>
      </c>
      <c r="AF164" s="366">
        <f t="shared" si="86"/>
        <v>0.96513768539896228</v>
      </c>
      <c r="AG164" s="300">
        <f t="shared" si="87"/>
        <v>0.99853881496134134</v>
      </c>
      <c r="AH164" s="300">
        <f t="shared" si="79"/>
        <v>1</v>
      </c>
      <c r="AI164" s="300">
        <f t="shared" si="88"/>
        <v>0.96654999378900242</v>
      </c>
    </row>
    <row r="165" spans="1:35" ht="13" thickBot="1">
      <c r="A165" s="200">
        <v>2010</v>
      </c>
      <c r="B165" s="1162">
        <f>TableUK1!D166</f>
        <v>1312.3</v>
      </c>
      <c r="C165" s="959">
        <f>TableUK1!E166</f>
        <v>6848.5789999999997</v>
      </c>
      <c r="D165" s="391">
        <f t="shared" si="80"/>
        <v>1.8408228947932814E-2</v>
      </c>
      <c r="E165" s="390">
        <f t="shared" si="68"/>
        <v>5.3682142882670592E-2</v>
      </c>
      <c r="F165" s="308">
        <f>C165/B165</f>
        <v>5.2187601920292614</v>
      </c>
      <c r="G165" s="365">
        <f>TableUK12c!C181</f>
        <v>0.11955029576818146</v>
      </c>
      <c r="H165" s="365">
        <f t="shared" si="81"/>
        <v>2.4038911610300417E-2</v>
      </c>
      <c r="I165" s="365">
        <f t="shared" si="73"/>
        <v>0</v>
      </c>
      <c r="J165" s="391">
        <f t="shared" si="77"/>
        <v>2.8947368050454614E-2</v>
      </c>
      <c r="K165" s="365">
        <f t="shared" si="74"/>
        <v>5.3682142882670592E-2</v>
      </c>
      <c r="L165" s="308">
        <f>C165/B165</f>
        <v>5.2187601920292614</v>
      </c>
      <c r="M165" s="365">
        <f>TableUK12c!D181</f>
        <v>3.1840137203046077E-2</v>
      </c>
      <c r="N165" s="365">
        <f t="shared" si="82"/>
        <v>5.8272915690820506E-3</v>
      </c>
      <c r="O165" s="365">
        <f t="shared" si="75"/>
        <v>0</v>
      </c>
      <c r="P165" s="365">
        <f t="shared" si="78"/>
        <v>4.7577602750205061E-2</v>
      </c>
      <c r="Q165" s="2095">
        <v>0</v>
      </c>
      <c r="R165" s="365"/>
      <c r="S165" s="365"/>
      <c r="T165" s="365"/>
      <c r="U165" s="365"/>
      <c r="V165" s="381">
        <f t="shared" si="69"/>
        <v>5.2187778507371085</v>
      </c>
      <c r="W165" s="382">
        <f t="shared" si="70"/>
        <v>1.7596000000000001E-2</v>
      </c>
      <c r="X165" s="383">
        <f t="shared" si="71"/>
        <v>5.2187687228541435</v>
      </c>
      <c r="Y165" s="384">
        <f t="shared" si="72"/>
        <v>2.7226500000000001E-2</v>
      </c>
      <c r="AB165" s="300">
        <f t="shared" si="83"/>
        <v>1.0536821428826706</v>
      </c>
      <c r="AC165" s="300">
        <f t="shared" si="84"/>
        <v>1.0240389116103004</v>
      </c>
      <c r="AD165" s="300">
        <f t="shared" si="76"/>
        <v>1</v>
      </c>
      <c r="AE165" s="300">
        <f t="shared" si="85"/>
        <v>1.0289473680504546</v>
      </c>
      <c r="AF165" s="366">
        <f t="shared" si="86"/>
        <v>1.0536821428826706</v>
      </c>
      <c r="AG165" s="300">
        <f t="shared" si="87"/>
        <v>1.005827291569082</v>
      </c>
      <c r="AH165" s="300">
        <f t="shared" si="79"/>
        <v>1</v>
      </c>
      <c r="AI165" s="300">
        <f t="shared" si="88"/>
        <v>1.0475776027502051</v>
      </c>
    </row>
    <row r="166" spans="1:35" ht="13" customHeight="1" thickTop="1">
      <c r="A166" s="2359"/>
      <c r="B166" s="2360"/>
      <c r="C166" s="2360"/>
      <c r="D166" s="2360"/>
      <c r="E166" s="2360"/>
      <c r="F166" s="2360"/>
      <c r="G166" s="2360"/>
      <c r="H166" s="2360"/>
      <c r="I166" s="2360"/>
      <c r="J166" s="2360"/>
      <c r="K166" s="2360"/>
      <c r="L166" s="2360"/>
      <c r="M166" s="2360"/>
      <c r="N166" s="2360"/>
      <c r="O166" s="2360"/>
      <c r="P166" s="2360"/>
      <c r="Q166" s="83"/>
      <c r="R166" s="83"/>
      <c r="S166" s="83"/>
      <c r="T166" s="83"/>
      <c r="U166" s="83"/>
      <c r="V166" s="385"/>
      <c r="W166" s="385"/>
      <c r="X166" s="385"/>
      <c r="Y166" s="386"/>
      <c r="Z166" s="386"/>
      <c r="AA166" s="386"/>
      <c r="AF166" s="385"/>
    </row>
    <row r="167" spans="1:35" ht="13" thickBot="1">
      <c r="A167" s="1197"/>
      <c r="B167" s="1198"/>
      <c r="C167" s="1198"/>
      <c r="D167" s="1199"/>
      <c r="E167" s="1200"/>
      <c r="F167" s="1201"/>
      <c r="G167" s="552"/>
      <c r="H167" s="1199"/>
      <c r="I167" s="1199"/>
      <c r="J167" s="1199"/>
      <c r="K167" s="223"/>
      <c r="L167" s="1200"/>
      <c r="M167" s="223"/>
      <c r="N167" s="1200"/>
      <c r="O167" s="1200"/>
      <c r="P167" s="1200"/>
      <c r="V167" s="385"/>
      <c r="W167" s="385"/>
      <c r="X167" s="385"/>
      <c r="Y167" s="386"/>
      <c r="Z167" s="386"/>
      <c r="AA167" s="386"/>
      <c r="AF167" s="385"/>
    </row>
    <row r="168" spans="1:35" ht="14" thickTop="1" thickBot="1">
      <c r="A168" s="387"/>
      <c r="B168" s="665" t="s">
        <v>362</v>
      </c>
      <c r="C168" s="1204" t="s">
        <v>363</v>
      </c>
      <c r="D168" s="1210"/>
      <c r="E168" s="1220"/>
      <c r="F168" s="1210"/>
      <c r="G168" s="1204" t="s">
        <v>364</v>
      </c>
      <c r="H168" s="668" t="s">
        <v>365</v>
      </c>
      <c r="I168" s="668" t="s">
        <v>1487</v>
      </c>
      <c r="J168" s="1221" t="s">
        <v>357</v>
      </c>
      <c r="K168" s="1204"/>
      <c r="L168" s="1210"/>
      <c r="M168" s="1204" t="s">
        <v>364</v>
      </c>
      <c r="N168" s="668" t="s">
        <v>365</v>
      </c>
      <c r="O168" s="668" t="s">
        <v>1487</v>
      </c>
      <c r="P168" s="668" t="s">
        <v>357</v>
      </c>
      <c r="Q168" s="2105"/>
      <c r="V168" s="385"/>
      <c r="W168" s="385"/>
      <c r="X168" s="385"/>
      <c r="Y168" s="386"/>
      <c r="Z168" s="386"/>
      <c r="AA168" s="386"/>
      <c r="AF168" s="385"/>
    </row>
    <row r="169" spans="1:35" ht="12" customHeight="1">
      <c r="A169" s="585" t="s">
        <v>609</v>
      </c>
      <c r="B169" s="1206">
        <f>(B$165/B$68)^(1/97)-1</f>
        <v>1.9181696909979618E-2</v>
      </c>
      <c r="C169" s="1207">
        <f>(C$165/C$68)^(1/97)-1</f>
        <v>1.6723732636506172E-2</v>
      </c>
      <c r="D169" s="1209"/>
      <c r="E169" s="1203"/>
      <c r="F169" s="1209"/>
      <c r="G169" s="1211">
        <f>SUMPRODUCT($B$68:$B$164,G$68:G$164)/SUM($B$68:$B$164)</f>
        <v>8.1718599168730893E-2</v>
      </c>
      <c r="H169" s="1207">
        <f>PRODUCT(AC$69:AC$165)^(1/97)-1</f>
        <v>2.3354093301515944E-2</v>
      </c>
      <c r="I169" s="1207">
        <f>PRODUCT(AD$69:AD$165)^(1/97)-1</f>
        <v>-5.2976130567283786E-4</v>
      </c>
      <c r="J169" s="1222">
        <f>PRODUCT(AE$69:AE$165)^(1/97)-1</f>
        <v>-5.9524001020164752E-3</v>
      </c>
      <c r="K169" s="1207"/>
      <c r="L169" s="1214"/>
      <c r="M169" s="1211"/>
      <c r="N169" s="1207"/>
      <c r="O169" s="1207"/>
      <c r="P169" s="1207"/>
      <c r="Q169" s="2106"/>
      <c r="S169" s="651">
        <f>(1+H169)*(1+I169)*(1+J169)-C169-1</f>
        <v>4.1249919036090432E-8</v>
      </c>
      <c r="T169" s="651"/>
      <c r="U169" s="651"/>
      <c r="V169" s="2345" t="s">
        <v>370</v>
      </c>
      <c r="W169" s="2346"/>
      <c r="X169" s="2346"/>
      <c r="Y169" s="1885"/>
      <c r="Z169" s="365"/>
      <c r="AA169" s="365"/>
      <c r="AF169" s="385"/>
    </row>
    <row r="170" spans="1:35" ht="12" customHeight="1">
      <c r="A170" s="200"/>
      <c r="B170" s="108"/>
      <c r="C170" s="83"/>
      <c r="D170" s="83"/>
      <c r="E170" s="388"/>
      <c r="F170" s="83"/>
      <c r="G170" s="308"/>
      <c r="H170" s="590">
        <f>H169/($H169+$I169+$J169)</f>
        <v>1.3841979358665566</v>
      </c>
      <c r="I170" s="590">
        <f>I169/($H169+$I169+$J169)</f>
        <v>-3.1398971321516256E-2</v>
      </c>
      <c r="J170" s="1217">
        <f>J169/($H169+$I169+$J169)</f>
        <v>-0.35279896454504023</v>
      </c>
      <c r="K170" s="1219"/>
      <c r="L170" s="589"/>
      <c r="M170" s="589"/>
      <c r="N170" s="590"/>
      <c r="O170" s="590"/>
      <c r="P170" s="590"/>
      <c r="Q170" s="2106"/>
      <c r="V170" s="1203"/>
      <c r="W170" s="2368" t="s">
        <v>371</v>
      </c>
      <c r="X170" s="2368" t="s">
        <v>372</v>
      </c>
      <c r="Y170" s="2358" t="s">
        <v>1438</v>
      </c>
      <c r="AA170" s="389"/>
      <c r="AF170" s="385"/>
    </row>
    <row r="171" spans="1:35">
      <c r="A171" s="200"/>
      <c r="B171" s="252"/>
      <c r="C171" s="203"/>
      <c r="D171" s="83"/>
      <c r="E171" s="388"/>
      <c r="F171" s="83"/>
      <c r="G171" s="308"/>
      <c r="H171" s="308"/>
      <c r="I171" s="308"/>
      <c r="J171" s="394"/>
      <c r="K171" s="203"/>
      <c r="L171" s="365"/>
      <c r="M171" s="203"/>
      <c r="N171" s="365"/>
      <c r="O171" s="365"/>
      <c r="P171" s="365"/>
      <c r="Q171" s="2106"/>
      <c r="V171" s="388"/>
      <c r="W171" s="2369"/>
      <c r="X171" s="2369"/>
      <c r="Y171" s="2358"/>
      <c r="Z171" s="308"/>
      <c r="AA171" s="308"/>
      <c r="AF171" s="385"/>
    </row>
    <row r="172" spans="1:35">
      <c r="A172" s="200" t="s">
        <v>348</v>
      </c>
      <c r="B172" s="653">
        <f>(B$165/B$125)^(1/40)-1</f>
        <v>2.1970102276964276E-2</v>
      </c>
      <c r="C172" s="361">
        <f>(C$165/C$125)^(1/40)-1</f>
        <v>3.5734219214780705E-2</v>
      </c>
      <c r="D172" s="83"/>
      <c r="E172" s="388"/>
      <c r="F172" s="83"/>
      <c r="G172" s="1212">
        <f>SUMPRODUCT($B$125:$B$164,G$125:G$164)/SUM($B$125:$B$164)</f>
        <v>7.3457118573101374E-2</v>
      </c>
      <c r="H172" s="361">
        <f>PRODUCT(AC$126:AC$165)^(1/40)-1</f>
        <v>1.9402747060110803E-2</v>
      </c>
      <c r="I172" s="361">
        <f>PRODUCT(AD$126:AD$165)^(1/40)-1</f>
        <v>0</v>
      </c>
      <c r="J172" s="1173">
        <f>PRODUCT(AE$126:AE$165)^(1/40)-1</f>
        <v>1.602062796256809E-2</v>
      </c>
      <c r="K172" s="361"/>
      <c r="L172" s="203"/>
      <c r="M172" s="1212">
        <f>SUMPRODUCT($B125:$B164,M125:M164)/SUM($B125:$B164)</f>
        <v>2.7943393125113132E-2</v>
      </c>
      <c r="N172" s="361">
        <f>PRODUCT(AG126:AG165)^(1/40)-1</f>
        <v>9.8668817654741225E-3</v>
      </c>
      <c r="O172" s="361">
        <f>PRODUCT(AH126:AH165)^(1/40)-1</f>
        <v>0</v>
      </c>
      <c r="P172" s="361">
        <f>PRODUCT(AI126:AI165)^(1/40)-1</f>
        <v>2.5614601207720078E-2</v>
      </c>
      <c r="Q172" s="2106"/>
      <c r="S172" s="651">
        <f>(1+H172)*(1+I172)*(1+J172)-C172-1</f>
        <v>0</v>
      </c>
      <c r="T172" s="651">
        <f>(1+N172)*(1+O172)*(1+P172)-C172-1</f>
        <v>0</v>
      </c>
      <c r="U172" s="651"/>
      <c r="V172" s="390" t="s">
        <v>348</v>
      </c>
      <c r="W172" s="365">
        <v>1.7596000000000001E-2</v>
      </c>
      <c r="X172" s="365">
        <v>2.7226500000000001E-2</v>
      </c>
      <c r="Y172" s="1886">
        <f>((TableUK15a!D320/TableUK15a!C320)/(TableUK15a!D280/TableUK15a!C280))^(1/40)-1</f>
        <v>1.2654883531636241E-2</v>
      </c>
      <c r="Z172" s="365"/>
      <c r="AA172" s="365"/>
      <c r="AF172" s="385"/>
    </row>
    <row r="173" spans="1:35">
      <c r="A173" s="200"/>
      <c r="B173" s="108"/>
      <c r="C173" s="83"/>
      <c r="D173" s="83"/>
      <c r="E173" s="388"/>
      <c r="F173" s="83"/>
      <c r="G173" s="308"/>
      <c r="H173" s="590">
        <f>H172/($H172+$I172+$J172)</f>
        <v>0.54773852146185109</v>
      </c>
      <c r="I173" s="590">
        <f>I172/($H172+$I172+$J172)</f>
        <v>0</v>
      </c>
      <c r="J173" s="1217">
        <f>J172/($H172+$I172+$J172)</f>
        <v>0.45226147853814891</v>
      </c>
      <c r="K173" s="1219"/>
      <c r="L173" s="589"/>
      <c r="M173" s="589"/>
      <c r="N173" s="590">
        <f>N172/($N172+$O172+$P172)</f>
        <v>0.27808538253399451</v>
      </c>
      <c r="O173" s="590">
        <f>O172/($N172+$O172+$P172)</f>
        <v>0</v>
      </c>
      <c r="P173" s="590">
        <f>P172/($N172+$O172+$P172)</f>
        <v>0.72191461746600549</v>
      </c>
      <c r="Q173" s="2106"/>
      <c r="V173" s="392" t="s">
        <v>373</v>
      </c>
      <c r="W173" s="389">
        <f>V165/F165</f>
        <v>1.0000033836978894</v>
      </c>
      <c r="X173" s="389">
        <f>X165/L165</f>
        <v>1.0000016346458869</v>
      </c>
      <c r="Y173" s="1887"/>
      <c r="Z173" s="389"/>
      <c r="AA173" s="389"/>
      <c r="AF173" s="118"/>
    </row>
    <row r="174" spans="1:35">
      <c r="A174" s="200"/>
      <c r="B174" s="666"/>
      <c r="C174" s="116"/>
      <c r="D174" s="83"/>
      <c r="E174" s="388"/>
      <c r="F174" s="83"/>
      <c r="G174" s="308"/>
      <c r="H174" s="1213"/>
      <c r="I174" s="1213"/>
      <c r="J174" s="363"/>
      <c r="K174" s="116"/>
      <c r="L174" s="116"/>
      <c r="M174" s="1212"/>
      <c r="N174" s="1213"/>
      <c r="O174" s="1213"/>
      <c r="P174" s="83"/>
      <c r="Q174" s="2106"/>
      <c r="V174" s="367"/>
      <c r="W174" s="308"/>
      <c r="X174" s="308"/>
      <c r="Y174" s="1888"/>
      <c r="Z174" s="116"/>
      <c r="AA174" s="116"/>
      <c r="AF174" s="118"/>
    </row>
    <row r="175" spans="1:35">
      <c r="A175" s="585" t="s">
        <v>606</v>
      </c>
      <c r="B175" s="653">
        <f>(B$165/B$75)^(1/90)-1</f>
        <v>2.2485638349202253E-2</v>
      </c>
      <c r="C175" s="361">
        <f>(C$165/C$75)^(1/90)-1</f>
        <v>2.7459239094836052E-2</v>
      </c>
      <c r="D175" s="83"/>
      <c r="E175" s="388"/>
      <c r="F175" s="83"/>
      <c r="G175" s="1212">
        <f>SUMPRODUCT($B$75:$B$164,G$75:G$164)/SUM($B$75:$B$164)</f>
        <v>7.6102717578258441E-2</v>
      </c>
      <c r="H175" s="361">
        <f>PRODUCT(AC$76:AC$165)^(1/90)-1</f>
        <v>2.0456873223641647E-2</v>
      </c>
      <c r="I175" s="361">
        <f>PRODUCT(AD$76:AD$165)^(1/90)-1</f>
        <v>-5.7095319794242538E-4</v>
      </c>
      <c r="J175" s="1173">
        <f>PRODUCT(AE$76:AE$165)^(1/90)-1</f>
        <v>7.4371904770500485E-3</v>
      </c>
      <c r="K175" s="361"/>
      <c r="L175" s="203"/>
      <c r="M175" s="1212">
        <f>SUMPRODUCT($B$75:$B$164,M$75:M$164)/SUM($B$75:$B$164)</f>
        <v>2.8169496904593191E-2</v>
      </c>
      <c r="N175" s="361">
        <f>PRODUCT(AG$76:AG$165)^(1/90)-1</f>
        <v>8.4255533809214356E-3</v>
      </c>
      <c r="O175" s="361">
        <f>PRODUCT(AH$76:AH$165)^(1/90)-1</f>
        <v>-5.7095319794242538E-4</v>
      </c>
      <c r="P175" s="361">
        <f>PRODUCT(AI$76:AI$165)^(1/90)-1</f>
        <v>1.9456718363311865E-2</v>
      </c>
      <c r="Q175" s="2106"/>
      <c r="S175" s="651">
        <f>(1+H175)*(1+I175)*(1+J175)-C175-1</f>
        <v>0</v>
      </c>
      <c r="T175" s="651">
        <f>(1+N175)*(1+O175)*(1+P175)-C175-1</f>
        <v>0</v>
      </c>
      <c r="V175" s="390" t="s">
        <v>608</v>
      </c>
      <c r="W175" s="365">
        <v>-0.16305500000000001</v>
      </c>
      <c r="X175" s="365"/>
      <c r="Y175" s="1886">
        <f>((TableUK15a!D230/TableUK15a!C230)/(TableUK15a!D223/TableUK15a!C223))^(1/7)-1</f>
        <v>-0.14775543291002169</v>
      </c>
      <c r="Z175" s="365"/>
      <c r="AA175" s="365"/>
      <c r="AF175" s="118"/>
    </row>
    <row r="176" spans="1:35">
      <c r="A176" s="200"/>
      <c r="B176" s="108"/>
      <c r="C176" s="83"/>
      <c r="D176" s="83"/>
      <c r="E176" s="388"/>
      <c r="F176" s="83"/>
      <c r="G176" s="308"/>
      <c r="H176" s="590">
        <f>H175/($H175+$I175+$J175)</f>
        <v>0.74870221022541572</v>
      </c>
      <c r="I176" s="590">
        <f>I175/($H175+$I175+$J175)</f>
        <v>-2.0896346991129567E-2</v>
      </c>
      <c r="J176" s="1217">
        <f>J175/($H175+$I175+$J175)</f>
        <v>0.27219413676571391</v>
      </c>
      <c r="K176" s="1219"/>
      <c r="L176" s="589"/>
      <c r="M176" s="589"/>
      <c r="N176" s="590">
        <f>N175/($N175+$O175+$P175)</f>
        <v>0.30850042507617054</v>
      </c>
      <c r="O176" s="590">
        <f>O175/($N175+$O175+$P175)</f>
        <v>-2.0905369214404553E-2</v>
      </c>
      <c r="P176" s="590">
        <f>P175/($N175+$O175+$P175)</f>
        <v>0.71240494413823396</v>
      </c>
      <c r="Q176" s="2106"/>
      <c r="V176" s="392" t="s">
        <v>373</v>
      </c>
      <c r="W176" s="389">
        <f>(F74*(1+E75)/(1+D75))/F75</f>
        <v>1.0000039354347876</v>
      </c>
      <c r="X176" s="389"/>
      <c r="Y176" s="1887"/>
      <c r="Z176" s="389"/>
      <c r="AA176" s="389"/>
      <c r="AF176" s="118"/>
    </row>
    <row r="177" spans="1:32">
      <c r="A177" s="200"/>
      <c r="B177" s="666"/>
      <c r="C177" s="116"/>
      <c r="D177" s="83"/>
      <c r="E177" s="388"/>
      <c r="F177" s="83"/>
      <c r="G177" s="116"/>
      <c r="H177" s="116"/>
      <c r="I177" s="116"/>
      <c r="J177" s="395"/>
      <c r="K177" s="116"/>
      <c r="L177" s="116"/>
      <c r="M177" s="116"/>
      <c r="N177" s="116"/>
      <c r="O177" s="116"/>
      <c r="P177" s="116"/>
      <c r="Q177" s="2106"/>
      <c r="V177" s="388"/>
      <c r="W177" s="83"/>
      <c r="X177" s="83"/>
      <c r="Y177" s="1889"/>
      <c r="Z177" s="116"/>
      <c r="AA177" s="116"/>
      <c r="AF177" s="118"/>
    </row>
    <row r="178" spans="1:32">
      <c r="A178" s="585" t="s">
        <v>607</v>
      </c>
      <c r="B178" s="653">
        <f>(B$125/B$75)^(1/50)-1</f>
        <v>2.2898254446642063E-2</v>
      </c>
      <c r="C178" s="361">
        <f>(C$125/C$75)^(1/50)-1</f>
        <v>2.0886881634460508E-2</v>
      </c>
      <c r="D178" s="83"/>
      <c r="E178" s="388"/>
      <c r="F178" s="83"/>
      <c r="G178" s="1212">
        <f>SUMPRODUCT($B$75:$B$124,G$75:G$124)/SUM($B$75:$B$124)</f>
        <v>8.1875505844209648E-2</v>
      </c>
      <c r="H178" s="361">
        <f>PRODUCT(AC$76:AC$125)^(1/50)-1</f>
        <v>2.1300958923669011E-2</v>
      </c>
      <c r="I178" s="361">
        <f>PRODUCT(AD$76:AD$125)^(1/50)-1</f>
        <v>-1.0274810363217757E-3</v>
      </c>
      <c r="J178" s="1173">
        <f>PRODUCT(AE$76:AE$125)^(1/50)-1</f>
        <v>6.2267982105668196E-4</v>
      </c>
      <c r="K178" s="361"/>
      <c r="L178" s="203"/>
      <c r="M178" s="1212">
        <f>SUMPRODUCT($B$75:$B$124,M$75:M$124)/SUM($B$75:$B$124)</f>
        <v>2.8662863148882438E-2</v>
      </c>
      <c r="N178" s="361">
        <f>PRODUCT(AG$76:AG$125)^(1/50)-1</f>
        <v>7.2739719479071319E-3</v>
      </c>
      <c r="O178" s="361">
        <f>PRODUCT(AH$76:AH$125)^(1/50)-1</f>
        <v>-1.0274810363217757E-3</v>
      </c>
      <c r="P178" s="361">
        <f>PRODUCT(AI$76:AI$125)^(1/50)-1</f>
        <v>1.4557042952031862E-2</v>
      </c>
      <c r="Q178" s="2106"/>
      <c r="S178" s="651">
        <f>(1+H178)*(1+I178)*(1+J178)-C178-1</f>
        <v>0</v>
      </c>
      <c r="T178" s="651">
        <f>(1+N178)*(1+O178)*(1+P178)-C178-1</f>
        <v>0</v>
      </c>
      <c r="V178" s="390" t="s">
        <v>1436</v>
      </c>
      <c r="W178" s="365">
        <v>1.4463999999999999E-2</v>
      </c>
      <c r="X178" s="116"/>
      <c r="Y178" s="1891">
        <f>((TableUK15a!D210/TableUK15a!C210)/(TableUK15a!D195/TableUK15a!C195))^(1/15)-1</f>
        <v>3.1252922679839923E-2</v>
      </c>
      <c r="AA178" s="365"/>
      <c r="AF178" s="118"/>
    </row>
    <row r="179" spans="1:32">
      <c r="A179" s="200"/>
      <c r="B179" s="108"/>
      <c r="C179" s="83"/>
      <c r="D179" s="83"/>
      <c r="E179" s="388"/>
      <c r="F179" s="83"/>
      <c r="G179" s="308"/>
      <c r="H179" s="590">
        <f>H178/($H178+$I178+$J178)</f>
        <v>1.0193720405882223</v>
      </c>
      <c r="I179" s="590">
        <f>I178/($H178+$I178+$J178)</f>
        <v>-4.917081171858443E-2</v>
      </c>
      <c r="J179" s="1217">
        <f>J178/($H178+$I178+$J178)</f>
        <v>2.9798771130362188E-2</v>
      </c>
      <c r="K179" s="1219"/>
      <c r="L179" s="589"/>
      <c r="M179" s="589"/>
      <c r="N179" s="590">
        <f>N178/($N178+$O178+$P178)</f>
        <v>0.34965078508264408</v>
      </c>
      <c r="O179" s="590">
        <f>O178/($N178+$O178+$P178)</f>
        <v>-4.9389735564048166E-2</v>
      </c>
      <c r="P179" s="590">
        <f>P178/($N178+$O178+$P178)</f>
        <v>0.69973895048140411</v>
      </c>
      <c r="Q179" s="2106"/>
      <c r="V179" s="390" t="s">
        <v>1437</v>
      </c>
      <c r="W179" s="365">
        <v>-5.0000000000000001E-3</v>
      </c>
      <c r="X179" s="365"/>
      <c r="Y179" s="1886">
        <f>((TableUK15a!D223/TableUK15a!C223)/(TableUK15a!D210/TableUK15a!C210))^(1/13)-1</f>
        <v>-1.3637968937191824E-2</v>
      </c>
      <c r="AA179" s="389"/>
      <c r="AF179" s="118"/>
    </row>
    <row r="180" spans="1:32">
      <c r="A180" s="200"/>
      <c r="B180" s="108"/>
      <c r="C180" s="83"/>
      <c r="D180" s="83"/>
      <c r="E180" s="388"/>
      <c r="F180" s="83"/>
      <c r="G180" s="308"/>
      <c r="H180" s="590"/>
      <c r="I180" s="590"/>
      <c r="J180" s="1217"/>
      <c r="K180" s="1219"/>
      <c r="L180" s="589"/>
      <c r="M180" s="589"/>
      <c r="N180" s="590"/>
      <c r="O180" s="590"/>
      <c r="P180" s="590"/>
      <c r="Q180" s="2106"/>
      <c r="V180" s="392" t="s">
        <v>373</v>
      </c>
      <c r="W180" s="389">
        <f>((F67*(1+E68)/(1+$D68)))/F68</f>
        <v>0.99999681652285444</v>
      </c>
      <c r="X180" s="389"/>
      <c r="Y180" s="1892"/>
      <c r="AA180" s="116"/>
      <c r="AF180" s="118"/>
    </row>
    <row r="181" spans="1:32">
      <c r="A181" s="585" t="s">
        <v>608</v>
      </c>
      <c r="B181" s="653">
        <f>(B$75/B$68)^(1/7)-1</f>
        <v>-2.2358557107879706E-2</v>
      </c>
      <c r="C181" s="361">
        <f>(C$75/C$68)^(1/7)-1</f>
        <v>-0.11171302214412682</v>
      </c>
      <c r="D181" s="83"/>
      <c r="E181" s="388"/>
      <c r="F181" s="83"/>
      <c r="G181" s="1212">
        <f>SUMPRODUCT($B$68:$B$74,G$68:G$74)/SUM($B$68:$B$74)</f>
        <v>0.26860045271501726</v>
      </c>
      <c r="H181" s="361">
        <f>PRODUCT(AC$69:AC$75)^(1/7)-1</f>
        <v>6.1345103028734638E-2</v>
      </c>
      <c r="I181" s="361">
        <f>PRODUCT(AD$69:AD$75)^(1/7)-1</f>
        <v>0</v>
      </c>
      <c r="J181" s="1173">
        <f>PRODUCT(AE$69:AE$75)^(1/7)-1</f>
        <v>-0.16305499999999995</v>
      </c>
      <c r="K181" s="361"/>
      <c r="L181" s="203"/>
      <c r="M181" s="1212"/>
      <c r="N181" s="361"/>
      <c r="O181" s="361"/>
      <c r="P181" s="361"/>
      <c r="Q181" s="2106"/>
      <c r="S181" s="651">
        <f>(1+H181)*(1+I181)*(1+J181)-C181-1</f>
        <v>4.9939851121116874E-7</v>
      </c>
      <c r="T181" s="651"/>
      <c r="V181" s="392"/>
      <c r="W181" s="116"/>
      <c r="X181" s="116"/>
      <c r="Y181" s="1892"/>
      <c r="AA181" s="365"/>
      <c r="AF181" s="118"/>
    </row>
    <row r="182" spans="1:32">
      <c r="A182" s="120"/>
      <c r="B182" s="666"/>
      <c r="C182" s="116"/>
      <c r="D182" s="83"/>
      <c r="E182" s="388"/>
      <c r="F182" s="83"/>
      <c r="G182" s="308"/>
      <c r="H182" s="590">
        <f>H181/($H181+$I181+$J181)</f>
        <v>-0.60313799202909057</v>
      </c>
      <c r="I182" s="590">
        <f>I181/($H181+$I181+$J181)</f>
        <v>0</v>
      </c>
      <c r="J182" s="1217">
        <f>J181/($H181+$I181+$J181)</f>
        <v>1.6031379920290905</v>
      </c>
      <c r="K182" s="1219"/>
      <c r="L182" s="589"/>
      <c r="M182" s="589"/>
      <c r="N182" s="590"/>
      <c r="O182" s="590"/>
      <c r="P182" s="590"/>
      <c r="Q182" s="2106"/>
      <c r="V182" s="390" t="s">
        <v>991</v>
      </c>
      <c r="W182" s="365">
        <v>-1.1632999999999999E-2</v>
      </c>
      <c r="X182" s="365"/>
      <c r="Y182" s="1891">
        <f>((TableUK15a!D195/TableUK15a!C195)/(TableUK15a!D185/TableUK15a!C185))^(1/10)-1</f>
        <v>-1.9656624324331906E-2</v>
      </c>
      <c r="AA182" s="389"/>
      <c r="AF182" s="118"/>
    </row>
    <row r="183" spans="1:32">
      <c r="A183" s="200"/>
      <c r="B183" s="666"/>
      <c r="C183" s="116"/>
      <c r="D183" s="83"/>
      <c r="E183" s="388"/>
      <c r="F183" s="83"/>
      <c r="G183" s="116"/>
      <c r="H183" s="669"/>
      <c r="I183" s="669"/>
      <c r="J183" s="1223"/>
      <c r="K183" s="116"/>
      <c r="L183" s="116"/>
      <c r="M183" s="116"/>
      <c r="N183" s="669"/>
      <c r="O183" s="669"/>
      <c r="P183" s="669"/>
      <c r="Q183" s="2106"/>
      <c r="V183" s="392" t="s">
        <v>373</v>
      </c>
      <c r="W183" s="389">
        <f>((F39*(1+E40)/(1+$D40)))/F40</f>
        <v>0.99999507870765503</v>
      </c>
      <c r="X183" s="389"/>
      <c r="Y183" s="1892"/>
      <c r="AA183" s="118"/>
      <c r="AF183" s="118"/>
    </row>
    <row r="184" spans="1:32">
      <c r="A184" s="585" t="s">
        <v>610</v>
      </c>
      <c r="B184" s="653">
        <f>(B$68/B$40)^(1/28)-1</f>
        <v>2.2263702555587184E-2</v>
      </c>
      <c r="C184" s="361">
        <f>(C$68/C$40)^(1/28)-1</f>
        <v>2.1805524635617912E-2</v>
      </c>
      <c r="D184" s="83"/>
      <c r="E184" s="388"/>
      <c r="F184" s="83"/>
      <c r="G184" s="1212">
        <f>SUMPRODUCT($B$40:$B$67,G$40:G$67)/SUM($B$40:$B$67)</f>
        <v>0.11327912044991832</v>
      </c>
      <c r="H184" s="361">
        <f>PRODUCT(AC41:AC68)^(1/28)-1</f>
        <v>1.6337271507939732E-2</v>
      </c>
      <c r="I184" s="361">
        <f>PRODUCT(AD41:AD68)^(1/28)-1</f>
        <v>0</v>
      </c>
      <c r="J184" s="1173">
        <f>PRODUCT(AE41:AE68)^(1/28)-1</f>
        <v>5.3802385349717152E-3</v>
      </c>
      <c r="K184" s="361"/>
      <c r="L184" s="308"/>
      <c r="M184" s="365"/>
      <c r="N184" s="361"/>
      <c r="O184" s="361"/>
      <c r="P184" s="361"/>
      <c r="Q184" s="2106"/>
      <c r="S184" s="651">
        <f>(1+H184)*(1+I184)*(1+J184)-C184-1</f>
        <v>-1.1617498318905461E-7</v>
      </c>
      <c r="V184" s="392"/>
      <c r="W184" s="116"/>
      <c r="X184" s="116"/>
      <c r="Y184" s="1892"/>
      <c r="AA184" s="118"/>
      <c r="AF184" s="118"/>
    </row>
    <row r="185" spans="1:32">
      <c r="A185" s="120"/>
      <c r="B185" s="666"/>
      <c r="C185" s="116"/>
      <c r="D185" s="83"/>
      <c r="E185" s="388"/>
      <c r="F185" s="83"/>
      <c r="G185" s="599"/>
      <c r="H185" s="590">
        <f>H184/($H184+$I184+$J184)</f>
        <v>0.75226264316945424</v>
      </c>
      <c r="I185" s="590">
        <f>I184/($H184+$I184+$J184)</f>
        <v>0</v>
      </c>
      <c r="J185" s="1217">
        <f>J184/($H184+$I184+$J184)</f>
        <v>0.24773735683054579</v>
      </c>
      <c r="K185" s="83"/>
      <c r="L185" s="591"/>
      <c r="M185" s="116"/>
      <c r="N185" s="590"/>
      <c r="O185" s="590"/>
      <c r="P185" s="590"/>
      <c r="Q185" s="2106"/>
      <c r="V185" s="390" t="s">
        <v>990</v>
      </c>
      <c r="W185" s="365">
        <v>1.45065E-2</v>
      </c>
      <c r="X185" s="116"/>
      <c r="Y185" s="1891">
        <f>((TableUK15a!D185/TableUK15a!C185)/(TableUK15a!D165/TableUK15a!C165))^(1/20)-1</f>
        <v>3.4654510279668482E-2</v>
      </c>
      <c r="AA185" s="118"/>
      <c r="AF185" s="118"/>
    </row>
    <row r="186" spans="1:32" ht="13" thickBot="1">
      <c r="A186" s="120"/>
      <c r="B186" s="116"/>
      <c r="C186" s="116"/>
      <c r="D186" s="83"/>
      <c r="E186" s="388"/>
      <c r="F186" s="83"/>
      <c r="G186" s="599"/>
      <c r="H186" s="590"/>
      <c r="I186" s="590"/>
      <c r="J186" s="1217"/>
      <c r="K186" s="83"/>
      <c r="L186" s="591"/>
      <c r="M186" s="116"/>
      <c r="N186" s="590"/>
      <c r="O186" s="590"/>
      <c r="P186" s="590"/>
      <c r="Q186" s="2106"/>
      <c r="R186" s="83"/>
      <c r="S186" s="83"/>
      <c r="T186" s="83"/>
      <c r="U186" s="83"/>
      <c r="V186" s="398" t="s">
        <v>373</v>
      </c>
      <c r="W186" s="399">
        <f>((F29*(1+E30)/(1+$D30)))/F30</f>
        <v>0.99999736835480768</v>
      </c>
      <c r="X186" s="1884"/>
      <c r="Y186" s="1890"/>
      <c r="AA186" s="118"/>
      <c r="AF186" s="118"/>
    </row>
    <row r="187" spans="1:32">
      <c r="A187" s="585" t="s">
        <v>611</v>
      </c>
      <c r="B187" s="653">
        <f>(B$40/B$10)^(1/30)-1</f>
        <v>2.4689152565412265E-2</v>
      </c>
      <c r="C187" s="361">
        <f>(C$40/C$10)^(1/30)-1</f>
        <v>2.0463239795846411E-2</v>
      </c>
      <c r="D187" s="83"/>
      <c r="E187" s="388"/>
      <c r="F187" s="83"/>
      <c r="G187" s="1212">
        <f>SUMPRODUCT($B$10:$B$39,G$10:G$39)/SUM($B$10:$B$39)</f>
        <v>0.1093194577619664</v>
      </c>
      <c r="H187" s="361">
        <f>PRODUCT(AC11:AC40)^(1/30)-1</f>
        <v>1.531860798906215E-2</v>
      </c>
      <c r="I187" s="361">
        <f>PRODUCT(AD11:AD40)^(1/30)-1</f>
        <v>0</v>
      </c>
      <c r="J187" s="1173">
        <f>PRODUCT(AE11:AE40)^(1/30)-1</f>
        <v>5.066759191946657E-3</v>
      </c>
      <c r="K187" s="361"/>
      <c r="L187" s="308"/>
      <c r="M187" s="365"/>
      <c r="N187" s="361"/>
      <c r="O187" s="361"/>
      <c r="P187" s="361"/>
      <c r="Q187" s="2106"/>
      <c r="S187" s="651">
        <f>(1+H187)*(1+I187)*(1+J187)-C187-1</f>
        <v>-2.5691700122898453E-7</v>
      </c>
      <c r="AA187" s="118"/>
      <c r="AF187" s="118"/>
    </row>
    <row r="188" spans="1:32" ht="13" thickBot="1">
      <c r="A188" s="397"/>
      <c r="B188" s="667"/>
      <c r="C188" s="1205"/>
      <c r="D188" s="1216"/>
      <c r="E188" s="1224"/>
      <c r="F188" s="1216"/>
      <c r="G188" s="1205"/>
      <c r="H188" s="670">
        <f>H187/($H187+$I187+$J187)</f>
        <v>0.75145116852901739</v>
      </c>
      <c r="I188" s="670">
        <f>I187/($H187+$I187+$J187)</f>
        <v>0</v>
      </c>
      <c r="J188" s="1218">
        <f>J187/($H187+$I187+$J187)</f>
        <v>0.24854883147098258</v>
      </c>
      <c r="K188" s="1216"/>
      <c r="L188" s="1215"/>
      <c r="M188" s="1205"/>
      <c r="N188" s="670"/>
      <c r="O188" s="670"/>
      <c r="P188" s="670"/>
      <c r="Q188" s="2107"/>
      <c r="AA188" s="118"/>
      <c r="AF188" s="118"/>
    </row>
    <row r="189" spans="1:32" ht="14" thickTop="1" thickBot="1">
      <c r="A189" s="83"/>
      <c r="B189" s="116"/>
      <c r="C189" s="116"/>
      <c r="D189" s="116"/>
      <c r="E189" s="116"/>
      <c r="F189" s="116"/>
      <c r="G189" s="116"/>
      <c r="H189" s="116"/>
      <c r="I189" s="116"/>
      <c r="J189" s="116"/>
      <c r="K189" s="116"/>
      <c r="L189" s="116"/>
      <c r="M189" s="116"/>
      <c r="N189" s="116"/>
      <c r="O189" s="116"/>
      <c r="P189" s="116"/>
      <c r="Q189" s="1210"/>
      <c r="Z189" s="118"/>
      <c r="AA189" s="118"/>
      <c r="AF189" s="118"/>
    </row>
    <row r="190" spans="1:32" ht="13" thickTop="1">
      <c r="A190" s="401"/>
      <c r="B190" s="402"/>
      <c r="C190" s="403"/>
      <c r="D190" s="403"/>
      <c r="E190" s="1225"/>
      <c r="F190" s="403"/>
      <c r="G190" s="403"/>
      <c r="H190" s="404"/>
      <c r="I190" s="404"/>
      <c r="J190" s="405"/>
      <c r="K190" s="1412"/>
      <c r="L190" s="403"/>
      <c r="M190" s="406"/>
      <c r="N190" s="403"/>
      <c r="O190" s="403"/>
      <c r="P190" s="403"/>
      <c r="Q190" s="2105"/>
      <c r="W190" s="118"/>
      <c r="X190" s="118"/>
      <c r="Y190" s="118"/>
      <c r="Z190" s="68"/>
      <c r="AA190" s="118"/>
      <c r="AF190" s="118"/>
    </row>
    <row r="191" spans="1:32">
      <c r="A191" s="407"/>
      <c r="B191" s="410" t="s">
        <v>362</v>
      </c>
      <c r="C191" s="410" t="s">
        <v>363</v>
      </c>
      <c r="D191" s="363"/>
      <c r="F191" s="410"/>
      <c r="G191" s="410" t="s">
        <v>364</v>
      </c>
      <c r="H191" s="411" t="s">
        <v>365</v>
      </c>
      <c r="I191" s="411" t="s">
        <v>1487</v>
      </c>
      <c r="J191" s="411" t="s">
        <v>357</v>
      </c>
      <c r="K191" s="1400"/>
      <c r="L191" s="410"/>
      <c r="M191" s="410" t="s">
        <v>364</v>
      </c>
      <c r="N191" s="411" t="s">
        <v>365</v>
      </c>
      <c r="O191" s="411" t="s">
        <v>1487</v>
      </c>
      <c r="P191" s="411" t="s">
        <v>357</v>
      </c>
      <c r="Q191" s="2108"/>
      <c r="R191" s="118"/>
      <c r="S191" s="118"/>
      <c r="T191" s="118"/>
      <c r="U191" s="118"/>
      <c r="V191" s="154"/>
      <c r="W191" s="118"/>
      <c r="X191" s="118"/>
      <c r="Y191" s="118"/>
      <c r="Z191" s="118"/>
      <c r="AA191" s="118"/>
      <c r="AF191" s="118"/>
    </row>
    <row r="192" spans="1:32">
      <c r="A192" s="412" t="s">
        <v>442</v>
      </c>
      <c r="B192" s="1235">
        <f>(B$65/B$10)^(1/55)-1</f>
        <v>2.2924052711889908E-2</v>
      </c>
      <c r="C192" s="1235">
        <f>(C$65/C$10)^(1/55)-1</f>
        <v>2.156178447719026E-2</v>
      </c>
      <c r="D192" s="1208"/>
      <c r="E192" s="1209"/>
      <c r="F192" s="1236"/>
      <c r="G192" s="1237">
        <f>SUMPRODUCT($B$10:$B$64,G$10:G$64)/SUM($B$10:$B$64)</f>
        <v>0.11073612126713067</v>
      </c>
      <c r="H192" s="1237">
        <f>PRODUCT(AC$11:AC$65)^(1/55)-1</f>
        <v>1.5692525896421117E-2</v>
      </c>
      <c r="I192" s="1237">
        <f>PRODUCT(AD$11:AD$65)^(1/55)-1</f>
        <v>0</v>
      </c>
      <c r="J192" s="1237">
        <f>PRODUCT(AE$11:AE$65)^(1/55)-1</f>
        <v>5.778439974416516E-3</v>
      </c>
      <c r="K192" s="1415"/>
      <c r="L192" s="1236"/>
      <c r="M192" s="1237"/>
      <c r="N192" s="1237"/>
      <c r="O192" s="1237"/>
      <c r="P192" s="1237"/>
      <c r="Q192" s="2112">
        <f>SUMPRODUCT($B$10:$B$64,Q$10:Q$64)/SUM($B$10:$B$64)</f>
        <v>0</v>
      </c>
      <c r="R192" s="118"/>
      <c r="S192" s="651">
        <f>(1+J192)*(1+H192)*(1+I192)-1-C192</f>
        <v>-1.4028741324167981E-7</v>
      </c>
      <c r="T192" s="118"/>
      <c r="U192" s="118"/>
      <c r="W192" s="118"/>
      <c r="X192" s="118"/>
      <c r="Y192" s="118"/>
      <c r="Z192" s="118"/>
      <c r="AA192" s="118"/>
      <c r="AF192" s="118"/>
    </row>
    <row r="193" spans="1:32">
      <c r="A193" s="407"/>
      <c r="B193" s="418"/>
      <c r="C193" s="418"/>
      <c r="D193" s="363"/>
      <c r="F193" s="419"/>
      <c r="G193" s="420"/>
      <c r="H193" s="590">
        <f>H192/($H192+$I192+$J192)</f>
        <v>0.73087191283439523</v>
      </c>
      <c r="I193" s="590">
        <f>I192/($H192+$I192+$J192)</f>
        <v>0</v>
      </c>
      <c r="J193" s="590">
        <f>J192/($H192+$I192+$J192)</f>
        <v>0.26912808716560477</v>
      </c>
      <c r="K193" s="2104"/>
      <c r="L193" s="422"/>
      <c r="M193" s="417"/>
      <c r="N193" s="421"/>
      <c r="O193" s="421"/>
      <c r="P193" s="421"/>
      <c r="Q193" s="2113"/>
      <c r="R193" s="118"/>
      <c r="S193" s="118"/>
      <c r="T193" s="118"/>
      <c r="U193" s="118"/>
      <c r="W193" s="118"/>
      <c r="X193" s="118"/>
      <c r="Y193" s="118"/>
      <c r="Z193" s="118"/>
      <c r="AA193" s="118"/>
      <c r="AF193" s="118"/>
    </row>
    <row r="194" spans="1:32">
      <c r="A194" s="407"/>
      <c r="B194" s="410"/>
      <c r="C194" s="410"/>
      <c r="D194" s="363"/>
      <c r="F194" s="410"/>
      <c r="G194" s="410"/>
      <c r="H194" s="411"/>
      <c r="I194" s="411"/>
      <c r="J194" s="411"/>
      <c r="K194" s="1400"/>
      <c r="L194" s="410"/>
      <c r="M194" s="410"/>
      <c r="N194" s="411"/>
      <c r="O194" s="411"/>
      <c r="P194" s="411"/>
      <c r="Q194" s="2114"/>
      <c r="R194" s="118"/>
      <c r="S194" s="118"/>
      <c r="T194" s="118"/>
      <c r="U194" s="118"/>
      <c r="W194" s="118"/>
      <c r="X194" s="118"/>
      <c r="Y194" s="118"/>
      <c r="Z194" s="118"/>
      <c r="AA194" s="118"/>
      <c r="AF194" s="118"/>
    </row>
    <row r="195" spans="1:32">
      <c r="A195" s="412" t="s">
        <v>1041</v>
      </c>
      <c r="B195" s="414">
        <f>(B165/B25)^(1/140)-1</f>
        <v>1.941209533472299E-2</v>
      </c>
      <c r="C195" s="414">
        <f>(C165/C25)^(1/140)-1</f>
        <v>1.7330959813528501E-2</v>
      </c>
      <c r="D195" s="363"/>
      <c r="F195" s="415"/>
      <c r="G195" s="416">
        <f>SUMPRODUCT($B$25:$B$164,G$25:G$164)/SUM($B$25:$B$164)</f>
        <v>8.5133980491929787E-2</v>
      </c>
      <c r="H195" s="416">
        <f>PRODUCT(AC$26:AC$165)^(1/140)-1</f>
        <v>2.1296625544917402E-2</v>
      </c>
      <c r="I195" s="416">
        <f>PRODUCT(AD$26:AD$165)^(1/140)-1</f>
        <v>-3.6707877324393401E-4</v>
      </c>
      <c r="J195" s="416">
        <f>PRODUCT(AE$26:AE$165)^(1/140)-1</f>
        <v>-3.5172322585481641E-3</v>
      </c>
      <c r="K195" s="1401"/>
      <c r="L195" s="415"/>
      <c r="M195" s="416"/>
      <c r="N195" s="416"/>
      <c r="O195" s="416"/>
      <c r="P195" s="416"/>
      <c r="Q195" s="2115">
        <f>SUMPRODUCT($B$25:$B$164,Q$25:Q$164)/SUM($B$25:$B$164)</f>
        <v>-1.0865003801239599E-3</v>
      </c>
      <c r="R195" s="118"/>
      <c r="S195" s="651">
        <f>(1+J195)*(1+H195)*(1+I195)-1-C195</f>
        <v>-4.9420543657419103E-8</v>
      </c>
      <c r="T195" s="118"/>
      <c r="U195" s="118"/>
      <c r="W195" s="118"/>
      <c r="X195" s="118"/>
      <c r="Y195" s="118"/>
      <c r="Z195" s="118"/>
      <c r="AA195" s="118"/>
      <c r="AF195" s="118"/>
    </row>
    <row r="196" spans="1:32">
      <c r="A196" s="407"/>
      <c r="B196" s="418"/>
      <c r="C196" s="418"/>
      <c r="D196" s="363"/>
      <c r="F196" s="419"/>
      <c r="G196" s="420"/>
      <c r="H196" s="590">
        <f>H195/($H195+$I195+$J195)</f>
        <v>1.2230783867856354</v>
      </c>
      <c r="I196" s="590">
        <f>I195/($H195+$I195+$J195)</f>
        <v>-2.1081561154160874E-2</v>
      </c>
      <c r="J196" s="590">
        <f>J195/($H195+$I195+$J195)</f>
        <v>-0.20199682563147445</v>
      </c>
      <c r="K196" s="2104"/>
      <c r="L196" s="422"/>
      <c r="M196" s="417"/>
      <c r="N196" s="421"/>
      <c r="O196" s="421"/>
      <c r="P196" s="421"/>
      <c r="Q196" s="2113"/>
      <c r="R196" s="118"/>
      <c r="S196" s="118"/>
      <c r="T196" s="118"/>
      <c r="U196" s="118"/>
      <c r="W196" s="118"/>
      <c r="X196" s="118"/>
      <c r="Y196" s="118"/>
      <c r="Z196" s="118"/>
      <c r="AA196" s="118"/>
      <c r="AF196" s="118"/>
    </row>
    <row r="197" spans="1:32">
      <c r="A197" s="407"/>
      <c r="B197" s="410"/>
      <c r="C197" s="410"/>
      <c r="D197" s="363"/>
      <c r="F197" s="410"/>
      <c r="G197" s="410"/>
      <c r="H197" s="411"/>
      <c r="I197" s="411"/>
      <c r="J197" s="411"/>
      <c r="K197" s="1400"/>
      <c r="L197" s="410"/>
      <c r="M197" s="410"/>
      <c r="N197" s="411"/>
      <c r="O197" s="411"/>
      <c r="P197" s="411"/>
      <c r="Q197" s="2114"/>
      <c r="R197" s="118"/>
      <c r="S197" s="118"/>
      <c r="T197" s="118"/>
      <c r="U197" s="118"/>
      <c r="W197" s="118"/>
      <c r="X197" s="118"/>
      <c r="Y197" s="118"/>
      <c r="Z197" s="118"/>
      <c r="AA197" s="118"/>
      <c r="AF197" s="118"/>
    </row>
    <row r="198" spans="1:32">
      <c r="A198" s="412" t="s">
        <v>1042</v>
      </c>
      <c r="B198" s="414">
        <f>(B65/B25)^(1/40)-1</f>
        <v>1.8850749066462447E-2</v>
      </c>
      <c r="C198" s="414">
        <f>(C65/C25)^(1/40)-1</f>
        <v>1.9139924419163679E-2</v>
      </c>
      <c r="D198" s="363"/>
      <c r="F198" s="415"/>
      <c r="G198" s="416">
        <f>SUMPRODUCT($B$25:$B$64,G$25:G$64)/SUM($B$25:$B$64)</f>
        <v>0.1138860237382973</v>
      </c>
      <c r="H198" s="416">
        <f>PRODUCT(AC$26:AC$65)^(1/40)-1</f>
        <v>1.6573076729881286E-2</v>
      </c>
      <c r="I198" s="416">
        <f>PRODUCT(AD$26:AD$65)^(1/40)-1</f>
        <v>0</v>
      </c>
      <c r="J198" s="416">
        <f>PRODUCT(AE$26:AE$65)^(1/40)-1</f>
        <v>2.5248113590174981E-3</v>
      </c>
      <c r="K198" s="1401"/>
      <c r="L198" s="415"/>
      <c r="M198" s="416"/>
      <c r="N198" s="416"/>
      <c r="O198" s="416"/>
      <c r="P198" s="416"/>
      <c r="Q198" s="2115">
        <f>SUMPRODUCT($B$25:$B$64,Q$25:Q$64)/SUM($B$25:$B$64)</f>
        <v>0</v>
      </c>
      <c r="R198" s="118"/>
      <c r="S198" s="651">
        <f>(1+J198)*(1+H198)*(1+I198)-1-C198</f>
        <v>-1.924378834061713E-7</v>
      </c>
      <c r="T198" s="118"/>
      <c r="U198" s="118"/>
      <c r="W198" s="118"/>
      <c r="X198" s="118"/>
      <c r="Y198" s="118"/>
      <c r="Z198" s="118"/>
      <c r="AA198" s="118"/>
      <c r="AF198" s="118"/>
    </row>
    <row r="199" spans="1:32">
      <c r="A199" s="407"/>
      <c r="B199" s="418"/>
      <c r="C199" s="418"/>
      <c r="D199" s="363"/>
      <c r="F199" s="419"/>
      <c r="G199" s="420"/>
      <c r="H199" s="590">
        <f>H198/($H198+$I198+$J198)</f>
        <v>0.86779630568234822</v>
      </c>
      <c r="I199" s="590">
        <f>I198/($H198+$I198+$J198)</f>
        <v>0</v>
      </c>
      <c r="J199" s="590">
        <f>J198/($H198+$I198+$J198)</f>
        <v>0.1322036943176518</v>
      </c>
      <c r="K199" s="2104"/>
      <c r="L199" s="422"/>
      <c r="M199" s="417"/>
      <c r="N199" s="421"/>
      <c r="O199" s="421"/>
      <c r="P199" s="421"/>
      <c r="Q199" s="2113"/>
      <c r="R199" s="118"/>
      <c r="S199" s="118"/>
      <c r="T199" s="118"/>
      <c r="U199" s="118"/>
      <c r="W199" s="118"/>
      <c r="X199" s="118"/>
      <c r="Y199" s="118"/>
      <c r="Z199" s="118"/>
      <c r="AA199" s="118"/>
      <c r="AF199" s="118"/>
    </row>
    <row r="200" spans="1:32">
      <c r="A200" s="407"/>
      <c r="B200" s="410"/>
      <c r="C200" s="410"/>
      <c r="D200" s="363"/>
      <c r="F200" s="410"/>
      <c r="G200" s="410"/>
      <c r="H200" s="411"/>
      <c r="I200" s="411"/>
      <c r="J200" s="411"/>
      <c r="K200" s="1400"/>
      <c r="L200" s="410"/>
      <c r="M200" s="410"/>
      <c r="N200" s="411"/>
      <c r="O200" s="411"/>
      <c r="P200" s="411"/>
      <c r="Q200" s="2114"/>
      <c r="R200" s="118"/>
      <c r="S200" s="118"/>
      <c r="T200" s="118"/>
      <c r="U200" s="118"/>
      <c r="W200" s="118"/>
      <c r="X200" s="118"/>
      <c r="Y200" s="118"/>
      <c r="Z200" s="118"/>
      <c r="AA200" s="118"/>
      <c r="AF200" s="118"/>
    </row>
    <row r="201" spans="1:32">
      <c r="A201" s="412" t="s">
        <v>666</v>
      </c>
      <c r="B201" s="414">
        <f>(B165/B65)^(1/100)-1</f>
        <v>1.9636720430742161E-2</v>
      </c>
      <c r="C201" s="414">
        <f>(C165/C65)^(1/100)-1</f>
        <v>1.6608273341718105E-2</v>
      </c>
      <c r="D201" s="363"/>
      <c r="F201" s="415"/>
      <c r="G201" s="416">
        <f>SUMPRODUCT($B$65:$B$164,G$65:G$164)/SUM($B$65:$B$164)</f>
        <v>8.2186064609127168E-2</v>
      </c>
      <c r="H201" s="416">
        <f>PRODUCT(AC$66:AC$165)^(1/100)-1</f>
        <v>2.3192184856610787E-2</v>
      </c>
      <c r="I201" s="416">
        <f>PRODUCT(AD$66:AD$165)^(1/100)-1</f>
        <v>-5.1387255066004389E-4</v>
      </c>
      <c r="J201" s="416">
        <f>PRODUCT(AE$66:AE$165)^(1/100)-1</f>
        <v>-5.9238413674473911E-3</v>
      </c>
      <c r="K201" s="1401"/>
      <c r="L201" s="415"/>
      <c r="M201" s="416"/>
      <c r="N201" s="416"/>
      <c r="O201" s="416"/>
      <c r="P201" s="416"/>
      <c r="Q201" s="2115">
        <f>SUMPRODUCT($B$65:$B$164,Q$65:Q$164)/SUM($B$65:$B$164)</f>
        <v>-1.1978980884465884E-3</v>
      </c>
      <c r="R201" s="118"/>
      <c r="S201" s="651">
        <f>(1+J201)*(1+H201)*(1+I201)-1-C201</f>
        <v>7.6443333885123366E-9</v>
      </c>
      <c r="T201" s="118"/>
      <c r="U201" s="118"/>
      <c r="W201" s="118"/>
      <c r="X201" s="118"/>
      <c r="Y201" s="118"/>
      <c r="Z201" s="118"/>
      <c r="AA201" s="118"/>
      <c r="AF201" s="118"/>
    </row>
    <row r="202" spans="1:32">
      <c r="A202" s="407"/>
      <c r="B202" s="418"/>
      <c r="C202" s="418"/>
      <c r="D202" s="363"/>
      <c r="F202" s="419"/>
      <c r="G202" s="420"/>
      <c r="H202" s="590">
        <f>H201/($H201+$I201+$J201)</f>
        <v>1.3842385678268696</v>
      </c>
      <c r="I202" s="590">
        <f>I201/($H201+$I201+$J201)</f>
        <v>-3.0670771553825457E-2</v>
      </c>
      <c r="J202" s="590">
        <f>J201/($H201+$I201+$J201)</f>
        <v>-0.35356779627304408</v>
      </c>
      <c r="K202" s="2104"/>
      <c r="L202" s="422"/>
      <c r="M202" s="417"/>
      <c r="N202" s="421"/>
      <c r="O202" s="421"/>
      <c r="P202" s="421"/>
      <c r="Q202" s="2113"/>
      <c r="R202" s="118"/>
      <c r="S202" s="118"/>
      <c r="T202" s="118"/>
      <c r="U202" s="118"/>
      <c r="W202" s="118"/>
      <c r="X202" s="118"/>
      <c r="Y202" s="118"/>
      <c r="Z202" s="118"/>
      <c r="AA202" s="118"/>
      <c r="AF202" s="118"/>
    </row>
    <row r="203" spans="1:32">
      <c r="A203" s="407"/>
      <c r="B203" s="410"/>
      <c r="C203" s="410"/>
      <c r="D203" s="363"/>
      <c r="F203" s="410"/>
      <c r="G203" s="410"/>
      <c r="H203" s="411"/>
      <c r="I203" s="411"/>
      <c r="J203" s="411"/>
      <c r="K203" s="1400"/>
      <c r="L203" s="410"/>
      <c r="M203" s="410"/>
      <c r="N203" s="411"/>
      <c r="O203" s="411"/>
      <c r="P203" s="411"/>
      <c r="Q203" s="2114"/>
      <c r="R203" s="118"/>
      <c r="S203" s="118"/>
      <c r="T203" s="118"/>
      <c r="U203" s="118"/>
      <c r="W203" s="118"/>
      <c r="X203" s="118"/>
      <c r="Y203" s="118"/>
      <c r="Z203" s="118"/>
      <c r="AA203" s="118"/>
      <c r="AF203" s="118"/>
    </row>
    <row r="204" spans="1:32">
      <c r="A204" s="412" t="s">
        <v>667</v>
      </c>
      <c r="B204" s="414">
        <f>(B$105/B$65)^(1/40)-1</f>
        <v>1.4219755454262906E-2</v>
      </c>
      <c r="C204" s="414">
        <f>(C$105/C$65)^(1/40)-1</f>
        <v>-2.9766695452202452E-3</v>
      </c>
      <c r="D204" s="363"/>
      <c r="F204" s="415"/>
      <c r="G204" s="416">
        <f>SUMPRODUCT($B$65:$B$104,G$65:G$104)/SUM($B$65:$B$104)</f>
        <v>0.13018751423271749</v>
      </c>
      <c r="H204" s="416">
        <f>PRODUCT(AC$66:AC$105)^(1/40)-1</f>
        <v>2.8547368095815262E-2</v>
      </c>
      <c r="I204" s="416">
        <f>PRODUCT(AD$66:AD$105)^(1/40)-1</f>
        <v>-1.284186297185963E-3</v>
      </c>
      <c r="J204" s="416">
        <f>PRODUCT(AE$66:AE$105)^(1/40)-1</f>
        <v>-2.9402640824982784E-2</v>
      </c>
      <c r="K204" s="1401"/>
      <c r="L204" s="415"/>
      <c r="M204" s="416"/>
      <c r="N204" s="416"/>
      <c r="O204" s="416"/>
      <c r="P204" s="416"/>
      <c r="Q204" s="2115">
        <f>SUMPRODUCT($B$65:$B$104,Q$65:Q$104)/SUM($B$65:$B$104)</f>
        <v>-6.5912924640229853E-3</v>
      </c>
      <c r="R204" s="118"/>
      <c r="S204" s="651">
        <f>(1+J204)*(1+H204)*(1+I204)-1-C204</f>
        <v>1.8742663643322999E-8</v>
      </c>
      <c r="T204" s="118"/>
      <c r="U204" s="118"/>
      <c r="W204" s="118"/>
      <c r="X204" s="118"/>
      <c r="Y204" s="118"/>
      <c r="Z204" s="118"/>
      <c r="AA204" s="118"/>
      <c r="AF204" s="118"/>
    </row>
    <row r="205" spans="1:32">
      <c r="A205" s="407"/>
      <c r="B205" s="418"/>
      <c r="C205" s="418"/>
      <c r="D205" s="363"/>
      <c r="F205" s="419"/>
      <c r="G205" s="420"/>
      <c r="H205" s="590">
        <f>H204/($H204+$I204+$J204)</f>
        <v>-13.343264696436686</v>
      </c>
      <c r="I205" s="590">
        <f>I204/($H204+$I204+$J204)</f>
        <v>0.60023878997801727</v>
      </c>
      <c r="J205" s="590">
        <f>J204/($H204+$I204+$J204)</f>
        <v>13.743025906458668</v>
      </c>
      <c r="K205" s="2104"/>
      <c r="L205" s="422"/>
      <c r="M205" s="417"/>
      <c r="N205" s="421"/>
      <c r="O205" s="421"/>
      <c r="P205" s="421"/>
      <c r="Q205" s="2113"/>
      <c r="R205" s="118"/>
      <c r="S205" s="118"/>
      <c r="T205" s="118"/>
      <c r="U205" s="118"/>
      <c r="W205" s="118"/>
      <c r="X205" s="118"/>
      <c r="Y205" s="118"/>
      <c r="Z205" s="118"/>
      <c r="AA205" s="118"/>
      <c r="AF205" s="118"/>
    </row>
    <row r="206" spans="1:32">
      <c r="A206" s="407"/>
      <c r="B206" s="410"/>
      <c r="C206" s="410"/>
      <c r="D206" s="363"/>
      <c r="F206" s="410"/>
      <c r="G206" s="410"/>
      <c r="H206" s="411"/>
      <c r="I206" s="411"/>
      <c r="J206" s="411"/>
      <c r="K206" s="1400"/>
      <c r="L206" s="410"/>
      <c r="M206" s="410"/>
      <c r="N206" s="411"/>
      <c r="O206" s="411"/>
      <c r="P206" s="411"/>
      <c r="Q206" s="2114"/>
      <c r="R206" s="118"/>
      <c r="S206" s="118"/>
      <c r="T206" s="118"/>
      <c r="U206" s="118"/>
      <c r="W206" s="118"/>
      <c r="X206" s="118"/>
      <c r="Y206" s="118"/>
      <c r="Z206" s="118"/>
      <c r="AA206" s="118"/>
      <c r="AB206" s="416"/>
      <c r="AF206" s="118"/>
    </row>
    <row r="207" spans="1:32">
      <c r="A207" s="412" t="s">
        <v>621</v>
      </c>
      <c r="B207" s="414">
        <f>(B$105/B$75)^(1/30)-1</f>
        <v>2.0930502679103791E-2</v>
      </c>
      <c r="C207" s="414">
        <f>(C$105/C$75)^(1/30)-1</f>
        <v>2.2638410123347885E-2</v>
      </c>
      <c r="D207" s="363"/>
      <c r="F207" s="415"/>
      <c r="G207" s="416">
        <f>SUMPRODUCT($B$75:$B$104,G$75:G$104)/SUM($B$75:$B$104)</f>
        <v>0.10252697867619547</v>
      </c>
      <c r="H207" s="416">
        <f>PRODUCT(AC$76:AC$105)^(1/30)-1</f>
        <v>2.2097471849547468E-2</v>
      </c>
      <c r="I207" s="416">
        <f>PRODUCT(AD$76:AD$105)^(1/30)-1</f>
        <v>-1.7118818172880967E-3</v>
      </c>
      <c r="J207" s="416">
        <f>PRODUCT(AE$76:AE$105)^(1/30)-1</f>
        <v>2.2449682717760044E-3</v>
      </c>
      <c r="K207" s="1400"/>
      <c r="L207" s="410"/>
      <c r="M207" s="410"/>
      <c r="N207" s="411"/>
      <c r="O207" s="411"/>
      <c r="P207" s="411"/>
      <c r="Q207" s="2115">
        <f>SUMPRODUCT($B$75:$B$104,Q$75:Q$104)/SUM($B$75:$B$104)</f>
        <v>-8.4499748560132662E-3</v>
      </c>
      <c r="R207" s="118"/>
      <c r="S207" s="651">
        <f>(1+J207)*(1+H207)*(1+I207)-1-C207</f>
        <v>0</v>
      </c>
      <c r="T207" s="118"/>
      <c r="U207" s="118"/>
      <c r="W207" s="118"/>
      <c r="X207" s="118"/>
      <c r="Y207" s="118"/>
      <c r="Z207" s="118"/>
      <c r="AA207" s="118"/>
      <c r="AB207" s="590"/>
      <c r="AF207" s="118"/>
    </row>
    <row r="208" spans="1:32">
      <c r="A208" s="407"/>
      <c r="B208" s="418"/>
      <c r="C208" s="418"/>
      <c r="D208" s="363"/>
      <c r="F208" s="419"/>
      <c r="G208" s="420"/>
      <c r="H208" s="590">
        <f>H207/($H207+$I207+$J207)</f>
        <v>0.97644395479218693</v>
      </c>
      <c r="I208" s="590">
        <f>I207/($H207+$I207+$J207)</f>
        <v>-7.5644701040488344E-2</v>
      </c>
      <c r="J208" s="590">
        <f>J207/($H207+$I207+$J207)</f>
        <v>9.9200746248301455E-2</v>
      </c>
      <c r="K208" s="1400"/>
      <c r="L208" s="410"/>
      <c r="M208" s="410"/>
      <c r="N208" s="411"/>
      <c r="O208" s="411"/>
      <c r="P208" s="411"/>
      <c r="Q208" s="2113"/>
      <c r="R208" s="118"/>
      <c r="S208" s="118"/>
      <c r="T208" s="118"/>
      <c r="U208" s="118"/>
      <c r="W208" s="118"/>
      <c r="X208" s="118"/>
      <c r="Y208" s="118"/>
      <c r="Z208" s="118"/>
      <c r="AA208" s="118"/>
      <c r="AB208" s="416"/>
      <c r="AF208" s="118"/>
    </row>
    <row r="209" spans="1:32">
      <c r="A209" s="407"/>
      <c r="B209" s="410"/>
      <c r="C209" s="410"/>
      <c r="D209" s="363"/>
      <c r="F209" s="410"/>
      <c r="G209" s="410"/>
      <c r="H209" s="411"/>
      <c r="I209" s="411"/>
      <c r="J209" s="411"/>
      <c r="K209" s="1400"/>
      <c r="L209" s="410"/>
      <c r="M209" s="410"/>
      <c r="N209" s="411"/>
      <c r="O209" s="411"/>
      <c r="P209" s="411"/>
      <c r="Q209" s="2114"/>
      <c r="R209" s="118"/>
      <c r="S209" s="118"/>
      <c r="T209" s="118"/>
      <c r="U209" s="118"/>
      <c r="W209" s="118"/>
      <c r="X209" s="118"/>
      <c r="Y209" s="118"/>
      <c r="Z209" s="118"/>
      <c r="AA209" s="118"/>
      <c r="AB209" s="416"/>
      <c r="AF209" s="118"/>
    </row>
    <row r="210" spans="1:32">
      <c r="A210" s="412" t="s">
        <v>374</v>
      </c>
      <c r="B210" s="414">
        <f>(B$165/B$105)^(1/60)-1</f>
        <v>2.3264094283384606E-2</v>
      </c>
      <c r="C210" s="414">
        <f>(C$165/C$105)^(1/60)-1</f>
        <v>2.9878169114145869E-2</v>
      </c>
      <c r="D210" s="363"/>
      <c r="F210" s="415"/>
      <c r="G210" s="416">
        <f>SUMPRODUCT($B$105:$B$164,G$105:G$164)/SUM($B$105:$B$164)</f>
        <v>7.1524718387691463E-2</v>
      </c>
      <c r="H210" s="416">
        <f>PRODUCT(AC$106:AC$165)^(1/60)-1</f>
        <v>1.9637561689891836E-2</v>
      </c>
      <c r="I210" s="416">
        <f>PRODUCT(AD$106:AD$165)^(1/60)-1</f>
        <v>0</v>
      </c>
      <c r="J210" s="416">
        <f>PRODUCT(AE$106:AE$165)^(1/60)-1</f>
        <v>1.0043379931278462E-2</v>
      </c>
      <c r="K210" s="1401"/>
      <c r="L210" s="415"/>
      <c r="M210" s="416">
        <f>SUMPRODUCT($B$105:$B$164,M$105:M$164)/SUM($B$105:$B$164)</f>
        <v>2.4675045167497463E-2</v>
      </c>
      <c r="N210" s="416">
        <f>PRODUCT(AG$106:AG$165)^(1/60)-1</f>
        <v>7.5355466354154466E-3</v>
      </c>
      <c r="O210" s="416">
        <f>PRODUCT(AH$106:AH$165)^(1/60)-1</f>
        <v>0</v>
      </c>
      <c r="P210" s="416">
        <f>PRODUCT(AI$106:AI$165)^(1/60)-1</f>
        <v>2.2175517829958302E-2</v>
      </c>
      <c r="Q210" s="2115">
        <f>SUMPRODUCT($B$105:$B$164,Q$105:Q$164)/SUM($B$105:$B$164)</f>
        <v>0</v>
      </c>
      <c r="R210" s="118"/>
      <c r="S210" s="651">
        <f>(1+J210)*(1+H210)*(1+I210)-1-C210</f>
        <v>0</v>
      </c>
      <c r="T210" s="651">
        <f>(1+N210)*(1+P210)-C210-1</f>
        <v>0</v>
      </c>
      <c r="U210" s="118"/>
      <c r="X210" s="118"/>
      <c r="Y210" s="118"/>
      <c r="Z210" s="118"/>
      <c r="AA210" s="118"/>
      <c r="AB210" s="590"/>
      <c r="AF210" s="118"/>
    </row>
    <row r="211" spans="1:32">
      <c r="A211" s="407"/>
      <c r="B211" s="418"/>
      <c r="C211" s="418"/>
      <c r="D211" s="363"/>
      <c r="F211" s="419"/>
      <c r="G211" s="420"/>
      <c r="H211" s="590">
        <f>H210/($H210+$I210+$J210)</f>
        <v>0.66162192360787853</v>
      </c>
      <c r="I211" s="590">
        <f>I210/($H210+$I210+$J210)</f>
        <v>0</v>
      </c>
      <c r="J211" s="590">
        <f>J210/($H210+$I210+$J210)</f>
        <v>0.33837807639212153</v>
      </c>
      <c r="K211" s="1411"/>
      <c r="L211" s="589"/>
      <c r="M211" s="589"/>
      <c r="N211" s="590">
        <f>N210/($N210+$P210)</f>
        <v>0.25362762226838492</v>
      </c>
      <c r="O211" s="590">
        <f>O210/($N210+$P210)</f>
        <v>0</v>
      </c>
      <c r="P211" s="590">
        <f>P210/($N210+$P210)</f>
        <v>0.74637237773161513</v>
      </c>
      <c r="Q211" s="2113"/>
      <c r="R211" s="118"/>
      <c r="S211" s="118"/>
      <c r="T211" s="118"/>
      <c r="U211" s="118"/>
      <c r="X211" s="118"/>
      <c r="Y211" s="118"/>
      <c r="Z211" s="118"/>
      <c r="AA211" s="118"/>
      <c r="AB211" s="423"/>
      <c r="AF211" s="118"/>
    </row>
    <row r="212" spans="1:32">
      <c r="A212" s="412"/>
      <c r="B212" s="416"/>
      <c r="C212" s="416"/>
      <c r="D212" s="363"/>
      <c r="F212" s="415"/>
      <c r="G212" s="416"/>
      <c r="H212" s="416"/>
      <c r="I212" s="416"/>
      <c r="J212" s="416"/>
      <c r="K212" s="1403"/>
      <c r="L212" s="415"/>
      <c r="M212" s="416"/>
      <c r="N212" s="416"/>
      <c r="O212" s="416"/>
      <c r="P212" s="416"/>
      <c r="Q212" s="2115"/>
      <c r="R212" s="118"/>
      <c r="S212" s="118"/>
      <c r="T212" s="118"/>
      <c r="U212" s="118"/>
      <c r="X212" s="118"/>
      <c r="Y212" s="118"/>
      <c r="Z212" s="118"/>
      <c r="AA212" s="118"/>
      <c r="AB212" s="416"/>
      <c r="AF212" s="118"/>
    </row>
    <row r="213" spans="1:32">
      <c r="A213" s="412" t="s">
        <v>288</v>
      </c>
      <c r="B213" s="414">
        <f>(B$135/B$105)^(1/30)-1</f>
        <v>2.1057290398024175E-2</v>
      </c>
      <c r="C213" s="414">
        <f>(C$135/C$105)^(1/30)-1</f>
        <v>1.6402858544086074E-2</v>
      </c>
      <c r="D213" s="363"/>
      <c r="F213" s="415"/>
      <c r="G213" s="416">
        <f>SUMPRODUCT($B$105:$B$134,G$105:G$134)/SUM($B$105:$B$134)</f>
        <v>7.1605333745653421E-2</v>
      </c>
      <c r="H213" s="416">
        <f>PRODUCT(AC$106:AC$135)^(1/30)-1</f>
        <v>2.2227305773182326E-2</v>
      </c>
      <c r="I213" s="416">
        <f>PRODUCT(AD$106:AD$135)^(1/30)-1</f>
        <v>0</v>
      </c>
      <c r="J213" s="416">
        <f>PRODUCT(AE$106:AE$135)^(1/30)-1</f>
        <v>-5.6978004756884637E-3</v>
      </c>
      <c r="K213" s="1401"/>
      <c r="L213" s="415"/>
      <c r="M213" s="416">
        <f>SUMPRODUCT($B$105:$B$134,M$105:M$134)/SUM($B$105:$B$134)</f>
        <v>2.8086015379196562E-2</v>
      </c>
      <c r="N213" s="416">
        <f>PRODUCT(AG$106:AG$135)^(1/30)-1</f>
        <v>7.4385507651648641E-3</v>
      </c>
      <c r="O213" s="416">
        <f>PRODUCT(AH$106:AH$135)^(1/30)-1</f>
        <v>0</v>
      </c>
      <c r="P213" s="416">
        <f>PRODUCT(AI$106:AI$135)^(1/30)-1</f>
        <v>8.8981186714689464E-3</v>
      </c>
      <c r="Q213" s="2115">
        <f>SUMPRODUCT($B$105:$B$134,Q$105:Q$134)/SUM($B$105:$B$134)</f>
        <v>0</v>
      </c>
      <c r="R213" s="118"/>
      <c r="S213" s="651">
        <f>(1+J213)*(1+H213)*(1+I213)-1-C213</f>
        <v>0</v>
      </c>
      <c r="T213" s="651">
        <f>(1+N213)*(1+P213)-C213-1</f>
        <v>0</v>
      </c>
      <c r="U213" s="118"/>
      <c r="X213" s="118"/>
      <c r="Y213" s="118"/>
      <c r="Z213" s="118"/>
      <c r="AA213" s="118"/>
      <c r="AB213" s="590"/>
      <c r="AF213" s="118"/>
    </row>
    <row r="214" spans="1:32">
      <c r="A214" s="407"/>
      <c r="B214" s="418"/>
      <c r="C214" s="418"/>
      <c r="D214" s="363"/>
      <c r="F214" s="419"/>
      <c r="G214" s="420"/>
      <c r="H214" s="590">
        <f>H213/($H213+$I213+$J213)</f>
        <v>1.3447048398086263</v>
      </c>
      <c r="I214" s="590">
        <f>I213/($H213+$I213+$J213)</f>
        <v>0</v>
      </c>
      <c r="J214" s="590">
        <f>J213/($H213+$I213+$J213)</f>
        <v>-0.34470483980862643</v>
      </c>
      <c r="K214" s="1411"/>
      <c r="L214" s="589"/>
      <c r="M214" s="589"/>
      <c r="N214" s="590">
        <f>N213/($N213+$P213)</f>
        <v>0.45532847402080912</v>
      </c>
      <c r="O214" s="590">
        <f>O213/($N213+$P213)</f>
        <v>0</v>
      </c>
      <c r="P214" s="590">
        <f>P213/($N213+$P213)</f>
        <v>0.54467152597919088</v>
      </c>
      <c r="Q214" s="2113"/>
      <c r="R214" s="118"/>
      <c r="S214" s="118"/>
      <c r="T214" s="118"/>
      <c r="U214" s="118"/>
      <c r="X214" s="118"/>
      <c r="Y214" s="118"/>
      <c r="Z214" s="118"/>
      <c r="AA214" s="118"/>
      <c r="AB214" s="423"/>
      <c r="AF214" s="118"/>
    </row>
    <row r="215" spans="1:32">
      <c r="A215" s="407"/>
      <c r="B215" s="418"/>
      <c r="C215" s="418"/>
      <c r="D215" s="363"/>
      <c r="F215" s="419"/>
      <c r="G215" s="420"/>
      <c r="H215" s="423"/>
      <c r="I215" s="423"/>
      <c r="J215" s="418"/>
      <c r="K215" s="1402"/>
      <c r="L215" s="424"/>
      <c r="M215" s="425"/>
      <c r="N215" s="423"/>
      <c r="O215" s="423"/>
      <c r="P215" s="418"/>
      <c r="Q215" s="2113"/>
      <c r="R215" s="118"/>
      <c r="S215" s="118"/>
      <c r="T215" s="118"/>
      <c r="U215" s="118"/>
      <c r="X215" s="118"/>
      <c r="Y215" s="118"/>
      <c r="Z215" s="118"/>
      <c r="AA215" s="118"/>
      <c r="AB215" s="416"/>
      <c r="AF215" s="118"/>
    </row>
    <row r="216" spans="1:32">
      <c r="A216" s="412" t="s">
        <v>289</v>
      </c>
      <c r="B216" s="414">
        <f>(B$165/B$135)^(1/30)-1</f>
        <v>2.5475667718342532E-2</v>
      </c>
      <c r="C216" s="414">
        <f>(C$165/C$135)^(1/30)-1</f>
        <v>4.3532133249997162E-2</v>
      </c>
      <c r="D216" s="363"/>
      <c r="F216" s="415"/>
      <c r="G216" s="416">
        <f>SUMPRODUCT($B$135:$B$164,G$135:G$164)/SUM($B$135:$B$164)</f>
        <v>7.148432454004866E-2</v>
      </c>
      <c r="H216" s="416">
        <f>PRODUCT(AC$136:AC$165)^(1/30)-1</f>
        <v>1.7054378548946536E-2</v>
      </c>
      <c r="I216" s="416">
        <f>PRODUCT(AD$136:AD$165)^(1/30)-1</f>
        <v>0</v>
      </c>
      <c r="J216" s="416">
        <f>PRODUCT(AE$136:AE$165)^(1/30)-1</f>
        <v>2.6033765017389632E-2</v>
      </c>
      <c r="K216" s="1401"/>
      <c r="L216" s="415"/>
      <c r="M216" s="416">
        <f>SUMPRODUCT($B$135:$B$164,M$135:M$164)/SUM($B$135:$B$164)</f>
        <v>2.2965914121891241E-2</v>
      </c>
      <c r="N216" s="416">
        <f>PRODUCT(AG$136:AG$165)^(1/30)-1</f>
        <v>7.632551844398483E-3</v>
      </c>
      <c r="O216" s="416">
        <f>PRODUCT(AH$136:AH$165)^(1/30)-1</f>
        <v>0</v>
      </c>
      <c r="P216" s="416">
        <f>PRODUCT(AI$136:AI$165)^(1/30)-1</f>
        <v>3.5627651508366887E-2</v>
      </c>
      <c r="Q216" s="2115">
        <f>SUMPRODUCT($B$135:$B$164,Q$135:Q$164)/SUM($B$135:$B$164)</f>
        <v>0</v>
      </c>
      <c r="R216" s="118"/>
      <c r="S216" s="651">
        <f>(1+J216)*(1+H216)*(1+I216)-1-C216</f>
        <v>0</v>
      </c>
      <c r="T216" s="651">
        <f>(1+N216)*(1+P216)-C216-1</f>
        <v>0</v>
      </c>
      <c r="U216" s="118"/>
      <c r="X216" s="118"/>
      <c r="Y216" s="118"/>
      <c r="Z216" s="118"/>
      <c r="AA216" s="118"/>
      <c r="AB216" s="590"/>
      <c r="AF216" s="118"/>
    </row>
    <row r="217" spans="1:32">
      <c r="A217" s="407"/>
      <c r="B217" s="418"/>
      <c r="C217" s="418"/>
      <c r="D217" s="363"/>
      <c r="F217" s="419"/>
      <c r="G217" s="420"/>
      <c r="H217" s="590">
        <f>H216/($H216+$I216+$J216)</f>
        <v>0.39580211950163369</v>
      </c>
      <c r="I217" s="590">
        <f>I216/($H216+$I216+$J216)</f>
        <v>0</v>
      </c>
      <c r="J217" s="590">
        <f>J216/($H216+$I216+$J216)</f>
        <v>0.60419788049836631</v>
      </c>
      <c r="K217" s="1411"/>
      <c r="L217" s="589"/>
      <c r="M217" s="589"/>
      <c r="N217" s="590">
        <f>N216/($N216+$P216)</f>
        <v>0.17643356371117425</v>
      </c>
      <c r="O217" s="590">
        <f>O216/($N216+$P216)</f>
        <v>0</v>
      </c>
      <c r="P217" s="590">
        <f>P216/($N216+$P216)</f>
        <v>0.82356643628882575</v>
      </c>
      <c r="Q217" s="2113"/>
      <c r="R217" s="118"/>
      <c r="S217" s="118"/>
      <c r="T217" s="118"/>
      <c r="U217" s="118"/>
      <c r="X217" s="118"/>
      <c r="Y217" s="118"/>
      <c r="Z217" s="118"/>
      <c r="AA217" s="118"/>
      <c r="AB217" s="423"/>
      <c r="AF217" s="118"/>
    </row>
    <row r="218" spans="1:32">
      <c r="A218" s="407"/>
      <c r="B218" s="418"/>
      <c r="C218" s="418"/>
      <c r="D218" s="363"/>
      <c r="F218" s="419"/>
      <c r="G218" s="420"/>
      <c r="H218" s="423"/>
      <c r="I218" s="423"/>
      <c r="J218" s="418"/>
      <c r="K218" s="1402"/>
      <c r="L218" s="424"/>
      <c r="M218" s="425"/>
      <c r="N218" s="423"/>
      <c r="O218" s="423"/>
      <c r="P218" s="418"/>
      <c r="Q218" s="2113"/>
      <c r="R218" s="118"/>
      <c r="S218" s="118"/>
      <c r="T218" s="118"/>
      <c r="U218" s="118"/>
      <c r="X218" s="118"/>
      <c r="Y218" s="118"/>
      <c r="Z218" s="118"/>
      <c r="AA218" s="118"/>
      <c r="AB218" s="416"/>
      <c r="AF218" s="118"/>
    </row>
    <row r="219" spans="1:32">
      <c r="A219" s="412" t="s">
        <v>375</v>
      </c>
      <c r="B219" s="414">
        <f>(B$125/B$105)^(1/20)-1</f>
        <v>2.5856995627983048E-2</v>
      </c>
      <c r="C219" s="414">
        <f>(C$125/C$105)^(1/20)-1</f>
        <v>1.8265212179265689E-2</v>
      </c>
      <c r="D219" s="363"/>
      <c r="F219" s="415"/>
      <c r="G219" s="416">
        <f>SUMPRODUCT($B$105:$B$124,G$105:G$124)/SUM($B$105:$B$124)</f>
        <v>6.3570733976952454E-2</v>
      </c>
      <c r="H219" s="416">
        <f>PRODUCT(AC$106:AC$125)^(1/20)-1</f>
        <v>2.0107353227250879E-2</v>
      </c>
      <c r="I219" s="416">
        <f>PRODUCT(AD$106:AD$125)^(1/20)-1</f>
        <v>0</v>
      </c>
      <c r="J219" s="416">
        <f>PRODUCT(AE$106:AE$125)^(1/20)-1</f>
        <v>-1.8058305747500336E-3</v>
      </c>
      <c r="K219" s="1401"/>
      <c r="L219" s="415"/>
      <c r="M219" s="416">
        <f>SUMPRODUCT($B$105:$B$124,M$105:M$124)/SUM($B$105:$B$124)</f>
        <v>1.1222144003429829E-2</v>
      </c>
      <c r="N219" s="416">
        <f>PRODUCT(AG$106:AG$125)^(1/20)-1</f>
        <v>2.889010009808457E-3</v>
      </c>
      <c r="O219" s="416">
        <f>PRODUCT(AH$106:AH$125)^(1/20)-1</f>
        <v>0</v>
      </c>
      <c r="P219" s="416">
        <f>PRODUCT(AI$106:AI$125)^(1/20)-1</f>
        <v>1.5331908133390471E-2</v>
      </c>
      <c r="Q219" s="2115">
        <f>SUMPRODUCT($B$105:$B$124,Q$105:Q$124)/SUM($B$105:$B$124)</f>
        <v>0</v>
      </c>
      <c r="R219" s="118"/>
      <c r="S219" s="651">
        <f>(1+J219)*(1+H219)*(1+I219)-1-C219</f>
        <v>0</v>
      </c>
      <c r="T219" s="651">
        <f>(1+N219)*(1+P219)-C219-1</f>
        <v>0</v>
      </c>
      <c r="U219" s="118"/>
      <c r="X219" s="118"/>
      <c r="Y219" s="118"/>
      <c r="Z219" s="118"/>
      <c r="AA219" s="118"/>
      <c r="AB219" s="590"/>
      <c r="AF219" s="118"/>
    </row>
    <row r="220" spans="1:32">
      <c r="A220" s="407"/>
      <c r="B220" s="418"/>
      <c r="C220" s="418"/>
      <c r="D220" s="363"/>
      <c r="F220" s="419"/>
      <c r="G220" s="420"/>
      <c r="H220" s="590">
        <f>H219/($H219+$I219+$J219)</f>
        <v>1.0986710564491351</v>
      </c>
      <c r="I220" s="590">
        <f>I219/($H219+$I219+$J219)</f>
        <v>0</v>
      </c>
      <c r="J220" s="590">
        <f>J219/($H219+$I219+$J219)</f>
        <v>-9.8671056449134986E-2</v>
      </c>
      <c r="K220" s="1411"/>
      <c r="L220" s="589"/>
      <c r="M220" s="589"/>
      <c r="N220" s="590">
        <f>N219/($N219+$P219)</f>
        <v>0.15855457925355965</v>
      </c>
      <c r="O220" s="590">
        <f>O219/($N219+$P219)</f>
        <v>0</v>
      </c>
      <c r="P220" s="590">
        <f>P219/($N219+$P219)</f>
        <v>0.84144542074644035</v>
      </c>
      <c r="Q220" s="2113"/>
      <c r="R220" s="118"/>
      <c r="S220" s="118"/>
      <c r="T220" s="118"/>
      <c r="U220" s="118"/>
      <c r="X220" s="118"/>
      <c r="Y220" s="118"/>
      <c r="Z220" s="118"/>
      <c r="AA220" s="118"/>
      <c r="AB220" s="423"/>
      <c r="AF220" s="118"/>
    </row>
    <row r="221" spans="1:32">
      <c r="A221" s="407"/>
      <c r="B221" s="418"/>
      <c r="C221" s="418"/>
      <c r="D221" s="363"/>
      <c r="F221" s="419"/>
      <c r="G221" s="420"/>
      <c r="H221" s="423"/>
      <c r="I221" s="423"/>
      <c r="J221" s="418"/>
      <c r="K221" s="1402"/>
      <c r="L221" s="424"/>
      <c r="M221" s="425"/>
      <c r="N221" s="423"/>
      <c r="O221" s="423"/>
      <c r="P221" s="418"/>
      <c r="Q221" s="2113"/>
      <c r="R221" s="118"/>
      <c r="S221" s="118"/>
      <c r="T221" s="118"/>
      <c r="U221" s="118"/>
      <c r="X221" s="118"/>
      <c r="Y221" s="118"/>
      <c r="Z221" s="118"/>
      <c r="AA221" s="118"/>
      <c r="AB221" s="416"/>
      <c r="AF221" s="118"/>
    </row>
    <row r="222" spans="1:32">
      <c r="A222" s="412" t="s">
        <v>348</v>
      </c>
      <c r="B222" s="414">
        <f>(B$165/B$125)^(1/40)-1</f>
        <v>2.1970102276964276E-2</v>
      </c>
      <c r="C222" s="414">
        <f>(C$165/C$125)^(1/40)-1</f>
        <v>3.5734219214780705E-2</v>
      </c>
      <c r="D222" s="363"/>
      <c r="F222" s="415"/>
      <c r="G222" s="416">
        <f>SUMPRODUCT($B$125:$B$164,G$125:G$164)/SUM($B$125:$B$164)</f>
        <v>7.3457118573101374E-2</v>
      </c>
      <c r="H222" s="416">
        <f>PRODUCT(AC$126:AC$165)^(1/40)-1</f>
        <v>1.9402747060110803E-2</v>
      </c>
      <c r="I222" s="416">
        <f>PRODUCT(AD$126:AD$165)^(1/40)-1</f>
        <v>0</v>
      </c>
      <c r="J222" s="416">
        <f>PRODUCT(AE$126:AE$165)^(1/40)-1</f>
        <v>1.602062796256809E-2</v>
      </c>
      <c r="K222" s="1401"/>
      <c r="L222" s="415"/>
      <c r="M222" s="416">
        <f>SUMPRODUCT($B$125:$B$164,M$125:M$164)/SUM($B$125:$B$164)</f>
        <v>2.7943393125113132E-2</v>
      </c>
      <c r="N222" s="416">
        <f>PRODUCT(AG$126:AG$165)^(1/40)-1</f>
        <v>9.8668817654741225E-3</v>
      </c>
      <c r="O222" s="416">
        <f>PRODUCT(AH$126:AH$165)^(1/40)-1</f>
        <v>0</v>
      </c>
      <c r="P222" s="416">
        <f>PRODUCT(AI$126:AI$165)^(1/40)-1</f>
        <v>2.5614601207720078E-2</v>
      </c>
      <c r="Q222" s="2115">
        <f>SUMPRODUCT($B$125:$B$164,Q$125:Q$164)/SUM($B$125:$B$164)</f>
        <v>0</v>
      </c>
      <c r="R222" s="118"/>
      <c r="S222" s="651">
        <f>(1+J222)*(1+H222)*(1+I222)-1-C222</f>
        <v>0</v>
      </c>
      <c r="T222" s="651">
        <f>(1+N222)*(1+P222)-C222-1</f>
        <v>0</v>
      </c>
      <c r="U222" s="118"/>
      <c r="X222" s="118"/>
      <c r="Y222" s="118"/>
      <c r="Z222" s="118"/>
      <c r="AA222" s="118"/>
      <c r="AB222" s="590"/>
      <c r="AF222" s="118"/>
    </row>
    <row r="223" spans="1:32">
      <c r="A223" s="407"/>
      <c r="B223" s="418"/>
      <c r="C223" s="418"/>
      <c r="D223" s="363"/>
      <c r="F223" s="419"/>
      <c r="G223" s="420"/>
      <c r="H223" s="590">
        <f>H222/($H222+$I222+$J222)</f>
        <v>0.54773852146185109</v>
      </c>
      <c r="I223" s="590">
        <f>I222/($H222+$I222+$J222)</f>
        <v>0</v>
      </c>
      <c r="J223" s="590">
        <f>J222/($H222+$I222+$J222)</f>
        <v>0.45226147853814891</v>
      </c>
      <c r="K223" s="1411"/>
      <c r="L223" s="589"/>
      <c r="M223" s="589"/>
      <c r="N223" s="590">
        <f>N222/($N222+$P222)</f>
        <v>0.27808538253399451</v>
      </c>
      <c r="O223" s="590">
        <f>O222/($N222+$P222)</f>
        <v>0</v>
      </c>
      <c r="P223" s="590">
        <f>P222/($N222+$P222)</f>
        <v>0.72191461746600549</v>
      </c>
      <c r="Q223" s="2113"/>
      <c r="R223" s="118"/>
      <c r="S223" s="118"/>
      <c r="T223" s="118"/>
      <c r="U223" s="118"/>
      <c r="X223" s="118"/>
      <c r="Y223" s="118"/>
      <c r="Z223" s="118"/>
      <c r="AA223" s="118"/>
      <c r="AB223" s="421"/>
      <c r="AF223" s="118"/>
    </row>
    <row r="224" spans="1:32">
      <c r="A224" s="407"/>
      <c r="B224" s="418"/>
      <c r="C224" s="418"/>
      <c r="D224" s="363"/>
      <c r="F224" s="419"/>
      <c r="G224" s="420"/>
      <c r="H224" s="423"/>
      <c r="I224" s="423"/>
      <c r="J224" s="418"/>
      <c r="K224" s="1402"/>
      <c r="L224" s="424"/>
      <c r="M224" s="425"/>
      <c r="N224" s="423"/>
      <c r="O224" s="423"/>
      <c r="P224" s="418"/>
      <c r="Q224" s="2113"/>
      <c r="R224" s="118"/>
      <c r="S224" s="118"/>
      <c r="T224" s="118"/>
      <c r="U224" s="118"/>
      <c r="X224" s="118"/>
      <c r="Y224" s="118"/>
      <c r="Z224" s="118"/>
      <c r="AA224" s="118"/>
      <c r="AB224" s="416"/>
      <c r="AF224" s="118"/>
    </row>
    <row r="225" spans="1:32">
      <c r="A225" s="412" t="s">
        <v>376</v>
      </c>
      <c r="B225" s="414">
        <f>(B$145/B$125)^(1/20)-1</f>
        <v>1.9752681521352011E-2</v>
      </c>
      <c r="C225" s="414">
        <f>(C$145/C$125)^(1/20)-1</f>
        <v>3.7202167904150318E-2</v>
      </c>
      <c r="D225" s="363"/>
      <c r="F225" s="415"/>
      <c r="G225" s="416">
        <f>SUMPRODUCT($B$125:$B$144,G$125:G$144)/SUM($B$125:$B$144)</f>
        <v>7.1934268039145849E-2</v>
      </c>
      <c r="H225" s="416">
        <f>PRODUCT(AC$126:AC$145)^(1/20)-1</f>
        <v>2.2464937322337786E-2</v>
      </c>
      <c r="I225" s="416">
        <f>PRODUCT(AD$126:AD$145)^(1/20)-1</f>
        <v>0</v>
      </c>
      <c r="J225" s="416">
        <f>PRODUCT(AE$126:AE$145)^(1/20)-1</f>
        <v>1.4413433697205047E-2</v>
      </c>
      <c r="K225" s="1401"/>
      <c r="L225" s="415"/>
      <c r="M225" s="416">
        <f>SUMPRODUCT($B$125:$B$144,M$125:M$144)/SUM($B$125:$B$144)</f>
        <v>4.3385445206175072E-2</v>
      </c>
      <c r="N225" s="416">
        <f>PRODUCT(AG$126:AG$145)^(1/20)-1</f>
        <v>1.4191803068397624E-2</v>
      </c>
      <c r="O225" s="416">
        <f>PRODUCT(AH$126:AH$145)^(1/20)-1</f>
        <v>0</v>
      </c>
      <c r="P225" s="416">
        <f>PRODUCT(AI$126:AI$145)^(1/20)-1</f>
        <v>2.2688375873415545E-2</v>
      </c>
      <c r="Q225" s="2115">
        <f>SUMPRODUCT($B$125:$B$144,Q$125:Q$144)/SUM($B$125:$B$144)</f>
        <v>0</v>
      </c>
      <c r="R225" s="118"/>
      <c r="S225" s="651">
        <f>(1+J225)*(1+H225)*(1+I225)-1-C225</f>
        <v>0</v>
      </c>
      <c r="T225" s="651">
        <f>(1+N225)*(1+P225)-C225-1</f>
        <v>0</v>
      </c>
      <c r="U225" s="118"/>
      <c r="X225" s="118"/>
      <c r="Y225" s="118"/>
      <c r="Z225" s="118"/>
      <c r="AA225" s="118"/>
      <c r="AB225" s="590"/>
      <c r="AF225" s="118"/>
    </row>
    <row r="226" spans="1:32">
      <c r="A226" s="407"/>
      <c r="B226" s="418"/>
      <c r="C226" s="418"/>
      <c r="D226" s="363"/>
      <c r="F226" s="419"/>
      <c r="G226" s="420"/>
      <c r="H226" s="590">
        <f>H225/($H225+$I225+$J225)</f>
        <v>0.60916295110846996</v>
      </c>
      <c r="I226" s="590">
        <f>I225/($H225+$I225+$J225)</f>
        <v>0</v>
      </c>
      <c r="J226" s="590">
        <f>J225/($H225+$I225+$J225)</f>
        <v>0.39083704889153004</v>
      </c>
      <c r="K226" s="1411"/>
      <c r="L226" s="589"/>
      <c r="M226" s="589"/>
      <c r="N226" s="590">
        <f>N225/($N225+$P225)</f>
        <v>0.38480841133630089</v>
      </c>
      <c r="O226" s="590">
        <f>O225/($N225+$P225)</f>
        <v>0</v>
      </c>
      <c r="P226" s="590">
        <f>P225/($N225+$P225)</f>
        <v>0.61519158866369916</v>
      </c>
      <c r="Q226" s="2113"/>
      <c r="R226" s="118"/>
      <c r="S226" s="118"/>
      <c r="T226" s="118"/>
      <c r="U226" s="118"/>
      <c r="X226" s="118"/>
      <c r="Y226" s="118"/>
      <c r="Z226" s="118"/>
      <c r="AA226" s="118"/>
      <c r="AB226" s="423"/>
      <c r="AF226" s="118"/>
    </row>
    <row r="227" spans="1:32">
      <c r="A227" s="407"/>
      <c r="B227" s="418"/>
      <c r="C227" s="418"/>
      <c r="D227" s="363"/>
      <c r="F227" s="419"/>
      <c r="G227" s="420"/>
      <c r="H227" s="421"/>
      <c r="I227" s="421"/>
      <c r="J227" s="421"/>
      <c r="K227" s="2104"/>
      <c r="L227" s="422"/>
      <c r="M227" s="417"/>
      <c r="N227" s="421"/>
      <c r="O227" s="421"/>
      <c r="P227" s="421"/>
      <c r="Q227" s="2113"/>
      <c r="R227" s="118"/>
      <c r="S227" s="118"/>
      <c r="T227" s="118"/>
      <c r="U227" s="118"/>
      <c r="X227" s="118"/>
      <c r="Y227" s="118"/>
      <c r="Z227" s="118"/>
      <c r="AA227" s="118"/>
      <c r="AB227" s="416"/>
      <c r="AF227" s="118"/>
    </row>
    <row r="228" spans="1:32">
      <c r="A228" s="412" t="s">
        <v>377</v>
      </c>
      <c r="B228" s="414">
        <f>(B$165/B$145)^(1/20)-1</f>
        <v>2.4192344745621597E-2</v>
      </c>
      <c r="C228" s="414">
        <f>(C$165/C$145)^(1/20)-1</f>
        <v>3.4268348108182689E-2</v>
      </c>
      <c r="D228" s="363"/>
      <c r="F228" s="415"/>
      <c r="G228" s="416">
        <f>SUMPRODUCT($B$145:$B$164,G$145:G$164)/SUM($B$145:$B$164)</f>
        <v>7.4368232036597703E-2</v>
      </c>
      <c r="H228" s="416">
        <f>PRODUCT(AC$146:AC$165)^(1/20)-1</f>
        <v>1.6349727781513224E-2</v>
      </c>
      <c r="I228" s="416">
        <f>PRODUCT(AD$146:AD$165)^(1/20)-1</f>
        <v>0</v>
      </c>
      <c r="J228" s="416">
        <f>PRODUCT(AE$146:AE$165)^(1/20)-1</f>
        <v>1.7630368599381718E-2</v>
      </c>
      <c r="K228" s="1401"/>
      <c r="L228" s="415"/>
      <c r="M228" s="416">
        <f>SUMPRODUCT($B$145:$B$164,M$145:M$164)/SUM($B$145:$B$164)</f>
        <v>1.870449459807105E-2</v>
      </c>
      <c r="N228" s="416">
        <f>PRODUCT(AG$146:AG$165)^(1/20)-1</f>
        <v>5.560403664536695E-3</v>
      </c>
      <c r="O228" s="416">
        <f>PRODUCT(AH$146:AH$165)^(1/20)-1</f>
        <v>0</v>
      </c>
      <c r="P228" s="416">
        <f>PRODUCT(AI$146:AI$165)^(1/20)-1</f>
        <v>2.8549199370844658E-2</v>
      </c>
      <c r="Q228" s="2115">
        <f>SUMPRODUCT($B$145:$B$164,Q$145:Q$164)/SUM($B$145:$B$164)</f>
        <v>0</v>
      </c>
      <c r="R228" s="118"/>
      <c r="S228" s="651">
        <f>(1+J228)*(1+H228)*(1+I228)-1-C228</f>
        <v>-2.2204460492503131E-16</v>
      </c>
      <c r="T228" s="651">
        <f>(1+N228)*(1+P228)-C228-1</f>
        <v>0</v>
      </c>
      <c r="U228" s="118"/>
      <c r="X228" s="118"/>
      <c r="Y228" s="118"/>
      <c r="Z228" s="118"/>
      <c r="AA228" s="118"/>
      <c r="AB228" s="590"/>
      <c r="AF228" s="118"/>
    </row>
    <row r="229" spans="1:32">
      <c r="A229" s="407"/>
      <c r="B229" s="418"/>
      <c r="C229" s="418"/>
      <c r="D229" s="363"/>
      <c r="F229" s="419"/>
      <c r="G229" s="420"/>
      <c r="H229" s="590">
        <f>H228/($H228+$I228+$J228)</f>
        <v>0.48115601551694648</v>
      </c>
      <c r="I229" s="590">
        <f>I228/($H228+$I228+$J228)</f>
        <v>0</v>
      </c>
      <c r="J229" s="590">
        <f>J228/($H228+$I228+$J228)</f>
        <v>0.51884398448305347</v>
      </c>
      <c r="K229" s="1411"/>
      <c r="L229" s="589"/>
      <c r="M229" s="589"/>
      <c r="N229" s="590">
        <f>N228/($N228+$P228)</f>
        <v>0.16301578352492041</v>
      </c>
      <c r="O229" s="590">
        <f>O228/($N228+$P228)</f>
        <v>0</v>
      </c>
      <c r="P229" s="590">
        <f>P228/($N228+$P228)</f>
        <v>0.83698421647507959</v>
      </c>
      <c r="Q229" s="2113"/>
      <c r="R229" s="118"/>
      <c r="S229" s="118"/>
      <c r="T229" s="118"/>
      <c r="U229" s="118"/>
      <c r="X229" s="118"/>
      <c r="Y229" s="118"/>
      <c r="Z229" s="118"/>
      <c r="AA229" s="118"/>
      <c r="AB229" s="418"/>
      <c r="AF229" s="118"/>
    </row>
    <row r="230" spans="1:32">
      <c r="A230" s="407"/>
      <c r="B230" s="418"/>
      <c r="C230" s="418"/>
      <c r="D230" s="363"/>
      <c r="F230" s="419"/>
      <c r="G230" s="420"/>
      <c r="H230" s="423"/>
      <c r="I230" s="423"/>
      <c r="J230" s="418"/>
      <c r="K230" s="1402"/>
      <c r="L230" s="424"/>
      <c r="M230" s="425"/>
      <c r="N230" s="423"/>
      <c r="O230" s="423"/>
      <c r="P230" s="418"/>
      <c r="Q230" s="2113"/>
      <c r="R230" s="118"/>
      <c r="S230" s="118"/>
      <c r="T230" s="118"/>
      <c r="U230" s="118"/>
      <c r="X230" s="118"/>
      <c r="Y230" s="118"/>
      <c r="Z230" s="118"/>
      <c r="AA230" s="118"/>
      <c r="AB230" s="416"/>
      <c r="AF230" s="118"/>
    </row>
    <row r="231" spans="1:32">
      <c r="A231" s="412" t="s">
        <v>378</v>
      </c>
      <c r="B231" s="414">
        <f>(B$115/B$105)^(1/10)-1</f>
        <v>2.4303164830828727E-2</v>
      </c>
      <c r="C231" s="414">
        <f>(C$115/C$105)^(1/10)-1</f>
        <v>8.442990860357158E-3</v>
      </c>
      <c r="D231" s="363"/>
      <c r="F231" s="415"/>
      <c r="G231" s="416">
        <f>SUMPRODUCT($B$105:$B$114,G$105:G$114)/SUM($B$105:$B$114)</f>
        <v>5.4287489815100121E-2</v>
      </c>
      <c r="H231" s="416">
        <f>PRODUCT(AC$106:AC$115)^(1/10)-1</f>
        <v>1.7455101460862599E-2</v>
      </c>
      <c r="I231" s="416">
        <f>PRODUCT(AD$106:AD$115)^(1/10)-1</f>
        <v>0</v>
      </c>
      <c r="J231" s="416">
        <f>PRODUCT(AE$106:AE$115)^(1/10)-1</f>
        <v>-8.8575020043302199E-3</v>
      </c>
      <c r="K231" s="1401"/>
      <c r="L231" s="415"/>
      <c r="M231" s="416">
        <f>SUMPRODUCT($B$105:$B$114,M$105:M$114)/SUM($B$105:$B$114)</f>
        <v>-4.682267786012325E-3</v>
      </c>
      <c r="N231" s="416">
        <f>PRODUCT(AG$106:AG$115)^(1/10)-1</f>
        <v>-1.4825818870239926E-3</v>
      </c>
      <c r="O231" s="416">
        <f>PRODUCT(AH$106:AH$115)^(1/10)-1</f>
        <v>0</v>
      </c>
      <c r="P231" s="416">
        <f>PRODUCT(AI$106:AI$115)^(1/10)-1</f>
        <v>9.9403100710437897E-3</v>
      </c>
      <c r="Q231" s="2115">
        <f>SUMPRODUCT($B$105:$B$114,Q$105:Q$114)/SUM($B$105:$B$114)</f>
        <v>0</v>
      </c>
      <c r="R231" s="118"/>
      <c r="S231" s="651">
        <f>(1+J231)*(1+H231)*(1+I231)-1-C231</f>
        <v>-2.2204460492503131E-16</v>
      </c>
      <c r="T231" s="651">
        <f>(1+N231)*(1+P231)-C231-1</f>
        <v>0</v>
      </c>
      <c r="U231" s="118"/>
      <c r="X231" s="118"/>
      <c r="Y231" s="118"/>
      <c r="Z231" s="118"/>
      <c r="AA231" s="118"/>
      <c r="AB231" s="590"/>
      <c r="AF231" s="118"/>
    </row>
    <row r="232" spans="1:32">
      <c r="A232" s="407"/>
      <c r="B232" s="418"/>
      <c r="C232" s="418"/>
      <c r="D232" s="363"/>
      <c r="F232" s="419"/>
      <c r="G232" s="420"/>
      <c r="H232" s="590">
        <f>H231/($H231+$I231+$J231)</f>
        <v>2.0302296645839171</v>
      </c>
      <c r="I232" s="590">
        <f>I231/($H231+$I231+$J231)</f>
        <v>0</v>
      </c>
      <c r="J232" s="590">
        <f>J231/($H231+$I231+$J231)</f>
        <v>-1.0302296645839171</v>
      </c>
      <c r="K232" s="1411"/>
      <c r="L232" s="589"/>
      <c r="M232" s="589"/>
      <c r="N232" s="590">
        <f>N231/($N231+$P231)</f>
        <v>-0.17529315848967728</v>
      </c>
      <c r="O232" s="590">
        <f>O231/($N231+$P231)</f>
        <v>0</v>
      </c>
      <c r="P232" s="590">
        <f>P231/($N231+$P231)</f>
        <v>1.1752931584896773</v>
      </c>
      <c r="Q232" s="2113"/>
      <c r="R232" s="118"/>
      <c r="S232" s="118"/>
      <c r="T232" s="118"/>
      <c r="U232" s="118"/>
      <c r="X232" s="118"/>
      <c r="Y232" s="118"/>
      <c r="Z232" s="118"/>
      <c r="AA232" s="118"/>
      <c r="AB232" s="418"/>
      <c r="AF232" s="118"/>
    </row>
    <row r="233" spans="1:32">
      <c r="A233" s="407"/>
      <c r="B233" s="418"/>
      <c r="C233" s="418"/>
      <c r="D233" s="363"/>
      <c r="F233" s="419"/>
      <c r="G233" s="420"/>
      <c r="H233" s="423"/>
      <c r="I233" s="423"/>
      <c r="J233" s="418"/>
      <c r="K233" s="1402"/>
      <c r="L233" s="419"/>
      <c r="M233" s="420"/>
      <c r="N233" s="418"/>
      <c r="O233" s="418"/>
      <c r="P233" s="418"/>
      <c r="Q233" s="2113"/>
      <c r="R233" s="118"/>
      <c r="S233" s="118"/>
      <c r="T233" s="118"/>
      <c r="U233" s="118"/>
      <c r="X233" s="118"/>
      <c r="Y233" s="118"/>
      <c r="Z233" s="118"/>
      <c r="AA233" s="118"/>
      <c r="AB233" s="416"/>
      <c r="AF233" s="118"/>
    </row>
    <row r="234" spans="1:32">
      <c r="A234" s="412" t="s">
        <v>379</v>
      </c>
      <c r="B234" s="414">
        <f>(B$125/B$115)^(1/10)-1</f>
        <v>2.7413183530171192E-2</v>
      </c>
      <c r="C234" s="414">
        <f>(C$125/C$115)^(1/10)-1</f>
        <v>2.8183101803187061E-2</v>
      </c>
      <c r="D234" s="363"/>
      <c r="F234" s="415"/>
      <c r="G234" s="416">
        <f>SUMPRODUCT($B$115:$B$124,G$115:G$124)/SUM($B$115:$B$124)</f>
        <v>7.0587089689921986E-2</v>
      </c>
      <c r="H234" s="416">
        <f>PRODUCT(AC$116:AC$125)^(1/10)-1</f>
        <v>2.27665187527053E-2</v>
      </c>
      <c r="I234" s="416">
        <f>PRODUCT(AD$116:AD$125)^(1/10)-1</f>
        <v>0</v>
      </c>
      <c r="J234" s="416">
        <f>PRODUCT(AE$116:AE$125)^(1/10)-1</f>
        <v>5.2960113096853778E-3</v>
      </c>
      <c r="K234" s="1401"/>
      <c r="L234" s="415"/>
      <c r="M234" s="416">
        <f>SUMPRODUCT($B$115:$B$124,M$115:M$124)/SUM($B$115:$B$124)</f>
        <v>2.3242835108252192E-2</v>
      </c>
      <c r="N234" s="416">
        <f>PRODUCT(AG$116:AG$125)^(1/10)-1</f>
        <v>7.2797410977711863E-3</v>
      </c>
      <c r="O234" s="416">
        <f>PRODUCT(AH$116:AH$125)^(1/10)-1</f>
        <v>0</v>
      </c>
      <c r="P234" s="416">
        <f>PRODUCT(AI$116:AI$125)^(1/10)-1</f>
        <v>2.0752289411315461E-2</v>
      </c>
      <c r="Q234" s="2115">
        <f>SUMPRODUCT($B$115:$B$124,Q$115:Q$124)/SUM($B$115:$B$124)</f>
        <v>0</v>
      </c>
      <c r="R234" s="118"/>
      <c r="S234" s="651">
        <f>(1+J234)*(1+H234)*(1+I234)-1-C234</f>
        <v>0</v>
      </c>
      <c r="T234" s="651">
        <f>(1+N234)*(1+P234)-C234-1</f>
        <v>0</v>
      </c>
      <c r="U234" s="118"/>
      <c r="X234" s="118"/>
      <c r="Y234" s="118"/>
      <c r="Z234" s="118"/>
      <c r="AA234" s="118"/>
      <c r="AB234" s="590"/>
      <c r="AF234" s="118"/>
    </row>
    <row r="235" spans="1:32">
      <c r="A235" s="407"/>
      <c r="B235" s="418"/>
      <c r="C235" s="418"/>
      <c r="D235" s="363"/>
      <c r="F235" s="419"/>
      <c r="G235" s="420"/>
      <c r="H235" s="590">
        <f>H234/($H234+$I234+$J234)</f>
        <v>0.81127819558995939</v>
      </c>
      <c r="I235" s="590">
        <f>I234/($H234+$I234+$J234)</f>
        <v>0</v>
      </c>
      <c r="J235" s="590">
        <f>J234/($H234+$I234+$J234)</f>
        <v>0.18872180441004061</v>
      </c>
      <c r="K235" s="1411"/>
      <c r="L235" s="589"/>
      <c r="M235" s="589"/>
      <c r="N235" s="590">
        <f>N234/($N234+$P234)</f>
        <v>0.25969367775236407</v>
      </c>
      <c r="O235" s="590">
        <f>O234/($N234+$P234)</f>
        <v>0</v>
      </c>
      <c r="P235" s="590">
        <f>P234/($N234+$P234)</f>
        <v>0.74030632224763593</v>
      </c>
      <c r="Q235" s="2113"/>
      <c r="R235" s="118"/>
      <c r="S235" s="118"/>
      <c r="T235" s="118"/>
      <c r="U235" s="118"/>
      <c r="X235" s="118"/>
      <c r="Y235" s="118"/>
      <c r="Z235" s="118"/>
      <c r="AA235" s="118"/>
      <c r="AB235" s="418"/>
      <c r="AF235" s="118"/>
    </row>
    <row r="236" spans="1:32">
      <c r="A236" s="427"/>
      <c r="B236" s="420"/>
      <c r="C236" s="420"/>
      <c r="D236" s="363"/>
      <c r="F236" s="419"/>
      <c r="G236" s="420"/>
      <c r="H236" s="429"/>
      <c r="I236" s="429"/>
      <c r="J236" s="429"/>
      <c r="K236" s="1402"/>
      <c r="L236" s="419"/>
      <c r="M236" s="420"/>
      <c r="N236" s="418"/>
      <c r="O236" s="418"/>
      <c r="P236" s="418"/>
      <c r="Q236" s="2113"/>
      <c r="R236" s="118"/>
      <c r="S236" s="118"/>
      <c r="T236" s="118"/>
      <c r="U236" s="118"/>
      <c r="X236" s="118"/>
      <c r="Y236" s="118"/>
      <c r="Z236" s="118"/>
      <c r="AA236" s="118"/>
      <c r="AB236" s="416"/>
      <c r="AF236" s="118"/>
    </row>
    <row r="237" spans="1:32">
      <c r="A237" s="412" t="s">
        <v>380</v>
      </c>
      <c r="B237" s="414">
        <f>(B$135/B$125)^(1/10)-1</f>
        <v>1.1525144407265264E-2</v>
      </c>
      <c r="C237" s="414">
        <f>(C$135/C$125)^(1/10)-1</f>
        <v>1.2688363485253706E-2</v>
      </c>
      <c r="D237" s="363"/>
      <c r="F237" s="415"/>
      <c r="G237" s="416">
        <f>SUMPRODUCT($B$125:$B$134,G$125:G$134)/SUM($B$125:$B$134)</f>
        <v>8.2956830346380364E-2</v>
      </c>
      <c r="H237" s="416">
        <f>PRODUCT(AC$126:AC$135)^(1/10)-1</f>
        <v>2.6480436861348489E-2</v>
      </c>
      <c r="I237" s="416">
        <f>PRODUCT(AD$126:AD$135)^(1/10)-1</f>
        <v>0</v>
      </c>
      <c r="J237" s="416">
        <f>PRODUCT(AE$126:AE$135)^(1/10)-1</f>
        <v>-1.3436274945742288E-2</v>
      </c>
      <c r="K237" s="1401"/>
      <c r="L237" s="415"/>
      <c r="M237" s="416">
        <f>SUMPRODUCT($B$125:$B$134,M$125:M$134)/SUM($B$125:$B$134)</f>
        <v>5.1911742124520592E-2</v>
      </c>
      <c r="N237" s="416">
        <f>PRODUCT(AG$126:AG$135)^(1/10)-1</f>
        <v>1.6599641989037073E-2</v>
      </c>
      <c r="O237" s="416">
        <f>PRODUCT(AH$126:AH$135)^(1/10)-1</f>
        <v>0</v>
      </c>
      <c r="P237" s="416">
        <f>PRODUCT(AI$126:AI$135)^(1/10)-1</f>
        <v>-3.8474128282504072E-3</v>
      </c>
      <c r="Q237" s="2115">
        <f>SUMPRODUCT($B$125:$B$134,Q$125:Q$134)/SUM($B$125:$B$134)</f>
        <v>0</v>
      </c>
      <c r="R237" s="118"/>
      <c r="S237" s="651">
        <f>(1+J237)*(1+H237)*(1+I237)-1-C237</f>
        <v>0</v>
      </c>
      <c r="T237" s="651">
        <f>(1+N237)*(1+P237)-C237-1</f>
        <v>0</v>
      </c>
      <c r="U237" s="118"/>
      <c r="X237" s="118"/>
      <c r="Y237" s="118"/>
      <c r="Z237" s="118"/>
      <c r="AA237" s="118"/>
      <c r="AB237" s="590"/>
      <c r="AF237" s="118"/>
    </row>
    <row r="238" spans="1:32">
      <c r="A238" s="407"/>
      <c r="B238" s="418"/>
      <c r="C238" s="418"/>
      <c r="D238" s="363"/>
      <c r="F238" s="419"/>
      <c r="G238" s="420"/>
      <c r="H238" s="590">
        <f>H237/($H237+$I237+$J237)</f>
        <v>2.0300604234042017</v>
      </c>
      <c r="I238" s="590">
        <f>I237/($H237+$I237+$J237)</f>
        <v>0</v>
      </c>
      <c r="J238" s="590">
        <f>J237/($H237+$I237+$J237)</f>
        <v>-1.0300604234042019</v>
      </c>
      <c r="K238" s="1411"/>
      <c r="L238" s="589"/>
      <c r="M238" s="589"/>
      <c r="N238" s="590">
        <f>N237/($N237+$P237)</f>
        <v>1.3017051199237597</v>
      </c>
      <c r="O238" s="590">
        <f>O237/($N237+$P237)</f>
        <v>0</v>
      </c>
      <c r="P238" s="590">
        <f>P237/($N237+$P237)</f>
        <v>-0.30170511992375976</v>
      </c>
      <c r="Q238" s="2113"/>
      <c r="R238" s="118"/>
      <c r="S238" s="118"/>
      <c r="T238" s="118"/>
      <c r="U238" s="118"/>
      <c r="X238" s="118"/>
      <c r="Y238" s="118"/>
      <c r="Z238" s="118"/>
      <c r="AA238" s="118"/>
      <c r="AB238" s="418"/>
      <c r="AF238" s="118"/>
    </row>
    <row r="239" spans="1:32">
      <c r="A239" s="427"/>
      <c r="B239" s="420"/>
      <c r="C239" s="420"/>
      <c r="D239" s="363"/>
      <c r="F239" s="419"/>
      <c r="G239" s="420"/>
      <c r="H239" s="429"/>
      <c r="I239" s="429"/>
      <c r="J239" s="429"/>
      <c r="K239" s="1402"/>
      <c r="L239" s="419"/>
      <c r="M239" s="420"/>
      <c r="N239" s="418"/>
      <c r="O239" s="418"/>
      <c r="P239" s="418"/>
      <c r="Q239" s="2113"/>
      <c r="R239" s="118"/>
      <c r="S239" s="118"/>
      <c r="T239" s="118"/>
      <c r="U239" s="118"/>
      <c r="X239" s="118"/>
      <c r="Y239" s="118"/>
      <c r="Z239" s="118"/>
      <c r="AA239" s="118"/>
      <c r="AB239" s="416"/>
      <c r="AF239" s="118"/>
    </row>
    <row r="240" spans="1:32">
      <c r="A240" s="412" t="s">
        <v>381</v>
      </c>
      <c r="B240" s="414">
        <f>(B$145/B$135)^(1/10)-1</f>
        <v>2.8047139727156445E-2</v>
      </c>
      <c r="C240" s="414">
        <f>(C$145/C$135)^(1/10)-1</f>
        <v>6.2309369688668514E-2</v>
      </c>
      <c r="D240" s="363"/>
      <c r="F240" s="415"/>
      <c r="G240" s="416">
        <f>SUMPRODUCT($B$135:$B$144,G$135:G$144)/SUM($B$135:$B$144)</f>
        <v>6.2568363995100518E-2</v>
      </c>
      <c r="H240" s="416">
        <f>PRODUCT(AC$136:AC$145)^(1/10)-1</f>
        <v>1.8465146057901949E-2</v>
      </c>
      <c r="I240" s="416">
        <f>PRODUCT(AD$136:AD$145)^(1/10)-1</f>
        <v>0</v>
      </c>
      <c r="J240" s="416">
        <f>PRODUCT(AE$136:AE$145)^(1/10)-1</f>
        <v>4.304931180067495E-2</v>
      </c>
      <c r="K240" s="1401"/>
      <c r="L240" s="415"/>
      <c r="M240" s="416">
        <f>SUMPRODUCT($B$135:$B$144,M$135:M$144)/SUM($B$135:$B$144)</f>
        <v>3.6140625302925312E-2</v>
      </c>
      <c r="N240" s="416">
        <f>PRODUCT(AG$136:AG$145)^(1/10)-1</f>
        <v>1.1789667167932505E-2</v>
      </c>
      <c r="O240" s="416">
        <f>PRODUCT(AH$136:AH$145)^(1/10)-1</f>
        <v>0</v>
      </c>
      <c r="P240" s="416">
        <f>PRODUCT(AI$136:AI$145)^(1/10)-1</f>
        <v>4.9931032268933917E-2</v>
      </c>
      <c r="Q240" s="2115">
        <f>SUMPRODUCT($B$135:$B$144,Q$135:Q$144)/SUM($B$135:$B$144)</f>
        <v>0</v>
      </c>
      <c r="R240" s="118"/>
      <c r="S240" s="651">
        <f>(1+J240)*(1+H240)*(1+I240)-1-C240</f>
        <v>0</v>
      </c>
      <c r="T240" s="651">
        <f>(1+N240)*(1+P240)-C240-1</f>
        <v>0</v>
      </c>
      <c r="U240" s="118"/>
      <c r="X240" s="118"/>
      <c r="Y240" s="118"/>
      <c r="Z240" s="118"/>
      <c r="AA240" s="118"/>
      <c r="AB240" s="590"/>
      <c r="AF240" s="118"/>
    </row>
    <row r="241" spans="1:32">
      <c r="A241" s="407"/>
      <c r="B241" s="418"/>
      <c r="C241" s="418"/>
      <c r="D241" s="363"/>
      <c r="F241" s="419"/>
      <c r="G241" s="420"/>
      <c r="H241" s="590">
        <f>H240/($H240+$I240+$J240)</f>
        <v>0.3001757099177193</v>
      </c>
      <c r="I241" s="590">
        <f>I240/($H240+$I240+$J240)</f>
        <v>0</v>
      </c>
      <c r="J241" s="590">
        <f>J240/($H240+$I240+$J240)</f>
        <v>0.69982429008228064</v>
      </c>
      <c r="K241" s="1411"/>
      <c r="L241" s="589"/>
      <c r="M241" s="589"/>
      <c r="N241" s="590">
        <f>N240/($N240+$P240)</f>
        <v>0.19101642197026714</v>
      </c>
      <c r="O241" s="590">
        <f>O240/($N240+$P240)</f>
        <v>0</v>
      </c>
      <c r="P241" s="590">
        <f>P240/($N240+$P240)</f>
        <v>0.80898357802973286</v>
      </c>
      <c r="Q241" s="2113"/>
      <c r="R241" s="118"/>
      <c r="S241" s="118"/>
      <c r="T241" s="118"/>
      <c r="U241" s="118"/>
      <c r="X241" s="118"/>
      <c r="Y241" s="118"/>
      <c r="Z241" s="118"/>
      <c r="AA241" s="118"/>
      <c r="AB241" s="418"/>
      <c r="AF241" s="118"/>
    </row>
    <row r="242" spans="1:32">
      <c r="A242" s="427"/>
      <c r="B242" s="420"/>
      <c r="C242" s="420"/>
      <c r="D242" s="363"/>
      <c r="F242" s="419"/>
      <c r="G242" s="420"/>
      <c r="H242" s="429"/>
      <c r="I242" s="429"/>
      <c r="J242" s="429"/>
      <c r="K242" s="1402"/>
      <c r="L242" s="419"/>
      <c r="M242" s="420"/>
      <c r="N242" s="418"/>
      <c r="O242" s="418"/>
      <c r="P242" s="418"/>
      <c r="Q242" s="2113"/>
      <c r="R242" s="118"/>
      <c r="S242" s="118"/>
      <c r="T242" s="118"/>
      <c r="U242" s="118"/>
      <c r="X242" s="118"/>
      <c r="Y242" s="118"/>
      <c r="Z242" s="118"/>
      <c r="AA242" s="118"/>
      <c r="AB242" s="416"/>
      <c r="AF242" s="118"/>
    </row>
    <row r="243" spans="1:32">
      <c r="A243" s="412" t="s">
        <v>382</v>
      </c>
      <c r="B243" s="414">
        <f>(B$155/B$145)^(1/10)-1</f>
        <v>3.0129326338009133E-2</v>
      </c>
      <c r="C243" s="414">
        <f>(C$155/C$145)^(1/10)-1</f>
        <v>4.901479952854837E-2</v>
      </c>
      <c r="D243" s="363"/>
      <c r="F243" s="415"/>
      <c r="G243" s="416">
        <f>SUMPRODUCT($B$145:$B$154,G$145:G$154)/SUM($B$145:$B$154)</f>
        <v>7.7577510799317753E-2</v>
      </c>
      <c r="H243" s="416">
        <f>PRODUCT(AC$146:AC$155)^(1/10)-1</f>
        <v>1.8404120681181357E-2</v>
      </c>
      <c r="I243" s="416">
        <f>PRODUCT(AD$146:AD$155)^(1/10)-1</f>
        <v>0</v>
      </c>
      <c r="J243" s="416">
        <f>PRODUCT(AE$146:AE$155)^(1/10)-1</f>
        <v>3.0057497044387871E-2</v>
      </c>
      <c r="K243" s="1401"/>
      <c r="L243" s="415"/>
      <c r="M243" s="416">
        <f>SUMPRODUCT($B$145:$B$154,M$145:M$154)/SUM($B$145:$B$154)</f>
        <v>4.5558854751026272E-2</v>
      </c>
      <c r="N243" s="416">
        <f>PRODUCT(AG$146:AG$155)^(1/10)-1</f>
        <v>1.116553355054517E-2</v>
      </c>
      <c r="O243" s="416">
        <f>PRODUCT(AH$146:AH$155)^(1/10)-1</f>
        <v>0</v>
      </c>
      <c r="P243" s="416">
        <f>PRODUCT(AI$146:AI$155)^(1/10)-1</f>
        <v>3.7431325259971615E-2</v>
      </c>
      <c r="Q243" s="2115">
        <f>SUMPRODUCT($B$145:$B$154,Q$145:Q$154)/SUM($B$145:$B$154)</f>
        <v>0</v>
      </c>
      <c r="R243" s="118"/>
      <c r="S243" s="651">
        <f>(1+J243)*(1+H243)*(1+I243)-1-C243</f>
        <v>0</v>
      </c>
      <c r="T243" s="651">
        <f>(1+N243)*(1+P243)-C243-1</f>
        <v>0</v>
      </c>
      <c r="U243" s="118"/>
      <c r="X243" s="118"/>
      <c r="Y243" s="118"/>
      <c r="Z243" s="118"/>
      <c r="AA243" s="118"/>
      <c r="AB243" s="421"/>
      <c r="AF243" s="118"/>
    </row>
    <row r="244" spans="1:32">
      <c r="A244" s="407"/>
      <c r="B244" s="418"/>
      <c r="C244" s="418"/>
      <c r="D244" s="363"/>
      <c r="F244" s="419"/>
      <c r="G244" s="420"/>
      <c r="H244" s="590">
        <f>H243/($H243+$I243+$J243)</f>
        <v>0.3797669484622056</v>
      </c>
      <c r="I244" s="590">
        <f>I243/($H243+$I243+$J243)</f>
        <v>0</v>
      </c>
      <c r="J244" s="590">
        <f>J243/($H243+$I243+$J243)</f>
        <v>0.6202330515377944</v>
      </c>
      <c r="K244" s="1411"/>
      <c r="L244" s="589"/>
      <c r="M244" s="589"/>
      <c r="N244" s="590">
        <f>N243/($N243+$P243)</f>
        <v>0.22975833878647423</v>
      </c>
      <c r="O244" s="590">
        <f>O243/($N243+$P243)</f>
        <v>0</v>
      </c>
      <c r="P244" s="590">
        <f>P243/($N243+$P243)</f>
        <v>0.77024166121352577</v>
      </c>
      <c r="Q244" s="2113"/>
      <c r="R244" s="118"/>
      <c r="S244" s="118"/>
      <c r="T244" s="118"/>
      <c r="U244" s="118"/>
      <c r="X244" s="118"/>
      <c r="Y244" s="118"/>
      <c r="Z244" s="118"/>
      <c r="AA244" s="118"/>
      <c r="AF244" s="118"/>
    </row>
    <row r="245" spans="1:32">
      <c r="A245" s="427"/>
      <c r="B245" s="420"/>
      <c r="C245" s="420"/>
      <c r="D245" s="363"/>
      <c r="F245" s="419"/>
      <c r="G245" s="420"/>
      <c r="H245" s="429"/>
      <c r="I245" s="429"/>
      <c r="J245" s="429"/>
      <c r="K245" s="1402"/>
      <c r="L245" s="419"/>
      <c r="M245" s="420"/>
      <c r="N245" s="418"/>
      <c r="O245" s="418"/>
      <c r="P245" s="418"/>
      <c r="Q245" s="2113"/>
      <c r="R245" s="118"/>
      <c r="S245" s="118"/>
      <c r="T245" s="118"/>
      <c r="U245" s="118"/>
      <c r="X245" s="118"/>
      <c r="Y245" s="118"/>
      <c r="Z245" s="118"/>
      <c r="AA245" s="118"/>
      <c r="AF245" s="118"/>
    </row>
    <row r="246" spans="1:32">
      <c r="A246" s="412" t="s">
        <v>383</v>
      </c>
      <c r="B246" s="416">
        <f>(B$165/B$155)^(1/10)-1</f>
        <v>1.8289579973906456E-2</v>
      </c>
      <c r="C246" s="416">
        <f>(C$165/C$155)^(1/10)-1</f>
        <v>1.9729193886665719E-2</v>
      </c>
      <c r="D246" s="363"/>
      <c r="F246" s="415"/>
      <c r="G246" s="416">
        <f>SUMPRODUCT($B$155:$B$164,G$155:G$164)/SUM($B$155:$B$164)</f>
        <v>7.2064039622786263E-2</v>
      </c>
      <c r="H246" s="416">
        <f>PRODUCT(AC$156:AC$165)^(1/10)-1</f>
        <v>1.4299479140593263E-2</v>
      </c>
      <c r="I246" s="416">
        <f>PRODUCT(AD$156:AD$165)^(1/10)-1</f>
        <v>0</v>
      </c>
      <c r="J246" s="416">
        <f>PRODUCT(AE$156:AE$165)^(1/10)-1</f>
        <v>5.353167242748702E-3</v>
      </c>
      <c r="K246" s="1403"/>
      <c r="L246" s="415"/>
      <c r="M246" s="416">
        <f>SUMPRODUCT($B$155:$B$164,M$155:M$164)/SUM($B$155:$B$164)</f>
        <v>-5.7635244488112101E-4</v>
      </c>
      <c r="N246" s="416">
        <f>PRODUCT(AG$156:AG$165)^(1/10)-1</f>
        <v>-1.3655659830913436E-5</v>
      </c>
      <c r="O246" s="416">
        <f>PRODUCT(AH$156:AH$165)^(1/10)-1</f>
        <v>0</v>
      </c>
      <c r="P246" s="416">
        <f>PRODUCT(AI$156:AI$165)^(1/10)-1</f>
        <v>1.9743119151815813E-2</v>
      </c>
      <c r="Q246" s="2115">
        <f>SUMPRODUCT($B$155:$B$164,Q$155:Q$164)/SUM($B$155:$B$164)</f>
        <v>0</v>
      </c>
      <c r="R246" s="118"/>
      <c r="S246" s="651">
        <f>(1+J246)*(1+H246)*(1+I246)-1-C246</f>
        <v>0</v>
      </c>
      <c r="T246" s="651">
        <f>(1+N246)*(1+P246)-C246-1</f>
        <v>0</v>
      </c>
      <c r="U246" s="118"/>
      <c r="X246" s="118"/>
      <c r="Y246" s="118"/>
      <c r="Z246" s="118"/>
      <c r="AA246" s="118"/>
      <c r="AF246" s="118"/>
    </row>
    <row r="247" spans="1:32" ht="13" thickBot="1">
      <c r="A247" s="430"/>
      <c r="B247" s="431"/>
      <c r="C247" s="432"/>
      <c r="D247" s="1234"/>
      <c r="E247" s="433"/>
      <c r="F247" s="433"/>
      <c r="G247" s="433"/>
      <c r="H247" s="434">
        <f>H246/($H246+$I246+$J246)</f>
        <v>0.72761087039727279</v>
      </c>
      <c r="I247" s="434">
        <f>I246/($H246+$I246+$J246)</f>
        <v>0</v>
      </c>
      <c r="J247" s="434">
        <f>J246/($H246+$I246+$J246)</f>
        <v>0.27238912960272715</v>
      </c>
      <c r="K247" s="1410"/>
      <c r="L247" s="435"/>
      <c r="M247" s="435"/>
      <c r="N247" s="434">
        <f>N246/($N246+$P246)</f>
        <v>-6.9214552318977408E-4</v>
      </c>
      <c r="O247" s="434">
        <f>O246/($N246+$P246)</f>
        <v>0</v>
      </c>
      <c r="P247" s="434">
        <f>P246/($N246+$P246)</f>
        <v>1.0006921455231899</v>
      </c>
      <c r="Q247" s="2116"/>
      <c r="R247" s="118"/>
      <c r="S247" s="118"/>
      <c r="T247" s="118"/>
      <c r="U247" s="118"/>
      <c r="W247" s="118"/>
      <c r="X247" s="118"/>
      <c r="Y247" s="118"/>
      <c r="Z247" s="118"/>
      <c r="AA247" s="118"/>
      <c r="AF247" s="118"/>
    </row>
    <row r="248" spans="1:32" ht="13" thickTop="1">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F248" s="118"/>
    </row>
    <row r="249" spans="1:32">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F249" s="118"/>
    </row>
    <row r="250" spans="1:32">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F250" s="118"/>
    </row>
    <row r="251" spans="1:32">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F251" s="118"/>
    </row>
    <row r="252" spans="1:32">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F252" s="118"/>
    </row>
    <row r="253" spans="1:32">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F253" s="118"/>
    </row>
    <row r="254" spans="1:32">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F254" s="118"/>
    </row>
    <row r="255" spans="1:32">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F255" s="118"/>
    </row>
    <row r="256" spans="1:32">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F256" s="118"/>
    </row>
    <row r="257" spans="2:32">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F257" s="118"/>
    </row>
    <row r="258" spans="2:32">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F258" s="118"/>
    </row>
    <row r="259" spans="2:32">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F259" s="118"/>
    </row>
    <row r="260" spans="2:32">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row>
    <row r="261" spans="2:32">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row>
    <row r="262" spans="2:32">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row>
    <row r="263" spans="2:32">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row>
    <row r="264" spans="2:32">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row>
    <row r="265" spans="2:32">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row>
    <row r="266" spans="2:32">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row>
    <row r="267" spans="2:32">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row>
    <row r="268" spans="2:32">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row>
    <row r="269" spans="2:32">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row>
    <row r="270" spans="2:32">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row>
    <row r="271" spans="2:32">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row>
    <row r="272" spans="2:32">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row>
    <row r="273" spans="2:32">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row>
    <row r="274" spans="2:32">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row>
    <row r="275" spans="2:32">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row>
    <row r="276" spans="2:32">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row>
    <row r="277" spans="2:32">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row>
    <row r="278" spans="2:32">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row>
    <row r="279" spans="2:32">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row>
    <row r="280" spans="2:32">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row>
    <row r="281" spans="2:32">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row>
    <row r="282" spans="2:32">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row>
    <row r="283" spans="2:32">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row>
    <row r="284" spans="2:32">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row>
    <row r="285" spans="2:32">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row>
    <row r="286" spans="2:32">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row>
    <row r="287" spans="2:32">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row>
    <row r="288" spans="2:32">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row>
    <row r="289" spans="2:32">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row>
    <row r="290" spans="2:32">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row>
    <row r="291" spans="2:32">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row>
    <row r="292" spans="2:32">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row>
    <row r="293" spans="2:32">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row>
    <row r="294" spans="2:32">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row>
    <row r="295" spans="2:32">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row>
    <row r="296" spans="2:32">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row>
    <row r="297" spans="2:32">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row>
    <row r="298" spans="2:32">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row>
    <row r="299" spans="2:32">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row>
    <row r="300" spans="2:32">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row>
    <row r="301" spans="2:32">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row>
    <row r="302" spans="2:32">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row>
    <row r="303" spans="2:32">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row>
    <row r="304" spans="2:32">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row>
    <row r="305" spans="2:32">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row>
    <row r="306" spans="2:32">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row>
    <row r="307" spans="2:32">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row>
    <row r="308" spans="2:32">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row>
    <row r="309" spans="2:32">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row>
    <row r="310" spans="2:32">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row>
    <row r="311" spans="2:32">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row>
    <row r="312" spans="2:32">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row>
    <row r="313" spans="2:32">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row>
    <row r="314" spans="2:32">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row>
    <row r="315" spans="2:32">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row>
    <row r="316" spans="2:32">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row>
    <row r="317" spans="2:32">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row>
    <row r="318" spans="2:32">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row>
    <row r="319" spans="2:32">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row>
    <row r="320" spans="2:32">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row>
    <row r="321" spans="2:32">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row>
    <row r="322" spans="2:32">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row>
    <row r="323" spans="2:32">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row>
    <row r="324" spans="2:32">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row>
    <row r="325" spans="2:32">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row>
    <row r="326" spans="2:32">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row>
    <row r="327" spans="2:32">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row>
    <row r="328" spans="2:32">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row>
    <row r="329" spans="2:32">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row>
    <row r="330" spans="2:32">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row>
    <row r="331" spans="2:32">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row>
    <row r="332" spans="2:32">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row>
    <row r="333" spans="2:32">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row>
    <row r="334" spans="2:32">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row>
    <row r="335" spans="2:32">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row>
    <row r="336" spans="2:32">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row>
    <row r="337" spans="2:32">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row>
    <row r="338" spans="2:32">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row>
    <row r="339" spans="2:32">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row>
    <row r="340" spans="2:32">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row>
    <row r="341" spans="2:32">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row>
    <row r="342" spans="2:32">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row>
    <row r="343" spans="2:32">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row>
    <row r="344" spans="2:32">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row>
    <row r="345" spans="2:32">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row>
    <row r="346" spans="2:32">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row>
    <row r="347" spans="2:32">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row>
    <row r="348" spans="2:32">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row>
    <row r="349" spans="2:32">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row>
    <row r="350" spans="2:32">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row>
    <row r="351" spans="2:32">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row>
    <row r="352" spans="2:32">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row>
    <row r="353" spans="2:32">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row>
    <row r="354" spans="2:32">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row>
    <row r="355" spans="2:32">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row>
    <row r="356" spans="2:32">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row>
    <row r="357" spans="2:32">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row>
    <row r="358" spans="2:32">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row>
    <row r="359" spans="2:32">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row>
    <row r="360" spans="2:32">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row>
    <row r="361" spans="2:32">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row>
    <row r="362" spans="2:32">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row>
    <row r="363" spans="2:32">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row>
    <row r="364" spans="2:32">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row>
    <row r="365" spans="2:32">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row>
    <row r="366" spans="2:32">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row>
    <row r="367" spans="2:32">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row>
    <row r="368" spans="2:32">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row>
    <row r="369" spans="2:32">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row>
    <row r="370" spans="2:32">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row>
    <row r="371" spans="2:32">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row>
    <row r="372" spans="2:32">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row>
    <row r="373" spans="2:32">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row>
    <row r="374" spans="2:32">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row>
    <row r="375" spans="2:32">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row>
    <row r="376" spans="2:32">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row>
    <row r="377" spans="2:32">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row>
    <row r="378" spans="2:32">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row>
    <row r="379" spans="2:32">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row>
    <row r="380" spans="2:32">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row>
    <row r="381" spans="2:32">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row>
    <row r="382" spans="2:32">
      <c r="B382" s="118"/>
      <c r="C382" s="118"/>
      <c r="D382" s="118"/>
      <c r="E382" s="118"/>
      <c r="F382" s="118"/>
      <c r="G382" s="118"/>
      <c r="H382" s="118"/>
      <c r="I382" s="118"/>
      <c r="J382" s="118"/>
      <c r="K382" s="118"/>
      <c r="L382" s="118"/>
      <c r="M382" s="118"/>
      <c r="N382" s="118"/>
      <c r="O382" s="118"/>
      <c r="P382" s="118"/>
      <c r="Q382" s="118"/>
      <c r="R382" s="118"/>
      <c r="S382" s="118"/>
      <c r="T382" s="118"/>
      <c r="U382" s="118"/>
    </row>
    <row r="383" spans="2:32">
      <c r="B383" s="118"/>
      <c r="C383" s="118"/>
      <c r="D383" s="118"/>
      <c r="E383" s="118"/>
      <c r="F383" s="118"/>
      <c r="G383" s="118"/>
      <c r="H383" s="118"/>
      <c r="I383" s="118"/>
      <c r="J383" s="118"/>
      <c r="K383" s="118"/>
      <c r="L383" s="118"/>
      <c r="M383" s="118"/>
      <c r="N383" s="118"/>
      <c r="O383" s="118"/>
      <c r="P383" s="118"/>
      <c r="Q383" s="118"/>
      <c r="R383" s="118"/>
      <c r="S383" s="118"/>
      <c r="T383" s="118"/>
      <c r="U383" s="118"/>
    </row>
    <row r="384" spans="2:32">
      <c r="B384" s="118"/>
      <c r="C384" s="118"/>
      <c r="D384" s="118"/>
      <c r="E384" s="118"/>
      <c r="F384" s="118"/>
      <c r="G384" s="118"/>
      <c r="H384" s="118"/>
      <c r="I384" s="118"/>
      <c r="J384" s="118"/>
      <c r="K384" s="118"/>
      <c r="L384" s="118"/>
      <c r="M384" s="118"/>
      <c r="N384" s="118"/>
      <c r="O384" s="118"/>
      <c r="P384" s="118"/>
      <c r="Q384" s="118"/>
      <c r="R384" s="118"/>
      <c r="S384" s="118"/>
      <c r="T384" s="118"/>
      <c r="U384" s="118"/>
    </row>
    <row r="385" spans="2:16">
      <c r="B385" s="118"/>
      <c r="C385" s="118"/>
      <c r="D385" s="118"/>
      <c r="E385" s="118"/>
      <c r="F385" s="118"/>
      <c r="G385" s="118"/>
      <c r="H385" s="118"/>
      <c r="I385" s="118"/>
      <c r="J385" s="118"/>
      <c r="K385" s="118"/>
      <c r="L385" s="118"/>
      <c r="M385" s="118"/>
      <c r="N385" s="118"/>
      <c r="O385" s="118"/>
      <c r="P385" s="118"/>
    </row>
    <row r="386" spans="2:16">
      <c r="B386" s="118"/>
      <c r="C386" s="118"/>
      <c r="D386" s="118"/>
      <c r="E386" s="118"/>
      <c r="F386" s="118"/>
      <c r="G386" s="118"/>
      <c r="H386" s="118"/>
      <c r="I386" s="118"/>
      <c r="J386" s="118"/>
      <c r="K386" s="118"/>
      <c r="L386" s="118"/>
      <c r="M386" s="118"/>
      <c r="N386" s="118"/>
      <c r="O386" s="118"/>
      <c r="P386" s="118"/>
    </row>
    <row r="387" spans="2:16">
      <c r="B387" s="118"/>
      <c r="C387" s="118"/>
      <c r="D387" s="118"/>
      <c r="E387" s="118"/>
      <c r="F387" s="118"/>
      <c r="G387" s="118"/>
      <c r="H387" s="118"/>
      <c r="I387" s="118"/>
      <c r="J387" s="118"/>
      <c r="K387" s="118"/>
      <c r="L387" s="118"/>
      <c r="M387" s="118"/>
      <c r="N387" s="118"/>
      <c r="O387" s="118"/>
      <c r="P387" s="118"/>
    </row>
    <row r="388" spans="2:16">
      <c r="B388" s="118"/>
      <c r="C388" s="118"/>
      <c r="D388" s="118"/>
      <c r="E388" s="118"/>
      <c r="F388" s="118"/>
      <c r="G388" s="118"/>
      <c r="H388" s="118"/>
      <c r="I388" s="118"/>
      <c r="J388" s="118"/>
      <c r="K388" s="118"/>
      <c r="L388" s="118"/>
      <c r="M388" s="118"/>
      <c r="N388" s="118"/>
      <c r="O388" s="118"/>
      <c r="P388" s="118"/>
    </row>
    <row r="389" spans="2:16">
      <c r="B389" s="118"/>
      <c r="C389" s="118"/>
      <c r="D389" s="118"/>
      <c r="E389" s="118"/>
      <c r="F389" s="118"/>
      <c r="G389" s="118"/>
      <c r="H389" s="118"/>
      <c r="I389" s="118"/>
      <c r="J389" s="118"/>
      <c r="K389" s="118"/>
      <c r="L389" s="118"/>
      <c r="M389" s="118"/>
      <c r="N389" s="118"/>
      <c r="O389" s="118"/>
      <c r="P389" s="118"/>
    </row>
    <row r="390" spans="2:16">
      <c r="B390" s="118"/>
      <c r="C390" s="118"/>
      <c r="D390" s="118"/>
      <c r="E390" s="118"/>
      <c r="F390" s="118"/>
      <c r="G390" s="118"/>
      <c r="H390" s="118"/>
      <c r="I390" s="118"/>
      <c r="J390" s="118"/>
      <c r="K390" s="118"/>
      <c r="L390" s="118"/>
      <c r="M390" s="118"/>
      <c r="N390" s="118"/>
      <c r="O390" s="118"/>
      <c r="P390" s="118"/>
    </row>
    <row r="391" spans="2:16">
      <c r="B391" s="118"/>
      <c r="C391" s="118"/>
      <c r="D391" s="118"/>
      <c r="E391" s="118"/>
      <c r="F391" s="118"/>
      <c r="G391" s="118"/>
      <c r="H391" s="118"/>
      <c r="I391" s="118"/>
      <c r="J391" s="118"/>
      <c r="K391" s="118"/>
      <c r="L391" s="118"/>
      <c r="M391" s="118"/>
      <c r="N391" s="118"/>
      <c r="O391" s="118"/>
      <c r="P391" s="118"/>
    </row>
    <row r="392" spans="2:16">
      <c r="B392" s="118"/>
      <c r="C392" s="118"/>
      <c r="D392" s="118"/>
      <c r="E392" s="118"/>
      <c r="F392" s="118"/>
      <c r="G392" s="118"/>
      <c r="H392" s="118"/>
      <c r="I392" s="118"/>
      <c r="J392" s="118"/>
      <c r="K392" s="118"/>
      <c r="L392" s="118"/>
      <c r="M392" s="118"/>
      <c r="N392" s="118"/>
      <c r="O392" s="118"/>
      <c r="P392" s="118"/>
    </row>
    <row r="393" spans="2:16">
      <c r="B393" s="118"/>
      <c r="C393" s="118"/>
      <c r="D393" s="118"/>
      <c r="E393" s="118"/>
      <c r="F393" s="118"/>
      <c r="G393" s="118"/>
      <c r="H393" s="118"/>
      <c r="I393" s="118"/>
      <c r="J393" s="118"/>
      <c r="K393" s="118"/>
      <c r="L393" s="118"/>
      <c r="M393" s="118"/>
      <c r="N393" s="118"/>
      <c r="O393" s="118"/>
      <c r="P393" s="118"/>
    </row>
    <row r="394" spans="2:16">
      <c r="B394" s="118"/>
      <c r="C394" s="118"/>
      <c r="D394" s="118"/>
      <c r="E394" s="118"/>
      <c r="F394" s="118"/>
      <c r="G394" s="118"/>
      <c r="H394" s="118"/>
      <c r="I394" s="118"/>
      <c r="J394" s="118"/>
      <c r="K394" s="118"/>
      <c r="L394" s="118"/>
      <c r="M394" s="118"/>
      <c r="N394" s="118"/>
      <c r="O394" s="118"/>
      <c r="P394" s="118"/>
    </row>
    <row r="395" spans="2:16">
      <c r="B395" s="118"/>
      <c r="C395" s="118"/>
      <c r="D395" s="118"/>
      <c r="E395" s="118"/>
      <c r="F395" s="118"/>
      <c r="G395" s="118"/>
      <c r="H395" s="118"/>
      <c r="I395" s="118"/>
      <c r="J395" s="118"/>
      <c r="K395" s="118"/>
      <c r="L395" s="118"/>
      <c r="M395" s="118"/>
      <c r="N395" s="118"/>
      <c r="O395" s="118"/>
      <c r="P395" s="118"/>
    </row>
    <row r="396" spans="2:16">
      <c r="B396" s="118"/>
      <c r="C396" s="118"/>
      <c r="D396" s="118"/>
      <c r="E396" s="118"/>
      <c r="F396" s="118"/>
      <c r="G396" s="118"/>
      <c r="H396" s="118"/>
      <c r="I396" s="118"/>
      <c r="J396" s="118"/>
      <c r="K396" s="118"/>
      <c r="L396" s="118"/>
      <c r="M396" s="118"/>
      <c r="N396" s="118"/>
      <c r="O396" s="118"/>
      <c r="P396" s="118"/>
    </row>
  </sheetData>
  <mergeCells count="17">
    <mergeCell ref="Y170:Y171"/>
    <mergeCell ref="A166:P166"/>
    <mergeCell ref="V7:W7"/>
    <mergeCell ref="X7:Y7"/>
    <mergeCell ref="X8:X9"/>
    <mergeCell ref="Y8:Y9"/>
    <mergeCell ref="W170:W171"/>
    <mergeCell ref="V8:V9"/>
    <mergeCell ref="W8:W9"/>
    <mergeCell ref="X170:X171"/>
    <mergeCell ref="V169:X169"/>
    <mergeCell ref="Q8:Q9"/>
    <mergeCell ref="B1:C1"/>
    <mergeCell ref="A7:A9"/>
    <mergeCell ref="E7:J7"/>
    <mergeCell ref="K7:P7"/>
    <mergeCell ref="A4:Q4"/>
  </mergeCells>
  <phoneticPr fontId="43"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27" fitToHeight="2" orientation="portrait" horizontalDpi="4294967292" verticalDpi="4294967292"/>
  <ignoredErrors>
    <ignoredError sqref="AD11:AD165 AH76:AH165"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enableFormatConditionsCalculation="0">
    <tabColor theme="5" tint="0.59999389629810485"/>
    <pageSetUpPr fitToPage="1"/>
  </sheetPr>
  <dimension ref="A1:AP396"/>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V4"/>
    </sheetView>
  </sheetViews>
  <sheetFormatPr baseColWidth="10" defaultColWidth="10.33203125" defaultRowHeight="12" x14ac:dyDescent="0"/>
  <cols>
    <col min="1" max="1" width="9.6640625" style="76" customWidth="1"/>
    <col min="2" max="24" width="8" style="76" customWidth="1"/>
    <col min="25" max="25" width="8.33203125" style="76" customWidth="1"/>
    <col min="26" max="40" width="8.6640625" style="76" customWidth="1"/>
    <col min="41" max="16384" width="10.33203125" style="76"/>
  </cols>
  <sheetData>
    <row r="1" spans="1:42">
      <c r="A1" s="87"/>
      <c r="B1" s="2252" t="s">
        <v>1416</v>
      </c>
      <c r="C1" s="2252"/>
    </row>
    <row r="2" spans="1:42">
      <c r="A2" s="87"/>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row>
    <row r="3" spans="1:42" ht="13" thickBot="1"/>
    <row r="4" spans="1:42" ht="16" thickTop="1">
      <c r="A4" s="2355" t="s">
        <v>888</v>
      </c>
      <c r="B4" s="2356"/>
      <c r="C4" s="2356"/>
      <c r="D4" s="2356"/>
      <c r="E4" s="2356"/>
      <c r="F4" s="2356"/>
      <c r="G4" s="2356"/>
      <c r="H4" s="2356"/>
      <c r="I4" s="2356"/>
      <c r="J4" s="2356"/>
      <c r="K4" s="2356"/>
      <c r="L4" s="2356"/>
      <c r="M4" s="2356"/>
      <c r="N4" s="2356"/>
      <c r="O4" s="2356"/>
      <c r="P4" s="2356"/>
      <c r="Q4" s="2356"/>
      <c r="R4" s="2356"/>
      <c r="S4" s="2356"/>
      <c r="T4" s="2356"/>
      <c r="U4" s="2356"/>
      <c r="V4" s="2357"/>
      <c r="W4" s="2110"/>
      <c r="X4" s="2110"/>
      <c r="Y4" s="357"/>
      <c r="Z4" s="357"/>
      <c r="AA4" s="357"/>
      <c r="AB4" s="357"/>
      <c r="AC4" s="357"/>
      <c r="AD4" s="357"/>
      <c r="AE4" s="357"/>
      <c r="AF4" s="357"/>
      <c r="AG4" s="357"/>
      <c r="AH4" s="357"/>
      <c r="AI4" s="357"/>
      <c r="AJ4" s="357"/>
      <c r="AK4" s="357"/>
      <c r="AL4" s="357"/>
      <c r="AM4" s="357"/>
      <c r="AN4" s="357"/>
    </row>
    <row r="5" spans="1:42">
      <c r="A5" s="120"/>
      <c r="B5" s="83"/>
      <c r="C5" s="83"/>
      <c r="D5" s="83"/>
      <c r="E5" s="83"/>
      <c r="F5" s="83"/>
      <c r="G5" s="83"/>
      <c r="H5" s="83"/>
      <c r="I5" s="83"/>
      <c r="J5" s="83"/>
      <c r="K5" s="83"/>
      <c r="L5" s="83"/>
      <c r="M5" s="83"/>
      <c r="N5" s="83"/>
      <c r="O5" s="83"/>
      <c r="P5" s="83"/>
      <c r="Q5" s="83"/>
      <c r="R5" s="83"/>
      <c r="S5" s="83"/>
      <c r="T5" s="83"/>
      <c r="U5" s="83"/>
      <c r="V5" s="121"/>
      <c r="W5" s="83"/>
      <c r="X5" s="83"/>
    </row>
    <row r="6" spans="1:42" ht="13" thickBot="1">
      <c r="A6" s="120"/>
      <c r="B6" s="123" t="s">
        <v>952</v>
      </c>
      <c r="C6" s="123" t="s">
        <v>953</v>
      </c>
      <c r="D6" s="123" t="s">
        <v>954</v>
      </c>
      <c r="E6" s="123" t="s">
        <v>955</v>
      </c>
      <c r="F6" s="123" t="s">
        <v>956</v>
      </c>
      <c r="G6" s="123" t="s">
        <v>957</v>
      </c>
      <c r="H6" s="123" t="s">
        <v>958</v>
      </c>
      <c r="I6" s="123" t="s">
        <v>959</v>
      </c>
      <c r="J6" s="110" t="s">
        <v>960</v>
      </c>
      <c r="K6" s="123" t="s">
        <v>961</v>
      </c>
      <c r="L6" s="123" t="s">
        <v>962</v>
      </c>
      <c r="M6" s="123" t="s">
        <v>963</v>
      </c>
      <c r="N6" s="123" t="s">
        <v>964</v>
      </c>
      <c r="O6" s="123" t="s">
        <v>965</v>
      </c>
      <c r="P6" s="123" t="s">
        <v>120</v>
      </c>
      <c r="Q6" s="123" t="s">
        <v>121</v>
      </c>
      <c r="R6" s="123" t="s">
        <v>328</v>
      </c>
      <c r="S6" s="123" t="s">
        <v>329</v>
      </c>
      <c r="T6" s="110" t="s">
        <v>330</v>
      </c>
      <c r="U6" s="110" t="s">
        <v>1493</v>
      </c>
      <c r="V6" s="124" t="s">
        <v>1494</v>
      </c>
      <c r="W6" s="358"/>
      <c r="X6" s="358"/>
      <c r="Y6" s="358"/>
      <c r="Z6" s="358"/>
      <c r="AA6" s="358"/>
      <c r="AB6" s="358"/>
      <c r="AC6" s="358"/>
      <c r="AD6" s="358"/>
      <c r="AE6" s="358"/>
      <c r="AF6" s="358"/>
      <c r="AG6" s="358"/>
      <c r="AH6" s="358"/>
      <c r="AI6" s="358"/>
      <c r="AJ6" s="358"/>
      <c r="AK6" s="358"/>
      <c r="AL6" s="358"/>
      <c r="AM6" s="358"/>
      <c r="AN6" s="358"/>
    </row>
    <row r="7" spans="1:42" ht="39.75" customHeight="1">
      <c r="A7" s="2349"/>
      <c r="B7" s="650"/>
      <c r="C7" s="1165"/>
      <c r="D7" s="1166"/>
      <c r="E7" s="2350" t="s">
        <v>908</v>
      </c>
      <c r="F7" s="2351"/>
      <c r="G7" s="2351"/>
      <c r="H7" s="2351"/>
      <c r="I7" s="2351"/>
      <c r="J7" s="2352"/>
      <c r="K7" s="2350" t="s">
        <v>899</v>
      </c>
      <c r="L7" s="2351"/>
      <c r="M7" s="2351"/>
      <c r="N7" s="2351"/>
      <c r="O7" s="2351"/>
      <c r="P7" s="2352"/>
      <c r="Q7" s="2350" t="s">
        <v>898</v>
      </c>
      <c r="R7" s="2351"/>
      <c r="S7" s="2351"/>
      <c r="T7" s="2351"/>
      <c r="U7" s="2351"/>
      <c r="V7" s="2347" t="s">
        <v>1486</v>
      </c>
      <c r="W7" s="1667"/>
      <c r="X7" s="1667"/>
      <c r="Y7" s="359"/>
      <c r="Z7" s="2361" t="s">
        <v>366</v>
      </c>
      <c r="AA7" s="2362"/>
      <c r="AB7" s="2362" t="s">
        <v>1449</v>
      </c>
      <c r="AC7" s="2363"/>
      <c r="AD7" s="357"/>
      <c r="AE7" s="357"/>
      <c r="AF7" s="357"/>
      <c r="AG7" s="357"/>
      <c r="AH7" s="357"/>
      <c r="AI7" s="357"/>
      <c r="AJ7" s="357"/>
      <c r="AK7" s="357"/>
      <c r="AL7" s="357"/>
      <c r="AM7" s="357"/>
      <c r="AN7" s="357"/>
    </row>
    <row r="8" spans="1:42" ht="79.75" customHeight="1">
      <c r="A8" s="2349"/>
      <c r="B8" s="166" t="s">
        <v>349</v>
      </c>
      <c r="C8" s="78" t="s">
        <v>909</v>
      </c>
      <c r="D8" s="1167" t="s">
        <v>912</v>
      </c>
      <c r="E8" s="1179" t="s">
        <v>918</v>
      </c>
      <c r="F8" s="1351" t="s">
        <v>911</v>
      </c>
      <c r="G8" s="78" t="s">
        <v>1446</v>
      </c>
      <c r="H8" s="207" t="s">
        <v>342</v>
      </c>
      <c r="I8" s="2089" t="s">
        <v>1485</v>
      </c>
      <c r="J8" s="1239" t="s">
        <v>343</v>
      </c>
      <c r="K8" s="1242" t="s">
        <v>1448</v>
      </c>
      <c r="L8" s="746" t="s">
        <v>1211</v>
      </c>
      <c r="M8" s="78" t="s">
        <v>1446</v>
      </c>
      <c r="N8" s="207" t="s">
        <v>342</v>
      </c>
      <c r="O8" s="2089" t="s">
        <v>1485</v>
      </c>
      <c r="P8" s="1239" t="s">
        <v>343</v>
      </c>
      <c r="Q8" s="1242" t="s">
        <v>917</v>
      </c>
      <c r="R8" s="746" t="s">
        <v>916</v>
      </c>
      <c r="S8" s="78" t="s">
        <v>910</v>
      </c>
      <c r="T8" s="207" t="s">
        <v>342</v>
      </c>
      <c r="U8" s="208" t="s">
        <v>343</v>
      </c>
      <c r="V8" s="2374"/>
      <c r="W8" s="207"/>
      <c r="X8" s="207"/>
      <c r="Y8" s="335"/>
      <c r="Z8" s="2370" t="s">
        <v>368</v>
      </c>
      <c r="AA8" s="2372" t="s">
        <v>369</v>
      </c>
      <c r="AB8" s="2364" t="s">
        <v>368</v>
      </c>
      <c r="AC8" s="2366" t="s">
        <v>369</v>
      </c>
      <c r="AF8" s="100" t="s">
        <v>345</v>
      </c>
      <c r="AJ8" s="100" t="s">
        <v>346</v>
      </c>
      <c r="AN8" s="100" t="s">
        <v>900</v>
      </c>
    </row>
    <row r="9" spans="1:42" ht="39.75" customHeight="1">
      <c r="A9" s="2349"/>
      <c r="B9" s="125" t="s">
        <v>347</v>
      </c>
      <c r="C9" s="1069" t="s">
        <v>347</v>
      </c>
      <c r="D9" s="1066" t="s">
        <v>353</v>
      </c>
      <c r="E9" s="2177" t="s">
        <v>913</v>
      </c>
      <c r="F9" s="2178" t="s">
        <v>914</v>
      </c>
      <c r="G9" s="1069" t="s">
        <v>915</v>
      </c>
      <c r="H9" s="1069" t="s">
        <v>384</v>
      </c>
      <c r="I9" s="2179" t="s">
        <v>1487</v>
      </c>
      <c r="J9" s="1066" t="s">
        <v>357</v>
      </c>
      <c r="K9" s="1067" t="s">
        <v>354</v>
      </c>
      <c r="L9" s="1071" t="s">
        <v>355</v>
      </c>
      <c r="M9" s="1069" t="s">
        <v>358</v>
      </c>
      <c r="N9" s="1069" t="s">
        <v>385</v>
      </c>
      <c r="O9" s="2179" t="s">
        <v>1487</v>
      </c>
      <c r="P9" s="1066" t="s">
        <v>357</v>
      </c>
      <c r="Q9" s="1067" t="s">
        <v>354</v>
      </c>
      <c r="R9" s="1071" t="s">
        <v>355</v>
      </c>
      <c r="S9" s="1069" t="s">
        <v>358</v>
      </c>
      <c r="T9" s="1069" t="s">
        <v>385</v>
      </c>
      <c r="U9" s="1069" t="s">
        <v>357</v>
      </c>
      <c r="V9" s="2348"/>
      <c r="W9" s="78"/>
      <c r="X9" s="78"/>
      <c r="Y9" s="335"/>
      <c r="Z9" s="2371"/>
      <c r="AA9" s="2373"/>
      <c r="AB9" s="2365"/>
      <c r="AC9" s="2367"/>
      <c r="AF9" s="79" t="s">
        <v>359</v>
      </c>
      <c r="AG9" s="360" t="s">
        <v>360</v>
      </c>
      <c r="AH9" s="360" t="s">
        <v>1495</v>
      </c>
      <c r="AI9" s="360" t="s">
        <v>361</v>
      </c>
      <c r="AJ9" s="79" t="s">
        <v>359</v>
      </c>
      <c r="AK9" s="360" t="s">
        <v>360</v>
      </c>
      <c r="AL9" s="360" t="s">
        <v>1495</v>
      </c>
      <c r="AM9" s="360" t="s">
        <v>361</v>
      </c>
      <c r="AN9" s="79" t="s">
        <v>359</v>
      </c>
      <c r="AO9" s="360" t="s">
        <v>360</v>
      </c>
      <c r="AP9" s="360" t="s">
        <v>361</v>
      </c>
    </row>
    <row r="10" spans="1:42" ht="12" customHeight="1">
      <c r="A10" s="1385">
        <v>1855</v>
      </c>
      <c r="B10" s="1160">
        <f>TableUK1!D10</f>
        <v>53.963474307680634</v>
      </c>
      <c r="C10" s="959">
        <f t="shared" ref="C10:C41" si="0">F10*B10</f>
        <v>374.68095238095248</v>
      </c>
      <c r="D10" s="391"/>
      <c r="E10" s="390"/>
      <c r="F10" s="1372">
        <f>TableUK6a!M10</f>
        <v>6.9432325695831638</v>
      </c>
      <c r="G10" s="532">
        <f>TableUK12c!B25</f>
        <v>7.2599477461714079E-2</v>
      </c>
      <c r="H10" s="365"/>
      <c r="I10" s="365">
        <f>V10/F10</f>
        <v>0</v>
      </c>
      <c r="J10" s="391"/>
      <c r="K10" s="1964"/>
      <c r="L10" s="1428">
        <f t="shared" ref="L10:L41" si="1">F10</f>
        <v>6.9432325695831638</v>
      </c>
      <c r="M10" s="961">
        <f>TableUK12c!B26</f>
        <v>6.9867828644353702E-2</v>
      </c>
      <c r="N10" s="78"/>
      <c r="O10" s="532">
        <f>V10/L10</f>
        <v>0</v>
      </c>
      <c r="P10" s="1168"/>
      <c r="Q10" s="295"/>
      <c r="R10" s="78"/>
      <c r="S10" s="78"/>
      <c r="T10" s="78"/>
      <c r="U10" s="78"/>
      <c r="V10" s="2096">
        <f>TableUK5a!Q10</f>
        <v>0</v>
      </c>
      <c r="W10" s="78"/>
      <c r="X10" s="78"/>
      <c r="Y10" s="335"/>
      <c r="Z10" s="560"/>
      <c r="AA10" s="558"/>
      <c r="AB10" s="558"/>
      <c r="AC10" s="559"/>
      <c r="AF10" s="300"/>
      <c r="AG10" s="300"/>
      <c r="AH10" s="300"/>
      <c r="AI10" s="300"/>
      <c r="AJ10" s="300"/>
      <c r="AK10" s="300"/>
      <c r="AL10" s="300"/>
      <c r="AM10" s="300"/>
      <c r="AN10" s="366"/>
      <c r="AO10" s="300"/>
      <c r="AP10" s="300"/>
    </row>
    <row r="11" spans="1:42" ht="12" customHeight="1">
      <c r="A11" s="586">
        <f t="shared" ref="A11:A50" si="2">A10+1</f>
        <v>1856</v>
      </c>
      <c r="B11" s="1160">
        <f>TableUK1!D11</f>
        <v>56.584415262871076</v>
      </c>
      <c r="C11" s="959">
        <f t="shared" si="0"/>
        <v>384.04843712805979</v>
      </c>
      <c r="D11" s="391">
        <f t="shared" ref="D11:D42" si="3">B11/B10-1</f>
        <v>4.8568795631036776E-2</v>
      </c>
      <c r="E11" s="390">
        <f>(F11/F10)*(1+D11)-1</f>
        <v>2.5001230213547387E-2</v>
      </c>
      <c r="F11" s="1372">
        <f>TableUK6a!M11</f>
        <v>6.7871769168932348</v>
      </c>
      <c r="G11" s="365">
        <f>TableUK12c!B26</f>
        <v>6.9867828644353702E-2</v>
      </c>
      <c r="H11" s="365">
        <f t="shared" ref="H11:H42" si="4">G10/F10</f>
        <v>1.0456149456919688E-2</v>
      </c>
      <c r="I11" s="365">
        <f t="shared" ref="I11:I74" si="5">V11/F11</f>
        <v>0</v>
      </c>
      <c r="J11" s="391">
        <f>(1+E11)/((1+H11)*(1+I10))-1</f>
        <v>1.4394568991880519E-2</v>
      </c>
      <c r="K11" s="1964">
        <f t="shared" ref="K11:K42" si="6">(1+D11)*(L11/L10)-1</f>
        <v>2.5001230213547387E-2</v>
      </c>
      <c r="L11" s="1428">
        <f t="shared" si="1"/>
        <v>6.7871769168932348</v>
      </c>
      <c r="M11" s="961">
        <f>TableUK12c!B27</f>
        <v>5.6730216934494024E-2</v>
      </c>
      <c r="N11" s="961">
        <f>M10/L10</f>
        <v>1.00627233704413E-2</v>
      </c>
      <c r="O11" s="961">
        <f t="shared" ref="O11:O74" si="7">V11/L11</f>
        <v>0</v>
      </c>
      <c r="P11" s="1970">
        <f>(1+K11)/((1+N11)*(1+O10))-1</f>
        <v>1.4789682360772938E-2</v>
      </c>
      <c r="Q11" s="295"/>
      <c r="R11" s="207"/>
      <c r="S11" s="78"/>
      <c r="T11" s="78"/>
      <c r="U11" s="78"/>
      <c r="V11" s="2096">
        <f>TableUK5a!Q11</f>
        <v>0</v>
      </c>
      <c r="W11" s="78"/>
      <c r="X11" s="78"/>
      <c r="Y11" s="1380"/>
      <c r="Z11" s="560"/>
      <c r="AA11" s="558"/>
      <c r="AB11" s="558"/>
      <c r="AC11" s="559"/>
      <c r="AF11" s="300">
        <f t="shared" ref="AF11:AF42" si="8">1+E11</f>
        <v>1.0250012302135474</v>
      </c>
      <c r="AG11" s="300">
        <f t="shared" ref="AG11:AG42" si="9">1+H11</f>
        <v>1.0104561494569197</v>
      </c>
      <c r="AH11" s="300">
        <f>1+I10</f>
        <v>1</v>
      </c>
      <c r="AI11" s="300">
        <f t="shared" ref="AI11:AI42" si="10">1+J11</f>
        <v>1.0143945689918805</v>
      </c>
      <c r="AJ11" s="300">
        <f t="shared" ref="AJ11:AJ42" si="11">1+K11</f>
        <v>1.0250012302135474</v>
      </c>
      <c r="AK11" s="300">
        <f t="shared" ref="AK11:AK74" si="12">1+N11</f>
        <v>1.0100627233704413</v>
      </c>
      <c r="AL11" s="300">
        <f>1+O10</f>
        <v>1</v>
      </c>
      <c r="AM11" s="300">
        <f t="shared" ref="AM11:AM74" si="13">1+P11</f>
        <v>1.0147896823607729</v>
      </c>
      <c r="AN11" s="366">
        <f t="shared" ref="AN11:AN41" si="14">1+Q11</f>
        <v>1</v>
      </c>
      <c r="AO11" s="300">
        <f t="shared" ref="AO11:AO41" si="15">1+T11</f>
        <v>1</v>
      </c>
      <c r="AP11" s="300">
        <f t="shared" ref="AP11:AP41" si="16">1+U11</f>
        <v>1</v>
      </c>
    </row>
    <row r="12" spans="1:42" ht="12" customHeight="1">
      <c r="A12" s="586">
        <f t="shared" si="2"/>
        <v>1857</v>
      </c>
      <c r="B12" s="1160">
        <f>TableUK1!D12</f>
        <v>58.32610029992847</v>
      </c>
      <c r="C12" s="959">
        <f t="shared" si="0"/>
        <v>390.35737880622395</v>
      </c>
      <c r="D12" s="391">
        <f t="shared" si="3"/>
        <v>3.0780295757518061E-2</v>
      </c>
      <c r="E12" s="390">
        <f t="shared" ref="E12:E75" si="17">(F12/F11)*(1+D12)-1</f>
        <v>1.6427463487009186E-2</v>
      </c>
      <c r="F12" s="1372">
        <f>TableUK6a!M12</f>
        <v>6.6926706362829247</v>
      </c>
      <c r="G12" s="365">
        <f>TableUK12c!B27</f>
        <v>5.6730216934494024E-2</v>
      </c>
      <c r="H12" s="365">
        <f t="shared" si="4"/>
        <v>1.0294092742809338E-2</v>
      </c>
      <c r="I12" s="365">
        <f t="shared" si="5"/>
        <v>0</v>
      </c>
      <c r="J12" s="391">
        <f t="shared" ref="J12:J75" si="18">(1+E12)/((1+H12)*(1+I11))-1</f>
        <v>6.0708765776791296E-3</v>
      </c>
      <c r="K12" s="1964">
        <f t="shared" si="6"/>
        <v>1.6427463487009186E-2</v>
      </c>
      <c r="L12" s="1428">
        <f t="shared" si="1"/>
        <v>6.6926706362829247</v>
      </c>
      <c r="M12" s="961">
        <f>TableUK12c!B28</f>
        <v>7.0794069215022445E-2</v>
      </c>
      <c r="N12" s="961">
        <f>M11/L11</f>
        <v>8.3584408700608532E-3</v>
      </c>
      <c r="O12" s="961">
        <f t="shared" si="7"/>
        <v>0</v>
      </c>
      <c r="P12" s="1970">
        <f t="shared" ref="P12:P75" si="19">(1+K12)/((1+N12)*(1+O11))-1</f>
        <v>8.0021372261098733E-3</v>
      </c>
      <c r="Q12" s="295"/>
      <c r="R12" s="207"/>
      <c r="S12" s="78"/>
      <c r="T12" s="78"/>
      <c r="U12" s="78"/>
      <c r="V12" s="2096">
        <f>TableUK5a!Q12</f>
        <v>0</v>
      </c>
      <c r="W12" s="78"/>
      <c r="X12" s="78"/>
      <c r="Y12" s="1380"/>
      <c r="Z12" s="560"/>
      <c r="AA12" s="558"/>
      <c r="AB12" s="558"/>
      <c r="AC12" s="559"/>
      <c r="AF12" s="300">
        <f t="shared" si="8"/>
        <v>1.0164274634870092</v>
      </c>
      <c r="AG12" s="300">
        <f t="shared" si="9"/>
        <v>1.0102940927428092</v>
      </c>
      <c r="AH12" s="300">
        <f t="shared" ref="AH12:AH75" si="20">1+I11</f>
        <v>1</v>
      </c>
      <c r="AI12" s="300">
        <f t="shared" si="10"/>
        <v>1.0060708765776791</v>
      </c>
      <c r="AJ12" s="300">
        <f t="shared" si="11"/>
        <v>1.0164274634870092</v>
      </c>
      <c r="AK12" s="300">
        <f t="shared" si="12"/>
        <v>1.0083584408700608</v>
      </c>
      <c r="AL12" s="300">
        <f t="shared" ref="AL12:AL75" si="21">1+O11</f>
        <v>1</v>
      </c>
      <c r="AM12" s="300">
        <f t="shared" si="13"/>
        <v>1.0080021372261099</v>
      </c>
      <c r="AN12" s="366">
        <f t="shared" si="14"/>
        <v>1</v>
      </c>
      <c r="AO12" s="300">
        <f t="shared" si="15"/>
        <v>1</v>
      </c>
      <c r="AP12" s="300">
        <f t="shared" si="16"/>
        <v>1</v>
      </c>
    </row>
    <row r="13" spans="1:42" ht="12" customHeight="1">
      <c r="A13" s="586">
        <f t="shared" si="2"/>
        <v>1858</v>
      </c>
      <c r="B13" s="1160">
        <f>TableUK1!D13</f>
        <v>63.134669799605717</v>
      </c>
      <c r="C13" s="959">
        <f t="shared" si="0"/>
        <v>395.06569925312357</v>
      </c>
      <c r="D13" s="391">
        <f t="shared" si="3"/>
        <v>8.2442842483044343E-2</v>
      </c>
      <c r="E13" s="390">
        <f t="shared" si="17"/>
        <v>1.2061563845157552E-2</v>
      </c>
      <c r="F13" s="1372">
        <f>TableUK6a!M13</f>
        <v>6.2575079668127254</v>
      </c>
      <c r="G13" s="365">
        <f>TableUK12c!B28</f>
        <v>7.0794069215022445E-2</v>
      </c>
      <c r="H13" s="365">
        <f t="shared" si="4"/>
        <v>8.4764692627996557E-3</v>
      </c>
      <c r="I13" s="365">
        <f t="shared" si="5"/>
        <v>0</v>
      </c>
      <c r="J13" s="391">
        <f t="shared" si="18"/>
        <v>3.5549610641669727E-3</v>
      </c>
      <c r="K13" s="1964">
        <f t="shared" si="6"/>
        <v>1.2061563845157552E-2</v>
      </c>
      <c r="L13" s="1428">
        <f t="shared" si="1"/>
        <v>6.2575079668127254</v>
      </c>
      <c r="M13" s="961">
        <f>TableUK12c!B29</f>
        <v>8.0886219754730884E-2</v>
      </c>
      <c r="N13" s="961">
        <f>M12/L12</f>
        <v>1.0577850466931257E-2</v>
      </c>
      <c r="O13" s="961">
        <f t="shared" si="7"/>
        <v>0</v>
      </c>
      <c r="P13" s="1970">
        <f t="shared" si="19"/>
        <v>1.4681831563405634E-3</v>
      </c>
      <c r="Q13" s="295"/>
      <c r="R13" s="207"/>
      <c r="S13" s="78"/>
      <c r="T13" s="78"/>
      <c r="U13" s="78"/>
      <c r="V13" s="2096">
        <f>TableUK5a!Q13</f>
        <v>0</v>
      </c>
      <c r="W13" s="78"/>
      <c r="X13" s="78"/>
      <c r="Y13" s="1380"/>
      <c r="Z13" s="560"/>
      <c r="AA13" s="558"/>
      <c r="AB13" s="558"/>
      <c r="AC13" s="559"/>
      <c r="AF13" s="300">
        <f t="shared" si="8"/>
        <v>1.0120615638451576</v>
      </c>
      <c r="AG13" s="300">
        <f t="shared" si="9"/>
        <v>1.0084764692627997</v>
      </c>
      <c r="AH13" s="300">
        <f t="shared" si="20"/>
        <v>1</v>
      </c>
      <c r="AI13" s="300">
        <f t="shared" si="10"/>
        <v>1.003554961064167</v>
      </c>
      <c r="AJ13" s="300">
        <f t="shared" si="11"/>
        <v>1.0120615638451576</v>
      </c>
      <c r="AK13" s="300">
        <f t="shared" si="12"/>
        <v>1.0105778504669312</v>
      </c>
      <c r="AL13" s="300">
        <f t="shared" si="21"/>
        <v>1</v>
      </c>
      <c r="AM13" s="300">
        <f t="shared" si="13"/>
        <v>1.0014681831563406</v>
      </c>
      <c r="AN13" s="366">
        <f t="shared" si="14"/>
        <v>1</v>
      </c>
      <c r="AO13" s="300">
        <f t="shared" si="15"/>
        <v>1</v>
      </c>
      <c r="AP13" s="300">
        <f t="shared" si="16"/>
        <v>1</v>
      </c>
    </row>
    <row r="14" spans="1:42" ht="12" customHeight="1">
      <c r="A14" s="1176">
        <f t="shared" si="2"/>
        <v>1859</v>
      </c>
      <c r="B14" s="1177">
        <f>TableUK1!D14</f>
        <v>66.557472426882924</v>
      </c>
      <c r="C14" s="1171">
        <f t="shared" si="0"/>
        <v>407.21153599287311</v>
      </c>
      <c r="D14" s="1172">
        <f t="shared" si="3"/>
        <v>5.4214311061441256E-2</v>
      </c>
      <c r="E14" s="1181">
        <f t="shared" si="17"/>
        <v>3.0743840233944386E-2</v>
      </c>
      <c r="F14" s="1381">
        <f>TableUK6a!M14</f>
        <v>6.1181941132187312</v>
      </c>
      <c r="G14" s="1184">
        <f>TableUK12c!B29</f>
        <v>8.0886219754730884E-2</v>
      </c>
      <c r="H14" s="1184">
        <f t="shared" si="4"/>
        <v>1.1313460500647441E-2</v>
      </c>
      <c r="I14" s="1184">
        <f t="shared" si="5"/>
        <v>0</v>
      </c>
      <c r="J14" s="1172">
        <f t="shared" si="18"/>
        <v>1.9213014057657185E-2</v>
      </c>
      <c r="K14" s="1965">
        <f t="shared" si="6"/>
        <v>3.0743840233944386E-2</v>
      </c>
      <c r="L14" s="1914">
        <f t="shared" si="1"/>
        <v>6.1181941132187312</v>
      </c>
      <c r="M14" s="1967">
        <f>TableUK12c!B30</f>
        <v>6.4760394935759941E-2</v>
      </c>
      <c r="N14" s="1967">
        <f>M13/L13</f>
        <v>1.2926267163177173E-2</v>
      </c>
      <c r="O14" s="1967">
        <f t="shared" si="7"/>
        <v>0</v>
      </c>
      <c r="P14" s="1975">
        <f t="shared" si="19"/>
        <v>1.7590197478704495E-2</v>
      </c>
      <c r="Q14" s="1382"/>
      <c r="R14" s="1195"/>
      <c r="S14" s="1193"/>
      <c r="T14" s="1193"/>
      <c r="U14" s="1193"/>
      <c r="V14" s="2097">
        <f>TableUK5a!Q14</f>
        <v>0</v>
      </c>
      <c r="W14" s="78"/>
      <c r="X14" s="78"/>
      <c r="Y14" s="1380"/>
      <c r="Z14" s="560"/>
      <c r="AA14" s="558"/>
      <c r="AB14" s="558"/>
      <c r="AC14" s="559"/>
      <c r="AF14" s="300">
        <f t="shared" si="8"/>
        <v>1.0307438402339444</v>
      </c>
      <c r="AG14" s="300">
        <f t="shared" si="9"/>
        <v>1.0113134605006475</v>
      </c>
      <c r="AH14" s="300">
        <f t="shared" si="20"/>
        <v>1</v>
      </c>
      <c r="AI14" s="300">
        <f t="shared" si="10"/>
        <v>1.0192130140576572</v>
      </c>
      <c r="AJ14" s="300">
        <f t="shared" si="11"/>
        <v>1.0307438402339444</v>
      </c>
      <c r="AK14" s="300">
        <f t="shared" si="12"/>
        <v>1.0129262671631771</v>
      </c>
      <c r="AL14" s="300">
        <f t="shared" si="21"/>
        <v>1</v>
      </c>
      <c r="AM14" s="300">
        <f t="shared" si="13"/>
        <v>1.0175901974787045</v>
      </c>
      <c r="AN14" s="366">
        <f t="shared" si="14"/>
        <v>1</v>
      </c>
      <c r="AO14" s="300">
        <f t="shared" si="15"/>
        <v>1</v>
      </c>
      <c r="AP14" s="300">
        <f t="shared" si="16"/>
        <v>1</v>
      </c>
    </row>
    <row r="15" spans="1:42" ht="12" customHeight="1">
      <c r="A15" s="586">
        <f t="shared" si="2"/>
        <v>1860</v>
      </c>
      <c r="B15" s="1160">
        <f>TableUK1!D15</f>
        <v>66.871242082865905</v>
      </c>
      <c r="C15" s="959">
        <f t="shared" si="0"/>
        <v>422.27305955333696</v>
      </c>
      <c r="D15" s="391">
        <f t="shared" si="3"/>
        <v>4.7142664007813195E-3</v>
      </c>
      <c r="E15" s="390">
        <f t="shared" si="17"/>
        <v>3.6986976618283984E-2</v>
      </c>
      <c r="F15" s="1372">
        <f>TableUK6a!M15</f>
        <v>6.314718351276654</v>
      </c>
      <c r="G15" s="365">
        <f>TableUK12c!B30</f>
        <v>6.4760394935759941E-2</v>
      </c>
      <c r="H15" s="365">
        <f t="shared" si="4"/>
        <v>1.322060370395429E-2</v>
      </c>
      <c r="I15" s="365">
        <f t="shared" si="5"/>
        <v>0</v>
      </c>
      <c r="J15" s="391">
        <f t="shared" si="18"/>
        <v>2.3456266905201639E-2</v>
      </c>
      <c r="K15" s="1964">
        <f t="shared" si="6"/>
        <v>3.6986976618283984E-2</v>
      </c>
      <c r="L15" s="1428">
        <f t="shared" si="1"/>
        <v>6.314718351276654</v>
      </c>
      <c r="M15" s="961">
        <f>TableUK12c!B31</f>
        <v>6.3063974937816736E-2</v>
      </c>
      <c r="N15" s="961">
        <f>M14/L14</f>
        <v>1.0584887262050277E-2</v>
      </c>
      <c r="O15" s="961">
        <f t="shared" si="7"/>
        <v>0</v>
      </c>
      <c r="P15" s="1970">
        <f t="shared" si="19"/>
        <v>2.6125553319686246E-2</v>
      </c>
      <c r="Q15" s="295"/>
      <c r="R15" s="207"/>
      <c r="S15" s="78"/>
      <c r="T15" s="78"/>
      <c r="U15" s="78"/>
      <c r="V15" s="2096">
        <f>TableUK5a!Q15</f>
        <v>0</v>
      </c>
      <c r="W15" s="78"/>
      <c r="X15" s="78"/>
      <c r="Y15" s="1380"/>
      <c r="Z15" s="560"/>
      <c r="AA15" s="558"/>
      <c r="AB15" s="558"/>
      <c r="AC15" s="559"/>
      <c r="AF15" s="300">
        <f t="shared" si="8"/>
        <v>1.036986976618284</v>
      </c>
      <c r="AG15" s="300">
        <f t="shared" si="9"/>
        <v>1.0132206037039544</v>
      </c>
      <c r="AH15" s="300">
        <f t="shared" si="20"/>
        <v>1</v>
      </c>
      <c r="AI15" s="300">
        <f t="shared" si="10"/>
        <v>1.0234562669052016</v>
      </c>
      <c r="AJ15" s="300">
        <f t="shared" si="11"/>
        <v>1.036986976618284</v>
      </c>
      <c r="AK15" s="300">
        <f t="shared" si="12"/>
        <v>1.0105848872620502</v>
      </c>
      <c r="AL15" s="300">
        <f t="shared" si="21"/>
        <v>1</v>
      </c>
      <c r="AM15" s="300">
        <f t="shared" si="13"/>
        <v>1.0261255533196862</v>
      </c>
      <c r="AN15" s="366">
        <f t="shared" si="14"/>
        <v>1</v>
      </c>
      <c r="AO15" s="300">
        <f t="shared" si="15"/>
        <v>1</v>
      </c>
      <c r="AP15" s="300">
        <f t="shared" si="16"/>
        <v>1</v>
      </c>
    </row>
    <row r="16" spans="1:42" ht="12" customHeight="1">
      <c r="A16" s="586">
        <f t="shared" si="2"/>
        <v>1861</v>
      </c>
      <c r="B16" s="1160">
        <f>TableUK1!D16</f>
        <v>68.754072476437528</v>
      </c>
      <c r="C16" s="959">
        <f t="shared" si="0"/>
        <v>435.00792431364573</v>
      </c>
      <c r="D16" s="391">
        <f t="shared" si="3"/>
        <v>2.8156055352440479E-2</v>
      </c>
      <c r="E16" s="390">
        <f t="shared" si="17"/>
        <v>3.0157890663873088E-2</v>
      </c>
      <c r="F16" s="1372">
        <f>TableUK6a!M16</f>
        <v>6.3270132029302815</v>
      </c>
      <c r="G16" s="365">
        <f>TableUK12c!B31</f>
        <v>6.3063974937816736E-2</v>
      </c>
      <c r="H16" s="365">
        <f t="shared" si="4"/>
        <v>1.0255468467990699E-2</v>
      </c>
      <c r="I16" s="365">
        <f t="shared" si="5"/>
        <v>0</v>
      </c>
      <c r="J16" s="391">
        <f t="shared" si="18"/>
        <v>1.9700385513441887E-2</v>
      </c>
      <c r="K16" s="1964">
        <f t="shared" si="6"/>
        <v>3.0157890663873088E-2</v>
      </c>
      <c r="L16" s="1428">
        <f t="shared" si="1"/>
        <v>6.3270132029302815</v>
      </c>
      <c r="M16" s="961">
        <f>TableUK12c!B32</f>
        <v>6.8482055084940749E-2</v>
      </c>
      <c r="N16" s="961">
        <f t="shared" ref="N16:N79" si="22">M15/L15</f>
        <v>9.98682307423371E-3</v>
      </c>
      <c r="O16" s="961">
        <f t="shared" si="7"/>
        <v>0</v>
      </c>
      <c r="P16" s="1970">
        <f t="shared" si="19"/>
        <v>1.9971614608041977E-2</v>
      </c>
      <c r="Q16" s="295"/>
      <c r="R16" s="207"/>
      <c r="S16" s="78"/>
      <c r="T16" s="78"/>
      <c r="U16" s="78"/>
      <c r="V16" s="2096">
        <f>TableUK5a!Q16</f>
        <v>0</v>
      </c>
      <c r="W16" s="78"/>
      <c r="X16" s="78"/>
      <c r="Y16" s="1380"/>
      <c r="Z16" s="560"/>
      <c r="AA16" s="558"/>
      <c r="AB16" s="558"/>
      <c r="AC16" s="559"/>
      <c r="AF16" s="300">
        <f t="shared" si="8"/>
        <v>1.0301578906638731</v>
      </c>
      <c r="AG16" s="300">
        <f t="shared" si="9"/>
        <v>1.0102554684679907</v>
      </c>
      <c r="AH16" s="300">
        <f t="shared" si="20"/>
        <v>1</v>
      </c>
      <c r="AI16" s="300">
        <f t="shared" si="10"/>
        <v>1.0197003855134419</v>
      </c>
      <c r="AJ16" s="300">
        <f t="shared" si="11"/>
        <v>1.0301578906638731</v>
      </c>
      <c r="AK16" s="300">
        <f t="shared" si="12"/>
        <v>1.0099868230742337</v>
      </c>
      <c r="AL16" s="300">
        <f t="shared" si="21"/>
        <v>1</v>
      </c>
      <c r="AM16" s="300">
        <f t="shared" si="13"/>
        <v>1.019971614608042</v>
      </c>
      <c r="AN16" s="366">
        <f t="shared" si="14"/>
        <v>1</v>
      </c>
      <c r="AO16" s="300">
        <f t="shared" si="15"/>
        <v>1</v>
      </c>
      <c r="AP16" s="300">
        <f t="shared" si="16"/>
        <v>1</v>
      </c>
    </row>
    <row r="17" spans="1:42" ht="12" customHeight="1">
      <c r="A17" s="586">
        <f t="shared" si="2"/>
        <v>1862</v>
      </c>
      <c r="B17" s="1160">
        <f>TableUK1!D17</f>
        <v>72.11834029705436</v>
      </c>
      <c r="C17" s="959">
        <f t="shared" si="0"/>
        <v>446.32691410761402</v>
      </c>
      <c r="D17" s="391">
        <f t="shared" si="3"/>
        <v>4.8931906132102743E-2</v>
      </c>
      <c r="E17" s="390">
        <f t="shared" si="17"/>
        <v>2.6020192188055846E-2</v>
      </c>
      <c r="F17" s="1372">
        <f>TableUK6a!M17</f>
        <v>6.1888128909955524</v>
      </c>
      <c r="G17" s="365">
        <f>TableUK12c!B32</f>
        <v>6.8482055084940749E-2</v>
      </c>
      <c r="H17" s="365">
        <f t="shared" si="4"/>
        <v>9.9674163645824855E-3</v>
      </c>
      <c r="I17" s="365">
        <f t="shared" si="5"/>
        <v>0</v>
      </c>
      <c r="J17" s="391">
        <f t="shared" si="18"/>
        <v>1.5894350217015907E-2</v>
      </c>
      <c r="K17" s="1964">
        <f t="shared" si="6"/>
        <v>2.6020192188055846E-2</v>
      </c>
      <c r="L17" s="1428">
        <f t="shared" si="1"/>
        <v>6.1888128909955524</v>
      </c>
      <c r="M17" s="961">
        <f>TableUK12c!B33</f>
        <v>0.10312652318090848</v>
      </c>
      <c r="N17" s="961">
        <f t="shared" si="22"/>
        <v>1.0823757259305875E-2</v>
      </c>
      <c r="O17" s="961">
        <f t="shared" si="7"/>
        <v>0</v>
      </c>
      <c r="P17" s="1970">
        <f t="shared" si="19"/>
        <v>1.5033713661373183E-2</v>
      </c>
      <c r="Q17" s="295"/>
      <c r="R17" s="207"/>
      <c r="S17" s="78"/>
      <c r="T17" s="78"/>
      <c r="U17" s="78"/>
      <c r="V17" s="2096">
        <f>TableUK5a!Q17</f>
        <v>0</v>
      </c>
      <c r="W17" s="78"/>
      <c r="X17" s="78"/>
      <c r="Y17" s="1380"/>
      <c r="Z17" s="560"/>
      <c r="AA17" s="558"/>
      <c r="AB17" s="558"/>
      <c r="AC17" s="559"/>
      <c r="AF17" s="300">
        <f t="shared" si="8"/>
        <v>1.0260201921880558</v>
      </c>
      <c r="AG17" s="300">
        <f t="shared" si="9"/>
        <v>1.0099674163645824</v>
      </c>
      <c r="AH17" s="300">
        <f t="shared" si="20"/>
        <v>1</v>
      </c>
      <c r="AI17" s="300">
        <f t="shared" si="10"/>
        <v>1.0158943502170159</v>
      </c>
      <c r="AJ17" s="300">
        <f t="shared" si="11"/>
        <v>1.0260201921880558</v>
      </c>
      <c r="AK17" s="300">
        <f t="shared" si="12"/>
        <v>1.010823757259306</v>
      </c>
      <c r="AL17" s="300">
        <f t="shared" si="21"/>
        <v>1</v>
      </c>
      <c r="AM17" s="300">
        <f t="shared" si="13"/>
        <v>1.0150337136613732</v>
      </c>
      <c r="AN17" s="366">
        <f t="shared" si="14"/>
        <v>1</v>
      </c>
      <c r="AO17" s="300">
        <f t="shared" si="15"/>
        <v>1</v>
      </c>
      <c r="AP17" s="300">
        <f t="shared" si="16"/>
        <v>1</v>
      </c>
    </row>
    <row r="18" spans="1:42" ht="12" customHeight="1">
      <c r="A18" s="586">
        <f t="shared" si="2"/>
        <v>1863</v>
      </c>
      <c r="B18" s="1160">
        <f>TableUK1!D18</f>
        <v>77.527403649811717</v>
      </c>
      <c r="C18" s="959">
        <f t="shared" si="0"/>
        <v>458.02305180347065</v>
      </c>
      <c r="D18" s="391">
        <f t="shared" si="3"/>
        <v>7.500260447588647E-2</v>
      </c>
      <c r="E18" s="390">
        <f t="shared" si="17"/>
        <v>2.6205315714024957E-2</v>
      </c>
      <c r="F18" s="1372">
        <f>TableUK6a!M18</f>
        <v>5.9078858602352149</v>
      </c>
      <c r="G18" s="365">
        <f>TableUK12c!B33</f>
        <v>0.10312652318090848</v>
      </c>
      <c r="H18" s="365">
        <f t="shared" si="4"/>
        <v>1.1065458964606782E-2</v>
      </c>
      <c r="I18" s="365">
        <f t="shared" si="5"/>
        <v>0</v>
      </c>
      <c r="J18" s="391">
        <f t="shared" si="18"/>
        <v>1.4974160787692536E-2</v>
      </c>
      <c r="K18" s="1964">
        <f t="shared" si="6"/>
        <v>2.6205315714024957E-2</v>
      </c>
      <c r="L18" s="1428">
        <f t="shared" si="1"/>
        <v>5.9078858602352149</v>
      </c>
      <c r="M18" s="961">
        <f>TableUK12c!B34</f>
        <v>0.11798462087545272</v>
      </c>
      <c r="N18" s="961">
        <f t="shared" si="22"/>
        <v>1.6663377128585191E-2</v>
      </c>
      <c r="O18" s="961">
        <f t="shared" si="7"/>
        <v>0</v>
      </c>
      <c r="P18" s="1970">
        <f t="shared" si="19"/>
        <v>9.3855437306984424E-3</v>
      </c>
      <c r="Q18" s="295"/>
      <c r="R18" s="207"/>
      <c r="S18" s="78"/>
      <c r="T18" s="78"/>
      <c r="U18" s="78"/>
      <c r="V18" s="2096">
        <f>TableUK5a!Q18</f>
        <v>0</v>
      </c>
      <c r="W18" s="78"/>
      <c r="X18" s="78"/>
      <c r="Y18" s="1380"/>
      <c r="Z18" s="560"/>
      <c r="AA18" s="558"/>
      <c r="AB18" s="558"/>
      <c r="AC18" s="559"/>
      <c r="AF18" s="300">
        <f t="shared" si="8"/>
        <v>1.026205315714025</v>
      </c>
      <c r="AG18" s="300">
        <f t="shared" si="9"/>
        <v>1.0110654589646069</v>
      </c>
      <c r="AH18" s="300">
        <f t="shared" si="20"/>
        <v>1</v>
      </c>
      <c r="AI18" s="300">
        <f t="shared" si="10"/>
        <v>1.0149741607876925</v>
      </c>
      <c r="AJ18" s="300">
        <f t="shared" si="11"/>
        <v>1.026205315714025</v>
      </c>
      <c r="AK18" s="300">
        <f t="shared" si="12"/>
        <v>1.0166633771285851</v>
      </c>
      <c r="AL18" s="300">
        <f t="shared" si="21"/>
        <v>1</v>
      </c>
      <c r="AM18" s="300">
        <f t="shared" si="13"/>
        <v>1.0093855437306984</v>
      </c>
      <c r="AN18" s="366">
        <f t="shared" si="14"/>
        <v>1</v>
      </c>
      <c r="AO18" s="300">
        <f t="shared" si="15"/>
        <v>1</v>
      </c>
      <c r="AP18" s="300">
        <f t="shared" si="16"/>
        <v>1</v>
      </c>
    </row>
    <row r="19" spans="1:42" ht="12" customHeight="1">
      <c r="A19" s="586">
        <f t="shared" si="2"/>
        <v>1864</v>
      </c>
      <c r="B19" s="1160">
        <f>TableUK1!D19</f>
        <v>81.223675520672643</v>
      </c>
      <c r="C19" s="959">
        <f t="shared" si="0"/>
        <v>474.20062646790188</v>
      </c>
      <c r="D19" s="391">
        <f t="shared" si="3"/>
        <v>4.7676972229804715E-2</v>
      </c>
      <c r="E19" s="390">
        <f t="shared" si="17"/>
        <v>3.5320437695727236E-2</v>
      </c>
      <c r="F19" s="1372">
        <f>TableUK6a!M19</f>
        <v>5.8382069443189719</v>
      </c>
      <c r="G19" s="365">
        <f>TableUK12c!B34</f>
        <v>0.11798462087545272</v>
      </c>
      <c r="H19" s="365">
        <f t="shared" si="4"/>
        <v>1.745574061865891E-2</v>
      </c>
      <c r="I19" s="365">
        <f t="shared" si="5"/>
        <v>0</v>
      </c>
      <c r="J19" s="391">
        <f t="shared" si="18"/>
        <v>1.7558205594482068E-2</v>
      </c>
      <c r="K19" s="1964">
        <f t="shared" si="6"/>
        <v>3.5320437695727236E-2</v>
      </c>
      <c r="L19" s="1428">
        <f t="shared" si="1"/>
        <v>5.8382069443189719</v>
      </c>
      <c r="M19" s="961">
        <f>TableUK12c!B35</f>
        <v>0.13260920058750553</v>
      </c>
      <c r="N19" s="961">
        <f t="shared" si="22"/>
        <v>1.9970700800024482E-2</v>
      </c>
      <c r="O19" s="961">
        <f t="shared" si="7"/>
        <v>0</v>
      </c>
      <c r="P19" s="1970">
        <f t="shared" si="19"/>
        <v>1.5049193946123252E-2</v>
      </c>
      <c r="Q19" s="295"/>
      <c r="R19" s="207"/>
      <c r="S19" s="78"/>
      <c r="T19" s="78"/>
      <c r="U19" s="78"/>
      <c r="V19" s="2096">
        <f>TableUK5a!Q19</f>
        <v>0</v>
      </c>
      <c r="W19" s="78"/>
      <c r="X19" s="78"/>
      <c r="Y19" s="1380"/>
      <c r="Z19" s="560"/>
      <c r="AA19" s="558"/>
      <c r="AB19" s="558"/>
      <c r="AC19" s="559"/>
      <c r="AF19" s="300">
        <f t="shared" si="8"/>
        <v>1.0353204376957272</v>
      </c>
      <c r="AG19" s="300">
        <f t="shared" si="9"/>
        <v>1.0174557406186588</v>
      </c>
      <c r="AH19" s="300">
        <f t="shared" si="20"/>
        <v>1</v>
      </c>
      <c r="AI19" s="300">
        <f t="shared" si="10"/>
        <v>1.0175582055944821</v>
      </c>
      <c r="AJ19" s="300">
        <f t="shared" si="11"/>
        <v>1.0353204376957272</v>
      </c>
      <c r="AK19" s="300">
        <f t="shared" si="12"/>
        <v>1.0199707008000245</v>
      </c>
      <c r="AL19" s="300">
        <f t="shared" si="21"/>
        <v>1</v>
      </c>
      <c r="AM19" s="300">
        <f t="shared" si="13"/>
        <v>1.0150491939461233</v>
      </c>
      <c r="AN19" s="366">
        <f t="shared" si="14"/>
        <v>1</v>
      </c>
      <c r="AO19" s="300">
        <f t="shared" si="15"/>
        <v>1</v>
      </c>
      <c r="AP19" s="300">
        <f t="shared" si="16"/>
        <v>1</v>
      </c>
    </row>
    <row r="20" spans="1:42" ht="12" customHeight="1">
      <c r="A20" s="586">
        <f t="shared" si="2"/>
        <v>1865</v>
      </c>
      <c r="B20" s="1160">
        <f>TableUK1!D20</f>
        <v>83.296114957810303</v>
      </c>
      <c r="C20" s="959">
        <f t="shared" si="0"/>
        <v>491.74656887171193</v>
      </c>
      <c r="D20" s="391">
        <f t="shared" si="3"/>
        <v>2.5515213684342397E-2</v>
      </c>
      <c r="E20" s="390">
        <f t="shared" si="17"/>
        <v>3.7001094946882418E-2</v>
      </c>
      <c r="F20" s="1372">
        <f>TableUK6a!M20</f>
        <v>5.9035954932685977</v>
      </c>
      <c r="G20" s="365">
        <f>TableUK12c!B35</f>
        <v>0.13260920058750553</v>
      </c>
      <c r="H20" s="365">
        <f t="shared" si="4"/>
        <v>2.0209050826857193E-2</v>
      </c>
      <c r="I20" s="365">
        <f t="shared" si="5"/>
        <v>0</v>
      </c>
      <c r="J20" s="391">
        <f t="shared" si="18"/>
        <v>1.6459414966389252E-2</v>
      </c>
      <c r="K20" s="1964">
        <f t="shared" si="6"/>
        <v>3.7001094946882418E-2</v>
      </c>
      <c r="L20" s="1428">
        <f t="shared" si="1"/>
        <v>5.9035954932685977</v>
      </c>
      <c r="M20" s="961">
        <f>TableUK12c!B36</f>
        <v>0.11753817589710844</v>
      </c>
      <c r="N20" s="961">
        <f t="shared" si="22"/>
        <v>2.2714028785249651E-2</v>
      </c>
      <c r="O20" s="961">
        <f t="shared" si="7"/>
        <v>0</v>
      </c>
      <c r="P20" s="1970">
        <f t="shared" si="19"/>
        <v>1.3969756705696668E-2</v>
      </c>
      <c r="Q20" s="295"/>
      <c r="R20" s="207"/>
      <c r="S20" s="78"/>
      <c r="T20" s="78"/>
      <c r="U20" s="78"/>
      <c r="V20" s="2096">
        <f>TableUK5a!Q20</f>
        <v>0</v>
      </c>
      <c r="W20" s="78"/>
      <c r="X20" s="78"/>
      <c r="Y20" s="1380"/>
      <c r="Z20" s="560"/>
      <c r="AA20" s="558"/>
      <c r="AB20" s="558"/>
      <c r="AC20" s="559"/>
      <c r="AF20" s="300">
        <f t="shared" si="8"/>
        <v>1.0370010949468824</v>
      </c>
      <c r="AG20" s="300">
        <f t="shared" si="9"/>
        <v>1.0202090508268571</v>
      </c>
      <c r="AH20" s="300">
        <f t="shared" si="20"/>
        <v>1</v>
      </c>
      <c r="AI20" s="300">
        <f t="shared" si="10"/>
        <v>1.0164594149663893</v>
      </c>
      <c r="AJ20" s="300">
        <f t="shared" si="11"/>
        <v>1.0370010949468824</v>
      </c>
      <c r="AK20" s="300">
        <f t="shared" si="12"/>
        <v>1.0227140287852496</v>
      </c>
      <c r="AL20" s="300">
        <f t="shared" si="21"/>
        <v>1</v>
      </c>
      <c r="AM20" s="300">
        <f t="shared" si="13"/>
        <v>1.0139697567056967</v>
      </c>
      <c r="AN20" s="366">
        <f t="shared" si="14"/>
        <v>1</v>
      </c>
      <c r="AO20" s="300">
        <f t="shared" si="15"/>
        <v>1</v>
      </c>
      <c r="AP20" s="300">
        <f t="shared" si="16"/>
        <v>1</v>
      </c>
    </row>
    <row r="21" spans="1:42" ht="12" customHeight="1">
      <c r="A21" s="586">
        <f t="shared" si="2"/>
        <v>1866</v>
      </c>
      <c r="B21" s="1160">
        <f>TableUK1!D21</f>
        <v>80.847122326730215</v>
      </c>
      <c r="C21" s="959">
        <f t="shared" si="0"/>
        <v>513.168812086657</v>
      </c>
      <c r="D21" s="391">
        <f t="shared" si="3"/>
        <v>-2.9401042681528544E-2</v>
      </c>
      <c r="E21" s="390">
        <f t="shared" si="17"/>
        <v>4.3563584518947041E-2</v>
      </c>
      <c r="F21" s="1372">
        <f>TableUK6a!M21</f>
        <v>6.3473973756637934</v>
      </c>
      <c r="G21" s="365">
        <f>TableUK12c!B36</f>
        <v>0.11753817589710844</v>
      </c>
      <c r="H21" s="365">
        <f t="shared" si="4"/>
        <v>2.2462446950965609E-2</v>
      </c>
      <c r="I21" s="365">
        <f t="shared" si="5"/>
        <v>0</v>
      </c>
      <c r="J21" s="391">
        <f t="shared" si="18"/>
        <v>2.0637567307147719E-2</v>
      </c>
      <c r="K21" s="1964">
        <f t="shared" si="6"/>
        <v>4.3563584518947041E-2</v>
      </c>
      <c r="L21" s="1428">
        <f t="shared" si="1"/>
        <v>6.3473973756637934</v>
      </c>
      <c r="M21" s="961">
        <f>TableUK12c!B37</f>
        <v>0.10924626480633488</v>
      </c>
      <c r="N21" s="961">
        <f t="shared" si="22"/>
        <v>1.9909591710869742E-2</v>
      </c>
      <c r="O21" s="961">
        <f t="shared" si="7"/>
        <v>0</v>
      </c>
      <c r="P21" s="1970">
        <f t="shared" si="19"/>
        <v>2.3192244685529717E-2</v>
      </c>
      <c r="Q21" s="295"/>
      <c r="R21" s="207"/>
      <c r="S21" s="78"/>
      <c r="T21" s="78"/>
      <c r="U21" s="78"/>
      <c r="V21" s="2096">
        <f>TableUK5a!Q21</f>
        <v>0</v>
      </c>
      <c r="W21" s="78"/>
      <c r="X21" s="78"/>
      <c r="Y21" s="1380"/>
      <c r="Z21" s="560"/>
      <c r="AA21" s="558"/>
      <c r="AB21" s="558"/>
      <c r="AC21" s="559"/>
      <c r="AF21" s="300">
        <f t="shared" si="8"/>
        <v>1.043563584518947</v>
      </c>
      <c r="AG21" s="300">
        <f t="shared" si="9"/>
        <v>1.0224624469509656</v>
      </c>
      <c r="AH21" s="300">
        <f t="shared" si="20"/>
        <v>1</v>
      </c>
      <c r="AI21" s="300">
        <f t="shared" si="10"/>
        <v>1.0206375673071477</v>
      </c>
      <c r="AJ21" s="300">
        <f t="shared" si="11"/>
        <v>1.043563584518947</v>
      </c>
      <c r="AK21" s="300">
        <f t="shared" si="12"/>
        <v>1.0199095917108698</v>
      </c>
      <c r="AL21" s="300">
        <f t="shared" si="21"/>
        <v>1</v>
      </c>
      <c r="AM21" s="300">
        <f t="shared" si="13"/>
        <v>1.0231922446855297</v>
      </c>
      <c r="AN21" s="366">
        <f t="shared" si="14"/>
        <v>1</v>
      </c>
      <c r="AO21" s="300">
        <f t="shared" si="15"/>
        <v>1</v>
      </c>
      <c r="AP21" s="300">
        <f t="shared" si="16"/>
        <v>1</v>
      </c>
    </row>
    <row r="22" spans="1:42" ht="12" customHeight="1">
      <c r="A22" s="586">
        <f t="shared" si="2"/>
        <v>1867</v>
      </c>
      <c r="B22" s="1160">
        <f>TableUK1!D22</f>
        <v>74.970980082566783</v>
      </c>
      <c r="C22" s="959">
        <f t="shared" si="0"/>
        <v>535.34641589107241</v>
      </c>
      <c r="D22" s="391">
        <f t="shared" si="3"/>
        <v>-7.268214470783485E-2</v>
      </c>
      <c r="E22" s="390">
        <f t="shared" si="17"/>
        <v>4.3216975159180659E-2</v>
      </c>
      <c r="F22" s="1372">
        <f>TableUK6a!M22</f>
        <v>7.1407151847486388</v>
      </c>
      <c r="G22" s="365">
        <f>TableUK12c!B37</f>
        <v>0.10924626480633488</v>
      </c>
      <c r="H22" s="365">
        <f t="shared" si="4"/>
        <v>1.8517538597434453E-2</v>
      </c>
      <c r="I22" s="365">
        <f t="shared" si="5"/>
        <v>0</v>
      </c>
      <c r="J22" s="391">
        <f t="shared" si="18"/>
        <v>2.4250379228382135E-2</v>
      </c>
      <c r="K22" s="1964">
        <f t="shared" si="6"/>
        <v>4.3216975159180659E-2</v>
      </c>
      <c r="L22" s="1428">
        <f t="shared" si="1"/>
        <v>7.1407151847486388</v>
      </c>
      <c r="M22" s="961">
        <f>TableUK12c!B38</f>
        <v>9.5761399199832786E-2</v>
      </c>
      <c r="N22" s="961">
        <f t="shared" si="22"/>
        <v>1.7211190404620005E-2</v>
      </c>
      <c r="O22" s="961">
        <f t="shared" si="7"/>
        <v>0</v>
      </c>
      <c r="P22" s="1970">
        <f t="shared" si="19"/>
        <v>2.5565767462916167E-2</v>
      </c>
      <c r="Q22" s="295"/>
      <c r="R22" s="207"/>
      <c r="S22" s="78"/>
      <c r="T22" s="78"/>
      <c r="U22" s="78"/>
      <c r="V22" s="2096">
        <f>TableUK5a!Q22</f>
        <v>0</v>
      </c>
      <c r="W22" s="78"/>
      <c r="X22" s="78"/>
      <c r="Y22" s="1380"/>
      <c r="Z22" s="560"/>
      <c r="AA22" s="558"/>
      <c r="AB22" s="558"/>
      <c r="AC22" s="559"/>
      <c r="AF22" s="300">
        <f t="shared" si="8"/>
        <v>1.0432169751591807</v>
      </c>
      <c r="AG22" s="300">
        <f t="shared" si="9"/>
        <v>1.0185175385974345</v>
      </c>
      <c r="AH22" s="300">
        <f t="shared" si="20"/>
        <v>1</v>
      </c>
      <c r="AI22" s="300">
        <f t="shared" si="10"/>
        <v>1.0242503792283821</v>
      </c>
      <c r="AJ22" s="300">
        <f t="shared" si="11"/>
        <v>1.0432169751591807</v>
      </c>
      <c r="AK22" s="300">
        <f t="shared" si="12"/>
        <v>1.0172111904046199</v>
      </c>
      <c r="AL22" s="300">
        <f t="shared" si="21"/>
        <v>1</v>
      </c>
      <c r="AM22" s="300">
        <f t="shared" si="13"/>
        <v>1.0255657674629162</v>
      </c>
      <c r="AN22" s="366">
        <f t="shared" si="14"/>
        <v>1</v>
      </c>
      <c r="AO22" s="300">
        <f t="shared" si="15"/>
        <v>1</v>
      </c>
      <c r="AP22" s="300">
        <f t="shared" si="16"/>
        <v>1</v>
      </c>
    </row>
    <row r="23" spans="1:42" ht="12" customHeight="1">
      <c r="A23" s="586">
        <f t="shared" si="2"/>
        <v>1868</v>
      </c>
      <c r="B23" s="1160">
        <f>TableUK1!D23</f>
        <v>75.771747497826667</v>
      </c>
      <c r="C23" s="959">
        <f t="shared" si="0"/>
        <v>552.51937918275883</v>
      </c>
      <c r="D23" s="391">
        <f t="shared" si="3"/>
        <v>1.0681031705574329E-2</v>
      </c>
      <c r="E23" s="390">
        <f t="shared" si="17"/>
        <v>3.2078225952260064E-2</v>
      </c>
      <c r="F23" s="1372">
        <f>TableUK6a!M23</f>
        <v>7.2918917331107691</v>
      </c>
      <c r="G23" s="365">
        <f>TableUK12c!B38</f>
        <v>9.5761399199832786E-2</v>
      </c>
      <c r="H23" s="365">
        <f t="shared" si="4"/>
        <v>1.529906486673302E-2</v>
      </c>
      <c r="I23" s="365">
        <f t="shared" si="5"/>
        <v>0</v>
      </c>
      <c r="J23" s="391">
        <f t="shared" si="18"/>
        <v>1.6526323785917674E-2</v>
      </c>
      <c r="K23" s="1966">
        <f t="shared" si="6"/>
        <v>3.2078225952260064E-2</v>
      </c>
      <c r="L23" s="29">
        <f t="shared" si="1"/>
        <v>7.2918917331107691</v>
      </c>
      <c r="M23" s="1968">
        <f>TableUK12c!B39</f>
        <v>9.9459435648089817E-2</v>
      </c>
      <c r="N23" s="1968">
        <f t="shared" si="22"/>
        <v>1.3410617385267368E-2</v>
      </c>
      <c r="O23" s="1968">
        <f t="shared" si="7"/>
        <v>0</v>
      </c>
      <c r="P23" s="1971">
        <f t="shared" si="19"/>
        <v>1.8420577253431158E-2</v>
      </c>
      <c r="Q23" s="390"/>
      <c r="R23" s="308"/>
      <c r="S23" s="365"/>
      <c r="T23" s="365"/>
      <c r="U23" s="365"/>
      <c r="V23" s="2099">
        <f>TableUK5a!Q23</f>
        <v>0</v>
      </c>
      <c r="W23" s="365"/>
      <c r="X23" s="365"/>
      <c r="Y23" s="1380"/>
      <c r="Z23" s="560"/>
      <c r="AA23" s="558"/>
      <c r="AB23" s="558"/>
      <c r="AC23" s="559"/>
      <c r="AF23" s="300">
        <f t="shared" si="8"/>
        <v>1.0320782259522601</v>
      </c>
      <c r="AG23" s="300">
        <f t="shared" si="9"/>
        <v>1.015299064866733</v>
      </c>
      <c r="AH23" s="300">
        <f t="shared" si="20"/>
        <v>1</v>
      </c>
      <c r="AI23" s="300">
        <f t="shared" si="10"/>
        <v>1.0165263237859177</v>
      </c>
      <c r="AJ23" s="300">
        <f t="shared" si="11"/>
        <v>1.0320782259522601</v>
      </c>
      <c r="AK23" s="300">
        <f t="shared" si="12"/>
        <v>1.0134106173852673</v>
      </c>
      <c r="AL23" s="300">
        <f t="shared" si="21"/>
        <v>1</v>
      </c>
      <c r="AM23" s="300">
        <f t="shared" si="13"/>
        <v>1.0184205772534312</v>
      </c>
      <c r="AN23" s="366">
        <f t="shared" si="14"/>
        <v>1</v>
      </c>
      <c r="AO23" s="300">
        <f t="shared" si="15"/>
        <v>1</v>
      </c>
      <c r="AP23" s="300">
        <f t="shared" si="16"/>
        <v>1</v>
      </c>
    </row>
    <row r="24" spans="1:42" ht="12" customHeight="1">
      <c r="A24" s="1176">
        <f t="shared" si="2"/>
        <v>1869</v>
      </c>
      <c r="B24" s="1177">
        <f>TableUK1!D24</f>
        <v>82.47547547376486</v>
      </c>
      <c r="C24" s="1171">
        <f t="shared" si="0"/>
        <v>566.05345974364002</v>
      </c>
      <c r="D24" s="1172">
        <f t="shared" si="3"/>
        <v>8.8472658970026652E-2</v>
      </c>
      <c r="E24" s="1181">
        <f t="shared" si="17"/>
        <v>2.4495214232846729E-2</v>
      </c>
      <c r="F24" s="1381">
        <f>TableUK6a!M24</f>
        <v>6.8632942882966406</v>
      </c>
      <c r="G24" s="1184">
        <f>TableUK12c!B39</f>
        <v>9.9459435648089817E-2</v>
      </c>
      <c r="H24" s="1184">
        <f t="shared" si="4"/>
        <v>1.3132586536495426E-2</v>
      </c>
      <c r="I24" s="1184">
        <f t="shared" si="5"/>
        <v>0</v>
      </c>
      <c r="J24" s="1172">
        <f t="shared" si="18"/>
        <v>1.1215341256760381E-2</v>
      </c>
      <c r="K24" s="1181">
        <f t="shared" si="6"/>
        <v>2.4495214232846729E-2</v>
      </c>
      <c r="L24" s="1963">
        <f t="shared" si="1"/>
        <v>6.8632942882966406</v>
      </c>
      <c r="M24" s="1969">
        <f>TableUK12c!B40</f>
        <v>0.11467098998944902</v>
      </c>
      <c r="N24" s="1969">
        <f t="shared" si="22"/>
        <v>1.3639730167203094E-2</v>
      </c>
      <c r="O24" s="1969">
        <f t="shared" si="7"/>
        <v>0</v>
      </c>
      <c r="P24" s="1972">
        <f t="shared" si="19"/>
        <v>1.0709410594879731E-2</v>
      </c>
      <c r="Q24" s="1181"/>
      <c r="R24" s="550"/>
      <c r="S24" s="1184"/>
      <c r="T24" s="1184"/>
      <c r="U24" s="1184"/>
      <c r="V24" s="2092">
        <f>TableUK5a!Q24</f>
        <v>0</v>
      </c>
      <c r="W24" s="365"/>
      <c r="X24" s="365"/>
      <c r="Y24" s="1380"/>
      <c r="Z24" s="560"/>
      <c r="AA24" s="558"/>
      <c r="AB24" s="558"/>
      <c r="AC24" s="559"/>
      <c r="AF24" s="300">
        <f t="shared" si="8"/>
        <v>1.0244952142328467</v>
      </c>
      <c r="AG24" s="300">
        <f t="shared" si="9"/>
        <v>1.0131325865364955</v>
      </c>
      <c r="AH24" s="300">
        <f t="shared" si="20"/>
        <v>1</v>
      </c>
      <c r="AI24" s="300">
        <f t="shared" si="10"/>
        <v>1.0112153412567604</v>
      </c>
      <c r="AJ24" s="300">
        <f t="shared" si="11"/>
        <v>1.0244952142328467</v>
      </c>
      <c r="AK24" s="300">
        <f t="shared" si="12"/>
        <v>1.0136397301672031</v>
      </c>
      <c r="AL24" s="300">
        <f t="shared" si="21"/>
        <v>1</v>
      </c>
      <c r="AM24" s="300">
        <f t="shared" si="13"/>
        <v>1.0107094105948797</v>
      </c>
      <c r="AN24" s="366">
        <f t="shared" si="14"/>
        <v>1</v>
      </c>
      <c r="AO24" s="300">
        <f t="shared" si="15"/>
        <v>1</v>
      </c>
      <c r="AP24" s="300">
        <f t="shared" si="16"/>
        <v>1</v>
      </c>
    </row>
    <row r="25" spans="1:42" ht="12" customHeight="1">
      <c r="A25" s="586">
        <f t="shared" si="2"/>
        <v>1870</v>
      </c>
      <c r="B25" s="1160">
        <f>TableUK1!D25</f>
        <v>88.933139097744359</v>
      </c>
      <c r="C25" s="959">
        <f t="shared" si="0"/>
        <v>583.30263570281681</v>
      </c>
      <c r="D25" s="391">
        <f t="shared" si="3"/>
        <v>7.8297985999894681E-2</v>
      </c>
      <c r="E25" s="390">
        <f t="shared" si="17"/>
        <v>3.047269769711991E-2</v>
      </c>
      <c r="F25" s="1372">
        <f>TableUK6a!M25</f>
        <v>6.558889539047108</v>
      </c>
      <c r="G25" s="365">
        <f>TableUK12c!B40</f>
        <v>0.11467098998944902</v>
      </c>
      <c r="H25" s="365">
        <f t="shared" si="4"/>
        <v>1.4491500942585117E-2</v>
      </c>
      <c r="I25" s="365">
        <f t="shared" si="5"/>
        <v>0</v>
      </c>
      <c r="J25" s="391">
        <f t="shared" si="18"/>
        <v>1.5752913395219448E-2</v>
      </c>
      <c r="K25" s="390">
        <f t="shared" si="6"/>
        <v>3.047269769711991E-2</v>
      </c>
      <c r="L25" s="29">
        <f t="shared" si="1"/>
        <v>6.558889539047108</v>
      </c>
      <c r="M25" s="1968">
        <f>TableUK12c!B41</f>
        <v>0.15251554537268819</v>
      </c>
      <c r="N25" s="1968">
        <f t="shared" si="22"/>
        <v>1.6707864353855139E-2</v>
      </c>
      <c r="O25" s="1968">
        <f t="shared" si="7"/>
        <v>0</v>
      </c>
      <c r="P25" s="1971">
        <f t="shared" si="19"/>
        <v>1.3538631720934502E-2</v>
      </c>
      <c r="Q25" s="390"/>
      <c r="R25" s="308"/>
      <c r="S25" s="365"/>
      <c r="T25" s="365"/>
      <c r="U25" s="365"/>
      <c r="V25" s="2093">
        <f>TableUK5a!Q25</f>
        <v>0</v>
      </c>
      <c r="W25" s="365"/>
      <c r="X25" s="365"/>
      <c r="Y25" s="1380"/>
      <c r="Z25" s="560"/>
      <c r="AA25" s="558"/>
      <c r="AB25" s="558"/>
      <c r="AC25" s="559"/>
      <c r="AF25" s="300">
        <f t="shared" si="8"/>
        <v>1.0304726976971199</v>
      </c>
      <c r="AG25" s="300">
        <f t="shared" si="9"/>
        <v>1.0144915009425852</v>
      </c>
      <c r="AH25" s="300">
        <f t="shared" si="20"/>
        <v>1</v>
      </c>
      <c r="AI25" s="300">
        <f t="shared" si="10"/>
        <v>1.0157529133952194</v>
      </c>
      <c r="AJ25" s="300">
        <f t="shared" si="11"/>
        <v>1.0304726976971199</v>
      </c>
      <c r="AK25" s="300">
        <f t="shared" si="12"/>
        <v>1.0167078643538552</v>
      </c>
      <c r="AL25" s="300">
        <f t="shared" si="21"/>
        <v>1</v>
      </c>
      <c r="AM25" s="300">
        <f t="shared" si="13"/>
        <v>1.0135386317209345</v>
      </c>
      <c r="AN25" s="366">
        <f t="shared" si="14"/>
        <v>1</v>
      </c>
      <c r="AO25" s="300">
        <f t="shared" si="15"/>
        <v>1</v>
      </c>
      <c r="AP25" s="300">
        <f t="shared" si="16"/>
        <v>1</v>
      </c>
    </row>
    <row r="26" spans="1:42" ht="12" customHeight="1">
      <c r="A26" s="586">
        <f t="shared" si="2"/>
        <v>1871</v>
      </c>
      <c r="B26" s="1160">
        <f>TableUK1!D26</f>
        <v>94.631630729166702</v>
      </c>
      <c r="C26" s="959">
        <f t="shared" si="0"/>
        <v>604.05161651714161</v>
      </c>
      <c r="D26" s="391">
        <f t="shared" si="3"/>
        <v>6.4076132803085439E-2</v>
      </c>
      <c r="E26" s="390">
        <f t="shared" si="17"/>
        <v>3.5571553331529948E-2</v>
      </c>
      <c r="F26" s="1372">
        <f>TableUK6a!M26</f>
        <v>6.383189340210377</v>
      </c>
      <c r="G26" s="365">
        <f>TableUK12c!B41</f>
        <v>0.15251554537268819</v>
      </c>
      <c r="H26" s="365">
        <f t="shared" si="4"/>
        <v>1.7483293369521927E-2</v>
      </c>
      <c r="I26" s="365">
        <f t="shared" si="5"/>
        <v>0</v>
      </c>
      <c r="J26" s="391">
        <f t="shared" si="18"/>
        <v>1.777745156100452E-2</v>
      </c>
      <c r="K26" s="390">
        <f t="shared" si="6"/>
        <v>3.5571553331529948E-2</v>
      </c>
      <c r="L26" s="29">
        <f t="shared" si="1"/>
        <v>6.383189340210377</v>
      </c>
      <c r="M26" s="1968">
        <f>TableUK12c!B42</f>
        <v>0.14557601137089446</v>
      </c>
      <c r="N26" s="1968">
        <f t="shared" si="22"/>
        <v>2.3253257196163429E-2</v>
      </c>
      <c r="O26" s="1968">
        <f t="shared" si="7"/>
        <v>0</v>
      </c>
      <c r="P26" s="1971">
        <f t="shared" si="19"/>
        <v>1.203836493921373E-2</v>
      </c>
      <c r="Q26" s="390"/>
      <c r="R26" s="308"/>
      <c r="S26" s="365"/>
      <c r="T26" s="365"/>
      <c r="U26" s="365"/>
      <c r="V26" s="2093">
        <f>TableUK5a!Q26</f>
        <v>0</v>
      </c>
      <c r="W26" s="365"/>
      <c r="X26" s="365"/>
      <c r="Y26" s="335"/>
      <c r="Z26" s="560"/>
      <c r="AA26" s="558"/>
      <c r="AB26" s="558"/>
      <c r="AC26" s="559"/>
      <c r="AF26" s="300">
        <f t="shared" si="8"/>
        <v>1.0355715533315299</v>
      </c>
      <c r="AG26" s="300">
        <f t="shared" si="9"/>
        <v>1.0174832933695219</v>
      </c>
      <c r="AH26" s="300">
        <f t="shared" si="20"/>
        <v>1</v>
      </c>
      <c r="AI26" s="300">
        <f t="shared" si="10"/>
        <v>1.0177774515610045</v>
      </c>
      <c r="AJ26" s="300">
        <f t="shared" si="11"/>
        <v>1.0355715533315299</v>
      </c>
      <c r="AK26" s="300">
        <f t="shared" si="12"/>
        <v>1.0232532571961634</v>
      </c>
      <c r="AL26" s="300">
        <f t="shared" si="21"/>
        <v>1</v>
      </c>
      <c r="AM26" s="300">
        <f t="shared" si="13"/>
        <v>1.0120383649392137</v>
      </c>
      <c r="AN26" s="366">
        <f t="shared" si="14"/>
        <v>1</v>
      </c>
      <c r="AO26" s="300">
        <f t="shared" si="15"/>
        <v>1</v>
      </c>
      <c r="AP26" s="300">
        <f t="shared" si="16"/>
        <v>1</v>
      </c>
    </row>
    <row r="27" spans="1:42" ht="12" customHeight="1">
      <c r="A27" s="586">
        <f t="shared" si="2"/>
        <v>1872</v>
      </c>
      <c r="B27" s="1160">
        <f>TableUK1!D27</f>
        <v>96.711792178571443</v>
      </c>
      <c r="C27" s="959">
        <f t="shared" si="0"/>
        <v>631.12440499710158</v>
      </c>
      <c r="D27" s="391">
        <f t="shared" si="3"/>
        <v>2.1981671808637859E-2</v>
      </c>
      <c r="E27" s="390">
        <f t="shared" si="17"/>
        <v>4.4818667378223598E-2</v>
      </c>
      <c r="F27" s="1372">
        <f>TableUK6a!M27</f>
        <v>6.5258267971270278</v>
      </c>
      <c r="G27" s="365">
        <f>TableUK12c!B42</f>
        <v>0.14557601137089446</v>
      </c>
      <c r="H27" s="365">
        <f t="shared" si="4"/>
        <v>2.3893313709485168E-2</v>
      </c>
      <c r="I27" s="365">
        <f t="shared" si="5"/>
        <v>0</v>
      </c>
      <c r="J27" s="391">
        <f t="shared" si="18"/>
        <v>2.0437044942629212E-2</v>
      </c>
      <c r="K27" s="390">
        <f t="shared" si="6"/>
        <v>4.4818667378223598E-2</v>
      </c>
      <c r="L27" s="29">
        <f t="shared" si="1"/>
        <v>6.5258267971270278</v>
      </c>
      <c r="M27" s="1968">
        <f>TableUK12c!B43</f>
        <v>0.12844311115768881</v>
      </c>
      <c r="N27" s="1968">
        <f t="shared" si="22"/>
        <v>2.2806155921750643E-2</v>
      </c>
      <c r="O27" s="1968">
        <f t="shared" si="7"/>
        <v>0</v>
      </c>
      <c r="P27" s="1971">
        <f t="shared" si="19"/>
        <v>2.1521684562638699E-2</v>
      </c>
      <c r="Q27" s="390"/>
      <c r="R27" s="308"/>
      <c r="S27" s="365"/>
      <c r="T27" s="365"/>
      <c r="U27" s="365"/>
      <c r="V27" s="2093">
        <f>TableUK5a!Q27</f>
        <v>0</v>
      </c>
      <c r="W27" s="365"/>
      <c r="X27" s="365"/>
      <c r="Y27" s="335"/>
      <c r="Z27" s="560"/>
      <c r="AA27" s="558"/>
      <c r="AB27" s="558"/>
      <c r="AC27" s="559"/>
      <c r="AF27" s="300">
        <f t="shared" si="8"/>
        <v>1.0448186673782236</v>
      </c>
      <c r="AG27" s="300">
        <f t="shared" si="9"/>
        <v>1.0238933137094852</v>
      </c>
      <c r="AH27" s="300">
        <f t="shared" si="20"/>
        <v>1</v>
      </c>
      <c r="AI27" s="300">
        <f t="shared" si="10"/>
        <v>1.0204370449426292</v>
      </c>
      <c r="AJ27" s="300">
        <f t="shared" si="11"/>
        <v>1.0448186673782236</v>
      </c>
      <c r="AK27" s="300">
        <f t="shared" si="12"/>
        <v>1.0228061559217507</v>
      </c>
      <c r="AL27" s="300">
        <f t="shared" si="21"/>
        <v>1</v>
      </c>
      <c r="AM27" s="300">
        <f t="shared" si="13"/>
        <v>1.0215216845626387</v>
      </c>
      <c r="AN27" s="366">
        <f t="shared" si="14"/>
        <v>1</v>
      </c>
      <c r="AO27" s="300">
        <f t="shared" si="15"/>
        <v>1</v>
      </c>
      <c r="AP27" s="300">
        <f t="shared" si="16"/>
        <v>1</v>
      </c>
    </row>
    <row r="28" spans="1:42" ht="12" customHeight="1">
      <c r="A28" s="586">
        <f t="shared" si="2"/>
        <v>1873</v>
      </c>
      <c r="B28" s="1160">
        <f>TableUK1!D28</f>
        <v>99.273319969093436</v>
      </c>
      <c r="C28" s="959">
        <f t="shared" si="0"/>
        <v>657.59602426600395</v>
      </c>
      <c r="D28" s="391">
        <f t="shared" si="3"/>
        <v>2.6486199178196612E-2</v>
      </c>
      <c r="E28" s="390">
        <f t="shared" si="17"/>
        <v>4.1943583641047555E-2</v>
      </c>
      <c r="F28" s="1372">
        <f>TableUK6a!M28</f>
        <v>6.6240962271709254</v>
      </c>
      <c r="G28" s="365">
        <f>TableUK12c!B43</f>
        <v>0.12844311115768881</v>
      </c>
      <c r="H28" s="365">
        <f t="shared" si="4"/>
        <v>2.2307673172537124E-2</v>
      </c>
      <c r="I28" s="365">
        <f t="shared" si="5"/>
        <v>0</v>
      </c>
      <c r="J28" s="391">
        <f t="shared" si="18"/>
        <v>1.9207437236164138E-2</v>
      </c>
      <c r="K28" s="390">
        <f t="shared" si="6"/>
        <v>4.1943583641047555E-2</v>
      </c>
      <c r="L28" s="29">
        <f t="shared" si="1"/>
        <v>6.6240962271709254</v>
      </c>
      <c r="M28" s="1968">
        <f>TableUK12c!B44</f>
        <v>0.15537648775439217</v>
      </c>
      <c r="N28" s="1968">
        <f t="shared" si="22"/>
        <v>1.968227400920837E-2</v>
      </c>
      <c r="O28" s="1968">
        <f t="shared" si="7"/>
        <v>0</v>
      </c>
      <c r="P28" s="1971">
        <f t="shared" si="19"/>
        <v>2.183161382644383E-2</v>
      </c>
      <c r="Q28" s="390"/>
      <c r="R28" s="308"/>
      <c r="S28" s="365"/>
      <c r="T28" s="365"/>
      <c r="U28" s="365"/>
      <c r="V28" s="2093">
        <f>TableUK5a!Q28</f>
        <v>0</v>
      </c>
      <c r="W28" s="365"/>
      <c r="X28" s="365"/>
      <c r="Y28" s="335"/>
      <c r="Z28" s="560"/>
      <c r="AA28" s="558"/>
      <c r="AB28" s="558"/>
      <c r="AC28" s="559"/>
      <c r="AF28" s="300">
        <f t="shared" si="8"/>
        <v>1.0419435836410476</v>
      </c>
      <c r="AG28" s="300">
        <f t="shared" si="9"/>
        <v>1.0223076731725371</v>
      </c>
      <c r="AH28" s="300">
        <f t="shared" si="20"/>
        <v>1</v>
      </c>
      <c r="AI28" s="300">
        <f t="shared" si="10"/>
        <v>1.0192074372361641</v>
      </c>
      <c r="AJ28" s="300">
        <f t="shared" si="11"/>
        <v>1.0419435836410476</v>
      </c>
      <c r="AK28" s="300">
        <f t="shared" si="12"/>
        <v>1.0196822740092084</v>
      </c>
      <c r="AL28" s="300">
        <f t="shared" si="21"/>
        <v>1</v>
      </c>
      <c r="AM28" s="300">
        <f t="shared" si="13"/>
        <v>1.0218316138264438</v>
      </c>
      <c r="AN28" s="366">
        <f t="shared" si="14"/>
        <v>1</v>
      </c>
      <c r="AO28" s="300">
        <f t="shared" si="15"/>
        <v>1</v>
      </c>
      <c r="AP28" s="300">
        <f t="shared" si="16"/>
        <v>1</v>
      </c>
    </row>
    <row r="29" spans="1:42" ht="12" customHeight="1">
      <c r="A29" s="586">
        <f t="shared" si="2"/>
        <v>1874</v>
      </c>
      <c r="B29" s="1160">
        <f>TableUK1!D29</f>
        <v>100.91339107142856</v>
      </c>
      <c r="C29" s="959">
        <f t="shared" si="0"/>
        <v>678.33094743889308</v>
      </c>
      <c r="D29" s="391">
        <f t="shared" si="3"/>
        <v>1.6520764117143649E-2</v>
      </c>
      <c r="E29" s="390">
        <f t="shared" si="17"/>
        <v>3.1531399837815277E-2</v>
      </c>
      <c r="F29" s="1372">
        <f>TableUK6a!M29</f>
        <v>6.7219121291718018</v>
      </c>
      <c r="G29" s="365">
        <f>TableUK12c!B44</f>
        <v>0.15537648775439217</v>
      </c>
      <c r="H29" s="365">
        <f t="shared" si="4"/>
        <v>1.939028461435038E-2</v>
      </c>
      <c r="I29" s="365">
        <f t="shared" si="5"/>
        <v>0</v>
      </c>
      <c r="J29" s="391">
        <f t="shared" si="18"/>
        <v>1.19101735681717E-2</v>
      </c>
      <c r="K29" s="390">
        <f t="shared" si="6"/>
        <v>3.1531399837815277E-2</v>
      </c>
      <c r="L29" s="29">
        <f t="shared" si="1"/>
        <v>6.7219121291718018</v>
      </c>
      <c r="M29" s="1968">
        <f>TableUK12c!B45</f>
        <v>0.13868854951882337</v>
      </c>
      <c r="N29" s="1968">
        <f t="shared" si="22"/>
        <v>2.3456254623395116E-2</v>
      </c>
      <c r="O29" s="1968">
        <f t="shared" si="7"/>
        <v>0</v>
      </c>
      <c r="P29" s="1971">
        <f t="shared" si="19"/>
        <v>7.890073638165962E-3</v>
      </c>
      <c r="Q29" s="390"/>
      <c r="R29" s="308"/>
      <c r="S29" s="365"/>
      <c r="T29" s="365"/>
      <c r="U29" s="365"/>
      <c r="V29" s="2093">
        <f>TableUK5a!Q29</f>
        <v>0</v>
      </c>
      <c r="W29" s="365"/>
      <c r="X29" s="365"/>
      <c r="Y29" s="335"/>
      <c r="Z29" s="560"/>
      <c r="AA29" s="558"/>
      <c r="AB29" s="558"/>
      <c r="AC29" s="559"/>
      <c r="AF29" s="300">
        <f t="shared" si="8"/>
        <v>1.0315313998378153</v>
      </c>
      <c r="AG29" s="300">
        <f t="shared" si="9"/>
        <v>1.0193902846143503</v>
      </c>
      <c r="AH29" s="300">
        <f t="shared" si="20"/>
        <v>1</v>
      </c>
      <c r="AI29" s="300">
        <f t="shared" si="10"/>
        <v>1.0119101735681717</v>
      </c>
      <c r="AJ29" s="300">
        <f t="shared" si="11"/>
        <v>1.0315313998378153</v>
      </c>
      <c r="AK29" s="300">
        <f t="shared" si="12"/>
        <v>1.0234562546233952</v>
      </c>
      <c r="AL29" s="300">
        <f t="shared" si="21"/>
        <v>1</v>
      </c>
      <c r="AM29" s="300">
        <f t="shared" si="13"/>
        <v>1.007890073638166</v>
      </c>
      <c r="AN29" s="366">
        <f t="shared" si="14"/>
        <v>1</v>
      </c>
      <c r="AO29" s="300">
        <f t="shared" si="15"/>
        <v>1</v>
      </c>
      <c r="AP29" s="300">
        <f t="shared" si="16"/>
        <v>1</v>
      </c>
    </row>
    <row r="30" spans="1:42" ht="12" customHeight="1">
      <c r="A30" s="586">
        <f t="shared" si="2"/>
        <v>1875</v>
      </c>
      <c r="B30" s="1160">
        <f>TableUK1!D30</f>
        <v>101.91382162900875</v>
      </c>
      <c r="C30" s="959">
        <f t="shared" si="0"/>
        <v>684.89816326530615</v>
      </c>
      <c r="D30" s="391">
        <f t="shared" si="3"/>
        <v>9.9137542298233239E-3</v>
      </c>
      <c r="E30" s="390">
        <f t="shared" si="17"/>
        <v>9.6814333050971868E-3</v>
      </c>
      <c r="F30" s="1372">
        <f>TableUK6a!M30</f>
        <v>6.7203658180781707</v>
      </c>
      <c r="G30" s="365">
        <f>TableUK12c!B45</f>
        <v>0.13868854951882337</v>
      </c>
      <c r="H30" s="365">
        <f t="shared" si="4"/>
        <v>2.3114923963389551E-2</v>
      </c>
      <c r="I30" s="365">
        <f t="shared" si="5"/>
        <v>0</v>
      </c>
      <c r="J30" s="391">
        <f t="shared" si="18"/>
        <v>-1.3129991894022197E-2</v>
      </c>
      <c r="K30" s="390">
        <f t="shared" si="6"/>
        <v>9.6814333050971868E-3</v>
      </c>
      <c r="L30" s="29">
        <f t="shared" si="1"/>
        <v>6.7203658180781707</v>
      </c>
      <c r="M30" s="1968">
        <f>TableUK12c!B46</f>
        <v>0.12458098840606444</v>
      </c>
      <c r="N30" s="1968">
        <f t="shared" si="22"/>
        <v>2.0632306232766986E-2</v>
      </c>
      <c r="O30" s="1968">
        <f t="shared" si="7"/>
        <v>0</v>
      </c>
      <c r="P30" s="1971">
        <f t="shared" si="19"/>
        <v>-1.0729498626288136E-2</v>
      </c>
      <c r="Q30" s="390"/>
      <c r="R30" s="308"/>
      <c r="S30" s="365"/>
      <c r="T30" s="365"/>
      <c r="U30" s="365"/>
      <c r="V30" s="2093">
        <f>TableUK5a!Q30</f>
        <v>0</v>
      </c>
      <c r="W30" s="365"/>
      <c r="X30" s="365"/>
      <c r="Y30" s="335"/>
      <c r="Z30" s="560"/>
      <c r="AA30" s="558"/>
      <c r="AB30" s="558"/>
      <c r="AC30" s="559"/>
      <c r="AF30" s="300">
        <f t="shared" si="8"/>
        <v>1.0096814333050972</v>
      </c>
      <c r="AG30" s="300">
        <f t="shared" si="9"/>
        <v>1.0231149239633897</v>
      </c>
      <c r="AH30" s="300">
        <f t="shared" si="20"/>
        <v>1</v>
      </c>
      <c r="AI30" s="300">
        <f t="shared" si="10"/>
        <v>0.9868700081059778</v>
      </c>
      <c r="AJ30" s="300">
        <f t="shared" si="11"/>
        <v>1.0096814333050972</v>
      </c>
      <c r="AK30" s="300">
        <f t="shared" si="12"/>
        <v>1.0206323062327669</v>
      </c>
      <c r="AL30" s="300">
        <f t="shared" si="21"/>
        <v>1</v>
      </c>
      <c r="AM30" s="300">
        <f t="shared" si="13"/>
        <v>0.98927050137371186</v>
      </c>
      <c r="AN30" s="366">
        <f t="shared" si="14"/>
        <v>1</v>
      </c>
      <c r="AO30" s="300">
        <f t="shared" si="15"/>
        <v>1</v>
      </c>
      <c r="AP30" s="300">
        <f t="shared" si="16"/>
        <v>1</v>
      </c>
    </row>
    <row r="31" spans="1:42" ht="12" customHeight="1">
      <c r="A31" s="586">
        <f t="shared" si="2"/>
        <v>1876</v>
      </c>
      <c r="B31" s="1160">
        <f>TableUK1!D31</f>
        <v>100.63848928571429</v>
      </c>
      <c r="C31" s="959">
        <f t="shared" si="0"/>
        <v>691.41128584334899</v>
      </c>
      <c r="D31" s="391">
        <f t="shared" si="3"/>
        <v>-1.25138310281111E-2</v>
      </c>
      <c r="E31" s="390">
        <f t="shared" si="17"/>
        <v>9.5096219078629751E-3</v>
      </c>
      <c r="F31" s="1372">
        <f>TableUK6a!M31</f>
        <v>6.8702470670085409</v>
      </c>
      <c r="G31" s="365">
        <f>TableUK12c!B46</f>
        <v>0.12458098840606444</v>
      </c>
      <c r="H31" s="365">
        <f t="shared" si="4"/>
        <v>2.063705358802689E-2</v>
      </c>
      <c r="I31" s="365">
        <f t="shared" si="5"/>
        <v>0</v>
      </c>
      <c r="J31" s="391">
        <f t="shared" si="18"/>
        <v>-1.0902437493373052E-2</v>
      </c>
      <c r="K31" s="390">
        <f t="shared" si="6"/>
        <v>9.5096219078629751E-3</v>
      </c>
      <c r="L31" s="29">
        <f t="shared" si="1"/>
        <v>6.8702470670085409</v>
      </c>
      <c r="M31" s="1968">
        <f>TableUK12c!B47</f>
        <v>0.10138908138219625</v>
      </c>
      <c r="N31" s="1968">
        <f t="shared" si="22"/>
        <v>1.8537828412693608E-2</v>
      </c>
      <c r="O31" s="1968">
        <f t="shared" si="7"/>
        <v>0</v>
      </c>
      <c r="P31" s="1971">
        <f t="shared" si="19"/>
        <v>-8.8638892469024011E-3</v>
      </c>
      <c r="Q31" s="390"/>
      <c r="R31" s="308"/>
      <c r="S31" s="365"/>
      <c r="T31" s="365"/>
      <c r="U31" s="365"/>
      <c r="V31" s="2093">
        <f>TableUK5a!Q31</f>
        <v>0</v>
      </c>
      <c r="W31" s="365"/>
      <c r="X31" s="365"/>
      <c r="Y31" s="335"/>
      <c r="Z31" s="560"/>
      <c r="AA31" s="558"/>
      <c r="AB31" s="558"/>
      <c r="AC31" s="559"/>
      <c r="AF31" s="300">
        <f t="shared" si="8"/>
        <v>1.009509621907863</v>
      </c>
      <c r="AG31" s="300">
        <f t="shared" si="9"/>
        <v>1.0206370535880269</v>
      </c>
      <c r="AH31" s="300">
        <f t="shared" si="20"/>
        <v>1</v>
      </c>
      <c r="AI31" s="300">
        <f t="shared" si="10"/>
        <v>0.98909756250662695</v>
      </c>
      <c r="AJ31" s="300">
        <f t="shared" si="11"/>
        <v>1.009509621907863</v>
      </c>
      <c r="AK31" s="300">
        <f t="shared" si="12"/>
        <v>1.0185378284126936</v>
      </c>
      <c r="AL31" s="300">
        <f t="shared" si="21"/>
        <v>1</v>
      </c>
      <c r="AM31" s="300">
        <f t="shared" si="13"/>
        <v>0.9911361107530976</v>
      </c>
      <c r="AN31" s="366">
        <f t="shared" si="14"/>
        <v>1</v>
      </c>
      <c r="AO31" s="300">
        <f t="shared" si="15"/>
        <v>1</v>
      </c>
      <c r="AP31" s="300">
        <f t="shared" si="16"/>
        <v>1</v>
      </c>
    </row>
    <row r="32" spans="1:42" ht="12" customHeight="1">
      <c r="A32" s="586">
        <f t="shared" si="2"/>
        <v>1877</v>
      </c>
      <c r="B32" s="1160">
        <f>TableUK1!D32</f>
        <v>100.91345405007367</v>
      </c>
      <c r="C32" s="959">
        <f t="shared" si="0"/>
        <v>696.23844323261198</v>
      </c>
      <c r="D32" s="391">
        <f t="shared" si="3"/>
        <v>2.732202821315699E-3</v>
      </c>
      <c r="E32" s="390">
        <f t="shared" si="17"/>
        <v>6.981600514916364E-3</v>
      </c>
      <c r="F32" s="1372">
        <f>TableUK6a!M32</f>
        <v>6.8993619313350987</v>
      </c>
      <c r="G32" s="365">
        <f>TableUK12c!B47</f>
        <v>0.10138908138219625</v>
      </c>
      <c r="H32" s="365">
        <f t="shared" si="4"/>
        <v>1.8133407312862445E-2</v>
      </c>
      <c r="I32" s="365">
        <f t="shared" si="5"/>
        <v>0</v>
      </c>
      <c r="J32" s="391">
        <f t="shared" si="18"/>
        <v>-1.0953188175387374E-2</v>
      </c>
      <c r="K32" s="390">
        <f t="shared" si="6"/>
        <v>6.981600514916364E-3</v>
      </c>
      <c r="L32" s="29">
        <f t="shared" si="1"/>
        <v>6.8993619313350987</v>
      </c>
      <c r="M32" s="1968">
        <f>TableUK12c!B48</f>
        <v>9.8502486080655413E-2</v>
      </c>
      <c r="N32" s="1968">
        <f t="shared" si="22"/>
        <v>1.4757705275123871E-2</v>
      </c>
      <c r="O32" s="1968">
        <f t="shared" si="7"/>
        <v>0</v>
      </c>
      <c r="P32" s="1971">
        <f t="shared" si="19"/>
        <v>-7.6630162252369072E-3</v>
      </c>
      <c r="Q32" s="390"/>
      <c r="R32" s="308"/>
      <c r="S32" s="365"/>
      <c r="T32" s="365"/>
      <c r="U32" s="365"/>
      <c r="V32" s="2093">
        <f>TableUK5a!Q32</f>
        <v>0</v>
      </c>
      <c r="W32" s="365"/>
      <c r="X32" s="365"/>
      <c r="Y32" s="335"/>
      <c r="Z32" s="560"/>
      <c r="AA32" s="558"/>
      <c r="AB32" s="558"/>
      <c r="AC32" s="559"/>
      <c r="AF32" s="300">
        <f t="shared" si="8"/>
        <v>1.0069816005149164</v>
      </c>
      <c r="AG32" s="300">
        <f t="shared" si="9"/>
        <v>1.0181334073128625</v>
      </c>
      <c r="AH32" s="300">
        <f t="shared" si="20"/>
        <v>1</v>
      </c>
      <c r="AI32" s="300">
        <f t="shared" si="10"/>
        <v>0.98904681182461263</v>
      </c>
      <c r="AJ32" s="300">
        <f t="shared" si="11"/>
        <v>1.0069816005149164</v>
      </c>
      <c r="AK32" s="300">
        <f t="shared" si="12"/>
        <v>1.0147577052751238</v>
      </c>
      <c r="AL32" s="300">
        <f t="shared" si="21"/>
        <v>1</v>
      </c>
      <c r="AM32" s="300">
        <f t="shared" si="13"/>
        <v>0.99233698377476309</v>
      </c>
      <c r="AN32" s="366">
        <f t="shared" si="14"/>
        <v>1</v>
      </c>
      <c r="AO32" s="300">
        <f t="shared" si="15"/>
        <v>1</v>
      </c>
      <c r="AP32" s="300">
        <f t="shared" si="16"/>
        <v>1</v>
      </c>
    </row>
    <row r="33" spans="1:42" ht="12" customHeight="1">
      <c r="A33" s="586">
        <f t="shared" si="2"/>
        <v>1878</v>
      </c>
      <c r="B33" s="1160">
        <f>TableUK1!D33</f>
        <v>100.1830847368421</v>
      </c>
      <c r="C33" s="959">
        <f t="shared" si="0"/>
        <v>697.5563960211249</v>
      </c>
      <c r="D33" s="391">
        <f t="shared" si="3"/>
        <v>-7.2375811541357526E-3</v>
      </c>
      <c r="E33" s="390">
        <f t="shared" si="17"/>
        <v>1.8929618169225559E-3</v>
      </c>
      <c r="F33" s="1372">
        <f>TableUK6a!M33</f>
        <v>6.9628161066655609</v>
      </c>
      <c r="G33" s="365">
        <f>TableUK12c!B48</f>
        <v>9.8502486080655413E-2</v>
      </c>
      <c r="H33" s="365">
        <f t="shared" si="4"/>
        <v>1.4695428706488572E-2</v>
      </c>
      <c r="I33" s="365">
        <f t="shared" si="5"/>
        <v>0</v>
      </c>
      <c r="J33" s="391">
        <f t="shared" si="18"/>
        <v>-1.2617053873876571E-2</v>
      </c>
      <c r="K33" s="390">
        <f t="shared" si="6"/>
        <v>1.8929618169225559E-3</v>
      </c>
      <c r="L33" s="29">
        <f t="shared" si="1"/>
        <v>6.9628161066655609</v>
      </c>
      <c r="M33" s="1968">
        <f>TableUK12c!B49</f>
        <v>8.0892346402445817E-2</v>
      </c>
      <c r="N33" s="1968">
        <f t="shared" si="22"/>
        <v>1.4277042871643371E-2</v>
      </c>
      <c r="O33" s="1968">
        <f t="shared" si="7"/>
        <v>0</v>
      </c>
      <c r="P33" s="1971">
        <f t="shared" si="19"/>
        <v>-1.2209761762583926E-2</v>
      </c>
      <c r="Q33" s="390"/>
      <c r="R33" s="308"/>
      <c r="S33" s="365"/>
      <c r="T33" s="365"/>
      <c r="U33" s="365"/>
      <c r="V33" s="2093">
        <f>TableUK5a!Q33</f>
        <v>0</v>
      </c>
      <c r="W33" s="365"/>
      <c r="X33" s="365"/>
      <c r="Y33" s="335"/>
      <c r="Z33" s="560"/>
      <c r="AA33" s="558"/>
      <c r="AB33" s="558"/>
      <c r="AC33" s="559"/>
      <c r="AF33" s="300">
        <f t="shared" si="8"/>
        <v>1.0018929618169226</v>
      </c>
      <c r="AG33" s="300">
        <f t="shared" si="9"/>
        <v>1.0146954287064887</v>
      </c>
      <c r="AH33" s="300">
        <f t="shared" si="20"/>
        <v>1</v>
      </c>
      <c r="AI33" s="300">
        <f t="shared" si="10"/>
        <v>0.98738294612612343</v>
      </c>
      <c r="AJ33" s="300">
        <f t="shared" si="11"/>
        <v>1.0018929618169226</v>
      </c>
      <c r="AK33" s="300">
        <f t="shared" si="12"/>
        <v>1.0142770428716434</v>
      </c>
      <c r="AL33" s="300">
        <f t="shared" si="21"/>
        <v>1</v>
      </c>
      <c r="AM33" s="300">
        <f t="shared" si="13"/>
        <v>0.98779023823741607</v>
      </c>
      <c r="AN33" s="366">
        <f t="shared" si="14"/>
        <v>1</v>
      </c>
      <c r="AO33" s="300">
        <f t="shared" si="15"/>
        <v>1</v>
      </c>
      <c r="AP33" s="300">
        <f t="shared" si="16"/>
        <v>1</v>
      </c>
    </row>
    <row r="34" spans="1:42" ht="12" customHeight="1">
      <c r="A34" s="1176">
        <f t="shared" si="2"/>
        <v>1879</v>
      </c>
      <c r="B34" s="1177">
        <f>TableUK1!D34</f>
        <v>102.22459538854007</v>
      </c>
      <c r="C34" s="1171">
        <f t="shared" si="0"/>
        <v>694.51045314984538</v>
      </c>
      <c r="D34" s="1172">
        <f t="shared" si="3"/>
        <v>2.0377797879358006E-2</v>
      </c>
      <c r="E34" s="1181">
        <f t="shared" si="17"/>
        <v>-4.3665901261226159E-3</v>
      </c>
      <c r="F34" s="1381">
        <f>TableUK6a!M34</f>
        <v>6.793966271131886</v>
      </c>
      <c r="G34" s="1184">
        <f>TableUK12c!B49</f>
        <v>8.0892346402445817E-2</v>
      </c>
      <c r="H34" s="1184">
        <f t="shared" si="4"/>
        <v>1.4146932013091395E-2</v>
      </c>
      <c r="I34" s="1184">
        <f t="shared" si="5"/>
        <v>0</v>
      </c>
      <c r="J34" s="1172">
        <f t="shared" si="18"/>
        <v>-1.8255266130386527E-2</v>
      </c>
      <c r="K34" s="1181">
        <f t="shared" si="6"/>
        <v>-4.3665901261226159E-3</v>
      </c>
      <c r="L34" s="1963">
        <f t="shared" si="1"/>
        <v>6.793966271131886</v>
      </c>
      <c r="M34" s="1969">
        <f>TableUK12c!B50</f>
        <v>0.11298138915155156</v>
      </c>
      <c r="N34" s="1969">
        <f t="shared" si="22"/>
        <v>1.1617762865373813E-2</v>
      </c>
      <c r="O34" s="1969">
        <f t="shared" si="7"/>
        <v>0</v>
      </c>
      <c r="P34" s="1972">
        <f t="shared" si="19"/>
        <v>-1.5800783238741456E-2</v>
      </c>
      <c r="Q34" s="1181"/>
      <c r="R34" s="550"/>
      <c r="S34" s="1184"/>
      <c r="T34" s="1184"/>
      <c r="U34" s="1184"/>
      <c r="V34" s="2092">
        <f>TableUK5a!Q34</f>
        <v>0</v>
      </c>
      <c r="W34" s="365"/>
      <c r="X34" s="365"/>
      <c r="Y34" s="335"/>
      <c r="Z34" s="560"/>
      <c r="AA34" s="558"/>
      <c r="AB34" s="558"/>
      <c r="AC34" s="559"/>
      <c r="AF34" s="300">
        <f t="shared" si="8"/>
        <v>0.99563340987387738</v>
      </c>
      <c r="AG34" s="300">
        <f t="shared" si="9"/>
        <v>1.0141469320130914</v>
      </c>
      <c r="AH34" s="300">
        <f t="shared" si="20"/>
        <v>1</v>
      </c>
      <c r="AI34" s="300">
        <f t="shared" si="10"/>
        <v>0.98174473386961347</v>
      </c>
      <c r="AJ34" s="300">
        <f t="shared" si="11"/>
        <v>0.99563340987387738</v>
      </c>
      <c r="AK34" s="300">
        <f t="shared" si="12"/>
        <v>1.0116177628653737</v>
      </c>
      <c r="AL34" s="300">
        <f t="shared" si="21"/>
        <v>1</v>
      </c>
      <c r="AM34" s="300">
        <f t="shared" si="13"/>
        <v>0.98419921676125854</v>
      </c>
      <c r="AN34" s="366">
        <f t="shared" si="14"/>
        <v>1</v>
      </c>
      <c r="AO34" s="300">
        <f t="shared" si="15"/>
        <v>1</v>
      </c>
      <c r="AP34" s="300">
        <f t="shared" si="16"/>
        <v>1</v>
      </c>
    </row>
    <row r="35" spans="1:42" ht="12" customHeight="1">
      <c r="A35" s="586">
        <f t="shared" si="2"/>
        <v>1880</v>
      </c>
      <c r="B35" s="1160">
        <f>TableUK1!D35</f>
        <v>102.9152999620061</v>
      </c>
      <c r="C35" s="959">
        <f t="shared" si="0"/>
        <v>697.11078193541516</v>
      </c>
      <c r="D35" s="391">
        <f t="shared" si="3"/>
        <v>6.7567357037783271E-3</v>
      </c>
      <c r="E35" s="390">
        <f t="shared" si="17"/>
        <v>3.7441175633519119E-3</v>
      </c>
      <c r="F35" s="1372">
        <f>TableUK6a!M35</f>
        <v>6.7736360112905656</v>
      </c>
      <c r="G35" s="365">
        <f>TableUK12c!B50</f>
        <v>0.11298138915155156</v>
      </c>
      <c r="H35" s="365">
        <f t="shared" si="4"/>
        <v>1.1906498085833007E-2</v>
      </c>
      <c r="I35" s="365">
        <f t="shared" si="5"/>
        <v>0</v>
      </c>
      <c r="J35" s="391">
        <f t="shared" si="18"/>
        <v>-8.0663386764699974E-3</v>
      </c>
      <c r="K35" s="390">
        <f t="shared" si="6"/>
        <v>3.7441175633519119E-3</v>
      </c>
      <c r="L35" s="29">
        <f t="shared" si="1"/>
        <v>6.7736360112905656</v>
      </c>
      <c r="M35" s="1968">
        <f>TableUK12c!B51</f>
        <v>0.10917969949213638</v>
      </c>
      <c r="N35" s="1968">
        <f t="shared" si="22"/>
        <v>1.6629665889219769E-2</v>
      </c>
      <c r="O35" s="1968">
        <f t="shared" si="7"/>
        <v>0</v>
      </c>
      <c r="P35" s="1971">
        <f t="shared" si="19"/>
        <v>-1.2674771116970351E-2</v>
      </c>
      <c r="Q35" s="390"/>
      <c r="R35" s="308"/>
      <c r="S35" s="365"/>
      <c r="T35" s="365"/>
      <c r="U35" s="365"/>
      <c r="V35" s="2093">
        <f>TableUK5a!Q35</f>
        <v>0</v>
      </c>
      <c r="W35" s="365"/>
      <c r="X35" s="365"/>
      <c r="Y35" s="335"/>
      <c r="Z35" s="560"/>
      <c r="AA35" s="558"/>
      <c r="AB35" s="558"/>
      <c r="AC35" s="559"/>
      <c r="AF35" s="300">
        <f t="shared" si="8"/>
        <v>1.0037441175633519</v>
      </c>
      <c r="AG35" s="300">
        <f t="shared" si="9"/>
        <v>1.011906498085833</v>
      </c>
      <c r="AH35" s="300">
        <f t="shared" si="20"/>
        <v>1</v>
      </c>
      <c r="AI35" s="300">
        <f t="shared" si="10"/>
        <v>0.99193366132353</v>
      </c>
      <c r="AJ35" s="300">
        <f t="shared" si="11"/>
        <v>1.0037441175633519</v>
      </c>
      <c r="AK35" s="300">
        <f t="shared" si="12"/>
        <v>1.0166296658892198</v>
      </c>
      <c r="AL35" s="300">
        <f t="shared" si="21"/>
        <v>1</v>
      </c>
      <c r="AM35" s="300">
        <f t="shared" si="13"/>
        <v>0.98732522888302965</v>
      </c>
      <c r="AN35" s="366">
        <f t="shared" si="14"/>
        <v>1</v>
      </c>
      <c r="AO35" s="300">
        <f t="shared" si="15"/>
        <v>1</v>
      </c>
      <c r="AP35" s="300">
        <f t="shared" si="16"/>
        <v>1</v>
      </c>
    </row>
    <row r="36" spans="1:42" ht="12" customHeight="1">
      <c r="A36" s="586">
        <f t="shared" si="2"/>
        <v>1881</v>
      </c>
      <c r="B36" s="1160">
        <f>TableUK1!D36</f>
        <v>107.82147259984637</v>
      </c>
      <c r="C36" s="959">
        <f t="shared" si="0"/>
        <v>700.02374621640831</v>
      </c>
      <c r="D36" s="391">
        <f t="shared" si="3"/>
        <v>4.7671946150392719E-2</v>
      </c>
      <c r="E36" s="390">
        <f t="shared" si="17"/>
        <v>4.1786246267858651E-3</v>
      </c>
      <c r="F36" s="1372">
        <f>TableUK6a!M36</f>
        <v>6.4924335509159583</v>
      </c>
      <c r="G36" s="365">
        <f>TableUK12c!B51</f>
        <v>0.10917969949213638</v>
      </c>
      <c r="H36" s="365">
        <f t="shared" si="4"/>
        <v>1.6679577846112442E-2</v>
      </c>
      <c r="I36" s="365">
        <f t="shared" si="5"/>
        <v>0</v>
      </c>
      <c r="J36" s="391">
        <f t="shared" si="18"/>
        <v>-1.2295863408420593E-2</v>
      </c>
      <c r="K36" s="390">
        <f t="shared" si="6"/>
        <v>4.1786246267858651E-3</v>
      </c>
      <c r="L36" s="29">
        <f t="shared" si="1"/>
        <v>6.4924335509159583</v>
      </c>
      <c r="M36" s="1968">
        <f>TableUK12c!B52</f>
        <v>0.11101241074464463</v>
      </c>
      <c r="N36" s="1968">
        <f t="shared" si="22"/>
        <v>1.6118329846798871E-2</v>
      </c>
      <c r="O36" s="1968">
        <f t="shared" si="7"/>
        <v>0</v>
      </c>
      <c r="P36" s="1971">
        <f t="shared" si="19"/>
        <v>-1.1750309850047769E-2</v>
      </c>
      <c r="Q36" s="390"/>
      <c r="R36" s="308"/>
      <c r="S36" s="365"/>
      <c r="T36" s="365"/>
      <c r="U36" s="365"/>
      <c r="V36" s="2093">
        <f>TableUK5a!Q36</f>
        <v>0</v>
      </c>
      <c r="W36" s="365"/>
      <c r="X36" s="365"/>
      <c r="Y36" s="335"/>
      <c r="Z36" s="560"/>
      <c r="AA36" s="558"/>
      <c r="AB36" s="558"/>
      <c r="AC36" s="559"/>
      <c r="AF36" s="300">
        <f t="shared" si="8"/>
        <v>1.0041786246267859</v>
      </c>
      <c r="AG36" s="300">
        <f t="shared" si="9"/>
        <v>1.0166795778461124</v>
      </c>
      <c r="AH36" s="300">
        <f t="shared" si="20"/>
        <v>1</v>
      </c>
      <c r="AI36" s="300">
        <f t="shared" si="10"/>
        <v>0.98770413659157941</v>
      </c>
      <c r="AJ36" s="300">
        <f t="shared" si="11"/>
        <v>1.0041786246267859</v>
      </c>
      <c r="AK36" s="300">
        <f t="shared" si="12"/>
        <v>1.0161183298467988</v>
      </c>
      <c r="AL36" s="300">
        <f t="shared" si="21"/>
        <v>1</v>
      </c>
      <c r="AM36" s="300">
        <f t="shared" si="13"/>
        <v>0.98824969014995223</v>
      </c>
      <c r="AN36" s="366">
        <f t="shared" si="14"/>
        <v>1</v>
      </c>
      <c r="AO36" s="300">
        <f t="shared" si="15"/>
        <v>1</v>
      </c>
      <c r="AP36" s="300">
        <f t="shared" si="16"/>
        <v>1</v>
      </c>
    </row>
    <row r="37" spans="1:42" ht="12" customHeight="1">
      <c r="A37" s="586">
        <f t="shared" si="2"/>
        <v>1882</v>
      </c>
      <c r="B37" s="1160">
        <f>TableUK1!D37</f>
        <v>110.46983499240125</v>
      </c>
      <c r="C37" s="959">
        <f t="shared" si="0"/>
        <v>702.5157954191958</v>
      </c>
      <c r="D37" s="391">
        <f t="shared" si="3"/>
        <v>2.4562476552176582E-2</v>
      </c>
      <c r="E37" s="390">
        <f t="shared" si="17"/>
        <v>3.5599495249365454E-3</v>
      </c>
      <c r="F37" s="1372">
        <f>TableUK6a!M37</f>
        <v>6.3593450236213247</v>
      </c>
      <c r="G37" s="365">
        <f>TableUK12c!B52</f>
        <v>0.11101241074464463</v>
      </c>
      <c r="H37" s="365">
        <f t="shared" si="4"/>
        <v>1.681645235733421E-2</v>
      </c>
      <c r="I37" s="365">
        <f t="shared" si="5"/>
        <v>0</v>
      </c>
      <c r="J37" s="391">
        <f t="shared" si="18"/>
        <v>-1.3037262331529464E-2</v>
      </c>
      <c r="K37" s="390">
        <f t="shared" si="6"/>
        <v>3.5599495249365454E-3</v>
      </c>
      <c r="L37" s="29">
        <f t="shared" si="1"/>
        <v>6.3593450236213247</v>
      </c>
      <c r="M37" s="1968">
        <f>TableUK12c!B53</f>
        <v>0.11565987472100218</v>
      </c>
      <c r="N37" s="1968">
        <f t="shared" si="22"/>
        <v>1.7098736532926533E-2</v>
      </c>
      <c r="O37" s="1968">
        <f t="shared" si="7"/>
        <v>0</v>
      </c>
      <c r="P37" s="1971">
        <f t="shared" si="19"/>
        <v>-1.331118260370745E-2</v>
      </c>
      <c r="Q37" s="390"/>
      <c r="R37" s="308"/>
      <c r="S37" s="365"/>
      <c r="T37" s="365"/>
      <c r="U37" s="365"/>
      <c r="V37" s="2093">
        <f>TableUK5a!Q37</f>
        <v>0</v>
      </c>
      <c r="W37" s="365"/>
      <c r="X37" s="365"/>
      <c r="Y37" s="335"/>
      <c r="Z37" s="560"/>
      <c r="AA37" s="558"/>
      <c r="AB37" s="558"/>
      <c r="AC37" s="559"/>
      <c r="AF37" s="300">
        <f t="shared" si="8"/>
        <v>1.0035599495249365</v>
      </c>
      <c r="AG37" s="300">
        <f t="shared" si="9"/>
        <v>1.0168164523573342</v>
      </c>
      <c r="AH37" s="300">
        <f t="shared" si="20"/>
        <v>1</v>
      </c>
      <c r="AI37" s="300">
        <f t="shared" si="10"/>
        <v>0.98696273766847054</v>
      </c>
      <c r="AJ37" s="300">
        <f t="shared" si="11"/>
        <v>1.0035599495249365</v>
      </c>
      <c r="AK37" s="300">
        <f t="shared" si="12"/>
        <v>1.0170987365329265</v>
      </c>
      <c r="AL37" s="300">
        <f t="shared" si="21"/>
        <v>1</v>
      </c>
      <c r="AM37" s="300">
        <f t="shared" si="13"/>
        <v>0.98668881739629255</v>
      </c>
      <c r="AN37" s="366">
        <f t="shared" si="14"/>
        <v>1</v>
      </c>
      <c r="AO37" s="300">
        <f t="shared" si="15"/>
        <v>1</v>
      </c>
      <c r="AP37" s="300">
        <f t="shared" si="16"/>
        <v>1</v>
      </c>
    </row>
    <row r="38" spans="1:42" ht="12" customHeight="1">
      <c r="A38" s="586">
        <f t="shared" si="2"/>
        <v>1883</v>
      </c>
      <c r="B38" s="1160">
        <f>TableUK1!D38</f>
        <v>110.33920510752687</v>
      </c>
      <c r="C38" s="959">
        <f t="shared" si="0"/>
        <v>706.96868301154814</v>
      </c>
      <c r="D38" s="391">
        <f t="shared" si="3"/>
        <v>-1.1824937086524212E-3</v>
      </c>
      <c r="E38" s="390">
        <f t="shared" si="17"/>
        <v>6.3384875064558255E-3</v>
      </c>
      <c r="F38" s="1372">
        <f>TableUK6a!M38</f>
        <v>6.4072301619591947</v>
      </c>
      <c r="G38" s="365">
        <f>TableUK12c!B53</f>
        <v>0.11565987472100218</v>
      </c>
      <c r="H38" s="365">
        <f t="shared" si="4"/>
        <v>1.7456579306877846E-2</v>
      </c>
      <c r="I38" s="365">
        <f t="shared" si="5"/>
        <v>0</v>
      </c>
      <c r="J38" s="391">
        <f t="shared" si="18"/>
        <v>-1.0927337860448194E-2</v>
      </c>
      <c r="K38" s="390">
        <f t="shared" si="6"/>
        <v>6.3384875064558255E-3</v>
      </c>
      <c r="L38" s="29">
        <f t="shared" si="1"/>
        <v>6.4072301619591947</v>
      </c>
      <c r="M38" s="1968">
        <f>TableUK12c!B54</f>
        <v>0.10376722381278519</v>
      </c>
      <c r="N38" s="1968">
        <f t="shared" si="22"/>
        <v>1.818738789787187E-2</v>
      </c>
      <c r="O38" s="1968">
        <f t="shared" si="7"/>
        <v>0</v>
      </c>
      <c r="P38" s="1971">
        <f t="shared" si="19"/>
        <v>-1.163724922568421E-2</v>
      </c>
      <c r="Q38" s="390"/>
      <c r="R38" s="308"/>
      <c r="S38" s="365"/>
      <c r="T38" s="365"/>
      <c r="U38" s="365"/>
      <c r="V38" s="2093">
        <f>TableUK5a!Q38</f>
        <v>0</v>
      </c>
      <c r="W38" s="365"/>
      <c r="X38" s="365"/>
      <c r="Y38" s="335"/>
      <c r="Z38" s="560"/>
      <c r="AA38" s="558"/>
      <c r="AB38" s="558"/>
      <c r="AC38" s="559"/>
      <c r="AF38" s="300">
        <f t="shared" si="8"/>
        <v>1.0063384875064558</v>
      </c>
      <c r="AG38" s="300">
        <f t="shared" si="9"/>
        <v>1.0174565793068779</v>
      </c>
      <c r="AH38" s="300">
        <f t="shared" si="20"/>
        <v>1</v>
      </c>
      <c r="AI38" s="300">
        <f t="shared" si="10"/>
        <v>0.98907266213955181</v>
      </c>
      <c r="AJ38" s="300">
        <f t="shared" si="11"/>
        <v>1.0063384875064558</v>
      </c>
      <c r="AK38" s="300">
        <f t="shared" si="12"/>
        <v>1.0181873878978718</v>
      </c>
      <c r="AL38" s="300">
        <f t="shared" si="21"/>
        <v>1</v>
      </c>
      <c r="AM38" s="300">
        <f t="shared" si="13"/>
        <v>0.98836275077431579</v>
      </c>
      <c r="AN38" s="366">
        <f t="shared" si="14"/>
        <v>1</v>
      </c>
      <c r="AO38" s="300">
        <f t="shared" si="15"/>
        <v>1</v>
      </c>
      <c r="AP38" s="300">
        <f t="shared" si="16"/>
        <v>1</v>
      </c>
    </row>
    <row r="39" spans="1:42" ht="12" customHeight="1">
      <c r="A39" s="586">
        <f t="shared" si="2"/>
        <v>1884</v>
      </c>
      <c r="B39" s="1160">
        <f>TableUK1!D39</f>
        <v>110.04717912087912</v>
      </c>
      <c r="C39" s="959">
        <f t="shared" si="0"/>
        <v>712.0955583119603</v>
      </c>
      <c r="D39" s="391">
        <f t="shared" si="3"/>
        <v>-2.6466203591294368E-3</v>
      </c>
      <c r="E39" s="390">
        <f t="shared" si="17"/>
        <v>7.2519128832873037E-3</v>
      </c>
      <c r="F39" s="1372">
        <f>TableUK6a!M39</f>
        <v>6.4708206425697945</v>
      </c>
      <c r="G39" s="365">
        <f>TableUK12c!B54</f>
        <v>0.10376722381278519</v>
      </c>
      <c r="H39" s="365">
        <f t="shared" si="4"/>
        <v>1.8051462456849819E-2</v>
      </c>
      <c r="I39" s="365">
        <f t="shared" si="5"/>
        <v>0</v>
      </c>
      <c r="J39" s="391">
        <f t="shared" si="18"/>
        <v>-1.0608058601968895E-2</v>
      </c>
      <c r="K39" s="390">
        <f t="shared" si="6"/>
        <v>7.2519128832873037E-3</v>
      </c>
      <c r="L39" s="29">
        <f t="shared" si="1"/>
        <v>6.4708206425697945</v>
      </c>
      <c r="M39" s="1968">
        <f>TableUK12c!B55</f>
        <v>8.6459496747914019E-2</v>
      </c>
      <c r="N39" s="1968">
        <f t="shared" si="22"/>
        <v>1.6195332646057995E-2</v>
      </c>
      <c r="O39" s="1968">
        <f t="shared" si="7"/>
        <v>0</v>
      </c>
      <c r="P39" s="1971">
        <f t="shared" si="19"/>
        <v>-8.8008864786685015E-3</v>
      </c>
      <c r="Q39" s="390"/>
      <c r="R39" s="308"/>
      <c r="S39" s="365"/>
      <c r="T39" s="365"/>
      <c r="U39" s="365"/>
      <c r="V39" s="2093">
        <f>TableUK5a!Q39</f>
        <v>0</v>
      </c>
      <c r="W39" s="365"/>
      <c r="X39" s="365"/>
      <c r="Y39" s="335"/>
      <c r="Z39" s="560"/>
      <c r="AA39" s="558"/>
      <c r="AB39" s="558"/>
      <c r="AC39" s="559"/>
      <c r="AF39" s="300">
        <f t="shared" si="8"/>
        <v>1.0072519128832873</v>
      </c>
      <c r="AG39" s="300">
        <f t="shared" si="9"/>
        <v>1.0180514624568497</v>
      </c>
      <c r="AH39" s="300">
        <f t="shared" si="20"/>
        <v>1</v>
      </c>
      <c r="AI39" s="300">
        <f t="shared" si="10"/>
        <v>0.98939194139803111</v>
      </c>
      <c r="AJ39" s="300">
        <f t="shared" si="11"/>
        <v>1.0072519128832873</v>
      </c>
      <c r="AK39" s="300">
        <f t="shared" si="12"/>
        <v>1.016195332646058</v>
      </c>
      <c r="AL39" s="300">
        <f t="shared" si="21"/>
        <v>1</v>
      </c>
      <c r="AM39" s="300">
        <f t="shared" si="13"/>
        <v>0.9911991135213315</v>
      </c>
      <c r="AN39" s="366">
        <f t="shared" si="14"/>
        <v>1</v>
      </c>
      <c r="AO39" s="300">
        <f t="shared" si="15"/>
        <v>1</v>
      </c>
      <c r="AP39" s="300">
        <f t="shared" si="16"/>
        <v>1</v>
      </c>
    </row>
    <row r="40" spans="1:42" ht="12" customHeight="1">
      <c r="A40" s="1385">
        <f t="shared" si="2"/>
        <v>1885</v>
      </c>
      <c r="B40" s="1160">
        <f>TableUK1!D40</f>
        <v>112.1667316964286</v>
      </c>
      <c r="C40" s="959">
        <f t="shared" si="0"/>
        <v>716.4936126731053</v>
      </c>
      <c r="D40" s="391">
        <f t="shared" si="3"/>
        <v>1.9260398971438386E-2</v>
      </c>
      <c r="E40" s="390">
        <f t="shared" si="17"/>
        <v>6.1762137255436667E-3</v>
      </c>
      <c r="F40" s="1372">
        <f>TableUK6a!M40</f>
        <v>6.3877551020408179</v>
      </c>
      <c r="G40" s="532">
        <f>TableUK12c!B55</f>
        <v>8.6459496747914019E-2</v>
      </c>
      <c r="H40" s="365">
        <f t="shared" si="4"/>
        <v>1.6036176791878364E-2</v>
      </c>
      <c r="I40" s="365">
        <f t="shared" si="5"/>
        <v>0</v>
      </c>
      <c r="J40" s="391">
        <f t="shared" si="18"/>
        <v>-9.7043425141292161E-3</v>
      </c>
      <c r="K40" s="390">
        <f t="shared" si="6"/>
        <v>6.1762137255436667E-3</v>
      </c>
      <c r="L40" s="29">
        <f t="shared" si="1"/>
        <v>6.3877551020408179</v>
      </c>
      <c r="M40" s="1968">
        <f>TableUK12c!B56</f>
        <v>9.2229395875881123E-2</v>
      </c>
      <c r="N40" s="1968">
        <f t="shared" si="22"/>
        <v>1.3361442315232811E-2</v>
      </c>
      <c r="O40" s="1968">
        <f t="shared" si="7"/>
        <v>0</v>
      </c>
      <c r="P40" s="1971">
        <f t="shared" si="19"/>
        <v>-7.0904894242601602E-3</v>
      </c>
      <c r="Q40" s="390"/>
      <c r="R40" s="308"/>
      <c r="S40" s="365"/>
      <c r="T40" s="365"/>
      <c r="U40" s="365"/>
      <c r="V40" s="2093">
        <f>TableUK5a!Q40</f>
        <v>0</v>
      </c>
      <c r="W40" s="365"/>
      <c r="X40" s="365"/>
      <c r="Y40" s="335"/>
      <c r="Z40" s="560"/>
      <c r="AA40" s="558"/>
      <c r="AB40" s="558"/>
      <c r="AC40" s="559"/>
      <c r="AF40" s="300">
        <f t="shared" si="8"/>
        <v>1.0061762137255437</v>
      </c>
      <c r="AG40" s="300">
        <f t="shared" si="9"/>
        <v>1.0160361767918784</v>
      </c>
      <c r="AH40" s="300">
        <f t="shared" si="20"/>
        <v>1</v>
      </c>
      <c r="AI40" s="300">
        <f t="shared" si="10"/>
        <v>0.99029565748587078</v>
      </c>
      <c r="AJ40" s="300">
        <f t="shared" si="11"/>
        <v>1.0061762137255437</v>
      </c>
      <c r="AK40" s="300">
        <f t="shared" si="12"/>
        <v>1.0133614423152328</v>
      </c>
      <c r="AL40" s="300">
        <f t="shared" si="21"/>
        <v>1</v>
      </c>
      <c r="AM40" s="300">
        <f t="shared" si="13"/>
        <v>0.99290951057573984</v>
      </c>
      <c r="AN40" s="366">
        <f t="shared" si="14"/>
        <v>1</v>
      </c>
      <c r="AO40" s="300">
        <f t="shared" si="15"/>
        <v>1</v>
      </c>
      <c r="AP40" s="300">
        <f t="shared" si="16"/>
        <v>1</v>
      </c>
    </row>
    <row r="41" spans="1:42" ht="12" customHeight="1">
      <c r="A41" s="586">
        <f t="shared" si="2"/>
        <v>1886</v>
      </c>
      <c r="B41" s="1160">
        <f>TableUK1!D41</f>
        <v>115.75190835385879</v>
      </c>
      <c r="C41" s="959">
        <f t="shared" si="0"/>
        <v>735.20533354891734</v>
      </c>
      <c r="D41" s="391">
        <f t="shared" si="3"/>
        <v>3.1962923437345303E-2</v>
      </c>
      <c r="E41" s="390">
        <f t="shared" si="17"/>
        <v>2.6115684138483752E-2</v>
      </c>
      <c r="F41" s="1372">
        <f>TableUK6a!M41</f>
        <v>6.3515612312961744</v>
      </c>
      <c r="G41" s="365">
        <f>TableUK12c!B56</f>
        <v>9.2229395875881123E-2</v>
      </c>
      <c r="H41" s="365">
        <f t="shared" si="4"/>
        <v>1.3535192781622319E-2</v>
      </c>
      <c r="I41" s="365">
        <f t="shared" si="5"/>
        <v>0</v>
      </c>
      <c r="J41" s="391">
        <f t="shared" si="18"/>
        <v>1.2412485966406983E-2</v>
      </c>
      <c r="K41" s="390">
        <f t="shared" si="6"/>
        <v>2.6115684138483752E-2</v>
      </c>
      <c r="L41" s="29">
        <f t="shared" si="1"/>
        <v>6.3515612312961744</v>
      </c>
      <c r="M41" s="1968">
        <f>TableUK12c!B57</f>
        <v>0.11239203905369877</v>
      </c>
      <c r="N41" s="1968">
        <f t="shared" si="22"/>
        <v>1.4438467724978192E-2</v>
      </c>
      <c r="O41" s="1968">
        <f t="shared" si="7"/>
        <v>0</v>
      </c>
      <c r="P41" s="1971">
        <f t="shared" si="19"/>
        <v>1.1511014995018165E-2</v>
      </c>
      <c r="Q41" s="390"/>
      <c r="R41" s="308"/>
      <c r="S41" s="365"/>
      <c r="T41" s="365"/>
      <c r="U41" s="365"/>
      <c r="V41" s="2093">
        <f>TableUK5a!Q41</f>
        <v>0</v>
      </c>
      <c r="W41" s="365"/>
      <c r="X41" s="365"/>
      <c r="Y41" s="335"/>
      <c r="Z41" s="560"/>
      <c r="AA41" s="558"/>
      <c r="AB41" s="558"/>
      <c r="AC41" s="559"/>
      <c r="AF41" s="300">
        <f t="shared" si="8"/>
        <v>1.0261156841384838</v>
      </c>
      <c r="AG41" s="300">
        <f t="shared" si="9"/>
        <v>1.0135351927816223</v>
      </c>
      <c r="AH41" s="300">
        <f t="shared" si="20"/>
        <v>1</v>
      </c>
      <c r="AI41" s="300">
        <f t="shared" si="10"/>
        <v>1.012412485966407</v>
      </c>
      <c r="AJ41" s="300">
        <f t="shared" si="11"/>
        <v>1.0261156841384838</v>
      </c>
      <c r="AK41" s="300">
        <f t="shared" si="12"/>
        <v>1.0144384677249783</v>
      </c>
      <c r="AL41" s="300">
        <f t="shared" si="21"/>
        <v>1</v>
      </c>
      <c r="AM41" s="300">
        <f t="shared" si="13"/>
        <v>1.0115110149950182</v>
      </c>
      <c r="AN41" s="366">
        <f t="shared" si="14"/>
        <v>1</v>
      </c>
      <c r="AO41" s="300">
        <f t="shared" si="15"/>
        <v>1</v>
      </c>
      <c r="AP41" s="300">
        <f t="shared" si="16"/>
        <v>1</v>
      </c>
    </row>
    <row r="42" spans="1:42" ht="12" customHeight="1">
      <c r="A42" s="586">
        <f t="shared" si="2"/>
        <v>1887</v>
      </c>
      <c r="B42" s="1160">
        <f>TableUK1!D42</f>
        <v>121.65313253737541</v>
      </c>
      <c r="C42" s="959">
        <f t="shared" ref="C42:C73" si="23">F42*B42</f>
        <v>757.4899561687082</v>
      </c>
      <c r="D42" s="391">
        <f t="shared" si="3"/>
        <v>5.0981657818342851E-2</v>
      </c>
      <c r="E42" s="390">
        <f t="shared" si="17"/>
        <v>3.031074667565381E-2</v>
      </c>
      <c r="F42" s="1372">
        <f>TableUK6a!M42</f>
        <v>6.2266374927582326</v>
      </c>
      <c r="G42" s="365">
        <f>TableUK12c!B57</f>
        <v>0.11239203905369877</v>
      </c>
      <c r="H42" s="365">
        <f t="shared" si="4"/>
        <v>1.4520744194582803E-2</v>
      </c>
      <c r="I42" s="365">
        <f t="shared" si="5"/>
        <v>0</v>
      </c>
      <c r="J42" s="391">
        <f t="shared" si="18"/>
        <v>1.5564001595262278E-2</v>
      </c>
      <c r="K42" s="390">
        <f t="shared" si="6"/>
        <v>3.031074667565381E-2</v>
      </c>
      <c r="L42" s="29">
        <f t="shared" ref="L42:L73" si="24">F42</f>
        <v>6.2266374927582326</v>
      </c>
      <c r="M42" s="1968">
        <f>TableUK12c!B58</f>
        <v>0.11088237105149723</v>
      </c>
      <c r="N42" s="1968">
        <f t="shared" si="22"/>
        <v>1.7695183114965062E-2</v>
      </c>
      <c r="O42" s="1968">
        <f t="shared" si="7"/>
        <v>0</v>
      </c>
      <c r="P42" s="1971">
        <f t="shared" si="19"/>
        <v>1.2396210348638137E-2</v>
      </c>
      <c r="Q42" s="390"/>
      <c r="R42" s="308"/>
      <c r="S42" s="365"/>
      <c r="T42" s="365"/>
      <c r="U42" s="365"/>
      <c r="V42" s="2093">
        <f>TableUK5a!Q42</f>
        <v>0</v>
      </c>
      <c r="W42" s="365"/>
      <c r="X42" s="365"/>
      <c r="Y42" s="335"/>
      <c r="Z42" s="560"/>
      <c r="AA42" s="558"/>
      <c r="AB42" s="558"/>
      <c r="AC42" s="559"/>
      <c r="AF42" s="300">
        <f t="shared" si="8"/>
        <v>1.0303107466756538</v>
      </c>
      <c r="AG42" s="300">
        <f t="shared" si="9"/>
        <v>1.0145207441945827</v>
      </c>
      <c r="AH42" s="300">
        <f t="shared" si="20"/>
        <v>1</v>
      </c>
      <c r="AI42" s="300">
        <f t="shared" si="10"/>
        <v>1.0155640015952623</v>
      </c>
      <c r="AJ42" s="300">
        <f t="shared" si="11"/>
        <v>1.0303107466756538</v>
      </c>
      <c r="AK42" s="300">
        <f t="shared" si="12"/>
        <v>1.017695183114965</v>
      </c>
      <c r="AL42" s="300">
        <f t="shared" si="21"/>
        <v>1</v>
      </c>
      <c r="AM42" s="300">
        <f t="shared" si="13"/>
        <v>1.0123962103486381</v>
      </c>
      <c r="AN42" s="366">
        <f t="shared" ref="AN42:AN73" si="25">1+Q42</f>
        <v>1</v>
      </c>
      <c r="AO42" s="300">
        <f t="shared" ref="AO42:AO73" si="26">1+T42</f>
        <v>1</v>
      </c>
      <c r="AP42" s="300">
        <f t="shared" ref="AP42:AP73" si="27">1+U42</f>
        <v>1</v>
      </c>
    </row>
    <row r="43" spans="1:42" ht="12" customHeight="1">
      <c r="A43" s="586">
        <f t="shared" si="2"/>
        <v>1888</v>
      </c>
      <c r="B43" s="1160">
        <f>TableUK1!D43</f>
        <v>127.97917465106734</v>
      </c>
      <c r="C43" s="959">
        <f t="shared" si="23"/>
        <v>793.67393312598267</v>
      </c>
      <c r="D43" s="391">
        <f t="shared" ref="D43:D74" si="28">B43/B42-1</f>
        <v>5.2000651210098336E-2</v>
      </c>
      <c r="E43" s="390">
        <f t="shared" si="17"/>
        <v>4.776825971434473E-2</v>
      </c>
      <c r="F43" s="1372">
        <f>TableUK6a!M43</f>
        <v>6.2015865885205059</v>
      </c>
      <c r="G43" s="365">
        <f>TableUK12c!B58</f>
        <v>0.11088237105149723</v>
      </c>
      <c r="H43" s="365">
        <f t="shared" ref="H43:H74" si="29">G42/F42</f>
        <v>1.8050197909291188E-2</v>
      </c>
      <c r="I43" s="365">
        <f t="shared" si="5"/>
        <v>0</v>
      </c>
      <c r="J43" s="391">
        <f t="shared" si="18"/>
        <v>2.91911556680442E-2</v>
      </c>
      <c r="K43" s="390">
        <f t="shared" ref="K43:K74" si="30">(1+D43)*(L43/L42)-1</f>
        <v>4.776825971434473E-2</v>
      </c>
      <c r="L43" s="29">
        <f t="shared" si="24"/>
        <v>6.2015865885205059</v>
      </c>
      <c r="M43" s="1968">
        <f>TableUK12c!B59</f>
        <v>0.11204415588026746</v>
      </c>
      <c r="N43" s="1968">
        <f t="shared" si="22"/>
        <v>1.7807744738706367E-2</v>
      </c>
      <c r="O43" s="1968">
        <f t="shared" si="7"/>
        <v>0</v>
      </c>
      <c r="P43" s="1971">
        <f t="shared" si="19"/>
        <v>2.9436320494230284E-2</v>
      </c>
      <c r="Q43" s="390"/>
      <c r="R43" s="308"/>
      <c r="S43" s="365"/>
      <c r="T43" s="365"/>
      <c r="U43" s="365"/>
      <c r="V43" s="2093">
        <f>TableUK5a!Q43</f>
        <v>0</v>
      </c>
      <c r="W43" s="365"/>
      <c r="X43" s="365"/>
      <c r="Y43" s="335"/>
      <c r="Z43" s="560"/>
      <c r="AA43" s="558"/>
      <c r="AB43" s="558"/>
      <c r="AC43" s="559"/>
      <c r="AF43" s="300">
        <f t="shared" ref="AF43:AF74" si="31">1+E43</f>
        <v>1.0477682597143447</v>
      </c>
      <c r="AG43" s="300">
        <f t="shared" ref="AG43:AG74" si="32">1+H43</f>
        <v>1.0180501979092913</v>
      </c>
      <c r="AH43" s="300">
        <f t="shared" si="20"/>
        <v>1</v>
      </c>
      <c r="AI43" s="300">
        <f t="shared" ref="AI43:AI74" si="33">1+J43</f>
        <v>1.0291911556680442</v>
      </c>
      <c r="AJ43" s="300">
        <f t="shared" ref="AJ43:AJ74" si="34">1+K43</f>
        <v>1.0477682597143447</v>
      </c>
      <c r="AK43" s="300">
        <f t="shared" si="12"/>
        <v>1.0178077447387064</v>
      </c>
      <c r="AL43" s="300">
        <f t="shared" si="21"/>
        <v>1</v>
      </c>
      <c r="AM43" s="300">
        <f t="shared" si="13"/>
        <v>1.0294363204942303</v>
      </c>
      <c r="AN43" s="366">
        <f t="shared" si="25"/>
        <v>1</v>
      </c>
      <c r="AO43" s="300">
        <f t="shared" si="26"/>
        <v>1</v>
      </c>
      <c r="AP43" s="300">
        <f t="shared" si="27"/>
        <v>1</v>
      </c>
    </row>
    <row r="44" spans="1:42" ht="12" customHeight="1">
      <c r="A44" s="1176">
        <f t="shared" si="2"/>
        <v>1889</v>
      </c>
      <c r="B44" s="1177">
        <f>TableUK1!D44</f>
        <v>135.04591875000003</v>
      </c>
      <c r="C44" s="1171">
        <f t="shared" si="23"/>
        <v>828.9834908767366</v>
      </c>
      <c r="D44" s="1172">
        <f t="shared" si="28"/>
        <v>5.521792212053267E-2</v>
      </c>
      <c r="E44" s="1181">
        <f t="shared" si="17"/>
        <v>4.4488745663704643E-2</v>
      </c>
      <c r="F44" s="1381">
        <f>TableUK6a!M44</f>
        <v>6.1385304979957898</v>
      </c>
      <c r="G44" s="1184">
        <f>TableUK12c!B59</f>
        <v>0.11204415588026746</v>
      </c>
      <c r="H44" s="1184">
        <f t="shared" si="29"/>
        <v>1.7879677961240899E-2</v>
      </c>
      <c r="I44" s="1184">
        <f t="shared" si="5"/>
        <v>0</v>
      </c>
      <c r="J44" s="1172">
        <f t="shared" si="18"/>
        <v>2.6141663183373742E-2</v>
      </c>
      <c r="K44" s="1181">
        <f t="shared" si="30"/>
        <v>4.4488745663704643E-2</v>
      </c>
      <c r="L44" s="1963">
        <f t="shared" si="24"/>
        <v>6.1385304979957898</v>
      </c>
      <c r="M44" s="1969">
        <f>TableUK12c!B60</f>
        <v>0.11877950101146324</v>
      </c>
      <c r="N44" s="1969">
        <f t="shared" si="22"/>
        <v>1.8067014671320988E-2</v>
      </c>
      <c r="O44" s="1969">
        <f t="shared" si="7"/>
        <v>0</v>
      </c>
      <c r="P44" s="1972">
        <f t="shared" si="19"/>
        <v>2.5952840639782426E-2</v>
      </c>
      <c r="Q44" s="1181"/>
      <c r="R44" s="550"/>
      <c r="S44" s="1184"/>
      <c r="T44" s="1184"/>
      <c r="U44" s="1184"/>
      <c r="V44" s="2092">
        <f>TableUK5a!Q44</f>
        <v>0</v>
      </c>
      <c r="W44" s="365"/>
      <c r="X44" s="365"/>
      <c r="Y44" s="335"/>
      <c r="Z44" s="560"/>
      <c r="AA44" s="558"/>
      <c r="AB44" s="558"/>
      <c r="AC44" s="559"/>
      <c r="AF44" s="300">
        <f t="shared" si="31"/>
        <v>1.0444887456637046</v>
      </c>
      <c r="AG44" s="300">
        <f t="shared" si="32"/>
        <v>1.0178796779612409</v>
      </c>
      <c r="AH44" s="300">
        <f t="shared" si="20"/>
        <v>1</v>
      </c>
      <c r="AI44" s="300">
        <f t="shared" si="33"/>
        <v>1.0261416631833737</v>
      </c>
      <c r="AJ44" s="300">
        <f t="shared" si="34"/>
        <v>1.0444887456637046</v>
      </c>
      <c r="AK44" s="300">
        <f t="shared" si="12"/>
        <v>1.0180670146713209</v>
      </c>
      <c r="AL44" s="300">
        <f t="shared" si="21"/>
        <v>1</v>
      </c>
      <c r="AM44" s="300">
        <f t="shared" si="13"/>
        <v>1.0259528406397824</v>
      </c>
      <c r="AN44" s="366">
        <f t="shared" si="25"/>
        <v>1</v>
      </c>
      <c r="AO44" s="300">
        <f t="shared" si="26"/>
        <v>1</v>
      </c>
      <c r="AP44" s="300">
        <f t="shared" si="27"/>
        <v>1</v>
      </c>
    </row>
    <row r="45" spans="1:42" ht="12" customHeight="1">
      <c r="A45" s="586">
        <f t="shared" si="2"/>
        <v>1890</v>
      </c>
      <c r="B45" s="1160">
        <f>TableUK1!D45</f>
        <v>138.10343750000004</v>
      </c>
      <c r="C45" s="959">
        <f t="shared" si="23"/>
        <v>857.26012203383584</v>
      </c>
      <c r="D45" s="391">
        <f t="shared" si="28"/>
        <v>2.264058609323949E-2</v>
      </c>
      <c r="E45" s="390">
        <f t="shared" si="17"/>
        <v>3.411000516692253E-2</v>
      </c>
      <c r="F45" s="1372">
        <f>TableUK6a!M45</f>
        <v>6.2073771482613207</v>
      </c>
      <c r="G45" s="365">
        <f>TableUK12c!B60</f>
        <v>0.11877950101146324</v>
      </c>
      <c r="H45" s="365">
        <f t="shared" si="29"/>
        <v>1.8252602299011062E-2</v>
      </c>
      <c r="I45" s="365">
        <f t="shared" si="5"/>
        <v>0</v>
      </c>
      <c r="J45" s="391">
        <f t="shared" si="18"/>
        <v>1.5573152312214678E-2</v>
      </c>
      <c r="K45" s="390">
        <f t="shared" si="30"/>
        <v>3.411000516692253E-2</v>
      </c>
      <c r="L45" s="29">
        <f t="shared" si="24"/>
        <v>6.2073771482613207</v>
      </c>
      <c r="M45" s="1968">
        <f>TableUK12c!B61</f>
        <v>0.10389292349265326</v>
      </c>
      <c r="N45" s="1968">
        <f t="shared" si="22"/>
        <v>1.9349826648290557E-2</v>
      </c>
      <c r="O45" s="1968">
        <f t="shared" si="7"/>
        <v>0</v>
      </c>
      <c r="P45" s="1971">
        <f t="shared" si="19"/>
        <v>1.4479993161096383E-2</v>
      </c>
      <c r="Q45" s="390"/>
      <c r="R45" s="308"/>
      <c r="S45" s="365"/>
      <c r="T45" s="365"/>
      <c r="U45" s="365"/>
      <c r="V45" s="2093">
        <f>TableUK5a!Q45</f>
        <v>0</v>
      </c>
      <c r="W45" s="365"/>
      <c r="X45" s="365"/>
      <c r="Y45" s="335"/>
      <c r="Z45" s="560"/>
      <c r="AA45" s="558"/>
      <c r="AB45" s="558"/>
      <c r="AC45" s="559"/>
      <c r="AF45" s="300">
        <f t="shared" si="31"/>
        <v>1.0341100051669225</v>
      </c>
      <c r="AG45" s="300">
        <f t="shared" si="32"/>
        <v>1.018252602299011</v>
      </c>
      <c r="AH45" s="300">
        <f t="shared" si="20"/>
        <v>1</v>
      </c>
      <c r="AI45" s="300">
        <f t="shared" si="33"/>
        <v>1.0155731523122147</v>
      </c>
      <c r="AJ45" s="300">
        <f t="shared" si="34"/>
        <v>1.0341100051669225</v>
      </c>
      <c r="AK45" s="300">
        <f t="shared" si="12"/>
        <v>1.0193498266482905</v>
      </c>
      <c r="AL45" s="300">
        <f t="shared" si="21"/>
        <v>1</v>
      </c>
      <c r="AM45" s="300">
        <f t="shared" si="13"/>
        <v>1.0144799931610964</v>
      </c>
      <c r="AN45" s="366">
        <f t="shared" si="25"/>
        <v>1</v>
      </c>
      <c r="AO45" s="300">
        <f t="shared" si="26"/>
        <v>1</v>
      </c>
      <c r="AP45" s="300">
        <f t="shared" si="27"/>
        <v>1</v>
      </c>
    </row>
    <row r="46" spans="1:42" ht="12" customHeight="1">
      <c r="A46" s="586">
        <f t="shared" si="2"/>
        <v>1891</v>
      </c>
      <c r="B46" s="1160">
        <f>TableUK1!D46</f>
        <v>133.86103932584271</v>
      </c>
      <c r="C46" s="959">
        <f t="shared" si="23"/>
        <v>887.18455383192725</v>
      </c>
      <c r="D46" s="391">
        <f t="shared" si="28"/>
        <v>-3.0718990424531079E-2</v>
      </c>
      <c r="E46" s="390">
        <f t="shared" si="17"/>
        <v>3.4907061496219249E-2</v>
      </c>
      <c r="F46" s="1372">
        <f>TableUK6a!M46</f>
        <v>6.6276532611729895</v>
      </c>
      <c r="G46" s="365">
        <f>TableUK12c!B61</f>
        <v>0.10389292349265326</v>
      </c>
      <c r="H46" s="365">
        <f t="shared" si="29"/>
        <v>1.9135215756099701E-2</v>
      </c>
      <c r="I46" s="365">
        <f t="shared" si="5"/>
        <v>0</v>
      </c>
      <c r="J46" s="391">
        <f t="shared" si="18"/>
        <v>1.5475714602225965E-2</v>
      </c>
      <c r="K46" s="390">
        <f t="shared" si="30"/>
        <v>3.4907061496219249E-2</v>
      </c>
      <c r="L46" s="29">
        <f t="shared" si="24"/>
        <v>6.6276532611729895</v>
      </c>
      <c r="M46" s="1968">
        <f>TableUK12c!B62</f>
        <v>8.9638546454190129E-2</v>
      </c>
      <c r="N46" s="1968">
        <f t="shared" si="22"/>
        <v>1.6737008403259909E-2</v>
      </c>
      <c r="O46" s="1968">
        <f t="shared" si="7"/>
        <v>0</v>
      </c>
      <c r="P46" s="1971">
        <f t="shared" si="19"/>
        <v>1.7870946904445573E-2</v>
      </c>
      <c r="Q46" s="390"/>
      <c r="R46" s="308"/>
      <c r="S46" s="365"/>
      <c r="T46" s="365"/>
      <c r="U46" s="365"/>
      <c r="V46" s="2093">
        <f>TableUK5a!Q46</f>
        <v>0</v>
      </c>
      <c r="W46" s="365"/>
      <c r="X46" s="365"/>
      <c r="Y46" s="335"/>
      <c r="Z46" s="560"/>
      <c r="AA46" s="558"/>
      <c r="AB46" s="558"/>
      <c r="AC46" s="559"/>
      <c r="AF46" s="300">
        <f t="shared" si="31"/>
        <v>1.0349070614962192</v>
      </c>
      <c r="AG46" s="300">
        <f t="shared" si="32"/>
        <v>1.0191352157560998</v>
      </c>
      <c r="AH46" s="300">
        <f t="shared" si="20"/>
        <v>1</v>
      </c>
      <c r="AI46" s="300">
        <f t="shared" si="33"/>
        <v>1.015475714602226</v>
      </c>
      <c r="AJ46" s="300">
        <f t="shared" si="34"/>
        <v>1.0349070614962192</v>
      </c>
      <c r="AK46" s="300">
        <f t="shared" si="12"/>
        <v>1.0167370084032599</v>
      </c>
      <c r="AL46" s="300">
        <f t="shared" si="21"/>
        <v>1</v>
      </c>
      <c r="AM46" s="300">
        <f t="shared" si="13"/>
        <v>1.0178709469044456</v>
      </c>
      <c r="AN46" s="366">
        <f t="shared" si="25"/>
        <v>1</v>
      </c>
      <c r="AO46" s="300">
        <f t="shared" si="26"/>
        <v>1</v>
      </c>
      <c r="AP46" s="300">
        <f t="shared" si="27"/>
        <v>1</v>
      </c>
    </row>
    <row r="47" spans="1:42" ht="12" customHeight="1">
      <c r="A47" s="586">
        <f t="shared" si="2"/>
        <v>1892</v>
      </c>
      <c r="B47" s="1160">
        <f>TableUK1!D47</f>
        <v>131.17036516853935</v>
      </c>
      <c r="C47" s="959">
        <f t="shared" si="23"/>
        <v>914.60056520846354</v>
      </c>
      <c r="D47" s="391">
        <f t="shared" si="28"/>
        <v>-2.010050251256279E-2</v>
      </c>
      <c r="E47" s="390">
        <f t="shared" si="17"/>
        <v>3.0902264087129483E-2</v>
      </c>
      <c r="F47" s="1372">
        <f>TableUK6a!M47</f>
        <v>6.9726158346308136</v>
      </c>
      <c r="G47" s="365">
        <f>TableUK12c!B62</f>
        <v>8.9638546454190129E-2</v>
      </c>
      <c r="H47" s="365">
        <f t="shared" si="29"/>
        <v>1.5675672730390524E-2</v>
      </c>
      <c r="I47" s="365">
        <f t="shared" si="5"/>
        <v>0</v>
      </c>
      <c r="J47" s="391">
        <f t="shared" si="18"/>
        <v>1.4991588127542643E-2</v>
      </c>
      <c r="K47" s="390">
        <f t="shared" si="30"/>
        <v>3.0902264087129483E-2</v>
      </c>
      <c r="L47" s="29">
        <f t="shared" si="24"/>
        <v>6.9726158346308136</v>
      </c>
      <c r="M47" s="1968">
        <f>TableUK12c!B63</f>
        <v>8.0148048452220733E-2</v>
      </c>
      <c r="N47" s="1968">
        <f t="shared" si="22"/>
        <v>1.3524930004911803E-2</v>
      </c>
      <c r="O47" s="1968">
        <f t="shared" si="7"/>
        <v>0</v>
      </c>
      <c r="P47" s="1971">
        <f t="shared" si="19"/>
        <v>1.714544316352784E-2</v>
      </c>
      <c r="Q47" s="390"/>
      <c r="R47" s="308"/>
      <c r="S47" s="365"/>
      <c r="T47" s="365"/>
      <c r="U47" s="365"/>
      <c r="V47" s="2093">
        <f>TableUK5a!Q47</f>
        <v>0</v>
      </c>
      <c r="W47" s="365"/>
      <c r="X47" s="365"/>
      <c r="Y47" s="335"/>
      <c r="Z47" s="560"/>
      <c r="AA47" s="558"/>
      <c r="AB47" s="558"/>
      <c r="AC47" s="559"/>
      <c r="AF47" s="300">
        <f t="shared" si="31"/>
        <v>1.0309022640871295</v>
      </c>
      <c r="AG47" s="300">
        <f t="shared" si="32"/>
        <v>1.0156756727303906</v>
      </c>
      <c r="AH47" s="300">
        <f t="shared" si="20"/>
        <v>1</v>
      </c>
      <c r="AI47" s="300">
        <f t="shared" si="33"/>
        <v>1.0149915881275426</v>
      </c>
      <c r="AJ47" s="300">
        <f t="shared" si="34"/>
        <v>1.0309022640871295</v>
      </c>
      <c r="AK47" s="300">
        <f t="shared" si="12"/>
        <v>1.0135249300049118</v>
      </c>
      <c r="AL47" s="300">
        <f t="shared" si="21"/>
        <v>1</v>
      </c>
      <c r="AM47" s="300">
        <f t="shared" si="13"/>
        <v>1.0171454431635278</v>
      </c>
      <c r="AN47" s="366">
        <f t="shared" si="25"/>
        <v>1</v>
      </c>
      <c r="AO47" s="300">
        <f t="shared" si="26"/>
        <v>1</v>
      </c>
      <c r="AP47" s="300">
        <f t="shared" si="27"/>
        <v>1</v>
      </c>
    </row>
    <row r="48" spans="1:42" ht="12" customHeight="1">
      <c r="A48" s="586">
        <f t="shared" si="2"/>
        <v>1893</v>
      </c>
      <c r="B48" s="1160">
        <f>TableUK1!D48</f>
        <v>133.34125000000003</v>
      </c>
      <c r="C48" s="959">
        <f t="shared" si="23"/>
        <v>936.55277288752302</v>
      </c>
      <c r="D48" s="391">
        <f t="shared" si="28"/>
        <v>1.6550116550116512E-2</v>
      </c>
      <c r="E48" s="390">
        <f t="shared" si="17"/>
        <v>2.4001961636723523E-2</v>
      </c>
      <c r="F48" s="1372">
        <f>TableUK6a!M48</f>
        <v>7.0237287627611318</v>
      </c>
      <c r="G48" s="365">
        <f>TableUK12c!B63</f>
        <v>8.0148048452220733E-2</v>
      </c>
      <c r="H48" s="365">
        <f t="shared" si="29"/>
        <v>1.285579882502394E-2</v>
      </c>
      <c r="I48" s="365">
        <f t="shared" si="5"/>
        <v>0</v>
      </c>
      <c r="J48" s="391">
        <f t="shared" si="18"/>
        <v>1.100468874703564E-2</v>
      </c>
      <c r="K48" s="390">
        <f t="shared" si="30"/>
        <v>2.4001961636723523E-2</v>
      </c>
      <c r="L48" s="29">
        <f t="shared" si="24"/>
        <v>7.0237287627611318</v>
      </c>
      <c r="M48" s="1968">
        <f>TableUK12c!B64</f>
        <v>9.6635078030207877E-2</v>
      </c>
      <c r="N48" s="1968">
        <f t="shared" si="22"/>
        <v>1.1494688701211718E-2</v>
      </c>
      <c r="O48" s="1968">
        <f t="shared" si="7"/>
        <v>0</v>
      </c>
      <c r="P48" s="1971">
        <f t="shared" si="19"/>
        <v>1.2365139506141709E-2</v>
      </c>
      <c r="Q48" s="390"/>
      <c r="R48" s="308"/>
      <c r="S48" s="365"/>
      <c r="T48" s="365"/>
      <c r="U48" s="365"/>
      <c r="V48" s="2093">
        <f>TableUK5a!Q48</f>
        <v>0</v>
      </c>
      <c r="W48" s="365"/>
      <c r="X48" s="365"/>
      <c r="Y48" s="335"/>
      <c r="Z48" s="560"/>
      <c r="AA48" s="558"/>
      <c r="AB48" s="558"/>
      <c r="AC48" s="559"/>
      <c r="AF48" s="300">
        <f t="shared" si="31"/>
        <v>1.0240019616367235</v>
      </c>
      <c r="AG48" s="300">
        <f t="shared" si="32"/>
        <v>1.012855798825024</v>
      </c>
      <c r="AH48" s="300">
        <f t="shared" si="20"/>
        <v>1</v>
      </c>
      <c r="AI48" s="300">
        <f t="shared" si="33"/>
        <v>1.0110046887470356</v>
      </c>
      <c r="AJ48" s="300">
        <f t="shared" si="34"/>
        <v>1.0240019616367235</v>
      </c>
      <c r="AK48" s="300">
        <f t="shared" si="12"/>
        <v>1.0114946887012117</v>
      </c>
      <c r="AL48" s="300">
        <f t="shared" si="21"/>
        <v>1</v>
      </c>
      <c r="AM48" s="300">
        <f t="shared" si="13"/>
        <v>1.0123651395061417</v>
      </c>
      <c r="AN48" s="366">
        <f t="shared" si="25"/>
        <v>1</v>
      </c>
      <c r="AO48" s="300">
        <f t="shared" si="26"/>
        <v>1</v>
      </c>
      <c r="AP48" s="300">
        <f t="shared" si="27"/>
        <v>1</v>
      </c>
    </row>
    <row r="49" spans="1:42" ht="12" customHeight="1">
      <c r="A49" s="586">
        <f t="shared" si="2"/>
        <v>1894</v>
      </c>
      <c r="B49" s="1160">
        <f>TableUK1!D49</f>
        <v>143.91793103448276</v>
      </c>
      <c r="C49" s="959">
        <f t="shared" si="23"/>
        <v>955.21169514126609</v>
      </c>
      <c r="D49" s="391">
        <f t="shared" si="28"/>
        <v>7.9320398109982593E-2</v>
      </c>
      <c r="E49" s="390">
        <f t="shared" si="17"/>
        <v>1.9922980096695353E-2</v>
      </c>
      <c r="F49" s="1372">
        <f>TableUK6a!M49</f>
        <v>6.6371972434233868</v>
      </c>
      <c r="G49" s="365">
        <f>TableUK12c!B64</f>
        <v>9.6635078030207877E-2</v>
      </c>
      <c r="H49" s="365">
        <f t="shared" si="29"/>
        <v>1.1411039799423197E-2</v>
      </c>
      <c r="I49" s="365">
        <f t="shared" si="5"/>
        <v>0</v>
      </c>
      <c r="J49" s="391">
        <f t="shared" si="18"/>
        <v>8.4159060582928991E-3</v>
      </c>
      <c r="K49" s="390">
        <f t="shared" si="30"/>
        <v>1.9922980096695353E-2</v>
      </c>
      <c r="L49" s="29">
        <f t="shared" si="24"/>
        <v>6.6371972434233868</v>
      </c>
      <c r="M49" s="1968">
        <f>TableUK12c!B65</f>
        <v>9.8443491991879059E-2</v>
      </c>
      <c r="N49" s="1968">
        <f t="shared" si="22"/>
        <v>1.3758372695505285E-2</v>
      </c>
      <c r="O49" s="1968">
        <f t="shared" si="7"/>
        <v>0</v>
      </c>
      <c r="P49" s="1971">
        <f t="shared" si="19"/>
        <v>6.0809435139843604E-3</v>
      </c>
      <c r="Q49" s="390"/>
      <c r="R49" s="308"/>
      <c r="S49" s="365"/>
      <c r="T49" s="365"/>
      <c r="U49" s="365"/>
      <c r="V49" s="2093">
        <f>TableUK5a!Q49</f>
        <v>0</v>
      </c>
      <c r="W49" s="365"/>
      <c r="X49" s="365"/>
      <c r="Y49" s="335"/>
      <c r="Z49" s="560"/>
      <c r="AA49" s="558"/>
      <c r="AB49" s="558"/>
      <c r="AC49" s="559"/>
      <c r="AF49" s="300">
        <f t="shared" si="31"/>
        <v>1.0199229800966954</v>
      </c>
      <c r="AG49" s="300">
        <f t="shared" si="32"/>
        <v>1.0114110397994232</v>
      </c>
      <c r="AH49" s="300">
        <f t="shared" si="20"/>
        <v>1</v>
      </c>
      <c r="AI49" s="300">
        <f t="shared" si="33"/>
        <v>1.0084159060582929</v>
      </c>
      <c r="AJ49" s="300">
        <f t="shared" si="34"/>
        <v>1.0199229800966954</v>
      </c>
      <c r="AK49" s="300">
        <f t="shared" si="12"/>
        <v>1.0137583726955053</v>
      </c>
      <c r="AL49" s="300">
        <f t="shared" si="21"/>
        <v>1</v>
      </c>
      <c r="AM49" s="300">
        <f t="shared" si="13"/>
        <v>1.0060809435139844</v>
      </c>
      <c r="AN49" s="366">
        <f t="shared" si="25"/>
        <v>1</v>
      </c>
      <c r="AO49" s="300">
        <f t="shared" si="26"/>
        <v>1</v>
      </c>
      <c r="AP49" s="300">
        <f t="shared" si="27"/>
        <v>1</v>
      </c>
    </row>
    <row r="50" spans="1:42" ht="12" customHeight="1">
      <c r="A50" s="586">
        <f t="shared" si="2"/>
        <v>1895</v>
      </c>
      <c r="B50" s="1160">
        <f>TableUK1!D50</f>
        <v>149.37040697674416</v>
      </c>
      <c r="C50" s="959">
        <f t="shared" si="23"/>
        <v>979.15378577986314</v>
      </c>
      <c r="D50" s="391">
        <f t="shared" si="28"/>
        <v>3.7886008387342462E-2</v>
      </c>
      <c r="E50" s="390">
        <f t="shared" si="17"/>
        <v>2.5064695878808552E-2</v>
      </c>
      <c r="F50" s="1372">
        <f>TableUK6a!M50</f>
        <v>6.5552059848930444</v>
      </c>
      <c r="G50" s="365">
        <f>TableUK12c!B65</f>
        <v>9.8443491991879059E-2</v>
      </c>
      <c r="H50" s="365">
        <f t="shared" si="29"/>
        <v>1.4559621250665841E-2</v>
      </c>
      <c r="I50" s="365">
        <f t="shared" si="5"/>
        <v>0</v>
      </c>
      <c r="J50" s="391">
        <f t="shared" si="18"/>
        <v>1.0354319655648148E-2</v>
      </c>
      <c r="K50" s="390">
        <f t="shared" si="30"/>
        <v>2.5064695878808552E-2</v>
      </c>
      <c r="L50" s="29">
        <f t="shared" si="24"/>
        <v>6.5552059848930444</v>
      </c>
      <c r="M50" s="1968">
        <f>TableUK12c!B66</f>
        <v>0.10448290774704641</v>
      </c>
      <c r="N50" s="1968">
        <f t="shared" si="22"/>
        <v>1.4832087759546994E-2</v>
      </c>
      <c r="O50" s="1968">
        <f t="shared" si="7"/>
        <v>0</v>
      </c>
      <c r="P50" s="1971">
        <f t="shared" si="19"/>
        <v>1.0083055357317461E-2</v>
      </c>
      <c r="Q50" s="390"/>
      <c r="R50" s="308"/>
      <c r="S50" s="365"/>
      <c r="T50" s="365"/>
      <c r="U50" s="365"/>
      <c r="V50" s="2093">
        <f>TableUK5a!Q50</f>
        <v>0</v>
      </c>
      <c r="W50" s="365"/>
      <c r="X50" s="365"/>
      <c r="Y50" s="335"/>
      <c r="Z50" s="560"/>
      <c r="AA50" s="558"/>
      <c r="AB50" s="558"/>
      <c r="AC50" s="559"/>
      <c r="AF50" s="300">
        <f t="shared" si="31"/>
        <v>1.0250646958788086</v>
      </c>
      <c r="AG50" s="300">
        <f t="shared" si="32"/>
        <v>1.0145596212506658</v>
      </c>
      <c r="AH50" s="300">
        <f t="shared" si="20"/>
        <v>1</v>
      </c>
      <c r="AI50" s="300">
        <f t="shared" si="33"/>
        <v>1.0103543196556481</v>
      </c>
      <c r="AJ50" s="300">
        <f t="shared" si="34"/>
        <v>1.0250646958788086</v>
      </c>
      <c r="AK50" s="300">
        <f t="shared" si="12"/>
        <v>1.0148320877595469</v>
      </c>
      <c r="AL50" s="300">
        <f t="shared" si="21"/>
        <v>1</v>
      </c>
      <c r="AM50" s="300">
        <f t="shared" si="13"/>
        <v>1.0100830553573175</v>
      </c>
      <c r="AN50" s="366">
        <f t="shared" si="25"/>
        <v>1</v>
      </c>
      <c r="AO50" s="300">
        <f t="shared" si="26"/>
        <v>1</v>
      </c>
      <c r="AP50" s="300">
        <f t="shared" si="27"/>
        <v>1</v>
      </c>
    </row>
    <row r="51" spans="1:42">
      <c r="A51" s="436">
        <v>1896</v>
      </c>
      <c r="B51" s="1164">
        <f>TableUK1!D51</f>
        <v>155.1524117647059</v>
      </c>
      <c r="C51" s="959">
        <f t="shared" si="23"/>
        <v>1008.6712165706621</v>
      </c>
      <c r="D51" s="391">
        <f t="shared" si="28"/>
        <v>3.8709172084280041E-2</v>
      </c>
      <c r="E51" s="390">
        <f t="shared" si="17"/>
        <v>3.0145857800355058E-2</v>
      </c>
      <c r="F51" s="1372">
        <f>TableUK6a!M51</f>
        <v>6.5011636306391907</v>
      </c>
      <c r="G51" s="365">
        <f>TableUK12c!B66</f>
        <v>0.10448290774704641</v>
      </c>
      <c r="H51" s="365">
        <f t="shared" si="29"/>
        <v>1.5017604667000448E-2</v>
      </c>
      <c r="I51" s="365">
        <f t="shared" si="5"/>
        <v>0</v>
      </c>
      <c r="J51" s="391">
        <f t="shared" si="18"/>
        <v>1.4904424380223213E-2</v>
      </c>
      <c r="K51" s="390">
        <f t="shared" si="30"/>
        <v>3.0145857800355058E-2</v>
      </c>
      <c r="L51" s="29">
        <f t="shared" si="24"/>
        <v>6.5011636306391907</v>
      </c>
      <c r="M51" s="1968">
        <f>TableUK12c!B67</f>
        <v>9.9162960517371959E-2</v>
      </c>
      <c r="N51" s="1968">
        <f t="shared" si="22"/>
        <v>1.5938920605673562E-2</v>
      </c>
      <c r="O51" s="1968">
        <f t="shared" si="7"/>
        <v>0</v>
      </c>
      <c r="P51" s="1971">
        <f t="shared" si="19"/>
        <v>1.398404658639496E-2</v>
      </c>
      <c r="Q51" s="390"/>
      <c r="R51" s="308"/>
      <c r="S51" s="365"/>
      <c r="T51" s="365"/>
      <c r="U51" s="365"/>
      <c r="V51" s="2093">
        <f>TableUK5a!Q51</f>
        <v>0</v>
      </c>
      <c r="W51" s="365"/>
      <c r="X51" s="365"/>
      <c r="Y51" s="361"/>
      <c r="Z51" s="362"/>
      <c r="AA51" s="83"/>
      <c r="AB51" s="83"/>
      <c r="AC51" s="363"/>
      <c r="AF51" s="300">
        <f t="shared" si="31"/>
        <v>1.0301458578003551</v>
      </c>
      <c r="AG51" s="300">
        <f t="shared" si="32"/>
        <v>1.0150176046670005</v>
      </c>
      <c r="AH51" s="300">
        <f t="shared" si="20"/>
        <v>1</v>
      </c>
      <c r="AI51" s="300">
        <f t="shared" si="33"/>
        <v>1.0149044243802232</v>
      </c>
      <c r="AJ51" s="300">
        <f t="shared" si="34"/>
        <v>1.0301458578003551</v>
      </c>
      <c r="AK51" s="300">
        <f t="shared" si="12"/>
        <v>1.0159389206056735</v>
      </c>
      <c r="AL51" s="300">
        <f t="shared" si="21"/>
        <v>1</v>
      </c>
      <c r="AM51" s="300">
        <f t="shared" si="13"/>
        <v>1.013984046586395</v>
      </c>
      <c r="AN51" s="366">
        <f t="shared" si="25"/>
        <v>1</v>
      </c>
      <c r="AO51" s="300">
        <f t="shared" si="26"/>
        <v>1</v>
      </c>
      <c r="AP51" s="300">
        <f t="shared" si="27"/>
        <v>1</v>
      </c>
    </row>
    <row r="52" spans="1:42">
      <c r="A52" s="198">
        <f t="shared" ref="A52:A73" si="35">A51+1</f>
        <v>1897</v>
      </c>
      <c r="B52" s="1162">
        <f>TableUK1!D52</f>
        <v>156.6975287356322</v>
      </c>
      <c r="C52" s="959">
        <f t="shared" si="23"/>
        <v>1048.3202802471133</v>
      </c>
      <c r="D52" s="391">
        <f t="shared" si="28"/>
        <v>9.9587041757980277E-3</v>
      </c>
      <c r="E52" s="390">
        <f t="shared" si="17"/>
        <v>3.9308213642947232E-2</v>
      </c>
      <c r="F52" s="1372">
        <f>TableUK6a!M52</f>
        <v>6.6900881507567176</v>
      </c>
      <c r="G52" s="365">
        <f>TableUK12c!B67</f>
        <v>9.9162960517371959E-2</v>
      </c>
      <c r="H52" s="365">
        <f t="shared" si="29"/>
        <v>1.6071416393002511E-2</v>
      </c>
      <c r="I52" s="365">
        <f t="shared" si="5"/>
        <v>0</v>
      </c>
      <c r="J52" s="391">
        <f t="shared" si="18"/>
        <v>2.2869255915528131E-2</v>
      </c>
      <c r="K52" s="390">
        <f t="shared" si="30"/>
        <v>3.9308213642947232E-2</v>
      </c>
      <c r="L52" s="29">
        <f t="shared" si="24"/>
        <v>6.6900881507567176</v>
      </c>
      <c r="M52" s="1968">
        <f>TableUK12c!B68</f>
        <v>0.11535828054629996</v>
      </c>
      <c r="N52" s="1968">
        <f t="shared" si="22"/>
        <v>1.5253109466439058E-2</v>
      </c>
      <c r="O52" s="1968">
        <f t="shared" si="7"/>
        <v>0</v>
      </c>
      <c r="P52" s="1971">
        <f t="shared" si="19"/>
        <v>2.369370155305428E-2</v>
      </c>
      <c r="Q52" s="390"/>
      <c r="R52" s="308"/>
      <c r="S52" s="365"/>
      <c r="T52" s="365"/>
      <c r="U52" s="365"/>
      <c r="V52" s="2093">
        <f>TableUK5a!Q52</f>
        <v>0</v>
      </c>
      <c r="W52" s="365"/>
      <c r="X52" s="365"/>
      <c r="Y52" s="365"/>
      <c r="Z52" s="362"/>
      <c r="AA52" s="83"/>
      <c r="AB52" s="83"/>
      <c r="AC52" s="363"/>
      <c r="AF52" s="300">
        <f t="shared" si="31"/>
        <v>1.0393082136429472</v>
      </c>
      <c r="AG52" s="300">
        <f t="shared" si="32"/>
        <v>1.0160714163930025</v>
      </c>
      <c r="AH52" s="300">
        <f t="shared" si="20"/>
        <v>1</v>
      </c>
      <c r="AI52" s="300">
        <f t="shared" si="33"/>
        <v>1.0228692559155281</v>
      </c>
      <c r="AJ52" s="300">
        <f t="shared" si="34"/>
        <v>1.0393082136429472</v>
      </c>
      <c r="AK52" s="300">
        <f t="shared" si="12"/>
        <v>1.015253109466439</v>
      </c>
      <c r="AL52" s="300">
        <f t="shared" si="21"/>
        <v>1</v>
      </c>
      <c r="AM52" s="300">
        <f t="shared" si="13"/>
        <v>1.0236937015530543</v>
      </c>
      <c r="AN52" s="366">
        <f t="shared" si="25"/>
        <v>1</v>
      </c>
      <c r="AO52" s="300">
        <f t="shared" si="26"/>
        <v>1</v>
      </c>
      <c r="AP52" s="300">
        <f t="shared" si="27"/>
        <v>1</v>
      </c>
    </row>
    <row r="53" spans="1:42">
      <c r="A53" s="198">
        <f t="shared" si="35"/>
        <v>1898</v>
      </c>
      <c r="B53" s="1162">
        <f>TableUK1!D53</f>
        <v>164.95511494252872</v>
      </c>
      <c r="C53" s="959">
        <f t="shared" si="23"/>
        <v>1090.0205686840754</v>
      </c>
      <c r="D53" s="391">
        <f t="shared" si="28"/>
        <v>5.2697616060225716E-2</v>
      </c>
      <c r="E53" s="390">
        <f t="shared" si="17"/>
        <v>3.9778194911131992E-2</v>
      </c>
      <c r="F53" s="1372">
        <f>TableUK6a!M53</f>
        <v>6.6079828386276143</v>
      </c>
      <c r="G53" s="365">
        <f>TableUK12c!B68</f>
        <v>0.11535828054629996</v>
      </c>
      <c r="H53" s="365">
        <f t="shared" si="29"/>
        <v>1.4822369792863733E-2</v>
      </c>
      <c r="I53" s="365">
        <f t="shared" si="5"/>
        <v>0</v>
      </c>
      <c r="J53" s="391">
        <f t="shared" si="18"/>
        <v>2.4591323428711842E-2</v>
      </c>
      <c r="K53" s="390">
        <f t="shared" si="30"/>
        <v>3.9778194911131992E-2</v>
      </c>
      <c r="L53" s="29">
        <f t="shared" si="24"/>
        <v>6.6079828386276143</v>
      </c>
      <c r="M53" s="1968">
        <f>TableUK12c!B69</f>
        <v>0.13138265979134184</v>
      </c>
      <c r="N53" s="1968">
        <f t="shared" si="22"/>
        <v>1.7243163011723808E-2</v>
      </c>
      <c r="O53" s="1968">
        <f t="shared" si="7"/>
        <v>0</v>
      </c>
      <c r="P53" s="1971">
        <f t="shared" si="19"/>
        <v>2.2153043361519797E-2</v>
      </c>
      <c r="Q53" s="390"/>
      <c r="R53" s="308"/>
      <c r="S53" s="365"/>
      <c r="T53" s="365"/>
      <c r="U53" s="365"/>
      <c r="V53" s="2093">
        <f>TableUK5a!Q53</f>
        <v>0</v>
      </c>
      <c r="W53" s="365"/>
      <c r="X53" s="365"/>
      <c r="Y53" s="365"/>
      <c r="Z53" s="362"/>
      <c r="AA53" s="83"/>
      <c r="AB53" s="83"/>
      <c r="AC53" s="363"/>
      <c r="AF53" s="300">
        <f t="shared" si="31"/>
        <v>1.039778194911132</v>
      </c>
      <c r="AG53" s="300">
        <f t="shared" si="32"/>
        <v>1.0148223697928638</v>
      </c>
      <c r="AH53" s="300">
        <f t="shared" si="20"/>
        <v>1</v>
      </c>
      <c r="AI53" s="300">
        <f t="shared" si="33"/>
        <v>1.0245913234287118</v>
      </c>
      <c r="AJ53" s="300">
        <f t="shared" si="34"/>
        <v>1.039778194911132</v>
      </c>
      <c r="AK53" s="300">
        <f t="shared" si="12"/>
        <v>1.0172431630117238</v>
      </c>
      <c r="AL53" s="300">
        <f t="shared" si="21"/>
        <v>1</v>
      </c>
      <c r="AM53" s="300">
        <f t="shared" si="13"/>
        <v>1.0221530433615198</v>
      </c>
      <c r="AN53" s="366">
        <f t="shared" si="25"/>
        <v>1</v>
      </c>
      <c r="AO53" s="300">
        <f t="shared" si="26"/>
        <v>1</v>
      </c>
      <c r="AP53" s="300">
        <f t="shared" si="27"/>
        <v>1</v>
      </c>
    </row>
    <row r="54" spans="1:42">
      <c r="A54" s="214">
        <f t="shared" si="35"/>
        <v>1899</v>
      </c>
      <c r="B54" s="1163">
        <f>TableUK1!D54</f>
        <v>172.02187500000002</v>
      </c>
      <c r="C54" s="1171">
        <f t="shared" si="23"/>
        <v>1131.431373776993</v>
      </c>
      <c r="D54" s="1172">
        <f t="shared" si="28"/>
        <v>4.2840502763029864E-2</v>
      </c>
      <c r="E54" s="1181">
        <f t="shared" si="17"/>
        <v>3.7990847404751893E-2</v>
      </c>
      <c r="F54" s="1381">
        <f>TableUK6a!M54</f>
        <v>6.5772528858727579</v>
      </c>
      <c r="G54" s="1184">
        <f>TableUK12c!B69</f>
        <v>0.13138265979134184</v>
      </c>
      <c r="H54" s="1184">
        <f t="shared" si="29"/>
        <v>1.7457412248706485E-2</v>
      </c>
      <c r="I54" s="1184">
        <f t="shared" si="5"/>
        <v>0</v>
      </c>
      <c r="J54" s="1172">
        <f t="shared" si="18"/>
        <v>2.0181124938353889E-2</v>
      </c>
      <c r="K54" s="1181">
        <f t="shared" si="30"/>
        <v>3.7990847404751893E-2</v>
      </c>
      <c r="L54" s="1963">
        <f t="shared" si="24"/>
        <v>6.5772528858727579</v>
      </c>
      <c r="M54" s="1969">
        <f>TableUK12c!B70</f>
        <v>0.10856577954254573</v>
      </c>
      <c r="N54" s="1969">
        <f t="shared" si="22"/>
        <v>1.9882415405701657E-2</v>
      </c>
      <c r="O54" s="1969">
        <f t="shared" si="7"/>
        <v>0</v>
      </c>
      <c r="P54" s="1972">
        <f t="shared" si="19"/>
        <v>1.7755411531286125E-2</v>
      </c>
      <c r="Q54" s="1181"/>
      <c r="R54" s="550"/>
      <c r="S54" s="1184"/>
      <c r="T54" s="1184"/>
      <c r="U54" s="1184"/>
      <c r="V54" s="2092">
        <f>TableUK5a!Q54</f>
        <v>0</v>
      </c>
      <c r="W54" s="365"/>
      <c r="X54" s="365"/>
      <c r="Y54" s="365"/>
      <c r="Z54" s="362"/>
      <c r="AA54" s="83"/>
      <c r="AB54" s="83"/>
      <c r="AC54" s="363"/>
      <c r="AF54" s="300">
        <f t="shared" si="31"/>
        <v>1.0379908474047519</v>
      </c>
      <c r="AG54" s="300">
        <f t="shared" si="32"/>
        <v>1.0174574122487066</v>
      </c>
      <c r="AH54" s="300">
        <f t="shared" si="20"/>
        <v>1</v>
      </c>
      <c r="AI54" s="300">
        <f t="shared" si="33"/>
        <v>1.0201811249383539</v>
      </c>
      <c r="AJ54" s="300">
        <f t="shared" si="34"/>
        <v>1.0379908474047519</v>
      </c>
      <c r="AK54" s="300">
        <f t="shared" si="12"/>
        <v>1.0198824154057016</v>
      </c>
      <c r="AL54" s="300">
        <f t="shared" si="21"/>
        <v>1</v>
      </c>
      <c r="AM54" s="300">
        <f t="shared" si="13"/>
        <v>1.0177554115312861</v>
      </c>
      <c r="AN54" s="366">
        <f t="shared" si="25"/>
        <v>1</v>
      </c>
      <c r="AO54" s="300">
        <f t="shared" si="26"/>
        <v>1</v>
      </c>
      <c r="AP54" s="300">
        <f t="shared" si="27"/>
        <v>1</v>
      </c>
    </row>
    <row r="55" spans="1:42">
      <c r="A55" s="198">
        <f t="shared" si="35"/>
        <v>1900</v>
      </c>
      <c r="B55" s="1162">
        <f>TableUK1!D55</f>
        <v>169.46964673913044</v>
      </c>
      <c r="C55" s="959">
        <f t="shared" si="23"/>
        <v>1173.0757073929417</v>
      </c>
      <c r="D55" s="391">
        <f t="shared" si="28"/>
        <v>-1.4836649471874352E-2</v>
      </c>
      <c r="E55" s="390">
        <f t="shared" si="17"/>
        <v>3.6806769355290037E-2</v>
      </c>
      <c r="F55" s="1372">
        <f>TableUK6a!M55</f>
        <v>6.922040199910791</v>
      </c>
      <c r="G55" s="365">
        <f>TableUK12c!B70</f>
        <v>0.10856577954254573</v>
      </c>
      <c r="H55" s="365">
        <f t="shared" si="29"/>
        <v>1.9975309155823684E-2</v>
      </c>
      <c r="I55" s="365">
        <f t="shared" si="5"/>
        <v>0</v>
      </c>
      <c r="J55" s="391">
        <f t="shared" si="18"/>
        <v>1.6501831023141955E-2</v>
      </c>
      <c r="K55" s="390">
        <f t="shared" si="30"/>
        <v>3.6806769355290037E-2</v>
      </c>
      <c r="L55" s="29">
        <f t="shared" si="24"/>
        <v>6.922040199910791</v>
      </c>
      <c r="M55" s="1968">
        <f>TableUK12c!B71</f>
        <v>0.11013485707049914</v>
      </c>
      <c r="N55" s="1968">
        <f t="shared" si="22"/>
        <v>1.6506249862421059E-2</v>
      </c>
      <c r="O55" s="1968">
        <f t="shared" si="7"/>
        <v>0</v>
      </c>
      <c r="P55" s="1971">
        <f t="shared" si="19"/>
        <v>1.9970875236248187E-2</v>
      </c>
      <c r="Q55" s="390"/>
      <c r="R55" s="308"/>
      <c r="S55" s="365"/>
      <c r="T55" s="365"/>
      <c r="U55" s="365"/>
      <c r="V55" s="2093">
        <f>TableUK5a!Q55</f>
        <v>0</v>
      </c>
      <c r="W55" s="365"/>
      <c r="X55" s="365"/>
      <c r="Y55" s="365"/>
      <c r="Z55" s="362"/>
      <c r="AA55" s="83"/>
      <c r="AB55" s="83"/>
      <c r="AC55" s="363"/>
      <c r="AF55" s="300">
        <f t="shared" si="31"/>
        <v>1.03680676935529</v>
      </c>
      <c r="AG55" s="300">
        <f t="shared" si="32"/>
        <v>1.0199753091558237</v>
      </c>
      <c r="AH55" s="300">
        <f t="shared" si="20"/>
        <v>1</v>
      </c>
      <c r="AI55" s="300">
        <f t="shared" si="33"/>
        <v>1.016501831023142</v>
      </c>
      <c r="AJ55" s="300">
        <f t="shared" si="34"/>
        <v>1.03680676935529</v>
      </c>
      <c r="AK55" s="300">
        <f t="shared" si="12"/>
        <v>1.0165062498624211</v>
      </c>
      <c r="AL55" s="300">
        <f t="shared" si="21"/>
        <v>1</v>
      </c>
      <c r="AM55" s="300">
        <f t="shared" si="13"/>
        <v>1.0199708752362482</v>
      </c>
      <c r="AN55" s="366">
        <f t="shared" si="25"/>
        <v>1</v>
      </c>
      <c r="AO55" s="300">
        <f t="shared" si="26"/>
        <v>1</v>
      </c>
      <c r="AP55" s="300">
        <f t="shared" si="27"/>
        <v>1</v>
      </c>
    </row>
    <row r="56" spans="1:42">
      <c r="A56" s="198">
        <f t="shared" si="35"/>
        <v>1901</v>
      </c>
      <c r="B56" s="1162">
        <f>TableUK1!D56</f>
        <v>167.70336956521746</v>
      </c>
      <c r="C56" s="959">
        <f t="shared" si="23"/>
        <v>1188.772926040682</v>
      </c>
      <c r="D56" s="391">
        <f t="shared" si="28"/>
        <v>-1.0422380691168076E-2</v>
      </c>
      <c r="E56" s="390">
        <f t="shared" si="17"/>
        <v>1.3381249435832299E-2</v>
      </c>
      <c r="F56" s="1372">
        <f>TableUK6a!M56</f>
        <v>7.0885452637156767</v>
      </c>
      <c r="G56" s="365">
        <f>TableUK12c!B71</f>
        <v>0.11013485707049914</v>
      </c>
      <c r="H56" s="365">
        <f t="shared" si="29"/>
        <v>1.5684072384315954E-2</v>
      </c>
      <c r="I56" s="365">
        <f t="shared" si="5"/>
        <v>0</v>
      </c>
      <c r="J56" s="391">
        <f t="shared" si="18"/>
        <v>-2.2672630309912289E-3</v>
      </c>
      <c r="K56" s="390">
        <f t="shared" si="30"/>
        <v>1.3381249435832299E-2</v>
      </c>
      <c r="L56" s="29">
        <f t="shared" si="24"/>
        <v>7.0885452637156767</v>
      </c>
      <c r="M56" s="1968">
        <f>TableUK12c!B72</f>
        <v>0.10574671445639175</v>
      </c>
      <c r="N56" s="1968">
        <f t="shared" si="22"/>
        <v>1.5910750860984386E-2</v>
      </c>
      <c r="O56" s="1968">
        <f t="shared" si="7"/>
        <v>0</v>
      </c>
      <c r="P56" s="1971">
        <f t="shared" si="19"/>
        <v>-2.4898854776448376E-3</v>
      </c>
      <c r="Q56" s="390"/>
      <c r="R56" s="308"/>
      <c r="S56" s="365"/>
      <c r="T56" s="365"/>
      <c r="U56" s="365"/>
      <c r="V56" s="2093">
        <f>TableUK5a!Q56</f>
        <v>0</v>
      </c>
      <c r="W56" s="365"/>
      <c r="X56" s="365"/>
      <c r="Y56" s="365"/>
      <c r="Z56" s="367"/>
      <c r="AA56" s="83"/>
      <c r="AB56" s="83"/>
      <c r="AC56" s="363"/>
      <c r="AF56" s="300">
        <f t="shared" si="31"/>
        <v>1.0133812494358323</v>
      </c>
      <c r="AG56" s="300">
        <f t="shared" si="32"/>
        <v>1.0156840723843159</v>
      </c>
      <c r="AH56" s="300">
        <f t="shared" si="20"/>
        <v>1</v>
      </c>
      <c r="AI56" s="300">
        <f t="shared" si="33"/>
        <v>0.99773273696900877</v>
      </c>
      <c r="AJ56" s="300">
        <f t="shared" si="34"/>
        <v>1.0133812494358323</v>
      </c>
      <c r="AK56" s="300">
        <f t="shared" si="12"/>
        <v>1.0159107508609844</v>
      </c>
      <c r="AL56" s="300">
        <f t="shared" si="21"/>
        <v>1</v>
      </c>
      <c r="AM56" s="300">
        <f t="shared" si="13"/>
        <v>0.99751011452235516</v>
      </c>
      <c r="AN56" s="366">
        <f t="shared" si="25"/>
        <v>1</v>
      </c>
      <c r="AO56" s="300">
        <f t="shared" si="26"/>
        <v>1</v>
      </c>
      <c r="AP56" s="300">
        <f t="shared" si="27"/>
        <v>1</v>
      </c>
    </row>
    <row r="57" spans="1:42">
      <c r="A57" s="198">
        <f t="shared" si="35"/>
        <v>1902</v>
      </c>
      <c r="B57" s="1162">
        <f>TableUK1!D57</f>
        <v>170.39926630434786</v>
      </c>
      <c r="C57" s="959">
        <f t="shared" si="23"/>
        <v>1207.194678970252</v>
      </c>
      <c r="D57" s="391">
        <f t="shared" si="28"/>
        <v>1.6075388026607351E-2</v>
      </c>
      <c r="E57" s="390">
        <f t="shared" si="17"/>
        <v>1.5496443875892663E-2</v>
      </c>
      <c r="F57" s="1372">
        <f>TableUK6a!M57</f>
        <v>7.084506319493757</v>
      </c>
      <c r="G57" s="365">
        <f>TableUK12c!B72</f>
        <v>0.10574671445639175</v>
      </c>
      <c r="H57" s="365">
        <f t="shared" si="29"/>
        <v>1.5537018241845661E-2</v>
      </c>
      <c r="I57" s="365">
        <f t="shared" si="5"/>
        <v>0</v>
      </c>
      <c r="J57" s="391">
        <f t="shared" si="18"/>
        <v>-3.9953606047027357E-5</v>
      </c>
      <c r="K57" s="390">
        <f t="shared" si="30"/>
        <v>1.5496443875892663E-2</v>
      </c>
      <c r="L57" s="29">
        <f t="shared" si="24"/>
        <v>7.084506319493757</v>
      </c>
      <c r="M57" s="1968">
        <f>TableUK12c!B73</f>
        <v>0.1088227321289046</v>
      </c>
      <c r="N57" s="1968">
        <f t="shared" si="22"/>
        <v>1.4917971251122602E-2</v>
      </c>
      <c r="O57" s="1968">
        <f t="shared" si="7"/>
        <v>0</v>
      </c>
      <c r="P57" s="1971">
        <f t="shared" si="19"/>
        <v>5.699698312138235E-4</v>
      </c>
      <c r="Q57" s="390"/>
      <c r="R57" s="308"/>
      <c r="S57" s="365"/>
      <c r="T57" s="365"/>
      <c r="U57" s="365"/>
      <c r="V57" s="2093">
        <f>TableUK5a!Q57</f>
        <v>0</v>
      </c>
      <c r="W57" s="365"/>
      <c r="X57" s="365"/>
      <c r="Y57" s="365"/>
      <c r="Z57" s="368"/>
      <c r="AA57" s="83"/>
      <c r="AB57" s="83"/>
      <c r="AC57" s="363"/>
      <c r="AF57" s="300">
        <f t="shared" si="31"/>
        <v>1.0154964438758927</v>
      </c>
      <c r="AG57" s="300">
        <f t="shared" si="32"/>
        <v>1.0155370182418457</v>
      </c>
      <c r="AH57" s="300">
        <f t="shared" si="20"/>
        <v>1</v>
      </c>
      <c r="AI57" s="300">
        <f t="shared" si="33"/>
        <v>0.99996004639395297</v>
      </c>
      <c r="AJ57" s="300">
        <f t="shared" si="34"/>
        <v>1.0154964438758927</v>
      </c>
      <c r="AK57" s="300">
        <f t="shared" si="12"/>
        <v>1.0149179712511227</v>
      </c>
      <c r="AL57" s="300">
        <f t="shared" si="21"/>
        <v>1</v>
      </c>
      <c r="AM57" s="300">
        <f t="shared" si="13"/>
        <v>1.0005699698312138</v>
      </c>
      <c r="AN57" s="366">
        <f t="shared" si="25"/>
        <v>1</v>
      </c>
      <c r="AO57" s="300">
        <f t="shared" si="26"/>
        <v>1</v>
      </c>
      <c r="AP57" s="300">
        <f t="shared" si="27"/>
        <v>1</v>
      </c>
    </row>
    <row r="58" spans="1:42">
      <c r="A58" s="198">
        <f t="shared" si="35"/>
        <v>1903</v>
      </c>
      <c r="B58" s="1162">
        <f>TableUK1!D58</f>
        <v>166.1759946236559</v>
      </c>
      <c r="C58" s="959">
        <f t="shared" si="23"/>
        <v>1225.3942278542511</v>
      </c>
      <c r="D58" s="391">
        <f t="shared" si="28"/>
        <v>-2.4784564935560471E-2</v>
      </c>
      <c r="E58" s="390">
        <f t="shared" si="17"/>
        <v>1.5075902173063982E-2</v>
      </c>
      <c r="F58" s="1372">
        <f>TableUK6a!M58</f>
        <v>7.3740748814498795</v>
      </c>
      <c r="G58" s="365">
        <f>TableUK12c!B73</f>
        <v>0.1088227321289046</v>
      </c>
      <c r="H58" s="365">
        <f t="shared" si="29"/>
        <v>1.49264761279722E-2</v>
      </c>
      <c r="I58" s="365">
        <f t="shared" si="5"/>
        <v>0</v>
      </c>
      <c r="J58" s="391">
        <f t="shared" si="18"/>
        <v>1.4722844324821516E-4</v>
      </c>
      <c r="K58" s="390">
        <f t="shared" si="30"/>
        <v>1.5075902173063982E-2</v>
      </c>
      <c r="L58" s="29">
        <f t="shared" si="24"/>
        <v>7.3740748814498795</v>
      </c>
      <c r="M58" s="1968">
        <f>TableUK12c!B74</f>
        <v>0.10790172432868129</v>
      </c>
      <c r="N58" s="1968">
        <f t="shared" si="22"/>
        <v>1.5360665545525384E-2</v>
      </c>
      <c r="O58" s="1968">
        <f t="shared" si="7"/>
        <v>0</v>
      </c>
      <c r="P58" s="1971">
        <f t="shared" si="19"/>
        <v>-2.8045539099985639E-4</v>
      </c>
      <c r="Q58" s="390"/>
      <c r="R58" s="308"/>
      <c r="S58" s="365"/>
      <c r="T58" s="365"/>
      <c r="U58" s="365"/>
      <c r="V58" s="2093">
        <f>TableUK5a!Q58</f>
        <v>0</v>
      </c>
      <c r="W58" s="365"/>
      <c r="X58" s="365"/>
      <c r="Y58" s="365"/>
      <c r="Z58" s="368"/>
      <c r="AA58" s="83"/>
      <c r="AB58" s="83"/>
      <c r="AC58" s="363"/>
      <c r="AF58" s="300">
        <f t="shared" si="31"/>
        <v>1.015075902173064</v>
      </c>
      <c r="AG58" s="300">
        <f t="shared" si="32"/>
        <v>1.0149264761279722</v>
      </c>
      <c r="AH58" s="300">
        <f t="shared" si="20"/>
        <v>1</v>
      </c>
      <c r="AI58" s="300">
        <f t="shared" si="33"/>
        <v>1.0001472284432482</v>
      </c>
      <c r="AJ58" s="300">
        <f t="shared" si="34"/>
        <v>1.015075902173064</v>
      </c>
      <c r="AK58" s="300">
        <f t="shared" si="12"/>
        <v>1.0153606655455254</v>
      </c>
      <c r="AL58" s="300">
        <f t="shared" si="21"/>
        <v>1</v>
      </c>
      <c r="AM58" s="300">
        <f t="shared" si="13"/>
        <v>0.99971954460900014</v>
      </c>
      <c r="AN58" s="366">
        <f t="shared" si="25"/>
        <v>1</v>
      </c>
      <c r="AO58" s="300">
        <f t="shared" si="26"/>
        <v>1</v>
      </c>
      <c r="AP58" s="300">
        <f t="shared" si="27"/>
        <v>1</v>
      </c>
    </row>
    <row r="59" spans="1:42">
      <c r="A59" s="198">
        <f t="shared" si="35"/>
        <v>1904</v>
      </c>
      <c r="B59" s="1162">
        <f>TableUK1!D59</f>
        <v>165.3483333333333</v>
      </c>
      <c r="C59" s="959">
        <f t="shared" si="23"/>
        <v>1239.8229407317592</v>
      </c>
      <c r="D59" s="391">
        <f t="shared" si="28"/>
        <v>-4.9806308799115184E-3</v>
      </c>
      <c r="E59" s="390">
        <f t="shared" si="17"/>
        <v>1.1774751789694449E-2</v>
      </c>
      <c r="F59" s="1372">
        <f>TableUK6a!M59</f>
        <v>7.4982487923379502</v>
      </c>
      <c r="G59" s="365">
        <f>TableUK12c!B74</f>
        <v>0.10790172432868129</v>
      </c>
      <c r="H59" s="365">
        <f t="shared" si="29"/>
        <v>1.4757475870316636E-2</v>
      </c>
      <c r="I59" s="365">
        <f t="shared" si="5"/>
        <v>0</v>
      </c>
      <c r="J59" s="391">
        <f t="shared" si="18"/>
        <v>-2.9393467420025798E-3</v>
      </c>
      <c r="K59" s="390">
        <f t="shared" si="30"/>
        <v>1.1774751789694449E-2</v>
      </c>
      <c r="L59" s="29">
        <f t="shared" si="24"/>
        <v>7.4982487923379502</v>
      </c>
      <c r="M59" s="1968">
        <f>TableUK12c!B75</f>
        <v>0.12024259050907013</v>
      </c>
      <c r="N59" s="1968">
        <f t="shared" si="22"/>
        <v>1.4632577789536336E-2</v>
      </c>
      <c r="O59" s="1968">
        <f t="shared" si="7"/>
        <v>0</v>
      </c>
      <c r="P59" s="1971">
        <f t="shared" si="19"/>
        <v>-2.8166117098940013E-3</v>
      </c>
      <c r="Q59" s="390"/>
      <c r="R59" s="308"/>
      <c r="S59" s="365"/>
      <c r="T59" s="365"/>
      <c r="U59" s="365"/>
      <c r="V59" s="2093">
        <f>TableUK5a!Q59</f>
        <v>0</v>
      </c>
      <c r="W59" s="365"/>
      <c r="X59" s="365"/>
      <c r="Y59" s="365"/>
      <c r="Z59" s="368"/>
      <c r="AA59" s="83"/>
      <c r="AB59" s="83"/>
      <c r="AC59" s="363"/>
      <c r="AF59" s="300">
        <f t="shared" si="31"/>
        <v>1.0117747517896944</v>
      </c>
      <c r="AG59" s="300">
        <f t="shared" si="32"/>
        <v>1.0147574758703166</v>
      </c>
      <c r="AH59" s="300">
        <f t="shared" si="20"/>
        <v>1</v>
      </c>
      <c r="AI59" s="300">
        <f t="shared" si="33"/>
        <v>0.99706065325799742</v>
      </c>
      <c r="AJ59" s="300">
        <f t="shared" si="34"/>
        <v>1.0117747517896944</v>
      </c>
      <c r="AK59" s="300">
        <f t="shared" si="12"/>
        <v>1.0146325777895364</v>
      </c>
      <c r="AL59" s="300">
        <f t="shared" si="21"/>
        <v>1</v>
      </c>
      <c r="AM59" s="300">
        <f t="shared" si="13"/>
        <v>0.997183388290106</v>
      </c>
      <c r="AN59" s="366">
        <f t="shared" si="25"/>
        <v>1</v>
      </c>
      <c r="AO59" s="300">
        <f t="shared" si="26"/>
        <v>1</v>
      </c>
      <c r="AP59" s="300">
        <f t="shared" si="27"/>
        <v>1</v>
      </c>
    </row>
    <row r="60" spans="1:42">
      <c r="A60" s="198">
        <f t="shared" si="35"/>
        <v>1905</v>
      </c>
      <c r="B60" s="1162">
        <f>TableUK1!D60</f>
        <v>172.61336021505375</v>
      </c>
      <c r="C60" s="959">
        <f t="shared" si="23"/>
        <v>1255.0637207351108</v>
      </c>
      <c r="D60" s="391">
        <f t="shared" si="28"/>
        <v>4.3937708565072509E-2</v>
      </c>
      <c r="E60" s="390">
        <f t="shared" si="17"/>
        <v>1.2292706887933713E-2</v>
      </c>
      <c r="F60" s="1372">
        <f>TableUK6a!M60</f>
        <v>7.2709535297352703</v>
      </c>
      <c r="G60" s="365">
        <f>TableUK12c!B75</f>
        <v>0.12024259050907013</v>
      </c>
      <c r="H60" s="365">
        <f t="shared" si="29"/>
        <v>1.4390256620844611E-2</v>
      </c>
      <c r="I60" s="365">
        <f t="shared" si="5"/>
        <v>0</v>
      </c>
      <c r="J60" s="391">
        <f t="shared" si="18"/>
        <v>-2.0677936516251272E-3</v>
      </c>
      <c r="K60" s="390">
        <f t="shared" si="30"/>
        <v>1.2292706887933713E-2</v>
      </c>
      <c r="L60" s="29">
        <f t="shared" si="24"/>
        <v>7.2709535297352703</v>
      </c>
      <c r="M60" s="1968">
        <f>TableUK12c!B76</f>
        <v>0.13119901204999612</v>
      </c>
      <c r="N60" s="1968">
        <f t="shared" si="22"/>
        <v>1.6036089737638402E-2</v>
      </c>
      <c r="O60" s="1968">
        <f t="shared" si="7"/>
        <v>0</v>
      </c>
      <c r="P60" s="1971">
        <f t="shared" si="19"/>
        <v>-3.6843010671709919E-3</v>
      </c>
      <c r="Q60" s="390"/>
      <c r="R60" s="308"/>
      <c r="S60" s="365"/>
      <c r="T60" s="365"/>
      <c r="U60" s="365"/>
      <c r="V60" s="2093">
        <f>TableUK5a!Q60</f>
        <v>0</v>
      </c>
      <c r="W60" s="365"/>
      <c r="X60" s="365"/>
      <c r="Y60" s="365"/>
      <c r="Z60" s="368"/>
      <c r="AA60" s="83"/>
      <c r="AB60" s="83"/>
      <c r="AC60" s="363"/>
      <c r="AF60" s="300">
        <f t="shared" si="31"/>
        <v>1.0122927068879337</v>
      </c>
      <c r="AG60" s="300">
        <f t="shared" si="32"/>
        <v>1.0143902566208447</v>
      </c>
      <c r="AH60" s="300">
        <f t="shared" si="20"/>
        <v>1</v>
      </c>
      <c r="AI60" s="300">
        <f t="shared" si="33"/>
        <v>0.99793220634837487</v>
      </c>
      <c r="AJ60" s="300">
        <f t="shared" si="34"/>
        <v>1.0122927068879337</v>
      </c>
      <c r="AK60" s="300">
        <f t="shared" si="12"/>
        <v>1.0160360897376384</v>
      </c>
      <c r="AL60" s="300">
        <f t="shared" si="21"/>
        <v>1</v>
      </c>
      <c r="AM60" s="300">
        <f t="shared" si="13"/>
        <v>0.99631569893282901</v>
      </c>
      <c r="AN60" s="366">
        <f t="shared" si="25"/>
        <v>1</v>
      </c>
      <c r="AO60" s="300">
        <f t="shared" si="26"/>
        <v>1</v>
      </c>
      <c r="AP60" s="300">
        <f t="shared" si="27"/>
        <v>1</v>
      </c>
    </row>
    <row r="61" spans="1:42">
      <c r="A61" s="198">
        <f t="shared" si="35"/>
        <v>1906</v>
      </c>
      <c r="B61" s="1162">
        <f>TableUK1!D61</f>
        <v>182.08548387096769</v>
      </c>
      <c r="C61" s="959">
        <f t="shared" si="23"/>
        <v>1275.2803050178632</v>
      </c>
      <c r="D61" s="391">
        <f t="shared" si="28"/>
        <v>5.4874800213105868E-2</v>
      </c>
      <c r="E61" s="390">
        <f t="shared" si="17"/>
        <v>1.610801423764463E-2</v>
      </c>
      <c r="F61" s="1372">
        <f>TableUK6a!M61</f>
        <v>7.0037450427491112</v>
      </c>
      <c r="G61" s="365">
        <f>TableUK12c!B76</f>
        <v>0.13119901204999612</v>
      </c>
      <c r="H61" s="365">
        <f t="shared" si="29"/>
        <v>1.6537389493321113E-2</v>
      </c>
      <c r="I61" s="365">
        <f t="shared" si="5"/>
        <v>0</v>
      </c>
      <c r="J61" s="391">
        <f t="shared" si="18"/>
        <v>-4.2239002727739727E-4</v>
      </c>
      <c r="K61" s="390">
        <f t="shared" si="30"/>
        <v>1.610801423764463E-2</v>
      </c>
      <c r="L61" s="29">
        <f t="shared" si="24"/>
        <v>7.0037450427491112</v>
      </c>
      <c r="M61" s="1968">
        <f>TableUK12c!B77</f>
        <v>0.12551639272215859</v>
      </c>
      <c r="N61" s="1968">
        <f t="shared" si="22"/>
        <v>1.8044264966547374E-2</v>
      </c>
      <c r="O61" s="1968">
        <f t="shared" si="7"/>
        <v>0</v>
      </c>
      <c r="P61" s="1971">
        <f t="shared" si="19"/>
        <v>-1.9019317681302494E-3</v>
      </c>
      <c r="Q61" s="390"/>
      <c r="R61" s="308"/>
      <c r="S61" s="365"/>
      <c r="T61" s="365"/>
      <c r="U61" s="365"/>
      <c r="V61" s="2093">
        <f>TableUK5a!Q61</f>
        <v>0</v>
      </c>
      <c r="W61" s="365"/>
      <c r="X61" s="365"/>
      <c r="Y61" s="365"/>
      <c r="Z61" s="368"/>
      <c r="AA61" s="83"/>
      <c r="AB61" s="83"/>
      <c r="AC61" s="363"/>
      <c r="AF61" s="300">
        <f t="shared" si="31"/>
        <v>1.0161080142376446</v>
      </c>
      <c r="AG61" s="300">
        <f t="shared" si="32"/>
        <v>1.0165373894933212</v>
      </c>
      <c r="AH61" s="300">
        <f t="shared" si="20"/>
        <v>1</v>
      </c>
      <c r="AI61" s="300">
        <f t="shared" si="33"/>
        <v>0.9995776099727226</v>
      </c>
      <c r="AJ61" s="300">
        <f t="shared" si="34"/>
        <v>1.0161080142376446</v>
      </c>
      <c r="AK61" s="300">
        <f t="shared" si="12"/>
        <v>1.0180442649665473</v>
      </c>
      <c r="AL61" s="300">
        <f t="shared" si="21"/>
        <v>1</v>
      </c>
      <c r="AM61" s="300">
        <f t="shared" si="13"/>
        <v>0.99809806823186975</v>
      </c>
      <c r="AN61" s="366">
        <f t="shared" si="25"/>
        <v>1</v>
      </c>
      <c r="AO61" s="300">
        <f t="shared" si="26"/>
        <v>1</v>
      </c>
      <c r="AP61" s="300">
        <f t="shared" si="27"/>
        <v>1</v>
      </c>
    </row>
    <row r="62" spans="1:42">
      <c r="A62" s="198">
        <f t="shared" si="35"/>
        <v>1907</v>
      </c>
      <c r="B62" s="1162">
        <f>TableUK1!D62</f>
        <v>188.88287234042556</v>
      </c>
      <c r="C62" s="959">
        <f t="shared" si="23"/>
        <v>1296.7125973884836</v>
      </c>
      <c r="D62" s="391">
        <f t="shared" si="28"/>
        <v>3.733075435203137E-2</v>
      </c>
      <c r="E62" s="390">
        <f t="shared" si="17"/>
        <v>1.6805946336887922E-2</v>
      </c>
      <c r="F62" s="1372">
        <f>TableUK6a!M62</f>
        <v>6.8651677164851925</v>
      </c>
      <c r="G62" s="365">
        <f>TableUK12c!B77</f>
        <v>0.12551639272215859</v>
      </c>
      <c r="H62" s="365">
        <f t="shared" si="29"/>
        <v>1.873269390150414E-2</v>
      </c>
      <c r="I62" s="365">
        <f t="shared" si="5"/>
        <v>0</v>
      </c>
      <c r="J62" s="391">
        <f t="shared" si="18"/>
        <v>-1.891318081917337E-3</v>
      </c>
      <c r="K62" s="390">
        <f t="shared" si="30"/>
        <v>1.6805946336887922E-2</v>
      </c>
      <c r="L62" s="29">
        <f t="shared" si="24"/>
        <v>6.8651677164851925</v>
      </c>
      <c r="M62" s="1968">
        <f>TableUK12c!B78</f>
        <v>9.0991031864857796E-2</v>
      </c>
      <c r="N62" s="1968">
        <f t="shared" si="22"/>
        <v>1.7921325227580082E-2</v>
      </c>
      <c r="O62" s="1968">
        <f t="shared" si="7"/>
        <v>0</v>
      </c>
      <c r="P62" s="1971">
        <f t="shared" si="19"/>
        <v>-1.0957417464878549E-3</v>
      </c>
      <c r="Q62" s="390"/>
      <c r="R62" s="308"/>
      <c r="S62" s="365"/>
      <c r="T62" s="365"/>
      <c r="U62" s="365"/>
      <c r="V62" s="2093">
        <f>TableUK5a!Q62</f>
        <v>0</v>
      </c>
      <c r="W62" s="365"/>
      <c r="X62" s="365"/>
      <c r="Y62" s="365"/>
      <c r="Z62" s="368"/>
      <c r="AA62" s="83"/>
      <c r="AB62" s="83"/>
      <c r="AC62" s="363"/>
      <c r="AF62" s="300">
        <f t="shared" si="31"/>
        <v>1.0168059463368879</v>
      </c>
      <c r="AG62" s="300">
        <f t="shared" si="32"/>
        <v>1.0187326939015042</v>
      </c>
      <c r="AH62" s="300">
        <f t="shared" si="20"/>
        <v>1</v>
      </c>
      <c r="AI62" s="300">
        <f t="shared" si="33"/>
        <v>0.99810868191808266</v>
      </c>
      <c r="AJ62" s="300">
        <f t="shared" si="34"/>
        <v>1.0168059463368879</v>
      </c>
      <c r="AK62" s="300">
        <f t="shared" si="12"/>
        <v>1.0179213252275801</v>
      </c>
      <c r="AL62" s="300">
        <f t="shared" si="21"/>
        <v>1</v>
      </c>
      <c r="AM62" s="300">
        <f t="shared" si="13"/>
        <v>0.99890425825351215</v>
      </c>
      <c r="AN62" s="366">
        <f t="shared" si="25"/>
        <v>1</v>
      </c>
      <c r="AO62" s="300">
        <f t="shared" si="26"/>
        <v>1</v>
      </c>
      <c r="AP62" s="300">
        <f t="shared" si="27"/>
        <v>1</v>
      </c>
    </row>
    <row r="63" spans="1:42">
      <c r="A63" s="198">
        <f t="shared" si="35"/>
        <v>1908</v>
      </c>
      <c r="B63" s="1162">
        <f>TableUK1!D63</f>
        <v>180.23938829787238</v>
      </c>
      <c r="C63" s="959">
        <f t="shared" si="23"/>
        <v>1315.3551560315661</v>
      </c>
      <c r="D63" s="391">
        <f t="shared" si="28"/>
        <v>-4.5761078998073135E-2</v>
      </c>
      <c r="E63" s="390">
        <f t="shared" si="17"/>
        <v>1.4376785326700725E-2</v>
      </c>
      <c r="F63" s="1372">
        <f>TableUK6a!M63</f>
        <v>7.2978230144553429</v>
      </c>
      <c r="G63" s="365">
        <f>TableUK12c!B78</f>
        <v>9.0991031864857796E-2</v>
      </c>
      <c r="H63" s="365">
        <f t="shared" si="29"/>
        <v>1.828307739966185E-2</v>
      </c>
      <c r="I63" s="365">
        <f t="shared" si="5"/>
        <v>0</v>
      </c>
      <c r="J63" s="391">
        <f t="shared" si="18"/>
        <v>-3.8361553478197807E-3</v>
      </c>
      <c r="K63" s="390">
        <f t="shared" si="30"/>
        <v>1.4376785326700725E-2</v>
      </c>
      <c r="L63" s="29">
        <f t="shared" si="24"/>
        <v>7.2978230144553429</v>
      </c>
      <c r="M63" s="1968">
        <f>TableUK12c!B79</f>
        <v>0.10987061647444521</v>
      </c>
      <c r="N63" s="1968">
        <f t="shared" si="22"/>
        <v>1.3254014413422532E-2</v>
      </c>
      <c r="O63" s="1968">
        <f t="shared" si="7"/>
        <v>0</v>
      </c>
      <c r="P63" s="1971">
        <f t="shared" si="19"/>
        <v>1.1080843473669777E-3</v>
      </c>
      <c r="Q63" s="390"/>
      <c r="R63" s="308"/>
      <c r="S63" s="365"/>
      <c r="T63" s="365"/>
      <c r="U63" s="365"/>
      <c r="V63" s="2093">
        <f>TableUK5a!Q63</f>
        <v>0</v>
      </c>
      <c r="W63" s="365"/>
      <c r="X63" s="365"/>
      <c r="Y63" s="365"/>
      <c r="Z63" s="368"/>
      <c r="AA63" s="83"/>
      <c r="AB63" s="83"/>
      <c r="AC63" s="363"/>
      <c r="AF63" s="300">
        <f t="shared" si="31"/>
        <v>1.0143767853267007</v>
      </c>
      <c r="AG63" s="300">
        <f t="shared" si="32"/>
        <v>1.0182830773996618</v>
      </c>
      <c r="AH63" s="300">
        <f t="shared" si="20"/>
        <v>1</v>
      </c>
      <c r="AI63" s="300">
        <f t="shared" si="33"/>
        <v>0.99616384465218022</v>
      </c>
      <c r="AJ63" s="300">
        <f t="shared" si="34"/>
        <v>1.0143767853267007</v>
      </c>
      <c r="AK63" s="300">
        <f t="shared" si="12"/>
        <v>1.0132540144134226</v>
      </c>
      <c r="AL63" s="300">
        <f t="shared" si="21"/>
        <v>1</v>
      </c>
      <c r="AM63" s="300">
        <f t="shared" si="13"/>
        <v>1.001108084347367</v>
      </c>
      <c r="AN63" s="366">
        <f t="shared" si="25"/>
        <v>1</v>
      </c>
      <c r="AO63" s="300">
        <f t="shared" si="26"/>
        <v>1</v>
      </c>
      <c r="AP63" s="300">
        <f t="shared" si="27"/>
        <v>1</v>
      </c>
    </row>
    <row r="64" spans="1:42">
      <c r="A64" s="214">
        <f t="shared" si="35"/>
        <v>1909</v>
      </c>
      <c r="B64" s="1163">
        <f>TableUK1!D64</f>
        <v>181.13294736842104</v>
      </c>
      <c r="C64" s="1171">
        <f t="shared" si="23"/>
        <v>1328.5873713013482</v>
      </c>
      <c r="D64" s="1172">
        <f t="shared" si="28"/>
        <v>4.9576237413317958E-3</v>
      </c>
      <c r="E64" s="1181">
        <f t="shared" si="17"/>
        <v>1.005980415943597E-2</v>
      </c>
      <c r="F64" s="1381">
        <f>TableUK6a!M64</f>
        <v>7.3348741386017764</v>
      </c>
      <c r="G64" s="1184">
        <f>TableUK12c!B79</f>
        <v>0.10987061647444521</v>
      </c>
      <c r="H64" s="1184">
        <f t="shared" si="29"/>
        <v>1.2468243157531372E-2</v>
      </c>
      <c r="I64" s="1184">
        <f t="shared" si="5"/>
        <v>0</v>
      </c>
      <c r="J64" s="1172">
        <f t="shared" si="18"/>
        <v>-2.3787797932153243E-3</v>
      </c>
      <c r="K64" s="1181">
        <f t="shared" si="30"/>
        <v>1.005980415943597E-2</v>
      </c>
      <c r="L64" s="1963">
        <f t="shared" si="24"/>
        <v>7.3348741386017764</v>
      </c>
      <c r="M64" s="1969">
        <f>TableUK12c!B80</f>
        <v>0.12471250682840049</v>
      </c>
      <c r="N64" s="1969">
        <f t="shared" si="22"/>
        <v>1.5055259117248565E-2</v>
      </c>
      <c r="O64" s="1969">
        <f t="shared" si="7"/>
        <v>0</v>
      </c>
      <c r="P64" s="1972">
        <f t="shared" si="19"/>
        <v>-4.9213625691245655E-3</v>
      </c>
      <c r="Q64" s="1181"/>
      <c r="R64" s="550"/>
      <c r="S64" s="1184"/>
      <c r="T64" s="1184"/>
      <c r="U64" s="1184"/>
      <c r="V64" s="2092">
        <f>TableUK5a!Q64</f>
        <v>0</v>
      </c>
      <c r="W64" s="365"/>
      <c r="X64" s="365"/>
      <c r="Y64" s="365"/>
      <c r="Z64" s="368"/>
      <c r="AA64" s="83"/>
      <c r="AB64" s="83"/>
      <c r="AC64" s="363"/>
      <c r="AF64" s="300">
        <f t="shared" si="31"/>
        <v>1.010059804159436</v>
      </c>
      <c r="AG64" s="300">
        <f t="shared" si="32"/>
        <v>1.0124682431575314</v>
      </c>
      <c r="AH64" s="300">
        <f t="shared" si="20"/>
        <v>1</v>
      </c>
      <c r="AI64" s="300">
        <f t="shared" si="33"/>
        <v>0.99762122020678468</v>
      </c>
      <c r="AJ64" s="300">
        <f t="shared" si="34"/>
        <v>1.010059804159436</v>
      </c>
      <c r="AK64" s="300">
        <f t="shared" si="12"/>
        <v>1.0150552591172486</v>
      </c>
      <c r="AL64" s="300">
        <f t="shared" si="21"/>
        <v>1</v>
      </c>
      <c r="AM64" s="300">
        <f t="shared" si="13"/>
        <v>0.99507863743087543</v>
      </c>
      <c r="AN64" s="366">
        <f t="shared" si="25"/>
        <v>1</v>
      </c>
      <c r="AO64" s="300">
        <f t="shared" si="26"/>
        <v>1</v>
      </c>
      <c r="AP64" s="300">
        <f t="shared" si="27"/>
        <v>1</v>
      </c>
    </row>
    <row r="65" spans="1:42">
      <c r="A65" s="198">
        <f t="shared" si="35"/>
        <v>1910</v>
      </c>
      <c r="B65" s="1162">
        <f>TableUK1!D65</f>
        <v>187.7095572916667</v>
      </c>
      <c r="C65" s="959">
        <f t="shared" si="23"/>
        <v>1348.9639343859451</v>
      </c>
      <c r="D65" s="391">
        <f t="shared" si="28"/>
        <v>3.6308192511597337E-2</v>
      </c>
      <c r="E65" s="390">
        <f t="shared" si="17"/>
        <v>1.5337013977965386E-2</v>
      </c>
      <c r="F65" s="1372">
        <f>TableUK6a!M65</f>
        <v>7.1864424691487558</v>
      </c>
      <c r="G65" s="365">
        <f>TableUK12c!B80</f>
        <v>0.12471250682840049</v>
      </c>
      <c r="H65" s="365">
        <f t="shared" si="29"/>
        <v>1.497920951311504E-2</v>
      </c>
      <c r="I65" s="365">
        <f t="shared" si="5"/>
        <v>0</v>
      </c>
      <c r="J65" s="391">
        <f t="shared" si="18"/>
        <v>3.5252393497020584E-4</v>
      </c>
      <c r="K65" s="390">
        <f t="shared" si="30"/>
        <v>1.5337013977965386E-2</v>
      </c>
      <c r="L65" s="29">
        <f t="shared" si="24"/>
        <v>7.1864424691487558</v>
      </c>
      <c r="M65" s="1968">
        <f>TableUK12c!B81</f>
        <v>0.12875691726278837</v>
      </c>
      <c r="N65" s="1968">
        <f t="shared" si="22"/>
        <v>1.7002678501607395E-2</v>
      </c>
      <c r="O65" s="1968">
        <f t="shared" si="7"/>
        <v>0</v>
      </c>
      <c r="P65" s="1971">
        <f t="shared" si="19"/>
        <v>-1.6378172436045668E-3</v>
      </c>
      <c r="Q65" s="390"/>
      <c r="R65" s="308"/>
      <c r="S65" s="365"/>
      <c r="T65" s="365"/>
      <c r="U65" s="365"/>
      <c r="V65" s="2093">
        <f>TableUK5a!Q65</f>
        <v>0</v>
      </c>
      <c r="W65" s="365"/>
      <c r="X65" s="365"/>
      <c r="Y65" s="365"/>
      <c r="Z65" s="368"/>
      <c r="AA65" s="83"/>
      <c r="AB65" s="83"/>
      <c r="AC65" s="363"/>
      <c r="AF65" s="300">
        <f t="shared" si="31"/>
        <v>1.0153370139779654</v>
      </c>
      <c r="AG65" s="300">
        <f t="shared" si="32"/>
        <v>1.0149792095131149</v>
      </c>
      <c r="AH65" s="300">
        <f t="shared" si="20"/>
        <v>1</v>
      </c>
      <c r="AI65" s="300">
        <f t="shared" si="33"/>
        <v>1.0003525239349702</v>
      </c>
      <c r="AJ65" s="300">
        <f t="shared" si="34"/>
        <v>1.0153370139779654</v>
      </c>
      <c r="AK65" s="300">
        <f t="shared" si="12"/>
        <v>1.0170026785016073</v>
      </c>
      <c r="AL65" s="300">
        <f t="shared" si="21"/>
        <v>1</v>
      </c>
      <c r="AM65" s="300">
        <f t="shared" si="13"/>
        <v>0.99836218275639543</v>
      </c>
      <c r="AN65" s="366">
        <f t="shared" si="25"/>
        <v>1</v>
      </c>
      <c r="AO65" s="300">
        <f t="shared" si="26"/>
        <v>1</v>
      </c>
      <c r="AP65" s="300">
        <f t="shared" si="27"/>
        <v>1</v>
      </c>
    </row>
    <row r="66" spans="1:42">
      <c r="A66" s="198">
        <f t="shared" si="35"/>
        <v>1911</v>
      </c>
      <c r="B66" s="1162">
        <f>TableUK1!D66</f>
        <v>195.28208333333336</v>
      </c>
      <c r="C66" s="959">
        <f t="shared" si="23"/>
        <v>1367.6496680972214</v>
      </c>
      <c r="D66" s="391">
        <f t="shared" si="28"/>
        <v>4.0341718082581801E-2</v>
      </c>
      <c r="E66" s="390">
        <f t="shared" si="17"/>
        <v>1.3851914965971268E-2</v>
      </c>
      <c r="F66" s="1372">
        <f>TableUK6a!M66</f>
        <v>7.0034569723569335</v>
      </c>
      <c r="G66" s="365">
        <f>TableUK12c!B81</f>
        <v>0.12875691726278837</v>
      </c>
      <c r="H66" s="365">
        <f t="shared" si="29"/>
        <v>1.735385865312199E-2</v>
      </c>
      <c r="I66" s="365">
        <f t="shared" si="5"/>
        <v>0</v>
      </c>
      <c r="J66" s="391">
        <f t="shared" si="18"/>
        <v>-3.4422080944253031E-3</v>
      </c>
      <c r="K66" s="390">
        <f t="shared" si="30"/>
        <v>1.3851914965971268E-2</v>
      </c>
      <c r="L66" s="29">
        <f t="shared" si="24"/>
        <v>7.0034569723569335</v>
      </c>
      <c r="M66" s="1968">
        <f>TableUK12c!B82</f>
        <v>0.12047828657775432</v>
      </c>
      <c r="N66" s="1968">
        <f t="shared" si="22"/>
        <v>1.7916642040277798E-2</v>
      </c>
      <c r="O66" s="1968">
        <f t="shared" si="7"/>
        <v>0</v>
      </c>
      <c r="P66" s="1971">
        <f t="shared" si="19"/>
        <v>-3.9931826501622414E-3</v>
      </c>
      <c r="Q66" s="390"/>
      <c r="R66" s="308"/>
      <c r="S66" s="365"/>
      <c r="T66" s="365"/>
      <c r="U66" s="365"/>
      <c r="V66" s="2093">
        <f>TableUK5a!Q66</f>
        <v>0</v>
      </c>
      <c r="W66" s="365"/>
      <c r="X66" s="365"/>
      <c r="Y66" s="365"/>
      <c r="Z66" s="368"/>
      <c r="AA66" s="83"/>
      <c r="AB66" s="83"/>
      <c r="AC66" s="363"/>
      <c r="AF66" s="300">
        <f t="shared" si="31"/>
        <v>1.0138519149659713</v>
      </c>
      <c r="AG66" s="300">
        <f t="shared" si="32"/>
        <v>1.0173538586531219</v>
      </c>
      <c r="AH66" s="300">
        <f t="shared" si="20"/>
        <v>1</v>
      </c>
      <c r="AI66" s="300">
        <f t="shared" si="33"/>
        <v>0.9965577919055747</v>
      </c>
      <c r="AJ66" s="300">
        <f t="shared" si="34"/>
        <v>1.0138519149659713</v>
      </c>
      <c r="AK66" s="300">
        <f t="shared" si="12"/>
        <v>1.0179166420402779</v>
      </c>
      <c r="AL66" s="300">
        <f t="shared" si="21"/>
        <v>1</v>
      </c>
      <c r="AM66" s="300">
        <f t="shared" si="13"/>
        <v>0.99600681734983776</v>
      </c>
      <c r="AN66" s="366">
        <f t="shared" si="25"/>
        <v>1</v>
      </c>
      <c r="AO66" s="300">
        <f t="shared" si="26"/>
        <v>1</v>
      </c>
      <c r="AP66" s="300">
        <f t="shared" si="27"/>
        <v>1</v>
      </c>
    </row>
    <row r="67" spans="1:42">
      <c r="A67" s="198">
        <f t="shared" si="35"/>
        <v>1912</v>
      </c>
      <c r="B67" s="1162">
        <f>TableUK1!D67</f>
        <v>199.03999999999996</v>
      </c>
      <c r="C67" s="959">
        <f t="shared" si="23"/>
        <v>1391.1098481856254</v>
      </c>
      <c r="D67" s="391">
        <f t="shared" si="28"/>
        <v>1.9243530192434966E-2</v>
      </c>
      <c r="E67" s="390">
        <f t="shared" si="17"/>
        <v>1.7153647337950106E-2</v>
      </c>
      <c r="F67" s="1372">
        <f>TableUK6a!M67</f>
        <v>6.9890969060772994</v>
      </c>
      <c r="G67" s="365">
        <f>TableUK12c!B82</f>
        <v>0.12047828657775432</v>
      </c>
      <c r="H67" s="365">
        <f t="shared" si="29"/>
        <v>1.8384765947873982E-2</v>
      </c>
      <c r="I67" s="365">
        <f t="shared" si="5"/>
        <v>0</v>
      </c>
      <c r="J67" s="391">
        <f t="shared" si="18"/>
        <v>-1.2088933879308428E-3</v>
      </c>
      <c r="K67" s="390">
        <f t="shared" si="30"/>
        <v>1.7153647337950106E-2</v>
      </c>
      <c r="L67" s="29">
        <f t="shared" si="24"/>
        <v>6.9890969060772994</v>
      </c>
      <c r="M67" s="1968">
        <f>TableUK12c!B83</f>
        <v>0.14535352407882812</v>
      </c>
      <c r="N67" s="1968">
        <f t="shared" si="22"/>
        <v>1.720268819431452E-2</v>
      </c>
      <c r="O67" s="1968">
        <f t="shared" si="7"/>
        <v>0</v>
      </c>
      <c r="P67" s="1971">
        <f t="shared" si="19"/>
        <v>-4.8211489149241338E-5</v>
      </c>
      <c r="Q67" s="390"/>
      <c r="R67" s="308"/>
      <c r="S67" s="365"/>
      <c r="T67" s="365"/>
      <c r="U67" s="365"/>
      <c r="V67" s="2093">
        <f>TableUK5a!Q67</f>
        <v>0</v>
      </c>
      <c r="W67" s="365"/>
      <c r="X67" s="365"/>
      <c r="Y67" s="365"/>
      <c r="Z67" s="369"/>
      <c r="AA67" s="83"/>
      <c r="AB67" s="83"/>
      <c r="AC67" s="363"/>
      <c r="AF67" s="300">
        <f t="shared" si="31"/>
        <v>1.0171536473379501</v>
      </c>
      <c r="AG67" s="300">
        <f t="shared" si="32"/>
        <v>1.018384765947874</v>
      </c>
      <c r="AH67" s="300">
        <f t="shared" si="20"/>
        <v>1</v>
      </c>
      <c r="AI67" s="300">
        <f t="shared" si="33"/>
        <v>0.99879110661206916</v>
      </c>
      <c r="AJ67" s="300">
        <f t="shared" si="34"/>
        <v>1.0171536473379501</v>
      </c>
      <c r="AK67" s="300">
        <f t="shared" si="12"/>
        <v>1.0172026881943146</v>
      </c>
      <c r="AL67" s="300">
        <f t="shared" si="21"/>
        <v>1</v>
      </c>
      <c r="AM67" s="300">
        <f t="shared" si="13"/>
        <v>0.99995178851085076</v>
      </c>
      <c r="AN67" s="366">
        <f t="shared" si="25"/>
        <v>1</v>
      </c>
      <c r="AO67" s="300">
        <f t="shared" si="26"/>
        <v>1</v>
      </c>
      <c r="AP67" s="300">
        <f t="shared" si="27"/>
        <v>1</v>
      </c>
    </row>
    <row r="68" spans="1:42">
      <c r="A68" s="198">
        <f t="shared" si="35"/>
        <v>1913</v>
      </c>
      <c r="B68" s="1162">
        <f>TableUK1!D68</f>
        <v>207.79084183673476</v>
      </c>
      <c r="C68" s="959">
        <f t="shared" si="23"/>
        <v>1411.5988520408162</v>
      </c>
      <c r="D68" s="391">
        <f t="shared" si="28"/>
        <v>4.3965242346939215E-2</v>
      </c>
      <c r="E68" s="390">
        <f t="shared" si="17"/>
        <v>1.4728530519652283E-2</v>
      </c>
      <c r="F68" s="1372">
        <f>TableUK6a!M68</f>
        <v>6.7933641327173433</v>
      </c>
      <c r="G68" s="365">
        <f>TableUK12c!B83</f>
        <v>0.14535352407882812</v>
      </c>
      <c r="H68" s="365">
        <f t="shared" si="29"/>
        <v>1.7238033496572873E-2</v>
      </c>
      <c r="I68" s="365">
        <f t="shared" si="5"/>
        <v>0</v>
      </c>
      <c r="J68" s="391">
        <f t="shared" si="18"/>
        <v>-2.4669771423062592E-3</v>
      </c>
      <c r="K68" s="390">
        <f t="shared" si="30"/>
        <v>1.4728530519652283E-2</v>
      </c>
      <c r="L68" s="29">
        <f t="shared" si="24"/>
        <v>6.7933641327173433</v>
      </c>
      <c r="M68" s="1968">
        <f>TableUK12c!B84</f>
        <v>0.1061311197612877</v>
      </c>
      <c r="N68" s="1968">
        <f t="shared" si="22"/>
        <v>2.0797182530469339E-2</v>
      </c>
      <c r="O68" s="1968">
        <f t="shared" si="7"/>
        <v>0</v>
      </c>
      <c r="P68" s="1971">
        <f t="shared" si="19"/>
        <v>-5.9450125006942356E-3</v>
      </c>
      <c r="Q68" s="390"/>
      <c r="R68" s="308"/>
      <c r="S68" s="365"/>
      <c r="T68" s="365"/>
      <c r="U68" s="365"/>
      <c r="V68" s="2093">
        <f>TableUK5a!Q68</f>
        <v>0</v>
      </c>
      <c r="W68" s="365"/>
      <c r="X68" s="365"/>
      <c r="Y68" s="361"/>
      <c r="Z68" s="369"/>
      <c r="AA68" s="83"/>
      <c r="AB68" s="83"/>
      <c r="AC68" s="363"/>
      <c r="AF68" s="300">
        <f t="shared" si="31"/>
        <v>1.0147285305196523</v>
      </c>
      <c r="AG68" s="300">
        <f t="shared" si="32"/>
        <v>1.0172380334965729</v>
      </c>
      <c r="AH68" s="300">
        <f t="shared" si="20"/>
        <v>1</v>
      </c>
      <c r="AI68" s="300">
        <f t="shared" si="33"/>
        <v>0.99753302285769374</v>
      </c>
      <c r="AJ68" s="300">
        <f t="shared" si="34"/>
        <v>1.0147285305196523</v>
      </c>
      <c r="AK68" s="300">
        <f t="shared" si="12"/>
        <v>1.0207971825304694</v>
      </c>
      <c r="AL68" s="300">
        <f t="shared" si="21"/>
        <v>1</v>
      </c>
      <c r="AM68" s="300">
        <f t="shared" si="13"/>
        <v>0.99405498749930576</v>
      </c>
      <c r="AN68" s="366">
        <f t="shared" si="25"/>
        <v>1</v>
      </c>
      <c r="AO68" s="300">
        <f t="shared" si="26"/>
        <v>1</v>
      </c>
      <c r="AP68" s="300">
        <f t="shared" si="27"/>
        <v>1</v>
      </c>
    </row>
    <row r="69" spans="1:42">
      <c r="A69" s="198">
        <f t="shared" si="35"/>
        <v>1914</v>
      </c>
      <c r="B69" s="1162">
        <f>TableUK1!D69</f>
        <v>213.98704081632653</v>
      </c>
      <c r="C69" s="959">
        <f t="shared" si="23"/>
        <v>1200.3185958568533</v>
      </c>
      <c r="D69" s="391">
        <f t="shared" si="28"/>
        <v>2.9819403611927475E-2</v>
      </c>
      <c r="E69" s="390">
        <f t="shared" si="17"/>
        <v>-0.14967443185328821</v>
      </c>
      <c r="F69" s="1372">
        <f>TableUK6a!M69</f>
        <v>5.6093050835126688</v>
      </c>
      <c r="G69" s="365">
        <f>TableUK12c!B84</f>
        <v>0.1061311197612877</v>
      </c>
      <c r="H69" s="365">
        <f t="shared" si="29"/>
        <v>2.1396398196704167E-2</v>
      </c>
      <c r="I69" s="365">
        <f t="shared" si="5"/>
        <v>0</v>
      </c>
      <c r="J69" s="391">
        <f t="shared" si="18"/>
        <v>-0.1674872070745711</v>
      </c>
      <c r="K69" s="390">
        <f t="shared" si="30"/>
        <v>-0.14967443185328821</v>
      </c>
      <c r="L69" s="29">
        <f t="shared" si="24"/>
        <v>5.6093050835126688</v>
      </c>
      <c r="M69" s="1968">
        <f>TableUK12c!B85</f>
        <v>-7.7501410328734865E-2</v>
      </c>
      <c r="N69" s="1968">
        <f t="shared" si="22"/>
        <v>1.5622763286035617E-2</v>
      </c>
      <c r="O69" s="1968">
        <f t="shared" si="7"/>
        <v>0</v>
      </c>
      <c r="P69" s="1971">
        <f t="shared" si="19"/>
        <v>-0.1627545198027136</v>
      </c>
      <c r="Q69" s="390"/>
      <c r="R69" s="308"/>
      <c r="S69" s="365"/>
      <c r="T69" s="365"/>
      <c r="U69" s="365"/>
      <c r="V69" s="2093">
        <f>TableUK5a!Q69</f>
        <v>0</v>
      </c>
      <c r="W69" s="365"/>
      <c r="X69" s="365"/>
      <c r="Y69" s="365"/>
      <c r="Z69" s="368"/>
      <c r="AA69" s="83"/>
      <c r="AB69" s="83"/>
      <c r="AC69" s="363"/>
      <c r="AF69" s="300">
        <f t="shared" si="31"/>
        <v>0.85032556814671179</v>
      </c>
      <c r="AG69" s="300">
        <f t="shared" si="32"/>
        <v>1.0213963981967042</v>
      </c>
      <c r="AH69" s="300">
        <f t="shared" si="20"/>
        <v>1</v>
      </c>
      <c r="AI69" s="300">
        <f t="shared" si="33"/>
        <v>0.8325127929254289</v>
      </c>
      <c r="AJ69" s="300">
        <f t="shared" si="34"/>
        <v>0.85032556814671179</v>
      </c>
      <c r="AK69" s="300">
        <f t="shared" si="12"/>
        <v>1.0156227632860355</v>
      </c>
      <c r="AL69" s="300">
        <f t="shared" si="21"/>
        <v>1</v>
      </c>
      <c r="AM69" s="300">
        <f t="shared" si="13"/>
        <v>0.8372454801972864</v>
      </c>
      <c r="AN69" s="366">
        <f t="shared" si="25"/>
        <v>1</v>
      </c>
      <c r="AO69" s="300">
        <f t="shared" si="26"/>
        <v>1</v>
      </c>
      <c r="AP69" s="300">
        <f t="shared" si="27"/>
        <v>1</v>
      </c>
    </row>
    <row r="70" spans="1:42">
      <c r="A70" s="198">
        <f t="shared" si="35"/>
        <v>1915</v>
      </c>
      <c r="B70" s="1162">
        <f>TableUK1!D70</f>
        <v>227.41874999999999</v>
      </c>
      <c r="C70" s="959">
        <f t="shared" si="23"/>
        <v>1008.0635605068202</v>
      </c>
      <c r="D70" s="391">
        <f t="shared" si="28"/>
        <v>6.2768797271244292E-2</v>
      </c>
      <c r="E70" s="390">
        <f t="shared" si="17"/>
        <v>-0.16017000487507316</v>
      </c>
      <c r="F70" s="1372">
        <f>TableUK6a!M70</f>
        <v>4.432631700362526</v>
      </c>
      <c r="G70" s="365">
        <f>TableUK12c!B85</f>
        <v>-7.7501410328734865E-2</v>
      </c>
      <c r="H70" s="365">
        <f t="shared" si="29"/>
        <v>1.89205468736648E-2</v>
      </c>
      <c r="I70" s="365">
        <f t="shared" si="5"/>
        <v>0</v>
      </c>
      <c r="J70" s="391">
        <f t="shared" si="18"/>
        <v>-0.17576498216493741</v>
      </c>
      <c r="K70" s="390">
        <f t="shared" si="30"/>
        <v>-0.16017000487507316</v>
      </c>
      <c r="L70" s="29">
        <f t="shared" si="24"/>
        <v>4.432631700362526</v>
      </c>
      <c r="M70" s="1968">
        <f>TableUK12c!B86</f>
        <v>-7.8001829481557261E-2</v>
      </c>
      <c r="N70" s="1968">
        <f t="shared" si="22"/>
        <v>-1.3816579625261139E-2</v>
      </c>
      <c r="O70" s="1968">
        <f t="shared" si="7"/>
        <v>0</v>
      </c>
      <c r="P70" s="1971">
        <f t="shared" si="19"/>
        <v>-0.14840385898416275</v>
      </c>
      <c r="Q70" s="390"/>
      <c r="R70" s="308"/>
      <c r="S70" s="365"/>
      <c r="T70" s="365"/>
      <c r="U70" s="365"/>
      <c r="V70" s="2093">
        <f>TableUK5a!Q70</f>
        <v>0</v>
      </c>
      <c r="W70" s="365"/>
      <c r="X70" s="365"/>
      <c r="Y70" s="365"/>
      <c r="Z70" s="368"/>
      <c r="AA70" s="83"/>
      <c r="AB70" s="83"/>
      <c r="AC70" s="363"/>
      <c r="AF70" s="300">
        <f t="shared" si="31"/>
        <v>0.83982999512492684</v>
      </c>
      <c r="AG70" s="300">
        <f t="shared" si="32"/>
        <v>1.0189205468736648</v>
      </c>
      <c r="AH70" s="300">
        <f t="shared" si="20"/>
        <v>1</v>
      </c>
      <c r="AI70" s="300">
        <f t="shared" si="33"/>
        <v>0.82423501783506259</v>
      </c>
      <c r="AJ70" s="300">
        <f t="shared" si="34"/>
        <v>0.83982999512492684</v>
      </c>
      <c r="AK70" s="300">
        <f t="shared" si="12"/>
        <v>0.98618342037473883</v>
      </c>
      <c r="AL70" s="300">
        <f t="shared" si="21"/>
        <v>1</v>
      </c>
      <c r="AM70" s="300">
        <f t="shared" si="13"/>
        <v>0.85159614101583725</v>
      </c>
      <c r="AN70" s="366">
        <f t="shared" si="25"/>
        <v>1</v>
      </c>
      <c r="AO70" s="300">
        <f t="shared" si="26"/>
        <v>1</v>
      </c>
      <c r="AP70" s="300">
        <f t="shared" si="27"/>
        <v>1</v>
      </c>
    </row>
    <row r="71" spans="1:42">
      <c r="A71" s="198">
        <f t="shared" si="35"/>
        <v>1916</v>
      </c>
      <c r="B71" s="1162">
        <f>TableUK1!D71</f>
        <v>234.00955769230771</v>
      </c>
      <c r="C71" s="959">
        <f t="shared" si="23"/>
        <v>822.45616076309454</v>
      </c>
      <c r="D71" s="391">
        <f t="shared" si="28"/>
        <v>2.8980933596318259E-2</v>
      </c>
      <c r="E71" s="390">
        <f t="shared" si="17"/>
        <v>-0.18412271508991818</v>
      </c>
      <c r="F71" s="1372">
        <f>TableUK6a!M71</f>
        <v>3.514626363443317</v>
      </c>
      <c r="G71" s="365">
        <f>TableUK12c!B86</f>
        <v>-7.8001829481557261E-2</v>
      </c>
      <c r="H71" s="365">
        <f t="shared" si="29"/>
        <v>-1.7484288244023604E-2</v>
      </c>
      <c r="I71" s="365">
        <f t="shared" si="5"/>
        <v>0</v>
      </c>
      <c r="J71" s="391">
        <f t="shared" si="18"/>
        <v>-0.16960382908083405</v>
      </c>
      <c r="K71" s="390">
        <f t="shared" si="30"/>
        <v>-0.18412271508991818</v>
      </c>
      <c r="L71" s="29">
        <f t="shared" si="24"/>
        <v>3.514626363443317</v>
      </c>
      <c r="M71" s="1968">
        <f>TableUK12c!B87</f>
        <v>-2.5681803528830316E-2</v>
      </c>
      <c r="N71" s="1968">
        <f t="shared" si="22"/>
        <v>-1.7597182611670134E-2</v>
      </c>
      <c r="O71" s="1968">
        <f t="shared" si="7"/>
        <v>0</v>
      </c>
      <c r="P71" s="1971">
        <f t="shared" si="19"/>
        <v>-0.16950840279647006</v>
      </c>
      <c r="Q71" s="390"/>
      <c r="R71" s="308"/>
      <c r="S71" s="365"/>
      <c r="T71" s="365"/>
      <c r="U71" s="365"/>
      <c r="V71" s="2093">
        <f>TableUK5a!Q71</f>
        <v>0</v>
      </c>
      <c r="W71" s="365"/>
      <c r="X71" s="365"/>
      <c r="Y71" s="365"/>
      <c r="Z71" s="368"/>
      <c r="AA71" s="83"/>
      <c r="AB71" s="83"/>
      <c r="AC71" s="363"/>
      <c r="AF71" s="300">
        <f t="shared" si="31"/>
        <v>0.81587728491008182</v>
      </c>
      <c r="AG71" s="300">
        <f t="shared" si="32"/>
        <v>0.98251571175597641</v>
      </c>
      <c r="AH71" s="300">
        <f t="shared" si="20"/>
        <v>1</v>
      </c>
      <c r="AI71" s="300">
        <f t="shared" si="33"/>
        <v>0.83039617091916595</v>
      </c>
      <c r="AJ71" s="300">
        <f t="shared" si="34"/>
        <v>0.81587728491008182</v>
      </c>
      <c r="AK71" s="300">
        <f t="shared" si="12"/>
        <v>0.98240281738832991</v>
      </c>
      <c r="AL71" s="300">
        <f t="shared" si="21"/>
        <v>1</v>
      </c>
      <c r="AM71" s="300">
        <f t="shared" si="13"/>
        <v>0.83049159720352994</v>
      </c>
      <c r="AN71" s="366">
        <f t="shared" si="25"/>
        <v>1</v>
      </c>
      <c r="AO71" s="300">
        <f t="shared" si="26"/>
        <v>1</v>
      </c>
      <c r="AP71" s="300">
        <f t="shared" si="27"/>
        <v>1</v>
      </c>
    </row>
    <row r="72" spans="1:42">
      <c r="A72" s="198">
        <f t="shared" si="35"/>
        <v>1917</v>
      </c>
      <c r="B72" s="1162">
        <f>TableUK1!D72</f>
        <v>218.84955521472395</v>
      </c>
      <c r="C72" s="959">
        <f t="shared" si="23"/>
        <v>686.78444375817264</v>
      </c>
      <c r="D72" s="391">
        <f t="shared" si="28"/>
        <v>-6.4783689294935609E-2</v>
      </c>
      <c r="E72" s="390">
        <f t="shared" si="17"/>
        <v>-0.1649592081346225</v>
      </c>
      <c r="F72" s="1372">
        <f>TableUK6a!M72</f>
        <v>3.1381578230046436</v>
      </c>
      <c r="G72" s="365">
        <f>TableUK12c!B87</f>
        <v>-2.5681803528830316E-2</v>
      </c>
      <c r="H72" s="365">
        <f t="shared" si="29"/>
        <v>-2.2193491260657942E-2</v>
      </c>
      <c r="I72" s="365">
        <f t="shared" si="5"/>
        <v>0</v>
      </c>
      <c r="J72" s="391">
        <f t="shared" si="18"/>
        <v>-0.14600610202321962</v>
      </c>
      <c r="K72" s="390">
        <f t="shared" si="30"/>
        <v>-0.1649592081346225</v>
      </c>
      <c r="L72" s="29">
        <f t="shared" si="24"/>
        <v>3.1381578230046436</v>
      </c>
      <c r="M72" s="1968">
        <f>TableUK12c!B88</f>
        <v>-6.1395960399036054E-2</v>
      </c>
      <c r="N72" s="1968">
        <f t="shared" si="22"/>
        <v>-7.3071219734633696E-3</v>
      </c>
      <c r="O72" s="1968">
        <f t="shared" si="7"/>
        <v>0</v>
      </c>
      <c r="P72" s="1971">
        <f t="shared" si="19"/>
        <v>-0.15881254882634988</v>
      </c>
      <c r="Q72" s="390"/>
      <c r="R72" s="308"/>
      <c r="S72" s="365"/>
      <c r="T72" s="365"/>
      <c r="U72" s="365"/>
      <c r="V72" s="2093">
        <f>TableUK5a!Q72</f>
        <v>0</v>
      </c>
      <c r="W72" s="365"/>
      <c r="X72" s="365"/>
      <c r="Y72" s="365"/>
      <c r="Z72" s="368"/>
      <c r="AA72" s="83"/>
      <c r="AB72" s="83"/>
      <c r="AC72" s="363"/>
      <c r="AF72" s="300">
        <f t="shared" si="31"/>
        <v>0.8350407918653775</v>
      </c>
      <c r="AG72" s="300">
        <f t="shared" si="32"/>
        <v>0.97780650873934205</v>
      </c>
      <c r="AH72" s="300">
        <f t="shared" si="20"/>
        <v>1</v>
      </c>
      <c r="AI72" s="300">
        <f t="shared" si="33"/>
        <v>0.85399389797678038</v>
      </c>
      <c r="AJ72" s="300">
        <f t="shared" si="34"/>
        <v>0.8350407918653775</v>
      </c>
      <c r="AK72" s="300">
        <f t="shared" si="12"/>
        <v>0.99269287802653661</v>
      </c>
      <c r="AL72" s="300">
        <f t="shared" si="21"/>
        <v>1</v>
      </c>
      <c r="AM72" s="300">
        <f t="shared" si="13"/>
        <v>0.84118745117365012</v>
      </c>
      <c r="AN72" s="366">
        <f t="shared" si="25"/>
        <v>1</v>
      </c>
      <c r="AO72" s="300">
        <f t="shared" si="26"/>
        <v>1</v>
      </c>
      <c r="AP72" s="300">
        <f t="shared" si="27"/>
        <v>1</v>
      </c>
    </row>
    <row r="73" spans="1:42">
      <c r="A73" s="198">
        <f t="shared" si="35"/>
        <v>1918</v>
      </c>
      <c r="B73" s="1162">
        <f>TableUK1!D73</f>
        <v>205.73275125628143</v>
      </c>
      <c r="C73" s="959">
        <f t="shared" si="23"/>
        <v>597.22143260863345</v>
      </c>
      <c r="D73" s="391">
        <f t="shared" si="28"/>
        <v>-5.9935255274213284E-2</v>
      </c>
      <c r="E73" s="390">
        <f t="shared" si="17"/>
        <v>-0.13040920184423355</v>
      </c>
      <c r="F73" s="1372">
        <f>TableUK6a!M73</f>
        <v>2.9028991687603218</v>
      </c>
      <c r="G73" s="365">
        <f>TableUK12c!B88</f>
        <v>-6.1395960399036054E-2</v>
      </c>
      <c r="H73" s="365">
        <f t="shared" si="29"/>
        <v>-8.1837195505486578E-3</v>
      </c>
      <c r="I73" s="365">
        <f t="shared" si="5"/>
        <v>0</v>
      </c>
      <c r="J73" s="391">
        <f t="shared" si="18"/>
        <v>-0.12323399474577812</v>
      </c>
      <c r="K73" s="390">
        <f t="shared" si="30"/>
        <v>-0.13040920184423355</v>
      </c>
      <c r="L73" s="29">
        <f t="shared" si="24"/>
        <v>2.9028991687603218</v>
      </c>
      <c r="M73" s="1968">
        <f>TableUK12c!B89</f>
        <v>-1.4411115596780474E-2</v>
      </c>
      <c r="N73" s="1968">
        <f t="shared" si="22"/>
        <v>-1.9564331643541179E-2</v>
      </c>
      <c r="O73" s="1968">
        <f t="shared" si="7"/>
        <v>0</v>
      </c>
      <c r="P73" s="1971">
        <f t="shared" si="19"/>
        <v>-0.11305674995128012</v>
      </c>
      <c r="Q73" s="390"/>
      <c r="R73" s="308"/>
      <c r="S73" s="365"/>
      <c r="T73" s="365"/>
      <c r="U73" s="365"/>
      <c r="V73" s="2093">
        <f>TableUK5a!Q73</f>
        <v>0</v>
      </c>
      <c r="W73" s="365"/>
      <c r="X73" s="365"/>
      <c r="Y73" s="365"/>
      <c r="Z73" s="368"/>
      <c r="AA73" s="83"/>
      <c r="AB73" s="83"/>
      <c r="AC73" s="363"/>
      <c r="AF73" s="300">
        <f t="shared" si="31"/>
        <v>0.86959079815576645</v>
      </c>
      <c r="AG73" s="300">
        <f t="shared" si="32"/>
        <v>0.99181628044945136</v>
      </c>
      <c r="AH73" s="300">
        <f t="shared" si="20"/>
        <v>1</v>
      </c>
      <c r="AI73" s="300">
        <f t="shared" si="33"/>
        <v>0.87676600525422188</v>
      </c>
      <c r="AJ73" s="300">
        <f t="shared" si="34"/>
        <v>0.86959079815576645</v>
      </c>
      <c r="AK73" s="300">
        <f t="shared" si="12"/>
        <v>0.98043566835645879</v>
      </c>
      <c r="AL73" s="300">
        <f t="shared" si="21"/>
        <v>1</v>
      </c>
      <c r="AM73" s="300">
        <f t="shared" si="13"/>
        <v>0.88694325004871988</v>
      </c>
      <c r="AN73" s="366">
        <f t="shared" si="25"/>
        <v>1</v>
      </c>
      <c r="AO73" s="300">
        <f t="shared" si="26"/>
        <v>1</v>
      </c>
      <c r="AP73" s="300">
        <f t="shared" si="27"/>
        <v>1</v>
      </c>
    </row>
    <row r="74" spans="1:42">
      <c r="A74" s="214">
        <v>1919</v>
      </c>
      <c r="B74" s="1163">
        <f>TableUK1!D74</f>
        <v>201.27664383561645</v>
      </c>
      <c r="C74" s="1171">
        <f>F74*B74</f>
        <v>512.45579653697564</v>
      </c>
      <c r="D74" s="1172">
        <f t="shared" si="28"/>
        <v>-2.1659689055117948E-2</v>
      </c>
      <c r="E74" s="1181">
        <f t="shared" si="17"/>
        <v>-0.14193334572975014</v>
      </c>
      <c r="F74" s="1381">
        <f>TableUK6a!M74</f>
        <v>2.5460271334586668</v>
      </c>
      <c r="G74" s="1184">
        <f>TableUK12c!B89</f>
        <v>-1.4411115596780474E-2</v>
      </c>
      <c r="H74" s="1184">
        <f t="shared" si="29"/>
        <v>-2.1149877012523001E-2</v>
      </c>
      <c r="I74" s="1184">
        <f t="shared" si="5"/>
        <v>0</v>
      </c>
      <c r="J74" s="1172">
        <f t="shared" si="18"/>
        <v>-0.12339322014752652</v>
      </c>
      <c r="K74" s="1181">
        <f t="shared" si="30"/>
        <v>-0.14193334572975014</v>
      </c>
      <c r="L74" s="1963">
        <f t="shared" ref="L74:L83" si="36">F74</f>
        <v>2.5460271334586668</v>
      </c>
      <c r="M74" s="1969">
        <f>TableUK12c!B90</f>
        <v>7.4158467115484281E-2</v>
      </c>
      <c r="N74" s="1969">
        <f t="shared" si="22"/>
        <v>-4.9643872415088795E-3</v>
      </c>
      <c r="O74" s="1969">
        <f t="shared" si="7"/>
        <v>0</v>
      </c>
      <c r="P74" s="1972">
        <f t="shared" si="19"/>
        <v>-0.13765231789898313</v>
      </c>
      <c r="Q74" s="1181"/>
      <c r="R74" s="550"/>
      <c r="S74" s="1184"/>
      <c r="T74" s="1184"/>
      <c r="U74" s="1184"/>
      <c r="V74" s="2092">
        <f>TableUK5a!Q74</f>
        <v>0</v>
      </c>
      <c r="W74" s="365"/>
      <c r="X74" s="365"/>
      <c r="Y74" s="365"/>
      <c r="Z74" s="368"/>
      <c r="AA74" s="83"/>
      <c r="AB74" s="83"/>
      <c r="AC74" s="363"/>
      <c r="AF74" s="300">
        <f t="shared" si="31"/>
        <v>0.85806665427024986</v>
      </c>
      <c r="AG74" s="300">
        <f t="shared" si="32"/>
        <v>0.97885012298747698</v>
      </c>
      <c r="AH74" s="300">
        <f t="shared" si="20"/>
        <v>1</v>
      </c>
      <c r="AI74" s="300">
        <f t="shared" si="33"/>
        <v>0.87660677985247348</v>
      </c>
      <c r="AJ74" s="300">
        <f t="shared" si="34"/>
        <v>0.85806665427024986</v>
      </c>
      <c r="AK74" s="300">
        <f t="shared" si="12"/>
        <v>0.99503561275849117</v>
      </c>
      <c r="AL74" s="300">
        <f t="shared" si="21"/>
        <v>1</v>
      </c>
      <c r="AM74" s="300">
        <f t="shared" si="13"/>
        <v>0.86234768210101687</v>
      </c>
      <c r="AN74" s="366">
        <f t="shared" ref="AN74:AN105" si="37">1+Q74</f>
        <v>1</v>
      </c>
      <c r="AO74" s="300">
        <f t="shared" ref="AO74:AO105" si="38">1+T74</f>
        <v>1</v>
      </c>
      <c r="AP74" s="300">
        <f t="shared" ref="AP74:AP105" si="39">1+U74</f>
        <v>1</v>
      </c>
    </row>
    <row r="75" spans="1:42">
      <c r="A75" s="198" t="s">
        <v>652</v>
      </c>
      <c r="B75" s="1162">
        <f>TableUK1!D76</f>
        <v>177.37141304347827</v>
      </c>
      <c r="C75" s="959">
        <f>F75*B75</f>
        <v>448.86156038515935</v>
      </c>
      <c r="D75" s="391">
        <f>B75/B74-1</f>
        <v>-0.11876803158374249</v>
      </c>
      <c r="E75" s="390">
        <f t="shared" si="17"/>
        <v>-0.12409701789221084</v>
      </c>
      <c r="F75" s="1372">
        <f>TableUK6a!M75</f>
        <v>2.5306307971687181</v>
      </c>
      <c r="G75" s="365">
        <f>TableUK12c!B91</f>
        <v>7.4158467115484281E-2</v>
      </c>
      <c r="H75" s="365">
        <f>G74/F74</f>
        <v>-5.6602364552193925E-3</v>
      </c>
      <c r="I75" s="365">
        <f t="shared" ref="I75:I138" si="40">V75/F75</f>
        <v>0</v>
      </c>
      <c r="J75" s="391">
        <f t="shared" si="18"/>
        <v>-0.11911097773538615</v>
      </c>
      <c r="K75" s="390">
        <f t="shared" ref="K75:K106" si="41">(1+D75)*(L75/L74)-1</f>
        <v>-0.12409701789221084</v>
      </c>
      <c r="L75" s="29">
        <f t="shared" si="36"/>
        <v>2.5306307971687181</v>
      </c>
      <c r="M75" s="1968">
        <f>TableUK12c!B91</f>
        <v>7.4158467115484281E-2</v>
      </c>
      <c r="N75" s="1968">
        <f t="shared" si="22"/>
        <v>2.9127131498690367E-2</v>
      </c>
      <c r="O75" s="1968">
        <f t="shared" ref="O75:O138" si="42">V75/L75</f>
        <v>0</v>
      </c>
      <c r="P75" s="1971">
        <f t="shared" si="19"/>
        <v>-0.14888748406405816</v>
      </c>
      <c r="Q75" s="390"/>
      <c r="R75" s="308"/>
      <c r="S75" s="365"/>
      <c r="T75" s="365"/>
      <c r="U75" s="365"/>
      <c r="V75" s="2093">
        <f>TableUK5a!Q75</f>
        <v>0</v>
      </c>
      <c r="W75" s="365"/>
      <c r="X75" s="365"/>
      <c r="Y75" s="365"/>
      <c r="Z75" s="368"/>
      <c r="AA75" s="83"/>
      <c r="AB75" s="83"/>
      <c r="AC75" s="363"/>
      <c r="AF75" s="300">
        <f t="shared" ref="AF75:AF106" si="43">1+E75</f>
        <v>0.87590298210778916</v>
      </c>
      <c r="AG75" s="300">
        <f t="shared" ref="AG75:AG106" si="44">1+H75</f>
        <v>0.9943397635447806</v>
      </c>
      <c r="AH75" s="300">
        <f t="shared" si="20"/>
        <v>1</v>
      </c>
      <c r="AI75" s="300">
        <f t="shared" ref="AI75:AI106" si="45">1+J75</f>
        <v>0.88088902226461385</v>
      </c>
      <c r="AJ75" s="300">
        <f t="shared" ref="AJ75:AJ106" si="46">1+K75</f>
        <v>0.87590298210778916</v>
      </c>
      <c r="AK75" s="300">
        <f t="shared" ref="AK75:AK138" si="47">1+N75</f>
        <v>1.0291271314986903</v>
      </c>
      <c r="AL75" s="300">
        <f t="shared" si="21"/>
        <v>1</v>
      </c>
      <c r="AM75" s="300">
        <f t="shared" ref="AM75:AM138" si="48">1+P75</f>
        <v>0.85111251593594184</v>
      </c>
      <c r="AN75" s="366">
        <f t="shared" si="37"/>
        <v>1</v>
      </c>
      <c r="AO75" s="300">
        <f t="shared" si="38"/>
        <v>1</v>
      </c>
      <c r="AP75" s="300">
        <f t="shared" si="39"/>
        <v>1</v>
      </c>
    </row>
    <row r="76" spans="1:42">
      <c r="A76" s="198">
        <v>1921</v>
      </c>
      <c r="B76" s="1162">
        <f>TableUK1!D77</f>
        <v>159.23940476190478</v>
      </c>
      <c r="C76" s="959">
        <f>F76*B76</f>
        <v>504.77581099044886</v>
      </c>
      <c r="D76" s="391">
        <f>B76/B75-1</f>
        <v>-0.10222621543376254</v>
      </c>
      <c r="E76" s="390">
        <f t="shared" ref="E76:E139" si="49">(F76/F75)*(1+D76)-1</f>
        <v>0.12456903317207768</v>
      </c>
      <c r="F76" s="1372">
        <f>TableUK6a!M76</f>
        <v>3.1699177207123519</v>
      </c>
      <c r="G76" s="365">
        <f>TableUK12c!B92</f>
        <v>5.9153225806451604E-2</v>
      </c>
      <c r="H76" s="365">
        <f>G75/F75</f>
        <v>2.9304340719496946E-2</v>
      </c>
      <c r="I76" s="365">
        <f t="shared" si="40"/>
        <v>0</v>
      </c>
      <c r="J76" s="391">
        <f t="shared" ref="J76:J139" si="50">(1+E76)/((1+H76)*(1+I75))-1</f>
        <v>9.2552502388156377E-2</v>
      </c>
      <c r="K76" s="390">
        <f t="shared" si="41"/>
        <v>0.12456903317207768</v>
      </c>
      <c r="L76" s="29">
        <f t="shared" si="36"/>
        <v>3.1699177207123519</v>
      </c>
      <c r="M76" s="1968">
        <f>TableUK12c!B92</f>
        <v>5.9153225806451604E-2</v>
      </c>
      <c r="N76" s="1968">
        <f t="shared" si="22"/>
        <v>2.9304340719496946E-2</v>
      </c>
      <c r="O76" s="1968">
        <f t="shared" si="42"/>
        <v>0</v>
      </c>
      <c r="P76" s="1971">
        <f t="shared" ref="P76:P139" si="51">(1+K76)/((1+N76)*(1+O75))-1</f>
        <v>9.2552502388156377E-2</v>
      </c>
      <c r="Q76" s="390"/>
      <c r="R76" s="308"/>
      <c r="S76" s="365"/>
      <c r="T76" s="365"/>
      <c r="U76" s="365"/>
      <c r="V76" s="2093">
        <f>TableUK5a!Q76</f>
        <v>0</v>
      </c>
      <c r="W76" s="365"/>
      <c r="X76" s="365"/>
      <c r="Y76" s="365"/>
      <c r="Z76" s="368"/>
      <c r="AA76" s="83"/>
      <c r="AB76" s="83"/>
      <c r="AC76" s="363"/>
      <c r="AF76" s="300">
        <f t="shared" si="43"/>
        <v>1.1245690331720777</v>
      </c>
      <c r="AG76" s="300">
        <f t="shared" si="44"/>
        <v>1.0293043407194968</v>
      </c>
      <c r="AH76" s="300">
        <f t="shared" ref="AH76:AH139" si="52">1+I75</f>
        <v>1</v>
      </c>
      <c r="AI76" s="300">
        <f t="shared" si="45"/>
        <v>1.0925525023881564</v>
      </c>
      <c r="AJ76" s="300">
        <f t="shared" si="46"/>
        <v>1.1245690331720777</v>
      </c>
      <c r="AK76" s="300">
        <f t="shared" si="47"/>
        <v>1.0293043407194968</v>
      </c>
      <c r="AL76" s="300">
        <f t="shared" ref="AL76:AL139" si="53">1+O75</f>
        <v>1</v>
      </c>
      <c r="AM76" s="300">
        <f t="shared" si="48"/>
        <v>1.0925525023881564</v>
      </c>
      <c r="AN76" s="366">
        <f t="shared" si="37"/>
        <v>1</v>
      </c>
      <c r="AO76" s="300">
        <f t="shared" si="38"/>
        <v>1</v>
      </c>
      <c r="AP76" s="300">
        <f t="shared" si="39"/>
        <v>1</v>
      </c>
    </row>
    <row r="77" spans="1:42">
      <c r="A77" s="198">
        <f t="shared" ref="A77:A103" si="54">A76+1</f>
        <v>1922</v>
      </c>
      <c r="B77" s="1162">
        <f>TableUK1!D78</f>
        <v>175.77751256281408</v>
      </c>
      <c r="C77" s="959">
        <f t="shared" ref="C77:C104" si="55">F77*B77</f>
        <v>530.34698004647055</v>
      </c>
      <c r="D77" s="391">
        <f t="shared" ref="D77:D104" si="56">B77/B76-1</f>
        <v>0.10385688030947571</v>
      </c>
      <c r="E77" s="390">
        <f t="shared" si="49"/>
        <v>5.0658467579591582E-2</v>
      </c>
      <c r="F77" s="1372">
        <f>TableUK6a!M77</f>
        <v>3.0171491922605918</v>
      </c>
      <c r="G77" s="365">
        <f>TableUK12c!B93</f>
        <v>6.2877082395317432E-2</v>
      </c>
      <c r="H77" s="365">
        <f t="shared" ref="H77:H104" si="57">G76/F76</f>
        <v>1.8660807950926419E-2</v>
      </c>
      <c r="I77" s="365">
        <f t="shared" si="40"/>
        <v>0</v>
      </c>
      <c r="J77" s="391">
        <f t="shared" si="50"/>
        <v>3.1411495739223971E-2</v>
      </c>
      <c r="K77" s="390">
        <f t="shared" si="41"/>
        <v>5.0658467579591582E-2</v>
      </c>
      <c r="L77" s="29">
        <f t="shared" si="36"/>
        <v>3.0171491922605918</v>
      </c>
      <c r="M77" s="1968">
        <f>TableUK12c!B93</f>
        <v>6.2877082395317432E-2</v>
      </c>
      <c r="N77" s="1968">
        <f t="shared" si="22"/>
        <v>1.8660807950926419E-2</v>
      </c>
      <c r="O77" s="1968">
        <f t="shared" si="42"/>
        <v>0</v>
      </c>
      <c r="P77" s="1971">
        <f t="shared" si="51"/>
        <v>3.1411495739223971E-2</v>
      </c>
      <c r="Q77" s="390"/>
      <c r="R77" s="308"/>
      <c r="S77" s="365"/>
      <c r="T77" s="365"/>
      <c r="U77" s="365"/>
      <c r="V77" s="2093">
        <f>TableUK5a!Q77</f>
        <v>0</v>
      </c>
      <c r="W77" s="365"/>
      <c r="X77" s="365"/>
      <c r="Y77" s="365"/>
      <c r="Z77" s="368"/>
      <c r="AA77" s="83"/>
      <c r="AB77" s="83"/>
      <c r="AC77" s="363"/>
      <c r="AF77" s="300">
        <f t="shared" si="43"/>
        <v>1.0506584675795916</v>
      </c>
      <c r="AG77" s="300">
        <f t="shared" si="44"/>
        <v>1.0186608079509265</v>
      </c>
      <c r="AH77" s="300">
        <f t="shared" si="52"/>
        <v>1</v>
      </c>
      <c r="AI77" s="300">
        <f t="shared" si="45"/>
        <v>1.031411495739224</v>
      </c>
      <c r="AJ77" s="300">
        <f t="shared" si="46"/>
        <v>1.0506584675795916</v>
      </c>
      <c r="AK77" s="300">
        <f t="shared" si="47"/>
        <v>1.0186608079509265</v>
      </c>
      <c r="AL77" s="300">
        <f t="shared" si="53"/>
        <v>1</v>
      </c>
      <c r="AM77" s="300">
        <f t="shared" si="48"/>
        <v>1.031411495739224</v>
      </c>
      <c r="AN77" s="366">
        <f t="shared" si="37"/>
        <v>1</v>
      </c>
      <c r="AO77" s="300">
        <f t="shared" si="38"/>
        <v>1</v>
      </c>
      <c r="AP77" s="300">
        <f t="shared" si="39"/>
        <v>1</v>
      </c>
    </row>
    <row r="78" spans="1:42">
      <c r="A78" s="198">
        <f t="shared" si="54"/>
        <v>1923</v>
      </c>
      <c r="B78" s="1162">
        <f>TableUK1!D79</f>
        <v>184.81632352941176</v>
      </c>
      <c r="C78" s="959">
        <f t="shared" si="55"/>
        <v>580.52589055790861</v>
      </c>
      <c r="D78" s="391">
        <f t="shared" si="56"/>
        <v>5.1421884601806855E-2</v>
      </c>
      <c r="E78" s="390">
        <f t="shared" si="49"/>
        <v>9.4615246997430402E-2</v>
      </c>
      <c r="F78" s="1372">
        <f>TableUK6a!M78</f>
        <v>3.1410964111377502</v>
      </c>
      <c r="G78" s="365">
        <f>TableUK12c!B94</f>
        <v>6.1128013105546414E-2</v>
      </c>
      <c r="H78" s="365">
        <f t="shared" si="57"/>
        <v>2.0839898324088817E-2</v>
      </c>
      <c r="I78" s="365">
        <f t="shared" si="40"/>
        <v>0</v>
      </c>
      <c r="J78" s="391">
        <f t="shared" si="50"/>
        <v>7.2269264548200596E-2</v>
      </c>
      <c r="K78" s="390">
        <f t="shared" si="41"/>
        <v>9.4615246997430402E-2</v>
      </c>
      <c r="L78" s="29">
        <f t="shared" si="36"/>
        <v>3.1410964111377502</v>
      </c>
      <c r="M78" s="1968">
        <f>TableUK12c!B94</f>
        <v>6.1128013105546414E-2</v>
      </c>
      <c r="N78" s="1968">
        <f t="shared" si="22"/>
        <v>2.0839898324088817E-2</v>
      </c>
      <c r="O78" s="1968">
        <f t="shared" si="42"/>
        <v>0</v>
      </c>
      <c r="P78" s="1971">
        <f t="shared" si="51"/>
        <v>7.2269264548200596E-2</v>
      </c>
      <c r="Q78" s="390"/>
      <c r="R78" s="308"/>
      <c r="S78" s="365"/>
      <c r="T78" s="365"/>
      <c r="U78" s="365"/>
      <c r="V78" s="2093">
        <f>TableUK5a!Q78</f>
        <v>0</v>
      </c>
      <c r="W78" s="365"/>
      <c r="X78" s="365"/>
      <c r="Y78" s="365"/>
      <c r="Z78" s="368"/>
      <c r="AA78" s="83"/>
      <c r="AB78" s="83"/>
      <c r="AC78" s="363"/>
      <c r="AF78" s="300">
        <f t="shared" si="43"/>
        <v>1.0946152469974304</v>
      </c>
      <c r="AG78" s="300">
        <f t="shared" si="44"/>
        <v>1.0208398983240887</v>
      </c>
      <c r="AH78" s="300">
        <f t="shared" si="52"/>
        <v>1</v>
      </c>
      <c r="AI78" s="300">
        <f t="shared" si="45"/>
        <v>1.0722692645482006</v>
      </c>
      <c r="AJ78" s="300">
        <f t="shared" si="46"/>
        <v>1.0946152469974304</v>
      </c>
      <c r="AK78" s="300">
        <f t="shared" si="47"/>
        <v>1.0208398983240887</v>
      </c>
      <c r="AL78" s="300">
        <f t="shared" si="53"/>
        <v>1</v>
      </c>
      <c r="AM78" s="300">
        <f t="shared" si="48"/>
        <v>1.0722692645482006</v>
      </c>
      <c r="AN78" s="366">
        <f t="shared" si="37"/>
        <v>1</v>
      </c>
      <c r="AO78" s="300">
        <f t="shared" si="38"/>
        <v>1</v>
      </c>
      <c r="AP78" s="300">
        <f t="shared" si="39"/>
        <v>1</v>
      </c>
    </row>
    <row r="79" spans="1:42">
      <c r="A79" s="198">
        <f t="shared" si="54"/>
        <v>1924</v>
      </c>
      <c r="B79" s="1162">
        <f>TableUK1!D80</f>
        <v>190.68396505376344</v>
      </c>
      <c r="C79" s="959">
        <f t="shared" si="55"/>
        <v>630.23197670098057</v>
      </c>
      <c r="D79" s="391">
        <f t="shared" si="56"/>
        <v>3.1748502579740601E-2</v>
      </c>
      <c r="E79" s="390">
        <f t="shared" si="49"/>
        <v>8.5622513916308707E-2</v>
      </c>
      <c r="F79" s="1372">
        <f>TableUK6a!M79</f>
        <v>3.3051126062083211</v>
      </c>
      <c r="G79" s="365">
        <f>TableUK12c!B95</f>
        <v>6.2142197599261317E-2</v>
      </c>
      <c r="H79" s="365">
        <f t="shared" si="57"/>
        <v>1.946072488854456E-2</v>
      </c>
      <c r="I79" s="365">
        <f t="shared" si="40"/>
        <v>0</v>
      </c>
      <c r="J79" s="391">
        <f t="shared" si="50"/>
        <v>6.4898811118983879E-2</v>
      </c>
      <c r="K79" s="390">
        <f t="shared" si="41"/>
        <v>8.5622513916308707E-2</v>
      </c>
      <c r="L79" s="29">
        <f t="shared" si="36"/>
        <v>3.3051126062083211</v>
      </c>
      <c r="M79" s="1968">
        <f>TableUK12c!B95</f>
        <v>6.2142197599261317E-2</v>
      </c>
      <c r="N79" s="1968">
        <f t="shared" si="22"/>
        <v>1.946072488854456E-2</v>
      </c>
      <c r="O79" s="1968">
        <f t="shared" si="42"/>
        <v>0</v>
      </c>
      <c r="P79" s="1971">
        <f t="shared" si="51"/>
        <v>6.4898811118983879E-2</v>
      </c>
      <c r="Q79" s="390"/>
      <c r="R79" s="308"/>
      <c r="S79" s="365"/>
      <c r="T79" s="365"/>
      <c r="U79" s="365"/>
      <c r="V79" s="2093">
        <f>TableUK5a!Q79</f>
        <v>0</v>
      </c>
      <c r="W79" s="365"/>
      <c r="X79" s="365"/>
      <c r="Y79" s="365"/>
      <c r="Z79" s="369"/>
      <c r="AA79" s="83"/>
      <c r="AB79" s="83"/>
      <c r="AC79" s="363"/>
      <c r="AF79" s="300">
        <f t="shared" si="43"/>
        <v>1.0856225139163087</v>
      </c>
      <c r="AG79" s="300">
        <f t="shared" si="44"/>
        <v>1.0194607248885446</v>
      </c>
      <c r="AH79" s="300">
        <f t="shared" si="52"/>
        <v>1</v>
      </c>
      <c r="AI79" s="300">
        <f t="shared" si="45"/>
        <v>1.0648988111189839</v>
      </c>
      <c r="AJ79" s="300">
        <f t="shared" si="46"/>
        <v>1.0856225139163087</v>
      </c>
      <c r="AK79" s="300">
        <f t="shared" si="47"/>
        <v>1.0194607248885446</v>
      </c>
      <c r="AL79" s="300">
        <f t="shared" si="53"/>
        <v>1</v>
      </c>
      <c r="AM79" s="300">
        <f t="shared" si="48"/>
        <v>1.0648988111189839</v>
      </c>
      <c r="AN79" s="366">
        <f t="shared" si="37"/>
        <v>1</v>
      </c>
      <c r="AO79" s="300">
        <f t="shared" si="38"/>
        <v>1</v>
      </c>
      <c r="AP79" s="300">
        <f t="shared" si="39"/>
        <v>1</v>
      </c>
    </row>
    <row r="80" spans="1:42">
      <c r="A80" s="436">
        <f t="shared" si="54"/>
        <v>1925</v>
      </c>
      <c r="B80" s="1164">
        <f>TableUK1!D81</f>
        <v>195.3740456989247</v>
      </c>
      <c r="C80" s="959">
        <f t="shared" si="55"/>
        <v>654.33862603459204</v>
      </c>
      <c r="D80" s="391">
        <f t="shared" si="56"/>
        <v>2.4596093561610743E-2</v>
      </c>
      <c r="E80" s="390">
        <f t="shared" si="49"/>
        <v>3.825043829067587E-2</v>
      </c>
      <c r="F80" s="1372">
        <f>TableUK6a!M80</f>
        <v>3.3491583986694984</v>
      </c>
      <c r="G80" s="365">
        <f>TableUK12c!B96</f>
        <v>9.3403004572175055E-2</v>
      </c>
      <c r="H80" s="365">
        <f t="shared" si="57"/>
        <v>1.8801839756543683E-2</v>
      </c>
      <c r="I80" s="365">
        <f t="shared" si="40"/>
        <v>0</v>
      </c>
      <c r="J80" s="391">
        <f t="shared" si="50"/>
        <v>1.9089677477201805E-2</v>
      </c>
      <c r="K80" s="390">
        <f t="shared" si="41"/>
        <v>3.825043829067587E-2</v>
      </c>
      <c r="L80" s="29">
        <f t="shared" si="36"/>
        <v>3.3491583986694984</v>
      </c>
      <c r="M80" s="1968">
        <f>TableUK12c!B96</f>
        <v>9.3403004572175055E-2</v>
      </c>
      <c r="N80" s="1968">
        <f t="shared" ref="N80:N125" si="58">M79/L79</f>
        <v>1.8801839756543683E-2</v>
      </c>
      <c r="O80" s="1968">
        <f t="shared" si="42"/>
        <v>0</v>
      </c>
      <c r="P80" s="1971">
        <f t="shared" si="51"/>
        <v>1.9089677477201805E-2</v>
      </c>
      <c r="Q80" s="390"/>
      <c r="R80" s="308"/>
      <c r="S80" s="365"/>
      <c r="T80" s="365"/>
      <c r="U80" s="365"/>
      <c r="V80" s="2093">
        <f>TableUK5a!Q80</f>
        <v>0</v>
      </c>
      <c r="W80" s="365"/>
      <c r="X80" s="365"/>
      <c r="Y80" s="361"/>
      <c r="Z80" s="369"/>
      <c r="AA80" s="83"/>
      <c r="AB80" s="83"/>
      <c r="AC80" s="363"/>
      <c r="AF80" s="300">
        <f t="shared" si="43"/>
        <v>1.0382504382906759</v>
      </c>
      <c r="AG80" s="300">
        <f t="shared" si="44"/>
        <v>1.0188018397565437</v>
      </c>
      <c r="AH80" s="300">
        <f t="shared" si="52"/>
        <v>1</v>
      </c>
      <c r="AI80" s="300">
        <f t="shared" si="45"/>
        <v>1.0190896774772018</v>
      </c>
      <c r="AJ80" s="300">
        <f t="shared" si="46"/>
        <v>1.0382504382906759</v>
      </c>
      <c r="AK80" s="300">
        <f t="shared" si="47"/>
        <v>1.0188018397565437</v>
      </c>
      <c r="AL80" s="300">
        <f t="shared" si="53"/>
        <v>1</v>
      </c>
      <c r="AM80" s="300">
        <f t="shared" si="48"/>
        <v>1.0190896774772018</v>
      </c>
      <c r="AN80" s="366">
        <f t="shared" si="37"/>
        <v>1</v>
      </c>
      <c r="AO80" s="300">
        <f t="shared" si="38"/>
        <v>1</v>
      </c>
      <c r="AP80" s="300">
        <f t="shared" si="39"/>
        <v>1</v>
      </c>
    </row>
    <row r="81" spans="1:42">
      <c r="A81" s="198">
        <f t="shared" si="54"/>
        <v>1926</v>
      </c>
      <c r="B81" s="1162">
        <f>TableUK1!D82</f>
        <v>191.39108108108107</v>
      </c>
      <c r="C81" s="959">
        <f t="shared" si="55"/>
        <v>688.96670315499296</v>
      </c>
      <c r="D81" s="391">
        <f t="shared" si="56"/>
        <v>-2.0386354817985675E-2</v>
      </c>
      <c r="E81" s="390">
        <f t="shared" si="49"/>
        <v>5.2920729027190694E-2</v>
      </c>
      <c r="F81" s="1372">
        <f>TableUK6a!M81</f>
        <v>3.599784792809225</v>
      </c>
      <c r="G81" s="365">
        <f>TableUK12c!B97</f>
        <v>4.9954022988505799E-2</v>
      </c>
      <c r="H81" s="365">
        <f t="shared" si="57"/>
        <v>2.7888500170454987E-2</v>
      </c>
      <c r="I81" s="365">
        <f t="shared" si="40"/>
        <v>0</v>
      </c>
      <c r="J81" s="391">
        <f t="shared" si="50"/>
        <v>2.4353058578420406E-2</v>
      </c>
      <c r="K81" s="390">
        <f t="shared" si="41"/>
        <v>5.2920729027190694E-2</v>
      </c>
      <c r="L81" s="29">
        <f t="shared" si="36"/>
        <v>3.599784792809225</v>
      </c>
      <c r="M81" s="1968">
        <f>TableUK12c!B97</f>
        <v>4.9954022988505799E-2</v>
      </c>
      <c r="N81" s="1968">
        <f t="shared" si="58"/>
        <v>2.7888500170454987E-2</v>
      </c>
      <c r="O81" s="1968">
        <f t="shared" si="42"/>
        <v>0</v>
      </c>
      <c r="P81" s="1971">
        <f t="shared" si="51"/>
        <v>2.4353058578420406E-2</v>
      </c>
      <c r="Q81" s="390"/>
      <c r="R81" s="308"/>
      <c r="S81" s="365"/>
      <c r="T81" s="365"/>
      <c r="U81" s="365"/>
      <c r="V81" s="2093">
        <f>TableUK5a!Q81</f>
        <v>0</v>
      </c>
      <c r="W81" s="365"/>
      <c r="X81" s="365"/>
      <c r="Y81" s="365"/>
      <c r="Z81" s="368"/>
      <c r="AA81" s="83"/>
      <c r="AB81" s="83"/>
      <c r="AC81" s="363"/>
      <c r="AF81" s="300">
        <f t="shared" si="43"/>
        <v>1.0529207290271907</v>
      </c>
      <c r="AG81" s="300">
        <f t="shared" si="44"/>
        <v>1.027888500170455</v>
      </c>
      <c r="AH81" s="300">
        <f t="shared" si="52"/>
        <v>1</v>
      </c>
      <c r="AI81" s="300">
        <f t="shared" si="45"/>
        <v>1.0243530585784204</v>
      </c>
      <c r="AJ81" s="300">
        <f t="shared" si="46"/>
        <v>1.0529207290271907</v>
      </c>
      <c r="AK81" s="300">
        <f t="shared" si="47"/>
        <v>1.027888500170455</v>
      </c>
      <c r="AL81" s="300">
        <f t="shared" si="53"/>
        <v>1</v>
      </c>
      <c r="AM81" s="300">
        <f t="shared" si="48"/>
        <v>1.0243530585784204</v>
      </c>
      <c r="AN81" s="366">
        <f t="shared" si="37"/>
        <v>1</v>
      </c>
      <c r="AO81" s="300">
        <f t="shared" si="38"/>
        <v>1</v>
      </c>
      <c r="AP81" s="300">
        <f t="shared" si="39"/>
        <v>1</v>
      </c>
    </row>
    <row r="82" spans="1:42">
      <c r="A82" s="198">
        <f t="shared" si="54"/>
        <v>1927</v>
      </c>
      <c r="B82" s="1162">
        <f>TableUK1!D83</f>
        <v>210.67658333333335</v>
      </c>
      <c r="C82" s="959">
        <f t="shared" si="55"/>
        <v>710.51504385563771</v>
      </c>
      <c r="D82" s="391">
        <f t="shared" si="56"/>
        <v>0.10076489533011301</v>
      </c>
      <c r="E82" s="390">
        <f t="shared" si="49"/>
        <v>3.1276316550521432E-2</v>
      </c>
      <c r="F82" s="1372">
        <f>TableUK6a!M82</f>
        <v>3.3725392381717993</v>
      </c>
      <c r="G82" s="365">
        <f>TableUK12c!B98</f>
        <v>8.5458123769954097E-2</v>
      </c>
      <c r="H82" s="365">
        <f t="shared" si="57"/>
        <v>1.3876947057582942E-2</v>
      </c>
      <c r="I82" s="365">
        <f t="shared" si="40"/>
        <v>0</v>
      </c>
      <c r="J82" s="391">
        <f t="shared" si="50"/>
        <v>1.716122409473253E-2</v>
      </c>
      <c r="K82" s="390">
        <f t="shared" si="41"/>
        <v>3.1276316550521432E-2</v>
      </c>
      <c r="L82" s="29">
        <f t="shared" si="36"/>
        <v>3.3725392381717993</v>
      </c>
      <c r="M82" s="1968">
        <f>TableUK12c!B98</f>
        <v>8.5458123769954097E-2</v>
      </c>
      <c r="N82" s="1968">
        <f t="shared" si="58"/>
        <v>1.3876947057582942E-2</v>
      </c>
      <c r="O82" s="1968">
        <f t="shared" si="42"/>
        <v>0</v>
      </c>
      <c r="P82" s="1971">
        <f t="shared" si="51"/>
        <v>1.716122409473253E-2</v>
      </c>
      <c r="Q82" s="390"/>
      <c r="R82" s="308"/>
      <c r="S82" s="365"/>
      <c r="T82" s="365"/>
      <c r="U82" s="365"/>
      <c r="V82" s="2093">
        <f>TableUK5a!Q82</f>
        <v>0</v>
      </c>
      <c r="W82" s="365"/>
      <c r="X82" s="365"/>
      <c r="Y82" s="365"/>
      <c r="Z82" s="368"/>
      <c r="AA82" s="83"/>
      <c r="AB82" s="83"/>
      <c r="AC82" s="363"/>
      <c r="AF82" s="300">
        <f t="shared" si="43"/>
        <v>1.0312763165505214</v>
      </c>
      <c r="AG82" s="300">
        <f t="shared" si="44"/>
        <v>1.013876947057583</v>
      </c>
      <c r="AH82" s="300">
        <f t="shared" si="52"/>
        <v>1</v>
      </c>
      <c r="AI82" s="300">
        <f t="shared" si="45"/>
        <v>1.0171612240947325</v>
      </c>
      <c r="AJ82" s="300">
        <f t="shared" si="46"/>
        <v>1.0312763165505214</v>
      </c>
      <c r="AK82" s="300">
        <f t="shared" si="47"/>
        <v>1.013876947057583</v>
      </c>
      <c r="AL82" s="300">
        <f t="shared" si="53"/>
        <v>1</v>
      </c>
      <c r="AM82" s="300">
        <f t="shared" si="48"/>
        <v>1.0171612240947325</v>
      </c>
      <c r="AN82" s="366">
        <f t="shared" si="37"/>
        <v>1</v>
      </c>
      <c r="AO82" s="300">
        <f t="shared" si="38"/>
        <v>1</v>
      </c>
      <c r="AP82" s="300">
        <f t="shared" si="39"/>
        <v>1</v>
      </c>
    </row>
    <row r="83" spans="1:42">
      <c r="A83" s="198">
        <f t="shared" si="54"/>
        <v>1928</v>
      </c>
      <c r="B83" s="1162">
        <f>TableUK1!D84</f>
        <v>212.43459722222224</v>
      </c>
      <c r="C83" s="959">
        <f t="shared" si="55"/>
        <v>730.2020042549666</v>
      </c>
      <c r="D83" s="391">
        <f t="shared" si="56"/>
        <v>8.3446098331076968E-3</v>
      </c>
      <c r="E83" s="390">
        <f t="shared" si="49"/>
        <v>2.77080134609069E-2</v>
      </c>
      <c r="F83" s="1372">
        <f>TableUK6a!M83</f>
        <v>3.4373026512772848</v>
      </c>
      <c r="G83" s="365">
        <f>TableUK12c!B99</f>
        <v>8.1690140845070425E-2</v>
      </c>
      <c r="H83" s="365">
        <f t="shared" si="57"/>
        <v>2.5339400889010742E-2</v>
      </c>
      <c r="I83" s="365">
        <f t="shared" si="40"/>
        <v>0</v>
      </c>
      <c r="J83" s="391">
        <f t="shared" si="50"/>
        <v>2.3100766144776852E-3</v>
      </c>
      <c r="K83" s="390">
        <f t="shared" si="41"/>
        <v>2.77080134609069E-2</v>
      </c>
      <c r="L83" s="29">
        <f t="shared" si="36"/>
        <v>3.4373026512772848</v>
      </c>
      <c r="M83" s="1968">
        <f>TableUK12c!B99</f>
        <v>8.1690140845070425E-2</v>
      </c>
      <c r="N83" s="1968">
        <f t="shared" si="58"/>
        <v>2.5339400889010742E-2</v>
      </c>
      <c r="O83" s="1968">
        <f t="shared" si="42"/>
        <v>0</v>
      </c>
      <c r="P83" s="1971">
        <f t="shared" si="51"/>
        <v>2.3100766144776852E-3</v>
      </c>
      <c r="Q83" s="390"/>
      <c r="R83" s="308"/>
      <c r="S83" s="365"/>
      <c r="T83" s="365"/>
      <c r="U83" s="365"/>
      <c r="V83" s="2093">
        <f>TableUK5a!Q83</f>
        <v>0</v>
      </c>
      <c r="W83" s="365"/>
      <c r="X83" s="365"/>
      <c r="Y83" s="365"/>
      <c r="Z83" s="368"/>
      <c r="AA83" s="83"/>
      <c r="AB83" s="83"/>
      <c r="AC83" s="363"/>
      <c r="AF83" s="300">
        <f t="shared" si="43"/>
        <v>1.0277080134609069</v>
      </c>
      <c r="AG83" s="300">
        <f t="shared" si="44"/>
        <v>1.0253394008890107</v>
      </c>
      <c r="AH83" s="300">
        <f t="shared" si="52"/>
        <v>1</v>
      </c>
      <c r="AI83" s="300">
        <f t="shared" si="45"/>
        <v>1.0023100766144777</v>
      </c>
      <c r="AJ83" s="300">
        <f t="shared" si="46"/>
        <v>1.0277080134609069</v>
      </c>
      <c r="AK83" s="300">
        <f t="shared" si="47"/>
        <v>1.0253394008890107</v>
      </c>
      <c r="AL83" s="300">
        <f t="shared" si="53"/>
        <v>1</v>
      </c>
      <c r="AM83" s="300">
        <f t="shared" si="48"/>
        <v>1.0023100766144777</v>
      </c>
      <c r="AN83" s="366">
        <f t="shared" si="37"/>
        <v>1</v>
      </c>
      <c r="AO83" s="300">
        <f t="shared" si="38"/>
        <v>1</v>
      </c>
      <c r="AP83" s="300">
        <f t="shared" si="39"/>
        <v>1</v>
      </c>
    </row>
    <row r="84" spans="1:42">
      <c r="A84" s="214">
        <f t="shared" si="54"/>
        <v>1929</v>
      </c>
      <c r="B84" s="1163">
        <f>TableUK1!D85</f>
        <v>217.31998595505615</v>
      </c>
      <c r="C84" s="1171">
        <f t="shared" si="55"/>
        <v>706.7845270981187</v>
      </c>
      <c r="D84" s="1172">
        <f t="shared" si="56"/>
        <v>2.29971426345561E-2</v>
      </c>
      <c r="E84" s="1181">
        <f t="shared" si="49"/>
        <v>-3.2069861518308151E-2</v>
      </c>
      <c r="F84" s="1381">
        <f>TableUK6a!M84</f>
        <v>3.2522757812265297</v>
      </c>
      <c r="G84" s="1184">
        <f>TableUK12c!B100</f>
        <v>8.3728886038058628E-2</v>
      </c>
      <c r="H84" s="1184">
        <f t="shared" si="57"/>
        <v>2.3765769015048694E-2</v>
      </c>
      <c r="I84" s="1184">
        <f t="shared" si="40"/>
        <v>0</v>
      </c>
      <c r="J84" s="1172">
        <f t="shared" si="50"/>
        <v>-5.4539458363679905E-2</v>
      </c>
      <c r="K84" s="1181">
        <f t="shared" si="41"/>
        <v>-3.2325594408863956E-2</v>
      </c>
      <c r="L84" s="550">
        <f>TableUK6g!O11</f>
        <v>3.2514165106517732</v>
      </c>
      <c r="M84" s="1969">
        <f>TableUK12c!B100</f>
        <v>8.3728886038058628E-2</v>
      </c>
      <c r="N84" s="1969">
        <f t="shared" si="58"/>
        <v>2.3765769015048694E-2</v>
      </c>
      <c r="O84" s="1969">
        <f t="shared" si="42"/>
        <v>0</v>
      </c>
      <c r="P84" s="1972">
        <f t="shared" si="51"/>
        <v>-5.4789254653315411E-2</v>
      </c>
      <c r="Q84" s="1181"/>
      <c r="R84" s="550"/>
      <c r="S84" s="1184"/>
      <c r="T84" s="1184"/>
      <c r="U84" s="1184"/>
      <c r="V84" s="2092">
        <f>TableUK5a!Q84</f>
        <v>0</v>
      </c>
      <c r="W84" s="365"/>
      <c r="X84" s="365"/>
      <c r="Y84" s="365"/>
      <c r="Z84" s="368"/>
      <c r="AA84" s="83"/>
      <c r="AB84" s="83"/>
      <c r="AC84" s="363"/>
      <c r="AF84" s="300">
        <f t="shared" si="43"/>
        <v>0.96793013848169185</v>
      </c>
      <c r="AG84" s="300">
        <f t="shared" si="44"/>
        <v>1.0237657690150488</v>
      </c>
      <c r="AH84" s="300">
        <f t="shared" si="52"/>
        <v>1</v>
      </c>
      <c r="AI84" s="300">
        <f t="shared" si="45"/>
        <v>0.9454605416363201</v>
      </c>
      <c r="AJ84" s="300">
        <f t="shared" si="46"/>
        <v>0.96767440559113604</v>
      </c>
      <c r="AK84" s="300">
        <f t="shared" si="47"/>
        <v>1.0237657690150488</v>
      </c>
      <c r="AL84" s="300">
        <f t="shared" si="53"/>
        <v>1</v>
      </c>
      <c r="AM84" s="300">
        <f t="shared" si="48"/>
        <v>0.94521074534668459</v>
      </c>
      <c r="AN84" s="366">
        <f t="shared" si="37"/>
        <v>1</v>
      </c>
      <c r="AO84" s="300">
        <f t="shared" si="38"/>
        <v>1</v>
      </c>
      <c r="AP84" s="300">
        <f t="shared" si="39"/>
        <v>1</v>
      </c>
    </row>
    <row r="85" spans="1:42">
      <c r="A85" s="198">
        <f t="shared" si="54"/>
        <v>1930</v>
      </c>
      <c r="B85" s="1162">
        <f>TableUK1!D86</f>
        <v>213.02151734104046</v>
      </c>
      <c r="C85" s="959">
        <f t="shared" si="55"/>
        <v>712.07976591843033</v>
      </c>
      <c r="D85" s="391">
        <f t="shared" si="56"/>
        <v>-1.9779444560173332E-2</v>
      </c>
      <c r="E85" s="390">
        <f t="shared" si="49"/>
        <v>7.4920129364639543E-3</v>
      </c>
      <c r="F85" s="1372">
        <f>TableUK6a!M85</f>
        <v>3.3427598057073924</v>
      </c>
      <c r="G85" s="365">
        <f>TableUK12c!B101</f>
        <v>7.9084400086786716E-2</v>
      </c>
      <c r="H85" s="365">
        <f t="shared" si="57"/>
        <v>2.5744706682433303E-2</v>
      </c>
      <c r="I85" s="365">
        <f t="shared" si="40"/>
        <v>0</v>
      </c>
      <c r="J85" s="391">
        <f t="shared" si="50"/>
        <v>-1.7794577565994896E-2</v>
      </c>
      <c r="K85" s="390">
        <f t="shared" si="41"/>
        <v>7.5021730071871406E-3</v>
      </c>
      <c r="L85" s="308">
        <f>TableUK6g!O12</f>
        <v>3.3419103299290089</v>
      </c>
      <c r="M85" s="1968">
        <f>TableUK12c!B101</f>
        <v>7.9084400086786716E-2</v>
      </c>
      <c r="N85" s="1968">
        <f t="shared" si="58"/>
        <v>2.5751510384399962E-2</v>
      </c>
      <c r="O85" s="1968">
        <f t="shared" si="42"/>
        <v>0</v>
      </c>
      <c r="P85" s="1971">
        <f t="shared" si="51"/>
        <v>-1.7791187429374467E-2</v>
      </c>
      <c r="Q85" s="390"/>
      <c r="R85" s="308"/>
      <c r="S85" s="365"/>
      <c r="T85" s="365"/>
      <c r="U85" s="365"/>
      <c r="V85" s="2093">
        <f>TableUK5a!Q85</f>
        <v>0</v>
      </c>
      <c r="W85" s="365"/>
      <c r="X85" s="365"/>
      <c r="Y85" s="365"/>
      <c r="Z85" s="368"/>
      <c r="AA85" s="83"/>
      <c r="AB85" s="83"/>
      <c r="AC85" s="363"/>
      <c r="AF85" s="300">
        <f t="shared" si="43"/>
        <v>1.007492012936464</v>
      </c>
      <c r="AG85" s="300">
        <f t="shared" si="44"/>
        <v>1.0257447066824332</v>
      </c>
      <c r="AH85" s="300">
        <f t="shared" si="52"/>
        <v>1</v>
      </c>
      <c r="AI85" s="300">
        <f t="shared" si="45"/>
        <v>0.9822054224340051</v>
      </c>
      <c r="AJ85" s="300">
        <f t="shared" si="46"/>
        <v>1.0075021730071871</v>
      </c>
      <c r="AK85" s="300">
        <f t="shared" si="47"/>
        <v>1.0257515103843999</v>
      </c>
      <c r="AL85" s="300">
        <f t="shared" si="53"/>
        <v>1</v>
      </c>
      <c r="AM85" s="300">
        <f t="shared" si="48"/>
        <v>0.98220881257062553</v>
      </c>
      <c r="AN85" s="366">
        <f t="shared" si="37"/>
        <v>1</v>
      </c>
      <c r="AO85" s="300">
        <f t="shared" si="38"/>
        <v>1</v>
      </c>
      <c r="AP85" s="300">
        <f t="shared" si="39"/>
        <v>1</v>
      </c>
    </row>
    <row r="86" spans="1:42">
      <c r="A86" s="198">
        <f t="shared" si="54"/>
        <v>1931</v>
      </c>
      <c r="B86" s="1162">
        <f>TableUK1!D87</f>
        <v>208.86647590361443</v>
      </c>
      <c r="C86" s="959">
        <f t="shared" si="55"/>
        <v>757.76385728561593</v>
      </c>
      <c r="D86" s="391">
        <f t="shared" si="56"/>
        <v>-1.950526636599792E-2</v>
      </c>
      <c r="E86" s="390">
        <f t="shared" si="49"/>
        <v>6.4155862241448203E-2</v>
      </c>
      <c r="F86" s="1372">
        <f>TableUK6a!M86</f>
        <v>3.6279822025402537</v>
      </c>
      <c r="G86" s="365">
        <f>TableUK12c!B102</f>
        <v>2.514177693761814E-2</v>
      </c>
      <c r="H86" s="365">
        <f t="shared" si="57"/>
        <v>2.3658415406263667E-2</v>
      </c>
      <c r="I86" s="365">
        <f t="shared" si="40"/>
        <v>0</v>
      </c>
      <c r="J86" s="391">
        <f t="shared" si="50"/>
        <v>3.9561484793843249E-2</v>
      </c>
      <c r="K86" s="390">
        <f t="shared" si="41"/>
        <v>6.4185803899003746E-2</v>
      </c>
      <c r="L86" s="308">
        <f>TableUK6g!O13</f>
        <v>3.6271622977848867</v>
      </c>
      <c r="M86" s="1968">
        <f>TableUK12c!B102</f>
        <v>2.514177693761814E-2</v>
      </c>
      <c r="N86" s="1968">
        <f t="shared" si="58"/>
        <v>2.3664429107667494E-2</v>
      </c>
      <c r="O86" s="1968">
        <f t="shared" si="42"/>
        <v>0</v>
      </c>
      <c r="P86" s="1971">
        <f t="shared" si="51"/>
        <v>3.9584627187503996E-2</v>
      </c>
      <c r="Q86" s="390"/>
      <c r="R86" s="308"/>
      <c r="S86" s="365"/>
      <c r="T86" s="365"/>
      <c r="U86" s="365"/>
      <c r="V86" s="2093">
        <f>TableUK5a!Q86</f>
        <v>0</v>
      </c>
      <c r="W86" s="365"/>
      <c r="X86" s="365"/>
      <c r="Y86" s="365"/>
      <c r="Z86" s="368"/>
      <c r="AA86" s="83"/>
      <c r="AB86" s="83"/>
      <c r="AC86" s="363"/>
      <c r="AF86" s="300">
        <f t="shared" si="43"/>
        <v>1.0641558622414482</v>
      </c>
      <c r="AG86" s="300">
        <f t="shared" si="44"/>
        <v>1.0236584154062636</v>
      </c>
      <c r="AH86" s="300">
        <f t="shared" si="52"/>
        <v>1</v>
      </c>
      <c r="AI86" s="300">
        <f t="shared" si="45"/>
        <v>1.0395614847938432</v>
      </c>
      <c r="AJ86" s="300">
        <f t="shared" si="46"/>
        <v>1.0641858038990037</v>
      </c>
      <c r="AK86" s="300">
        <f t="shared" si="47"/>
        <v>1.0236644291076675</v>
      </c>
      <c r="AL86" s="300">
        <f t="shared" si="53"/>
        <v>1</v>
      </c>
      <c r="AM86" s="300">
        <f t="shared" si="48"/>
        <v>1.039584627187504</v>
      </c>
      <c r="AN86" s="366">
        <f t="shared" si="37"/>
        <v>1</v>
      </c>
      <c r="AO86" s="300">
        <f t="shared" si="38"/>
        <v>1</v>
      </c>
      <c r="AP86" s="300">
        <f t="shared" si="39"/>
        <v>1</v>
      </c>
    </row>
    <row r="87" spans="1:42">
      <c r="A87" s="198">
        <f t="shared" si="54"/>
        <v>1932</v>
      </c>
      <c r="B87" s="1162">
        <f>TableUK1!D88</f>
        <v>211.48959876543208</v>
      </c>
      <c r="C87" s="959">
        <f t="shared" si="55"/>
        <v>841.73421549768136</v>
      </c>
      <c r="D87" s="391">
        <f t="shared" si="56"/>
        <v>1.255885057891315E-2</v>
      </c>
      <c r="E87" s="390">
        <f t="shared" si="49"/>
        <v>0.11081335881188026</v>
      </c>
      <c r="F87" s="1372">
        <f>TableUK6a!M87</f>
        <v>3.9800265375285329</v>
      </c>
      <c r="G87" s="365">
        <f>TableUK12c!B103</f>
        <v>2.6723300970873821E-2</v>
      </c>
      <c r="H87" s="365">
        <f t="shared" si="57"/>
        <v>6.9299614865845479E-3</v>
      </c>
      <c r="I87" s="365">
        <f t="shared" si="40"/>
        <v>0</v>
      </c>
      <c r="J87" s="391">
        <f t="shared" si="50"/>
        <v>0.10316844398187053</v>
      </c>
      <c r="K87" s="390">
        <f t="shared" si="41"/>
        <v>0.11084866747531574</v>
      </c>
      <c r="L87" s="308">
        <f>TableUK6g!O14</f>
        <v>3.9792535544056564</v>
      </c>
      <c r="M87" s="1968">
        <f>TableUK12c!B103</f>
        <v>2.6723300970873821E-2</v>
      </c>
      <c r="N87" s="1968">
        <f t="shared" si="58"/>
        <v>6.9315279751811102E-3</v>
      </c>
      <c r="O87" s="1968">
        <f t="shared" si="42"/>
        <v>0</v>
      </c>
      <c r="P87" s="1971">
        <f t="shared" si="51"/>
        <v>0.10320179338221691</v>
      </c>
      <c r="Q87" s="390"/>
      <c r="R87" s="308"/>
      <c r="S87" s="365"/>
      <c r="T87" s="365"/>
      <c r="U87" s="365"/>
      <c r="V87" s="2093">
        <f>TableUK5a!Q87</f>
        <v>0</v>
      </c>
      <c r="W87" s="365"/>
      <c r="X87" s="365"/>
      <c r="Y87" s="365"/>
      <c r="Z87" s="368"/>
      <c r="AA87" s="83"/>
      <c r="AB87" s="83"/>
      <c r="AC87" s="363"/>
      <c r="AF87" s="300">
        <f t="shared" si="43"/>
        <v>1.1108133588118803</v>
      </c>
      <c r="AG87" s="300">
        <f t="shared" si="44"/>
        <v>1.0069299614865845</v>
      </c>
      <c r="AH87" s="300">
        <f t="shared" si="52"/>
        <v>1</v>
      </c>
      <c r="AI87" s="300">
        <f t="shared" si="45"/>
        <v>1.1031684439818705</v>
      </c>
      <c r="AJ87" s="300">
        <f t="shared" si="46"/>
        <v>1.1108486674753157</v>
      </c>
      <c r="AK87" s="300">
        <f t="shared" si="47"/>
        <v>1.0069315279751812</v>
      </c>
      <c r="AL87" s="300">
        <f t="shared" si="53"/>
        <v>1</v>
      </c>
      <c r="AM87" s="300">
        <f t="shared" si="48"/>
        <v>1.1032017933822169</v>
      </c>
      <c r="AN87" s="366">
        <f t="shared" si="37"/>
        <v>1</v>
      </c>
      <c r="AO87" s="300">
        <f t="shared" si="38"/>
        <v>1</v>
      </c>
      <c r="AP87" s="300">
        <f t="shared" si="39"/>
        <v>1</v>
      </c>
    </row>
    <row r="88" spans="1:42">
      <c r="A88" s="198">
        <f t="shared" si="54"/>
        <v>1933</v>
      </c>
      <c r="B88" s="1162">
        <f>TableUK1!D89</f>
        <v>226.31647151898736</v>
      </c>
      <c r="C88" s="959">
        <f t="shared" si="55"/>
        <v>919.76329912534948</v>
      </c>
      <c r="D88" s="391">
        <f t="shared" si="56"/>
        <v>7.0106865018927378E-2</v>
      </c>
      <c r="E88" s="390">
        <f t="shared" si="49"/>
        <v>9.2700382366579737E-2</v>
      </c>
      <c r="F88" s="1372">
        <f>TableUK6a!M88</f>
        <v>4.0640581436786132</v>
      </c>
      <c r="G88" s="365">
        <f>TableUK12c!B104</f>
        <v>2.6900726392251804E-2</v>
      </c>
      <c r="H88" s="365">
        <f t="shared" si="57"/>
        <v>6.7143524594356404E-3</v>
      </c>
      <c r="I88" s="365">
        <f t="shared" si="40"/>
        <v>0</v>
      </c>
      <c r="J88" s="391">
        <f t="shared" si="50"/>
        <v>8.5412540009067506E-2</v>
      </c>
      <c r="K88" s="390">
        <f t="shared" si="41"/>
        <v>9.2717727687343654E-2</v>
      </c>
      <c r="L88" s="308">
        <f>TableUK6g!O15</f>
        <v>4.0633333398763174</v>
      </c>
      <c r="M88" s="1968">
        <f>TableUK12c!B104</f>
        <v>2.6900726392251804E-2</v>
      </c>
      <c r="N88" s="1968">
        <f t="shared" si="58"/>
        <v>6.7156567445386698E-3</v>
      </c>
      <c r="O88" s="1968">
        <f t="shared" si="42"/>
        <v>0</v>
      </c>
      <c r="P88" s="1971">
        <f t="shared" si="51"/>
        <v>8.5428363378109662E-2</v>
      </c>
      <c r="Q88" s="390"/>
      <c r="R88" s="308"/>
      <c r="S88" s="365"/>
      <c r="T88" s="365"/>
      <c r="U88" s="365"/>
      <c r="V88" s="2093">
        <f>TableUK5a!Q88</f>
        <v>0</v>
      </c>
      <c r="W88" s="365"/>
      <c r="X88" s="365"/>
      <c r="Y88" s="365"/>
      <c r="Z88" s="368"/>
      <c r="AA88" s="83"/>
      <c r="AB88" s="83"/>
      <c r="AC88" s="363"/>
      <c r="AF88" s="300">
        <f t="shared" si="43"/>
        <v>1.0927003823665797</v>
      </c>
      <c r="AG88" s="300">
        <f t="shared" si="44"/>
        <v>1.0067143524594357</v>
      </c>
      <c r="AH88" s="300">
        <f t="shared" si="52"/>
        <v>1</v>
      </c>
      <c r="AI88" s="300">
        <f t="shared" si="45"/>
        <v>1.0854125400090675</v>
      </c>
      <c r="AJ88" s="300">
        <f t="shared" si="46"/>
        <v>1.0927177276873437</v>
      </c>
      <c r="AK88" s="300">
        <f t="shared" si="47"/>
        <v>1.0067156567445388</v>
      </c>
      <c r="AL88" s="300">
        <f t="shared" si="53"/>
        <v>1</v>
      </c>
      <c r="AM88" s="300">
        <f t="shared" si="48"/>
        <v>1.0854283633781097</v>
      </c>
      <c r="AN88" s="366">
        <f t="shared" si="37"/>
        <v>1</v>
      </c>
      <c r="AO88" s="300">
        <f t="shared" si="38"/>
        <v>1</v>
      </c>
      <c r="AP88" s="300">
        <f t="shared" si="39"/>
        <v>1</v>
      </c>
    </row>
    <row r="89" spans="1:42">
      <c r="A89" s="198">
        <f t="shared" si="54"/>
        <v>1934</v>
      </c>
      <c r="B89" s="1162">
        <f>TableUK1!D90</f>
        <v>239.36174050632911</v>
      </c>
      <c r="C89" s="959">
        <f t="shared" si="55"/>
        <v>984.73985099532842</v>
      </c>
      <c r="D89" s="391">
        <f t="shared" si="56"/>
        <v>5.764171250896899E-2</v>
      </c>
      <c r="E89" s="390">
        <f t="shared" si="49"/>
        <v>7.0644862576891621E-2</v>
      </c>
      <c r="F89" s="1372">
        <f>TableUK6a!M89</f>
        <v>4.114023606748006</v>
      </c>
      <c r="G89" s="365">
        <f>TableUK12c!B105</f>
        <v>6.3233287858117326E-2</v>
      </c>
      <c r="H89" s="365">
        <f t="shared" si="57"/>
        <v>6.6191785258028829E-3</v>
      </c>
      <c r="I89" s="365">
        <f t="shared" si="40"/>
        <v>0</v>
      </c>
      <c r="J89" s="391">
        <f t="shared" si="50"/>
        <v>6.3604673363023334E-2</v>
      </c>
      <c r="K89" s="390">
        <f t="shared" si="41"/>
        <v>7.0657088780631261E-2</v>
      </c>
      <c r="L89" s="308">
        <f>TableUK6g!O16</f>
        <v>4.1133368634799989</v>
      </c>
      <c r="M89" s="1968">
        <f>TableUK12c!B105</f>
        <v>6.3233287858117326E-2</v>
      </c>
      <c r="N89" s="1968">
        <f t="shared" si="58"/>
        <v>6.6203592327157253E-3</v>
      </c>
      <c r="O89" s="1968">
        <f t="shared" si="42"/>
        <v>0</v>
      </c>
      <c r="P89" s="1971">
        <f t="shared" si="51"/>
        <v>6.3615571611055799E-2</v>
      </c>
      <c r="Q89" s="390"/>
      <c r="R89" s="308"/>
      <c r="S89" s="365"/>
      <c r="T89" s="365"/>
      <c r="U89" s="365"/>
      <c r="V89" s="2093">
        <f>TableUK5a!Q89</f>
        <v>0</v>
      </c>
      <c r="W89" s="365"/>
      <c r="X89" s="365"/>
      <c r="Y89" s="365"/>
      <c r="Z89" s="368"/>
      <c r="AA89" s="83"/>
      <c r="AB89" s="83"/>
      <c r="AC89" s="363"/>
      <c r="AF89" s="300">
        <f t="shared" si="43"/>
        <v>1.0706448625768916</v>
      </c>
      <c r="AG89" s="300">
        <f t="shared" si="44"/>
        <v>1.006619178525803</v>
      </c>
      <c r="AH89" s="300">
        <f t="shared" si="52"/>
        <v>1</v>
      </c>
      <c r="AI89" s="300">
        <f t="shared" si="45"/>
        <v>1.0636046733630233</v>
      </c>
      <c r="AJ89" s="300">
        <f t="shared" si="46"/>
        <v>1.0706570887806313</v>
      </c>
      <c r="AK89" s="300">
        <f t="shared" si="47"/>
        <v>1.0066203592327156</v>
      </c>
      <c r="AL89" s="300">
        <f t="shared" si="53"/>
        <v>1</v>
      </c>
      <c r="AM89" s="300">
        <f t="shared" si="48"/>
        <v>1.0636155716110558</v>
      </c>
      <c r="AN89" s="366">
        <f t="shared" si="37"/>
        <v>1</v>
      </c>
      <c r="AO89" s="300">
        <f t="shared" si="38"/>
        <v>1</v>
      </c>
      <c r="AP89" s="300">
        <f t="shared" si="39"/>
        <v>1</v>
      </c>
    </row>
    <row r="90" spans="1:42">
      <c r="A90" s="198">
        <f t="shared" si="54"/>
        <v>1935</v>
      </c>
      <c r="B90" s="1162">
        <f>TableUK1!D91</f>
        <v>248.82933962264161</v>
      </c>
      <c r="C90" s="959">
        <f t="shared" si="55"/>
        <v>1063.9591771352007</v>
      </c>
      <c r="D90" s="391">
        <f t="shared" si="56"/>
        <v>3.955351885512437E-2</v>
      </c>
      <c r="E90" s="390">
        <f t="shared" si="49"/>
        <v>8.0446958716864136E-2</v>
      </c>
      <c r="F90" s="1372">
        <f>TableUK6a!M90</f>
        <v>4.2758590234926954</v>
      </c>
      <c r="G90" s="365">
        <f>TableUK12c!B106</f>
        <v>7.0112945264986959E-2</v>
      </c>
      <c r="H90" s="365">
        <f t="shared" si="57"/>
        <v>1.5370181093370308E-2</v>
      </c>
      <c r="I90" s="365">
        <f t="shared" si="40"/>
        <v>0</v>
      </c>
      <c r="J90" s="391">
        <f t="shared" si="50"/>
        <v>6.4091676942312548E-2</v>
      </c>
      <c r="K90" s="390">
        <f t="shared" si="41"/>
        <v>8.0461463601194438E-2</v>
      </c>
      <c r="L90" s="308">
        <f>TableUK6g!O17</f>
        <v>4.275202658825032</v>
      </c>
      <c r="M90" s="1968">
        <f>TableUK12c!B106</f>
        <v>7.0112945264986959E-2</v>
      </c>
      <c r="N90" s="1968">
        <f t="shared" si="58"/>
        <v>1.5372747226109797E-2</v>
      </c>
      <c r="O90" s="1968">
        <f t="shared" si="42"/>
        <v>0</v>
      </c>
      <c r="P90" s="1971">
        <f t="shared" si="51"/>
        <v>6.4103272963451197E-2</v>
      </c>
      <c r="Q90" s="390"/>
      <c r="R90" s="308"/>
      <c r="S90" s="365"/>
      <c r="T90" s="365"/>
      <c r="U90" s="365"/>
      <c r="V90" s="2093">
        <f>TableUK5a!Q90</f>
        <v>0</v>
      </c>
      <c r="W90" s="365"/>
      <c r="X90" s="365"/>
      <c r="Y90" s="365"/>
      <c r="Z90" s="368"/>
      <c r="AA90" s="83"/>
      <c r="AB90" s="83"/>
      <c r="AC90" s="363"/>
      <c r="AF90" s="300">
        <f t="shared" si="43"/>
        <v>1.0804469587168641</v>
      </c>
      <c r="AG90" s="300">
        <f t="shared" si="44"/>
        <v>1.0153701810933704</v>
      </c>
      <c r="AH90" s="300">
        <f t="shared" si="52"/>
        <v>1</v>
      </c>
      <c r="AI90" s="300">
        <f t="shared" si="45"/>
        <v>1.0640916769423125</v>
      </c>
      <c r="AJ90" s="300">
        <f t="shared" si="46"/>
        <v>1.0804614636011944</v>
      </c>
      <c r="AK90" s="300">
        <f t="shared" si="47"/>
        <v>1.0153727472261098</v>
      </c>
      <c r="AL90" s="300">
        <f t="shared" si="53"/>
        <v>1</v>
      </c>
      <c r="AM90" s="300">
        <f t="shared" si="48"/>
        <v>1.0641032729634512</v>
      </c>
      <c r="AN90" s="366">
        <f t="shared" si="37"/>
        <v>1</v>
      </c>
      <c r="AO90" s="300">
        <f t="shared" si="38"/>
        <v>1</v>
      </c>
      <c r="AP90" s="300">
        <f t="shared" si="39"/>
        <v>1</v>
      </c>
    </row>
    <row r="91" spans="1:42">
      <c r="A91" s="198">
        <f t="shared" si="54"/>
        <v>1936</v>
      </c>
      <c r="B91" s="1162">
        <f>TableUK1!D92</f>
        <v>265.28785937500004</v>
      </c>
      <c r="C91" s="959">
        <f t="shared" si="55"/>
        <v>1046.7723741450841</v>
      </c>
      <c r="D91" s="391">
        <f t="shared" si="56"/>
        <v>6.6143806744487499E-2</v>
      </c>
      <c r="E91" s="390">
        <f t="shared" si="49"/>
        <v>-1.61536301011036E-2</v>
      </c>
      <c r="F91" s="1372">
        <f>TableUK6a!M91</f>
        <v>3.9457982608446831</v>
      </c>
      <c r="G91" s="365">
        <f>TableUK12c!B107</f>
        <v>6.7342671963203038E-2</v>
      </c>
      <c r="H91" s="365">
        <f t="shared" si="57"/>
        <v>1.6397394039365652E-2</v>
      </c>
      <c r="I91" s="365">
        <f t="shared" si="40"/>
        <v>0</v>
      </c>
      <c r="J91" s="391">
        <f t="shared" si="50"/>
        <v>-3.2025883115564646E-2</v>
      </c>
      <c r="K91" s="390">
        <f t="shared" si="41"/>
        <v>-1.6161544202257794E-2</v>
      </c>
      <c r="L91" s="308">
        <f>TableUK6g!O18</f>
        <v>3.9451608267784639</v>
      </c>
      <c r="M91" s="1968">
        <f>TableUK12c!B107</f>
        <v>6.7342671963203038E-2</v>
      </c>
      <c r="N91" s="1968">
        <f t="shared" si="58"/>
        <v>1.6399911503670407E-2</v>
      </c>
      <c r="O91" s="1968">
        <f t="shared" si="42"/>
        <v>0</v>
      </c>
      <c r="P91" s="1971">
        <f t="shared" si="51"/>
        <v>-3.203606704152151E-2</v>
      </c>
      <c r="Q91" s="390"/>
      <c r="R91" s="308"/>
      <c r="S91" s="365"/>
      <c r="T91" s="365"/>
      <c r="U91" s="365"/>
      <c r="V91" s="2093">
        <f>TableUK5a!Q91</f>
        <v>0</v>
      </c>
      <c r="W91" s="365"/>
      <c r="X91" s="365"/>
      <c r="Y91" s="365"/>
      <c r="Z91" s="368"/>
      <c r="AA91" s="83"/>
      <c r="AB91" s="83"/>
      <c r="AC91" s="363"/>
      <c r="AF91" s="300">
        <f t="shared" si="43"/>
        <v>0.9838463698988964</v>
      </c>
      <c r="AG91" s="300">
        <f t="shared" si="44"/>
        <v>1.0163973940393656</v>
      </c>
      <c r="AH91" s="300">
        <f t="shared" si="52"/>
        <v>1</v>
      </c>
      <c r="AI91" s="300">
        <f t="shared" si="45"/>
        <v>0.96797411688443535</v>
      </c>
      <c r="AJ91" s="300">
        <f t="shared" si="46"/>
        <v>0.98383845579774221</v>
      </c>
      <c r="AK91" s="300">
        <f t="shared" si="47"/>
        <v>1.0163999115036704</v>
      </c>
      <c r="AL91" s="300">
        <f t="shared" si="53"/>
        <v>1</v>
      </c>
      <c r="AM91" s="300">
        <f t="shared" si="48"/>
        <v>0.96796393295847849</v>
      </c>
      <c r="AN91" s="366">
        <f t="shared" si="37"/>
        <v>1</v>
      </c>
      <c r="AO91" s="300">
        <f t="shared" si="38"/>
        <v>1</v>
      </c>
      <c r="AP91" s="300">
        <f t="shared" si="39"/>
        <v>1</v>
      </c>
    </row>
    <row r="92" spans="1:42">
      <c r="A92" s="198">
        <f t="shared" si="54"/>
        <v>1937</v>
      </c>
      <c r="B92" s="1162">
        <f>TableUK1!D93</f>
        <v>268.1672439759036</v>
      </c>
      <c r="C92" s="959">
        <f t="shared" si="55"/>
        <v>964.5779602859651</v>
      </c>
      <c r="D92" s="391">
        <f t="shared" si="56"/>
        <v>1.0853812186080392E-2</v>
      </c>
      <c r="E92" s="390">
        <f t="shared" si="49"/>
        <v>-7.8521764510883774E-2</v>
      </c>
      <c r="F92" s="1372">
        <f>TableUK6a!M92</f>
        <v>3.5969268505166054</v>
      </c>
      <c r="G92" s="365">
        <f>TableUK12c!B108</f>
        <v>7.8489390694958111E-2</v>
      </c>
      <c r="H92" s="365">
        <f t="shared" si="57"/>
        <v>1.706693234458137E-2</v>
      </c>
      <c r="I92" s="365">
        <f t="shared" si="40"/>
        <v>0</v>
      </c>
      <c r="J92" s="391">
        <f t="shared" si="50"/>
        <v>-9.3984666903986769E-2</v>
      </c>
      <c r="K92" s="390">
        <f t="shared" si="41"/>
        <v>-7.8527081040939417E-2</v>
      </c>
      <c r="L92" s="308">
        <f>TableUK6g!O19</f>
        <v>3.5963250264176541</v>
      </c>
      <c r="M92" s="1968">
        <f>TableUK12c!B108</f>
        <v>7.8489390694958111E-2</v>
      </c>
      <c r="N92" s="1968">
        <f t="shared" si="58"/>
        <v>1.7069689911271287E-2</v>
      </c>
      <c r="O92" s="1968">
        <f t="shared" si="42"/>
        <v>0</v>
      </c>
      <c r="P92" s="1971">
        <f t="shared" si="51"/>
        <v>-9.3992350672204683E-2</v>
      </c>
      <c r="Q92" s="390"/>
      <c r="R92" s="308"/>
      <c r="S92" s="365"/>
      <c r="T92" s="365"/>
      <c r="U92" s="365"/>
      <c r="V92" s="2093">
        <f>TableUK5a!Q92</f>
        <v>0</v>
      </c>
      <c r="W92" s="365"/>
      <c r="X92" s="365"/>
      <c r="Y92" s="365"/>
      <c r="Z92" s="368"/>
      <c r="AA92" s="83"/>
      <c r="AB92" s="83"/>
      <c r="AC92" s="363"/>
      <c r="AF92" s="300">
        <f t="shared" si="43"/>
        <v>0.92147823548911623</v>
      </c>
      <c r="AG92" s="300">
        <f t="shared" si="44"/>
        <v>1.0170669323445813</v>
      </c>
      <c r="AH92" s="300">
        <f t="shared" si="52"/>
        <v>1</v>
      </c>
      <c r="AI92" s="300">
        <f t="shared" si="45"/>
        <v>0.90601533309601323</v>
      </c>
      <c r="AJ92" s="300">
        <f t="shared" si="46"/>
        <v>0.92147291895906058</v>
      </c>
      <c r="AK92" s="300">
        <f t="shared" si="47"/>
        <v>1.0170696899112712</v>
      </c>
      <c r="AL92" s="300">
        <f t="shared" si="53"/>
        <v>1</v>
      </c>
      <c r="AM92" s="300">
        <f t="shared" si="48"/>
        <v>0.90600764932779532</v>
      </c>
      <c r="AN92" s="366">
        <f t="shared" si="37"/>
        <v>1</v>
      </c>
      <c r="AO92" s="300">
        <f t="shared" si="38"/>
        <v>1</v>
      </c>
      <c r="AP92" s="300">
        <f t="shared" si="39"/>
        <v>1</v>
      </c>
    </row>
    <row r="93" spans="1:42">
      <c r="A93" s="198">
        <f t="shared" si="54"/>
        <v>1938</v>
      </c>
      <c r="B93" s="1162">
        <f>TableUK1!D94</f>
        <v>266.34928571428577</v>
      </c>
      <c r="C93" s="959">
        <f t="shared" si="55"/>
        <v>947.3076755658069</v>
      </c>
      <c r="D93" s="391">
        <f t="shared" si="56"/>
        <v>-6.7791958281869791E-3</v>
      </c>
      <c r="E93" s="390">
        <f t="shared" si="49"/>
        <v>-1.7904498579915828E-2</v>
      </c>
      <c r="F93" s="1372">
        <f>TableUK6a!M93</f>
        <v>3.5566368162968858</v>
      </c>
      <c r="G93" s="365">
        <f>TableUK12c!B109</f>
        <v>7.9829440118650383E-2</v>
      </c>
      <c r="H93" s="365">
        <f t="shared" si="57"/>
        <v>2.182123628221273E-2</v>
      </c>
      <c r="I93" s="365">
        <f t="shared" si="40"/>
        <v>0</v>
      </c>
      <c r="J93" s="391">
        <f t="shared" si="50"/>
        <v>-3.8877382316564901E-2</v>
      </c>
      <c r="K93" s="390">
        <f t="shared" si="41"/>
        <v>-1.7893861449560622E-2</v>
      </c>
      <c r="L93" s="308">
        <f>TableUK6g!O20</f>
        <v>3.5560802490564507</v>
      </c>
      <c r="M93" s="1968">
        <f>TableUK12c!B109</f>
        <v>7.9829440118650383E-2</v>
      </c>
      <c r="N93" s="1968">
        <f t="shared" si="58"/>
        <v>2.1824887939325775E-2</v>
      </c>
      <c r="O93" s="1968">
        <f t="shared" si="42"/>
        <v>0</v>
      </c>
      <c r="P93" s="1971">
        <f t="shared" si="51"/>
        <v>-3.8870407109564131E-2</v>
      </c>
      <c r="Q93" s="390"/>
      <c r="R93" s="308"/>
      <c r="S93" s="365"/>
      <c r="T93" s="365"/>
      <c r="U93" s="365"/>
      <c r="V93" s="2093">
        <f>TableUK5a!Q93</f>
        <v>0</v>
      </c>
      <c r="W93" s="365"/>
      <c r="X93" s="365"/>
      <c r="Y93" s="365"/>
      <c r="Z93" s="368"/>
      <c r="AA93" s="83"/>
      <c r="AB93" s="83"/>
      <c r="AC93" s="363"/>
      <c r="AF93" s="300">
        <f t="shared" si="43"/>
        <v>0.98209550142008417</v>
      </c>
      <c r="AG93" s="300">
        <f t="shared" si="44"/>
        <v>1.0218212362822128</v>
      </c>
      <c r="AH93" s="300">
        <f t="shared" si="52"/>
        <v>1</v>
      </c>
      <c r="AI93" s="300">
        <f t="shared" si="45"/>
        <v>0.9611226176834351</v>
      </c>
      <c r="AJ93" s="300">
        <f t="shared" si="46"/>
        <v>0.98210613855043938</v>
      </c>
      <c r="AK93" s="300">
        <f t="shared" si="47"/>
        <v>1.0218248879393257</v>
      </c>
      <c r="AL93" s="300">
        <f t="shared" si="53"/>
        <v>1</v>
      </c>
      <c r="AM93" s="300">
        <f t="shared" si="48"/>
        <v>0.96112959289043587</v>
      </c>
      <c r="AN93" s="366">
        <f t="shared" si="37"/>
        <v>1</v>
      </c>
      <c r="AO93" s="300">
        <f t="shared" si="38"/>
        <v>1</v>
      </c>
      <c r="AP93" s="300">
        <f t="shared" si="39"/>
        <v>1</v>
      </c>
    </row>
    <row r="94" spans="1:42">
      <c r="A94" s="214">
        <f t="shared" si="54"/>
        <v>1939</v>
      </c>
      <c r="B94" s="1163">
        <f>TableUK1!D95</f>
        <v>283.86390173410399</v>
      </c>
      <c r="C94" s="1171">
        <f t="shared" si="55"/>
        <v>911.37408070697688</v>
      </c>
      <c r="D94" s="1172">
        <f t="shared" si="56"/>
        <v>6.5758073924802041E-2</v>
      </c>
      <c r="E94" s="1181">
        <f t="shared" si="49"/>
        <v>-3.7932337914783343E-2</v>
      </c>
      <c r="F94" s="1381">
        <f>TableUK6a!M94</f>
        <v>3.210602246849489</v>
      </c>
      <c r="G94" s="1184">
        <f>TableUK12c!B110</f>
        <v>3.0027932960893837E-2</v>
      </c>
      <c r="H94" s="1184">
        <f t="shared" si="57"/>
        <v>2.2445204343851881E-2</v>
      </c>
      <c r="I94" s="1184">
        <f t="shared" si="40"/>
        <v>0</v>
      </c>
      <c r="J94" s="1172">
        <f t="shared" si="50"/>
        <v>-5.9052105679719191E-2</v>
      </c>
      <c r="K94" s="1181">
        <f t="shared" si="41"/>
        <v>-3.7940664659072865E-2</v>
      </c>
      <c r="L94" s="550">
        <f>TableUK6g!O21</f>
        <v>3.2100720459262866</v>
      </c>
      <c r="M94" s="1969">
        <f>TableUK12c!B110</f>
        <v>3.0027932960893837E-2</v>
      </c>
      <c r="N94" s="1969">
        <f t="shared" si="58"/>
        <v>2.2448717275104196E-2</v>
      </c>
      <c r="O94" s="1969">
        <f t="shared" si="42"/>
        <v>0</v>
      </c>
      <c r="P94" s="1972">
        <f t="shared" si="51"/>
        <v>-5.906348251393867E-2</v>
      </c>
      <c r="Q94" s="1181"/>
      <c r="R94" s="550"/>
      <c r="S94" s="1184"/>
      <c r="T94" s="1184"/>
      <c r="U94" s="1184"/>
      <c r="V94" s="2092">
        <f>TableUK5a!Q94</f>
        <v>0</v>
      </c>
      <c r="W94" s="365"/>
      <c r="X94" s="365"/>
      <c r="Y94" s="365"/>
      <c r="Z94" s="368"/>
      <c r="AA94" s="83"/>
      <c r="AB94" s="83"/>
      <c r="AC94" s="363"/>
      <c r="AF94" s="300">
        <f t="shared" si="43"/>
        <v>0.96206766208521666</v>
      </c>
      <c r="AG94" s="300">
        <f t="shared" si="44"/>
        <v>1.0224452043438519</v>
      </c>
      <c r="AH94" s="300">
        <f t="shared" si="52"/>
        <v>1</v>
      </c>
      <c r="AI94" s="300">
        <f t="shared" si="45"/>
        <v>0.94094789432028081</v>
      </c>
      <c r="AJ94" s="300">
        <f t="shared" si="46"/>
        <v>0.96205933534092714</v>
      </c>
      <c r="AK94" s="300">
        <f t="shared" si="47"/>
        <v>1.0224487172751042</v>
      </c>
      <c r="AL94" s="300">
        <f t="shared" si="53"/>
        <v>1</v>
      </c>
      <c r="AM94" s="300">
        <f t="shared" si="48"/>
        <v>0.94093651748606133</v>
      </c>
      <c r="AN94" s="366">
        <f t="shared" si="37"/>
        <v>1</v>
      </c>
      <c r="AO94" s="300">
        <f t="shared" si="38"/>
        <v>1</v>
      </c>
      <c r="AP94" s="300">
        <f t="shared" si="39"/>
        <v>1</v>
      </c>
    </row>
    <row r="95" spans="1:42">
      <c r="A95" s="198">
        <f t="shared" si="54"/>
        <v>1940</v>
      </c>
      <c r="B95" s="1162">
        <f>TableUK1!D96</f>
        <v>289.09143564356447</v>
      </c>
      <c r="C95" s="959">
        <f t="shared" si="55"/>
        <v>807.35230224579129</v>
      </c>
      <c r="D95" s="391">
        <f t="shared" si="56"/>
        <v>1.8415634666915537E-2</v>
      </c>
      <c r="E95" s="390">
        <f t="shared" si="49"/>
        <v>-0.11413730175483283</v>
      </c>
      <c r="F95" s="1372">
        <f>TableUK6a!M95</f>
        <v>2.7927230028398937</v>
      </c>
      <c r="G95" s="365">
        <f>TableUK12c!B111</f>
        <v>-4.8888275100124279E-2</v>
      </c>
      <c r="H95" s="365">
        <f t="shared" si="57"/>
        <v>9.3527415270327399E-3</v>
      </c>
      <c r="I95" s="365">
        <f t="shared" si="40"/>
        <v>-1.5522506677728996E-2</v>
      </c>
      <c r="J95" s="391">
        <f t="shared" si="50"/>
        <v>-0.12234577487255793</v>
      </c>
      <c r="K95" s="390">
        <f t="shared" si="41"/>
        <v>-9.5840989819280464E-2</v>
      </c>
      <c r="L95" s="308">
        <f>TableUK6g!O22</f>
        <v>2.8499322524666235</v>
      </c>
      <c r="M95" s="1968">
        <f>TableUK12c!B111</f>
        <v>-4.8888275100124279E-2</v>
      </c>
      <c r="N95" s="1968">
        <f t="shared" si="58"/>
        <v>9.3542862998980091E-3</v>
      </c>
      <c r="O95" s="1968">
        <f t="shared" si="42"/>
        <v>-1.521090946043017E-2</v>
      </c>
      <c r="P95" s="1971">
        <f t="shared" si="51"/>
        <v>-0.10422036894974163</v>
      </c>
      <c r="Q95" s="390"/>
      <c r="R95" s="308"/>
      <c r="S95" s="365"/>
      <c r="T95" s="365"/>
      <c r="U95" s="365"/>
      <c r="V95" s="2093">
        <f>TableUK5a!Q95</f>
        <v>-4.3350061460629627E-2</v>
      </c>
      <c r="W95" s="365"/>
      <c r="X95" s="365"/>
      <c r="Y95" s="365"/>
      <c r="Z95" s="368"/>
      <c r="AA95" s="83"/>
      <c r="AB95" s="83"/>
      <c r="AC95" s="363"/>
      <c r="AF95" s="300">
        <f t="shared" si="43"/>
        <v>0.88586269824516717</v>
      </c>
      <c r="AG95" s="300">
        <f t="shared" si="44"/>
        <v>1.0093527415270327</v>
      </c>
      <c r="AH95" s="300">
        <f t="shared" si="52"/>
        <v>1</v>
      </c>
      <c r="AI95" s="300">
        <f t="shared" si="45"/>
        <v>0.87765422512744207</v>
      </c>
      <c r="AJ95" s="300">
        <f t="shared" si="46"/>
        <v>0.90415901018071954</v>
      </c>
      <c r="AK95" s="300">
        <f t="shared" si="47"/>
        <v>1.0093542862998981</v>
      </c>
      <c r="AL95" s="300">
        <f t="shared" si="53"/>
        <v>1</v>
      </c>
      <c r="AM95" s="300">
        <f t="shared" si="48"/>
        <v>0.89577963105025837</v>
      </c>
      <c r="AN95" s="366">
        <f t="shared" si="37"/>
        <v>1</v>
      </c>
      <c r="AO95" s="300">
        <f t="shared" si="38"/>
        <v>1</v>
      </c>
      <c r="AP95" s="300">
        <f t="shared" si="39"/>
        <v>1</v>
      </c>
    </row>
    <row r="96" spans="1:42">
      <c r="A96" s="198">
        <f t="shared" si="54"/>
        <v>1941</v>
      </c>
      <c r="B96" s="1162">
        <f>TableUK1!D97</f>
        <v>302.39196428571432</v>
      </c>
      <c r="C96" s="959">
        <f t="shared" si="55"/>
        <v>773.12405375303251</v>
      </c>
      <c r="D96" s="391">
        <f t="shared" si="56"/>
        <v>4.6008034145116561E-2</v>
      </c>
      <c r="E96" s="390">
        <f t="shared" si="49"/>
        <v>-4.2395678314840701E-2</v>
      </c>
      <c r="F96" s="1372">
        <f>TableUK6a!M96</f>
        <v>2.5566951012711043</v>
      </c>
      <c r="G96" s="365">
        <f>TableUK12c!B112</f>
        <v>-6.9177192775351226E-2</v>
      </c>
      <c r="H96" s="365">
        <f t="shared" si="57"/>
        <v>-1.7505594020749731E-2</v>
      </c>
      <c r="I96" s="365">
        <f t="shared" si="40"/>
        <v>-1.6209729139915561E-2</v>
      </c>
      <c r="J96" s="391">
        <f t="shared" si="50"/>
        <v>-9.9657501145090643E-3</v>
      </c>
      <c r="K96" s="390">
        <f t="shared" si="41"/>
        <v>-1.9429013349469892E-2</v>
      </c>
      <c r="L96" s="308">
        <f>TableUK6g!O23</f>
        <v>2.6716438014477668</v>
      </c>
      <c r="M96" s="1968">
        <f>TableUK12c!B112</f>
        <v>-6.9177192775351226E-2</v>
      </c>
      <c r="N96" s="1968">
        <f t="shared" si="58"/>
        <v>-1.7154188510204532E-2</v>
      </c>
      <c r="O96" s="1968">
        <f t="shared" si="42"/>
        <v>-1.5512298107440592E-2</v>
      </c>
      <c r="P96" s="1971">
        <f t="shared" si="51"/>
        <v>1.3095576386260577E-2</v>
      </c>
      <c r="Q96" s="390"/>
      <c r="R96" s="308"/>
      <c r="S96" s="365"/>
      <c r="T96" s="365"/>
      <c r="U96" s="365"/>
      <c r="V96" s="2093">
        <f>TableUK5a!Q96</f>
        <v>-4.1443335084953584E-2</v>
      </c>
      <c r="W96" s="365"/>
      <c r="X96" s="365"/>
      <c r="Y96" s="365"/>
      <c r="Z96" s="368"/>
      <c r="AA96" s="83"/>
      <c r="AB96" s="83"/>
      <c r="AC96" s="363"/>
      <c r="AF96" s="300">
        <f t="shared" si="43"/>
        <v>0.9576043216851593</v>
      </c>
      <c r="AG96" s="300">
        <f t="shared" si="44"/>
        <v>0.98249440597925031</v>
      </c>
      <c r="AH96" s="300">
        <f t="shared" si="52"/>
        <v>0.98447749332227097</v>
      </c>
      <c r="AI96" s="300">
        <f t="shared" si="45"/>
        <v>0.99003424988549094</v>
      </c>
      <c r="AJ96" s="300">
        <f t="shared" si="46"/>
        <v>0.98057098665053011</v>
      </c>
      <c r="AK96" s="300">
        <f t="shared" si="47"/>
        <v>0.98284581148979544</v>
      </c>
      <c r="AL96" s="300">
        <f t="shared" si="53"/>
        <v>0.98478909053956987</v>
      </c>
      <c r="AM96" s="300">
        <f t="shared" si="48"/>
        <v>1.0130955763862606</v>
      </c>
      <c r="AN96" s="366">
        <f t="shared" si="37"/>
        <v>1</v>
      </c>
      <c r="AO96" s="300">
        <f t="shared" si="38"/>
        <v>1</v>
      </c>
      <c r="AP96" s="300">
        <f t="shared" si="39"/>
        <v>1</v>
      </c>
    </row>
    <row r="97" spans="1:42">
      <c r="A97" s="198">
        <f t="shared" si="54"/>
        <v>1942</v>
      </c>
      <c r="B97" s="1162">
        <f>TableUK1!D98</f>
        <v>310.02812500000005</v>
      </c>
      <c r="C97" s="959">
        <f t="shared" si="55"/>
        <v>754.83980313351731</v>
      </c>
      <c r="D97" s="391">
        <f t="shared" si="56"/>
        <v>2.5252525252525304E-2</v>
      </c>
      <c r="E97" s="390">
        <f t="shared" si="49"/>
        <v>-2.3649827645067512E-2</v>
      </c>
      <c r="F97" s="1372">
        <f>TableUK6a!M97</f>
        <v>2.4347462125686734</v>
      </c>
      <c r="G97" s="365">
        <f>TableUK12c!B113</f>
        <v>-7.5865080231415777E-2</v>
      </c>
      <c r="H97" s="365">
        <f t="shared" si="57"/>
        <v>-2.7057271217423857E-2</v>
      </c>
      <c r="I97" s="365">
        <f t="shared" si="40"/>
        <v>-1.6602372385327791E-2</v>
      </c>
      <c r="J97" s="391">
        <f t="shared" si="50"/>
        <v>2.0036722632919002E-2</v>
      </c>
      <c r="K97" s="390">
        <f t="shared" si="41"/>
        <v>6.1193185634689229E-4</v>
      </c>
      <c r="L97" s="308">
        <f>TableUK6g!O24</f>
        <v>2.6074343632952686</v>
      </c>
      <c r="M97" s="1968">
        <f>TableUK12c!B113</f>
        <v>-7.5865080231415777E-2</v>
      </c>
      <c r="N97" s="1968">
        <f t="shared" si="58"/>
        <v>-2.5893119710742887E-2</v>
      </c>
      <c r="O97" s="1968">
        <f t="shared" si="42"/>
        <v>-1.5502811443255524E-2</v>
      </c>
      <c r="P97" s="1971">
        <f t="shared" si="51"/>
        <v>4.3395047836899403E-2</v>
      </c>
      <c r="Q97" s="390"/>
      <c r="R97" s="308"/>
      <c r="S97" s="365"/>
      <c r="T97" s="365"/>
      <c r="U97" s="365"/>
      <c r="V97" s="2093">
        <f>TableUK5a!Q97</f>
        <v>-4.042256328483157E-2</v>
      </c>
      <c r="W97" s="365"/>
      <c r="X97" s="365"/>
      <c r="Y97" s="365"/>
      <c r="Z97" s="368"/>
      <c r="AA97" s="83"/>
      <c r="AB97" s="83"/>
      <c r="AC97" s="363"/>
      <c r="AF97" s="300">
        <f t="shared" si="43"/>
        <v>0.97635017235493249</v>
      </c>
      <c r="AG97" s="300">
        <f t="shared" si="44"/>
        <v>0.97294272878257615</v>
      </c>
      <c r="AH97" s="300">
        <f t="shared" si="52"/>
        <v>0.98379027086008441</v>
      </c>
      <c r="AI97" s="300">
        <f t="shared" si="45"/>
        <v>1.020036722632919</v>
      </c>
      <c r="AJ97" s="300">
        <f t="shared" si="46"/>
        <v>1.0006119318563469</v>
      </c>
      <c r="AK97" s="300">
        <f t="shared" si="47"/>
        <v>0.97410688028925707</v>
      </c>
      <c r="AL97" s="300">
        <f t="shared" si="53"/>
        <v>0.98448770189255941</v>
      </c>
      <c r="AM97" s="300">
        <f t="shared" si="48"/>
        <v>1.0433950478368994</v>
      </c>
      <c r="AN97" s="366">
        <f t="shared" si="37"/>
        <v>1</v>
      </c>
      <c r="AO97" s="300">
        <f t="shared" si="38"/>
        <v>1</v>
      </c>
      <c r="AP97" s="300">
        <f t="shared" si="39"/>
        <v>1</v>
      </c>
    </row>
    <row r="98" spans="1:42">
      <c r="A98" s="198">
        <f t="shared" si="54"/>
        <v>1943</v>
      </c>
      <c r="B98" s="1162">
        <f>TableUK1!D99</f>
        <v>316.78735887096775</v>
      </c>
      <c r="C98" s="959">
        <f t="shared" si="55"/>
        <v>748.84977015005427</v>
      </c>
      <c r="D98" s="391">
        <f t="shared" si="56"/>
        <v>2.1802002224694084E-2</v>
      </c>
      <c r="E98" s="390">
        <f t="shared" si="49"/>
        <v>-7.9355022861765656E-3</v>
      </c>
      <c r="F98" s="1372">
        <f>TableUK6a!M98</f>
        <v>2.3638877915424397</v>
      </c>
      <c r="G98" s="365">
        <f>TableUK12c!B114</f>
        <v>-7.4602190535234536E-2</v>
      </c>
      <c r="H98" s="365">
        <f t="shared" si="57"/>
        <v>-3.1159338020440994E-2</v>
      </c>
      <c r="I98" s="365">
        <f t="shared" si="40"/>
        <v>-1.6735174400038862E-2</v>
      </c>
      <c r="J98" s="391">
        <f t="shared" si="50"/>
        <v>4.1258103163786419E-2</v>
      </c>
      <c r="K98" s="390">
        <f t="shared" si="41"/>
        <v>1.6660936935184889E-2</v>
      </c>
      <c r="L98" s="308">
        <f>TableUK6g!O25</f>
        <v>2.5943153928189675</v>
      </c>
      <c r="M98" s="1968">
        <f>TableUK12c!B114</f>
        <v>-7.4602190535234536E-2</v>
      </c>
      <c r="N98" s="1968">
        <f t="shared" si="58"/>
        <v>-2.9095681678267711E-2</v>
      </c>
      <c r="O98" s="1968">
        <f t="shared" si="42"/>
        <v>-1.5248752932310093E-2</v>
      </c>
      <c r="P98" s="1971">
        <f t="shared" si="51"/>
        <v>6.3616887151125567E-2</v>
      </c>
      <c r="Q98" s="390"/>
      <c r="R98" s="308"/>
      <c r="S98" s="365"/>
      <c r="T98" s="365"/>
      <c r="U98" s="365"/>
      <c r="V98" s="2093">
        <f>TableUK5a!Q98</f>
        <v>-3.9560074453585441E-2</v>
      </c>
      <c r="W98" s="365"/>
      <c r="X98" s="365"/>
      <c r="Y98" s="365"/>
      <c r="Z98" s="368"/>
      <c r="AA98" s="83"/>
      <c r="AB98" s="83"/>
      <c r="AC98" s="363"/>
      <c r="AF98" s="300">
        <f t="shared" si="43"/>
        <v>0.99206449771382343</v>
      </c>
      <c r="AG98" s="300">
        <f t="shared" si="44"/>
        <v>0.96884066197955898</v>
      </c>
      <c r="AH98" s="300">
        <f t="shared" si="52"/>
        <v>0.9833976276146722</v>
      </c>
      <c r="AI98" s="300">
        <f t="shared" si="45"/>
        <v>1.0412581031637864</v>
      </c>
      <c r="AJ98" s="300">
        <f t="shared" si="46"/>
        <v>1.0166609369351849</v>
      </c>
      <c r="AK98" s="300">
        <f t="shared" si="47"/>
        <v>0.9709043183217323</v>
      </c>
      <c r="AL98" s="300">
        <f t="shared" si="53"/>
        <v>0.98449718855674451</v>
      </c>
      <c r="AM98" s="300">
        <f t="shared" si="48"/>
        <v>1.0636168871511256</v>
      </c>
      <c r="AN98" s="366">
        <f t="shared" si="37"/>
        <v>1</v>
      </c>
      <c r="AO98" s="300">
        <f t="shared" si="38"/>
        <v>1</v>
      </c>
      <c r="AP98" s="300">
        <f t="shared" si="39"/>
        <v>1</v>
      </c>
    </row>
    <row r="99" spans="1:42">
      <c r="A99" s="198">
        <f t="shared" si="54"/>
        <v>1944</v>
      </c>
      <c r="B99" s="1162">
        <f>TableUK1!D100</f>
        <v>314.46368627450983</v>
      </c>
      <c r="C99" s="959">
        <f t="shared" si="55"/>
        <v>729.25229740975738</v>
      </c>
      <c r="D99" s="391">
        <f t="shared" si="56"/>
        <v>-7.3351178050143906E-3</v>
      </c>
      <c r="E99" s="390">
        <f t="shared" si="49"/>
        <v>-2.6170099159368077E-2</v>
      </c>
      <c r="F99" s="1372">
        <f>TableUK6a!M99</f>
        <v>2.3190350086183225</v>
      </c>
      <c r="G99" s="365">
        <f>TableUK12c!B115</f>
        <v>-0.11440940012368583</v>
      </c>
      <c r="H99" s="365">
        <f t="shared" si="57"/>
        <v>-3.1559108178547055E-2</v>
      </c>
      <c r="I99" s="365">
        <f t="shared" si="40"/>
        <v>-1.7184905069758779E-2</v>
      </c>
      <c r="J99" s="391">
        <f t="shared" si="50"/>
        <v>2.2679340698512407E-2</v>
      </c>
      <c r="K99" s="390">
        <f t="shared" si="41"/>
        <v>-2.4042823190615348E-3</v>
      </c>
      <c r="L99" s="308">
        <f>TableUK6g!O26</f>
        <v>2.6072020604447825</v>
      </c>
      <c r="M99" s="1968">
        <f>TableUK12c!B115</f>
        <v>-0.11440940012368583</v>
      </c>
      <c r="N99" s="1968">
        <f t="shared" si="58"/>
        <v>-2.8756022009402738E-2</v>
      </c>
      <c r="O99" s="1968">
        <f t="shared" si="42"/>
        <v>-1.5285503598349556E-2</v>
      </c>
      <c r="P99" s="1971">
        <f t="shared" si="51"/>
        <v>4.3036959435975852E-2</v>
      </c>
      <c r="Q99" s="390"/>
      <c r="R99" s="308"/>
      <c r="S99" s="365"/>
      <c r="T99" s="365"/>
      <c r="U99" s="365"/>
      <c r="V99" s="2093">
        <f>TableUK5a!Q99</f>
        <v>-3.9852396476553101E-2</v>
      </c>
      <c r="W99" s="365"/>
      <c r="X99" s="365"/>
      <c r="Y99" s="365"/>
      <c r="Z99" s="368"/>
      <c r="AA99" s="83"/>
      <c r="AB99" s="83"/>
      <c r="AC99" s="363"/>
      <c r="AF99" s="300">
        <f t="shared" si="43"/>
        <v>0.97382990084063192</v>
      </c>
      <c r="AG99" s="300">
        <f t="shared" si="44"/>
        <v>0.96844089182145299</v>
      </c>
      <c r="AH99" s="300">
        <f t="shared" si="52"/>
        <v>0.98326482559996109</v>
      </c>
      <c r="AI99" s="300">
        <f t="shared" si="45"/>
        <v>1.0226793406985124</v>
      </c>
      <c r="AJ99" s="300">
        <f t="shared" si="46"/>
        <v>0.99759571768093847</v>
      </c>
      <c r="AK99" s="300">
        <f t="shared" si="47"/>
        <v>0.97124397799059725</v>
      </c>
      <c r="AL99" s="300">
        <f t="shared" si="53"/>
        <v>0.98475124706768991</v>
      </c>
      <c r="AM99" s="300">
        <f t="shared" si="48"/>
        <v>1.0430369594359759</v>
      </c>
      <c r="AN99" s="366">
        <f t="shared" si="37"/>
        <v>1</v>
      </c>
      <c r="AO99" s="300">
        <f t="shared" si="38"/>
        <v>1</v>
      </c>
      <c r="AP99" s="300">
        <f t="shared" si="39"/>
        <v>1</v>
      </c>
    </row>
    <row r="100" spans="1:42">
      <c r="A100" s="198">
        <f t="shared" si="54"/>
        <v>1945</v>
      </c>
      <c r="B100" s="1162">
        <f>TableUK1!D101</f>
        <v>307.95528625954199</v>
      </c>
      <c r="C100" s="959">
        <f t="shared" si="55"/>
        <v>718.08082982961832</v>
      </c>
      <c r="D100" s="391">
        <f t="shared" si="56"/>
        <v>-2.0696825417502618E-2</v>
      </c>
      <c r="E100" s="390">
        <f t="shared" si="49"/>
        <v>-1.531907080693351E-2</v>
      </c>
      <c r="F100" s="1372">
        <f>TableUK6a!M100</f>
        <v>2.3317697791504255</v>
      </c>
      <c r="G100" s="365">
        <f>TableUK12c!B116</f>
        <v>-0.12997519145723224</v>
      </c>
      <c r="H100" s="365">
        <f t="shared" si="57"/>
        <v>-4.9334917195515207E-2</v>
      </c>
      <c r="I100" s="365">
        <f t="shared" si="40"/>
        <v>0</v>
      </c>
      <c r="J100" s="391">
        <f t="shared" si="50"/>
        <v>5.3892140591355497E-2</v>
      </c>
      <c r="K100" s="390">
        <f t="shared" si="41"/>
        <v>5.7743213643057789E-3</v>
      </c>
      <c r="L100" s="308">
        <f>TableUK6g!O27</f>
        <v>2.6776762815268187</v>
      </c>
      <c r="M100" s="1968">
        <f>TableUK12c!B116</f>
        <v>-0.12997519145723224</v>
      </c>
      <c r="N100" s="1968">
        <f t="shared" si="58"/>
        <v>-4.3882061102762347E-2</v>
      </c>
      <c r="O100" s="1968">
        <f t="shared" si="42"/>
        <v>0</v>
      </c>
      <c r="P100" s="1971">
        <f t="shared" si="51"/>
        <v>6.8264374485618617E-2</v>
      </c>
      <c r="Q100" s="390"/>
      <c r="R100" s="308"/>
      <c r="S100" s="365"/>
      <c r="T100" s="365"/>
      <c r="U100" s="365"/>
      <c r="V100" s="2093">
        <f>TableUK5a!Q100</f>
        <v>0</v>
      </c>
      <c r="W100" s="365"/>
      <c r="X100" s="365"/>
      <c r="Y100" s="365"/>
      <c r="Z100" s="368"/>
      <c r="AA100" s="83"/>
      <c r="AB100" s="83"/>
      <c r="AC100" s="363"/>
      <c r="AF100" s="300">
        <f t="shared" si="43"/>
        <v>0.98468092919306649</v>
      </c>
      <c r="AG100" s="300">
        <f t="shared" si="44"/>
        <v>0.95066508280448481</v>
      </c>
      <c r="AH100" s="300">
        <f t="shared" si="52"/>
        <v>0.98281509493024122</v>
      </c>
      <c r="AI100" s="300">
        <f t="shared" si="45"/>
        <v>1.0538921405913555</v>
      </c>
      <c r="AJ100" s="300">
        <f t="shared" si="46"/>
        <v>1.0057743213643058</v>
      </c>
      <c r="AK100" s="300">
        <f t="shared" si="47"/>
        <v>0.95611793889723762</v>
      </c>
      <c r="AL100" s="300">
        <f t="shared" si="53"/>
        <v>0.98471449640165043</v>
      </c>
      <c r="AM100" s="300">
        <f t="shared" si="48"/>
        <v>1.0682643744856186</v>
      </c>
      <c r="AN100" s="366">
        <f t="shared" si="37"/>
        <v>1</v>
      </c>
      <c r="AO100" s="300">
        <f t="shared" si="38"/>
        <v>1</v>
      </c>
      <c r="AP100" s="300">
        <f t="shared" si="39"/>
        <v>1</v>
      </c>
    </row>
    <row r="101" spans="1:42">
      <c r="A101" s="198">
        <f t="shared" si="54"/>
        <v>1946</v>
      </c>
      <c r="B101" s="1162">
        <f>TableUK1!D102</f>
        <v>293.22404629629636</v>
      </c>
      <c r="C101" s="959">
        <f t="shared" si="55"/>
        <v>701.33891738881005</v>
      </c>
      <c r="D101" s="391">
        <f t="shared" si="56"/>
        <v>-4.7835645694454088E-2</v>
      </c>
      <c r="E101" s="390">
        <f t="shared" si="49"/>
        <v>-2.3314802102126331E-2</v>
      </c>
      <c r="F101" s="1372">
        <f>TableUK6a!M101</f>
        <v>2.3918192462296313</v>
      </c>
      <c r="G101" s="365">
        <f>TableUK12c!B117</f>
        <v>7.1907957813997919E-3</v>
      </c>
      <c r="H101" s="365">
        <f t="shared" si="57"/>
        <v>-5.5741005231051743E-2</v>
      </c>
      <c r="I101" s="365">
        <f t="shared" si="40"/>
        <v>0</v>
      </c>
      <c r="J101" s="391">
        <f t="shared" si="50"/>
        <v>3.4340369865218934E-2</v>
      </c>
      <c r="K101" s="390">
        <f t="shared" si="41"/>
        <v>-2.005633733194101E-2</v>
      </c>
      <c r="L101" s="308">
        <f>TableUK6g!O28</f>
        <v>2.7557972432947819</v>
      </c>
      <c r="M101" s="1968">
        <f>TableUK12c!B117</f>
        <v>7.1907957813997919E-3</v>
      </c>
      <c r="N101" s="1968">
        <f t="shared" si="58"/>
        <v>-4.8540293071991515E-2</v>
      </c>
      <c r="O101" s="1968">
        <f t="shared" si="42"/>
        <v>0</v>
      </c>
      <c r="P101" s="1971">
        <f t="shared" si="51"/>
        <v>2.9937111926701565E-2</v>
      </c>
      <c r="Q101" s="390"/>
      <c r="R101" s="308"/>
      <c r="S101" s="365"/>
      <c r="T101" s="365"/>
      <c r="U101" s="365"/>
      <c r="V101" s="2093">
        <f>TableUK5a!Q101</f>
        <v>0</v>
      </c>
      <c r="W101" s="365"/>
      <c r="X101" s="365"/>
      <c r="Y101" s="365"/>
      <c r="Z101" s="371"/>
      <c r="AA101" s="83"/>
      <c r="AB101" s="83"/>
      <c r="AC101" s="363"/>
      <c r="AF101" s="300">
        <f t="shared" si="43"/>
        <v>0.97668519789787367</v>
      </c>
      <c r="AG101" s="300">
        <f t="shared" si="44"/>
        <v>0.94425899476894826</v>
      </c>
      <c r="AH101" s="300">
        <f t="shared" si="52"/>
        <v>1</v>
      </c>
      <c r="AI101" s="300">
        <f t="shared" si="45"/>
        <v>1.0343403698652189</v>
      </c>
      <c r="AJ101" s="300">
        <f t="shared" si="46"/>
        <v>0.97994366266805899</v>
      </c>
      <c r="AK101" s="300">
        <f t="shared" si="47"/>
        <v>0.95145970692800852</v>
      </c>
      <c r="AL101" s="300">
        <f t="shared" si="53"/>
        <v>1</v>
      </c>
      <c r="AM101" s="300">
        <f t="shared" si="48"/>
        <v>1.0299371119267016</v>
      </c>
      <c r="AN101" s="366">
        <f t="shared" si="37"/>
        <v>1</v>
      </c>
      <c r="AO101" s="300">
        <f t="shared" si="38"/>
        <v>1</v>
      </c>
      <c r="AP101" s="300">
        <f t="shared" si="39"/>
        <v>1</v>
      </c>
    </row>
    <row r="102" spans="1:42">
      <c r="A102" s="198">
        <f t="shared" si="54"/>
        <v>1947</v>
      </c>
      <c r="B102" s="1162">
        <f>TableUK1!D103</f>
        <v>302.94789792387536</v>
      </c>
      <c r="C102" s="959">
        <f t="shared" si="55"/>
        <v>520.10552674181474</v>
      </c>
      <c r="D102" s="391">
        <f t="shared" si="56"/>
        <v>3.3161849276690081E-2</v>
      </c>
      <c r="E102" s="390">
        <f t="shared" si="49"/>
        <v>-0.25841057177000026</v>
      </c>
      <c r="F102" s="1372">
        <f>TableUK6a!M102</f>
        <v>1.7168151035413577</v>
      </c>
      <c r="G102" s="365">
        <f>TableUK12c!B118</f>
        <v>6.1856590300505818E-2</v>
      </c>
      <c r="H102" s="365">
        <f t="shared" si="57"/>
        <v>3.006412709796142E-3</v>
      </c>
      <c r="I102" s="365">
        <f t="shared" si="40"/>
        <v>0</v>
      </c>
      <c r="J102" s="391">
        <f t="shared" si="50"/>
        <v>-0.2606334128747323</v>
      </c>
      <c r="K102" s="390">
        <f t="shared" si="41"/>
        <v>-0.22403643738961165</v>
      </c>
      <c r="L102" s="308">
        <f>TableUK6g!O29</f>
        <v>2.0697611397826825</v>
      </c>
      <c r="M102" s="1968">
        <f>TableUK12c!B118</f>
        <v>6.1856590300505818E-2</v>
      </c>
      <c r="N102" s="1968">
        <f t="shared" si="58"/>
        <v>2.609334122419908E-3</v>
      </c>
      <c r="O102" s="1968">
        <f t="shared" si="42"/>
        <v>0</v>
      </c>
      <c r="P102" s="1971">
        <f t="shared" si="51"/>
        <v>-0.22605591609658582</v>
      </c>
      <c r="Q102" s="390"/>
      <c r="R102" s="308"/>
      <c r="S102" s="365"/>
      <c r="T102" s="365"/>
      <c r="U102" s="365"/>
      <c r="V102" s="2093">
        <f>TableUK5a!Q102</f>
        <v>0</v>
      </c>
      <c r="W102" s="365"/>
      <c r="X102" s="365"/>
      <c r="Y102" s="365"/>
      <c r="Z102" s="368"/>
      <c r="AA102" s="83"/>
      <c r="AB102" s="83"/>
      <c r="AC102" s="363"/>
      <c r="AF102" s="300">
        <f t="shared" si="43"/>
        <v>0.74158942822999974</v>
      </c>
      <c r="AG102" s="300">
        <f t="shared" si="44"/>
        <v>1.0030064127097962</v>
      </c>
      <c r="AH102" s="300">
        <f t="shared" si="52"/>
        <v>1</v>
      </c>
      <c r="AI102" s="300">
        <f t="shared" si="45"/>
        <v>0.7393665871252677</v>
      </c>
      <c r="AJ102" s="300">
        <f t="shared" si="46"/>
        <v>0.77596356261038835</v>
      </c>
      <c r="AK102" s="300">
        <f t="shared" si="47"/>
        <v>1.0026093341224198</v>
      </c>
      <c r="AL102" s="300">
        <f t="shared" si="53"/>
        <v>1</v>
      </c>
      <c r="AM102" s="300">
        <f t="shared" si="48"/>
        <v>0.77394408390341418</v>
      </c>
      <c r="AN102" s="366">
        <f t="shared" si="37"/>
        <v>1</v>
      </c>
      <c r="AO102" s="300">
        <f t="shared" si="38"/>
        <v>1</v>
      </c>
      <c r="AP102" s="300">
        <f t="shared" si="39"/>
        <v>1</v>
      </c>
    </row>
    <row r="103" spans="1:42">
      <c r="A103" s="436">
        <f t="shared" si="54"/>
        <v>1948</v>
      </c>
      <c r="B103" s="1164">
        <f>TableUK1!D104</f>
        <v>310.33750000000003</v>
      </c>
      <c r="C103" s="959">
        <f t="shared" si="55"/>
        <v>501.73814145960603</v>
      </c>
      <c r="D103" s="391">
        <f t="shared" si="56"/>
        <v>2.4392320021911829E-2</v>
      </c>
      <c r="E103" s="390">
        <f t="shared" si="49"/>
        <v>-3.5314728142326612E-2</v>
      </c>
      <c r="F103" s="1372">
        <f>TableUK6a!M103</f>
        <v>1.6167499624106205</v>
      </c>
      <c r="G103" s="365">
        <f>TableUK12c!B119</f>
        <v>7.1332436069986502E-2</v>
      </c>
      <c r="H103" s="365">
        <f t="shared" si="57"/>
        <v>3.6029849791576994E-2</v>
      </c>
      <c r="I103" s="365">
        <f t="shared" si="40"/>
        <v>0</v>
      </c>
      <c r="J103" s="391">
        <f t="shared" si="50"/>
        <v>-6.886343858553523E-2</v>
      </c>
      <c r="K103" s="390">
        <f t="shared" si="41"/>
        <v>-2.8924753998875841E-2</v>
      </c>
      <c r="L103" s="308">
        <f>TableUK6g!O30</f>
        <v>1.9620352170690267</v>
      </c>
      <c r="M103" s="1968">
        <f>TableUK12c!B119</f>
        <v>7.1332436069986502E-2</v>
      </c>
      <c r="N103" s="1968">
        <f t="shared" si="58"/>
        <v>2.9885859344620094E-2</v>
      </c>
      <c r="O103" s="1968">
        <f t="shared" si="42"/>
        <v>0</v>
      </c>
      <c r="P103" s="1971">
        <f t="shared" si="51"/>
        <v>-5.7104010905558722E-2</v>
      </c>
      <c r="Q103" s="390"/>
      <c r="R103" s="308"/>
      <c r="S103" s="365"/>
      <c r="T103" s="365"/>
      <c r="U103" s="365"/>
      <c r="V103" s="2093">
        <f>TableUK5a!Q103</f>
        <v>0</v>
      </c>
      <c r="W103" s="365"/>
      <c r="X103" s="365"/>
      <c r="Y103" s="365"/>
      <c r="Z103" s="367"/>
      <c r="AA103" s="83"/>
      <c r="AB103" s="83"/>
      <c r="AC103" s="363"/>
      <c r="AF103" s="300">
        <f t="shared" si="43"/>
        <v>0.96468527185767339</v>
      </c>
      <c r="AG103" s="300">
        <f t="shared" si="44"/>
        <v>1.036029849791577</v>
      </c>
      <c r="AH103" s="300">
        <f t="shared" si="52"/>
        <v>1</v>
      </c>
      <c r="AI103" s="300">
        <f t="shared" si="45"/>
        <v>0.93113656141446477</v>
      </c>
      <c r="AJ103" s="300">
        <f t="shared" si="46"/>
        <v>0.97107524600112416</v>
      </c>
      <c r="AK103" s="300">
        <f t="shared" si="47"/>
        <v>1.0298858593446201</v>
      </c>
      <c r="AL103" s="300">
        <f t="shared" si="53"/>
        <v>1</v>
      </c>
      <c r="AM103" s="300">
        <f t="shared" si="48"/>
        <v>0.94289598909444128</v>
      </c>
      <c r="AN103" s="366">
        <f t="shared" si="37"/>
        <v>1</v>
      </c>
      <c r="AO103" s="300">
        <f t="shared" si="38"/>
        <v>1</v>
      </c>
      <c r="AP103" s="300">
        <f t="shared" si="39"/>
        <v>1</v>
      </c>
    </row>
    <row r="104" spans="1:42">
      <c r="A104" s="214">
        <v>1949</v>
      </c>
      <c r="B104" s="1163">
        <f>TableUK1!D105</f>
        <v>321.61884615384616</v>
      </c>
      <c r="C104" s="1171">
        <f t="shared" si="55"/>
        <v>590.3269915343285</v>
      </c>
      <c r="D104" s="1172">
        <f t="shared" si="56"/>
        <v>3.6351862581370797E-2</v>
      </c>
      <c r="E104" s="1181">
        <f t="shared" si="49"/>
        <v>0.17656391403095006</v>
      </c>
      <c r="F104" s="1381">
        <f>TableUK6a!M104</f>
        <v>1.8354863174030105</v>
      </c>
      <c r="G104" s="1184">
        <f>TableUK12c!B120</f>
        <v>6.2196472693192437E-2</v>
      </c>
      <c r="H104" s="1184">
        <f t="shared" si="57"/>
        <v>4.4120883085488241E-2</v>
      </c>
      <c r="I104" s="1184">
        <f t="shared" si="40"/>
        <v>0</v>
      </c>
      <c r="J104" s="1172">
        <f t="shared" si="50"/>
        <v>0.12684645340497225</v>
      </c>
      <c r="K104" s="1181">
        <f t="shared" si="41"/>
        <v>0.1459161172352117</v>
      </c>
      <c r="L104" s="550">
        <f>TableUK6g!O31</f>
        <v>2.1694637304190243</v>
      </c>
      <c r="M104" s="1969">
        <f>TableUK12c!B120</f>
        <v>6.2196472693192437E-2</v>
      </c>
      <c r="N104" s="1969">
        <f t="shared" si="58"/>
        <v>3.6356348473982024E-2</v>
      </c>
      <c r="O104" s="1969">
        <f t="shared" si="42"/>
        <v>0</v>
      </c>
      <c r="P104" s="1972">
        <f t="shared" si="51"/>
        <v>0.1057163097640641</v>
      </c>
      <c r="Q104" s="1181"/>
      <c r="R104" s="550"/>
      <c r="S104" s="1184"/>
      <c r="T104" s="1184"/>
      <c r="U104" s="1184"/>
      <c r="V104" s="2092">
        <f>TableUK5a!Q104</f>
        <v>0</v>
      </c>
      <c r="W104" s="365"/>
      <c r="X104" s="365"/>
      <c r="Y104" s="365"/>
      <c r="Z104" s="367"/>
      <c r="AA104" s="83"/>
      <c r="AB104" s="83"/>
      <c r="AC104" s="363"/>
      <c r="AF104" s="300">
        <f t="shared" si="43"/>
        <v>1.1765639140309501</v>
      </c>
      <c r="AG104" s="300">
        <f t="shared" si="44"/>
        <v>1.0441208830854882</v>
      </c>
      <c r="AH104" s="300">
        <f t="shared" si="52"/>
        <v>1</v>
      </c>
      <c r="AI104" s="300">
        <f t="shared" si="45"/>
        <v>1.1268464534049722</v>
      </c>
      <c r="AJ104" s="300">
        <f t="shared" si="46"/>
        <v>1.1459161172352117</v>
      </c>
      <c r="AK104" s="300">
        <f t="shared" si="47"/>
        <v>1.0363563484739819</v>
      </c>
      <c r="AL104" s="300">
        <f t="shared" si="53"/>
        <v>1</v>
      </c>
      <c r="AM104" s="300">
        <f t="shared" si="48"/>
        <v>1.1057163097640641</v>
      </c>
      <c r="AN104" s="366">
        <f t="shared" si="37"/>
        <v>1</v>
      </c>
      <c r="AO104" s="300">
        <f t="shared" si="38"/>
        <v>1</v>
      </c>
      <c r="AP104" s="300">
        <f t="shared" si="39"/>
        <v>1</v>
      </c>
    </row>
    <row r="105" spans="1:42">
      <c r="A105" s="648">
        <v>1950</v>
      </c>
      <c r="B105" s="1050">
        <f>TableUK1!D106</f>
        <v>330.19387499999999</v>
      </c>
      <c r="C105" s="115">
        <f>F105*B105</f>
        <v>686.54201843375688</v>
      </c>
      <c r="D105" s="1178">
        <f>B105/B104-1</f>
        <v>2.6662084478880299E-2</v>
      </c>
      <c r="E105" s="1182">
        <f t="shared" si="49"/>
        <v>0.16298598620631322</v>
      </c>
      <c r="F105" s="1373">
        <f>TableUK6a!M105</f>
        <v>2.0792088237062449</v>
      </c>
      <c r="G105" s="1187">
        <f>TableUK12c!B121</f>
        <v>6.5692841578565087E-2</v>
      </c>
      <c r="H105" s="1187">
        <f>G104/F104</f>
        <v>3.3885555072506818E-2</v>
      </c>
      <c r="I105" s="1187">
        <f t="shared" si="40"/>
        <v>0</v>
      </c>
      <c r="J105" s="1178">
        <f t="shared" si="50"/>
        <v>0.12486916999701436</v>
      </c>
      <c r="K105" s="390">
        <f t="shared" si="41"/>
        <v>0.13987399000092937</v>
      </c>
      <c r="L105" s="308">
        <f>TableUK6g!O32</f>
        <v>2.408694463290959</v>
      </c>
      <c r="M105" s="1968">
        <f>TableUK12c!B121</f>
        <v>6.5692841578565087E-2</v>
      </c>
      <c r="N105" s="1968">
        <f t="shared" si="58"/>
        <v>2.8669053933056261E-2</v>
      </c>
      <c r="O105" s="1968">
        <f t="shared" si="42"/>
        <v>0</v>
      </c>
      <c r="P105" s="1971">
        <f t="shared" si="51"/>
        <v>0.10810564937545997</v>
      </c>
      <c r="Q105" s="390"/>
      <c r="R105" s="308"/>
      <c r="S105" s="365"/>
      <c r="T105" s="365"/>
      <c r="U105" s="365"/>
      <c r="V105" s="2093">
        <f>TableUK5a!Q105</f>
        <v>0</v>
      </c>
      <c r="W105" s="365"/>
      <c r="X105" s="365"/>
      <c r="Y105" s="365"/>
      <c r="Z105" s="367"/>
      <c r="AA105" s="83"/>
      <c r="AB105" s="83"/>
      <c r="AC105" s="363"/>
      <c r="AF105" s="300">
        <f t="shared" si="43"/>
        <v>1.1629859862063132</v>
      </c>
      <c r="AG105" s="300">
        <f t="shared" si="44"/>
        <v>1.0338855550725068</v>
      </c>
      <c r="AH105" s="300">
        <f t="shared" si="52"/>
        <v>1</v>
      </c>
      <c r="AI105" s="300">
        <f t="shared" si="45"/>
        <v>1.1248691699970144</v>
      </c>
      <c r="AJ105" s="300">
        <f t="shared" si="46"/>
        <v>1.1398739900009294</v>
      </c>
      <c r="AK105" s="300">
        <f t="shared" si="47"/>
        <v>1.0286690539330563</v>
      </c>
      <c r="AL105" s="300">
        <f t="shared" si="53"/>
        <v>1</v>
      </c>
      <c r="AM105" s="300">
        <f t="shared" si="48"/>
        <v>1.10810564937546</v>
      </c>
      <c r="AN105" s="366">
        <f t="shared" si="37"/>
        <v>1</v>
      </c>
      <c r="AO105" s="300">
        <f t="shared" si="38"/>
        <v>1</v>
      </c>
      <c r="AP105" s="300">
        <f t="shared" si="39"/>
        <v>1</v>
      </c>
    </row>
    <row r="106" spans="1:42">
      <c r="A106" s="198">
        <f t="shared" ref="A106:A125" si="59">A105+1</f>
        <v>1951</v>
      </c>
      <c r="B106" s="1162">
        <f>TableUK1!D107</f>
        <v>337.43779069767447</v>
      </c>
      <c r="C106" s="959">
        <f>F106*B106</f>
        <v>702.35604646273123</v>
      </c>
      <c r="D106" s="391">
        <f>B106/B105-1</f>
        <v>2.1938370897020665E-2</v>
      </c>
      <c r="E106" s="390">
        <f t="shared" si="49"/>
        <v>2.303431924684185E-2</v>
      </c>
      <c r="F106" s="1372">
        <f>TableUK6a!M106</f>
        <v>2.0814386112787329</v>
      </c>
      <c r="G106" s="365">
        <f>TableUK12c!B122</f>
        <v>6.9709604271816286E-2</v>
      </c>
      <c r="H106" s="365">
        <f>G105/F105</f>
        <v>3.1595114848284381E-2</v>
      </c>
      <c r="I106" s="365">
        <f t="shared" si="40"/>
        <v>0</v>
      </c>
      <c r="J106" s="391">
        <f t="shared" si="50"/>
        <v>-8.2986003696824406E-3</v>
      </c>
      <c r="K106" s="390">
        <f t="shared" si="41"/>
        <v>2.1757439552454017E-2</v>
      </c>
      <c r="L106" s="308">
        <f>TableUK6g!O33</f>
        <v>2.4082680106395031</v>
      </c>
      <c r="M106" s="1968">
        <f>TableUK12c!B122</f>
        <v>6.9709604271816286E-2</v>
      </c>
      <c r="N106" s="1968">
        <f t="shared" si="58"/>
        <v>2.7273214838884154E-2</v>
      </c>
      <c r="O106" s="1968">
        <f t="shared" si="42"/>
        <v>0</v>
      </c>
      <c r="P106" s="1971">
        <f t="shared" si="51"/>
        <v>-5.3693362259963351E-3</v>
      </c>
      <c r="Q106" s="390"/>
      <c r="R106" s="308"/>
      <c r="S106" s="365"/>
      <c r="T106" s="365"/>
      <c r="U106" s="365"/>
      <c r="V106" s="2093">
        <f>TableUK5a!Q106</f>
        <v>0</v>
      </c>
      <c r="W106" s="365"/>
      <c r="X106" s="365"/>
      <c r="Y106" s="365"/>
      <c r="Z106" s="367"/>
      <c r="AA106" s="83"/>
      <c r="AB106" s="83"/>
      <c r="AC106" s="363"/>
      <c r="AF106" s="300">
        <f t="shared" si="43"/>
        <v>1.0230343192468419</v>
      </c>
      <c r="AG106" s="300">
        <f t="shared" si="44"/>
        <v>1.0315951148482845</v>
      </c>
      <c r="AH106" s="300">
        <f t="shared" si="52"/>
        <v>1</v>
      </c>
      <c r="AI106" s="300">
        <f t="shared" si="45"/>
        <v>0.99170139963031756</v>
      </c>
      <c r="AJ106" s="300">
        <f t="shared" si="46"/>
        <v>1.021757439552454</v>
      </c>
      <c r="AK106" s="300">
        <f t="shared" si="47"/>
        <v>1.0272732148388841</v>
      </c>
      <c r="AL106" s="300">
        <f t="shared" si="53"/>
        <v>1</v>
      </c>
      <c r="AM106" s="300">
        <f t="shared" si="48"/>
        <v>0.99463066377400366</v>
      </c>
      <c r="AN106" s="366">
        <f t="shared" ref="AN106:AN137" si="60">1+Q106</f>
        <v>1</v>
      </c>
      <c r="AO106" s="300">
        <f t="shared" ref="AO106:AO137" si="61">1+T106</f>
        <v>1</v>
      </c>
      <c r="AP106" s="300">
        <f t="shared" ref="AP106:AP137" si="62">1+U106</f>
        <v>1</v>
      </c>
    </row>
    <row r="107" spans="1:42">
      <c r="A107" s="198">
        <f t="shared" si="59"/>
        <v>1952</v>
      </c>
      <c r="B107" s="1162">
        <f>TableUK1!D108</f>
        <v>338.35282608695655</v>
      </c>
      <c r="C107" s="959">
        <f t="shared" ref="C107:C124" si="63">F107*B107</f>
        <v>718.39609685530195</v>
      </c>
      <c r="D107" s="391">
        <f t="shared" ref="D107:D124" si="64">B107/B106-1</f>
        <v>2.7117158021636723E-3</v>
      </c>
      <c r="E107" s="390">
        <f t="shared" si="49"/>
        <v>2.2837491715709035E-2</v>
      </c>
      <c r="F107" s="1372">
        <f>TableUK6a!M107</f>
        <v>2.1232158902395999</v>
      </c>
      <c r="G107" s="365">
        <f>TableUK12c!B123</f>
        <v>7.3526405451448049E-2</v>
      </c>
      <c r="H107" s="365">
        <f t="shared" ref="H107:H124" si="65">G106/F106</f>
        <v>3.3491069058717113E-2</v>
      </c>
      <c r="I107" s="365">
        <f t="shared" si="40"/>
        <v>0</v>
      </c>
      <c r="J107" s="391">
        <f t="shared" si="50"/>
        <v>-1.0308340015662831E-2</v>
      </c>
      <c r="K107" s="390">
        <f t="shared" ref="K107:K138" si="66">(1+D107)*(L107/L106)-1</f>
        <v>2.2051925040422526E-2</v>
      </c>
      <c r="L107" s="308">
        <f>TableUK6g!O34</f>
        <v>2.4547184574564254</v>
      </c>
      <c r="M107" s="1968">
        <f>TableUK12c!B123</f>
        <v>7.3526405451448049E-2</v>
      </c>
      <c r="N107" s="1968">
        <f t="shared" si="58"/>
        <v>2.8945949522165209E-2</v>
      </c>
      <c r="O107" s="1968">
        <f t="shared" si="42"/>
        <v>0</v>
      </c>
      <c r="P107" s="1971">
        <f t="shared" si="51"/>
        <v>-6.7000841831819091E-3</v>
      </c>
      <c r="Q107" s="390"/>
      <c r="R107" s="308"/>
      <c r="S107" s="365"/>
      <c r="T107" s="365"/>
      <c r="U107" s="365"/>
      <c r="V107" s="2093">
        <f>TableUK5a!Q107</f>
        <v>0</v>
      </c>
      <c r="W107" s="365"/>
      <c r="X107" s="365"/>
      <c r="Y107" s="365"/>
      <c r="Z107" s="367"/>
      <c r="AA107" s="83"/>
      <c r="AB107" s="83"/>
      <c r="AC107" s="363"/>
      <c r="AF107" s="300">
        <f t="shared" ref="AF107:AF138" si="67">1+E107</f>
        <v>1.022837491715709</v>
      </c>
      <c r="AG107" s="300">
        <f t="shared" ref="AG107:AG138" si="68">1+H107</f>
        <v>1.0334910690587171</v>
      </c>
      <c r="AH107" s="300">
        <f t="shared" si="52"/>
        <v>1</v>
      </c>
      <c r="AI107" s="300">
        <f t="shared" ref="AI107:AI138" si="69">1+J107</f>
        <v>0.98969165998433717</v>
      </c>
      <c r="AJ107" s="300">
        <f t="shared" ref="AJ107:AJ138" si="70">1+K107</f>
        <v>1.0220519250404225</v>
      </c>
      <c r="AK107" s="300">
        <f t="shared" si="47"/>
        <v>1.0289459495221651</v>
      </c>
      <c r="AL107" s="300">
        <f t="shared" si="53"/>
        <v>1</v>
      </c>
      <c r="AM107" s="300">
        <f t="shared" si="48"/>
        <v>0.99329991581681809</v>
      </c>
      <c r="AN107" s="366">
        <f t="shared" si="60"/>
        <v>1</v>
      </c>
      <c r="AO107" s="300">
        <f t="shared" si="61"/>
        <v>1</v>
      </c>
      <c r="AP107" s="300">
        <f t="shared" si="62"/>
        <v>1</v>
      </c>
    </row>
    <row r="108" spans="1:42">
      <c r="A108" s="198">
        <f t="shared" si="59"/>
        <v>1953</v>
      </c>
      <c r="B108" s="1162">
        <f>TableUK1!D109</f>
        <v>345.0241666666667</v>
      </c>
      <c r="C108" s="959">
        <f t="shared" si="63"/>
        <v>717.03743764082697</v>
      </c>
      <c r="D108" s="391">
        <f t="shared" si="64"/>
        <v>1.9717112036166773E-2</v>
      </c>
      <c r="E108" s="390">
        <f t="shared" si="49"/>
        <v>-1.8912396941218601E-3</v>
      </c>
      <c r="F108" s="1372">
        <f>TableUK6a!M108</f>
        <v>2.0782238084022913</v>
      </c>
      <c r="G108" s="365">
        <f>TableUK12c!B124</f>
        <v>8.5927613262465175E-2</v>
      </c>
      <c r="H108" s="365">
        <f t="shared" si="65"/>
        <v>3.4629735859385814E-2</v>
      </c>
      <c r="I108" s="365">
        <f t="shared" si="40"/>
        <v>0</v>
      </c>
      <c r="J108" s="391">
        <f t="shared" si="50"/>
        <v>-3.5298594548099471E-2</v>
      </c>
      <c r="K108" s="390">
        <f t="shared" si="66"/>
        <v>8.910736665725949E-4</v>
      </c>
      <c r="L108" s="308">
        <f>TableUK6g!O35</f>
        <v>2.4093993946289429</v>
      </c>
      <c r="M108" s="1968">
        <f>TableUK12c!B124</f>
        <v>8.5927613262465175E-2</v>
      </c>
      <c r="N108" s="1968">
        <f t="shared" si="58"/>
        <v>2.9953091047205459E-2</v>
      </c>
      <c r="O108" s="1968">
        <f t="shared" si="42"/>
        <v>0</v>
      </c>
      <c r="P108" s="1971">
        <f t="shared" si="51"/>
        <v>-2.8216835925104156E-2</v>
      </c>
      <c r="Q108" s="390"/>
      <c r="R108" s="308"/>
      <c r="S108" s="365"/>
      <c r="T108" s="365"/>
      <c r="U108" s="365"/>
      <c r="V108" s="2093">
        <f>TableUK5a!Q108</f>
        <v>0</v>
      </c>
      <c r="W108" s="365"/>
      <c r="X108" s="365"/>
      <c r="Y108" s="365"/>
      <c r="Z108" s="367"/>
      <c r="AA108" s="83"/>
      <c r="AB108" s="83"/>
      <c r="AC108" s="363"/>
      <c r="AF108" s="300">
        <f t="shared" si="67"/>
        <v>0.99810876030587814</v>
      </c>
      <c r="AG108" s="300">
        <f t="shared" si="68"/>
        <v>1.0346297358593859</v>
      </c>
      <c r="AH108" s="300">
        <f t="shared" si="52"/>
        <v>1</v>
      </c>
      <c r="AI108" s="300">
        <f t="shared" si="69"/>
        <v>0.96470140545190053</v>
      </c>
      <c r="AJ108" s="300">
        <f t="shared" si="70"/>
        <v>1.0008910736665726</v>
      </c>
      <c r="AK108" s="300">
        <f t="shared" si="47"/>
        <v>1.0299530910472054</v>
      </c>
      <c r="AL108" s="300">
        <f t="shared" si="53"/>
        <v>1</v>
      </c>
      <c r="AM108" s="300">
        <f t="shared" si="48"/>
        <v>0.97178316407489584</v>
      </c>
      <c r="AN108" s="366">
        <f t="shared" si="60"/>
        <v>1</v>
      </c>
      <c r="AO108" s="300">
        <f t="shared" si="61"/>
        <v>1</v>
      </c>
      <c r="AP108" s="300">
        <f t="shared" si="62"/>
        <v>1</v>
      </c>
    </row>
    <row r="109" spans="1:42">
      <c r="A109" s="436">
        <f t="shared" si="59"/>
        <v>1954</v>
      </c>
      <c r="B109" s="1164">
        <f>TableUK1!D110</f>
        <v>359.24540816326521</v>
      </c>
      <c r="C109" s="959">
        <f t="shared" si="63"/>
        <v>757.64951003805754</v>
      </c>
      <c r="D109" s="391">
        <f t="shared" si="64"/>
        <v>4.1218102586819239E-2</v>
      </c>
      <c r="E109" s="390">
        <f t="shared" si="49"/>
        <v>5.6638705687182878E-2</v>
      </c>
      <c r="F109" s="1372">
        <f>TableUK6a!M109</f>
        <v>2.1090026283473908</v>
      </c>
      <c r="G109" s="365">
        <f>TableUK12c!B125</f>
        <v>8.2068510408542794E-2</v>
      </c>
      <c r="H109" s="365">
        <f t="shared" si="65"/>
        <v>4.1346660025286253E-2</v>
      </c>
      <c r="I109" s="365">
        <f t="shared" si="40"/>
        <v>0</v>
      </c>
      <c r="J109" s="391">
        <f t="shared" si="50"/>
        <v>1.4684875122685126E-2</v>
      </c>
      <c r="K109" s="390">
        <f t="shared" si="66"/>
        <v>5.2222661928183811E-2</v>
      </c>
      <c r="L109" s="308">
        <f>TableUK6g!O36</f>
        <v>2.4348641637770871</v>
      </c>
      <c r="M109" s="1968">
        <f>TableUK12c!B125</f>
        <v>8.2068510408542794E-2</v>
      </c>
      <c r="N109" s="1968">
        <f t="shared" si="58"/>
        <v>3.5663499150043729E-2</v>
      </c>
      <c r="O109" s="1968">
        <f t="shared" si="42"/>
        <v>0</v>
      </c>
      <c r="P109" s="1971">
        <f t="shared" si="51"/>
        <v>1.5988941187683015E-2</v>
      </c>
      <c r="Q109" s="390"/>
      <c r="R109" s="308"/>
      <c r="S109" s="365"/>
      <c r="T109" s="365"/>
      <c r="U109" s="365"/>
      <c r="V109" s="2093">
        <f>TableUK5a!Q109</f>
        <v>0</v>
      </c>
      <c r="W109" s="365"/>
      <c r="X109" s="365"/>
      <c r="Y109" s="361"/>
      <c r="Z109" s="362"/>
      <c r="AA109" s="83"/>
      <c r="AB109" s="83"/>
      <c r="AC109" s="363"/>
      <c r="AF109" s="300">
        <f t="shared" si="67"/>
        <v>1.0566387056871829</v>
      </c>
      <c r="AG109" s="300">
        <f t="shared" si="68"/>
        <v>1.0413466600252863</v>
      </c>
      <c r="AH109" s="300">
        <f t="shared" si="52"/>
        <v>1</v>
      </c>
      <c r="AI109" s="300">
        <f t="shared" si="69"/>
        <v>1.0146848751226851</v>
      </c>
      <c r="AJ109" s="300">
        <f t="shared" si="70"/>
        <v>1.0522226619281838</v>
      </c>
      <c r="AK109" s="300">
        <f t="shared" si="47"/>
        <v>1.0356634991500437</v>
      </c>
      <c r="AL109" s="300">
        <f t="shared" si="53"/>
        <v>1</v>
      </c>
      <c r="AM109" s="300">
        <f t="shared" si="48"/>
        <v>1.015988941187683</v>
      </c>
      <c r="AN109" s="366">
        <f t="shared" si="60"/>
        <v>1</v>
      </c>
      <c r="AO109" s="300">
        <f t="shared" si="61"/>
        <v>1</v>
      </c>
      <c r="AP109" s="300">
        <f t="shared" si="62"/>
        <v>1</v>
      </c>
    </row>
    <row r="110" spans="1:42">
      <c r="A110" s="198">
        <f t="shared" si="59"/>
        <v>1955</v>
      </c>
      <c r="B110" s="1162">
        <f>TableUK1!D111</f>
        <v>367.69656862745103</v>
      </c>
      <c r="C110" s="959">
        <f t="shared" si="63"/>
        <v>824.71204666042308</v>
      </c>
      <c r="D110" s="391">
        <f t="shared" si="64"/>
        <v>2.3524755702222011E-2</v>
      </c>
      <c r="E110" s="390">
        <f t="shared" si="49"/>
        <v>8.8513931222626852E-2</v>
      </c>
      <c r="F110" s="1372">
        <f>TableUK6a!M110</f>
        <v>2.2429147210672467</v>
      </c>
      <c r="G110" s="365">
        <f>TableUK12c!B126</f>
        <v>8.2134831460674185E-2</v>
      </c>
      <c r="H110" s="365">
        <f t="shared" si="65"/>
        <v>3.8913422537008156E-2</v>
      </c>
      <c r="I110" s="365">
        <f t="shared" si="40"/>
        <v>0</v>
      </c>
      <c r="J110" s="391">
        <f t="shared" si="50"/>
        <v>4.7742677695408853E-2</v>
      </c>
      <c r="K110" s="390">
        <f t="shared" si="66"/>
        <v>8.0300198465041106E-2</v>
      </c>
      <c r="L110" s="308">
        <f>TableUK6g!O37</f>
        <v>2.5699273268277172</v>
      </c>
      <c r="M110" s="1968">
        <f>TableUK12c!B126</f>
        <v>8.2134831460674185E-2</v>
      </c>
      <c r="N110" s="1968">
        <f t="shared" si="58"/>
        <v>3.3705580635444515E-2</v>
      </c>
      <c r="O110" s="1968">
        <f t="shared" si="42"/>
        <v>0</v>
      </c>
      <c r="P110" s="1971">
        <f t="shared" si="51"/>
        <v>4.5075327735924375E-2</v>
      </c>
      <c r="Q110" s="390"/>
      <c r="R110" s="308"/>
      <c r="S110" s="365"/>
      <c r="T110" s="365"/>
      <c r="U110" s="365"/>
      <c r="V110" s="2093">
        <f>TableUK5a!Q110</f>
        <v>0</v>
      </c>
      <c r="W110" s="365"/>
      <c r="X110" s="365"/>
      <c r="Y110" s="365"/>
      <c r="Z110" s="367"/>
      <c r="AA110" s="83"/>
      <c r="AB110" s="83"/>
      <c r="AC110" s="363"/>
      <c r="AF110" s="300">
        <f t="shared" si="67"/>
        <v>1.0885139312226269</v>
      </c>
      <c r="AG110" s="300">
        <f t="shared" si="68"/>
        <v>1.0389134225370082</v>
      </c>
      <c r="AH110" s="300">
        <f t="shared" si="52"/>
        <v>1</v>
      </c>
      <c r="AI110" s="300">
        <f t="shared" si="69"/>
        <v>1.0477426776954089</v>
      </c>
      <c r="AJ110" s="300">
        <f t="shared" si="70"/>
        <v>1.0803001984650411</v>
      </c>
      <c r="AK110" s="300">
        <f t="shared" si="47"/>
        <v>1.0337055806354445</v>
      </c>
      <c r="AL110" s="300">
        <f t="shared" si="53"/>
        <v>1</v>
      </c>
      <c r="AM110" s="300">
        <f t="shared" si="48"/>
        <v>1.0450753277359244</v>
      </c>
      <c r="AN110" s="366">
        <f t="shared" si="60"/>
        <v>1</v>
      </c>
      <c r="AO110" s="300">
        <f t="shared" si="61"/>
        <v>1</v>
      </c>
      <c r="AP110" s="300">
        <f t="shared" si="62"/>
        <v>1</v>
      </c>
    </row>
    <row r="111" spans="1:42">
      <c r="A111" s="198">
        <f t="shared" si="59"/>
        <v>1956</v>
      </c>
      <c r="B111" s="1162">
        <f>TableUK1!D112</f>
        <v>372.23287037037039</v>
      </c>
      <c r="C111" s="959">
        <f t="shared" si="63"/>
        <v>861.96664546640125</v>
      </c>
      <c r="D111" s="391">
        <f t="shared" si="64"/>
        <v>1.233707934738848E-2</v>
      </c>
      <c r="E111" s="390">
        <f t="shared" si="49"/>
        <v>4.5172856340387257E-2</v>
      </c>
      <c r="F111" s="1372">
        <f>TableUK6a!M111</f>
        <v>2.3156650421784284</v>
      </c>
      <c r="G111" s="365">
        <f>TableUK12c!B127</f>
        <v>9.8886808156471079E-2</v>
      </c>
      <c r="H111" s="365">
        <f t="shared" si="65"/>
        <v>3.661968539828922E-2</v>
      </c>
      <c r="I111" s="365">
        <f t="shared" si="40"/>
        <v>0</v>
      </c>
      <c r="J111" s="391">
        <f t="shared" si="50"/>
        <v>8.2510211436046532E-3</v>
      </c>
      <c r="K111" s="390">
        <f t="shared" si="66"/>
        <v>4.2658435765719815E-2</v>
      </c>
      <c r="L111" s="308">
        <f>TableUK6g!O38</f>
        <v>2.6469013743417991</v>
      </c>
      <c r="M111" s="1968">
        <f>TableUK12c!B127</f>
        <v>9.8886808156471079E-2</v>
      </c>
      <c r="N111" s="1968">
        <f t="shared" si="58"/>
        <v>3.1959982137728493E-2</v>
      </c>
      <c r="O111" s="1968">
        <f t="shared" si="42"/>
        <v>0</v>
      </c>
      <c r="P111" s="1971">
        <f t="shared" si="51"/>
        <v>1.0367120637594152E-2</v>
      </c>
      <c r="Q111" s="390"/>
      <c r="R111" s="308"/>
      <c r="S111" s="365"/>
      <c r="T111" s="365"/>
      <c r="U111" s="365"/>
      <c r="V111" s="2093">
        <f>TableUK5a!Q111</f>
        <v>0</v>
      </c>
      <c r="W111" s="365"/>
      <c r="X111" s="365"/>
      <c r="Y111" s="365"/>
      <c r="Z111" s="367"/>
      <c r="AA111" s="83"/>
      <c r="AB111" s="83"/>
      <c r="AC111" s="363"/>
      <c r="AF111" s="300">
        <f t="shared" si="67"/>
        <v>1.0451728563403873</v>
      </c>
      <c r="AG111" s="300">
        <f t="shared" si="68"/>
        <v>1.0366196853982892</v>
      </c>
      <c r="AH111" s="300">
        <f t="shared" si="52"/>
        <v>1</v>
      </c>
      <c r="AI111" s="300">
        <f t="shared" si="69"/>
        <v>1.0082510211436047</v>
      </c>
      <c r="AJ111" s="300">
        <f t="shared" si="70"/>
        <v>1.0426584357657198</v>
      </c>
      <c r="AK111" s="300">
        <f t="shared" si="47"/>
        <v>1.0319599821377285</v>
      </c>
      <c r="AL111" s="300">
        <f t="shared" si="53"/>
        <v>1</v>
      </c>
      <c r="AM111" s="300">
        <f t="shared" si="48"/>
        <v>1.0103671206375942</v>
      </c>
      <c r="AN111" s="366">
        <f t="shared" si="60"/>
        <v>1</v>
      </c>
      <c r="AO111" s="300">
        <f t="shared" si="61"/>
        <v>1</v>
      </c>
      <c r="AP111" s="300">
        <f t="shared" si="62"/>
        <v>1</v>
      </c>
    </row>
    <row r="112" spans="1:42">
      <c r="A112" s="198">
        <f t="shared" si="59"/>
        <v>1957</v>
      </c>
      <c r="B112" s="1162">
        <f>TableUK1!D113</f>
        <v>376.85312500000003</v>
      </c>
      <c r="C112" s="959">
        <f t="shared" si="63"/>
        <v>911.44865179049975</v>
      </c>
      <c r="D112" s="391">
        <f t="shared" si="64"/>
        <v>1.2412269300753787E-2</v>
      </c>
      <c r="E112" s="390">
        <f t="shared" si="49"/>
        <v>5.7405940919354581E-2</v>
      </c>
      <c r="F112" s="1372">
        <f>TableUK6a!M112</f>
        <v>2.4185779321599088</v>
      </c>
      <c r="G112" s="365">
        <f>TableUK12c!B128</f>
        <v>0.10149283145292408</v>
      </c>
      <c r="H112" s="365">
        <f t="shared" si="65"/>
        <v>4.2703416234778385E-2</v>
      </c>
      <c r="I112" s="365">
        <f t="shared" si="40"/>
        <v>0</v>
      </c>
      <c r="J112" s="391">
        <f t="shared" si="50"/>
        <v>1.4100389867012453E-2</v>
      </c>
      <c r="K112" s="390">
        <f t="shared" si="66"/>
        <v>5.2947345640143251E-2</v>
      </c>
      <c r="L112" s="308">
        <f>TableUK6g!O39</f>
        <v>2.7528783093565075</v>
      </c>
      <c r="M112" s="1968">
        <f>TableUK12c!B128</f>
        <v>0.10149283145292408</v>
      </c>
      <c r="N112" s="1968">
        <f t="shared" si="58"/>
        <v>3.7359460807662739E-2</v>
      </c>
      <c r="O112" s="1968">
        <f t="shared" si="42"/>
        <v>0</v>
      </c>
      <c r="P112" s="1971">
        <f t="shared" si="51"/>
        <v>1.502650279040596E-2</v>
      </c>
      <c r="Q112" s="390"/>
      <c r="R112" s="308"/>
      <c r="S112" s="365"/>
      <c r="T112" s="365"/>
      <c r="U112" s="365"/>
      <c r="V112" s="2093">
        <f>TableUK5a!Q112</f>
        <v>0</v>
      </c>
      <c r="W112" s="365"/>
      <c r="X112" s="365"/>
      <c r="Y112" s="365"/>
      <c r="Z112" s="367"/>
      <c r="AA112" s="83"/>
      <c r="AB112" s="83"/>
      <c r="AC112" s="363"/>
      <c r="AF112" s="300">
        <f t="shared" si="67"/>
        <v>1.0574059409193546</v>
      </c>
      <c r="AG112" s="300">
        <f t="shared" si="68"/>
        <v>1.0427034162347784</v>
      </c>
      <c r="AH112" s="300">
        <f t="shared" si="52"/>
        <v>1</v>
      </c>
      <c r="AI112" s="300">
        <f t="shared" si="69"/>
        <v>1.0141003898670125</v>
      </c>
      <c r="AJ112" s="300">
        <f t="shared" si="70"/>
        <v>1.0529473456401433</v>
      </c>
      <c r="AK112" s="300">
        <f t="shared" si="47"/>
        <v>1.0373594608076628</v>
      </c>
      <c r="AL112" s="300">
        <f t="shared" si="53"/>
        <v>1</v>
      </c>
      <c r="AM112" s="300">
        <f t="shared" si="48"/>
        <v>1.015026502790406</v>
      </c>
      <c r="AN112" s="366">
        <f t="shared" si="60"/>
        <v>1</v>
      </c>
      <c r="AO112" s="300">
        <f t="shared" si="61"/>
        <v>1</v>
      </c>
      <c r="AP112" s="300">
        <f t="shared" si="62"/>
        <v>1</v>
      </c>
    </row>
    <row r="113" spans="1:42">
      <c r="A113" s="198">
        <f t="shared" si="59"/>
        <v>1958</v>
      </c>
      <c r="B113" s="1162">
        <f>TableUK1!D114</f>
        <v>379.47913793103453</v>
      </c>
      <c r="C113" s="959">
        <f t="shared" si="63"/>
        <v>955.89484375344568</v>
      </c>
      <c r="D113" s="391">
        <f t="shared" si="64"/>
        <v>6.9682663001255918E-3</v>
      </c>
      <c r="E113" s="390">
        <f t="shared" si="49"/>
        <v>4.8764340015900354E-2</v>
      </c>
      <c r="F113" s="1372">
        <f>TableUK6a!M113</f>
        <v>2.5189654666264349</v>
      </c>
      <c r="G113" s="365">
        <f>TableUK12c!B129</f>
        <v>9.664600974502105E-2</v>
      </c>
      <c r="H113" s="365">
        <f t="shared" si="65"/>
        <v>4.1963845821699861E-2</v>
      </c>
      <c r="I113" s="365">
        <f t="shared" si="40"/>
        <v>0</v>
      </c>
      <c r="J113" s="391">
        <f t="shared" si="50"/>
        <v>6.5266124361902378E-3</v>
      </c>
      <c r="K113" s="390">
        <f t="shared" si="66"/>
        <v>4.5756429864918013E-2</v>
      </c>
      <c r="L113" s="308">
        <f>TableUK6g!O40</f>
        <v>2.8589184872954059</v>
      </c>
      <c r="M113" s="1968">
        <f>TableUK12c!B129</f>
        <v>9.664600974502105E-2</v>
      </c>
      <c r="N113" s="1968">
        <f t="shared" si="58"/>
        <v>3.6867896088239475E-2</v>
      </c>
      <c r="O113" s="1968">
        <f t="shared" si="42"/>
        <v>0</v>
      </c>
      <c r="P113" s="1971">
        <f t="shared" si="51"/>
        <v>8.5724843157091168E-3</v>
      </c>
      <c r="Q113" s="390"/>
      <c r="R113" s="308"/>
      <c r="S113" s="365"/>
      <c r="T113" s="365"/>
      <c r="U113" s="365"/>
      <c r="V113" s="2093">
        <f>TableUK5a!Q113</f>
        <v>0</v>
      </c>
      <c r="W113" s="365"/>
      <c r="X113" s="365"/>
      <c r="Y113" s="365"/>
      <c r="Z113" s="367"/>
      <c r="AA113" s="83"/>
      <c r="AB113" s="83"/>
      <c r="AC113" s="363"/>
      <c r="AF113" s="300">
        <f t="shared" si="67"/>
        <v>1.0487643400159004</v>
      </c>
      <c r="AG113" s="300">
        <f t="shared" si="68"/>
        <v>1.0419638458216998</v>
      </c>
      <c r="AH113" s="300">
        <f t="shared" si="52"/>
        <v>1</v>
      </c>
      <c r="AI113" s="300">
        <f t="shared" si="69"/>
        <v>1.0065266124361902</v>
      </c>
      <c r="AJ113" s="300">
        <f t="shared" si="70"/>
        <v>1.045756429864918</v>
      </c>
      <c r="AK113" s="300">
        <f t="shared" si="47"/>
        <v>1.0368678960882394</v>
      </c>
      <c r="AL113" s="300">
        <f t="shared" si="53"/>
        <v>1</v>
      </c>
      <c r="AM113" s="300">
        <f t="shared" si="48"/>
        <v>1.0085724843157091</v>
      </c>
      <c r="AN113" s="366">
        <f t="shared" si="60"/>
        <v>1</v>
      </c>
      <c r="AO113" s="300">
        <f t="shared" si="61"/>
        <v>1</v>
      </c>
      <c r="AP113" s="300">
        <f t="shared" si="62"/>
        <v>1</v>
      </c>
    </row>
    <row r="114" spans="1:42">
      <c r="A114" s="214">
        <f t="shared" si="59"/>
        <v>1959</v>
      </c>
      <c r="B114" s="1163">
        <f>TableUK1!D115</f>
        <v>394.7974576271186</v>
      </c>
      <c r="C114" s="1171">
        <f t="shared" si="63"/>
        <v>1019.0821283963696</v>
      </c>
      <c r="D114" s="1172">
        <f t="shared" si="64"/>
        <v>4.0366697836411669E-2</v>
      </c>
      <c r="E114" s="1181">
        <f t="shared" si="49"/>
        <v>6.6102757071908602E-2</v>
      </c>
      <c r="F114" s="1381">
        <f>TableUK6a!M114</f>
        <v>2.5812783459180233</v>
      </c>
      <c r="G114" s="1184">
        <f>TableUK12c!B130</f>
        <v>9.4810155021343462E-2</v>
      </c>
      <c r="H114" s="1184">
        <f t="shared" si="65"/>
        <v>3.8367342079705352E-2</v>
      </c>
      <c r="I114" s="1184">
        <f t="shared" si="40"/>
        <v>0</v>
      </c>
      <c r="J114" s="1172">
        <f t="shared" si="50"/>
        <v>2.6710600255063E-2</v>
      </c>
      <c r="K114" s="1181">
        <f t="shared" si="66"/>
        <v>6.291607626157214E-2</v>
      </c>
      <c r="L114" s="550">
        <f>TableUK6g!O41</f>
        <v>2.9208839798383512</v>
      </c>
      <c r="M114" s="1969">
        <f>TableUK12c!B130</f>
        <v>9.4810155021343462E-2</v>
      </c>
      <c r="N114" s="1969">
        <f t="shared" si="58"/>
        <v>3.3805094539946158E-2</v>
      </c>
      <c r="O114" s="1969">
        <f t="shared" si="42"/>
        <v>0</v>
      </c>
      <c r="P114" s="1972">
        <f t="shared" si="51"/>
        <v>2.8159061969587951E-2</v>
      </c>
      <c r="Q114" s="1181"/>
      <c r="R114" s="550"/>
      <c r="S114" s="1184"/>
      <c r="T114" s="1184"/>
      <c r="U114" s="1184"/>
      <c r="V114" s="2092">
        <f>TableUK5a!Q114</f>
        <v>0</v>
      </c>
      <c r="W114" s="365"/>
      <c r="X114" s="365"/>
      <c r="Y114" s="365"/>
      <c r="Z114" s="367"/>
      <c r="AA114" s="83"/>
      <c r="AB114" s="83"/>
      <c r="AC114" s="363"/>
      <c r="AF114" s="300">
        <f t="shared" si="67"/>
        <v>1.0661027570719086</v>
      </c>
      <c r="AG114" s="300">
        <f t="shared" si="68"/>
        <v>1.0383673420797053</v>
      </c>
      <c r="AH114" s="300">
        <f t="shared" si="52"/>
        <v>1</v>
      </c>
      <c r="AI114" s="300">
        <f t="shared" si="69"/>
        <v>1.026710600255063</v>
      </c>
      <c r="AJ114" s="300">
        <f t="shared" si="70"/>
        <v>1.0629160762615721</v>
      </c>
      <c r="AK114" s="300">
        <f t="shared" si="47"/>
        <v>1.0338050945399462</v>
      </c>
      <c r="AL114" s="300">
        <f t="shared" si="53"/>
        <v>1</v>
      </c>
      <c r="AM114" s="300">
        <f t="shared" si="48"/>
        <v>1.028159061969588</v>
      </c>
      <c r="AN114" s="366">
        <f t="shared" si="60"/>
        <v>1</v>
      </c>
      <c r="AO114" s="300">
        <f t="shared" si="61"/>
        <v>1</v>
      </c>
      <c r="AP114" s="300">
        <f t="shared" si="62"/>
        <v>1</v>
      </c>
    </row>
    <row r="115" spans="1:42">
      <c r="A115" s="198">
        <f t="shared" si="59"/>
        <v>1960</v>
      </c>
      <c r="B115" s="1162">
        <f>TableUK1!D116</f>
        <v>419.81133333333332</v>
      </c>
      <c r="C115" s="959">
        <f t="shared" si="63"/>
        <v>1103.7413131974251</v>
      </c>
      <c r="D115" s="391">
        <f t="shared" si="64"/>
        <v>6.3358755794825861E-2</v>
      </c>
      <c r="E115" s="390">
        <f t="shared" si="49"/>
        <v>8.3073956889299527E-2</v>
      </c>
      <c r="F115" s="1372">
        <f>TableUK6a!M115</f>
        <v>2.6291365324362177</v>
      </c>
      <c r="G115" s="365">
        <f>TableUK12c!B131</f>
        <v>0.10045468066119913</v>
      </c>
      <c r="H115" s="365">
        <f t="shared" si="65"/>
        <v>3.6729923051992498E-2</v>
      </c>
      <c r="I115" s="365">
        <f t="shared" si="40"/>
        <v>0</v>
      </c>
      <c r="J115" s="391">
        <f t="shared" si="50"/>
        <v>4.4702128111510975E-2</v>
      </c>
      <c r="K115" s="390">
        <f t="shared" si="66"/>
        <v>7.8578364720362393E-2</v>
      </c>
      <c r="L115" s="308">
        <f>TableUK6g!O42</f>
        <v>2.9626899194121274</v>
      </c>
      <c r="M115" s="1968">
        <f>TableUK12c!B131</f>
        <v>0.10045468066119913</v>
      </c>
      <c r="N115" s="1968">
        <f t="shared" si="58"/>
        <v>3.2459404644545477E-2</v>
      </c>
      <c r="O115" s="1968">
        <f t="shared" si="42"/>
        <v>0</v>
      </c>
      <c r="P115" s="1971">
        <f t="shared" si="51"/>
        <v>4.4669029957352002E-2</v>
      </c>
      <c r="Q115" s="390"/>
      <c r="R115" s="308"/>
      <c r="S115" s="365"/>
      <c r="T115" s="365"/>
      <c r="U115" s="365"/>
      <c r="V115" s="2093">
        <f>TableUK5a!Q115</f>
        <v>0</v>
      </c>
      <c r="W115" s="365"/>
      <c r="X115" s="365"/>
      <c r="Y115" s="365"/>
      <c r="Z115" s="367"/>
      <c r="AA115" s="83"/>
      <c r="AB115" s="83"/>
      <c r="AC115" s="363"/>
      <c r="AF115" s="300">
        <f t="shared" si="67"/>
        <v>1.0830739568892995</v>
      </c>
      <c r="AG115" s="300">
        <f t="shared" si="68"/>
        <v>1.0367299230519924</v>
      </c>
      <c r="AH115" s="300">
        <f t="shared" si="52"/>
        <v>1</v>
      </c>
      <c r="AI115" s="300">
        <f t="shared" si="69"/>
        <v>1.044702128111511</v>
      </c>
      <c r="AJ115" s="300">
        <f t="shared" si="70"/>
        <v>1.0785783647203624</v>
      </c>
      <c r="AK115" s="300">
        <f t="shared" si="47"/>
        <v>1.0324594046445454</v>
      </c>
      <c r="AL115" s="300">
        <f t="shared" si="53"/>
        <v>1</v>
      </c>
      <c r="AM115" s="300">
        <f t="shared" si="48"/>
        <v>1.044669029957352</v>
      </c>
      <c r="AN115" s="366">
        <f t="shared" si="60"/>
        <v>1</v>
      </c>
      <c r="AO115" s="300">
        <f t="shared" si="61"/>
        <v>1</v>
      </c>
      <c r="AP115" s="300">
        <f t="shared" si="62"/>
        <v>1</v>
      </c>
    </row>
    <row r="116" spans="1:42">
      <c r="A116" s="198">
        <f t="shared" si="59"/>
        <v>1961</v>
      </c>
      <c r="B116" s="1162">
        <f>TableUK1!D117</f>
        <v>435.95344262295083</v>
      </c>
      <c r="C116" s="959">
        <f t="shared" si="63"/>
        <v>1186.3339505541408</v>
      </c>
      <c r="D116" s="391">
        <f t="shared" si="64"/>
        <v>3.845086591981195E-2</v>
      </c>
      <c r="E116" s="390">
        <f t="shared" si="49"/>
        <v>7.4829705447423622E-2</v>
      </c>
      <c r="F116" s="1372">
        <f>TableUK6a!M116</f>
        <v>2.7212400099801073</v>
      </c>
      <c r="G116" s="365">
        <f>TableUK12c!B132</f>
        <v>0.10831435534779656</v>
      </c>
      <c r="H116" s="365">
        <f t="shared" si="65"/>
        <v>3.8208240394467283E-2</v>
      </c>
      <c r="I116" s="365">
        <f t="shared" si="40"/>
        <v>0</v>
      </c>
      <c r="J116" s="391">
        <f t="shared" si="50"/>
        <v>3.5273718342903937E-2</v>
      </c>
      <c r="K116" s="390">
        <f t="shared" si="66"/>
        <v>7.8268309287502502E-2</v>
      </c>
      <c r="L116" s="308">
        <f>TableUK6g!O43</f>
        <v>3.0762886865311962</v>
      </c>
      <c r="M116" s="1968">
        <f>TableUK12c!B132</f>
        <v>0.10831435534779656</v>
      </c>
      <c r="N116" s="1968">
        <f t="shared" si="58"/>
        <v>3.3906579288976647E-2</v>
      </c>
      <c r="O116" s="1968">
        <f t="shared" si="42"/>
        <v>0</v>
      </c>
      <c r="P116" s="1971">
        <f t="shared" si="51"/>
        <v>4.2906903667286667E-2</v>
      </c>
      <c r="Q116" s="390"/>
      <c r="R116" s="308"/>
      <c r="S116" s="365"/>
      <c r="T116" s="365"/>
      <c r="U116" s="365"/>
      <c r="V116" s="2093">
        <f>TableUK5a!Q116</f>
        <v>0</v>
      </c>
      <c r="W116" s="365"/>
      <c r="X116" s="365"/>
      <c r="Y116" s="365"/>
      <c r="Z116" s="367"/>
      <c r="AA116" s="83"/>
      <c r="AB116" s="83"/>
      <c r="AC116" s="363"/>
      <c r="AF116" s="300">
        <f t="shared" si="67"/>
        <v>1.0748297054474236</v>
      </c>
      <c r="AG116" s="300">
        <f t="shared" si="68"/>
        <v>1.0382082403944672</v>
      </c>
      <c r="AH116" s="300">
        <f t="shared" si="52"/>
        <v>1</v>
      </c>
      <c r="AI116" s="300">
        <f t="shared" si="69"/>
        <v>1.0352737183429039</v>
      </c>
      <c r="AJ116" s="300">
        <f t="shared" si="70"/>
        <v>1.0782683092875025</v>
      </c>
      <c r="AK116" s="300">
        <f t="shared" si="47"/>
        <v>1.0339065792889766</v>
      </c>
      <c r="AL116" s="300">
        <f t="shared" si="53"/>
        <v>1</v>
      </c>
      <c r="AM116" s="300">
        <f t="shared" si="48"/>
        <v>1.0429069036672867</v>
      </c>
      <c r="AN116" s="366">
        <f t="shared" si="60"/>
        <v>1</v>
      </c>
      <c r="AO116" s="300">
        <f t="shared" si="61"/>
        <v>1</v>
      </c>
      <c r="AP116" s="300">
        <f t="shared" si="62"/>
        <v>1</v>
      </c>
    </row>
    <row r="117" spans="1:42">
      <c r="A117" s="198">
        <f t="shared" si="59"/>
        <v>1962</v>
      </c>
      <c r="B117" s="1162">
        <f>TableUK1!D118</f>
        <v>438.47546874999995</v>
      </c>
      <c r="C117" s="959">
        <f t="shared" si="63"/>
        <v>1216.6011271856748</v>
      </c>
      <c r="D117" s="391">
        <f t="shared" si="64"/>
        <v>5.7850813423450109E-3</v>
      </c>
      <c r="E117" s="390">
        <f t="shared" si="49"/>
        <v>2.5513201082541848E-2</v>
      </c>
      <c r="F117" s="1372">
        <f>TableUK6a!M117</f>
        <v>2.7746161732923058</v>
      </c>
      <c r="G117" s="365">
        <f>TableUK12c!B133</f>
        <v>9.7574925646305183E-2</v>
      </c>
      <c r="H117" s="365">
        <f t="shared" si="65"/>
        <v>3.9803308400051175E-2</v>
      </c>
      <c r="I117" s="365">
        <f t="shared" si="40"/>
        <v>0</v>
      </c>
      <c r="J117" s="391">
        <f t="shared" si="50"/>
        <v>-1.3743086987766495E-2</v>
      </c>
      <c r="K117" s="390">
        <f t="shared" si="66"/>
        <v>3.0663340817550733E-2</v>
      </c>
      <c r="L117" s="308">
        <f>TableUK6g!O44</f>
        <v>3.1523811933538473</v>
      </c>
      <c r="M117" s="1968">
        <f>TableUK12c!B133</f>
        <v>9.7574925646305183E-2</v>
      </c>
      <c r="N117" s="1968">
        <f t="shared" si="58"/>
        <v>3.5209424857304647E-2</v>
      </c>
      <c r="O117" s="1968">
        <f t="shared" si="42"/>
        <v>0</v>
      </c>
      <c r="P117" s="1971">
        <f t="shared" si="51"/>
        <v>-4.3914631480298505E-3</v>
      </c>
      <c r="Q117" s="390"/>
      <c r="R117" s="308"/>
      <c r="S117" s="365"/>
      <c r="T117" s="365"/>
      <c r="U117" s="365"/>
      <c r="V117" s="2093">
        <f>TableUK5a!Q117</f>
        <v>0</v>
      </c>
      <c r="W117" s="365"/>
      <c r="X117" s="365"/>
      <c r="Y117" s="365"/>
      <c r="Z117" s="367"/>
      <c r="AA117" s="83"/>
      <c r="AB117" s="83"/>
      <c r="AC117" s="363"/>
      <c r="AF117" s="300">
        <f t="shared" si="67"/>
        <v>1.0255132010825418</v>
      </c>
      <c r="AG117" s="300">
        <f t="shared" si="68"/>
        <v>1.0398033084000511</v>
      </c>
      <c r="AH117" s="300">
        <f t="shared" si="52"/>
        <v>1</v>
      </c>
      <c r="AI117" s="300">
        <f t="shared" si="69"/>
        <v>0.9862569130122335</v>
      </c>
      <c r="AJ117" s="300">
        <f t="shared" si="70"/>
        <v>1.0306633408175507</v>
      </c>
      <c r="AK117" s="300">
        <f t="shared" si="47"/>
        <v>1.0352094248573047</v>
      </c>
      <c r="AL117" s="300">
        <f t="shared" si="53"/>
        <v>1</v>
      </c>
      <c r="AM117" s="300">
        <f t="shared" si="48"/>
        <v>0.99560853685197015</v>
      </c>
      <c r="AN117" s="366">
        <f t="shared" si="60"/>
        <v>1</v>
      </c>
      <c r="AO117" s="300">
        <f t="shared" si="61"/>
        <v>1</v>
      </c>
      <c r="AP117" s="300">
        <f t="shared" si="62"/>
        <v>1</v>
      </c>
    </row>
    <row r="118" spans="1:42">
      <c r="A118" s="198">
        <f t="shared" si="59"/>
        <v>1963</v>
      </c>
      <c r="B118" s="1162">
        <f>TableUK1!D119</f>
        <v>450.18599999999998</v>
      </c>
      <c r="C118" s="959">
        <f t="shared" si="63"/>
        <v>1336.2027843542749</v>
      </c>
      <c r="D118" s="391">
        <f t="shared" si="64"/>
        <v>2.6707380650927259E-2</v>
      </c>
      <c r="E118" s="390">
        <f t="shared" si="49"/>
        <v>9.8308027582771462E-2</v>
      </c>
      <c r="F118" s="1372">
        <f>TableUK6a!M118</f>
        <v>2.9681127008709178</v>
      </c>
      <c r="G118" s="365">
        <f>TableUK12c!B134</f>
        <v>0.1002190383855794</v>
      </c>
      <c r="H118" s="365">
        <f t="shared" si="65"/>
        <v>3.5166999524307054E-2</v>
      </c>
      <c r="I118" s="365">
        <f t="shared" si="40"/>
        <v>0</v>
      </c>
      <c r="J118" s="391">
        <f t="shared" si="50"/>
        <v>6.0995982375287916E-2</v>
      </c>
      <c r="K118" s="390">
        <f t="shared" si="66"/>
        <v>9.3688952641981738E-2</v>
      </c>
      <c r="L118" s="308">
        <f>TableUK6g!O45</f>
        <v>3.3580400323036637</v>
      </c>
      <c r="M118" s="1968">
        <f>TableUK12c!B134</f>
        <v>0.1002190383855794</v>
      </c>
      <c r="N118" s="1968">
        <f t="shared" si="58"/>
        <v>3.0952768609336337E-2</v>
      </c>
      <c r="O118" s="1968">
        <f t="shared" si="42"/>
        <v>0</v>
      </c>
      <c r="P118" s="1971">
        <f t="shared" si="51"/>
        <v>6.0852626757354811E-2</v>
      </c>
      <c r="Q118" s="390"/>
      <c r="R118" s="308"/>
      <c r="S118" s="365"/>
      <c r="T118" s="365"/>
      <c r="U118" s="365"/>
      <c r="V118" s="2093">
        <f>TableUK5a!Q118</f>
        <v>0</v>
      </c>
      <c r="W118" s="365"/>
      <c r="X118" s="365"/>
      <c r="Y118" s="365"/>
      <c r="Z118" s="367"/>
      <c r="AA118" s="83"/>
      <c r="AB118" s="83"/>
      <c r="AC118" s="363"/>
      <c r="AF118" s="300">
        <f t="shared" si="67"/>
        <v>1.0983080275827715</v>
      </c>
      <c r="AG118" s="300">
        <f t="shared" si="68"/>
        <v>1.0351669995243071</v>
      </c>
      <c r="AH118" s="300">
        <f t="shared" si="52"/>
        <v>1</v>
      </c>
      <c r="AI118" s="300">
        <f t="shared" si="69"/>
        <v>1.0609959823752879</v>
      </c>
      <c r="AJ118" s="300">
        <f t="shared" si="70"/>
        <v>1.0936889526419817</v>
      </c>
      <c r="AK118" s="300">
        <f t="shared" si="47"/>
        <v>1.0309527686093363</v>
      </c>
      <c r="AL118" s="300">
        <f t="shared" si="53"/>
        <v>1</v>
      </c>
      <c r="AM118" s="300">
        <f t="shared" si="48"/>
        <v>1.0608526267573548</v>
      </c>
      <c r="AN118" s="366">
        <f t="shared" si="60"/>
        <v>1</v>
      </c>
      <c r="AO118" s="300">
        <f t="shared" si="61"/>
        <v>1</v>
      </c>
      <c r="AP118" s="300">
        <f t="shared" si="62"/>
        <v>1</v>
      </c>
    </row>
    <row r="119" spans="1:42">
      <c r="A119" s="198">
        <f t="shared" si="59"/>
        <v>1964</v>
      </c>
      <c r="B119" s="1162">
        <f>TableUK1!D120</f>
        <v>476.13007462686568</v>
      </c>
      <c r="C119" s="959">
        <f t="shared" si="63"/>
        <v>1382.2121752879475</v>
      </c>
      <c r="D119" s="391">
        <f t="shared" si="64"/>
        <v>5.7629678903532433E-2</v>
      </c>
      <c r="E119" s="390">
        <f t="shared" si="49"/>
        <v>3.443294047310852E-2</v>
      </c>
      <c r="F119" s="1372">
        <f>TableUK6a!M119</f>
        <v>2.9030137959068467</v>
      </c>
      <c r="G119" s="365">
        <f>TableUK12c!B135</f>
        <v>0.11819887429643525</v>
      </c>
      <c r="H119" s="365">
        <f t="shared" si="65"/>
        <v>3.3765240233692151E-2</v>
      </c>
      <c r="I119" s="365">
        <f t="shared" si="40"/>
        <v>0</v>
      </c>
      <c r="J119" s="391">
        <f t="shared" si="50"/>
        <v>6.4589155586758373E-4</v>
      </c>
      <c r="K119" s="390">
        <f t="shared" si="66"/>
        <v>3.6201909148540379E-2</v>
      </c>
      <c r="L119" s="308">
        <f>TableUK6g!O46</f>
        <v>3.2900055301754265</v>
      </c>
      <c r="M119" s="1968">
        <f>TableUK12c!B135</f>
        <v>0.11819887429643525</v>
      </c>
      <c r="N119" s="1968">
        <f t="shared" si="58"/>
        <v>2.9844503764544967E-2</v>
      </c>
      <c r="O119" s="1968">
        <f t="shared" si="42"/>
        <v>0</v>
      </c>
      <c r="P119" s="1971">
        <f t="shared" si="51"/>
        <v>6.1731701832230534E-3</v>
      </c>
      <c r="Q119" s="390"/>
      <c r="R119" s="308"/>
      <c r="S119" s="365"/>
      <c r="T119" s="365"/>
      <c r="U119" s="365"/>
      <c r="V119" s="2093">
        <f>TableUK5a!Q119</f>
        <v>0</v>
      </c>
      <c r="W119" s="365"/>
      <c r="X119" s="365"/>
      <c r="Y119" s="365"/>
      <c r="Z119" s="367"/>
      <c r="AA119" s="83"/>
      <c r="AB119" s="83"/>
      <c r="AC119" s="363"/>
      <c r="AF119" s="300">
        <f t="shared" si="67"/>
        <v>1.0344329404731085</v>
      </c>
      <c r="AG119" s="300">
        <f t="shared" si="68"/>
        <v>1.0337652402336921</v>
      </c>
      <c r="AH119" s="300">
        <f t="shared" si="52"/>
        <v>1</v>
      </c>
      <c r="AI119" s="300">
        <f t="shared" si="69"/>
        <v>1.0006458915558676</v>
      </c>
      <c r="AJ119" s="300">
        <f t="shared" si="70"/>
        <v>1.0362019091485404</v>
      </c>
      <c r="AK119" s="300">
        <f t="shared" si="47"/>
        <v>1.0298445037645449</v>
      </c>
      <c r="AL119" s="300">
        <f t="shared" si="53"/>
        <v>1</v>
      </c>
      <c r="AM119" s="300">
        <f t="shared" si="48"/>
        <v>1.0061731701832231</v>
      </c>
      <c r="AN119" s="366">
        <f t="shared" si="60"/>
        <v>1</v>
      </c>
      <c r="AO119" s="300">
        <f t="shared" si="61"/>
        <v>1</v>
      </c>
      <c r="AP119" s="300">
        <f t="shared" si="62"/>
        <v>1</v>
      </c>
    </row>
    <row r="120" spans="1:42">
      <c r="A120" s="198">
        <f t="shared" si="59"/>
        <v>1965</v>
      </c>
      <c r="B120" s="1162">
        <f>TableUK1!D121</f>
        <v>485.79253521126765</v>
      </c>
      <c r="C120" s="959">
        <f t="shared" si="63"/>
        <v>1381.1206237022852</v>
      </c>
      <c r="D120" s="391">
        <f t="shared" si="64"/>
        <v>2.0293741352033434E-2</v>
      </c>
      <c r="E120" s="390">
        <f t="shared" si="49"/>
        <v>-7.8971347899958744E-4</v>
      </c>
      <c r="F120" s="1372">
        <f>TableUK6a!M120</f>
        <v>2.8430256201891737</v>
      </c>
      <c r="G120" s="365">
        <f>TableUK12c!B136</f>
        <v>0.11956554901302741</v>
      </c>
      <c r="H120" s="365">
        <f t="shared" si="65"/>
        <v>4.0715918905756404E-2</v>
      </c>
      <c r="I120" s="365">
        <f t="shared" si="40"/>
        <v>0</v>
      </c>
      <c r="J120" s="391">
        <f t="shared" si="50"/>
        <v>-3.9881807927370283E-2</v>
      </c>
      <c r="K120" s="390">
        <f t="shared" si="66"/>
        <v>2.8034383281858588E-3</v>
      </c>
      <c r="L120" s="308">
        <f>TableUK6g!O47</f>
        <v>3.2336068761989258</v>
      </c>
      <c r="M120" s="1968">
        <f>TableUK12c!B136</f>
        <v>0.11956554901302741</v>
      </c>
      <c r="N120" s="1968">
        <f t="shared" si="58"/>
        <v>3.5926649123332252E-2</v>
      </c>
      <c r="O120" s="1968">
        <f t="shared" si="42"/>
        <v>0</v>
      </c>
      <c r="P120" s="1971">
        <f t="shared" si="51"/>
        <v>-3.1974475049152851E-2</v>
      </c>
      <c r="Q120" s="390"/>
      <c r="R120" s="308"/>
      <c r="S120" s="365"/>
      <c r="T120" s="365"/>
      <c r="U120" s="365"/>
      <c r="V120" s="2093">
        <f>TableUK5a!Q120</f>
        <v>0</v>
      </c>
      <c r="W120" s="365"/>
      <c r="X120" s="365"/>
      <c r="Y120" s="365"/>
      <c r="Z120" s="367"/>
      <c r="AA120" s="83"/>
      <c r="AB120" s="83"/>
      <c r="AC120" s="363"/>
      <c r="AF120" s="300">
        <f t="shared" si="67"/>
        <v>0.99921028652100041</v>
      </c>
      <c r="AG120" s="300">
        <f t="shared" si="68"/>
        <v>1.0407159189057564</v>
      </c>
      <c r="AH120" s="300">
        <f t="shared" si="52"/>
        <v>1</v>
      </c>
      <c r="AI120" s="300">
        <f t="shared" si="69"/>
        <v>0.96011819207262972</v>
      </c>
      <c r="AJ120" s="300">
        <f t="shared" si="70"/>
        <v>1.0028034383281859</v>
      </c>
      <c r="AK120" s="300">
        <f t="shared" si="47"/>
        <v>1.0359266491233323</v>
      </c>
      <c r="AL120" s="300">
        <f t="shared" si="53"/>
        <v>1</v>
      </c>
      <c r="AM120" s="300">
        <f t="shared" si="48"/>
        <v>0.96802552495084715</v>
      </c>
      <c r="AN120" s="366">
        <f t="shared" si="60"/>
        <v>1</v>
      </c>
      <c r="AO120" s="300">
        <f t="shared" si="61"/>
        <v>1</v>
      </c>
      <c r="AP120" s="300">
        <f t="shared" si="62"/>
        <v>1</v>
      </c>
    </row>
    <row r="121" spans="1:42">
      <c r="A121" s="198">
        <f t="shared" si="59"/>
        <v>1966</v>
      </c>
      <c r="B121" s="1162">
        <f>TableUK1!D122</f>
        <v>493.02817567567558</v>
      </c>
      <c r="C121" s="959">
        <f t="shared" si="63"/>
        <v>1437.8159289141981</v>
      </c>
      <c r="D121" s="391">
        <f t="shared" si="64"/>
        <v>1.4894507304977767E-2</v>
      </c>
      <c r="E121" s="390">
        <f t="shared" si="49"/>
        <v>4.1050219827963419E-2</v>
      </c>
      <c r="F121" s="1372">
        <f>TableUK6a!M121</f>
        <v>2.9162956598651353</v>
      </c>
      <c r="G121" s="365">
        <f>TableUK12c!B137</f>
        <v>0.11852532445159063</v>
      </c>
      <c r="H121" s="365">
        <f t="shared" si="65"/>
        <v>4.2055740955676497E-2</v>
      </c>
      <c r="I121" s="365">
        <f t="shared" si="40"/>
        <v>0</v>
      </c>
      <c r="J121" s="391">
        <f t="shared" si="50"/>
        <v>-9.6493986664369924E-4</v>
      </c>
      <c r="K121" s="390">
        <f t="shared" si="66"/>
        <v>4.0792946860734425E-2</v>
      </c>
      <c r="L121" s="308">
        <f>TableUK6g!O48</f>
        <v>3.3161232083177192</v>
      </c>
      <c r="M121" s="1968">
        <f>TableUK12c!B137</f>
        <v>0.11852532445159063</v>
      </c>
      <c r="N121" s="1968">
        <f t="shared" si="58"/>
        <v>3.6975907582672995E-2</v>
      </c>
      <c r="O121" s="1968">
        <f t="shared" si="42"/>
        <v>0</v>
      </c>
      <c r="P121" s="1971">
        <f t="shared" si="51"/>
        <v>3.6809334239591429E-3</v>
      </c>
      <c r="Q121" s="390"/>
      <c r="R121" s="308"/>
      <c r="S121" s="365"/>
      <c r="T121" s="365"/>
      <c r="U121" s="365"/>
      <c r="V121" s="2093">
        <f>TableUK5a!Q121</f>
        <v>0</v>
      </c>
      <c r="W121" s="365"/>
      <c r="X121" s="365"/>
      <c r="Y121" s="365"/>
      <c r="Z121" s="367"/>
      <c r="AA121" s="83"/>
      <c r="AB121" s="83"/>
      <c r="AC121" s="363"/>
      <c r="AF121" s="300">
        <f t="shared" si="67"/>
        <v>1.0410502198279634</v>
      </c>
      <c r="AG121" s="300">
        <f t="shared" si="68"/>
        <v>1.0420557409556765</v>
      </c>
      <c r="AH121" s="300">
        <f t="shared" si="52"/>
        <v>1</v>
      </c>
      <c r="AI121" s="300">
        <f t="shared" si="69"/>
        <v>0.9990350601333563</v>
      </c>
      <c r="AJ121" s="300">
        <f t="shared" si="70"/>
        <v>1.0407929468607344</v>
      </c>
      <c r="AK121" s="300">
        <f t="shared" si="47"/>
        <v>1.036975907582673</v>
      </c>
      <c r="AL121" s="300">
        <f t="shared" si="53"/>
        <v>1</v>
      </c>
      <c r="AM121" s="300">
        <f t="shared" si="48"/>
        <v>1.0036809334239591</v>
      </c>
      <c r="AN121" s="366">
        <f t="shared" si="60"/>
        <v>1</v>
      </c>
      <c r="AO121" s="300">
        <f t="shared" si="61"/>
        <v>1</v>
      </c>
      <c r="AP121" s="300">
        <f t="shared" si="62"/>
        <v>1</v>
      </c>
    </row>
    <row r="122" spans="1:42">
      <c r="A122" s="198">
        <f t="shared" si="59"/>
        <v>1967</v>
      </c>
      <c r="B122" s="1162">
        <f>TableUK1!D123</f>
        <v>504.06125000000003</v>
      </c>
      <c r="C122" s="959">
        <f t="shared" si="63"/>
        <v>1526.7439568665391</v>
      </c>
      <c r="D122" s="391">
        <f t="shared" si="64"/>
        <v>2.2378182158056203E-2</v>
      </c>
      <c r="E122" s="390">
        <f t="shared" si="49"/>
        <v>6.1849382917531726E-2</v>
      </c>
      <c r="F122" s="1372">
        <f>TableUK6a!M122</f>
        <v>3.028885788912635</v>
      </c>
      <c r="G122" s="365">
        <f>TableUK12c!B138</f>
        <v>0.11405079778573754</v>
      </c>
      <c r="H122" s="365">
        <f t="shared" si="65"/>
        <v>4.0642423908785662E-2</v>
      </c>
      <c r="I122" s="365">
        <f t="shared" si="40"/>
        <v>0</v>
      </c>
      <c r="J122" s="391">
        <f t="shared" si="50"/>
        <v>2.0378718493034409E-2</v>
      </c>
      <c r="K122" s="390">
        <f t="shared" si="66"/>
        <v>6.3900138308161658E-2</v>
      </c>
      <c r="L122" s="308">
        <f>TableUK6g!O49</f>
        <v>3.4508012803335686</v>
      </c>
      <c r="M122" s="1968">
        <f>TableUK12c!B138</f>
        <v>0.11405079778573754</v>
      </c>
      <c r="N122" s="1968">
        <f t="shared" si="58"/>
        <v>3.5742135320635124E-2</v>
      </c>
      <c r="O122" s="1968">
        <f t="shared" si="42"/>
        <v>0</v>
      </c>
      <c r="P122" s="1971">
        <f t="shared" si="51"/>
        <v>2.7186306347196876E-2</v>
      </c>
      <c r="Q122" s="390"/>
      <c r="R122" s="308"/>
      <c r="S122" s="365"/>
      <c r="T122" s="365"/>
      <c r="U122" s="365"/>
      <c r="V122" s="2093">
        <f>TableUK5a!Q122</f>
        <v>0</v>
      </c>
      <c r="W122" s="365"/>
      <c r="X122" s="365"/>
      <c r="Y122" s="365"/>
      <c r="Z122" s="367"/>
      <c r="AA122" s="83"/>
      <c r="AB122" s="83"/>
      <c r="AC122" s="363"/>
      <c r="AF122" s="300">
        <f t="shared" si="67"/>
        <v>1.0618493829175317</v>
      </c>
      <c r="AG122" s="300">
        <f t="shared" si="68"/>
        <v>1.0406424239087857</v>
      </c>
      <c r="AH122" s="300">
        <f t="shared" si="52"/>
        <v>1</v>
      </c>
      <c r="AI122" s="300">
        <f t="shared" si="69"/>
        <v>1.0203787184930344</v>
      </c>
      <c r="AJ122" s="300">
        <f t="shared" si="70"/>
        <v>1.0639001383081617</v>
      </c>
      <c r="AK122" s="300">
        <f t="shared" si="47"/>
        <v>1.0357421353206351</v>
      </c>
      <c r="AL122" s="300">
        <f t="shared" si="53"/>
        <v>1</v>
      </c>
      <c r="AM122" s="300">
        <f t="shared" si="48"/>
        <v>1.0271863063471969</v>
      </c>
      <c r="AN122" s="366">
        <f t="shared" si="60"/>
        <v>1</v>
      </c>
      <c r="AO122" s="300">
        <f t="shared" si="61"/>
        <v>1</v>
      </c>
      <c r="AP122" s="300">
        <f t="shared" si="62"/>
        <v>1</v>
      </c>
    </row>
    <row r="123" spans="1:42">
      <c r="A123" s="198">
        <f t="shared" si="59"/>
        <v>1968</v>
      </c>
      <c r="B123" s="1162">
        <f>TableUK1!D124</f>
        <v>523.76987341772144</v>
      </c>
      <c r="C123" s="959">
        <f t="shared" si="63"/>
        <v>1592.0223042381613</v>
      </c>
      <c r="D123" s="391">
        <f t="shared" si="64"/>
        <v>3.9099659848324864E-2</v>
      </c>
      <c r="E123" s="390">
        <f t="shared" si="49"/>
        <v>4.2756578192455041E-2</v>
      </c>
      <c r="F123" s="1372">
        <f>TableUK6a!M123</f>
        <v>3.0395453901344913</v>
      </c>
      <c r="G123" s="365">
        <f>TableUK12c!B139</f>
        <v>0.12115061765516554</v>
      </c>
      <c r="H123" s="365">
        <f t="shared" si="65"/>
        <v>3.7654373830543666E-2</v>
      </c>
      <c r="I123" s="365">
        <f t="shared" si="40"/>
        <v>0</v>
      </c>
      <c r="J123" s="391">
        <f t="shared" si="50"/>
        <v>4.9170557081317234E-3</v>
      </c>
      <c r="K123" s="390">
        <f t="shared" si="66"/>
        <v>4.792432148752046E-2</v>
      </c>
      <c r="L123" s="308">
        <f>TableUK6g!O50</f>
        <v>3.4801075681322691</v>
      </c>
      <c r="M123" s="1968">
        <f>TableUK12c!B139</f>
        <v>0.12115061765516554</v>
      </c>
      <c r="N123" s="1968">
        <f t="shared" si="58"/>
        <v>3.3050526101205374E-2</v>
      </c>
      <c r="O123" s="1968">
        <f t="shared" si="42"/>
        <v>0</v>
      </c>
      <c r="P123" s="1971">
        <f t="shared" si="51"/>
        <v>1.4397936025888125E-2</v>
      </c>
      <c r="Q123" s="390"/>
      <c r="R123" s="308"/>
      <c r="S123" s="365"/>
      <c r="T123" s="365"/>
      <c r="U123" s="365"/>
      <c r="V123" s="2093">
        <f>TableUK5a!Q123</f>
        <v>0</v>
      </c>
      <c r="W123" s="365"/>
      <c r="X123" s="365"/>
      <c r="Y123" s="365"/>
      <c r="Z123" s="367"/>
      <c r="AA123" s="83"/>
      <c r="AB123" s="83"/>
      <c r="AC123" s="363"/>
      <c r="AF123" s="300">
        <f t="shared" si="67"/>
        <v>1.042756578192455</v>
      </c>
      <c r="AG123" s="300">
        <f t="shared" si="68"/>
        <v>1.0376543738305437</v>
      </c>
      <c r="AH123" s="300">
        <f t="shared" si="52"/>
        <v>1</v>
      </c>
      <c r="AI123" s="300">
        <f t="shared" si="69"/>
        <v>1.0049170557081317</v>
      </c>
      <c r="AJ123" s="300">
        <f t="shared" si="70"/>
        <v>1.0479243214875205</v>
      </c>
      <c r="AK123" s="300">
        <f t="shared" si="47"/>
        <v>1.0330505261012053</v>
      </c>
      <c r="AL123" s="300">
        <f t="shared" si="53"/>
        <v>1</v>
      </c>
      <c r="AM123" s="300">
        <f t="shared" si="48"/>
        <v>1.0143979360258881</v>
      </c>
      <c r="AN123" s="366">
        <f t="shared" si="60"/>
        <v>1</v>
      </c>
      <c r="AO123" s="300">
        <f t="shared" si="61"/>
        <v>1</v>
      </c>
      <c r="AP123" s="300">
        <f t="shared" si="62"/>
        <v>1</v>
      </c>
    </row>
    <row r="124" spans="1:42">
      <c r="A124" s="214">
        <f t="shared" si="59"/>
        <v>1969</v>
      </c>
      <c r="B124" s="1163">
        <f>TableUK1!D125</f>
        <v>537.64005952380944</v>
      </c>
      <c r="C124" s="1171">
        <f t="shared" si="63"/>
        <v>1633.3888561956694</v>
      </c>
      <c r="D124" s="1172">
        <f t="shared" si="64"/>
        <v>2.6481450747790847E-2</v>
      </c>
      <c r="E124" s="1181">
        <f t="shared" si="49"/>
        <v>2.598365101254263E-2</v>
      </c>
      <c r="F124" s="1381">
        <f>TableUK6a!M124</f>
        <v>3.0380713402241089</v>
      </c>
      <c r="G124" s="1184">
        <f>TableUK12c!B140</f>
        <v>0.13140035570532621</v>
      </c>
      <c r="H124" s="1184">
        <f t="shared" si="65"/>
        <v>3.9858137354482792E-2</v>
      </c>
      <c r="I124" s="1184">
        <f t="shared" si="40"/>
        <v>0</v>
      </c>
      <c r="J124" s="1172">
        <f t="shared" si="50"/>
        <v>-1.3342672277622869E-2</v>
      </c>
      <c r="K124" s="1181">
        <f t="shared" si="66"/>
        <v>3.4821761949924479E-2</v>
      </c>
      <c r="L124" s="550">
        <f>TableUK6g!O51</f>
        <v>3.5083839486883708</v>
      </c>
      <c r="M124" s="1969">
        <f>TableUK12c!B140</f>
        <v>0.13140035570532621</v>
      </c>
      <c r="N124" s="1969">
        <f t="shared" si="58"/>
        <v>3.4812319815788216E-2</v>
      </c>
      <c r="O124" s="1969">
        <f t="shared" si="42"/>
        <v>0</v>
      </c>
      <c r="P124" s="1972">
        <f t="shared" si="51"/>
        <v>9.1244894899755735E-6</v>
      </c>
      <c r="Q124" s="1181"/>
      <c r="R124" s="550"/>
      <c r="S124" s="1184"/>
      <c r="T124" s="1184"/>
      <c r="U124" s="1184"/>
      <c r="V124" s="2092">
        <f>TableUK5a!Q124</f>
        <v>0</v>
      </c>
      <c r="W124" s="365"/>
      <c r="X124" s="365"/>
      <c r="Y124" s="365"/>
      <c r="Z124" s="367"/>
      <c r="AA124" s="83"/>
      <c r="AB124" s="83"/>
      <c r="AC124" s="363"/>
      <c r="AF124" s="300">
        <f t="shared" si="67"/>
        <v>1.0259836510125426</v>
      </c>
      <c r="AG124" s="300">
        <f t="shared" si="68"/>
        <v>1.0398581373544828</v>
      </c>
      <c r="AH124" s="300">
        <f t="shared" si="52"/>
        <v>1</v>
      </c>
      <c r="AI124" s="300">
        <f t="shared" si="69"/>
        <v>0.98665732772237713</v>
      </c>
      <c r="AJ124" s="300">
        <f t="shared" si="70"/>
        <v>1.0348217619499245</v>
      </c>
      <c r="AK124" s="300">
        <f t="shared" si="47"/>
        <v>1.0348123198157881</v>
      </c>
      <c r="AL124" s="300">
        <f t="shared" si="53"/>
        <v>1</v>
      </c>
      <c r="AM124" s="300">
        <f t="shared" si="48"/>
        <v>1.00000912448949</v>
      </c>
      <c r="AN124" s="366">
        <f t="shared" si="60"/>
        <v>1</v>
      </c>
      <c r="AO124" s="300">
        <f t="shared" si="61"/>
        <v>1</v>
      </c>
      <c r="AP124" s="300">
        <f t="shared" si="62"/>
        <v>1</v>
      </c>
    </row>
    <row r="125" spans="1:42">
      <c r="A125" s="648">
        <f t="shared" si="59"/>
        <v>1970</v>
      </c>
      <c r="B125" s="1050">
        <f>TableUK1!D126</f>
        <v>550.18088888888883</v>
      </c>
      <c r="C125" s="115">
        <f t="shared" ref="C125:C164" si="71">B125*F125</f>
        <v>1728.7595042129585</v>
      </c>
      <c r="D125" s="1178">
        <f t="shared" ref="D125:D138" si="72">B125/B124-1</f>
        <v>2.3325697449306348E-2</v>
      </c>
      <c r="E125" s="1182">
        <f t="shared" si="49"/>
        <v>5.8388207838895978E-2</v>
      </c>
      <c r="F125" s="1373">
        <f>TableUK6a!M125</f>
        <v>3.1421656751913973</v>
      </c>
      <c r="G125" s="1187">
        <f>TableUK12c!B141</f>
        <v>0.13170742106721811</v>
      </c>
      <c r="H125" s="1187">
        <f t="shared" ref="H125:H138" si="73">G124/F124</f>
        <v>4.325124099805807E-2</v>
      </c>
      <c r="I125" s="1187">
        <f t="shared" si="40"/>
        <v>0</v>
      </c>
      <c r="J125" s="1178">
        <f t="shared" si="50"/>
        <v>1.4509416568109446E-2</v>
      </c>
      <c r="K125" s="1183">
        <f t="shared" si="66"/>
        <v>6.3836832792289799E-2</v>
      </c>
      <c r="L125" s="308">
        <f>TableUK6g!O52</f>
        <v>3.6472728843759317</v>
      </c>
      <c r="M125" s="1968">
        <f>TableUK12c!B141</f>
        <v>0.13170742106721811</v>
      </c>
      <c r="N125" s="1973">
        <f t="shared" si="58"/>
        <v>3.7453242754246149E-2</v>
      </c>
      <c r="O125" s="1973">
        <f t="shared" si="42"/>
        <v>0</v>
      </c>
      <c r="P125" s="1974">
        <f t="shared" si="51"/>
        <v>2.5431112411389289E-2</v>
      </c>
      <c r="Q125" s="1183"/>
      <c r="R125" s="308">
        <f>TableUK6b!J10</f>
        <v>4.4777360505642374</v>
      </c>
      <c r="S125" s="365">
        <f>TableUK12c!B141</f>
        <v>0.13170742106721811</v>
      </c>
      <c r="T125" s="1188"/>
      <c r="U125" s="1188"/>
      <c r="V125" s="2094">
        <f>TableUK5a!Q125</f>
        <v>0</v>
      </c>
      <c r="W125" s="1188"/>
      <c r="X125" s="1188"/>
      <c r="Y125" s="361"/>
      <c r="Z125" s="372">
        <f>R125</f>
        <v>4.4777360505642374</v>
      </c>
      <c r="AA125" s="373"/>
      <c r="AB125" s="374">
        <f>R125</f>
        <v>4.4777360505642374</v>
      </c>
      <c r="AC125" s="375"/>
      <c r="AF125" s="300">
        <f t="shared" si="67"/>
        <v>1.058388207838896</v>
      </c>
      <c r="AG125" s="300">
        <f t="shared" si="68"/>
        <v>1.0432512409980581</v>
      </c>
      <c r="AH125" s="300">
        <f t="shared" si="52"/>
        <v>1</v>
      </c>
      <c r="AI125" s="300">
        <f t="shared" si="69"/>
        <v>1.0145094165681094</v>
      </c>
      <c r="AJ125" s="300">
        <f t="shared" si="70"/>
        <v>1.0638368327922898</v>
      </c>
      <c r="AK125" s="300">
        <f t="shared" si="47"/>
        <v>1.0374532427542462</v>
      </c>
      <c r="AL125" s="300">
        <f t="shared" si="53"/>
        <v>1</v>
      </c>
      <c r="AM125" s="300">
        <f t="shared" si="48"/>
        <v>1.0254311124113893</v>
      </c>
      <c r="AN125" s="366">
        <f t="shared" si="60"/>
        <v>1</v>
      </c>
      <c r="AO125" s="300">
        <f t="shared" si="61"/>
        <v>1</v>
      </c>
      <c r="AP125" s="300">
        <f t="shared" si="62"/>
        <v>1</v>
      </c>
    </row>
    <row r="126" spans="1:42">
      <c r="A126" s="198">
        <v>1971</v>
      </c>
      <c r="B126" s="1162">
        <f>TableUK1!D127</f>
        <v>553.93530612244888</v>
      </c>
      <c r="C126" s="959">
        <f t="shared" si="71"/>
        <v>1898.0740121237152</v>
      </c>
      <c r="D126" s="391">
        <f t="shared" si="72"/>
        <v>6.8239688244029484E-3</v>
      </c>
      <c r="E126" s="390">
        <f t="shared" si="49"/>
        <v>9.793988550642263E-2</v>
      </c>
      <c r="F126" s="1372">
        <f>TableUK6a!M126</f>
        <v>3.4265265115709034</v>
      </c>
      <c r="G126" s="365">
        <f>TableUK12c!B142</f>
        <v>0.12587546039197725</v>
      </c>
      <c r="H126" s="365">
        <f t="shared" si="73"/>
        <v>4.1916128772934762E-2</v>
      </c>
      <c r="I126" s="365">
        <f t="shared" si="40"/>
        <v>0</v>
      </c>
      <c r="J126" s="391">
        <f t="shared" si="50"/>
        <v>5.376992944668868E-2</v>
      </c>
      <c r="K126" s="390">
        <f t="shared" si="66"/>
        <v>9.6452388262159738E-2</v>
      </c>
      <c r="L126" s="308">
        <f>TableUK6g!O53</f>
        <v>3.971956557000949</v>
      </c>
      <c r="M126" s="365">
        <f>TableUK12c!B142</f>
        <v>0.12587546039197725</v>
      </c>
      <c r="N126" s="1968">
        <f t="shared" ref="N126:N165" si="74">M125/L125</f>
        <v>3.6111205616509268E-2</v>
      </c>
      <c r="O126" s="1968">
        <f t="shared" si="42"/>
        <v>0</v>
      </c>
      <c r="P126" s="1971">
        <f t="shared" si="51"/>
        <v>5.8238133434476591E-2</v>
      </c>
      <c r="Q126" s="390">
        <f t="shared" ref="Q126:Q165" si="75">(1+D126)*(R126/R125)-1</f>
        <v>8.780710671139258E-2</v>
      </c>
      <c r="R126" s="308">
        <f>TableUK6b!J11</f>
        <v>4.8378994229438153</v>
      </c>
      <c r="S126" s="365">
        <f>TableUK12c!B142</f>
        <v>0.12587546039197725</v>
      </c>
      <c r="T126" s="365">
        <f t="shared" ref="T126:T139" si="76">S125/R125</f>
        <v>2.9413842079999718E-2</v>
      </c>
      <c r="U126" s="365">
        <f>(1+Q126)/(1+T126)-1</f>
        <v>5.6724771170169497E-2</v>
      </c>
      <c r="V126" s="2093">
        <f>TableUK5a!Q126</f>
        <v>0</v>
      </c>
      <c r="W126" s="365"/>
      <c r="X126" s="365"/>
      <c r="Y126" s="365"/>
      <c r="Z126" s="376">
        <f t="shared" ref="Z126:Z165" si="77">Z125*(1+AA126)*(1+G125/Z125)/(1+D126)</f>
        <v>4.6546121549380013</v>
      </c>
      <c r="AA126" s="377">
        <f t="shared" ref="AA126:AA165" si="78">AA$172</f>
        <v>1.669E-2</v>
      </c>
      <c r="AB126" s="378">
        <f t="shared" ref="AB126:AB165" si="79">AB125*(1+AC126)*(1+S125/AB125)/(1+D126)</f>
        <v>4.6448253325992237</v>
      </c>
      <c r="AC126" s="379">
        <f t="shared" ref="AC126:AC165" si="80">AB$172</f>
        <v>1.4552300000000001E-2</v>
      </c>
      <c r="AF126" s="300">
        <f t="shared" si="67"/>
        <v>1.0979398855064226</v>
      </c>
      <c r="AG126" s="300">
        <f t="shared" si="68"/>
        <v>1.0419161287729348</v>
      </c>
      <c r="AH126" s="300">
        <f t="shared" si="52"/>
        <v>1</v>
      </c>
      <c r="AI126" s="300">
        <f t="shared" si="69"/>
        <v>1.0537699294466887</v>
      </c>
      <c r="AJ126" s="300">
        <f t="shared" si="70"/>
        <v>1.0964523882621597</v>
      </c>
      <c r="AK126" s="300">
        <f t="shared" si="47"/>
        <v>1.0361112056165092</v>
      </c>
      <c r="AL126" s="300">
        <f t="shared" si="53"/>
        <v>1</v>
      </c>
      <c r="AM126" s="300">
        <f t="shared" si="48"/>
        <v>1.0582381334344766</v>
      </c>
      <c r="AN126" s="366">
        <f t="shared" si="60"/>
        <v>1.0878071067113926</v>
      </c>
      <c r="AO126" s="300">
        <f t="shared" si="61"/>
        <v>1.0294138420799996</v>
      </c>
      <c r="AP126" s="300">
        <f t="shared" si="62"/>
        <v>1.0567247711701695</v>
      </c>
    </row>
    <row r="127" spans="1:42">
      <c r="A127" s="198">
        <v>1972</v>
      </c>
      <c r="B127" s="1162">
        <f>TableUK1!D128</f>
        <v>572.4135377358491</v>
      </c>
      <c r="C127" s="959">
        <f t="shared" si="71"/>
        <v>2137.5843866084851</v>
      </c>
      <c r="D127" s="391">
        <f t="shared" si="72"/>
        <v>3.3358104112821474E-2</v>
      </c>
      <c r="E127" s="390">
        <f t="shared" si="49"/>
        <v>0.12618600378853873</v>
      </c>
      <c r="F127" s="1372">
        <f>TableUK6a!M127</f>
        <v>3.7343358353535536</v>
      </c>
      <c r="G127" s="365">
        <f>TableUK12c!B143</f>
        <v>9.821830912683284E-2</v>
      </c>
      <c r="H127" s="365">
        <f t="shared" si="73"/>
        <v>3.673558630493981E-2</v>
      </c>
      <c r="I127" s="365">
        <f t="shared" si="40"/>
        <v>0</v>
      </c>
      <c r="J127" s="391">
        <f t="shared" si="50"/>
        <v>8.6280840230836153E-2</v>
      </c>
      <c r="K127" s="390">
        <f t="shared" si="66"/>
        <v>0.12587370061754566</v>
      </c>
      <c r="L127" s="308">
        <f>TableUK6g!O54</f>
        <v>4.3275621584853239</v>
      </c>
      <c r="M127" s="365">
        <f>TableUK12c!B143</f>
        <v>9.821830912683284E-2</v>
      </c>
      <c r="N127" s="365">
        <f t="shared" si="74"/>
        <v>3.1691046612810969E-2</v>
      </c>
      <c r="O127" s="365">
        <f t="shared" si="42"/>
        <v>0</v>
      </c>
      <c r="P127" s="391">
        <f t="shared" si="51"/>
        <v>9.1289591311226381E-2</v>
      </c>
      <c r="Q127" s="390">
        <f t="shared" si="75"/>
        <v>0.11685035635054075</v>
      </c>
      <c r="R127" s="308">
        <f>TableUK6b!J12</f>
        <v>5.2287872645482789</v>
      </c>
      <c r="S127" s="365">
        <f>TableUK12c!B143</f>
        <v>9.821830912683284E-2</v>
      </c>
      <c r="T127" s="365">
        <f t="shared" si="76"/>
        <v>2.6018618699473344E-2</v>
      </c>
      <c r="U127" s="365">
        <f t="shared" ref="U127:U165" si="81">(1+Q127)/(1+T127)-1</f>
        <v>8.8528352210802019E-2</v>
      </c>
      <c r="V127" s="2093">
        <f>TableUK5a!Q127</f>
        <v>0</v>
      </c>
      <c r="W127" s="365"/>
      <c r="X127" s="365"/>
      <c r="Y127" s="365"/>
      <c r="Z127" s="376">
        <f t="shared" si="77"/>
        <v>4.7033781747931149</v>
      </c>
      <c r="AA127" s="377">
        <f t="shared" si="78"/>
        <v>1.669E-2</v>
      </c>
      <c r="AB127" s="378">
        <f t="shared" si="79"/>
        <v>4.6838801020450553</v>
      </c>
      <c r="AC127" s="379">
        <f t="shared" si="80"/>
        <v>1.4552300000000001E-2</v>
      </c>
      <c r="AF127" s="300">
        <f t="shared" si="67"/>
        <v>1.1261860037885387</v>
      </c>
      <c r="AG127" s="300">
        <f t="shared" si="68"/>
        <v>1.0367355863049399</v>
      </c>
      <c r="AH127" s="300">
        <f t="shared" si="52"/>
        <v>1</v>
      </c>
      <c r="AI127" s="300">
        <f t="shared" si="69"/>
        <v>1.0862808402308362</v>
      </c>
      <c r="AJ127" s="300">
        <f t="shared" si="70"/>
        <v>1.1258737006175457</v>
      </c>
      <c r="AK127" s="300">
        <f t="shared" si="47"/>
        <v>1.0316910466128109</v>
      </c>
      <c r="AL127" s="300">
        <f t="shared" si="53"/>
        <v>1</v>
      </c>
      <c r="AM127" s="300">
        <f t="shared" si="48"/>
        <v>1.0912895913112264</v>
      </c>
      <c r="AN127" s="366">
        <f t="shared" si="60"/>
        <v>1.1168503563505408</v>
      </c>
      <c r="AO127" s="300">
        <f t="shared" si="61"/>
        <v>1.0260186186994733</v>
      </c>
      <c r="AP127" s="300">
        <f t="shared" si="62"/>
        <v>1.088528352210802</v>
      </c>
    </row>
    <row r="128" spans="1:42">
      <c r="A128" s="198">
        <v>1973</v>
      </c>
      <c r="B128" s="1162">
        <f>TableUK1!D129</f>
        <v>614.67999999999995</v>
      </c>
      <c r="C128" s="959">
        <f t="shared" si="71"/>
        <v>2260.6889309413577</v>
      </c>
      <c r="D128" s="391">
        <f t="shared" si="72"/>
        <v>7.3839033282360189E-2</v>
      </c>
      <c r="E128" s="390">
        <f t="shared" si="49"/>
        <v>5.7590495656731466E-2</v>
      </c>
      <c r="F128" s="1372">
        <f>TableUK6a!M128</f>
        <v>3.6778306288497395</v>
      </c>
      <c r="G128" s="365">
        <f>TableUK12c!B144</f>
        <v>0.11040779243990349</v>
      </c>
      <c r="H128" s="365">
        <f t="shared" si="73"/>
        <v>2.6301413010845039E-2</v>
      </c>
      <c r="I128" s="365">
        <f t="shared" si="40"/>
        <v>0</v>
      </c>
      <c r="J128" s="391">
        <f t="shared" si="50"/>
        <v>3.0487225535521967E-2</v>
      </c>
      <c r="K128" s="390">
        <f t="shared" si="66"/>
        <v>7.4174306330800466E-2</v>
      </c>
      <c r="L128" s="308">
        <f>TableUK6g!O55</f>
        <v>4.3289133060150942</v>
      </c>
      <c r="M128" s="365">
        <f>TableUK12c!B144</f>
        <v>0.11040779243990349</v>
      </c>
      <c r="N128" s="365">
        <f t="shared" si="74"/>
        <v>2.2695990382079204E-2</v>
      </c>
      <c r="O128" s="365">
        <f t="shared" si="42"/>
        <v>0</v>
      </c>
      <c r="P128" s="391">
        <f t="shared" si="51"/>
        <v>5.0335893005201804E-2</v>
      </c>
      <c r="Q128" s="390">
        <f t="shared" si="75"/>
        <v>0.10941825937469885</v>
      </c>
      <c r="R128" s="308">
        <f>TableUK6b!J13</f>
        <v>5.4020312969480457</v>
      </c>
      <c r="S128" s="365">
        <f>TableUK12c!B144</f>
        <v>0.11040779243990349</v>
      </c>
      <c r="T128" s="365">
        <f t="shared" si="76"/>
        <v>1.8784147099034452E-2</v>
      </c>
      <c r="U128" s="365">
        <f t="shared" si="81"/>
        <v>8.8963017861774851E-2</v>
      </c>
      <c r="V128" s="2093">
        <f>TableUK5a!Q128</f>
        <v>0</v>
      </c>
      <c r="W128" s="365"/>
      <c r="X128" s="365"/>
      <c r="Y128" s="365"/>
      <c r="Z128" s="376">
        <f t="shared" si="77"/>
        <v>4.5460585599265944</v>
      </c>
      <c r="AA128" s="377">
        <f t="shared" si="78"/>
        <v>1.669E-2</v>
      </c>
      <c r="AB128" s="378">
        <f t="shared" si="79"/>
        <v>4.5180784004943684</v>
      </c>
      <c r="AC128" s="379">
        <f t="shared" si="80"/>
        <v>1.4552300000000001E-2</v>
      </c>
      <c r="AF128" s="300">
        <f t="shared" si="67"/>
        <v>1.0575904956567315</v>
      </c>
      <c r="AG128" s="300">
        <f t="shared" si="68"/>
        <v>1.026301413010845</v>
      </c>
      <c r="AH128" s="300">
        <f t="shared" si="52"/>
        <v>1</v>
      </c>
      <c r="AI128" s="300">
        <f t="shared" si="69"/>
        <v>1.030487225535522</v>
      </c>
      <c r="AJ128" s="300">
        <f t="shared" si="70"/>
        <v>1.0741743063308005</v>
      </c>
      <c r="AK128" s="300">
        <f t="shared" si="47"/>
        <v>1.0226959903820791</v>
      </c>
      <c r="AL128" s="300">
        <f t="shared" si="53"/>
        <v>1</v>
      </c>
      <c r="AM128" s="300">
        <f t="shared" si="48"/>
        <v>1.0503358930052018</v>
      </c>
      <c r="AN128" s="366">
        <f t="shared" si="60"/>
        <v>1.1094182593746988</v>
      </c>
      <c r="AO128" s="300">
        <f t="shared" si="61"/>
        <v>1.0187841470990344</v>
      </c>
      <c r="AP128" s="300">
        <f t="shared" si="62"/>
        <v>1.0889630178617749</v>
      </c>
    </row>
    <row r="129" spans="1:42">
      <c r="A129" s="198">
        <v>1974</v>
      </c>
      <c r="B129" s="1162">
        <f>TableUK1!D130</f>
        <v>592.81015267175565</v>
      </c>
      <c r="C129" s="959">
        <f t="shared" si="71"/>
        <v>2193.9513077855527</v>
      </c>
      <c r="D129" s="391">
        <f t="shared" si="72"/>
        <v>-3.557924013835545E-2</v>
      </c>
      <c r="E129" s="390">
        <f t="shared" si="49"/>
        <v>-2.9520922689711071E-2</v>
      </c>
      <c r="F129" s="1372">
        <f>TableUK6a!M129</f>
        <v>3.7009340982059111</v>
      </c>
      <c r="G129" s="365">
        <f>TableUK12c!B145</f>
        <v>7.4845719710955216E-2</v>
      </c>
      <c r="H129" s="365">
        <f t="shared" si="73"/>
        <v>3.0019814282321668E-2</v>
      </c>
      <c r="I129" s="365">
        <f t="shared" si="40"/>
        <v>0</v>
      </c>
      <c r="J129" s="391">
        <f t="shared" si="50"/>
        <v>-5.780542873684269E-2</v>
      </c>
      <c r="K129" s="390">
        <f t="shared" si="66"/>
        <v>-1.6100047847489307E-4</v>
      </c>
      <c r="L129" s="308">
        <f>TableUK6g!O56</f>
        <v>4.487892141104961</v>
      </c>
      <c r="M129" s="365">
        <f>TableUK12c!B145</f>
        <v>7.4845719710955216E-2</v>
      </c>
      <c r="N129" s="365">
        <f t="shared" si="74"/>
        <v>2.5504736324123218E-2</v>
      </c>
      <c r="O129" s="365">
        <f t="shared" si="42"/>
        <v>0</v>
      </c>
      <c r="P129" s="391">
        <f t="shared" si="51"/>
        <v>-2.5027419078136881E-2</v>
      </c>
      <c r="Q129" s="390">
        <f t="shared" si="75"/>
        <v>5.6788444216542944E-2</v>
      </c>
      <c r="R129" s="308">
        <f>TableUK6b!J14</f>
        <v>5.919412446834702</v>
      </c>
      <c r="S129" s="365">
        <f>TableUK12c!B145</f>
        <v>7.4845719710955216E-2</v>
      </c>
      <c r="T129" s="365">
        <f t="shared" si="76"/>
        <v>2.043819933110716E-2</v>
      </c>
      <c r="U129" s="365">
        <f t="shared" si="81"/>
        <v>3.5622191436250894E-2</v>
      </c>
      <c r="V129" s="2093">
        <f>TableUK5a!Q129</f>
        <v>0</v>
      </c>
      <c r="W129" s="365"/>
      <c r="X129" s="365"/>
      <c r="Y129" s="365"/>
      <c r="Z129" s="376">
        <f t="shared" si="77"/>
        <v>4.9088354096262492</v>
      </c>
      <c r="AA129" s="377">
        <f t="shared" si="78"/>
        <v>1.669E-2</v>
      </c>
      <c r="AB129" s="378">
        <f t="shared" si="79"/>
        <v>4.8690794599168239</v>
      </c>
      <c r="AC129" s="379">
        <f t="shared" si="80"/>
        <v>1.4552300000000001E-2</v>
      </c>
      <c r="AF129" s="300">
        <f t="shared" si="67"/>
        <v>0.97047907731028893</v>
      </c>
      <c r="AG129" s="300">
        <f t="shared" si="68"/>
        <v>1.0300198142823216</v>
      </c>
      <c r="AH129" s="300">
        <f t="shared" si="52"/>
        <v>1</v>
      </c>
      <c r="AI129" s="300">
        <f t="shared" si="69"/>
        <v>0.94219457126315731</v>
      </c>
      <c r="AJ129" s="300">
        <f t="shared" si="70"/>
        <v>0.99983899952152511</v>
      </c>
      <c r="AK129" s="300">
        <f t="shared" si="47"/>
        <v>1.0255047363241232</v>
      </c>
      <c r="AL129" s="300">
        <f t="shared" si="53"/>
        <v>1</v>
      </c>
      <c r="AM129" s="300">
        <f t="shared" si="48"/>
        <v>0.97497258092186312</v>
      </c>
      <c r="AN129" s="366">
        <f t="shared" si="60"/>
        <v>1.0567884442165429</v>
      </c>
      <c r="AO129" s="300">
        <f t="shared" si="61"/>
        <v>1.0204381993311071</v>
      </c>
      <c r="AP129" s="300">
        <f t="shared" si="62"/>
        <v>1.0356221914362509</v>
      </c>
    </row>
    <row r="130" spans="1:42">
      <c r="A130" s="198">
        <v>1975</v>
      </c>
      <c r="B130" s="1162">
        <f>TableUK1!D131</f>
        <v>582.54056886227545</v>
      </c>
      <c r="C130" s="959">
        <f t="shared" si="71"/>
        <v>1929.2698492901354</v>
      </c>
      <c r="D130" s="391">
        <f t="shared" si="72"/>
        <v>-1.7323562633325129E-2</v>
      </c>
      <c r="E130" s="390">
        <f t="shared" si="49"/>
        <v>-0.12064144612332861</v>
      </c>
      <c r="F130" s="1372">
        <f>TableUK6a!M130</f>
        <v>3.3118205879773748</v>
      </c>
      <c r="G130" s="365">
        <f>TableUK12c!B146</f>
        <v>5.984417014249116E-2</v>
      </c>
      <c r="H130" s="365">
        <f t="shared" si="73"/>
        <v>2.0223467299036187E-2</v>
      </c>
      <c r="I130" s="365">
        <f t="shared" si="40"/>
        <v>0</v>
      </c>
      <c r="J130" s="391">
        <f t="shared" si="50"/>
        <v>-0.1380726065783352</v>
      </c>
      <c r="K130" s="390">
        <f t="shared" si="66"/>
        <v>-0.11801814095603325</v>
      </c>
      <c r="L130" s="308">
        <f>TableUK6g!O57</f>
        <v>4.0280190948789265</v>
      </c>
      <c r="M130" s="365">
        <f>TableUK12c!B146</f>
        <v>5.984417014249116E-2</v>
      </c>
      <c r="N130" s="365">
        <f t="shared" si="74"/>
        <v>1.6677254568004726E-2</v>
      </c>
      <c r="O130" s="365">
        <f t="shared" si="42"/>
        <v>0</v>
      </c>
      <c r="P130" s="391">
        <f t="shared" si="51"/>
        <v>-0.13248589453422099</v>
      </c>
      <c r="Q130" s="390">
        <f t="shared" si="75"/>
        <v>-9.2049089396947004E-2</v>
      </c>
      <c r="R130" s="308">
        <f>TableUK6b!J15</f>
        <v>5.469283394787622</v>
      </c>
      <c r="S130" s="365">
        <f>TableUK12c!B146</f>
        <v>5.984417014249116E-2</v>
      </c>
      <c r="T130" s="365">
        <f t="shared" si="76"/>
        <v>1.2644112972897775E-2</v>
      </c>
      <c r="U130" s="365">
        <f t="shared" si="81"/>
        <v>-0.10338597837940211</v>
      </c>
      <c r="V130" s="2093">
        <f>TableUK5a!Q130</f>
        <v>0</v>
      </c>
      <c r="W130" s="365"/>
      <c r="X130" s="365"/>
      <c r="Y130" s="365"/>
      <c r="Z130" s="376">
        <f t="shared" si="77"/>
        <v>5.15618221289985</v>
      </c>
      <c r="AA130" s="377">
        <f t="shared" si="78"/>
        <v>1.669E-2</v>
      </c>
      <c r="AB130" s="378">
        <f t="shared" si="79"/>
        <v>5.1042952403138377</v>
      </c>
      <c r="AC130" s="379">
        <f t="shared" si="80"/>
        <v>1.4552300000000001E-2</v>
      </c>
      <c r="AF130" s="300">
        <f t="shared" si="67"/>
        <v>0.87935855387667139</v>
      </c>
      <c r="AG130" s="300">
        <f t="shared" si="68"/>
        <v>1.0202234672990362</v>
      </c>
      <c r="AH130" s="300">
        <f t="shared" si="52"/>
        <v>1</v>
      </c>
      <c r="AI130" s="300">
        <f t="shared" si="69"/>
        <v>0.8619273934216648</v>
      </c>
      <c r="AJ130" s="300">
        <f t="shared" si="70"/>
        <v>0.88198185904396675</v>
      </c>
      <c r="AK130" s="300">
        <f t="shared" si="47"/>
        <v>1.0166772545680047</v>
      </c>
      <c r="AL130" s="300">
        <f t="shared" si="53"/>
        <v>1</v>
      </c>
      <c r="AM130" s="300">
        <f t="shared" si="48"/>
        <v>0.86751410546577901</v>
      </c>
      <c r="AN130" s="366">
        <f t="shared" si="60"/>
        <v>0.907950910603053</v>
      </c>
      <c r="AO130" s="300">
        <f t="shared" si="61"/>
        <v>1.0126441129728978</v>
      </c>
      <c r="AP130" s="300">
        <f t="shared" si="62"/>
        <v>0.89661402162059789</v>
      </c>
    </row>
    <row r="131" spans="1:42">
      <c r="A131" s="198">
        <v>1976</v>
      </c>
      <c r="B131" s="1162">
        <f>TableUK1!D132</f>
        <v>595.76973958333338</v>
      </c>
      <c r="C131" s="959">
        <f t="shared" si="71"/>
        <v>1852.6314238944592</v>
      </c>
      <c r="D131" s="391">
        <f t="shared" si="72"/>
        <v>2.2709441072739311E-2</v>
      </c>
      <c r="E131" s="390">
        <f t="shared" si="49"/>
        <v>-3.9724056965838805E-2</v>
      </c>
      <c r="F131" s="1372">
        <f>TableUK6a!M131</f>
        <v>3.1096433752915074</v>
      </c>
      <c r="G131" s="365">
        <f>TableUK12c!B147</f>
        <v>8.4075733692283189E-2</v>
      </c>
      <c r="H131" s="365">
        <f t="shared" si="73"/>
        <v>1.8069870801497655E-2</v>
      </c>
      <c r="I131" s="365">
        <f t="shared" si="40"/>
        <v>0</v>
      </c>
      <c r="J131" s="391">
        <f t="shared" si="50"/>
        <v>-5.6768134903979584E-2</v>
      </c>
      <c r="K131" s="390">
        <f t="shared" si="66"/>
        <v>-4.5670453169975977E-2</v>
      </c>
      <c r="L131" s="308">
        <f>TableUK6g!O58</f>
        <v>3.7586996687997565</v>
      </c>
      <c r="M131" s="365">
        <f>TableUK12c!B147</f>
        <v>8.4075733692283189E-2</v>
      </c>
      <c r="N131" s="365">
        <f t="shared" si="74"/>
        <v>1.4856972802977724E-2</v>
      </c>
      <c r="O131" s="365">
        <f t="shared" si="42"/>
        <v>0</v>
      </c>
      <c r="P131" s="391">
        <f t="shared" si="51"/>
        <v>-5.9641336262173383E-2</v>
      </c>
      <c r="Q131" s="390">
        <f t="shared" si="75"/>
        <v>-2.2383820246148045E-2</v>
      </c>
      <c r="R131" s="308">
        <f>TableUK6b!J16</f>
        <v>5.2281319832102371</v>
      </c>
      <c r="S131" s="365">
        <f>TableUK12c!B147</f>
        <v>8.4075733692283189E-2</v>
      </c>
      <c r="T131" s="365">
        <f t="shared" si="76"/>
        <v>1.0941866753425926E-2</v>
      </c>
      <c r="U131" s="365">
        <f t="shared" si="81"/>
        <v>-3.2964988488009994E-2</v>
      </c>
      <c r="V131" s="2093">
        <f>TableUK5a!Q131</f>
        <v>0</v>
      </c>
      <c r="W131" s="365"/>
      <c r="X131" s="365"/>
      <c r="Y131" s="365"/>
      <c r="Z131" s="376">
        <f t="shared" si="77"/>
        <v>5.1853260079547283</v>
      </c>
      <c r="AA131" s="377">
        <f t="shared" si="78"/>
        <v>1.669E-2</v>
      </c>
      <c r="AB131" s="378">
        <f t="shared" si="79"/>
        <v>5.1229501811418912</v>
      </c>
      <c r="AC131" s="379">
        <f t="shared" si="80"/>
        <v>1.4552300000000001E-2</v>
      </c>
      <c r="AF131" s="300">
        <f t="shared" si="67"/>
        <v>0.96027594303416119</v>
      </c>
      <c r="AG131" s="300">
        <f t="shared" si="68"/>
        <v>1.0180698708014977</v>
      </c>
      <c r="AH131" s="300">
        <f t="shared" si="52"/>
        <v>1</v>
      </c>
      <c r="AI131" s="300">
        <f t="shared" si="69"/>
        <v>0.94323186509602042</v>
      </c>
      <c r="AJ131" s="300">
        <f t="shared" si="70"/>
        <v>0.95432954683002402</v>
      </c>
      <c r="AK131" s="300">
        <f t="shared" si="47"/>
        <v>1.0148569728029777</v>
      </c>
      <c r="AL131" s="300">
        <f t="shared" si="53"/>
        <v>1</v>
      </c>
      <c r="AM131" s="300">
        <f t="shared" si="48"/>
        <v>0.94035866373782662</v>
      </c>
      <c r="AN131" s="366">
        <f t="shared" si="60"/>
        <v>0.97761617975385195</v>
      </c>
      <c r="AO131" s="300">
        <f t="shared" si="61"/>
        <v>1.010941866753426</v>
      </c>
      <c r="AP131" s="300">
        <f t="shared" si="62"/>
        <v>0.96703501151199001</v>
      </c>
    </row>
    <row r="132" spans="1:42">
      <c r="A132" s="198">
        <v>1977</v>
      </c>
      <c r="B132" s="1162">
        <f>TableUK1!D133</f>
        <v>607.04433486238531</v>
      </c>
      <c r="C132" s="959">
        <f t="shared" si="71"/>
        <v>1869.5158477814114</v>
      </c>
      <c r="D132" s="391">
        <f t="shared" si="72"/>
        <v>1.8924417488771939E-2</v>
      </c>
      <c r="E132" s="390">
        <f t="shared" si="49"/>
        <v>9.1137522926492132E-3</v>
      </c>
      <c r="F132" s="1372">
        <f>TableUK6a!M132</f>
        <v>3.0797023222450854</v>
      </c>
      <c r="G132" s="365">
        <f>TableUK12c!B148</f>
        <v>8.5760365777276679E-2</v>
      </c>
      <c r="H132" s="365">
        <f t="shared" si="73"/>
        <v>2.7037098324627556E-2</v>
      </c>
      <c r="I132" s="365">
        <f t="shared" si="40"/>
        <v>0</v>
      </c>
      <c r="J132" s="391">
        <f t="shared" si="50"/>
        <v>-1.7451507897052743E-2</v>
      </c>
      <c r="K132" s="390">
        <f t="shared" si="66"/>
        <v>1.1694004075178288E-2</v>
      </c>
      <c r="L132" s="308">
        <f>TableUK6g!O59</f>
        <v>3.7320274720828106</v>
      </c>
      <c r="M132" s="365">
        <f>TableUK12c!B148</f>
        <v>8.5760365777276679E-2</v>
      </c>
      <c r="N132" s="365">
        <f t="shared" si="74"/>
        <v>2.236830316350617E-2</v>
      </c>
      <c r="O132" s="365">
        <f t="shared" si="42"/>
        <v>0</v>
      </c>
      <c r="P132" s="391">
        <f t="shared" si="51"/>
        <v>-1.0440757068953088E-2</v>
      </c>
      <c r="Q132" s="390">
        <f t="shared" si="75"/>
        <v>2.1458071026718262E-2</v>
      </c>
      <c r="R132" s="308">
        <f>TableUK6b!J17</f>
        <v>5.2411322360933283</v>
      </c>
      <c r="S132" s="365">
        <f>TableUK12c!B148</f>
        <v>8.5760365777276679E-2</v>
      </c>
      <c r="T132" s="365">
        <f t="shared" si="76"/>
        <v>1.6081409949535753E-2</v>
      </c>
      <c r="U132" s="365">
        <f t="shared" si="81"/>
        <v>5.2915652471681174E-3</v>
      </c>
      <c r="V132" s="2093">
        <f>TableUK5a!Q132</f>
        <v>0</v>
      </c>
      <c r="W132" s="365"/>
      <c r="X132" s="365"/>
      <c r="Y132" s="365"/>
      <c r="Z132" s="376">
        <f t="shared" si="77"/>
        <v>5.2578463767889208</v>
      </c>
      <c r="AA132" s="377">
        <f t="shared" si="78"/>
        <v>1.669E-2</v>
      </c>
      <c r="AB132" s="378">
        <f t="shared" si="79"/>
        <v>5.184683012185082</v>
      </c>
      <c r="AC132" s="379">
        <f t="shared" si="80"/>
        <v>1.4552300000000001E-2</v>
      </c>
      <c r="AF132" s="300">
        <f t="shared" si="67"/>
        <v>1.0091137522926492</v>
      </c>
      <c r="AG132" s="300">
        <f t="shared" si="68"/>
        <v>1.0270370983246275</v>
      </c>
      <c r="AH132" s="300">
        <f t="shared" si="52"/>
        <v>1</v>
      </c>
      <c r="AI132" s="300">
        <f t="shared" si="69"/>
        <v>0.98254849210294726</v>
      </c>
      <c r="AJ132" s="300">
        <f t="shared" si="70"/>
        <v>1.0116940040751783</v>
      </c>
      <c r="AK132" s="300">
        <f t="shared" si="47"/>
        <v>1.0223683031635062</v>
      </c>
      <c r="AL132" s="300">
        <f t="shared" si="53"/>
        <v>1</v>
      </c>
      <c r="AM132" s="300">
        <f t="shared" si="48"/>
        <v>0.98955924293104691</v>
      </c>
      <c r="AN132" s="366">
        <f t="shared" si="60"/>
        <v>1.0214580710267183</v>
      </c>
      <c r="AO132" s="300">
        <f t="shared" si="61"/>
        <v>1.0160814099495357</v>
      </c>
      <c r="AP132" s="300">
        <f t="shared" si="62"/>
        <v>1.0052915652471681</v>
      </c>
    </row>
    <row r="133" spans="1:42">
      <c r="A133" s="198">
        <v>1978</v>
      </c>
      <c r="B133" s="1162">
        <f>TableUK1!D134</f>
        <v>619.89485655737712</v>
      </c>
      <c r="C133" s="959">
        <f t="shared" si="71"/>
        <v>1999.1569643374451</v>
      </c>
      <c r="D133" s="391">
        <f t="shared" si="72"/>
        <v>2.1169000280523154E-2</v>
      </c>
      <c r="E133" s="390">
        <f t="shared" si="49"/>
        <v>6.9344753996004593E-2</v>
      </c>
      <c r="F133" s="1372">
        <f>TableUK6a!M133</f>
        <v>3.2249936310810545</v>
      </c>
      <c r="G133" s="365">
        <f>TableUK12c!B149</f>
        <v>8.7547805530836686E-2</v>
      </c>
      <c r="H133" s="365">
        <f t="shared" si="73"/>
        <v>2.7846965973892523E-2</v>
      </c>
      <c r="I133" s="365">
        <f t="shared" si="40"/>
        <v>0</v>
      </c>
      <c r="J133" s="391">
        <f t="shared" si="50"/>
        <v>4.0373508309958117E-2</v>
      </c>
      <c r="K133" s="390">
        <f t="shared" si="66"/>
        <v>6.4648791419412488E-2</v>
      </c>
      <c r="L133" s="308">
        <f>TableUK6g!O60</f>
        <v>3.8909314095957805</v>
      </c>
      <c r="M133" s="365">
        <f>TableUK12c!B149</f>
        <v>8.7547805530836686E-2</v>
      </c>
      <c r="N133" s="365">
        <f t="shared" si="74"/>
        <v>2.2979564437507906E-2</v>
      </c>
      <c r="O133" s="365">
        <f t="shared" si="42"/>
        <v>0</v>
      </c>
      <c r="P133" s="391">
        <f t="shared" si="51"/>
        <v>4.073319588237978E-2</v>
      </c>
      <c r="Q133" s="390">
        <f t="shared" si="75"/>
        <v>6.4929839755367036E-2</v>
      </c>
      <c r="R133" s="308">
        <f>TableUK6b!J18</f>
        <v>5.4657339879944375</v>
      </c>
      <c r="S133" s="365">
        <f>TableUK12c!B149</f>
        <v>8.7547805530836686E-2</v>
      </c>
      <c r="T133" s="365">
        <f t="shared" si="76"/>
        <v>1.6362946385264521E-2</v>
      </c>
      <c r="U133" s="365">
        <f t="shared" si="81"/>
        <v>4.7784990138446615E-2</v>
      </c>
      <c r="V133" s="2093">
        <f>TableUK5a!Q133</f>
        <v>0</v>
      </c>
      <c r="W133" s="365"/>
      <c r="X133" s="365"/>
      <c r="Y133" s="365"/>
      <c r="Z133" s="376">
        <f t="shared" si="77"/>
        <v>5.320168882532859</v>
      </c>
      <c r="AA133" s="377">
        <f t="shared" si="78"/>
        <v>1.669E-2</v>
      </c>
      <c r="AB133" s="378">
        <f t="shared" si="79"/>
        <v>5.2362933556175122</v>
      </c>
      <c r="AC133" s="379">
        <f t="shared" si="80"/>
        <v>1.4552300000000001E-2</v>
      </c>
      <c r="AF133" s="300">
        <f t="shared" si="67"/>
        <v>1.0693447539960046</v>
      </c>
      <c r="AG133" s="300">
        <f t="shared" si="68"/>
        <v>1.0278469659738925</v>
      </c>
      <c r="AH133" s="300">
        <f t="shared" si="52"/>
        <v>1</v>
      </c>
      <c r="AI133" s="300">
        <f t="shared" si="69"/>
        <v>1.0403735083099581</v>
      </c>
      <c r="AJ133" s="300">
        <f t="shared" si="70"/>
        <v>1.0646487914194125</v>
      </c>
      <c r="AK133" s="300">
        <f t="shared" si="47"/>
        <v>1.0229795644375079</v>
      </c>
      <c r="AL133" s="300">
        <f t="shared" si="53"/>
        <v>1</v>
      </c>
      <c r="AM133" s="300">
        <f t="shared" si="48"/>
        <v>1.0407331958823798</v>
      </c>
      <c r="AN133" s="366">
        <f t="shared" si="60"/>
        <v>1.064929839755367</v>
      </c>
      <c r="AO133" s="300">
        <f t="shared" si="61"/>
        <v>1.0163629463852646</v>
      </c>
      <c r="AP133" s="300">
        <f t="shared" si="62"/>
        <v>1.0477849901384466</v>
      </c>
    </row>
    <row r="134" spans="1:42" ht="12.75" customHeight="1">
      <c r="A134" s="214">
        <v>1979</v>
      </c>
      <c r="B134" s="1163">
        <f>TableUK1!D135</f>
        <v>632.30740143369189</v>
      </c>
      <c r="C134" s="1171">
        <f t="shared" si="71"/>
        <v>2178.5222834217848</v>
      </c>
      <c r="D134" s="1172">
        <f t="shared" si="72"/>
        <v>2.0023629402651455E-2</v>
      </c>
      <c r="E134" s="1181">
        <f t="shared" si="49"/>
        <v>8.972047832361385E-2</v>
      </c>
      <c r="F134" s="1381">
        <f>TableUK6a!M134</f>
        <v>3.4453531280548191</v>
      </c>
      <c r="G134" s="1184">
        <f>TableUK12c!B150</f>
        <v>7.8119336318885013E-2</v>
      </c>
      <c r="H134" s="1184">
        <f t="shared" si="73"/>
        <v>2.7146659976965495E-2</v>
      </c>
      <c r="I134" s="1184">
        <f t="shared" si="40"/>
        <v>0</v>
      </c>
      <c r="J134" s="1172">
        <f t="shared" si="50"/>
        <v>6.0920042662701901E-2</v>
      </c>
      <c r="K134" s="1181">
        <f t="shared" si="66"/>
        <v>8.2066696327726341E-2</v>
      </c>
      <c r="L134" s="550">
        <f>TableUK6g!O61</f>
        <v>4.127597807204431</v>
      </c>
      <c r="M134" s="1184">
        <f>TableUK12c!B150</f>
        <v>7.8119336318885013E-2</v>
      </c>
      <c r="N134" s="1184">
        <f t="shared" si="74"/>
        <v>2.2500475159990502E-2</v>
      </c>
      <c r="O134" s="1184">
        <f t="shared" si="42"/>
        <v>0</v>
      </c>
      <c r="P134" s="1172">
        <f t="shared" si="51"/>
        <v>5.8255445953133256E-2</v>
      </c>
      <c r="Q134" s="1181">
        <f t="shared" si="75"/>
        <v>7.9690477884771571E-2</v>
      </c>
      <c r="R134" s="550">
        <f>TableUK6b!J19</f>
        <v>5.7854551319999192</v>
      </c>
      <c r="S134" s="1184">
        <f>TableUK12c!B150</f>
        <v>7.8119336318885013E-2</v>
      </c>
      <c r="T134" s="1184">
        <f t="shared" si="76"/>
        <v>1.6017575264939108E-2</v>
      </c>
      <c r="U134" s="1184">
        <f t="shared" si="81"/>
        <v>6.266909566326051E-2</v>
      </c>
      <c r="V134" s="2092">
        <f>TableUK5a!Q134</f>
        <v>0</v>
      </c>
      <c r="W134" s="365"/>
      <c r="X134" s="365"/>
      <c r="Y134" s="365"/>
      <c r="Z134" s="376">
        <f t="shared" si="77"/>
        <v>5.3900432510639122</v>
      </c>
      <c r="AA134" s="377">
        <f t="shared" si="78"/>
        <v>1.669E-2</v>
      </c>
      <c r="AB134" s="378">
        <f t="shared" si="79"/>
        <v>5.2952844808515449</v>
      </c>
      <c r="AC134" s="379">
        <f t="shared" si="80"/>
        <v>1.4552300000000001E-2</v>
      </c>
      <c r="AF134" s="300">
        <f t="shared" si="67"/>
        <v>1.0897204783236139</v>
      </c>
      <c r="AG134" s="300">
        <f t="shared" si="68"/>
        <v>1.0271466599769654</v>
      </c>
      <c r="AH134" s="300">
        <f t="shared" si="52"/>
        <v>1</v>
      </c>
      <c r="AI134" s="300">
        <f t="shared" si="69"/>
        <v>1.0609200426627019</v>
      </c>
      <c r="AJ134" s="300">
        <f t="shared" si="70"/>
        <v>1.0820666963277263</v>
      </c>
      <c r="AK134" s="300">
        <f t="shared" si="47"/>
        <v>1.0225004751599904</v>
      </c>
      <c r="AL134" s="300">
        <f t="shared" si="53"/>
        <v>1</v>
      </c>
      <c r="AM134" s="300">
        <f t="shared" si="48"/>
        <v>1.0582554459531333</v>
      </c>
      <c r="AN134" s="366">
        <f t="shared" si="60"/>
        <v>1.0796904778847716</v>
      </c>
      <c r="AO134" s="300">
        <f t="shared" si="61"/>
        <v>1.0160175752649392</v>
      </c>
      <c r="AP134" s="300">
        <f t="shared" si="62"/>
        <v>1.0626690956632605</v>
      </c>
    </row>
    <row r="135" spans="1:42">
      <c r="A135" s="198">
        <v>1980</v>
      </c>
      <c r="B135" s="1162">
        <f>TableUK1!D136</f>
        <v>616.981766467066</v>
      </c>
      <c r="C135" s="959">
        <f t="shared" si="71"/>
        <v>2132.2263847674189</v>
      </c>
      <c r="D135" s="391">
        <f t="shared" si="72"/>
        <v>-2.4237633359781352E-2</v>
      </c>
      <c r="E135" s="390">
        <f t="shared" si="49"/>
        <v>-2.1251055821953302E-2</v>
      </c>
      <c r="F135" s="1372">
        <f>TableUK6a!M135</f>
        <v>3.455898538099238</v>
      </c>
      <c r="G135" s="365">
        <f>TableUK12c!B151</f>
        <v>5.5366200449746376E-2</v>
      </c>
      <c r="H135" s="365">
        <f t="shared" si="73"/>
        <v>2.2673825705346408E-2</v>
      </c>
      <c r="I135" s="365">
        <f t="shared" si="40"/>
        <v>0</v>
      </c>
      <c r="J135" s="391">
        <f t="shared" si="50"/>
        <v>-4.2951017639475064E-2</v>
      </c>
      <c r="K135" s="390">
        <f t="shared" si="66"/>
        <v>-1.7395225782159573E-2</v>
      </c>
      <c r="L135" s="308">
        <f>TableUK6g!O62</f>
        <v>4.1565420537535545</v>
      </c>
      <c r="M135" s="365">
        <f>TableUK12c!B151</f>
        <v>5.5366200449746376E-2</v>
      </c>
      <c r="N135" s="365">
        <f t="shared" si="74"/>
        <v>1.8926101807335304E-2</v>
      </c>
      <c r="O135" s="365">
        <f t="shared" si="42"/>
        <v>0</v>
      </c>
      <c r="P135" s="391">
        <f t="shared" si="51"/>
        <v>-3.5646674989549543E-2</v>
      </c>
      <c r="Q135" s="390">
        <f t="shared" si="75"/>
        <v>-2.2187462944924241E-2</v>
      </c>
      <c r="R135" s="308">
        <f>TableUK6b!J20</f>
        <v>5.7976109286914337</v>
      </c>
      <c r="S135" s="365">
        <f>TableUK12c!B151</f>
        <v>5.5366200449746376E-2</v>
      </c>
      <c r="T135" s="365">
        <f t="shared" si="76"/>
        <v>1.350271232539672E-2</v>
      </c>
      <c r="U135" s="365">
        <f t="shared" si="81"/>
        <v>-3.5214681555644667E-2</v>
      </c>
      <c r="V135" s="2093">
        <f>TableUK5a!Q135</f>
        <v>0</v>
      </c>
      <c r="W135" s="365"/>
      <c r="X135" s="365"/>
      <c r="Y135" s="365"/>
      <c r="Z135" s="376">
        <f t="shared" si="77"/>
        <v>5.6975206372312153</v>
      </c>
      <c r="AA135" s="377">
        <f t="shared" si="78"/>
        <v>1.669E-2</v>
      </c>
      <c r="AB135" s="378">
        <f t="shared" si="79"/>
        <v>5.5870152282160541</v>
      </c>
      <c r="AC135" s="379">
        <f t="shared" si="80"/>
        <v>1.4552300000000001E-2</v>
      </c>
      <c r="AF135" s="300">
        <f t="shared" si="67"/>
        <v>0.9787489441780467</v>
      </c>
      <c r="AG135" s="300">
        <f t="shared" si="68"/>
        <v>1.0226738257053465</v>
      </c>
      <c r="AH135" s="300">
        <f t="shared" si="52"/>
        <v>1</v>
      </c>
      <c r="AI135" s="300">
        <f t="shared" si="69"/>
        <v>0.95704898236052494</v>
      </c>
      <c r="AJ135" s="300">
        <f t="shared" si="70"/>
        <v>0.98260477421784043</v>
      </c>
      <c r="AK135" s="300">
        <f t="shared" si="47"/>
        <v>1.0189261018073352</v>
      </c>
      <c r="AL135" s="300">
        <f t="shared" si="53"/>
        <v>1</v>
      </c>
      <c r="AM135" s="300">
        <f t="shared" si="48"/>
        <v>0.96435332501045046</v>
      </c>
      <c r="AN135" s="366">
        <f t="shared" si="60"/>
        <v>0.97781253705507576</v>
      </c>
      <c r="AO135" s="300">
        <f t="shared" si="61"/>
        <v>1.0135027123253968</v>
      </c>
      <c r="AP135" s="300">
        <f t="shared" si="62"/>
        <v>0.96478531844435533</v>
      </c>
    </row>
    <row r="136" spans="1:42">
      <c r="A136" s="198">
        <v>1981</v>
      </c>
      <c r="B136" s="1162">
        <f>TableUK1!D137</f>
        <v>606.53541666666649</v>
      </c>
      <c r="C136" s="959">
        <f t="shared" si="71"/>
        <v>2123.7608764104361</v>
      </c>
      <c r="D136" s="391">
        <f t="shared" si="72"/>
        <v>-1.6931375233691148E-2</v>
      </c>
      <c r="E136" s="390">
        <f t="shared" si="49"/>
        <v>-3.9702671430482672E-3</v>
      </c>
      <c r="F136" s="1372">
        <f>TableUK6a!M136</f>
        <v>3.5014622692306703</v>
      </c>
      <c r="G136" s="365">
        <f>TableUK12c!B152</f>
        <v>4.5210040983606523E-2</v>
      </c>
      <c r="H136" s="365">
        <f t="shared" si="73"/>
        <v>1.6020782971307389E-2</v>
      </c>
      <c r="I136" s="365">
        <f t="shared" si="40"/>
        <v>0</v>
      </c>
      <c r="J136" s="391">
        <f t="shared" si="50"/>
        <v>-1.9675827945067059E-2</v>
      </c>
      <c r="K136" s="390">
        <f t="shared" si="66"/>
        <v>-2.6530208781536668E-3</v>
      </c>
      <c r="L136" s="308">
        <f>TableUK6g!O63</f>
        <v>4.2169127937426314</v>
      </c>
      <c r="M136" s="365">
        <f>TableUK12c!B152</f>
        <v>4.5210040983606523E-2</v>
      </c>
      <c r="N136" s="365">
        <f t="shared" si="74"/>
        <v>1.3320255090345609E-2</v>
      </c>
      <c r="O136" s="365">
        <f t="shared" si="42"/>
        <v>0</v>
      </c>
      <c r="P136" s="391">
        <f t="shared" si="51"/>
        <v>-1.5763304728449334E-2</v>
      </c>
      <c r="Q136" s="390">
        <f t="shared" si="75"/>
        <v>-4.3424932764587476E-3</v>
      </c>
      <c r="R136" s="308">
        <f>TableUK6b!J21</f>
        <v>5.8718533953682712</v>
      </c>
      <c r="S136" s="365">
        <f>TableUK12c!B152</f>
        <v>4.5210040983606523E-2</v>
      </c>
      <c r="T136" s="365">
        <f t="shared" si="76"/>
        <v>9.5498302888432987E-3</v>
      </c>
      <c r="U136" s="365">
        <f t="shared" si="81"/>
        <v>-1.3760909217653272E-2</v>
      </c>
      <c r="V136" s="2093">
        <f>TableUK5a!Q136</f>
        <v>0</v>
      </c>
      <c r="W136" s="365"/>
      <c r="X136" s="365"/>
      <c r="Y136" s="365"/>
      <c r="Z136" s="376">
        <f t="shared" si="77"/>
        <v>5.949638073732884</v>
      </c>
      <c r="AA136" s="377">
        <f t="shared" si="78"/>
        <v>1.669E-2</v>
      </c>
      <c r="AB136" s="378">
        <f t="shared" si="79"/>
        <v>5.8230838740184359</v>
      </c>
      <c r="AC136" s="379">
        <f t="shared" si="80"/>
        <v>1.4552300000000001E-2</v>
      </c>
      <c r="AF136" s="300">
        <f t="shared" si="67"/>
        <v>0.99602973285695173</v>
      </c>
      <c r="AG136" s="300">
        <f t="shared" si="68"/>
        <v>1.0160207829713075</v>
      </c>
      <c r="AH136" s="300">
        <f t="shared" si="52"/>
        <v>1</v>
      </c>
      <c r="AI136" s="300">
        <f t="shared" si="69"/>
        <v>0.98032417205493294</v>
      </c>
      <c r="AJ136" s="300">
        <f t="shared" si="70"/>
        <v>0.99734697912184633</v>
      </c>
      <c r="AK136" s="300">
        <f t="shared" si="47"/>
        <v>1.0133202550903455</v>
      </c>
      <c r="AL136" s="300">
        <f t="shared" si="53"/>
        <v>1</v>
      </c>
      <c r="AM136" s="300">
        <f t="shared" si="48"/>
        <v>0.98423669527155067</v>
      </c>
      <c r="AN136" s="366">
        <f t="shared" si="60"/>
        <v>0.99565750672354125</v>
      </c>
      <c r="AO136" s="300">
        <f t="shared" si="61"/>
        <v>1.0095498302888433</v>
      </c>
      <c r="AP136" s="300">
        <f t="shared" si="62"/>
        <v>0.98623909078234673</v>
      </c>
    </row>
    <row r="137" spans="1:42">
      <c r="A137" s="198">
        <v>1982</v>
      </c>
      <c r="B137" s="1162">
        <f>TableUK1!D138</f>
        <v>624.49619047619046</v>
      </c>
      <c r="C137" s="959">
        <f t="shared" si="71"/>
        <v>2193.5648763322047</v>
      </c>
      <c r="D137" s="391">
        <f t="shared" si="72"/>
        <v>2.9612077573690332E-2</v>
      </c>
      <c r="E137" s="390">
        <f t="shared" si="49"/>
        <v>3.2868107091110099E-2</v>
      </c>
      <c r="F137" s="1372">
        <f>TableUK6a!M137</f>
        <v>3.5125352400621837</v>
      </c>
      <c r="G137" s="365">
        <f>TableUK12c!B153</f>
        <v>4.3193799620025425E-2</v>
      </c>
      <c r="H137" s="365">
        <f t="shared" si="73"/>
        <v>1.2911760146865705E-2</v>
      </c>
      <c r="I137" s="365">
        <f t="shared" si="40"/>
        <v>0</v>
      </c>
      <c r="J137" s="391">
        <f t="shared" si="50"/>
        <v>1.9701959962781679E-2</v>
      </c>
      <c r="K137" s="390">
        <f t="shared" si="66"/>
        <v>2.4422429523202505E-2</v>
      </c>
      <c r="L137" s="308">
        <f>TableUK6g!O64</f>
        <v>4.195657901986996</v>
      </c>
      <c r="M137" s="365">
        <f>TableUK12c!B153</f>
        <v>4.3193799620025425E-2</v>
      </c>
      <c r="N137" s="365">
        <f t="shared" si="74"/>
        <v>1.07211230572974E-2</v>
      </c>
      <c r="O137" s="365">
        <f t="shared" si="42"/>
        <v>0</v>
      </c>
      <c r="P137" s="391">
        <f t="shared" si="51"/>
        <v>1.3555971230185149E-2</v>
      </c>
      <c r="Q137" s="390">
        <f t="shared" si="75"/>
        <v>1.7851684994401706E-2</v>
      </c>
      <c r="R137" s="308">
        <f>TableUK6b!J22</f>
        <v>5.8047841538532623</v>
      </c>
      <c r="S137" s="365">
        <f>TableUK12c!B153</f>
        <v>4.3193799620025425E-2</v>
      </c>
      <c r="T137" s="365">
        <f t="shared" si="76"/>
        <v>7.6994498907735484E-3</v>
      </c>
      <c r="U137" s="365">
        <f t="shared" si="81"/>
        <v>1.0074665719752574E-2</v>
      </c>
      <c r="V137" s="2093">
        <f>TableUK5a!Q137</f>
        <v>0</v>
      </c>
      <c r="W137" s="365"/>
      <c r="X137" s="365"/>
      <c r="Y137" s="365"/>
      <c r="Z137" s="376">
        <f t="shared" si="77"/>
        <v>5.9196101740705265</v>
      </c>
      <c r="AA137" s="377">
        <f t="shared" si="78"/>
        <v>1.669E-2</v>
      </c>
      <c r="AB137" s="378">
        <f t="shared" si="79"/>
        <v>5.7824604219594695</v>
      </c>
      <c r="AC137" s="379">
        <f t="shared" si="80"/>
        <v>1.4552300000000001E-2</v>
      </c>
      <c r="AF137" s="300">
        <f t="shared" si="67"/>
        <v>1.0328681070911101</v>
      </c>
      <c r="AG137" s="300">
        <f t="shared" si="68"/>
        <v>1.0129117601468658</v>
      </c>
      <c r="AH137" s="300">
        <f t="shared" si="52"/>
        <v>1</v>
      </c>
      <c r="AI137" s="300">
        <f t="shared" si="69"/>
        <v>1.0197019599627817</v>
      </c>
      <c r="AJ137" s="300">
        <f t="shared" si="70"/>
        <v>1.0244224295232025</v>
      </c>
      <c r="AK137" s="300">
        <f t="shared" si="47"/>
        <v>1.0107211230572974</v>
      </c>
      <c r="AL137" s="300">
        <f t="shared" si="53"/>
        <v>1</v>
      </c>
      <c r="AM137" s="300">
        <f t="shared" si="48"/>
        <v>1.0135559712301851</v>
      </c>
      <c r="AN137" s="366">
        <f t="shared" si="60"/>
        <v>1.0178516849944017</v>
      </c>
      <c r="AO137" s="300">
        <f t="shared" si="61"/>
        <v>1.0076994498907736</v>
      </c>
      <c r="AP137" s="300">
        <f t="shared" si="62"/>
        <v>1.0100746657197526</v>
      </c>
    </row>
    <row r="138" spans="1:42">
      <c r="A138" s="198">
        <v>1983</v>
      </c>
      <c r="B138" s="1162">
        <f>TableUK1!D139</f>
        <v>654.23205463182899</v>
      </c>
      <c r="C138" s="959">
        <f t="shared" si="71"/>
        <v>2310.2759049539127</v>
      </c>
      <c r="D138" s="391">
        <f t="shared" si="72"/>
        <v>4.761576549084201E-2</v>
      </c>
      <c r="E138" s="390">
        <f t="shared" si="49"/>
        <v>5.320609838394974E-2</v>
      </c>
      <c r="F138" s="1372">
        <f>TableUK6a!M138</f>
        <v>3.5312789836536322</v>
      </c>
      <c r="G138" s="365">
        <f>TableUK12c!B154</f>
        <v>5.0570212118908275E-2</v>
      </c>
      <c r="H138" s="365">
        <f t="shared" si="73"/>
        <v>1.2297043778345338E-2</v>
      </c>
      <c r="I138" s="365">
        <f t="shared" si="40"/>
        <v>0</v>
      </c>
      <c r="J138" s="391">
        <f t="shared" si="50"/>
        <v>4.0412105179042479E-2</v>
      </c>
      <c r="K138" s="390">
        <f t="shared" si="66"/>
        <v>4.5353984235403821E-2</v>
      </c>
      <c r="L138" s="308">
        <f>TableUK6g!O65</f>
        <v>4.1865995614106692</v>
      </c>
      <c r="M138" s="365">
        <f>TableUK12c!B154</f>
        <v>5.0570212118908275E-2</v>
      </c>
      <c r="N138" s="365">
        <f t="shared" si="74"/>
        <v>1.0294881191235715E-2</v>
      </c>
      <c r="O138" s="365">
        <f t="shared" si="42"/>
        <v>0</v>
      </c>
      <c r="P138" s="391">
        <f t="shared" si="51"/>
        <v>3.4701851604781009E-2</v>
      </c>
      <c r="Q138" s="390">
        <f t="shared" si="75"/>
        <v>2.8215335052543145E-2</v>
      </c>
      <c r="R138" s="308">
        <f>TableUK6b!J23</f>
        <v>5.697287383667291</v>
      </c>
      <c r="S138" s="365">
        <f>TableUK12c!B154</f>
        <v>5.0570212118908275E-2</v>
      </c>
      <c r="T138" s="365">
        <f t="shared" si="76"/>
        <v>7.4410690346432664E-3</v>
      </c>
      <c r="U138" s="365">
        <f t="shared" si="81"/>
        <v>2.0620825035261081E-2</v>
      </c>
      <c r="V138" s="2093">
        <f>TableUK5a!Q138</f>
        <v>0</v>
      </c>
      <c r="W138" s="365"/>
      <c r="X138" s="365"/>
      <c r="Y138" s="365"/>
      <c r="Z138" s="376">
        <f t="shared" si="77"/>
        <v>5.786781157470509</v>
      </c>
      <c r="AA138" s="377">
        <f t="shared" si="78"/>
        <v>1.669E-2</v>
      </c>
      <c r="AB138" s="378">
        <f t="shared" si="79"/>
        <v>5.6417926153860032</v>
      </c>
      <c r="AC138" s="379">
        <f t="shared" si="80"/>
        <v>1.4552300000000001E-2</v>
      </c>
      <c r="AF138" s="300">
        <f t="shared" si="67"/>
        <v>1.0532060983839497</v>
      </c>
      <c r="AG138" s="300">
        <f t="shared" si="68"/>
        <v>1.0122970437783454</v>
      </c>
      <c r="AH138" s="300">
        <f t="shared" si="52"/>
        <v>1</v>
      </c>
      <c r="AI138" s="300">
        <f t="shared" si="69"/>
        <v>1.0404121051790425</v>
      </c>
      <c r="AJ138" s="300">
        <f t="shared" si="70"/>
        <v>1.0453539842354038</v>
      </c>
      <c r="AK138" s="300">
        <f t="shared" si="47"/>
        <v>1.0102948811912358</v>
      </c>
      <c r="AL138" s="300">
        <f t="shared" si="53"/>
        <v>1</v>
      </c>
      <c r="AM138" s="300">
        <f t="shared" si="48"/>
        <v>1.034701851604781</v>
      </c>
      <c r="AN138" s="366">
        <f t="shared" ref="AN138:AN165" si="82">1+Q138</f>
        <v>1.0282153350525431</v>
      </c>
      <c r="AO138" s="300">
        <f t="shared" ref="AO138:AO165" si="83">1+T138</f>
        <v>1.0074410690346434</v>
      </c>
      <c r="AP138" s="300">
        <f t="shared" ref="AP138:AP165" si="84">1+U138</f>
        <v>1.0206208250352611</v>
      </c>
    </row>
    <row r="139" spans="1:42">
      <c r="A139" s="198">
        <v>1984</v>
      </c>
      <c r="B139" s="1162">
        <f>TableUK1!D140</f>
        <v>673.74538548752832</v>
      </c>
      <c r="C139" s="959">
        <f t="shared" si="71"/>
        <v>2460.4560289784017</v>
      </c>
      <c r="D139" s="391">
        <f t="shared" ref="D139:D165" si="85">B139/B138-1</f>
        <v>2.9826314252793029E-2</v>
      </c>
      <c r="E139" s="390">
        <f t="shared" si="49"/>
        <v>6.5005276513709243E-2</v>
      </c>
      <c r="F139" s="1372">
        <f>TableUK6a!M139</f>
        <v>3.6519078007458159</v>
      </c>
      <c r="G139" s="365">
        <f>TableUK12c!B155</f>
        <v>5.311721139059266E-2</v>
      </c>
      <c r="H139" s="365">
        <f t="shared" ref="H139:H165" si="86">G138/F138</f>
        <v>1.4320650493206256E-2</v>
      </c>
      <c r="I139" s="365">
        <f t="shared" ref="I139:I165" si="87">V139/F139</f>
        <v>0</v>
      </c>
      <c r="J139" s="391">
        <f t="shared" si="50"/>
        <v>4.9969036907469011E-2</v>
      </c>
      <c r="K139" s="390">
        <f t="shared" ref="K139:K165" si="88">(1+D139)*(L139/L138)-1</f>
        <v>4.765261394256437E-2</v>
      </c>
      <c r="L139" s="308">
        <f>TableUK6g!O66</f>
        <v>4.2590696249834012</v>
      </c>
      <c r="M139" s="365">
        <f>TableUK12c!B155</f>
        <v>5.311721139059266E-2</v>
      </c>
      <c r="N139" s="365">
        <f t="shared" si="74"/>
        <v>1.2079065928595452E-2</v>
      </c>
      <c r="O139" s="365">
        <f t="shared" ref="O139:O165" si="89">V139/L139</f>
        <v>0</v>
      </c>
      <c r="P139" s="391">
        <f t="shared" si="51"/>
        <v>3.5148981153295233E-2</v>
      </c>
      <c r="Q139" s="390">
        <f t="shared" si="75"/>
        <v>3.0626300328078448E-2</v>
      </c>
      <c r="R139" s="308">
        <f>TableUK6b!J24</f>
        <v>5.7017131305245563</v>
      </c>
      <c r="S139" s="365">
        <f>TableUK12c!B155</f>
        <v>5.311721139059266E-2</v>
      </c>
      <c r="T139" s="365">
        <f t="shared" si="76"/>
        <v>8.8761911965123119E-3</v>
      </c>
      <c r="U139" s="365">
        <f t="shared" si="81"/>
        <v>2.1558749548614919E-2</v>
      </c>
      <c r="V139" s="2093">
        <f>TableUK5a!Q139</f>
        <v>0</v>
      </c>
      <c r="W139" s="365"/>
      <c r="X139" s="365"/>
      <c r="Y139" s="365"/>
      <c r="Z139" s="376">
        <f t="shared" si="77"/>
        <v>5.7628909669626545</v>
      </c>
      <c r="AA139" s="377">
        <f t="shared" si="78"/>
        <v>1.669E-2</v>
      </c>
      <c r="AB139" s="378">
        <f t="shared" si="79"/>
        <v>5.6079357452328269</v>
      </c>
      <c r="AC139" s="379">
        <f t="shared" si="80"/>
        <v>1.4552300000000001E-2</v>
      </c>
      <c r="AF139" s="300">
        <f t="shared" ref="AF139:AF165" si="90">1+E139</f>
        <v>1.0650052765137092</v>
      </c>
      <c r="AG139" s="300">
        <f t="shared" ref="AG139:AG165" si="91">1+H139</f>
        <v>1.0143206504932063</v>
      </c>
      <c r="AH139" s="300">
        <f t="shared" si="52"/>
        <v>1</v>
      </c>
      <c r="AI139" s="300">
        <f t="shared" ref="AI139:AI165" si="92">1+J139</f>
        <v>1.049969036907469</v>
      </c>
      <c r="AJ139" s="300">
        <f t="shared" ref="AJ139:AJ165" si="93">1+K139</f>
        <v>1.0476526139425644</v>
      </c>
      <c r="AK139" s="300">
        <f t="shared" ref="AK139:AK164" si="94">1+N139</f>
        <v>1.0120790659285954</v>
      </c>
      <c r="AL139" s="300">
        <f t="shared" si="53"/>
        <v>1</v>
      </c>
      <c r="AM139" s="300">
        <f t="shared" ref="AM139:AM165" si="95">1+P139</f>
        <v>1.0351489811532952</v>
      </c>
      <c r="AN139" s="366">
        <f t="shared" si="82"/>
        <v>1.0306263003280784</v>
      </c>
      <c r="AO139" s="300">
        <f t="shared" si="83"/>
        <v>1.0088761911965123</v>
      </c>
      <c r="AP139" s="300">
        <f t="shared" si="84"/>
        <v>1.0215587495486149</v>
      </c>
    </row>
    <row r="140" spans="1:42">
      <c r="A140" s="198">
        <v>1985</v>
      </c>
      <c r="B140" s="1162">
        <f>TableUK1!D141</f>
        <v>696.42971030042918</v>
      </c>
      <c r="C140" s="959">
        <f t="shared" si="71"/>
        <v>2601.8416907918618</v>
      </c>
      <c r="D140" s="391">
        <f t="shared" si="85"/>
        <v>3.3668987278460127E-2</v>
      </c>
      <c r="E140" s="390">
        <f t="shared" ref="E140:E165" si="96">(F140/F139)*(1+D140)-1</f>
        <v>5.7463193874740304E-2</v>
      </c>
      <c r="F140" s="1372">
        <f>TableUK6a!M140</f>
        <v>3.7359717029726758</v>
      </c>
      <c r="G140" s="365">
        <f>TableUK12c!B156</f>
        <v>5.7202923863121799E-2</v>
      </c>
      <c r="H140" s="365">
        <f t="shared" si="86"/>
        <v>1.4545058169251897E-2</v>
      </c>
      <c r="I140" s="365">
        <f t="shared" si="87"/>
        <v>0</v>
      </c>
      <c r="J140" s="391">
        <f t="shared" ref="J140:J165" si="97">(1+E140)/((1+H140)*(1+I139))-1</f>
        <v>4.2302838459372438E-2</v>
      </c>
      <c r="K140" s="390">
        <f t="shared" si="88"/>
        <v>4.1762176274407148E-2</v>
      </c>
      <c r="L140" s="308">
        <f>TableUK6g!O67</f>
        <v>4.2924163305981669</v>
      </c>
      <c r="M140" s="365">
        <f>TableUK12c!B156</f>
        <v>5.7202923863121799E-2</v>
      </c>
      <c r="N140" s="365">
        <f t="shared" si="74"/>
        <v>1.24715527257434E-2</v>
      </c>
      <c r="O140" s="365">
        <f t="shared" si="89"/>
        <v>0</v>
      </c>
      <c r="P140" s="391">
        <f t="shared" ref="P140:P165" si="98">(1+K140)/((1+N140)*(1+O139))-1</f>
        <v>2.8929823726709714E-2</v>
      </c>
      <c r="Q140" s="390">
        <f t="shared" si="75"/>
        <v>2.300812402897634E-2</v>
      </c>
      <c r="R140" s="308">
        <f>TableUK6b!J25</f>
        <v>5.6429078604425449</v>
      </c>
      <c r="S140" s="365">
        <f>TableUK12c!B156</f>
        <v>5.7202923863121799E-2</v>
      </c>
      <c r="T140" s="365">
        <f t="shared" ref="T140:T165" si="99">S139/R139</f>
        <v>9.3160090966740525E-3</v>
      </c>
      <c r="U140" s="365">
        <f t="shared" si="81"/>
        <v>1.3565736408517548E-2</v>
      </c>
      <c r="V140" s="2093">
        <f>TableUK5a!Q140</f>
        <v>0</v>
      </c>
      <c r="W140" s="365"/>
      <c r="X140" s="365"/>
      <c r="Y140" s="365"/>
      <c r="Z140" s="376">
        <f t="shared" si="77"/>
        <v>5.7204747628333745</v>
      </c>
      <c r="AA140" s="377">
        <f t="shared" si="78"/>
        <v>1.669E-2</v>
      </c>
      <c r="AB140" s="378">
        <f t="shared" si="79"/>
        <v>5.5563573718951744</v>
      </c>
      <c r="AC140" s="379">
        <f t="shared" si="80"/>
        <v>1.4552300000000001E-2</v>
      </c>
      <c r="AF140" s="300">
        <f t="shared" si="90"/>
        <v>1.0574631938747403</v>
      </c>
      <c r="AG140" s="300">
        <f t="shared" si="91"/>
        <v>1.0145450581692519</v>
      </c>
      <c r="AH140" s="300">
        <f t="shared" ref="AH140:AH165" si="100">1+I139</f>
        <v>1</v>
      </c>
      <c r="AI140" s="300">
        <f t="shared" si="92"/>
        <v>1.0423028384593724</v>
      </c>
      <c r="AJ140" s="300">
        <f t="shared" si="93"/>
        <v>1.0417621762744071</v>
      </c>
      <c r="AK140" s="300">
        <f t="shared" si="94"/>
        <v>1.0124715527257433</v>
      </c>
      <c r="AL140" s="300">
        <f t="shared" ref="AL140:AL165" si="101">1+O139</f>
        <v>1</v>
      </c>
      <c r="AM140" s="300">
        <f t="shared" si="95"/>
        <v>1.0289298237267097</v>
      </c>
      <c r="AN140" s="366">
        <f t="shared" si="82"/>
        <v>1.0230081240289763</v>
      </c>
      <c r="AO140" s="300">
        <f t="shared" si="83"/>
        <v>1.009316009096674</v>
      </c>
      <c r="AP140" s="300">
        <f t="shared" si="84"/>
        <v>1.0135657364085175</v>
      </c>
    </row>
    <row r="141" spans="1:42">
      <c r="A141" s="198">
        <v>1986</v>
      </c>
      <c r="B141" s="1162">
        <f>TableUK1!D142</f>
        <v>728.70192360995838</v>
      </c>
      <c r="C141" s="959">
        <f t="shared" si="71"/>
        <v>2890.557365512655</v>
      </c>
      <c r="D141" s="391">
        <f t="shared" si="85"/>
        <v>4.6339512562735719E-2</v>
      </c>
      <c r="E141" s="390">
        <f t="shared" si="96"/>
        <v>0.11096588840996069</v>
      </c>
      <c r="F141" s="1372">
        <f>TableUK6a!M141</f>
        <v>3.9667211954003863</v>
      </c>
      <c r="G141" s="365">
        <f>TableUK12c!B157</f>
        <v>4.5921614442495623E-2</v>
      </c>
      <c r="H141" s="365">
        <f t="shared" si="86"/>
        <v>1.5311391094746782E-2</v>
      </c>
      <c r="I141" s="365">
        <f t="shared" si="87"/>
        <v>0</v>
      </c>
      <c r="J141" s="391">
        <f t="shared" si="97"/>
        <v>9.4211980830900988E-2</v>
      </c>
      <c r="K141" s="390">
        <f t="shared" si="88"/>
        <v>9.6082001535982231E-2</v>
      </c>
      <c r="L141" s="308">
        <f>TableUK6g!O68</f>
        <v>4.4964757868547807</v>
      </c>
      <c r="M141" s="365">
        <f>TableUK12c!B157</f>
        <v>4.5921614442495623E-2</v>
      </c>
      <c r="N141" s="365">
        <f t="shared" si="74"/>
        <v>1.332650876741733E-2</v>
      </c>
      <c r="O141" s="365">
        <f t="shared" si="89"/>
        <v>0</v>
      </c>
      <c r="P141" s="391">
        <f t="shared" si="98"/>
        <v>8.1667154715242329E-2</v>
      </c>
      <c r="Q141" s="390">
        <f t="shared" si="75"/>
        <v>5.4906530354882355E-2</v>
      </c>
      <c r="R141" s="308">
        <f>TableUK6b!J26</f>
        <v>5.6891097781369764</v>
      </c>
      <c r="S141" s="365">
        <f>TableUK12c!B157</f>
        <v>4.5921614442495623E-2</v>
      </c>
      <c r="T141" s="365">
        <f t="shared" si="99"/>
        <v>1.0137135901885107E-2</v>
      </c>
      <c r="U141" s="365">
        <f t="shared" si="81"/>
        <v>4.4320115419799411E-2</v>
      </c>
      <c r="V141" s="2093">
        <f>TableUK5a!Q141</f>
        <v>0</v>
      </c>
      <c r="W141" s="365"/>
      <c r="X141" s="365"/>
      <c r="Y141" s="365"/>
      <c r="Z141" s="376">
        <f t="shared" si="77"/>
        <v>5.613959003517289</v>
      </c>
      <c r="AA141" s="377">
        <f t="shared" si="78"/>
        <v>1.669E-2</v>
      </c>
      <c r="AB141" s="378">
        <f t="shared" si="79"/>
        <v>5.4430234554568528</v>
      </c>
      <c r="AC141" s="379">
        <f t="shared" si="80"/>
        <v>1.4552300000000001E-2</v>
      </c>
      <c r="AF141" s="300">
        <f t="shared" si="90"/>
        <v>1.1109658884099607</v>
      </c>
      <c r="AG141" s="300">
        <f t="shared" si="91"/>
        <v>1.0153113910947469</v>
      </c>
      <c r="AH141" s="300">
        <f t="shared" si="100"/>
        <v>1</v>
      </c>
      <c r="AI141" s="300">
        <f t="shared" si="92"/>
        <v>1.094211980830901</v>
      </c>
      <c r="AJ141" s="300">
        <f t="shared" si="93"/>
        <v>1.0960820015359822</v>
      </c>
      <c r="AK141" s="300">
        <f t="shared" si="94"/>
        <v>1.0133265087674173</v>
      </c>
      <c r="AL141" s="300">
        <f t="shared" si="101"/>
        <v>1</v>
      </c>
      <c r="AM141" s="300">
        <f t="shared" si="95"/>
        <v>1.0816671547152423</v>
      </c>
      <c r="AN141" s="366">
        <f t="shared" si="82"/>
        <v>1.0549065303548824</v>
      </c>
      <c r="AO141" s="300">
        <f t="shared" si="83"/>
        <v>1.0101371359018851</v>
      </c>
      <c r="AP141" s="300">
        <f t="shared" si="84"/>
        <v>1.0443201154197994</v>
      </c>
    </row>
    <row r="142" spans="1:42">
      <c r="A142" s="198">
        <v>1987</v>
      </c>
      <c r="B142" s="1162">
        <f>TableUK1!D143</f>
        <v>756.20355314960636</v>
      </c>
      <c r="C142" s="959">
        <f t="shared" si="71"/>
        <v>3212.413194332039</v>
      </c>
      <c r="D142" s="391">
        <f t="shared" si="85"/>
        <v>3.7740574916292458E-2</v>
      </c>
      <c r="E142" s="390">
        <f t="shared" si="96"/>
        <v>0.11134732445010709</v>
      </c>
      <c r="F142" s="1372">
        <f>TableUK6a!M142</f>
        <v>4.2480800056443258</v>
      </c>
      <c r="G142" s="365">
        <f>TableUK12c!B158</f>
        <v>4.9212614489851973E-2</v>
      </c>
      <c r="H142" s="365">
        <f t="shared" si="86"/>
        <v>1.1576718448411261E-2</v>
      </c>
      <c r="I142" s="365">
        <f t="shared" si="87"/>
        <v>0</v>
      </c>
      <c r="J142" s="391">
        <f t="shared" si="97"/>
        <v>9.8628808059884276E-2</v>
      </c>
      <c r="K142" s="390">
        <f t="shared" si="88"/>
        <v>7.4819203600244855E-2</v>
      </c>
      <c r="L142" s="308">
        <f>TableUK6g!O69</f>
        <v>4.6571355510743881</v>
      </c>
      <c r="M142" s="365">
        <f>TableUK12c!B158</f>
        <v>4.9212614489851973E-2</v>
      </c>
      <c r="N142" s="365">
        <f t="shared" si="74"/>
        <v>1.0212801451471203E-2</v>
      </c>
      <c r="O142" s="365">
        <f t="shared" si="89"/>
        <v>0</v>
      </c>
      <c r="P142" s="391">
        <f t="shared" si="98"/>
        <v>6.3953260200174888E-2</v>
      </c>
      <c r="Q142" s="390">
        <f t="shared" si="75"/>
        <v>1.7893487970758404E-2</v>
      </c>
      <c r="R142" s="308">
        <f>TableUK6b!J27</f>
        <v>5.5803039174636764</v>
      </c>
      <c r="S142" s="365">
        <f>TableUK12c!B158</f>
        <v>4.9212614489851973E-2</v>
      </c>
      <c r="T142" s="365">
        <f t="shared" si="99"/>
        <v>8.0718453735891278E-3</v>
      </c>
      <c r="U142" s="365">
        <f t="shared" si="81"/>
        <v>9.7429986188428686E-3</v>
      </c>
      <c r="V142" s="2093">
        <f>TableUK5a!Q142</f>
        <v>0</v>
      </c>
      <c r="W142" s="365"/>
      <c r="X142" s="365"/>
      <c r="Y142" s="365"/>
      <c r="Z142" s="376">
        <f t="shared" si="77"/>
        <v>5.5450698995148171</v>
      </c>
      <c r="AA142" s="377">
        <f t="shared" si="78"/>
        <v>1.669E-2</v>
      </c>
      <c r="AB142" s="378">
        <f t="shared" si="79"/>
        <v>5.3662947945243866</v>
      </c>
      <c r="AC142" s="379">
        <f t="shared" si="80"/>
        <v>1.4552300000000001E-2</v>
      </c>
      <c r="AF142" s="300">
        <f t="shared" si="90"/>
        <v>1.1113473244501071</v>
      </c>
      <c r="AG142" s="300">
        <f t="shared" si="91"/>
        <v>1.0115767184484112</v>
      </c>
      <c r="AH142" s="300">
        <f t="shared" si="100"/>
        <v>1</v>
      </c>
      <c r="AI142" s="300">
        <f t="shared" si="92"/>
        <v>1.0986288080598843</v>
      </c>
      <c r="AJ142" s="300">
        <f t="shared" si="93"/>
        <v>1.0748192036002449</v>
      </c>
      <c r="AK142" s="300">
        <f t="shared" si="94"/>
        <v>1.0102128014514713</v>
      </c>
      <c r="AL142" s="300">
        <f t="shared" si="101"/>
        <v>1</v>
      </c>
      <c r="AM142" s="300">
        <f t="shared" si="95"/>
        <v>1.0639532602001749</v>
      </c>
      <c r="AN142" s="366">
        <f t="shared" si="82"/>
        <v>1.0178934879707584</v>
      </c>
      <c r="AO142" s="300">
        <f t="shared" si="83"/>
        <v>1.0080718453735891</v>
      </c>
      <c r="AP142" s="300">
        <f t="shared" si="84"/>
        <v>1.0097429986188429</v>
      </c>
    </row>
    <row r="143" spans="1:42">
      <c r="A143" s="198">
        <v>1988</v>
      </c>
      <c r="B143" s="1162">
        <f>TableUK1!D144</f>
        <v>798.20970370370367</v>
      </c>
      <c r="C143" s="959">
        <f t="shared" si="71"/>
        <v>3680.8363981481475</v>
      </c>
      <c r="D143" s="391">
        <f t="shared" si="85"/>
        <v>5.5548734701312386E-2</v>
      </c>
      <c r="E143" s="390">
        <f t="shared" si="96"/>
        <v>0.14581661059124995</v>
      </c>
      <c r="F143" s="1372">
        <f>TableUK6a!M143</f>
        <v>4.611365135087957</v>
      </c>
      <c r="G143" s="365">
        <f>TableUK12c!B159</f>
        <v>5.1470160398766472E-2</v>
      </c>
      <c r="H143" s="365">
        <f t="shared" si="86"/>
        <v>1.1584672234153855E-2</v>
      </c>
      <c r="I143" s="365">
        <f t="shared" si="87"/>
        <v>0</v>
      </c>
      <c r="J143" s="391">
        <f t="shared" si="97"/>
        <v>0.13269471359291707</v>
      </c>
      <c r="K143" s="390">
        <f t="shared" si="88"/>
        <v>0.11251145788484163</v>
      </c>
      <c r="L143" s="308">
        <f>TableUK6g!O70</f>
        <v>4.9084580286661881</v>
      </c>
      <c r="M143" s="365">
        <f>TableUK12c!B159</f>
        <v>5.1470160398766472E-2</v>
      </c>
      <c r="N143" s="365">
        <f t="shared" si="74"/>
        <v>1.0567142388307499E-2</v>
      </c>
      <c r="O143" s="365">
        <f t="shared" si="89"/>
        <v>0</v>
      </c>
      <c r="P143" s="391">
        <f t="shared" si="98"/>
        <v>0.10087831992598284</v>
      </c>
      <c r="Q143" s="390">
        <f t="shared" si="75"/>
        <v>6.1514267873171491E-2</v>
      </c>
      <c r="R143" s="308">
        <f>TableUK6b!J28</f>
        <v>5.6118415310615024</v>
      </c>
      <c r="S143" s="365">
        <f>TableUK12c!B159</f>
        <v>5.1470160398766472E-2</v>
      </c>
      <c r="T143" s="365">
        <f t="shared" si="99"/>
        <v>8.8189846319731945E-3</v>
      </c>
      <c r="U143" s="365">
        <f t="shared" si="81"/>
        <v>5.2234626869578582E-2</v>
      </c>
      <c r="V143" s="2093">
        <f>TableUK5a!Q143</f>
        <v>0</v>
      </c>
      <c r="W143" s="365"/>
      <c r="X143" s="365"/>
      <c r="Y143" s="365"/>
      <c r="Z143" s="376">
        <f t="shared" si="77"/>
        <v>5.3883358505212327</v>
      </c>
      <c r="AA143" s="377">
        <f t="shared" si="78"/>
        <v>1.669E-2</v>
      </c>
      <c r="AB143" s="378">
        <f t="shared" si="79"/>
        <v>5.205174632734658</v>
      </c>
      <c r="AC143" s="379">
        <f t="shared" si="80"/>
        <v>1.4552300000000001E-2</v>
      </c>
      <c r="AF143" s="300">
        <f t="shared" si="90"/>
        <v>1.14581661059125</v>
      </c>
      <c r="AG143" s="300">
        <f t="shared" si="91"/>
        <v>1.0115846722341539</v>
      </c>
      <c r="AH143" s="300">
        <f t="shared" si="100"/>
        <v>1</v>
      </c>
      <c r="AI143" s="300">
        <f t="shared" si="92"/>
        <v>1.1326947135929171</v>
      </c>
      <c r="AJ143" s="300">
        <f t="shared" si="93"/>
        <v>1.1125114578848416</v>
      </c>
      <c r="AK143" s="300">
        <f t="shared" si="94"/>
        <v>1.0105671423883076</v>
      </c>
      <c r="AL143" s="300">
        <f t="shared" si="101"/>
        <v>1</v>
      </c>
      <c r="AM143" s="300">
        <f t="shared" si="95"/>
        <v>1.1008783199259828</v>
      </c>
      <c r="AN143" s="366">
        <f t="shared" si="82"/>
        <v>1.0615142678731715</v>
      </c>
      <c r="AO143" s="300">
        <f t="shared" si="83"/>
        <v>1.0088189846319733</v>
      </c>
      <c r="AP143" s="300">
        <f t="shared" si="84"/>
        <v>1.0522346268695786</v>
      </c>
    </row>
    <row r="144" spans="1:42">
      <c r="A144" s="214">
        <v>1989</v>
      </c>
      <c r="B144" s="1163">
        <f>TableUK1!D145</f>
        <v>813.46043103448278</v>
      </c>
      <c r="C144" s="1171">
        <f t="shared" si="71"/>
        <v>4076.9702068965521</v>
      </c>
      <c r="D144" s="1172">
        <f t="shared" si="85"/>
        <v>1.9106166286898763E-2</v>
      </c>
      <c r="E144" s="1181">
        <f t="shared" si="96"/>
        <v>0.10762059648934752</v>
      </c>
      <c r="F144" s="1381">
        <f>TableUK6a!M144</f>
        <v>5.011885091585639</v>
      </c>
      <c r="G144" s="1184">
        <f>TableUK12c!B160</f>
        <v>5.2570378081463615E-2</v>
      </c>
      <c r="H144" s="1184">
        <f t="shared" si="86"/>
        <v>1.1161588573225124E-2</v>
      </c>
      <c r="I144" s="1184">
        <f t="shared" si="87"/>
        <v>0</v>
      </c>
      <c r="J144" s="1172">
        <f t="shared" si="97"/>
        <v>9.539425647312072E-2</v>
      </c>
      <c r="K144" s="1181">
        <f t="shared" si="88"/>
        <v>8.4770943472256333E-2</v>
      </c>
      <c r="L144" s="550">
        <f>TableUK6g!O71</f>
        <v>5.2247281224390356</v>
      </c>
      <c r="M144" s="1184">
        <f>TableUK12c!B160</f>
        <v>5.2570378081463615E-2</v>
      </c>
      <c r="N144" s="1184">
        <f t="shared" si="74"/>
        <v>1.0486014161305327E-2</v>
      </c>
      <c r="O144" s="1184">
        <f t="shared" si="89"/>
        <v>0</v>
      </c>
      <c r="P144" s="1172">
        <f t="shared" si="98"/>
        <v>7.351405983843029E-2</v>
      </c>
      <c r="Q144" s="1181">
        <f t="shared" si="75"/>
        <v>4.5615081152585502E-2</v>
      </c>
      <c r="R144" s="550">
        <f>TableUK6b!J29</f>
        <v>5.7578163414472083</v>
      </c>
      <c r="S144" s="1184">
        <f>TableUK12c!B160</f>
        <v>5.2570378081463615E-2</v>
      </c>
      <c r="T144" s="1184">
        <f t="shared" si="99"/>
        <v>9.1717059567486912E-3</v>
      </c>
      <c r="U144" s="1184">
        <f t="shared" si="81"/>
        <v>3.6112165036658928E-2</v>
      </c>
      <c r="V144" s="2092">
        <f>TableUK5a!Q144</f>
        <v>0</v>
      </c>
      <c r="W144" s="365"/>
      <c r="X144" s="365"/>
      <c r="Y144" s="365"/>
      <c r="Z144" s="376">
        <f t="shared" si="77"/>
        <v>5.4269089484493227</v>
      </c>
      <c r="AA144" s="377">
        <f t="shared" si="78"/>
        <v>1.669E-2</v>
      </c>
      <c r="AB144" s="378">
        <f t="shared" si="79"/>
        <v>5.2331555254814877</v>
      </c>
      <c r="AC144" s="379">
        <f t="shared" si="80"/>
        <v>1.4552300000000001E-2</v>
      </c>
      <c r="AF144" s="300">
        <f t="shared" si="90"/>
        <v>1.1076205964893475</v>
      </c>
      <c r="AG144" s="300">
        <f t="shared" si="91"/>
        <v>1.011161588573225</v>
      </c>
      <c r="AH144" s="300">
        <f t="shared" si="100"/>
        <v>1</v>
      </c>
      <c r="AI144" s="300">
        <f t="shared" si="92"/>
        <v>1.0953942564731207</v>
      </c>
      <c r="AJ144" s="300">
        <f t="shared" si="93"/>
        <v>1.0847709434722563</v>
      </c>
      <c r="AK144" s="300">
        <f t="shared" si="94"/>
        <v>1.0104860141613052</v>
      </c>
      <c r="AL144" s="300">
        <f t="shared" si="101"/>
        <v>1</v>
      </c>
      <c r="AM144" s="300">
        <f t="shared" si="95"/>
        <v>1.0735140598384303</v>
      </c>
      <c r="AN144" s="366">
        <f t="shared" si="82"/>
        <v>1.0456150811525855</v>
      </c>
      <c r="AO144" s="300">
        <f t="shared" si="83"/>
        <v>1.0091717059567487</v>
      </c>
      <c r="AP144" s="300">
        <f t="shared" si="84"/>
        <v>1.0361121650366589</v>
      </c>
    </row>
    <row r="145" spans="1:42">
      <c r="A145" s="198">
        <v>1990</v>
      </c>
      <c r="B145" s="1162">
        <f>TableUK1!D146</f>
        <v>813.58441506410259</v>
      </c>
      <c r="C145" s="959">
        <f t="shared" si="71"/>
        <v>4020.013681891025</v>
      </c>
      <c r="D145" s="391">
        <f t="shared" si="85"/>
        <v>1.5241556305589654E-4</v>
      </c>
      <c r="E145" s="390">
        <f t="shared" si="96"/>
        <v>-1.3970306898289264E-2</v>
      </c>
      <c r="F145" s="1372">
        <f>TableUK6a!M145</f>
        <v>4.9411144159813913</v>
      </c>
      <c r="G145" s="365">
        <f>TableUK12c!B161</f>
        <v>3.9953480234245546E-2</v>
      </c>
      <c r="H145" s="365">
        <f t="shared" si="86"/>
        <v>1.0489142731888057E-2</v>
      </c>
      <c r="I145" s="365">
        <f t="shared" si="87"/>
        <v>0</v>
      </c>
      <c r="J145" s="391">
        <f t="shared" si="97"/>
        <v>-2.4205554118127859E-2</v>
      </c>
      <c r="K145" s="390">
        <f t="shared" si="88"/>
        <v>-3.2492074860115405E-2</v>
      </c>
      <c r="L145" s="308">
        <f>TableUK6g!O72</f>
        <v>5.0541955271039383</v>
      </c>
      <c r="M145" s="365">
        <f>TableUK12c!B161</f>
        <v>3.9953480234245546E-2</v>
      </c>
      <c r="N145" s="365">
        <f t="shared" si="74"/>
        <v>1.0061839936835303E-2</v>
      </c>
      <c r="O145" s="365">
        <f t="shared" si="89"/>
        <v>0</v>
      </c>
      <c r="P145" s="391">
        <f t="shared" si="98"/>
        <v>-4.2130009385971667E-2</v>
      </c>
      <c r="Q145" s="390">
        <f t="shared" si="75"/>
        <v>-6.2792767636961622E-2</v>
      </c>
      <c r="R145" s="308">
        <f>TableUK6b!J30</f>
        <v>5.3954447680701509</v>
      </c>
      <c r="S145" s="365">
        <f>TableUK12c!B161</f>
        <v>3.9953480234245546E-2</v>
      </c>
      <c r="T145" s="365">
        <f t="shared" si="99"/>
        <v>9.1302631004465534E-3</v>
      </c>
      <c r="U145" s="365">
        <f t="shared" si="81"/>
        <v>-7.1272295923850648E-2</v>
      </c>
      <c r="V145" s="2093">
        <f>TableUK5a!Q145</f>
        <v>0</v>
      </c>
      <c r="W145" s="365"/>
      <c r="X145" s="365"/>
      <c r="Y145" s="365"/>
      <c r="Z145" s="376">
        <f t="shared" si="77"/>
        <v>5.5700828691738122</v>
      </c>
      <c r="AA145" s="377">
        <f t="shared" si="78"/>
        <v>1.669E-2</v>
      </c>
      <c r="AB145" s="378">
        <f t="shared" si="79"/>
        <v>5.3618281465734023</v>
      </c>
      <c r="AC145" s="379">
        <f t="shared" si="80"/>
        <v>1.4552300000000001E-2</v>
      </c>
      <c r="AF145" s="300">
        <f t="shared" si="90"/>
        <v>0.98602969310171074</v>
      </c>
      <c r="AG145" s="300">
        <f t="shared" si="91"/>
        <v>1.0104891427318881</v>
      </c>
      <c r="AH145" s="300">
        <f t="shared" si="100"/>
        <v>1</v>
      </c>
      <c r="AI145" s="300">
        <f t="shared" si="92"/>
        <v>0.97579444588187214</v>
      </c>
      <c r="AJ145" s="300">
        <f t="shared" si="93"/>
        <v>0.96750792513988459</v>
      </c>
      <c r="AK145" s="300">
        <f t="shared" si="94"/>
        <v>1.0100618399368353</v>
      </c>
      <c r="AL145" s="300">
        <f t="shared" si="101"/>
        <v>1</v>
      </c>
      <c r="AM145" s="300">
        <f t="shared" si="95"/>
        <v>0.95786999061402833</v>
      </c>
      <c r="AN145" s="366">
        <f t="shared" si="82"/>
        <v>0.93720723236303838</v>
      </c>
      <c r="AO145" s="300">
        <f t="shared" si="83"/>
        <v>1.0091302631004466</v>
      </c>
      <c r="AP145" s="300">
        <f t="shared" si="84"/>
        <v>0.92872770407614935</v>
      </c>
    </row>
    <row r="146" spans="1:42">
      <c r="A146" s="198">
        <v>1991</v>
      </c>
      <c r="B146" s="1162">
        <f>TableUK1!D147</f>
        <v>799.8257142857143</v>
      </c>
      <c r="C146" s="959">
        <f t="shared" si="71"/>
        <v>3818.9037857142857</v>
      </c>
      <c r="D146" s="391">
        <f t="shared" si="85"/>
        <v>-1.6911214772107219E-2</v>
      </c>
      <c r="E146" s="390">
        <f t="shared" si="96"/>
        <v>-5.0027167092161928E-2</v>
      </c>
      <c r="F146" s="1372">
        <f>TableUK6a!M146</f>
        <v>4.7746699280914768</v>
      </c>
      <c r="G146" s="365">
        <f>TableUK12c!B162</f>
        <v>2.3631576879248696E-2</v>
      </c>
      <c r="H146" s="365">
        <f t="shared" si="86"/>
        <v>8.0859249292064995E-3</v>
      </c>
      <c r="I146" s="365">
        <f t="shared" si="87"/>
        <v>0</v>
      </c>
      <c r="J146" s="391">
        <f t="shared" si="97"/>
        <v>-5.7646963006104279E-2</v>
      </c>
      <c r="K146" s="390">
        <f t="shared" si="88"/>
        <v>-5.8149388288649684E-2</v>
      </c>
      <c r="L146" s="308">
        <f>TableUK6g!O73</f>
        <v>4.8421843687374748</v>
      </c>
      <c r="M146" s="365">
        <f>TableUK12c!B162</f>
        <v>2.3631576879248696E-2</v>
      </c>
      <c r="N146" s="365">
        <f t="shared" si="74"/>
        <v>7.9050127799742947E-3</v>
      </c>
      <c r="O146" s="365">
        <f t="shared" si="89"/>
        <v>0</v>
      </c>
      <c r="P146" s="391">
        <f t="shared" si="98"/>
        <v>-6.5536335498951992E-2</v>
      </c>
      <c r="Q146" s="390">
        <f t="shared" si="75"/>
        <v>-8.1590317406556201E-2</v>
      </c>
      <c r="R146" s="308">
        <f>TableUK6b!J31</f>
        <v>5.0404691736413998</v>
      </c>
      <c r="S146" s="365">
        <f>TableUK12c!B162</f>
        <v>2.3631576879248696E-2</v>
      </c>
      <c r="T146" s="365">
        <f t="shared" si="99"/>
        <v>7.4050392417483969E-3</v>
      </c>
      <c r="U146" s="365">
        <f t="shared" si="81"/>
        <v>-8.8341186694171681E-2</v>
      </c>
      <c r="V146" s="2093">
        <f>TableUK5a!Q146</f>
        <v>0</v>
      </c>
      <c r="W146" s="365"/>
      <c r="X146" s="365"/>
      <c r="Y146" s="365"/>
      <c r="Z146" s="376">
        <f t="shared" si="77"/>
        <v>5.8017830553905609</v>
      </c>
      <c r="AA146" s="377">
        <f t="shared" si="78"/>
        <v>1.669E-2</v>
      </c>
      <c r="AB146" s="378">
        <f t="shared" si="79"/>
        <v>5.5746643191591456</v>
      </c>
      <c r="AC146" s="379">
        <f t="shared" si="80"/>
        <v>1.4552300000000001E-2</v>
      </c>
      <c r="AF146" s="300">
        <f t="shared" si="90"/>
        <v>0.94997283290783807</v>
      </c>
      <c r="AG146" s="300">
        <f t="shared" si="91"/>
        <v>1.0080859249292065</v>
      </c>
      <c r="AH146" s="300">
        <f t="shared" si="100"/>
        <v>1</v>
      </c>
      <c r="AI146" s="300">
        <f t="shared" si="92"/>
        <v>0.94235303699389572</v>
      </c>
      <c r="AJ146" s="300">
        <f t="shared" si="93"/>
        <v>0.94185061171135032</v>
      </c>
      <c r="AK146" s="300">
        <f t="shared" si="94"/>
        <v>1.0079050127799742</v>
      </c>
      <c r="AL146" s="300">
        <f t="shared" si="101"/>
        <v>1</v>
      </c>
      <c r="AM146" s="300">
        <f t="shared" si="95"/>
        <v>0.93446366450104801</v>
      </c>
      <c r="AN146" s="366">
        <f t="shared" si="82"/>
        <v>0.9184096825934438</v>
      </c>
      <c r="AO146" s="300">
        <f t="shared" si="83"/>
        <v>1.0074050392417484</v>
      </c>
      <c r="AP146" s="300">
        <f t="shared" si="84"/>
        <v>0.91165881330582832</v>
      </c>
    </row>
    <row r="147" spans="1:42">
      <c r="A147" s="198">
        <v>1992</v>
      </c>
      <c r="B147" s="1162">
        <f>TableUK1!D148</f>
        <v>809.72809420289855</v>
      </c>
      <c r="C147" s="959">
        <f t="shared" si="71"/>
        <v>3713.7103985507247</v>
      </c>
      <c r="D147" s="391">
        <f t="shared" si="85"/>
        <v>1.2380672114333802E-2</v>
      </c>
      <c r="E147" s="390">
        <f t="shared" si="96"/>
        <v>-2.7545440541620114E-2</v>
      </c>
      <c r="F147" s="1372">
        <f>TableUK6a!M147</f>
        <v>4.5863672325788878</v>
      </c>
      <c r="G147" s="365">
        <f>TableUK12c!B163</f>
        <v>1.3692993399457218E-2</v>
      </c>
      <c r="H147" s="365">
        <f t="shared" si="86"/>
        <v>4.9493634607522853E-3</v>
      </c>
      <c r="I147" s="365">
        <f t="shared" si="87"/>
        <v>0</v>
      </c>
      <c r="J147" s="391">
        <f t="shared" si="97"/>
        <v>-3.2334767485666882E-2</v>
      </c>
      <c r="K147" s="390">
        <f t="shared" si="88"/>
        <v>-2.8182543746334776E-2</v>
      </c>
      <c r="L147" s="308">
        <f>TableUK6g!O74</f>
        <v>4.6481718048902749</v>
      </c>
      <c r="M147" s="365">
        <f>TableUK12c!B163</f>
        <v>1.3692993399457218E-2</v>
      </c>
      <c r="N147" s="365">
        <f t="shared" si="74"/>
        <v>4.8803546250367714E-3</v>
      </c>
      <c r="O147" s="365">
        <f t="shared" si="89"/>
        <v>0</v>
      </c>
      <c r="P147" s="391">
        <f t="shared" si="98"/>
        <v>-3.2902323365360808E-2</v>
      </c>
      <c r="Q147" s="390">
        <f t="shared" si="75"/>
        <v>-4.8694010941017662E-2</v>
      </c>
      <c r="R147" s="308">
        <f>TableUK6b!J32</f>
        <v>4.7363888353754682</v>
      </c>
      <c r="S147" s="365">
        <f>TableUK12c!B163</f>
        <v>1.3692993399457218E-2</v>
      </c>
      <c r="T147" s="365">
        <f t="shared" si="99"/>
        <v>4.688368496097055E-3</v>
      </c>
      <c r="U147" s="365">
        <f t="shared" si="81"/>
        <v>-5.3133271082875133E-2</v>
      </c>
      <c r="V147" s="2093">
        <f>TableUK5a!Q147</f>
        <v>0</v>
      </c>
      <c r="W147" s="365"/>
      <c r="X147" s="365"/>
      <c r="Y147" s="365"/>
      <c r="Z147" s="376">
        <f t="shared" si="77"/>
        <v>5.8502112551330061</v>
      </c>
      <c r="AA147" s="377">
        <f t="shared" si="78"/>
        <v>1.669E-2</v>
      </c>
      <c r="AB147" s="378">
        <f t="shared" si="79"/>
        <v>5.6103046352556865</v>
      </c>
      <c r="AC147" s="379">
        <f t="shared" si="80"/>
        <v>1.4552300000000001E-2</v>
      </c>
      <c r="AF147" s="300">
        <f t="shared" si="90"/>
        <v>0.97245455945837989</v>
      </c>
      <c r="AG147" s="300">
        <f t="shared" si="91"/>
        <v>1.0049493634607523</v>
      </c>
      <c r="AH147" s="300">
        <f t="shared" si="100"/>
        <v>1</v>
      </c>
      <c r="AI147" s="300">
        <f t="shared" si="92"/>
        <v>0.96766523251433312</v>
      </c>
      <c r="AJ147" s="300">
        <f t="shared" si="93"/>
        <v>0.97181745625366522</v>
      </c>
      <c r="AK147" s="300">
        <f t="shared" si="94"/>
        <v>1.0048803546250367</v>
      </c>
      <c r="AL147" s="300">
        <f t="shared" si="101"/>
        <v>1</v>
      </c>
      <c r="AM147" s="300">
        <f t="shared" si="95"/>
        <v>0.96709767663463919</v>
      </c>
      <c r="AN147" s="366">
        <f t="shared" si="82"/>
        <v>0.95130598905898234</v>
      </c>
      <c r="AO147" s="300">
        <f t="shared" si="83"/>
        <v>1.004688368496097</v>
      </c>
      <c r="AP147" s="300">
        <f t="shared" si="84"/>
        <v>0.94686672891712487</v>
      </c>
    </row>
    <row r="148" spans="1:42">
      <c r="A148" s="198">
        <v>1993</v>
      </c>
      <c r="B148" s="1162">
        <f>TableUK1!D149</f>
        <v>828.50543661971824</v>
      </c>
      <c r="C148" s="959">
        <f t="shared" si="71"/>
        <v>3762.6711549295769</v>
      </c>
      <c r="D148" s="391">
        <f t="shared" si="85"/>
        <v>2.3189688676053866E-2</v>
      </c>
      <c r="E148" s="390">
        <f t="shared" si="96"/>
        <v>1.3183784173897539E-2</v>
      </c>
      <c r="F148" s="1372">
        <f>TableUK6a!M148</f>
        <v>4.5415165533266535</v>
      </c>
      <c r="G148" s="365">
        <f>TableUK12c!B164</f>
        <v>1.3996958650436653E-2</v>
      </c>
      <c r="H148" s="365">
        <f t="shared" si="86"/>
        <v>2.9855859125693532E-3</v>
      </c>
      <c r="I148" s="365">
        <f t="shared" si="87"/>
        <v>0</v>
      </c>
      <c r="J148" s="391">
        <f t="shared" si="97"/>
        <v>1.0167841297588742E-2</v>
      </c>
      <c r="K148" s="390">
        <f t="shared" si="88"/>
        <v>1.4587053740755973E-2</v>
      </c>
      <c r="L148" s="308">
        <f>TableUK6g!O75</f>
        <v>4.6090915389370908</v>
      </c>
      <c r="M148" s="365">
        <f>TableUK12c!B164</f>
        <v>1.3996958650436653E-2</v>
      </c>
      <c r="N148" s="365">
        <f t="shared" si="74"/>
        <v>2.9458879693411971E-3</v>
      </c>
      <c r="O148" s="365">
        <f t="shared" si="89"/>
        <v>0</v>
      </c>
      <c r="P148" s="391">
        <f t="shared" si="98"/>
        <v>1.1606972929501413E-2</v>
      </c>
      <c r="Q148" s="390">
        <f t="shared" si="75"/>
        <v>-1.1688381425006056E-2</v>
      </c>
      <c r="R148" s="308">
        <f>TableUK6b!J33</f>
        <v>4.5749367569833792</v>
      </c>
      <c r="S148" s="365">
        <f>TableUK12c!B164</f>
        <v>1.3996958650436653E-2</v>
      </c>
      <c r="T148" s="365">
        <f t="shared" si="99"/>
        <v>2.8910196935661285E-3</v>
      </c>
      <c r="U148" s="365">
        <f t="shared" si="81"/>
        <v>-1.4537373286109267E-2</v>
      </c>
      <c r="V148" s="2093">
        <f>TableUK5a!Q148</f>
        <v>0</v>
      </c>
      <c r="W148" s="365"/>
      <c r="X148" s="365"/>
      <c r="Y148" s="365"/>
      <c r="Z148" s="376">
        <f t="shared" si="77"/>
        <v>5.8266545064138073</v>
      </c>
      <c r="AA148" s="377">
        <f t="shared" si="78"/>
        <v>1.669E-2</v>
      </c>
      <c r="AB148" s="378">
        <f t="shared" si="79"/>
        <v>5.5765219220784337</v>
      </c>
      <c r="AC148" s="379">
        <f t="shared" si="80"/>
        <v>1.4552300000000001E-2</v>
      </c>
      <c r="AF148" s="300">
        <f t="shared" si="90"/>
        <v>1.0131837841738975</v>
      </c>
      <c r="AG148" s="300">
        <f t="shared" si="91"/>
        <v>1.0029855859125694</v>
      </c>
      <c r="AH148" s="300">
        <f t="shared" si="100"/>
        <v>1</v>
      </c>
      <c r="AI148" s="300">
        <f t="shared" si="92"/>
        <v>1.0101678412975887</v>
      </c>
      <c r="AJ148" s="300">
        <f t="shared" si="93"/>
        <v>1.014587053740756</v>
      </c>
      <c r="AK148" s="300">
        <f t="shared" si="94"/>
        <v>1.0029458879693411</v>
      </c>
      <c r="AL148" s="300">
        <f t="shared" si="101"/>
        <v>1</v>
      </c>
      <c r="AM148" s="300">
        <f t="shared" si="95"/>
        <v>1.0116069729295014</v>
      </c>
      <c r="AN148" s="366">
        <f t="shared" si="82"/>
        <v>0.98831161857499394</v>
      </c>
      <c r="AO148" s="300">
        <f t="shared" si="83"/>
        <v>1.0028910196935661</v>
      </c>
      <c r="AP148" s="300">
        <f t="shared" si="84"/>
        <v>0.98546262671389073</v>
      </c>
    </row>
    <row r="149" spans="1:42">
      <c r="A149" s="198">
        <v>1994</v>
      </c>
      <c r="B149" s="1162">
        <f>TableUK1!D150</f>
        <v>876.33902912621363</v>
      </c>
      <c r="C149" s="959">
        <f t="shared" si="71"/>
        <v>3838.4009500693478</v>
      </c>
      <c r="D149" s="391">
        <f t="shared" si="85"/>
        <v>5.7734796167005609E-2</v>
      </c>
      <c r="E149" s="390">
        <f t="shared" si="96"/>
        <v>2.0126604750073662E-2</v>
      </c>
      <c r="F149" s="1372">
        <f>TableUK6a!M149</f>
        <v>4.3800410828404708</v>
      </c>
      <c r="G149" s="365">
        <f>TableUK12c!B165</f>
        <v>3.643538549067861E-2</v>
      </c>
      <c r="H149" s="365">
        <f t="shared" si="86"/>
        <v>3.0820010201622855E-3</v>
      </c>
      <c r="I149" s="365">
        <f t="shared" si="87"/>
        <v>0</v>
      </c>
      <c r="J149" s="391">
        <f t="shared" si="97"/>
        <v>1.6992233648472022E-2</v>
      </c>
      <c r="K149" s="390">
        <f t="shared" si="88"/>
        <v>2.1758759813508277E-2</v>
      </c>
      <c r="L149" s="308">
        <f>TableUK6g!O76</f>
        <v>4.4523255467788667</v>
      </c>
      <c r="M149" s="365">
        <f>TableUK12c!B165</f>
        <v>3.643538549067861E-2</v>
      </c>
      <c r="N149" s="365">
        <f t="shared" si="74"/>
        <v>3.0368150712980872E-3</v>
      </c>
      <c r="O149" s="365">
        <f t="shared" si="89"/>
        <v>0</v>
      </c>
      <c r="P149" s="391">
        <f t="shared" si="98"/>
        <v>1.8665261793884724E-2</v>
      </c>
      <c r="Q149" s="390">
        <f t="shared" si="75"/>
        <v>2.8030513238079813E-2</v>
      </c>
      <c r="R149" s="308">
        <f>TableUK6b!J34</f>
        <v>4.44645916855211</v>
      </c>
      <c r="S149" s="365">
        <f>TableUK12c!B165</f>
        <v>3.643538549067861E-2</v>
      </c>
      <c r="T149" s="365">
        <f t="shared" si="99"/>
        <v>3.0594868069096465E-3</v>
      </c>
      <c r="U149" s="365">
        <f t="shared" si="81"/>
        <v>2.4894860932587193E-2</v>
      </c>
      <c r="V149" s="2093">
        <f>TableUK5a!Q149</f>
        <v>0</v>
      </c>
      <c r="W149" s="365"/>
      <c r="X149" s="365"/>
      <c r="Y149" s="365"/>
      <c r="Z149" s="376">
        <f t="shared" si="77"/>
        <v>5.6140083124187923</v>
      </c>
      <c r="AA149" s="377">
        <f t="shared" si="78"/>
        <v>1.669E-2</v>
      </c>
      <c r="AB149" s="378">
        <f t="shared" si="79"/>
        <v>5.3622834468436738</v>
      </c>
      <c r="AC149" s="379">
        <f t="shared" si="80"/>
        <v>1.4552300000000001E-2</v>
      </c>
      <c r="AF149" s="300">
        <f t="shared" si="90"/>
        <v>1.0201266047500737</v>
      </c>
      <c r="AG149" s="300">
        <f t="shared" si="91"/>
        <v>1.0030820010201622</v>
      </c>
      <c r="AH149" s="300">
        <f t="shared" si="100"/>
        <v>1</v>
      </c>
      <c r="AI149" s="300">
        <f t="shared" si="92"/>
        <v>1.016992233648472</v>
      </c>
      <c r="AJ149" s="300">
        <f t="shared" si="93"/>
        <v>1.0217587598135083</v>
      </c>
      <c r="AK149" s="300">
        <f t="shared" si="94"/>
        <v>1.003036815071298</v>
      </c>
      <c r="AL149" s="300">
        <f t="shared" si="101"/>
        <v>1</v>
      </c>
      <c r="AM149" s="300">
        <f t="shared" si="95"/>
        <v>1.0186652617938847</v>
      </c>
      <c r="AN149" s="366">
        <f t="shared" si="82"/>
        <v>1.0280305132380798</v>
      </c>
      <c r="AO149" s="300">
        <f t="shared" si="83"/>
        <v>1.0030594868069096</v>
      </c>
      <c r="AP149" s="300">
        <f t="shared" si="84"/>
        <v>1.0248948609325872</v>
      </c>
    </row>
    <row r="150" spans="1:42">
      <c r="A150" s="198">
        <v>1995</v>
      </c>
      <c r="B150" s="1162">
        <f>TableUK1!D151</f>
        <v>901.48054729729733</v>
      </c>
      <c r="C150" s="959">
        <f t="shared" si="71"/>
        <v>3838.2129797297298</v>
      </c>
      <c r="D150" s="391">
        <f t="shared" si="85"/>
        <v>2.8689259904528086E-2</v>
      </c>
      <c r="E150" s="390">
        <f t="shared" si="96"/>
        <v>-4.8971001743391973E-5</v>
      </c>
      <c r="F150" s="1372">
        <f>TableUK6a!M150</f>
        <v>4.2576769861945047</v>
      </c>
      <c r="G150" s="365">
        <f>TableUK12c!B166</f>
        <v>4.4010595752613298E-2</v>
      </c>
      <c r="H150" s="365">
        <f t="shared" si="86"/>
        <v>8.3185031376578188E-3</v>
      </c>
      <c r="I150" s="365">
        <f t="shared" si="87"/>
        <v>0</v>
      </c>
      <c r="J150" s="391">
        <f t="shared" si="97"/>
        <v>-8.2984435110171617E-3</v>
      </c>
      <c r="K150" s="390">
        <f t="shared" si="88"/>
        <v>-1.0511729496015532E-3</v>
      </c>
      <c r="L150" s="308">
        <f>TableUK6g!O77</f>
        <v>4.3236043730193661</v>
      </c>
      <c r="M150" s="365">
        <f>TableUK12c!B166</f>
        <v>4.4010595752613298E-2</v>
      </c>
      <c r="N150" s="365">
        <f t="shared" si="74"/>
        <v>8.1834504480559813E-3</v>
      </c>
      <c r="O150" s="365">
        <f t="shared" si="89"/>
        <v>0</v>
      </c>
      <c r="P150" s="391">
        <f t="shared" si="98"/>
        <v>-9.1596657270593962E-3</v>
      </c>
      <c r="Q150" s="390">
        <f t="shared" si="75"/>
        <v>-1.1696682407567494E-2</v>
      </c>
      <c r="R150" s="308">
        <f>TableUK6b!J35</f>
        <v>4.2718929020676129</v>
      </c>
      <c r="S150" s="365">
        <f>TableUK12c!B166</f>
        <v>4.4010595752613298E-2</v>
      </c>
      <c r="T150" s="365">
        <f t="shared" si="99"/>
        <v>8.1942471772529467E-3</v>
      </c>
      <c r="U150" s="365">
        <f t="shared" si="81"/>
        <v>-1.9729263126139762E-2</v>
      </c>
      <c r="V150" s="2093">
        <f>TableUK5a!Q150</f>
        <v>0</v>
      </c>
      <c r="W150" s="365"/>
      <c r="X150" s="365"/>
      <c r="Y150" s="365"/>
      <c r="Z150" s="376">
        <f t="shared" si="77"/>
        <v>5.5845334710316177</v>
      </c>
      <c r="AA150" s="377">
        <f t="shared" si="78"/>
        <v>1.669E-2</v>
      </c>
      <c r="AB150" s="378">
        <f t="shared" si="79"/>
        <v>5.3245259009571795</v>
      </c>
      <c r="AC150" s="379">
        <f t="shared" si="80"/>
        <v>1.4552300000000001E-2</v>
      </c>
      <c r="AF150" s="300">
        <f t="shared" si="90"/>
        <v>0.99995102899825661</v>
      </c>
      <c r="AG150" s="300">
        <f t="shared" si="91"/>
        <v>1.0083185031376578</v>
      </c>
      <c r="AH150" s="300">
        <f t="shared" si="100"/>
        <v>1</v>
      </c>
      <c r="AI150" s="300">
        <f t="shared" si="92"/>
        <v>0.99170155648898284</v>
      </c>
      <c r="AJ150" s="300">
        <f t="shared" si="93"/>
        <v>0.99894882705039845</v>
      </c>
      <c r="AK150" s="300">
        <f t="shared" si="94"/>
        <v>1.008183450448056</v>
      </c>
      <c r="AL150" s="300">
        <f t="shared" si="101"/>
        <v>1</v>
      </c>
      <c r="AM150" s="300">
        <f t="shared" si="95"/>
        <v>0.9908403342729406</v>
      </c>
      <c r="AN150" s="366">
        <f t="shared" si="82"/>
        <v>0.98830331759243251</v>
      </c>
      <c r="AO150" s="300">
        <f t="shared" si="83"/>
        <v>1.0081942471772529</v>
      </c>
      <c r="AP150" s="300">
        <f t="shared" si="84"/>
        <v>0.98027073687386024</v>
      </c>
    </row>
    <row r="151" spans="1:42">
      <c r="A151" s="198">
        <v>1996</v>
      </c>
      <c r="B151" s="1162">
        <f>TableUK1!D152</f>
        <v>930.74757496740551</v>
      </c>
      <c r="C151" s="959">
        <f t="shared" si="71"/>
        <v>3981.7211277705351</v>
      </c>
      <c r="D151" s="391">
        <f t="shared" si="85"/>
        <v>3.2465512159805199E-2</v>
      </c>
      <c r="E151" s="390">
        <f t="shared" si="96"/>
        <v>3.7389313411917646E-2</v>
      </c>
      <c r="F151" s="1372">
        <f>TableUK6a!M151</f>
        <v>4.2779817373254758</v>
      </c>
      <c r="G151" s="365">
        <f>TableUK12c!B167</f>
        <v>4.9071788881374576E-2</v>
      </c>
      <c r="H151" s="365">
        <f t="shared" si="86"/>
        <v>1.0336762486989367E-2</v>
      </c>
      <c r="I151" s="365">
        <f t="shared" si="87"/>
        <v>0</v>
      </c>
      <c r="J151" s="391">
        <f t="shared" si="97"/>
        <v>2.6775776087111014E-2</v>
      </c>
      <c r="K151" s="390">
        <f t="shared" si="88"/>
        <v>3.3612326901342637E-2</v>
      </c>
      <c r="L151" s="308">
        <f>TableUK6g!O78</f>
        <v>4.3284068319617299</v>
      </c>
      <c r="M151" s="365">
        <f>TableUK12c!B167</f>
        <v>4.9071788881374576E-2</v>
      </c>
      <c r="N151" s="365">
        <f t="shared" si="74"/>
        <v>1.0179144980806543E-2</v>
      </c>
      <c r="O151" s="365">
        <f t="shared" si="89"/>
        <v>0</v>
      </c>
      <c r="P151" s="391">
        <f t="shared" si="98"/>
        <v>2.3197055727161464E-2</v>
      </c>
      <c r="Q151" s="390">
        <f t="shared" si="75"/>
        <v>-1.1468864854162097E-2</v>
      </c>
      <c r="R151" s="308">
        <f>TableUK6b!J36</f>
        <v>4.0901115727037709</v>
      </c>
      <c r="S151" s="365">
        <f>TableUK12c!B167</f>
        <v>4.9071788881374576E-2</v>
      </c>
      <c r="T151" s="365">
        <f t="shared" si="99"/>
        <v>1.0302364024929556E-2</v>
      </c>
      <c r="U151" s="365">
        <f t="shared" si="81"/>
        <v>-2.1549220960304982E-2</v>
      </c>
      <c r="V151" s="2093">
        <f>TableUK5a!Q151</f>
        <v>0</v>
      </c>
      <c r="W151" s="365"/>
      <c r="X151" s="365"/>
      <c r="Y151" s="365"/>
      <c r="Z151" s="376">
        <f t="shared" si="77"/>
        <v>5.5425429710364345</v>
      </c>
      <c r="AA151" s="377">
        <f t="shared" si="78"/>
        <v>1.669E-2</v>
      </c>
      <c r="AB151" s="378">
        <f t="shared" si="79"/>
        <v>5.275392723750203</v>
      </c>
      <c r="AC151" s="379">
        <f t="shared" si="80"/>
        <v>1.4552300000000001E-2</v>
      </c>
      <c r="AF151" s="300">
        <f t="shared" si="90"/>
        <v>1.0373893134119176</v>
      </c>
      <c r="AG151" s="300">
        <f t="shared" si="91"/>
        <v>1.0103367624869894</v>
      </c>
      <c r="AH151" s="300">
        <f t="shared" si="100"/>
        <v>1</v>
      </c>
      <c r="AI151" s="300">
        <f t="shared" si="92"/>
        <v>1.026775776087111</v>
      </c>
      <c r="AJ151" s="300">
        <f t="shared" si="93"/>
        <v>1.0336123269013426</v>
      </c>
      <c r="AK151" s="300">
        <f t="shared" si="94"/>
        <v>1.0101791449808066</v>
      </c>
      <c r="AL151" s="300">
        <f t="shared" si="101"/>
        <v>1</v>
      </c>
      <c r="AM151" s="300">
        <f t="shared" si="95"/>
        <v>1.0231970557271615</v>
      </c>
      <c r="AN151" s="366">
        <f t="shared" si="82"/>
        <v>0.9885311351458379</v>
      </c>
      <c r="AO151" s="300">
        <f t="shared" si="83"/>
        <v>1.0103023640249296</v>
      </c>
      <c r="AP151" s="300">
        <f t="shared" si="84"/>
        <v>0.97845077903969502</v>
      </c>
    </row>
    <row r="152" spans="1:42">
      <c r="A152" s="198">
        <v>1997</v>
      </c>
      <c r="B152" s="1162">
        <f>TableUK1!D153</f>
        <v>972.57233799237611</v>
      </c>
      <c r="C152" s="959">
        <f t="shared" si="71"/>
        <v>4331.7460832274464</v>
      </c>
      <c r="D152" s="391">
        <f t="shared" si="85"/>
        <v>4.4936741335517727E-2</v>
      </c>
      <c r="E152" s="390">
        <f t="shared" si="96"/>
        <v>8.7907953426386687E-2</v>
      </c>
      <c r="F152" s="1372">
        <f>TableUK6a!M152</f>
        <v>4.4539063203969125</v>
      </c>
      <c r="G152" s="365">
        <f>TableUK12c!B168</f>
        <v>6.6191548911188489E-2</v>
      </c>
      <c r="H152" s="365">
        <f t="shared" si="86"/>
        <v>1.1470780357293778E-2</v>
      </c>
      <c r="I152" s="365">
        <f t="shared" si="87"/>
        <v>0</v>
      </c>
      <c r="J152" s="391">
        <f t="shared" si="97"/>
        <v>7.5570322498186293E-2</v>
      </c>
      <c r="K152" s="390">
        <f t="shared" si="88"/>
        <v>8.7154856345358134E-2</v>
      </c>
      <c r="L152" s="308">
        <f>TableUK6g!O79</f>
        <v>4.5032855305589159</v>
      </c>
      <c r="M152" s="365">
        <f>TableUK12c!B168</f>
        <v>6.6191548911188489E-2</v>
      </c>
      <c r="N152" s="365">
        <f t="shared" si="74"/>
        <v>1.1337148005363016E-2</v>
      </c>
      <c r="O152" s="365">
        <f t="shared" si="89"/>
        <v>0</v>
      </c>
      <c r="P152" s="391">
        <f t="shared" si="98"/>
        <v>7.4967787438174005E-2</v>
      </c>
      <c r="Q152" s="390">
        <f t="shared" si="75"/>
        <v>3.1618020104120959E-2</v>
      </c>
      <c r="R152" s="308">
        <f>TableUK6b!J37</f>
        <v>4.0379791768493316</v>
      </c>
      <c r="S152" s="365">
        <f>TableUK12c!B168</f>
        <v>6.6191548911188489E-2</v>
      </c>
      <c r="T152" s="365">
        <f t="shared" si="99"/>
        <v>1.1997665102552603E-2</v>
      </c>
      <c r="U152" s="365">
        <f t="shared" si="81"/>
        <v>1.9387747302341829E-2</v>
      </c>
      <c r="V152" s="2093">
        <f>TableUK5a!Q152</f>
        <v>0</v>
      </c>
      <c r="W152" s="365"/>
      <c r="X152" s="365"/>
      <c r="Y152" s="365"/>
      <c r="Z152" s="376">
        <f t="shared" si="77"/>
        <v>5.440462169025662</v>
      </c>
      <c r="AA152" s="377">
        <f t="shared" si="78"/>
        <v>1.669E-2</v>
      </c>
      <c r="AB152" s="378">
        <f t="shared" si="79"/>
        <v>5.1696409015674956</v>
      </c>
      <c r="AC152" s="379">
        <f t="shared" si="80"/>
        <v>1.4552300000000001E-2</v>
      </c>
      <c r="AF152" s="300">
        <f t="shared" si="90"/>
        <v>1.0879079534263867</v>
      </c>
      <c r="AG152" s="300">
        <f t="shared" si="91"/>
        <v>1.0114707803572938</v>
      </c>
      <c r="AH152" s="300">
        <f t="shared" si="100"/>
        <v>1</v>
      </c>
      <c r="AI152" s="300">
        <f t="shared" si="92"/>
        <v>1.0755703224981863</v>
      </c>
      <c r="AJ152" s="300">
        <f t="shared" si="93"/>
        <v>1.0871548563453581</v>
      </c>
      <c r="AK152" s="300">
        <f t="shared" si="94"/>
        <v>1.011337148005363</v>
      </c>
      <c r="AL152" s="300">
        <f t="shared" si="101"/>
        <v>1</v>
      </c>
      <c r="AM152" s="300">
        <f t="shared" si="95"/>
        <v>1.074967787438174</v>
      </c>
      <c r="AN152" s="366">
        <f t="shared" si="82"/>
        <v>1.031618020104121</v>
      </c>
      <c r="AO152" s="300">
        <f t="shared" si="83"/>
        <v>1.0119976651025526</v>
      </c>
      <c r="AP152" s="300">
        <f t="shared" si="84"/>
        <v>1.0193877473023418</v>
      </c>
    </row>
    <row r="153" spans="1:42">
      <c r="A153" s="198">
        <v>1998</v>
      </c>
      <c r="B153" s="1162">
        <f>TableUK1!D154</f>
        <v>1026.2394520547944</v>
      </c>
      <c r="C153" s="959">
        <f t="shared" si="71"/>
        <v>4767.8411301369852</v>
      </c>
      <c r="D153" s="391">
        <f t="shared" si="85"/>
        <v>5.5180588595805657E-2</v>
      </c>
      <c r="E153" s="390">
        <f t="shared" si="96"/>
        <v>0.10067419431579849</v>
      </c>
      <c r="F153" s="1372">
        <f>TableUK6a!M153</f>
        <v>4.6459343582928385</v>
      </c>
      <c r="G153" s="365">
        <f>TableUK12c!B169</f>
        <v>7.6195681395101092E-2</v>
      </c>
      <c r="H153" s="365">
        <f t="shared" si="86"/>
        <v>1.4861459615362945E-2</v>
      </c>
      <c r="I153" s="365">
        <f t="shared" si="87"/>
        <v>0</v>
      </c>
      <c r="J153" s="391">
        <f t="shared" si="97"/>
        <v>8.4556107523246604E-2</v>
      </c>
      <c r="K153" s="390">
        <f t="shared" si="88"/>
        <v>0.1013216389896241</v>
      </c>
      <c r="L153" s="308">
        <f>TableUK6g!O80</f>
        <v>4.7002056851267584</v>
      </c>
      <c r="M153" s="365">
        <f>TableUK12c!B169</f>
        <v>7.6195681395101092E-2</v>
      </c>
      <c r="N153" s="365">
        <f t="shared" si="74"/>
        <v>1.4698501452332573E-2</v>
      </c>
      <c r="O153" s="365">
        <f t="shared" si="89"/>
        <v>0</v>
      </c>
      <c r="P153" s="391">
        <f t="shared" si="98"/>
        <v>8.5368350710391505E-2</v>
      </c>
      <c r="Q153" s="390">
        <f t="shared" si="75"/>
        <v>3.8077105750841778E-2</v>
      </c>
      <c r="R153" s="308">
        <f>TableUK6b!J38</f>
        <v>3.9725273401438526</v>
      </c>
      <c r="S153" s="365">
        <f>TableUK12c!B169</f>
        <v>7.6195681395101092E-2</v>
      </c>
      <c r="T153" s="365">
        <f t="shared" si="99"/>
        <v>1.6392246223229667E-2</v>
      </c>
      <c r="U153" s="365">
        <f t="shared" si="81"/>
        <v>2.1335128842422613E-2</v>
      </c>
      <c r="V153" s="2093">
        <f>TableUK5a!Q153</f>
        <v>0</v>
      </c>
      <c r="W153" s="365"/>
      <c r="X153" s="365"/>
      <c r="Y153" s="365"/>
      <c r="Z153" s="376">
        <f t="shared" si="77"/>
        <v>5.3057835113699054</v>
      </c>
      <c r="AA153" s="377">
        <f t="shared" si="78"/>
        <v>1.669E-2</v>
      </c>
      <c r="AB153" s="378">
        <f t="shared" si="79"/>
        <v>5.0342338671305811</v>
      </c>
      <c r="AC153" s="379">
        <f t="shared" si="80"/>
        <v>1.4552300000000001E-2</v>
      </c>
      <c r="AF153" s="300">
        <f t="shared" si="90"/>
        <v>1.1006741943157985</v>
      </c>
      <c r="AG153" s="300">
        <f t="shared" si="91"/>
        <v>1.0148614596153629</v>
      </c>
      <c r="AH153" s="300">
        <f t="shared" si="100"/>
        <v>1</v>
      </c>
      <c r="AI153" s="300">
        <f t="shared" si="92"/>
        <v>1.0845561075232466</v>
      </c>
      <c r="AJ153" s="300">
        <f t="shared" si="93"/>
        <v>1.1013216389896241</v>
      </c>
      <c r="AK153" s="300">
        <f t="shared" si="94"/>
        <v>1.0146985014523326</v>
      </c>
      <c r="AL153" s="300">
        <f t="shared" si="101"/>
        <v>1</v>
      </c>
      <c r="AM153" s="300">
        <f t="shared" si="95"/>
        <v>1.0853683507103915</v>
      </c>
      <c r="AN153" s="366">
        <f t="shared" si="82"/>
        <v>1.0380771057508418</v>
      </c>
      <c r="AO153" s="300">
        <f t="shared" si="83"/>
        <v>1.0163922462232298</v>
      </c>
      <c r="AP153" s="300">
        <f t="shared" si="84"/>
        <v>1.0213351288424226</v>
      </c>
    </row>
    <row r="154" spans="1:42">
      <c r="A154" s="380">
        <f t="shared" ref="A154:A162" si="102">A153+1</f>
        <v>1999</v>
      </c>
      <c r="B154" s="1163">
        <f>TableUK1!D155</f>
        <v>1045.2921916971916</v>
      </c>
      <c r="C154" s="1171">
        <f t="shared" si="71"/>
        <v>5293.4666391941391</v>
      </c>
      <c r="D154" s="1172">
        <f t="shared" si="85"/>
        <v>1.8565588766100038E-2</v>
      </c>
      <c r="E154" s="1181">
        <f t="shared" si="96"/>
        <v>0.1102439227126788</v>
      </c>
      <c r="F154" s="1381">
        <f>TableUK6a!M154</f>
        <v>5.0641023450097595</v>
      </c>
      <c r="G154" s="1184">
        <f>TableUK12c!B170</f>
        <v>5.0772066452644503E-2</v>
      </c>
      <c r="H154" s="1184">
        <f t="shared" si="86"/>
        <v>1.6400507523119504E-2</v>
      </c>
      <c r="I154" s="1184">
        <f t="shared" si="87"/>
        <v>0</v>
      </c>
      <c r="J154" s="1172">
        <f t="shared" si="97"/>
        <v>9.2329169943300871E-2</v>
      </c>
      <c r="K154" s="1181">
        <f t="shared" si="88"/>
        <v>0.10996579386939942</v>
      </c>
      <c r="L154" s="550">
        <f>TableUK6g!O81</f>
        <v>5.1219750521526954</v>
      </c>
      <c r="M154" s="1184">
        <f>TableUK12c!B170</f>
        <v>5.0772066452644503E-2</v>
      </c>
      <c r="N154" s="1184">
        <f t="shared" si="74"/>
        <v>1.6211137660680098E-2</v>
      </c>
      <c r="O154" s="1184">
        <f t="shared" si="89"/>
        <v>0</v>
      </c>
      <c r="P154" s="1172">
        <f t="shared" si="98"/>
        <v>9.2259032335093805E-2</v>
      </c>
      <c r="Q154" s="1181">
        <f t="shared" si="75"/>
        <v>5.0625678520272777E-2</v>
      </c>
      <c r="R154" s="550">
        <f>TableUK6b!J39</f>
        <v>4.0975655158691895</v>
      </c>
      <c r="S154" s="1184">
        <f>TableUK12c!B170</f>
        <v>5.0772066452644503E-2</v>
      </c>
      <c r="T154" s="1184">
        <f t="shared" si="99"/>
        <v>1.9180656260088046E-2</v>
      </c>
      <c r="U154" s="1184">
        <f t="shared" si="81"/>
        <v>3.085323692815467E-2</v>
      </c>
      <c r="V154" s="2092">
        <f>TableUK5a!Q154</f>
        <v>0</v>
      </c>
      <c r="W154" s="365"/>
      <c r="X154" s="365"/>
      <c r="Y154" s="365"/>
      <c r="Z154" s="376">
        <f t="shared" si="77"/>
        <v>5.3720688052311401</v>
      </c>
      <c r="AA154" s="377">
        <f t="shared" si="78"/>
        <v>1.669E-2</v>
      </c>
      <c r="AB154" s="378">
        <f t="shared" si="79"/>
        <v>5.0902937519473888</v>
      </c>
      <c r="AC154" s="379">
        <f t="shared" si="80"/>
        <v>1.4552300000000001E-2</v>
      </c>
      <c r="AF154" s="300">
        <f t="shared" si="90"/>
        <v>1.1102439227126788</v>
      </c>
      <c r="AG154" s="300">
        <f t="shared" si="91"/>
        <v>1.0164005075231195</v>
      </c>
      <c r="AH154" s="300">
        <f t="shared" si="100"/>
        <v>1</v>
      </c>
      <c r="AI154" s="300">
        <f t="shared" si="92"/>
        <v>1.0923291699433009</v>
      </c>
      <c r="AJ154" s="300">
        <f t="shared" si="93"/>
        <v>1.1099657938693994</v>
      </c>
      <c r="AK154" s="300">
        <f t="shared" si="94"/>
        <v>1.0162111376606802</v>
      </c>
      <c r="AL154" s="300">
        <f t="shared" si="101"/>
        <v>1</v>
      </c>
      <c r="AM154" s="300">
        <f t="shared" si="95"/>
        <v>1.0922590323350938</v>
      </c>
      <c r="AN154" s="366">
        <f t="shared" si="82"/>
        <v>1.0506256785202728</v>
      </c>
      <c r="AO154" s="300">
        <f t="shared" si="83"/>
        <v>1.019180656260088</v>
      </c>
      <c r="AP154" s="300">
        <f t="shared" si="84"/>
        <v>1.0308532369281547</v>
      </c>
    </row>
    <row r="155" spans="1:42">
      <c r="A155" s="200">
        <f t="shared" si="102"/>
        <v>2000</v>
      </c>
      <c r="B155" s="1162">
        <f>TableUK1!D156</f>
        <v>1094.763052184466</v>
      </c>
      <c r="C155" s="959">
        <f t="shared" si="71"/>
        <v>5823.244745145631</v>
      </c>
      <c r="D155" s="391">
        <f t="shared" si="85"/>
        <v>4.7327303198305692E-2</v>
      </c>
      <c r="E155" s="390">
        <f t="shared" si="96"/>
        <v>0.10008150462853282</v>
      </c>
      <c r="F155" s="1372">
        <f>TableUK6a!M155</f>
        <v>5.3191827524011313</v>
      </c>
      <c r="G155" s="365">
        <f>TableUK12c!B171</f>
        <v>4.2848024354841134E-2</v>
      </c>
      <c r="H155" s="365">
        <f t="shared" si="86"/>
        <v>1.0025876847192087E-2</v>
      </c>
      <c r="I155" s="365">
        <f t="shared" si="87"/>
        <v>0</v>
      </c>
      <c r="J155" s="391">
        <f t="shared" si="97"/>
        <v>8.9161703522339764E-2</v>
      </c>
      <c r="K155" s="390">
        <f t="shared" si="88"/>
        <v>9.9319160976039322E-2</v>
      </c>
      <c r="L155" s="308">
        <f>TableUK6g!O82</f>
        <v>5.3762422689428995</v>
      </c>
      <c r="M155" s="365">
        <f>TableUK12c!B171</f>
        <v>4.2848024354841134E-2</v>
      </c>
      <c r="N155" s="365">
        <f t="shared" si="74"/>
        <v>9.9125954218198895E-3</v>
      </c>
      <c r="O155" s="365">
        <f t="shared" si="89"/>
        <v>0</v>
      </c>
      <c r="P155" s="391">
        <f t="shared" si="98"/>
        <v>8.8529013262653722E-2</v>
      </c>
      <c r="Q155" s="390">
        <f t="shared" si="75"/>
        <v>0.10003305509116367</v>
      </c>
      <c r="R155" s="308">
        <f>TableUK6b!J40</f>
        <v>4.3037716090213705</v>
      </c>
      <c r="S155" s="365">
        <f>TableUK12c!B171</f>
        <v>4.2848024354841134E-2</v>
      </c>
      <c r="T155" s="365">
        <f t="shared" si="99"/>
        <v>1.2390788202412564E-2</v>
      </c>
      <c r="U155" s="365">
        <f t="shared" si="81"/>
        <v>8.6569601294345544E-2</v>
      </c>
      <c r="V155" s="2093">
        <f>TableUK5a!Q155</f>
        <v>0</v>
      </c>
      <c r="W155" s="365"/>
      <c r="X155" s="365"/>
      <c r="Y155" s="365"/>
      <c r="Z155" s="376">
        <f t="shared" si="77"/>
        <v>5.264207348548676</v>
      </c>
      <c r="AA155" s="377">
        <f t="shared" si="78"/>
        <v>1.669E-2</v>
      </c>
      <c r="AB155" s="378">
        <f t="shared" si="79"/>
        <v>4.9801815865785164</v>
      </c>
      <c r="AC155" s="379">
        <f t="shared" si="80"/>
        <v>1.4552300000000001E-2</v>
      </c>
      <c r="AF155" s="300">
        <f t="shared" si="90"/>
        <v>1.1000815046285328</v>
      </c>
      <c r="AG155" s="300">
        <f t="shared" si="91"/>
        <v>1.0100258768471921</v>
      </c>
      <c r="AH155" s="300">
        <f t="shared" si="100"/>
        <v>1</v>
      </c>
      <c r="AI155" s="300">
        <f t="shared" si="92"/>
        <v>1.0891617035223398</v>
      </c>
      <c r="AJ155" s="300">
        <f t="shared" si="93"/>
        <v>1.0993191609760393</v>
      </c>
      <c r="AK155" s="300">
        <f t="shared" si="94"/>
        <v>1.00991259542182</v>
      </c>
      <c r="AL155" s="300">
        <f t="shared" si="101"/>
        <v>1</v>
      </c>
      <c r="AM155" s="300">
        <f t="shared" si="95"/>
        <v>1.0885290132626537</v>
      </c>
      <c r="AN155" s="366">
        <f t="shared" si="82"/>
        <v>1.1000330550911637</v>
      </c>
      <c r="AO155" s="300">
        <f t="shared" si="83"/>
        <v>1.0123907882024126</v>
      </c>
      <c r="AP155" s="300">
        <f t="shared" si="84"/>
        <v>1.0865696012943455</v>
      </c>
    </row>
    <row r="156" spans="1:42">
      <c r="A156" s="200">
        <f t="shared" si="102"/>
        <v>2001</v>
      </c>
      <c r="B156" s="1162">
        <f>TableUK1!D157</f>
        <v>1139.9037500000002</v>
      </c>
      <c r="C156" s="959">
        <f t="shared" si="71"/>
        <v>5900.1593750000011</v>
      </c>
      <c r="D156" s="391">
        <f t="shared" si="85"/>
        <v>4.1233304070192656E-2</v>
      </c>
      <c r="E156" s="390">
        <f t="shared" si="96"/>
        <v>1.3208208347843975E-2</v>
      </c>
      <c r="F156" s="1372">
        <f>TableUK6a!M156</f>
        <v>5.1760154091957329</v>
      </c>
      <c r="G156" s="365">
        <f>TableUK12c!B172</f>
        <v>4.7223388868114655E-2</v>
      </c>
      <c r="H156" s="365">
        <f t="shared" si="86"/>
        <v>8.0553773670399113E-3</v>
      </c>
      <c r="I156" s="365">
        <f t="shared" si="87"/>
        <v>0</v>
      </c>
      <c r="J156" s="391">
        <f t="shared" si="97"/>
        <v>5.1116546734395474E-3</v>
      </c>
      <c r="K156" s="390">
        <f t="shared" si="88"/>
        <v>1.3556960069119883E-2</v>
      </c>
      <c r="L156" s="308">
        <f>TableUK6g!O83</f>
        <v>5.2333398762834147</v>
      </c>
      <c r="M156" s="365">
        <f>TableUK12c!B172</f>
        <v>4.7223388868114655E-2</v>
      </c>
      <c r="N156" s="365">
        <f t="shared" si="74"/>
        <v>7.9698834634671523E-3</v>
      </c>
      <c r="O156" s="365">
        <f t="shared" si="89"/>
        <v>0</v>
      </c>
      <c r="P156" s="391">
        <f t="shared" si="98"/>
        <v>5.5429003359257489E-3</v>
      </c>
      <c r="Q156" s="390">
        <f t="shared" si="75"/>
        <v>6.5312833211894628E-2</v>
      </c>
      <c r="R156" s="308">
        <f>TableUK6b!J41</f>
        <v>4.4033004979587087</v>
      </c>
      <c r="S156" s="365">
        <f>TableUK12c!B172</f>
        <v>4.7223388868114655E-2</v>
      </c>
      <c r="T156" s="365">
        <f t="shared" si="99"/>
        <v>9.9559243025408341E-3</v>
      </c>
      <c r="U156" s="365">
        <f t="shared" si="81"/>
        <v>5.4811212625523575E-2</v>
      </c>
      <c r="V156" s="2093">
        <f>TableUK5a!Q156</f>
        <v>0</v>
      </c>
      <c r="W156" s="365"/>
      <c r="X156" s="365"/>
      <c r="Y156" s="365"/>
      <c r="Z156" s="376">
        <f t="shared" si="77"/>
        <v>5.1819607632465257</v>
      </c>
      <c r="AA156" s="377">
        <f t="shared" si="78"/>
        <v>1.669E-2</v>
      </c>
      <c r="AB156" s="378">
        <f t="shared" si="79"/>
        <v>4.8943173684703787</v>
      </c>
      <c r="AC156" s="379">
        <f t="shared" si="80"/>
        <v>1.4552300000000001E-2</v>
      </c>
      <c r="AF156" s="300">
        <f t="shared" si="90"/>
        <v>1.013208208347844</v>
      </c>
      <c r="AG156" s="300">
        <f t="shared" si="91"/>
        <v>1.00805537736704</v>
      </c>
      <c r="AH156" s="300">
        <f t="shared" si="100"/>
        <v>1</v>
      </c>
      <c r="AI156" s="300">
        <f t="shared" si="92"/>
        <v>1.0051116546734395</v>
      </c>
      <c r="AJ156" s="300">
        <f t="shared" si="93"/>
        <v>1.0135569600691199</v>
      </c>
      <c r="AK156" s="300">
        <f t="shared" si="94"/>
        <v>1.0079698834634672</v>
      </c>
      <c r="AL156" s="300">
        <f t="shared" si="101"/>
        <v>1</v>
      </c>
      <c r="AM156" s="300">
        <f t="shared" si="95"/>
        <v>1.0055429003359257</v>
      </c>
      <c r="AN156" s="366">
        <f t="shared" si="82"/>
        <v>1.0653128332118946</v>
      </c>
      <c r="AO156" s="300">
        <f t="shared" si="83"/>
        <v>1.0099559243025409</v>
      </c>
      <c r="AP156" s="300">
        <f t="shared" si="84"/>
        <v>1.0548112126255236</v>
      </c>
    </row>
    <row r="157" spans="1:42">
      <c r="A157" s="200">
        <f t="shared" si="102"/>
        <v>2002</v>
      </c>
      <c r="B157" s="1162">
        <f>TableUK1!D158</f>
        <v>1182.2803208868143</v>
      </c>
      <c r="C157" s="959">
        <f t="shared" si="71"/>
        <v>5817.6003558926486</v>
      </c>
      <c r="D157" s="391">
        <f t="shared" si="85"/>
        <v>3.7175569329265024E-2</v>
      </c>
      <c r="E157" s="390">
        <f t="shared" si="96"/>
        <v>-1.3992676105864077E-2</v>
      </c>
      <c r="F157" s="1372">
        <f>TableUK6a!M157</f>
        <v>4.9206607376573235</v>
      </c>
      <c r="G157" s="365">
        <f>TableUK12c!B173</f>
        <v>4.5921566686056327E-2</v>
      </c>
      <c r="H157" s="365">
        <f t="shared" si="86"/>
        <v>9.1235023729290612E-3</v>
      </c>
      <c r="I157" s="365">
        <f t="shared" si="87"/>
        <v>0</v>
      </c>
      <c r="J157" s="391">
        <f t="shared" si="97"/>
        <v>-2.2907184724601071E-2</v>
      </c>
      <c r="K157" s="390">
        <f t="shared" si="88"/>
        <v>-1.3018242078381093E-2</v>
      </c>
      <c r="L157" s="308">
        <f>TableUK6g!O84</f>
        <v>4.9800739080615077</v>
      </c>
      <c r="M157" s="365">
        <f>TableUK12c!B173</f>
        <v>4.5921566686056327E-2</v>
      </c>
      <c r="N157" s="365">
        <f t="shared" si="74"/>
        <v>9.0235662090518594E-3</v>
      </c>
      <c r="O157" s="365">
        <f t="shared" si="89"/>
        <v>0</v>
      </c>
      <c r="P157" s="391">
        <f t="shared" si="98"/>
        <v>-2.184469126944677E-2</v>
      </c>
      <c r="Q157" s="390">
        <f t="shared" si="75"/>
        <v>6.5096913652593846E-2</v>
      </c>
      <c r="R157" s="308">
        <f>TableUK6b!J42</f>
        <v>4.5218398012341403</v>
      </c>
      <c r="S157" s="365">
        <f>TableUK12c!B173</f>
        <v>4.5921566686056327E-2</v>
      </c>
      <c r="T157" s="365">
        <f t="shared" si="99"/>
        <v>1.0724543757576066E-2</v>
      </c>
      <c r="U157" s="365">
        <f t="shared" si="81"/>
        <v>5.3795438362342907E-2</v>
      </c>
      <c r="V157" s="2093">
        <f>TableUK5a!Q157</f>
        <v>0</v>
      </c>
      <c r="W157" s="365"/>
      <c r="X157" s="365"/>
      <c r="Y157" s="365"/>
      <c r="Z157" s="376">
        <f t="shared" si="77"/>
        <v>5.1259009494906973</v>
      </c>
      <c r="AA157" s="377">
        <f t="shared" si="78"/>
        <v>1.669E-2</v>
      </c>
      <c r="AB157" s="378">
        <f t="shared" si="79"/>
        <v>4.8337539845290403</v>
      </c>
      <c r="AC157" s="379">
        <f t="shared" si="80"/>
        <v>1.4552300000000001E-2</v>
      </c>
      <c r="AF157" s="300">
        <f t="shared" si="90"/>
        <v>0.98600732389413592</v>
      </c>
      <c r="AG157" s="300">
        <f t="shared" si="91"/>
        <v>1.009123502372929</v>
      </c>
      <c r="AH157" s="300">
        <f t="shared" si="100"/>
        <v>1</v>
      </c>
      <c r="AI157" s="300">
        <f t="shared" si="92"/>
        <v>0.97709281527539893</v>
      </c>
      <c r="AJ157" s="300">
        <f t="shared" si="93"/>
        <v>0.98698175792161891</v>
      </c>
      <c r="AK157" s="300">
        <f t="shared" si="94"/>
        <v>1.0090235662090519</v>
      </c>
      <c r="AL157" s="300">
        <f t="shared" si="101"/>
        <v>1</v>
      </c>
      <c r="AM157" s="300">
        <f t="shared" si="95"/>
        <v>0.97815530873055323</v>
      </c>
      <c r="AN157" s="366">
        <f t="shared" si="82"/>
        <v>1.0650969136525938</v>
      </c>
      <c r="AO157" s="300">
        <f t="shared" si="83"/>
        <v>1.010724543757576</v>
      </c>
      <c r="AP157" s="300">
        <f t="shared" si="84"/>
        <v>1.0537954383623429</v>
      </c>
    </row>
    <row r="158" spans="1:42">
      <c r="A158" s="200">
        <f t="shared" si="102"/>
        <v>2003</v>
      </c>
      <c r="B158" s="1162">
        <f>TableUK1!D159</f>
        <v>1226.8419156214366</v>
      </c>
      <c r="C158" s="959">
        <f t="shared" si="71"/>
        <v>6016.877049600912</v>
      </c>
      <c r="D158" s="391">
        <f t="shared" si="85"/>
        <v>3.7691225970163389E-2</v>
      </c>
      <c r="E158" s="390">
        <f t="shared" si="96"/>
        <v>3.4254105046321426E-2</v>
      </c>
      <c r="F158" s="1372">
        <f>TableUK6a!M158</f>
        <v>4.9043621455932751</v>
      </c>
      <c r="G158" s="365">
        <f>TableUK12c!B174</f>
        <v>4.7124685196030719E-2</v>
      </c>
      <c r="H158" s="365">
        <f t="shared" si="86"/>
        <v>9.3323984591384603E-3</v>
      </c>
      <c r="I158" s="365">
        <f t="shared" si="87"/>
        <v>0</v>
      </c>
      <c r="J158" s="391">
        <f t="shared" si="97"/>
        <v>2.4691277744803175E-2</v>
      </c>
      <c r="K158" s="390">
        <f t="shared" si="88"/>
        <v>3.4054327696238174E-2</v>
      </c>
      <c r="L158" s="308">
        <f>TableUK6g!O85</f>
        <v>4.9626197543142636</v>
      </c>
      <c r="M158" s="365">
        <f>TableUK12c!B174</f>
        <v>4.7124685196030719E-2</v>
      </c>
      <c r="N158" s="365">
        <f t="shared" si="74"/>
        <v>9.221061280179129E-3</v>
      </c>
      <c r="O158" s="365">
        <f t="shared" si="89"/>
        <v>0</v>
      </c>
      <c r="P158" s="391">
        <f t="shared" si="98"/>
        <v>2.4606369574331488E-2</v>
      </c>
      <c r="Q158" s="390">
        <f t="shared" si="75"/>
        <v>8.3548849909781175E-2</v>
      </c>
      <c r="R158" s="308">
        <f>TableUK6b!J43</f>
        <v>4.7216688293020264</v>
      </c>
      <c r="S158" s="365">
        <f>TableUK12c!B174</f>
        <v>4.7124685196030719E-2</v>
      </c>
      <c r="T158" s="365">
        <f t="shared" si="99"/>
        <v>1.0155504994565046E-2</v>
      </c>
      <c r="U158" s="365">
        <f t="shared" si="81"/>
        <v>7.2655491706310249E-2</v>
      </c>
      <c r="V158" s="2093">
        <f>TableUK5a!Q158</f>
        <v>0</v>
      </c>
      <c r="W158" s="365"/>
      <c r="X158" s="365"/>
      <c r="Y158" s="365"/>
      <c r="Z158" s="376">
        <f t="shared" si="77"/>
        <v>5.0671530243071849</v>
      </c>
      <c r="AA158" s="377">
        <f t="shared" si="78"/>
        <v>1.669E-2</v>
      </c>
      <c r="AB158" s="378">
        <f t="shared" si="79"/>
        <v>4.7708662556248607</v>
      </c>
      <c r="AC158" s="379">
        <f t="shared" si="80"/>
        <v>1.4552300000000001E-2</v>
      </c>
      <c r="AF158" s="300">
        <f t="shared" si="90"/>
        <v>1.0342541050463214</v>
      </c>
      <c r="AG158" s="300">
        <f t="shared" si="91"/>
        <v>1.0093323984591385</v>
      </c>
      <c r="AH158" s="300">
        <f t="shared" si="100"/>
        <v>1</v>
      </c>
      <c r="AI158" s="300">
        <f t="shared" si="92"/>
        <v>1.0246912777448032</v>
      </c>
      <c r="AJ158" s="300">
        <f t="shared" si="93"/>
        <v>1.0340543276962382</v>
      </c>
      <c r="AK158" s="300">
        <f t="shared" si="94"/>
        <v>1.0092210612801791</v>
      </c>
      <c r="AL158" s="300">
        <f t="shared" si="101"/>
        <v>1</v>
      </c>
      <c r="AM158" s="300">
        <f t="shared" si="95"/>
        <v>1.0246063695743315</v>
      </c>
      <c r="AN158" s="366">
        <f t="shared" si="82"/>
        <v>1.0835488499097812</v>
      </c>
      <c r="AO158" s="300">
        <f t="shared" si="83"/>
        <v>1.010155504994565</v>
      </c>
      <c r="AP158" s="300">
        <f t="shared" si="84"/>
        <v>1.0726554917063102</v>
      </c>
    </row>
    <row r="159" spans="1:42">
      <c r="A159" s="200">
        <f t="shared" si="102"/>
        <v>2004</v>
      </c>
      <c r="B159" s="1162">
        <f>TableUK1!D160</f>
        <v>1260.8605005561735</v>
      </c>
      <c r="C159" s="959">
        <f t="shared" si="71"/>
        <v>6396.2526223581754</v>
      </c>
      <c r="D159" s="391">
        <f t="shared" si="85"/>
        <v>2.7728580595084651E-2</v>
      </c>
      <c r="E159" s="390">
        <f t="shared" si="96"/>
        <v>6.3051907098953697E-2</v>
      </c>
      <c r="F159" s="1372">
        <f>TableUK6a!M159</f>
        <v>5.0729264811902253</v>
      </c>
      <c r="G159" s="365">
        <f>TableUK12c!B175</f>
        <v>4.3987875077901174E-2</v>
      </c>
      <c r="H159" s="365">
        <f t="shared" si="86"/>
        <v>9.6087286780756481E-3</v>
      </c>
      <c r="I159" s="365">
        <f t="shared" si="87"/>
        <v>0</v>
      </c>
      <c r="J159" s="391">
        <f t="shared" si="97"/>
        <v>5.2934544742747391E-2</v>
      </c>
      <c r="K159" s="390">
        <f t="shared" si="88"/>
        <v>6.2172408170143356E-2</v>
      </c>
      <c r="L159" s="308">
        <f>TableUK6g!O86</f>
        <v>5.1289395612804247</v>
      </c>
      <c r="M159" s="365">
        <f>TableUK12c!B175</f>
        <v>4.3987875077901174E-2</v>
      </c>
      <c r="N159" s="365">
        <f t="shared" si="74"/>
        <v>9.4959290715479015E-3</v>
      </c>
      <c r="O159" s="365">
        <f t="shared" si="89"/>
        <v>0</v>
      </c>
      <c r="P159" s="391">
        <f t="shared" si="98"/>
        <v>5.2180972286874905E-2</v>
      </c>
      <c r="Q159" s="390">
        <f t="shared" si="75"/>
        <v>5.5205466997768182E-2</v>
      </c>
      <c r="R159" s="308">
        <f>TableUK6b!J44</f>
        <v>4.8479052311141677</v>
      </c>
      <c r="S159" s="365">
        <f>TableUK12c!B175</f>
        <v>4.3987875077901174E-2</v>
      </c>
      <c r="T159" s="365">
        <f t="shared" si="99"/>
        <v>9.9805147077620983E-3</v>
      </c>
      <c r="U159" s="365">
        <f t="shared" si="81"/>
        <v>4.4778044359689462E-2</v>
      </c>
      <c r="V159" s="2093">
        <f>TableUK5a!Q159</f>
        <v>0</v>
      </c>
      <c r="W159" s="365"/>
      <c r="X159" s="365"/>
      <c r="Y159" s="365"/>
      <c r="Z159" s="376">
        <f t="shared" si="77"/>
        <v>5.0593465070943973</v>
      </c>
      <c r="AA159" s="377">
        <f t="shared" si="78"/>
        <v>1.669E-2</v>
      </c>
      <c r="AB159" s="378">
        <f t="shared" si="79"/>
        <v>4.7562205456606517</v>
      </c>
      <c r="AC159" s="379">
        <f t="shared" si="80"/>
        <v>1.4552300000000001E-2</v>
      </c>
      <c r="AF159" s="300">
        <f t="shared" si="90"/>
        <v>1.0630519070989537</v>
      </c>
      <c r="AG159" s="300">
        <f t="shared" si="91"/>
        <v>1.0096087286780757</v>
      </c>
      <c r="AH159" s="300">
        <f t="shared" si="100"/>
        <v>1</v>
      </c>
      <c r="AI159" s="300">
        <f t="shared" si="92"/>
        <v>1.0529345447427474</v>
      </c>
      <c r="AJ159" s="300">
        <f t="shared" si="93"/>
        <v>1.0621724081701434</v>
      </c>
      <c r="AK159" s="300">
        <f t="shared" si="94"/>
        <v>1.0094959290715479</v>
      </c>
      <c r="AL159" s="300">
        <f t="shared" si="101"/>
        <v>1</v>
      </c>
      <c r="AM159" s="300">
        <f t="shared" si="95"/>
        <v>1.0521809722868749</v>
      </c>
      <c r="AN159" s="366">
        <f t="shared" si="82"/>
        <v>1.0552054669977682</v>
      </c>
      <c r="AO159" s="300">
        <f t="shared" si="83"/>
        <v>1.0099805147077621</v>
      </c>
      <c r="AP159" s="300">
        <f t="shared" si="84"/>
        <v>1.0447780443596895</v>
      </c>
    </row>
    <row r="160" spans="1:42">
      <c r="A160" s="200">
        <f t="shared" si="102"/>
        <v>2005</v>
      </c>
      <c r="B160" s="1162">
        <f>TableUK1!D161</f>
        <v>1294.4237418300654</v>
      </c>
      <c r="C160" s="959">
        <f t="shared" si="71"/>
        <v>6808.6218001089337</v>
      </c>
      <c r="D160" s="391">
        <f t="shared" si="85"/>
        <v>2.661931376158333E-2</v>
      </c>
      <c r="E160" s="390">
        <f t="shared" si="96"/>
        <v>6.4470433251700543E-2</v>
      </c>
      <c r="F160" s="1372">
        <f>TableUK6a!M160</f>
        <v>5.2599636271217154</v>
      </c>
      <c r="G160" s="365">
        <f>TableUK12c!B176</f>
        <v>3.9200184326609856E-2</v>
      </c>
      <c r="H160" s="365">
        <f t="shared" si="86"/>
        <v>8.6711043893505438E-3</v>
      </c>
      <c r="I160" s="365">
        <f t="shared" si="87"/>
        <v>0</v>
      </c>
      <c r="J160" s="391">
        <f t="shared" si="97"/>
        <v>5.5319646433344527E-2</v>
      </c>
      <c r="K160" s="390">
        <f t="shared" si="88"/>
        <v>6.276254426092609E-2</v>
      </c>
      <c r="L160" s="308">
        <f>TableUK6g!O87</f>
        <v>5.3095093618828777</v>
      </c>
      <c r="M160" s="365">
        <f>TableUK12c!B176</f>
        <v>3.9200184326609856E-2</v>
      </c>
      <c r="N160" s="365">
        <f t="shared" si="74"/>
        <v>8.5764073747283016E-3</v>
      </c>
      <c r="O160" s="365">
        <f t="shared" si="89"/>
        <v>0</v>
      </c>
      <c r="P160" s="391">
        <f t="shared" si="98"/>
        <v>5.3725366258805751E-2</v>
      </c>
      <c r="Q160" s="390">
        <f t="shared" si="75"/>
        <v>2.8908306568010023E-2</v>
      </c>
      <c r="R160" s="308">
        <f>TableUK6b!J45</f>
        <v>4.8587143207655208</v>
      </c>
      <c r="S160" s="365">
        <f>TableUK12c!B176</f>
        <v>3.9200184326609856E-2</v>
      </c>
      <c r="T160" s="365">
        <f t="shared" si="99"/>
        <v>9.0735839462339658E-3</v>
      </c>
      <c r="U160" s="365">
        <f t="shared" si="81"/>
        <v>1.9656368908407496E-2</v>
      </c>
      <c r="V160" s="2093">
        <f>TableUK5a!Q160</f>
        <v>0</v>
      </c>
      <c r="W160" s="365"/>
      <c r="X160" s="365"/>
      <c r="Y160" s="365"/>
      <c r="Z160" s="376">
        <f t="shared" si="77"/>
        <v>5.0539756689359399</v>
      </c>
      <c r="AA160" s="377">
        <f t="shared" si="78"/>
        <v>1.669E-2</v>
      </c>
      <c r="AB160" s="378">
        <f t="shared" si="79"/>
        <v>4.7437861614891306</v>
      </c>
      <c r="AC160" s="379">
        <f t="shared" si="80"/>
        <v>1.4552300000000001E-2</v>
      </c>
      <c r="AF160" s="300">
        <f t="shared" si="90"/>
        <v>1.0644704332517005</v>
      </c>
      <c r="AG160" s="300">
        <f t="shared" si="91"/>
        <v>1.0086711043893506</v>
      </c>
      <c r="AH160" s="300">
        <f t="shared" si="100"/>
        <v>1</v>
      </c>
      <c r="AI160" s="300">
        <f t="shared" si="92"/>
        <v>1.0553196464333445</v>
      </c>
      <c r="AJ160" s="300">
        <f t="shared" si="93"/>
        <v>1.0627625442609261</v>
      </c>
      <c r="AK160" s="300">
        <f t="shared" si="94"/>
        <v>1.0085764073747283</v>
      </c>
      <c r="AL160" s="300">
        <f t="shared" si="101"/>
        <v>1</v>
      </c>
      <c r="AM160" s="300">
        <f t="shared" si="95"/>
        <v>1.0537253662588058</v>
      </c>
      <c r="AN160" s="366">
        <f t="shared" si="82"/>
        <v>1.02890830656801</v>
      </c>
      <c r="AO160" s="300">
        <f t="shared" si="83"/>
        <v>1.0090735839462339</v>
      </c>
      <c r="AP160" s="300">
        <f t="shared" si="84"/>
        <v>1.0196563689084075</v>
      </c>
    </row>
    <row r="161" spans="1:42">
      <c r="A161" s="200">
        <f t="shared" si="102"/>
        <v>2006</v>
      </c>
      <c r="B161" s="1162">
        <f>TableUK1!D162</f>
        <v>1311.2324894514768</v>
      </c>
      <c r="C161" s="959">
        <f t="shared" si="71"/>
        <v>7167.6974393459932</v>
      </c>
      <c r="D161" s="391">
        <f t="shared" si="85"/>
        <v>1.2985506274511893E-2</v>
      </c>
      <c r="E161" s="390">
        <f t="shared" si="96"/>
        <v>5.2738373459268129E-2</v>
      </c>
      <c r="F161" s="1372">
        <f>TableUK6a!M161</f>
        <v>5.466381817876119</v>
      </c>
      <c r="G161" s="365">
        <f>TableUK12c!B177</f>
        <v>3.6301136086596117E-2</v>
      </c>
      <c r="H161" s="365">
        <f t="shared" si="86"/>
        <v>7.4525580603796758E-3</v>
      </c>
      <c r="I161" s="365">
        <f t="shared" si="87"/>
        <v>0</v>
      </c>
      <c r="J161" s="391">
        <f t="shared" si="97"/>
        <v>4.4950816826626605E-2</v>
      </c>
      <c r="K161" s="390">
        <f t="shared" si="88"/>
        <v>5.1351887548394926E-2</v>
      </c>
      <c r="L161" s="308">
        <f>TableUK6g!O88</f>
        <v>5.5106046976931875</v>
      </c>
      <c r="M161" s="365">
        <f>TableUK12c!B177</f>
        <v>3.6301136086596117E-2</v>
      </c>
      <c r="N161" s="365">
        <f t="shared" si="74"/>
        <v>7.3830144472536614E-3</v>
      </c>
      <c r="O161" s="365">
        <f t="shared" si="89"/>
        <v>0</v>
      </c>
      <c r="P161" s="391">
        <f t="shared" si="98"/>
        <v>4.3646629405665216E-2</v>
      </c>
      <c r="Q161" s="390">
        <f t="shared" si="75"/>
        <v>1.5667090014917617E-2</v>
      </c>
      <c r="R161" s="308">
        <f>TableUK6b!J46</f>
        <v>4.8715763501244194</v>
      </c>
      <c r="S161" s="365">
        <f>TableUK12c!B177</f>
        <v>3.6301136086596117E-2</v>
      </c>
      <c r="T161" s="365">
        <f t="shared" si="99"/>
        <v>8.0680158862342054E-3</v>
      </c>
      <c r="U161" s="365">
        <f t="shared" si="81"/>
        <v>7.5382553646468065E-3</v>
      </c>
      <c r="V161" s="2093">
        <f>TableUK5a!Q161</f>
        <v>0</v>
      </c>
      <c r="W161" s="365"/>
      <c r="X161" s="365"/>
      <c r="Y161" s="365"/>
      <c r="Z161" s="376">
        <f t="shared" si="77"/>
        <v>5.1118016261629045</v>
      </c>
      <c r="AA161" s="377">
        <f t="shared" si="78"/>
        <v>1.669E-2</v>
      </c>
      <c r="AB161" s="378">
        <f t="shared" si="79"/>
        <v>4.7903842334945876</v>
      </c>
      <c r="AC161" s="379">
        <f t="shared" si="80"/>
        <v>1.4552300000000001E-2</v>
      </c>
      <c r="AF161" s="300">
        <f t="shared" si="90"/>
        <v>1.0527383734592681</v>
      </c>
      <c r="AG161" s="300">
        <f t="shared" si="91"/>
        <v>1.0074525580603797</v>
      </c>
      <c r="AH161" s="300">
        <f t="shared" si="100"/>
        <v>1</v>
      </c>
      <c r="AI161" s="300">
        <f t="shared" si="92"/>
        <v>1.0449508168266266</v>
      </c>
      <c r="AJ161" s="300">
        <f t="shared" si="93"/>
        <v>1.0513518875483949</v>
      </c>
      <c r="AK161" s="300">
        <f t="shared" si="94"/>
        <v>1.0073830144472538</v>
      </c>
      <c r="AL161" s="300">
        <f t="shared" si="101"/>
        <v>1</v>
      </c>
      <c r="AM161" s="300">
        <f t="shared" si="95"/>
        <v>1.0436466294056652</v>
      </c>
      <c r="AN161" s="366">
        <f t="shared" si="82"/>
        <v>1.0156670900149176</v>
      </c>
      <c r="AO161" s="300">
        <f t="shared" si="83"/>
        <v>1.0080680158862343</v>
      </c>
      <c r="AP161" s="300">
        <f t="shared" si="84"/>
        <v>1.0075382553646468</v>
      </c>
    </row>
    <row r="162" spans="1:42">
      <c r="A162" s="200">
        <f t="shared" si="102"/>
        <v>2007</v>
      </c>
      <c r="B162" s="1162">
        <f>TableUK1!D163</f>
        <v>1369.4100154639175</v>
      </c>
      <c r="C162" s="959">
        <f t="shared" si="71"/>
        <v>7534.9310231958771</v>
      </c>
      <c r="D162" s="391">
        <f t="shared" si="85"/>
        <v>4.4368581834620224E-2</v>
      </c>
      <c r="E162" s="390">
        <f t="shared" si="96"/>
        <v>5.1234526423229232E-2</v>
      </c>
      <c r="F162" s="1372">
        <f>TableUK6a!M162</f>
        <v>5.5023192017792093</v>
      </c>
      <c r="G162" s="365">
        <f>TableUK12c!B178</f>
        <v>5.5211591594237538E-2</v>
      </c>
      <c r="H162" s="365">
        <f t="shared" si="86"/>
        <v>6.6407977517934126E-3</v>
      </c>
      <c r="I162" s="365">
        <f t="shared" si="87"/>
        <v>0</v>
      </c>
      <c r="J162" s="391">
        <f t="shared" si="97"/>
        <v>4.4299544356865228E-2</v>
      </c>
      <c r="K162" s="390">
        <f t="shared" si="88"/>
        <v>5.1432979813120561E-2</v>
      </c>
      <c r="L162" s="308">
        <f>TableUK6g!O89</f>
        <v>5.5478799521998985</v>
      </c>
      <c r="M162" s="365">
        <f>TableUK12c!B178</f>
        <v>5.5211591594237538E-2</v>
      </c>
      <c r="N162" s="365">
        <f t="shared" si="74"/>
        <v>6.5875050158818787E-3</v>
      </c>
      <c r="O162" s="365">
        <f t="shared" si="89"/>
        <v>0</v>
      </c>
      <c r="P162" s="391">
        <f t="shared" si="98"/>
        <v>4.4551988350512106E-2</v>
      </c>
      <c r="Q162" s="390">
        <f t="shared" si="75"/>
        <v>5.5071462181088826E-2</v>
      </c>
      <c r="R162" s="308">
        <f>TableUK6b!J47</f>
        <v>4.9215011560607245</v>
      </c>
      <c r="S162" s="365">
        <f>TableUK12c!B178</f>
        <v>5.5211591594237538E-2</v>
      </c>
      <c r="T162" s="365">
        <f t="shared" si="99"/>
        <v>7.4516200666071859E-3</v>
      </c>
      <c r="U162" s="365">
        <f t="shared" si="81"/>
        <v>4.726762175570598E-2</v>
      </c>
      <c r="V162" s="2093">
        <f>TableUK5a!Q162</f>
        <v>0</v>
      </c>
      <c r="W162" s="365"/>
      <c r="X162" s="365"/>
      <c r="Y162" s="365"/>
      <c r="Z162" s="376">
        <f t="shared" si="77"/>
        <v>5.0116641656884635</v>
      </c>
      <c r="AA162" s="377">
        <f t="shared" si="78"/>
        <v>1.669E-2</v>
      </c>
      <c r="AB162" s="378">
        <f t="shared" si="79"/>
        <v>4.6888855412354662</v>
      </c>
      <c r="AC162" s="379">
        <f t="shared" si="80"/>
        <v>1.4552300000000001E-2</v>
      </c>
      <c r="AF162" s="300">
        <f t="shared" si="90"/>
        <v>1.0512345264232292</v>
      </c>
      <c r="AG162" s="300">
        <f t="shared" si="91"/>
        <v>1.0066407977517935</v>
      </c>
      <c r="AH162" s="300">
        <f t="shared" si="100"/>
        <v>1</v>
      </c>
      <c r="AI162" s="300">
        <f t="shared" si="92"/>
        <v>1.0442995443568652</v>
      </c>
      <c r="AJ162" s="300">
        <f t="shared" si="93"/>
        <v>1.0514329798131206</v>
      </c>
      <c r="AK162" s="300">
        <f t="shared" si="94"/>
        <v>1.0065875050158819</v>
      </c>
      <c r="AL162" s="300">
        <f t="shared" si="101"/>
        <v>1</v>
      </c>
      <c r="AM162" s="300">
        <f t="shared" si="95"/>
        <v>1.0445519883505121</v>
      </c>
      <c r="AN162" s="366">
        <f t="shared" si="82"/>
        <v>1.0550714621810888</v>
      </c>
      <c r="AO162" s="300">
        <f t="shared" si="83"/>
        <v>1.0074516200666073</v>
      </c>
      <c r="AP162" s="300">
        <f t="shared" si="84"/>
        <v>1.047267621755706</v>
      </c>
    </row>
    <row r="163" spans="1:42">
      <c r="A163" s="200">
        <v>2008</v>
      </c>
      <c r="B163" s="1162">
        <f>TableUK1!D164</f>
        <v>1372.91264</v>
      </c>
      <c r="C163" s="959">
        <f t="shared" si="71"/>
        <v>7057.8390850000005</v>
      </c>
      <c r="D163" s="391">
        <f t="shared" si="85"/>
        <v>2.5577617342720238E-3</v>
      </c>
      <c r="E163" s="390">
        <f t="shared" si="96"/>
        <v>-6.3317359737889434E-2</v>
      </c>
      <c r="F163" s="1372">
        <f>TableUK6a!M163</f>
        <v>5.1407779922544821</v>
      </c>
      <c r="G163" s="365">
        <f>TableUK12c!B179</f>
        <v>5.7696479419450185E-2</v>
      </c>
      <c r="H163" s="365">
        <f t="shared" si="86"/>
        <v>1.0034240030346572E-2</v>
      </c>
      <c r="I163" s="365">
        <f t="shared" si="87"/>
        <v>0</v>
      </c>
      <c r="J163" s="391">
        <f t="shared" si="97"/>
        <v>-7.2622884315320047E-2</v>
      </c>
      <c r="K163" s="390">
        <f t="shared" si="88"/>
        <v>-6.2703109446034078E-2</v>
      </c>
      <c r="L163" s="308">
        <f>TableUK6g!O90</f>
        <v>5.1867441725935315</v>
      </c>
      <c r="M163" s="365">
        <f>TableUK12c!B179</f>
        <v>5.7696479419450185E-2</v>
      </c>
      <c r="N163" s="365">
        <f t="shared" si="74"/>
        <v>9.951836029246543E-3</v>
      </c>
      <c r="O163" s="365">
        <f t="shared" si="89"/>
        <v>0</v>
      </c>
      <c r="P163" s="391">
        <f t="shared" si="98"/>
        <v>-7.1939020142715693E-2</v>
      </c>
      <c r="Q163" s="390">
        <f t="shared" si="75"/>
        <v>-7.6539682118490493E-3</v>
      </c>
      <c r="R163" s="308">
        <f>TableUK6b!J48</f>
        <v>4.8713723329111458</v>
      </c>
      <c r="S163" s="365">
        <f>TableUK12c!B179</f>
        <v>5.7696479419450185E-2</v>
      </c>
      <c r="T163" s="365">
        <f t="shared" si="99"/>
        <v>1.1218445316475367E-2</v>
      </c>
      <c r="U163" s="365">
        <f t="shared" si="81"/>
        <v>-1.866304319876011E-2</v>
      </c>
      <c r="V163" s="2093">
        <f>TableUK5a!Q163</f>
        <v>0</v>
      </c>
      <c r="W163" s="365"/>
      <c r="X163" s="365"/>
      <c r="Y163" s="365"/>
      <c r="Z163" s="376">
        <f t="shared" si="77"/>
        <v>5.1382993681686138</v>
      </c>
      <c r="AA163" s="377">
        <f t="shared" si="78"/>
        <v>1.669E-2</v>
      </c>
      <c r="AB163" s="378">
        <f t="shared" si="79"/>
        <v>4.8008552137781999</v>
      </c>
      <c r="AC163" s="379">
        <f t="shared" si="80"/>
        <v>1.4552300000000001E-2</v>
      </c>
      <c r="AF163" s="300">
        <f t="shared" si="90"/>
        <v>0.93668264026211057</v>
      </c>
      <c r="AG163" s="300">
        <f t="shared" si="91"/>
        <v>1.0100342400303466</v>
      </c>
      <c r="AH163" s="300">
        <f t="shared" si="100"/>
        <v>1</v>
      </c>
      <c r="AI163" s="300">
        <f t="shared" si="92"/>
        <v>0.92737711568467995</v>
      </c>
      <c r="AJ163" s="300">
        <f t="shared" si="93"/>
        <v>0.93729689055396592</v>
      </c>
      <c r="AK163" s="300">
        <f t="shared" si="94"/>
        <v>1.0099518360292465</v>
      </c>
      <c r="AL163" s="300">
        <f t="shared" si="101"/>
        <v>1</v>
      </c>
      <c r="AM163" s="300">
        <f t="shared" si="95"/>
        <v>0.92806097985728431</v>
      </c>
      <c r="AN163" s="366">
        <f t="shared" si="82"/>
        <v>0.99234603178815095</v>
      </c>
      <c r="AO163" s="300">
        <f t="shared" si="83"/>
        <v>1.0112184453164754</v>
      </c>
      <c r="AP163" s="300">
        <f t="shared" si="84"/>
        <v>0.98133695680123989</v>
      </c>
    </row>
    <row r="164" spans="1:42">
      <c r="A164" s="380">
        <v>2009</v>
      </c>
      <c r="B164" s="1163">
        <f>TableUK1!D165</f>
        <v>1288.5795329400198</v>
      </c>
      <c r="C164" s="1171">
        <f t="shared" si="71"/>
        <v>6675.3808800393326</v>
      </c>
      <c r="D164" s="1172">
        <f t="shared" si="85"/>
        <v>-6.142641898903356E-2</v>
      </c>
      <c r="E164" s="1181">
        <f t="shared" si="96"/>
        <v>-5.4189136413368311E-2</v>
      </c>
      <c r="F164" s="1381">
        <f>TableUK6a!M164</f>
        <v>5.180418211989446</v>
      </c>
      <c r="G164" s="1184">
        <f>TableUK12c!B180</f>
        <v>1.720027112156608E-2</v>
      </c>
      <c r="H164" s="1184">
        <f t="shared" si="86"/>
        <v>1.122329723368339E-2</v>
      </c>
      <c r="I164" s="1184">
        <f t="shared" si="87"/>
        <v>0</v>
      </c>
      <c r="J164" s="1172">
        <f t="shared" si="97"/>
        <v>-6.4686438520547229E-2</v>
      </c>
      <c r="K164" s="1181">
        <f t="shared" si="88"/>
        <v>-5.3729985325961738E-2</v>
      </c>
      <c r="L164" s="550">
        <f>TableUK6g!O91</f>
        <v>5.2292761948657676</v>
      </c>
      <c r="M164" s="1184">
        <f>TableUK12c!B180</f>
        <v>1.720027112156608E-2</v>
      </c>
      <c r="N164" s="1184">
        <f t="shared" si="74"/>
        <v>1.1123833661261949E-2</v>
      </c>
      <c r="O164" s="1184">
        <f t="shared" si="89"/>
        <v>0</v>
      </c>
      <c r="P164" s="1172">
        <f t="shared" si="98"/>
        <v>-6.4140332596442917E-2</v>
      </c>
      <c r="Q164" s="1181">
        <f t="shared" si="75"/>
        <v>-4.6585224821043436E-2</v>
      </c>
      <c r="R164" s="550">
        <f>TableUK6b!J49</f>
        <v>4.9484009049059337</v>
      </c>
      <c r="S164" s="1184">
        <f>TableUK12c!B180</f>
        <v>1.720027112156608E-2</v>
      </c>
      <c r="T164" s="1184">
        <f t="shared" si="99"/>
        <v>1.1843988813922299E-2</v>
      </c>
      <c r="U164" s="1184">
        <f t="shared" si="81"/>
        <v>-5.7745279194133636E-2</v>
      </c>
      <c r="V164" s="2092">
        <f>TableUK5a!Q164</f>
        <v>0</v>
      </c>
      <c r="W164" s="365"/>
      <c r="X164" s="365"/>
      <c r="Y164" s="365"/>
      <c r="Z164" s="376">
        <f t="shared" si="77"/>
        <v>5.6284527128860073</v>
      </c>
      <c r="AA164" s="377">
        <f t="shared" si="78"/>
        <v>1.669E-2</v>
      </c>
      <c r="AB164" s="378">
        <f t="shared" si="79"/>
        <v>5.2518576004378037</v>
      </c>
      <c r="AC164" s="379">
        <f t="shared" si="80"/>
        <v>1.4552300000000001E-2</v>
      </c>
      <c r="AF164" s="300">
        <f t="shared" si="90"/>
        <v>0.94581086358663169</v>
      </c>
      <c r="AG164" s="300">
        <f t="shared" si="91"/>
        <v>1.0112232972336834</v>
      </c>
      <c r="AH164" s="300">
        <f t="shared" si="100"/>
        <v>1</v>
      </c>
      <c r="AI164" s="300">
        <f t="shared" si="92"/>
        <v>0.93531356147945277</v>
      </c>
      <c r="AJ164" s="300">
        <f t="shared" si="93"/>
        <v>0.94627001467403826</v>
      </c>
      <c r="AK164" s="300">
        <f t="shared" si="94"/>
        <v>1.011123833661262</v>
      </c>
      <c r="AL164" s="300">
        <f t="shared" si="101"/>
        <v>1</v>
      </c>
      <c r="AM164" s="300">
        <f t="shared" si="95"/>
        <v>0.93585966740355708</v>
      </c>
      <c r="AN164" s="366">
        <f t="shared" si="82"/>
        <v>0.95341477517895656</v>
      </c>
      <c r="AO164" s="300">
        <f t="shared" si="83"/>
        <v>1.0118439888139223</v>
      </c>
      <c r="AP164" s="300">
        <f t="shared" si="84"/>
        <v>0.94225472080586636</v>
      </c>
    </row>
    <row r="165" spans="1:42" ht="13" thickBot="1">
      <c r="A165" s="221">
        <v>2010</v>
      </c>
      <c r="B165" s="1384">
        <f>TableUK1!D166</f>
        <v>1312.3</v>
      </c>
      <c r="C165" s="1198">
        <f>B165*F165</f>
        <v>6857.4870000000001</v>
      </c>
      <c r="D165" s="1241">
        <f t="shared" si="85"/>
        <v>1.8408228947932814E-2</v>
      </c>
      <c r="E165" s="1240">
        <f t="shared" si="96"/>
        <v>2.7280259094308645E-2</v>
      </c>
      <c r="F165" s="1374">
        <f>TableUK6a!M165</f>
        <v>5.2255482740227084</v>
      </c>
      <c r="G165" s="1200">
        <f>TableUK12c!B181</f>
        <v>2.0865790681879381E-2</v>
      </c>
      <c r="H165" s="1200">
        <f t="shared" si="86"/>
        <v>3.3202475973384063E-3</v>
      </c>
      <c r="I165" s="1200">
        <f t="shared" si="87"/>
        <v>0</v>
      </c>
      <c r="J165" s="1241">
        <f t="shared" si="97"/>
        <v>2.3880721588493303E-2</v>
      </c>
      <c r="K165" s="1240">
        <f t="shared" si="88"/>
        <v>2.7131648144633536E-2</v>
      </c>
      <c r="L165" s="552">
        <f>TableUK6g!O92</f>
        <v>5.2740688104854074</v>
      </c>
      <c r="M165" s="1200">
        <f>TableUK12c!B181</f>
        <v>2.0865790681879381E-2</v>
      </c>
      <c r="N165" s="1200">
        <f t="shared" si="74"/>
        <v>3.2892259809213617E-3</v>
      </c>
      <c r="O165" s="1200">
        <f t="shared" si="89"/>
        <v>0</v>
      </c>
      <c r="P165" s="1241">
        <f t="shared" si="98"/>
        <v>2.3764256154950036E-2</v>
      </c>
      <c r="Q165" s="1240">
        <f t="shared" si="75"/>
        <v>1.260652887288316E-2</v>
      </c>
      <c r="R165" s="552">
        <f>TableUK6b!J50</f>
        <v>4.9202106987731469</v>
      </c>
      <c r="S165" s="1200">
        <f>TableUK12c!B181</f>
        <v>2.0865790681879381E-2</v>
      </c>
      <c r="T165" s="1200">
        <f t="shared" si="99"/>
        <v>3.4759251427089145E-3</v>
      </c>
      <c r="U165" s="1200">
        <f t="shared" si="81"/>
        <v>9.0989763694386827E-3</v>
      </c>
      <c r="V165" s="2095">
        <f>TableUK5a!Q165</f>
        <v>0</v>
      </c>
      <c r="W165" s="365"/>
      <c r="X165" s="365"/>
      <c r="Y165" s="365"/>
      <c r="Z165" s="381">
        <f t="shared" si="77"/>
        <v>5.6361278013633545</v>
      </c>
      <c r="AA165" s="382">
        <f t="shared" si="78"/>
        <v>1.669E-2</v>
      </c>
      <c r="AB165" s="383">
        <f t="shared" si="79"/>
        <v>5.2491080005766237</v>
      </c>
      <c r="AC165" s="384">
        <f t="shared" si="80"/>
        <v>1.4552300000000001E-2</v>
      </c>
      <c r="AF165" s="300">
        <f t="shared" si="90"/>
        <v>1.0272802590943086</v>
      </c>
      <c r="AG165" s="300">
        <f t="shared" si="91"/>
        <v>1.0033202475973384</v>
      </c>
      <c r="AH165" s="300">
        <f t="shared" si="100"/>
        <v>1</v>
      </c>
      <c r="AI165" s="300">
        <f t="shared" si="92"/>
        <v>1.0238807215884933</v>
      </c>
      <c r="AJ165" s="300">
        <f t="shared" si="93"/>
        <v>1.0271316481446335</v>
      </c>
      <c r="AK165" s="300">
        <f>1+N165</f>
        <v>1.0032892259809214</v>
      </c>
      <c r="AL165" s="300">
        <f t="shared" si="101"/>
        <v>1</v>
      </c>
      <c r="AM165" s="300">
        <f t="shared" si="95"/>
        <v>1.02376425615495</v>
      </c>
      <c r="AN165" s="366">
        <f t="shared" si="82"/>
        <v>1.0126065288728832</v>
      </c>
      <c r="AO165" s="300">
        <f t="shared" si="83"/>
        <v>1.003475925142709</v>
      </c>
      <c r="AP165" s="300">
        <f t="shared" si="84"/>
        <v>1.0090989763694387</v>
      </c>
    </row>
    <row r="166" spans="1:42" ht="13" thickTop="1">
      <c r="A166" s="200"/>
      <c r="B166" s="959"/>
      <c r="C166" s="959"/>
      <c r="D166" s="365"/>
      <c r="E166" s="365"/>
      <c r="F166" s="1372"/>
      <c r="G166" s="365"/>
      <c r="H166" s="365"/>
      <c r="I166" s="365"/>
      <c r="J166" s="365"/>
      <c r="K166" s="365"/>
      <c r="L166" s="308"/>
      <c r="M166" s="365"/>
      <c r="N166" s="365"/>
      <c r="O166" s="365"/>
      <c r="P166" s="365"/>
      <c r="Q166" s="365"/>
      <c r="R166" s="308"/>
      <c r="S166" s="365"/>
      <c r="T166" s="365"/>
      <c r="U166" s="365"/>
      <c r="V166" s="365"/>
      <c r="W166" s="365"/>
      <c r="X166" s="365"/>
      <c r="Y166" s="365"/>
      <c r="Z166" s="378"/>
      <c r="AA166" s="1416"/>
      <c r="AB166" s="378"/>
      <c r="AC166" s="1416"/>
      <c r="AF166" s="300"/>
      <c r="AG166" s="300"/>
      <c r="AH166" s="300"/>
      <c r="AI166" s="300"/>
      <c r="AJ166" s="300"/>
      <c r="AK166" s="300"/>
      <c r="AL166" s="300"/>
      <c r="AM166" s="300"/>
      <c r="AN166" s="366"/>
      <c r="AO166" s="300"/>
      <c r="AP166" s="300"/>
    </row>
    <row r="167" spans="1:42" ht="13" customHeight="1" thickBot="1">
      <c r="A167" s="2375"/>
      <c r="B167" s="2375"/>
      <c r="C167" s="2375"/>
      <c r="D167" s="2375"/>
      <c r="E167" s="2375"/>
      <c r="F167" s="2375"/>
      <c r="G167" s="2375"/>
      <c r="H167" s="2375"/>
      <c r="I167" s="2375"/>
      <c r="J167" s="2375"/>
      <c r="K167" s="2375"/>
      <c r="L167" s="2375"/>
      <c r="M167" s="2375"/>
      <c r="N167" s="2375"/>
      <c r="O167" s="2375"/>
      <c r="P167" s="2375"/>
      <c r="Q167" s="2375"/>
      <c r="R167" s="2375"/>
      <c r="S167" s="2375"/>
      <c r="T167" s="2375"/>
      <c r="U167" s="2375"/>
      <c r="V167" s="2111"/>
      <c r="W167" s="2111"/>
      <c r="X167" s="2111"/>
      <c r="Z167" s="385"/>
      <c r="AA167" s="385"/>
      <c r="AB167" s="385"/>
      <c r="AC167" s="386"/>
      <c r="AD167" s="386"/>
      <c r="AE167" s="386"/>
      <c r="AN167" s="385"/>
    </row>
    <row r="168" spans="1:42" ht="14" thickTop="1" thickBot="1">
      <c r="A168" s="387"/>
      <c r="B168" s="1390"/>
      <c r="C168" s="1390"/>
      <c r="D168" s="1389" t="s">
        <v>362</v>
      </c>
      <c r="E168" s="1395" t="s">
        <v>363</v>
      </c>
      <c r="F168" s="1394"/>
      <c r="G168" s="1389" t="s">
        <v>364</v>
      </c>
      <c r="H168" s="1388" t="s">
        <v>365</v>
      </c>
      <c r="I168" s="1388" t="s">
        <v>1487</v>
      </c>
      <c r="J168" s="1396" t="s">
        <v>357</v>
      </c>
      <c r="K168" s="1389" t="s">
        <v>363</v>
      </c>
      <c r="L168" s="1389"/>
      <c r="M168" s="1388"/>
      <c r="N168" s="1388" t="s">
        <v>365</v>
      </c>
      <c r="O168" s="1388" t="s">
        <v>1487</v>
      </c>
      <c r="P168" s="1396" t="s">
        <v>357</v>
      </c>
      <c r="Q168" s="1395" t="s">
        <v>363</v>
      </c>
      <c r="R168" s="1394"/>
      <c r="S168" s="1389" t="s">
        <v>364</v>
      </c>
      <c r="T168" s="1388" t="s">
        <v>365</v>
      </c>
      <c r="U168" s="1388" t="s">
        <v>357</v>
      </c>
      <c r="V168" s="2105"/>
      <c r="W168" s="365"/>
      <c r="X168" s="365"/>
      <c r="Z168" s="385"/>
      <c r="AA168" s="385"/>
      <c r="AB168" s="385"/>
      <c r="AC168" s="386"/>
      <c r="AD168" s="386"/>
      <c r="AE168" s="386"/>
      <c r="AN168" s="385"/>
    </row>
    <row r="169" spans="1:42" ht="12" customHeight="1">
      <c r="A169" s="585" t="s">
        <v>609</v>
      </c>
      <c r="B169" s="1391"/>
      <c r="C169" s="1391"/>
      <c r="D169" s="361">
        <f>(B$165/B$68)^(1/97)-1</f>
        <v>1.9181696909979618E-2</v>
      </c>
      <c r="E169" s="1397">
        <f>(C$165/C$68)^(1/97)-1</f>
        <v>1.642851953115998E-2</v>
      </c>
      <c r="F169" s="1212"/>
      <c r="G169" s="1212">
        <f>SUMPRODUCT($B$68:$B$164,G$68:G$164)/SUM($B$68:$B$164)</f>
        <v>5.525071179368591E-2</v>
      </c>
      <c r="H169" s="361">
        <f>PRODUCT(AG$69:AG$165)^(1/97)-1</f>
        <v>1.619553253539241E-2</v>
      </c>
      <c r="I169" s="361">
        <f>PRODUCT(AH$69:AH$165)^(1/97)-1</f>
        <v>-8.5468188742821027E-4</v>
      </c>
      <c r="J169" s="1173">
        <f>PRODUCT(AI$69:AI$165)^(1/97)-1</f>
        <v>1.0848829019218797E-3</v>
      </c>
      <c r="K169" s="1978">
        <f>PRODUCT(AJ$69:AJ$165)^(1/97)-1</f>
        <v>1.6525372072047295E-2</v>
      </c>
      <c r="L169" s="361"/>
      <c r="M169" s="361"/>
      <c r="N169" s="361">
        <f>PRODUCT(AK$69:AK$165)^(1/97)-1</f>
        <v>1.4768133909447423E-2</v>
      </c>
      <c r="O169" s="361">
        <f>PRODUCT(AL$69:AL$165)^(1/97)-1</f>
        <v>-7.9716285226882899E-4</v>
      </c>
      <c r="P169" s="1173">
        <f>PRODUCT(AM$69:AM$165)^(1/97)-1</f>
        <v>2.530845054261599E-3</v>
      </c>
      <c r="Q169" s="1397"/>
      <c r="R169" s="1212"/>
      <c r="S169" s="1212"/>
      <c r="T169" s="361"/>
      <c r="U169" s="361"/>
      <c r="V169" s="2099">
        <f>SUMPRODUCT($B$68:$B$164,V$68:V$164)/SUM($B$68:$B$164)</f>
        <v>-1.2113768750478641E-3</v>
      </c>
      <c r="W169" s="361"/>
      <c r="X169" s="361"/>
      <c r="Z169" s="2345" t="s">
        <v>370</v>
      </c>
      <c r="AA169" s="2346"/>
      <c r="AB169" s="2377"/>
      <c r="AC169" s="365"/>
      <c r="AD169" s="1413">
        <f>(1+E169)-(1+H169)*(1+J169)</f>
        <v>-8.6946616248950725E-4</v>
      </c>
      <c r="AE169" s="365"/>
      <c r="AN169" s="385"/>
    </row>
    <row r="170" spans="1:42" ht="12" customHeight="1">
      <c r="A170" s="200"/>
      <c r="B170" s="589"/>
      <c r="C170" s="589"/>
      <c r="D170" s="83"/>
      <c r="E170" s="388"/>
      <c r="F170" s="83"/>
      <c r="G170" s="308"/>
      <c r="H170" s="590">
        <f>H169/($H169+$I169+$J169)</f>
        <v>0.98598534343720279</v>
      </c>
      <c r="I170" s="590">
        <f>I169/($H169+$I169+$J169)</f>
        <v>-5.2033103108149341E-2</v>
      </c>
      <c r="J170" s="590">
        <f>J169/($H169+$I169+$J169)</f>
        <v>6.604775967094656E-2</v>
      </c>
      <c r="K170" s="1979"/>
      <c r="L170" s="590"/>
      <c r="M170" s="590"/>
      <c r="N170" s="590">
        <f>N169/($N169+$O169+$P169)</f>
        <v>0.89493991508056725</v>
      </c>
      <c r="O170" s="590">
        <f>O169/($N169+$O169+$P169)</f>
        <v>-4.8307583049369995E-2</v>
      </c>
      <c r="P170" s="590">
        <f>P169/($N169+$O169+$P169)</f>
        <v>0.15336766796880275</v>
      </c>
      <c r="Q170" s="1411"/>
      <c r="R170" s="589"/>
      <c r="S170" s="589"/>
      <c r="T170" s="590"/>
      <c r="U170" s="590"/>
      <c r="V170" s="2099"/>
      <c r="W170" s="590"/>
      <c r="X170" s="590"/>
      <c r="Z170" s="388"/>
      <c r="AA170" s="2369" t="s">
        <v>371</v>
      </c>
      <c r="AB170" s="2376" t="s">
        <v>372</v>
      </c>
      <c r="AC170" s="389"/>
      <c r="AD170" s="389"/>
      <c r="AE170" s="389"/>
      <c r="AN170" s="385"/>
    </row>
    <row r="171" spans="1:42">
      <c r="A171" s="200"/>
      <c r="B171" s="958"/>
      <c r="C171" s="958"/>
      <c r="D171" s="203"/>
      <c r="E171" s="1398"/>
      <c r="F171" s="83"/>
      <c r="G171" s="308"/>
      <c r="H171" s="308"/>
      <c r="I171" s="308"/>
      <c r="J171" s="394"/>
      <c r="K171" s="1966"/>
      <c r="L171" s="308"/>
      <c r="M171" s="308"/>
      <c r="N171" s="365"/>
      <c r="O171" s="365"/>
      <c r="P171" s="391"/>
      <c r="Q171" s="1398"/>
      <c r="R171" s="365"/>
      <c r="S171" s="203"/>
      <c r="T171" s="365"/>
      <c r="U171" s="365"/>
      <c r="V171" s="2099"/>
      <c r="W171" s="365"/>
      <c r="X171" s="365"/>
      <c r="Z171" s="388"/>
      <c r="AA171" s="2369"/>
      <c r="AB171" s="2376"/>
      <c r="AC171" s="308"/>
      <c r="AD171" s="308"/>
      <c r="AE171" s="308"/>
      <c r="AN171" s="385"/>
    </row>
    <row r="172" spans="1:42">
      <c r="A172" s="200" t="s">
        <v>348</v>
      </c>
      <c r="B172" s="1392"/>
      <c r="C172" s="1392"/>
      <c r="D172" s="361">
        <f>(B$165/B$125)^(1/40)-1</f>
        <v>2.1970102276964276E-2</v>
      </c>
      <c r="E172" s="1397">
        <f>(C$165/C$125)^(1/40)-1</f>
        <v>3.5048642978026345E-2</v>
      </c>
      <c r="F172" s="83"/>
      <c r="G172" s="1212">
        <f>SUMPRODUCT($B$125:$B$164,G$125:G$164)/SUM($B$125:$B$164)</f>
        <v>5.3251067147874052E-2</v>
      </c>
      <c r="H172" s="361">
        <f>PRODUCT(AG$126:AG$165)^(1/40)-1</f>
        <v>1.4515144334443342E-2</v>
      </c>
      <c r="I172" s="361">
        <f>PRODUCT(AH$126:AH$165)^(1/40)-1</f>
        <v>0</v>
      </c>
      <c r="J172" s="1173">
        <f>PRODUCT(AI$126:AI$165)^(1/40)-1</f>
        <v>2.0239716241055694E-2</v>
      </c>
      <c r="K172" s="1978">
        <f>PRODUCT(AJ$126:AJ$165)^(1/40)-1</f>
        <v>3.143681609488036E-2</v>
      </c>
      <c r="L172" s="361"/>
      <c r="M172" s="361"/>
      <c r="N172" s="361">
        <f>PRODUCT(AK$126:AK$165)^(1/40)-1</f>
        <v>1.2968104396245073E-2</v>
      </c>
      <c r="O172" s="361">
        <f>PRODUCT(AL$126:AL$165)^(1/40)-1</f>
        <v>0</v>
      </c>
      <c r="P172" s="1173">
        <f>PRODUCT(AM$126:AM$165)^(1/40)-1</f>
        <v>1.8232273670298005E-2</v>
      </c>
      <c r="Q172" s="1397"/>
      <c r="R172" s="203"/>
      <c r="S172" s="1212">
        <f>SUMPRODUCT($B125:$B164,S125:S164)/SUM($B125:$B164)</f>
        <v>5.3251067147874052E-2</v>
      </c>
      <c r="T172" s="361">
        <f>PRODUCT(AO126:AO165)^(1/40)-1</f>
        <v>1.1406639271651642E-2</v>
      </c>
      <c r="U172" s="361">
        <f>PRODUCT(AP126:AP165)^(1/40)-1</f>
        <v>1.2827584264123004E-2</v>
      </c>
      <c r="V172" s="2099">
        <f>SUMPRODUCT($B$125:$B$164,V$125:V$164)/SUM($B$125:$B$164)</f>
        <v>0</v>
      </c>
      <c r="W172" s="361"/>
      <c r="X172" s="361"/>
      <c r="Z172" s="390" t="s">
        <v>348</v>
      </c>
      <c r="AA172" s="365">
        <v>1.669E-2</v>
      </c>
      <c r="AB172" s="391">
        <v>1.4552300000000001E-2</v>
      </c>
      <c r="AC172" s="365"/>
      <c r="AD172" s="1413">
        <f>(1+E172)-(1+H172)*(1+J172)</f>
        <v>0</v>
      </c>
      <c r="AE172" s="365"/>
      <c r="AN172" s="385"/>
    </row>
    <row r="173" spans="1:42" ht="13" thickBot="1">
      <c r="A173" s="200"/>
      <c r="B173" s="589"/>
      <c r="C173" s="589"/>
      <c r="D173" s="83"/>
      <c r="E173" s="388"/>
      <c r="F173" s="83"/>
      <c r="G173" s="308"/>
      <c r="H173" s="590">
        <f>H172/($H172+$I172+$J172)</f>
        <v>0.41764357831077048</v>
      </c>
      <c r="I173" s="590">
        <f>I172/($H172+$I172+$J172)</f>
        <v>0</v>
      </c>
      <c r="J173" s="590">
        <f>J172/($H172+$I172+$J172)</f>
        <v>0.58235642168922952</v>
      </c>
      <c r="K173" s="1979"/>
      <c r="L173" s="590"/>
      <c r="M173" s="590"/>
      <c r="N173" s="590">
        <f>N172/($N172+$O172+$P172)</f>
        <v>0.41563933515764301</v>
      </c>
      <c r="O173" s="590">
        <f>O172/($N172+$O172+$P172)</f>
        <v>0</v>
      </c>
      <c r="P173" s="590">
        <f>P172/($N172+$O172+$P172)</f>
        <v>0.58436066484235694</v>
      </c>
      <c r="Q173" s="1411"/>
      <c r="R173" s="589"/>
      <c r="S173" s="589"/>
      <c r="T173" s="590">
        <f>T172/($T172+$U172)</f>
        <v>0.47068309223165827</v>
      </c>
      <c r="U173" s="590">
        <f>U172/($T172+$U172)</f>
        <v>0.52931690776834173</v>
      </c>
      <c r="V173" s="2099"/>
      <c r="W173" s="590"/>
      <c r="X173" s="590"/>
      <c r="Z173" s="392" t="s">
        <v>373</v>
      </c>
      <c r="AA173" s="389">
        <f>Z165/F165</f>
        <v>1.0785715691082067</v>
      </c>
      <c r="AB173" s="393">
        <f>AB165/R165</f>
        <v>1.0668461823973285</v>
      </c>
      <c r="AC173" s="389"/>
      <c r="AD173" s="389"/>
      <c r="AE173" s="389"/>
      <c r="AN173" s="118"/>
    </row>
    <row r="174" spans="1:42">
      <c r="A174" s="200"/>
      <c r="B174" s="589"/>
      <c r="C174" s="589"/>
      <c r="D174" s="116"/>
      <c r="E174" s="392"/>
      <c r="F174" s="83"/>
      <c r="G174" s="308"/>
      <c r="H174" s="1213"/>
      <c r="I174" s="1213"/>
      <c r="J174" s="363"/>
      <c r="K174" s="1980"/>
      <c r="L174" s="1213"/>
      <c r="M174" s="83"/>
      <c r="N174" s="83"/>
      <c r="O174" s="83"/>
      <c r="P174" s="363"/>
      <c r="Q174" s="392"/>
      <c r="R174" s="116"/>
      <c r="S174" s="1212"/>
      <c r="T174" s="1213"/>
      <c r="U174" s="83"/>
      <c r="V174" s="2099"/>
      <c r="W174" s="83"/>
      <c r="X174" s="83"/>
      <c r="Z174" s="1387"/>
      <c r="AA174" s="1387"/>
      <c r="AB174" s="1387"/>
      <c r="AC174" s="116"/>
      <c r="AD174" s="116"/>
      <c r="AE174" s="116"/>
      <c r="AN174" s="118"/>
    </row>
    <row r="175" spans="1:42">
      <c r="A175" s="585" t="s">
        <v>606</v>
      </c>
      <c r="B175" s="1392"/>
      <c r="C175" s="1392"/>
      <c r="D175" s="361">
        <f>(B$165/B$75)^(1/90)-1</f>
        <v>2.2485638349202253E-2</v>
      </c>
      <c r="E175" s="1397">
        <f>(C$165/C$75)^(1/90)-1</f>
        <v>3.0756636690790096E-2</v>
      </c>
      <c r="F175" s="83"/>
      <c r="G175" s="1212">
        <f>SUMPRODUCT($B$75:$B$164,G$75:G$164)/SUM($B$75:$B$164)</f>
        <v>5.6993000167499981E-2</v>
      </c>
      <c r="H175" s="361">
        <f>PRODUCT(AG$76:AG$165)^(1/90)-1</f>
        <v>1.78668405444109E-2</v>
      </c>
      <c r="I175" s="361">
        <f>PRODUCT(AH$76:AH$165)^(1/90)-1</f>
        <v>-9.2112652021236752E-4</v>
      </c>
      <c r="J175" s="1173">
        <f>PRODUCT(AI$76:AI$165)^(1/90)-1</f>
        <v>1.3597189971848334E-2</v>
      </c>
      <c r="K175" s="1978">
        <f>PRODUCT(AJ$76:AJ$165)^(1/90)-1</f>
        <v>3.0862494073104596E-2</v>
      </c>
      <c r="L175" s="361"/>
      <c r="M175" s="361"/>
      <c r="N175" s="361">
        <f>PRODUCT(AK$76:AK$165)^(1/90)-1</f>
        <v>1.6146264414524714E-2</v>
      </c>
      <c r="O175" s="361">
        <f>PRODUCT(AL$76:AL$165)^(1/90)-1</f>
        <v>-8.5913776615120785E-4</v>
      </c>
      <c r="P175" s="1173">
        <f>PRODUCT(AM$76:AM$165)^(1/90)-1</f>
        <v>1.5354722698379897E-2</v>
      </c>
      <c r="Q175" s="1397"/>
      <c r="R175" s="203"/>
      <c r="S175" s="1212"/>
      <c r="T175" s="361"/>
      <c r="U175" s="361"/>
      <c r="V175" s="2099">
        <f>SUMPRODUCT($B$75:$B$164,V$75:V$164)/SUM($B$75:$B$164)</f>
        <v>-1.2477792809669624E-3</v>
      </c>
      <c r="W175" s="361"/>
      <c r="X175" s="361"/>
      <c r="Z175" s="365"/>
      <c r="AA175" s="365"/>
      <c r="AB175" s="365"/>
      <c r="AC175" s="365"/>
      <c r="AD175" s="1413">
        <f>(1+E175)-(1+H175)*(1+J175)</f>
        <v>-9.5033265054822458E-4</v>
      </c>
      <c r="AE175" s="365"/>
      <c r="AN175" s="118"/>
    </row>
    <row r="176" spans="1:42">
      <c r="A176" s="200"/>
      <c r="B176" s="589"/>
      <c r="C176" s="589"/>
      <c r="D176" s="83"/>
      <c r="E176" s="388"/>
      <c r="F176" s="83"/>
      <c r="G176" s="308"/>
      <c r="H176" s="590">
        <f>H175/($H175+$I175+$J175)</f>
        <v>0.58497517284942468</v>
      </c>
      <c r="I176" s="590">
        <f>I175/($H175+$I175+$J175)</f>
        <v>-3.0158445979190058E-2</v>
      </c>
      <c r="J176" s="590">
        <f>J175/($H175+$I175+$J175)</f>
        <v>0.44518327312976536</v>
      </c>
      <c r="K176" s="1979"/>
      <c r="L176" s="590"/>
      <c r="M176" s="590"/>
      <c r="N176" s="590">
        <f>N175/($N175+$O175+$P175)</f>
        <v>0.52693504989885542</v>
      </c>
      <c r="O176" s="590">
        <f>O175/($N175+$O175+$P175)</f>
        <v>-2.8038052025806861E-2</v>
      </c>
      <c r="P176" s="590">
        <f>P175/($N175+$O175+$P175)</f>
        <v>0.50110300212695147</v>
      </c>
      <c r="Q176" s="1411"/>
      <c r="R176" s="589"/>
      <c r="S176" s="589"/>
      <c r="T176" s="590"/>
      <c r="U176" s="590"/>
      <c r="V176" s="2099"/>
      <c r="W176" s="590"/>
      <c r="X176" s="590"/>
      <c r="Z176" s="116"/>
      <c r="AA176" s="389"/>
      <c r="AB176" s="389"/>
      <c r="AC176" s="389"/>
      <c r="AD176" s="389"/>
      <c r="AE176" s="389"/>
      <c r="AN176" s="118"/>
    </row>
    <row r="177" spans="1:40">
      <c r="A177" s="200"/>
      <c r="B177" s="589"/>
      <c r="C177" s="589"/>
      <c r="D177" s="116"/>
      <c r="E177" s="392"/>
      <c r="F177" s="83"/>
      <c r="G177" s="116"/>
      <c r="H177" s="116"/>
      <c r="I177" s="116"/>
      <c r="J177" s="395"/>
      <c r="K177" s="1980"/>
      <c r="L177" s="116"/>
      <c r="M177" s="116"/>
      <c r="N177" s="116"/>
      <c r="O177" s="116"/>
      <c r="P177" s="395"/>
      <c r="Q177" s="392"/>
      <c r="R177" s="116"/>
      <c r="S177" s="116"/>
      <c r="T177" s="116"/>
      <c r="U177" s="116"/>
      <c r="V177" s="2099"/>
      <c r="W177" s="116"/>
      <c r="X177" s="116"/>
      <c r="Z177" s="308"/>
      <c r="AA177" s="308"/>
      <c r="AB177" s="116"/>
      <c r="AC177" s="116"/>
      <c r="AD177" s="116"/>
      <c r="AE177" s="116"/>
      <c r="AN177" s="118"/>
    </row>
    <row r="178" spans="1:40">
      <c r="A178" s="585" t="s">
        <v>607</v>
      </c>
      <c r="B178" s="1392"/>
      <c r="C178" s="1392"/>
      <c r="D178" s="361">
        <f>(B$125/B$75)^(1/50)-1</f>
        <v>2.2898254446642063E-2</v>
      </c>
      <c r="E178" s="1397">
        <f>(C$125/C$75)^(1/50)-1</f>
        <v>2.7335849435490056E-2</v>
      </c>
      <c r="F178" s="83"/>
      <c r="G178" s="1212">
        <f>SUMPRODUCT($B$75:$B$124,G$75:G$124)/SUM($B$75:$B$124)</f>
        <v>6.5158027061433907E-2</v>
      </c>
      <c r="H178" s="361">
        <f>PRODUCT(AG$76:AG$125)^(1/50)-1</f>
        <v>2.0556168418422338E-2</v>
      </c>
      <c r="I178" s="361">
        <f>PRODUCT(AH$76:AH$125)^(1/50)-1</f>
        <v>-1.6574167975296206E-3</v>
      </c>
      <c r="J178" s="1173">
        <f>PRODUCT(AI$76:AI$125)^(1/50)-1</f>
        <v>8.3143209372067428E-3</v>
      </c>
      <c r="K178" s="1978">
        <f>PRODUCT(AJ$76:AJ$125)^(1/50)-1</f>
        <v>3.0403266714851274E-2</v>
      </c>
      <c r="L178" s="361"/>
      <c r="M178" s="361"/>
      <c r="N178" s="361">
        <f>PRODUCT(AK$76:AK$125)^(1/50)-1</f>
        <v>1.8695970330445455E-2</v>
      </c>
      <c r="O178" s="361">
        <f>PRODUCT(AL$76:AL$125)^(1/50)-1</f>
        <v>-1.5459165038803624E-3</v>
      </c>
      <c r="P178" s="1173">
        <f>PRODUCT(AM$76:AM$125)^(1/50)-1</f>
        <v>1.3058538089455451E-2</v>
      </c>
      <c r="Q178" s="1397"/>
      <c r="R178" s="203"/>
      <c r="S178" s="1212"/>
      <c r="T178" s="361"/>
      <c r="U178" s="361"/>
      <c r="V178" s="2099">
        <f>SUMPRODUCT($B$75:$B$124,V$75:V$124)/SUM($B$75:$B$124)</f>
        <v>-3.9704767032225849E-3</v>
      </c>
      <c r="W178" s="361"/>
      <c r="X178" s="361"/>
      <c r="Z178" s="365"/>
      <c r="AA178" s="365"/>
      <c r="AB178" s="365"/>
      <c r="AC178" s="365"/>
      <c r="AD178" s="1413">
        <f>(1+E178)-(1+H178)*(1+J178)</f>
        <v>-1.7055505016090322E-3</v>
      </c>
      <c r="AE178" s="365"/>
      <c r="AN178" s="118"/>
    </row>
    <row r="179" spans="1:40">
      <c r="A179" s="200"/>
      <c r="B179" s="589"/>
      <c r="C179" s="589"/>
      <c r="D179" s="83"/>
      <c r="E179" s="388"/>
      <c r="F179" s="83"/>
      <c r="G179" s="308"/>
      <c r="H179" s="590">
        <f>H178/($H178+$I178+$J178)</f>
        <v>0.75537844447866953</v>
      </c>
      <c r="I179" s="590">
        <f>I178/($H178+$I178+$J178)</f>
        <v>-6.0905169528029705E-2</v>
      </c>
      <c r="J179" s="590">
        <f>J178/($H178+$I178+$J178)</f>
        <v>0.30552672504936018</v>
      </c>
      <c r="K179" s="1979"/>
      <c r="L179" s="590"/>
      <c r="M179" s="590"/>
      <c r="N179" s="590">
        <f>N178/($N178+$O178+$P178)</f>
        <v>0.6188957890662361</v>
      </c>
      <c r="O179" s="590">
        <f>O178/($N178+$O178+$P178)</f>
        <v>-5.1174728970419685E-2</v>
      </c>
      <c r="P179" s="590">
        <f>P178/($N178+$O178+$P178)</f>
        <v>0.43227893990418359</v>
      </c>
      <c r="Q179" s="1411"/>
      <c r="R179" s="589"/>
      <c r="S179" s="589"/>
      <c r="T179" s="590"/>
      <c r="U179" s="590"/>
      <c r="V179" s="2099"/>
      <c r="W179" s="590"/>
      <c r="X179" s="590"/>
      <c r="Z179" s="116"/>
      <c r="AA179" s="389"/>
      <c r="AB179" s="389"/>
      <c r="AC179" s="389"/>
      <c r="AD179" s="389"/>
      <c r="AE179" s="389"/>
      <c r="AN179" s="118"/>
    </row>
    <row r="180" spans="1:40">
      <c r="A180" s="200"/>
      <c r="B180" s="589"/>
      <c r="C180" s="589"/>
      <c r="D180" s="83"/>
      <c r="E180" s="388"/>
      <c r="F180" s="83"/>
      <c r="G180" s="308"/>
      <c r="H180" s="590"/>
      <c r="I180" s="590"/>
      <c r="J180" s="1217"/>
      <c r="K180" s="1979"/>
      <c r="L180" s="590"/>
      <c r="M180" s="590"/>
      <c r="N180" s="590"/>
      <c r="O180" s="590"/>
      <c r="P180" s="1217"/>
      <c r="Q180" s="1411"/>
      <c r="R180" s="589"/>
      <c r="S180" s="589"/>
      <c r="T180" s="590"/>
      <c r="U180" s="590"/>
      <c r="V180" s="2099"/>
      <c r="W180" s="590"/>
      <c r="X180" s="590"/>
      <c r="Z180" s="116"/>
      <c r="AA180" s="396"/>
      <c r="AB180" s="116"/>
      <c r="AC180" s="116"/>
      <c r="AD180" s="116"/>
      <c r="AE180" s="116"/>
      <c r="AN180" s="118"/>
    </row>
    <row r="181" spans="1:40">
      <c r="A181" s="585" t="s">
        <v>608</v>
      </c>
      <c r="B181" s="1392"/>
      <c r="C181" s="1392"/>
      <c r="D181" s="361">
        <f>(B$75/B$68)^(1/7)-1</f>
        <v>-2.2358557107879706E-2</v>
      </c>
      <c r="E181" s="1397">
        <f>(C$75/C$68)^(1/7)-1</f>
        <v>-0.15098679411915628</v>
      </c>
      <c r="F181" s="83"/>
      <c r="G181" s="1212">
        <f>SUMPRODUCT($B$68:$B$74,G$68:G$74)/SUM($B$68:$B$74)</f>
        <v>-2.728089123860696E-3</v>
      </c>
      <c r="H181" s="361">
        <f>PRODUCT(AG$69:AG$75)^(1/7)-1</f>
        <v>-5.0498313854711041E-3</v>
      </c>
      <c r="I181" s="361">
        <f>PRODUCT(AH$69:AH$75)^(1/7)-1</f>
        <v>0</v>
      </c>
      <c r="J181" s="1173">
        <f>PRODUCT(AI$69:AI$75)^(1/7)-1</f>
        <v>-0.1466776601856381</v>
      </c>
      <c r="K181" s="1978">
        <f>PRODUCT(AJ$69:AJ$75)^(1/7)-1</f>
        <v>-0.15098679411915628</v>
      </c>
      <c r="L181" s="361"/>
      <c r="M181" s="361"/>
      <c r="N181" s="361">
        <f>PRODUCT(AK$69:AK$75)^(1/7)-1</f>
        <v>-2.7850767024215628E-3</v>
      </c>
      <c r="O181" s="361">
        <f>PRODUCT(AL$69:AL$75)^(1/7)-1</f>
        <v>0</v>
      </c>
      <c r="P181" s="1173">
        <f>PRODUCT(AM$69:AM$75)^(1/7)-1</f>
        <v>-0.14861562332687828</v>
      </c>
      <c r="Q181" s="1397"/>
      <c r="R181" s="203"/>
      <c r="S181" s="1212"/>
      <c r="T181" s="361"/>
      <c r="U181" s="361"/>
      <c r="V181" s="2099">
        <f>SUMPRODUCT($B$68:$B$74,V$68:V$74)/SUM($B$68:$B$74)</f>
        <v>0</v>
      </c>
      <c r="W181" s="361"/>
      <c r="X181" s="361"/>
      <c r="Z181" s="365"/>
      <c r="AA181" s="365"/>
      <c r="AB181" s="365"/>
      <c r="AC181" s="365"/>
      <c r="AD181" s="1413">
        <f>(1+E181)-(1+H181)*(1+J181)</f>
        <v>0</v>
      </c>
      <c r="AE181" s="365"/>
      <c r="AN181" s="118"/>
    </row>
    <row r="182" spans="1:40">
      <c r="A182" s="120"/>
      <c r="B182" s="589"/>
      <c r="C182" s="589"/>
      <c r="D182" s="116"/>
      <c r="E182" s="392"/>
      <c r="F182" s="83"/>
      <c r="G182" s="308"/>
      <c r="H182" s="590">
        <f>H181/($H181+$I181+$J181)</f>
        <v>3.3282243930754171E-2</v>
      </c>
      <c r="I182" s="590">
        <f>I181/($H181+$I181+$J181)</f>
        <v>0</v>
      </c>
      <c r="J182" s="590">
        <f>J181/($H181+$I181+$J181)</f>
        <v>0.96671775606924581</v>
      </c>
      <c r="K182" s="1979"/>
      <c r="L182" s="590"/>
      <c r="M182" s="590"/>
      <c r="N182" s="590">
        <f>N181/($N181+$O181+$P181)</f>
        <v>1.8395401750999702E-2</v>
      </c>
      <c r="O182" s="590">
        <f>O181/($N181+$O181+$P181)</f>
        <v>0</v>
      </c>
      <c r="P182" s="590">
        <f>P181/($N181+$O181+$P181)</f>
        <v>0.98160459824900026</v>
      </c>
      <c r="Q182" s="1411"/>
      <c r="R182" s="589"/>
      <c r="S182" s="589"/>
      <c r="T182" s="590"/>
      <c r="U182" s="590"/>
      <c r="V182" s="2099"/>
      <c r="W182" s="590"/>
      <c r="X182" s="590"/>
      <c r="Z182" s="116"/>
      <c r="AA182" s="389"/>
      <c r="AB182" s="389"/>
      <c r="AC182" s="389"/>
      <c r="AD182" s="389"/>
      <c r="AE182" s="389"/>
      <c r="AN182" s="118"/>
    </row>
    <row r="183" spans="1:40">
      <c r="A183" s="200"/>
      <c r="B183" s="589"/>
      <c r="C183" s="589"/>
      <c r="D183" s="116"/>
      <c r="E183" s="392"/>
      <c r="F183" s="83"/>
      <c r="G183" s="116"/>
      <c r="H183" s="669"/>
      <c r="I183" s="669"/>
      <c r="J183" s="1223"/>
      <c r="K183" s="1978"/>
      <c r="L183" s="669"/>
      <c r="M183" s="669"/>
      <c r="N183" s="669"/>
      <c r="O183" s="669"/>
      <c r="P183" s="1223"/>
      <c r="Q183" s="392"/>
      <c r="R183" s="116"/>
      <c r="S183" s="116"/>
      <c r="T183" s="669"/>
      <c r="U183" s="669"/>
      <c r="V183" s="2099"/>
      <c r="W183" s="669"/>
      <c r="X183" s="669"/>
      <c r="Z183" s="116"/>
      <c r="AA183" s="116"/>
      <c r="AB183" s="116"/>
      <c r="AC183" s="118"/>
      <c r="AD183" s="118"/>
      <c r="AE183" s="118"/>
      <c r="AN183" s="118"/>
    </row>
    <row r="184" spans="1:40">
      <c r="A184" s="585" t="s">
        <v>610</v>
      </c>
      <c r="B184" s="1392"/>
      <c r="C184" s="1392"/>
      <c r="D184" s="361">
        <f>(B$68/B$40)^(1/28)-1</f>
        <v>2.2263702555587184E-2</v>
      </c>
      <c r="E184" s="1397">
        <f>(C$68/C$40)^(1/28)-1</f>
        <v>2.4513818492517991E-2</v>
      </c>
      <c r="F184" s="83"/>
      <c r="G184" s="1212">
        <f>SUMPRODUCT($B$40:$B$67,G$40:G$67)/SUM($B$40:$B$67)</f>
        <v>0.11004894218427586</v>
      </c>
      <c r="H184" s="361">
        <f>PRODUCT(AG41:AG68)^(1/28)-1</f>
        <v>1.6015382215405882E-2</v>
      </c>
      <c r="I184" s="361">
        <f>PRODUCT(AH41:AH68)^(1/28)-1</f>
        <v>0</v>
      </c>
      <c r="J184" s="1173">
        <f>PRODUCT(AI41:AI68)^(1/28)-1</f>
        <v>8.3644759969887517E-3</v>
      </c>
      <c r="K184" s="1978">
        <f>PRODUCT(AJ41:AJ68)^(1/28)-1</f>
        <v>2.4513818492517991E-2</v>
      </c>
      <c r="L184" s="361"/>
      <c r="M184" s="361"/>
      <c r="N184" s="361">
        <f>PRODUCT(AK41:AK68)^(1/28)-1</f>
        <v>1.6304346205009868E-2</v>
      </c>
      <c r="O184" s="361">
        <f>PRODUCT(AL41:AL68)^(1/28)-1</f>
        <v>0</v>
      </c>
      <c r="P184" s="1173">
        <f>PRODUCT(AM41:AM68)^(1/28)-1</f>
        <v>8.0777695364220303E-3</v>
      </c>
      <c r="Q184" s="1397"/>
      <c r="R184" s="308"/>
      <c r="S184" s="365"/>
      <c r="T184" s="361"/>
      <c r="U184" s="361"/>
      <c r="V184" s="2099">
        <f>SUMPRODUCT($B$40:$B$67,V$40:V$67)/SUM($B$40:$B$67)</f>
        <v>0</v>
      </c>
      <c r="W184" s="361"/>
      <c r="X184" s="361"/>
      <c r="Z184" s="365"/>
      <c r="AA184" s="365"/>
      <c r="AB184" s="365"/>
      <c r="AC184" s="118"/>
      <c r="AD184" s="1413">
        <f>(1+E184)-(1+H184)*(1+J184)</f>
        <v>0</v>
      </c>
      <c r="AE184" s="118"/>
      <c r="AN184" s="118"/>
    </row>
    <row r="185" spans="1:40">
      <c r="A185" s="120"/>
      <c r="B185" s="589"/>
      <c r="C185" s="589"/>
      <c r="D185" s="116"/>
      <c r="E185" s="392"/>
      <c r="F185" s="83"/>
      <c r="G185" s="599"/>
      <c r="H185" s="590">
        <f>H184/($H184+$I184+$J184)</f>
        <v>0.65691039200809287</v>
      </c>
      <c r="I185" s="590">
        <f>I184/($H184+$I184+$J184)</f>
        <v>0</v>
      </c>
      <c r="J185" s="590">
        <f>J184/($H184+$I184+$J184)</f>
        <v>0.34308960799190708</v>
      </c>
      <c r="K185" s="1979"/>
      <c r="L185" s="590"/>
      <c r="M185" s="590"/>
      <c r="N185" s="590">
        <f>N184/($N184+$O184+$P184)</f>
        <v>0.66870104210457482</v>
      </c>
      <c r="O185" s="590">
        <f>O184/($N184+$O184+$P184)</f>
        <v>0</v>
      </c>
      <c r="P185" s="590">
        <f>P184/($N184+$O184+$P184)</f>
        <v>0.33129895789542518</v>
      </c>
      <c r="Q185" s="388"/>
      <c r="R185" s="591"/>
      <c r="S185" s="116"/>
      <c r="T185" s="590"/>
      <c r="U185" s="590"/>
      <c r="V185" s="2099"/>
      <c r="W185" s="590"/>
      <c r="X185" s="590"/>
      <c r="Z185" s="116"/>
      <c r="AA185" s="389"/>
      <c r="AB185" s="389"/>
      <c r="AC185" s="118"/>
      <c r="AD185" s="118"/>
      <c r="AE185" s="118"/>
      <c r="AN185" s="118"/>
    </row>
    <row r="186" spans="1:40">
      <c r="A186" s="120"/>
      <c r="B186" s="589"/>
      <c r="C186" s="589"/>
      <c r="D186" s="116"/>
      <c r="E186" s="392"/>
      <c r="F186" s="83"/>
      <c r="G186" s="599"/>
      <c r="H186" s="590"/>
      <c r="I186" s="590"/>
      <c r="J186" s="1217"/>
      <c r="K186" s="1979"/>
      <c r="L186" s="590"/>
      <c r="M186" s="590"/>
      <c r="N186" s="590"/>
      <c r="O186" s="590"/>
      <c r="P186" s="1217"/>
      <c r="Q186" s="388"/>
      <c r="R186" s="591"/>
      <c r="S186" s="116"/>
      <c r="T186" s="590"/>
      <c r="U186" s="590"/>
      <c r="V186" s="2099"/>
      <c r="W186" s="590"/>
      <c r="X186" s="590"/>
      <c r="Y186" s="83"/>
      <c r="Z186" s="116"/>
      <c r="AA186" s="116"/>
      <c r="AB186" s="116"/>
      <c r="AC186" s="118"/>
      <c r="AD186" s="118"/>
      <c r="AE186" s="118"/>
      <c r="AN186" s="118"/>
    </row>
    <row r="187" spans="1:40">
      <c r="A187" s="585" t="s">
        <v>611</v>
      </c>
      <c r="B187" s="1392"/>
      <c r="C187" s="1392"/>
      <c r="D187" s="361">
        <f>(B$40/B$10)^(1/30)-1</f>
        <v>2.4689152565412265E-2</v>
      </c>
      <c r="E187" s="1397">
        <f>(C$40/C$10)^(1/30)-1</f>
        <v>2.1844998507624558E-2</v>
      </c>
      <c r="F187" s="83"/>
      <c r="G187" s="1212">
        <f>SUMPRODUCT($B$10:$B$39,G$10:G$39)/SUM($B$10:$B$39)</f>
        <v>0.10749108739996624</v>
      </c>
      <c r="H187" s="361">
        <f>PRODUCT(AG11:AG40)^(1/30)-1</f>
        <v>1.5903284017098063E-2</v>
      </c>
      <c r="I187" s="361">
        <f>PRODUCT(AH11:AH40)^(1/30)-1</f>
        <v>0</v>
      </c>
      <c r="J187" s="1173">
        <f>PRODUCT(AI11:AI40)^(1/30)-1</f>
        <v>5.8487009383725308E-3</v>
      </c>
      <c r="K187" s="1978">
        <f>PRODUCT(AJ11:AJ40)^(1/30)-1</f>
        <v>2.1844998507624558E-2</v>
      </c>
      <c r="L187" s="361"/>
      <c r="M187" s="361"/>
      <c r="N187" s="361">
        <f>PRODUCT(AK11:AK40)^(1/30)-1</f>
        <v>1.5996312517238875E-2</v>
      </c>
      <c r="O187" s="361">
        <f>PRODUCT(AL11:AL40)^(1/30)-1</f>
        <v>0</v>
      </c>
      <c r="P187" s="1173">
        <f>PRODUCT(AM11:AM40)^(1/30)-1</f>
        <v>5.7566015922783098E-3</v>
      </c>
      <c r="Q187" s="1397"/>
      <c r="R187" s="308"/>
      <c r="S187" s="365"/>
      <c r="T187" s="361"/>
      <c r="U187" s="361"/>
      <c r="V187" s="2099">
        <f>SUMPRODUCT($B$10:$B$39,V$10:V$39)/SUM($B$10:$B$39)</f>
        <v>0</v>
      </c>
      <c r="W187" s="361"/>
      <c r="X187" s="361"/>
      <c r="Z187" s="365"/>
      <c r="AA187" s="365"/>
      <c r="AB187" s="116"/>
      <c r="AC187" s="118"/>
      <c r="AD187" s="1413">
        <f>(1+E187)-(1+H187)*(1+J187)</f>
        <v>0</v>
      </c>
      <c r="AE187" s="118"/>
      <c r="AN187" s="118"/>
    </row>
    <row r="188" spans="1:40" ht="13" thickBot="1">
      <c r="A188" s="397"/>
      <c r="B188" s="1393"/>
      <c r="C188" s="1393"/>
      <c r="D188" s="1205"/>
      <c r="E188" s="1399"/>
      <c r="F188" s="1216"/>
      <c r="G188" s="1205"/>
      <c r="H188" s="670">
        <f>H187/($H187+$I187+$J187)</f>
        <v>0.73111874845694991</v>
      </c>
      <c r="I188" s="670">
        <f>I187/($H187+$I187+$J187)</f>
        <v>0</v>
      </c>
      <c r="J188" s="1218">
        <f>J187/($H187+$I187+$J187)</f>
        <v>0.26888125154305015</v>
      </c>
      <c r="K188" s="1981"/>
      <c r="L188" s="670"/>
      <c r="M188" s="670"/>
      <c r="N188" s="670">
        <f>N187/($N187+$O187+$P187)</f>
        <v>0.73536411888098607</v>
      </c>
      <c r="O188" s="670">
        <f>O187/($N187+$O187+$P187)</f>
        <v>0</v>
      </c>
      <c r="P188" s="1218">
        <f>P187/($N187+$O187+$P187)</f>
        <v>0.26463588111901387</v>
      </c>
      <c r="Q188" s="1224"/>
      <c r="R188" s="1215"/>
      <c r="S188" s="1205"/>
      <c r="T188" s="670"/>
      <c r="U188" s="670"/>
      <c r="V188" s="2117"/>
      <c r="W188" s="590"/>
      <c r="X188" s="590"/>
      <c r="Z188" s="116"/>
      <c r="AA188" s="389"/>
      <c r="AB188" s="116"/>
      <c r="AC188" s="118"/>
      <c r="AD188" s="118"/>
      <c r="AE188" s="118"/>
      <c r="AN188" s="118"/>
    </row>
    <row r="189" spans="1:40" ht="14" thickTop="1" thickBot="1">
      <c r="B189" s="118"/>
      <c r="C189" s="118"/>
      <c r="D189" s="118"/>
      <c r="E189" s="392"/>
      <c r="F189" s="116"/>
      <c r="G189" s="116"/>
      <c r="H189" s="116"/>
      <c r="I189" s="116"/>
      <c r="J189" s="395"/>
      <c r="K189" s="1980"/>
      <c r="L189" s="116"/>
      <c r="M189" s="116"/>
      <c r="N189" s="116"/>
      <c r="O189" s="116"/>
      <c r="P189" s="395"/>
      <c r="Q189" s="392"/>
      <c r="R189" s="116"/>
      <c r="S189" s="116"/>
      <c r="T189" s="116"/>
      <c r="U189" s="116"/>
      <c r="V189" s="2118"/>
      <c r="W189" s="116"/>
      <c r="X189" s="116"/>
      <c r="Z189" s="118"/>
      <c r="AA189" s="118"/>
      <c r="AB189" s="118"/>
      <c r="AC189" s="118"/>
      <c r="AD189" s="118"/>
      <c r="AE189" s="118"/>
      <c r="AN189" s="118"/>
    </row>
    <row r="190" spans="1:40" ht="13" thickTop="1">
      <c r="A190" s="401"/>
      <c r="B190" s="402"/>
      <c r="C190" s="403"/>
      <c r="D190" s="403"/>
      <c r="E190" s="1225"/>
      <c r="F190" s="403"/>
      <c r="G190" s="403"/>
      <c r="H190" s="404"/>
      <c r="I190" s="404"/>
      <c r="J190" s="1226"/>
      <c r="K190" s="1982"/>
      <c r="L190" s="404"/>
      <c r="M190" s="405"/>
      <c r="N190" s="405"/>
      <c r="O190" s="405"/>
      <c r="P190" s="1226"/>
      <c r="Q190" s="1412"/>
      <c r="R190" s="403"/>
      <c r="S190" s="406"/>
      <c r="T190" s="403"/>
      <c r="U190" s="403"/>
      <c r="V190" s="2119"/>
      <c r="W190" s="1571"/>
      <c r="X190" s="1571"/>
      <c r="Z190" s="118"/>
      <c r="AA190" s="118"/>
      <c r="AB190" s="118"/>
      <c r="AC190" s="118"/>
      <c r="AD190" s="118"/>
      <c r="AE190" s="118"/>
      <c r="AN190" s="118"/>
    </row>
    <row r="191" spans="1:40">
      <c r="A191" s="407"/>
      <c r="B191" s="408"/>
      <c r="C191" s="409"/>
      <c r="D191" s="410" t="s">
        <v>362</v>
      </c>
      <c r="E191" s="1400" t="s">
        <v>363</v>
      </c>
      <c r="F191" s="410"/>
      <c r="G191" s="410" t="s">
        <v>364</v>
      </c>
      <c r="H191" s="411" t="s">
        <v>365</v>
      </c>
      <c r="I191" s="411" t="s">
        <v>1487</v>
      </c>
      <c r="J191" s="1227" t="s">
        <v>357</v>
      </c>
      <c r="K191" s="1983" t="s">
        <v>363</v>
      </c>
      <c r="L191" s="411"/>
      <c r="M191" s="411"/>
      <c r="N191" s="411" t="s">
        <v>365</v>
      </c>
      <c r="O191" s="411" t="s">
        <v>1487</v>
      </c>
      <c r="P191" s="1227" t="s">
        <v>357</v>
      </c>
      <c r="Q191" s="1400" t="s">
        <v>363</v>
      </c>
      <c r="R191" s="83"/>
      <c r="S191" s="410" t="s">
        <v>364</v>
      </c>
      <c r="T191" s="411" t="s">
        <v>365</v>
      </c>
      <c r="U191" s="411" t="s">
        <v>357</v>
      </c>
      <c r="V191" s="2099"/>
      <c r="W191" s="411"/>
      <c r="X191" s="411"/>
      <c r="Y191" s="118"/>
      <c r="AA191" s="118"/>
      <c r="AB191" s="118"/>
      <c r="AC191" s="118"/>
      <c r="AD191" s="118"/>
      <c r="AE191" s="118"/>
      <c r="AN191" s="118"/>
    </row>
    <row r="192" spans="1:40">
      <c r="A192" s="412" t="s">
        <v>442</v>
      </c>
      <c r="B192" s="1414"/>
      <c r="C192" s="1235"/>
      <c r="D192" s="1235">
        <f>($B$65/$B$10)^(1/55)-1</f>
        <v>2.2924052711889908E-2</v>
      </c>
      <c r="E192" s="1415">
        <f>(C$65/C$10)^(1/55)-1</f>
        <v>2.3564581426704256E-2</v>
      </c>
      <c r="F192" s="1236"/>
      <c r="G192" s="1237">
        <f>SUMPRODUCT($B$10:$B$64,G$10:G$64)/SUM($B$10:$B$64)</f>
        <v>0.10769780828789059</v>
      </c>
      <c r="H192" s="1237">
        <f>PRODUCT(AG$11:AG$65)^(1/55)-1</f>
        <v>1.5864679419637762E-2</v>
      </c>
      <c r="I192" s="1237">
        <f>PRODUCT(AH$11:AH$65)^(1/55)-1</f>
        <v>0</v>
      </c>
      <c r="J192" s="1238">
        <f>PRODUCT(AI$11:AI$65)^(1/55)-1</f>
        <v>7.5796532383283211E-3</v>
      </c>
      <c r="K192" s="1984">
        <f>PRODUCT(AJ$11:AJ$65)^(1/55)-1</f>
        <v>2.3564581426704256E-2</v>
      </c>
      <c r="L192" s="1237"/>
      <c r="M192" s="1237"/>
      <c r="N192" s="1237">
        <f>PRODUCT(AK$11:AK$65)^(1/55)-1</f>
        <v>1.6009219801635277E-2</v>
      </c>
      <c r="O192" s="1237">
        <f>PRODUCT(AL$11:AL$65)^(1/55)-1</f>
        <v>0</v>
      </c>
      <c r="P192" s="1238">
        <f>PRODUCT(AM$11:AM$65)^(1/55)-1</f>
        <v>7.4363120706169017E-3</v>
      </c>
      <c r="Q192" s="1415"/>
      <c r="R192" s="1209"/>
      <c r="S192" s="1237"/>
      <c r="T192" s="1237"/>
      <c r="U192" s="1237"/>
      <c r="V192" s="2099">
        <f>SUMPRODUCT($B$10:$B$64,V$10:V$64)/SUM($B$10:$B$64)</f>
        <v>0</v>
      </c>
      <c r="W192" s="416"/>
      <c r="X192" s="416"/>
      <c r="Y192" s="118"/>
      <c r="Z192" s="684">
        <f>(1+J192)*(1+H192)*(1+I192)-1-E192</f>
        <v>0</v>
      </c>
      <c r="AA192" s="651">
        <f>(1+K192)-(1+N192)*(1+P192)*(1+O192)</f>
        <v>0</v>
      </c>
      <c r="AB192" s="118"/>
      <c r="AC192" s="118"/>
      <c r="AD192" s="118"/>
      <c r="AE192" s="118"/>
      <c r="AN192" s="118"/>
    </row>
    <row r="193" spans="1:40">
      <c r="A193" s="407"/>
      <c r="B193" s="413"/>
      <c r="C193" s="417"/>
      <c r="D193" s="418"/>
      <c r="E193" s="1402"/>
      <c r="F193" s="419"/>
      <c r="G193" s="420"/>
      <c r="H193" s="590">
        <f>H192/($H192+$I192+$J192)</f>
        <v>0.67669571367590831</v>
      </c>
      <c r="I193" s="590">
        <f>I192/($H192+$I192+$J192)</f>
        <v>0</v>
      </c>
      <c r="J193" s="590">
        <f>J192/($H192+$I192+$J192)</f>
        <v>0.32330428632409175</v>
      </c>
      <c r="K193" s="1979"/>
      <c r="L193" s="590"/>
      <c r="M193" s="590"/>
      <c r="N193" s="590">
        <f>N192/($N192+$O192+$P192)</f>
        <v>0.68282604501637312</v>
      </c>
      <c r="O193" s="590">
        <f>O192/($N192+$O192+$P192)</f>
        <v>0</v>
      </c>
      <c r="P193" s="590">
        <f>P192/($N192+$O192+$P192)</f>
        <v>0.31717395498362688</v>
      </c>
      <c r="Q193" s="1406"/>
      <c r="R193" s="83"/>
      <c r="S193" s="417"/>
      <c r="T193" s="421"/>
      <c r="U193" s="421"/>
      <c r="V193" s="2099"/>
      <c r="W193" s="421"/>
      <c r="X193" s="421"/>
      <c r="Y193" s="118"/>
      <c r="Z193" s="118"/>
      <c r="AA193" s="118"/>
      <c r="AB193" s="118"/>
      <c r="AC193" s="118"/>
      <c r="AD193" s="118"/>
      <c r="AE193" s="118"/>
      <c r="AN193" s="118"/>
    </row>
    <row r="194" spans="1:40">
      <c r="A194" s="407"/>
      <c r="B194" s="409"/>
      <c r="C194" s="409"/>
      <c r="D194" s="410"/>
      <c r="E194" s="1400"/>
      <c r="F194" s="410"/>
      <c r="G194" s="410"/>
      <c r="H194" s="411"/>
      <c r="I194" s="411"/>
      <c r="J194" s="1227"/>
      <c r="K194" s="1983"/>
      <c r="L194" s="411"/>
      <c r="M194" s="411"/>
      <c r="N194" s="411"/>
      <c r="O194" s="411"/>
      <c r="P194" s="1227"/>
      <c r="Q194" s="1400"/>
      <c r="R194" s="83"/>
      <c r="S194" s="410"/>
      <c r="T194" s="411"/>
      <c r="U194" s="411"/>
      <c r="V194" s="2099"/>
      <c r="W194" s="411"/>
      <c r="X194" s="411"/>
      <c r="Y194" s="118"/>
      <c r="Z194" s="118"/>
      <c r="AA194" s="118"/>
      <c r="AB194" s="118"/>
      <c r="AC194" s="118"/>
      <c r="AD194" s="118"/>
      <c r="AE194" s="118"/>
      <c r="AN194" s="118"/>
    </row>
    <row r="195" spans="1:40" s="77" customFormat="1">
      <c r="A195" s="412" t="s">
        <v>1041</v>
      </c>
      <c r="B195" s="413"/>
      <c r="C195" s="414"/>
      <c r="D195" s="745">
        <f>(B165/B25)^(1/140)-1</f>
        <v>1.941209533472299E-2</v>
      </c>
      <c r="E195" s="1401">
        <f>(C165/C25)^(1/140)-1</f>
        <v>1.7758629092379907E-2</v>
      </c>
      <c r="F195" s="415"/>
      <c r="G195" s="416">
        <f>SUMPRODUCT($B$25:$B$164,G$25:G$164)/SUM($B$25:$B$164)</f>
        <v>6.1140305436317925E-2</v>
      </c>
      <c r="H195" s="416">
        <f>PRODUCT(AG$26:AG$165)^(1/140)-1</f>
        <v>1.6357461504665549E-2</v>
      </c>
      <c r="I195" s="416">
        <f>PRODUCT(AH$26:AH$165)^(1/140)-1</f>
        <v>-5.9225020496245229E-4</v>
      </c>
      <c r="J195" s="1228">
        <f>PRODUCT(AI$26:AI$165)^(1/140)-1</f>
        <v>1.9720350577336898E-3</v>
      </c>
      <c r="K195" s="1985">
        <f>PRODUCT(AJ$26:AJ$165)^(1/140)-1</f>
        <v>1.7825820898230482E-2</v>
      </c>
      <c r="L195" s="416"/>
      <c r="M195" s="416"/>
      <c r="N195" s="416">
        <f>PRODUCT(AK$26:AK$165)^(1/140)-1</f>
        <v>1.5396279817182945E-2</v>
      </c>
      <c r="O195" s="416">
        <f>PRODUCT(AL$26:AL$165)^(1/140)-1</f>
        <v>-5.5238761551679172E-4</v>
      </c>
      <c r="P195" s="1228">
        <f>PRODUCT(AM$26:AM$165)^(1/140)-1</f>
        <v>2.9467177117898924E-3</v>
      </c>
      <c r="Q195" s="1401"/>
      <c r="R195" s="1133"/>
      <c r="S195" s="416"/>
      <c r="T195" s="416"/>
      <c r="U195" s="416"/>
      <c r="V195" s="2099">
        <f>SUMPRODUCT($B$25:$B$164,V$25:V$164)/SUM($B$25:$B$164)</f>
        <v>-1.0865003801239599E-3</v>
      </c>
      <c r="W195" s="416"/>
      <c r="X195" s="416"/>
      <c r="Y195" s="541"/>
      <c r="Z195" s="684">
        <f>(1+J195)*(1+H195)*(1+I195)-1-E195</f>
        <v>0</v>
      </c>
      <c r="AA195" s="651">
        <f>(1+K195)-(1+N195)*(1+P195)*(1+O195)</f>
        <v>0</v>
      </c>
      <c r="AB195" s="541"/>
      <c r="AC195" s="541"/>
      <c r="AD195" s="541"/>
      <c r="AE195" s="541"/>
      <c r="AN195" s="541"/>
    </row>
    <row r="196" spans="1:40" s="77" customFormat="1">
      <c r="A196" s="407"/>
      <c r="B196" s="413"/>
      <c r="C196" s="417"/>
      <c r="D196" s="418"/>
      <c r="E196" s="1402"/>
      <c r="F196" s="419"/>
      <c r="G196" s="420"/>
      <c r="H196" s="590">
        <f>H195/($H195+$I195+$J195)</f>
        <v>0.92220974862917615</v>
      </c>
      <c r="I196" s="590">
        <f>I195/($H195+$I195+$J195)</f>
        <v>-3.3390200092368705E-2</v>
      </c>
      <c r="J196" s="590">
        <f>J195/($H195+$I195+$J195)</f>
        <v>0.11118045146319257</v>
      </c>
      <c r="K196" s="1986"/>
      <c r="L196" s="683"/>
      <c r="M196" s="683"/>
      <c r="N196" s="590">
        <f>N195/($N195+$O195+$P195)</f>
        <v>0.86541607578826552</v>
      </c>
      <c r="O196" s="590">
        <f>O195/($N195+$O195+$P195)</f>
        <v>-3.1049391684935417E-2</v>
      </c>
      <c r="P196" s="590">
        <f>P195/($N195+$O195+$P195)</f>
        <v>0.16563331589666991</v>
      </c>
      <c r="Q196" s="1406"/>
      <c r="R196" s="1133"/>
      <c r="S196" s="417"/>
      <c r="T196" s="421"/>
      <c r="U196" s="421"/>
      <c r="V196" s="2099"/>
      <c r="W196" s="421"/>
      <c r="X196" s="421"/>
      <c r="Y196" s="541"/>
      <c r="Z196" s="541"/>
      <c r="AA196" s="541"/>
      <c r="AB196" s="541"/>
      <c r="AC196" s="541"/>
      <c r="AD196" s="541"/>
      <c r="AE196" s="541"/>
      <c r="AN196" s="541"/>
    </row>
    <row r="197" spans="1:40" s="77" customFormat="1">
      <c r="A197" s="407"/>
      <c r="B197" s="409"/>
      <c r="C197" s="409"/>
      <c r="D197" s="410"/>
      <c r="E197" s="1400"/>
      <c r="F197" s="410"/>
      <c r="G197" s="410"/>
      <c r="H197" s="411"/>
      <c r="I197" s="411"/>
      <c r="J197" s="1227"/>
      <c r="K197" s="1983"/>
      <c r="L197" s="411"/>
      <c r="M197" s="411"/>
      <c r="N197" s="411"/>
      <c r="O197" s="411"/>
      <c r="P197" s="1227"/>
      <c r="Q197" s="1400"/>
      <c r="R197" s="1133"/>
      <c r="S197" s="410"/>
      <c r="T197" s="411"/>
      <c r="U197" s="411"/>
      <c r="V197" s="2099"/>
      <c r="W197" s="411"/>
      <c r="X197" s="411"/>
      <c r="Y197" s="541"/>
      <c r="Z197" s="541"/>
      <c r="AA197" s="541"/>
      <c r="AB197" s="541"/>
      <c r="AC197" s="541"/>
      <c r="AD197" s="541"/>
      <c r="AE197" s="541"/>
      <c r="AN197" s="541"/>
    </row>
    <row r="198" spans="1:40" s="77" customFormat="1">
      <c r="A198" s="412" t="s">
        <v>1042</v>
      </c>
      <c r="B198" s="413"/>
      <c r="C198" s="414"/>
      <c r="D198" s="414">
        <f>(B65/B25)^(1/40)-1</f>
        <v>1.8850749066462447E-2</v>
      </c>
      <c r="E198" s="1401">
        <f>(C65/C25)^(1/40)-1</f>
        <v>2.1180845352891442E-2</v>
      </c>
      <c r="F198" s="415"/>
      <c r="G198" s="416">
        <f>SUMPRODUCT($B$25:$B$64,G$25:G$64)/SUM($B$25:$B$64)</f>
        <v>0.11105516693330436</v>
      </c>
      <c r="H198" s="416">
        <f>PRODUCT(AG$26:AG$65)^(1/40)-1</f>
        <v>1.665267878121135E-2</v>
      </c>
      <c r="I198" s="416">
        <f>PRODUCT(AH$26:AH$65)^(1/40)-1</f>
        <v>0</v>
      </c>
      <c r="J198" s="1228">
        <f>PRODUCT(AI$26:AI$65)^(1/40)-1</f>
        <v>4.4539956134366232E-3</v>
      </c>
      <c r="K198" s="1985">
        <f>PRODUCT(AJ$26:AJ$65)^(1/40)-1</f>
        <v>2.1180845352891442E-2</v>
      </c>
      <c r="L198" s="416"/>
      <c r="M198" s="416"/>
      <c r="N198" s="416">
        <f>PRODUCT(AK$26:AK$65)^(1/40)-1</f>
        <v>1.6678097572583095E-2</v>
      </c>
      <c r="O198" s="416">
        <f>PRODUCT(AL$26:AL$65)^(1/40)-1</f>
        <v>0</v>
      </c>
      <c r="P198" s="1228">
        <f>PRODUCT(AM$26:AM$65)^(1/40)-1</f>
        <v>4.4288824467244581E-3</v>
      </c>
      <c r="Q198" s="1401"/>
      <c r="R198" s="1133"/>
      <c r="S198" s="416"/>
      <c r="T198" s="416"/>
      <c r="U198" s="416"/>
      <c r="V198" s="2099">
        <f>SUMPRODUCT($B$25:$B$64,V$25:V$64)/SUM($B$25:$B$64)</f>
        <v>0</v>
      </c>
      <c r="W198" s="416"/>
      <c r="X198" s="416"/>
      <c r="Y198" s="541"/>
      <c r="Z198" s="684">
        <f>(1+J198)*(1+H198)*(1+I198)-1-E198</f>
        <v>0</v>
      </c>
      <c r="AA198" s="651">
        <f>(1+K198)-(1+N198)*(1+P198)*(1+O198)</f>
        <v>0</v>
      </c>
      <c r="AB198" s="541"/>
      <c r="AC198" s="541"/>
      <c r="AD198" s="541"/>
      <c r="AE198" s="541"/>
      <c r="AN198" s="541"/>
    </row>
    <row r="199" spans="1:40" s="77" customFormat="1">
      <c r="A199" s="407"/>
      <c r="B199" s="413"/>
      <c r="C199" s="417"/>
      <c r="D199" s="418"/>
      <c r="E199" s="1402"/>
      <c r="F199" s="419"/>
      <c r="G199" s="420"/>
      <c r="H199" s="590">
        <f>H198/($H198+$I198+$J198)</f>
        <v>0.78897691175043549</v>
      </c>
      <c r="I199" s="590">
        <f>I198/($H198+$I198+$J198)</f>
        <v>0</v>
      </c>
      <c r="J199" s="590">
        <f>J198/($H198+$I198+$J198)</f>
        <v>0.21102308824956453</v>
      </c>
      <c r="K199" s="1986"/>
      <c r="L199" s="683"/>
      <c r="M199" s="683"/>
      <c r="N199" s="590">
        <f>N198/($N198+$O198+$P198)</f>
        <v>0.7901697712001835</v>
      </c>
      <c r="O199" s="590">
        <f>O198/($N198+$O198+$P198)</f>
        <v>0</v>
      </c>
      <c r="P199" s="590">
        <f>P198/($N198+$O198+$P198)</f>
        <v>0.20983022879981644</v>
      </c>
      <c r="Q199" s="1406"/>
      <c r="R199" s="1133"/>
      <c r="S199" s="417"/>
      <c r="T199" s="421"/>
      <c r="U199" s="421"/>
      <c r="V199" s="2099"/>
      <c r="W199" s="421"/>
      <c r="X199" s="421"/>
      <c r="Y199" s="541"/>
      <c r="Z199" s="541"/>
      <c r="AA199" s="541"/>
      <c r="AB199" s="541"/>
      <c r="AC199" s="541"/>
      <c r="AD199" s="541"/>
      <c r="AE199" s="541"/>
      <c r="AN199" s="541"/>
    </row>
    <row r="200" spans="1:40" s="77" customFormat="1">
      <c r="A200" s="407"/>
      <c r="B200" s="409"/>
      <c r="C200" s="409"/>
      <c r="D200" s="410"/>
      <c r="E200" s="1400"/>
      <c r="F200" s="410"/>
      <c r="G200" s="410"/>
      <c r="H200" s="411"/>
      <c r="I200" s="411"/>
      <c r="J200" s="1227"/>
      <c r="K200" s="1983"/>
      <c r="L200" s="411"/>
      <c r="M200" s="411"/>
      <c r="N200" s="411"/>
      <c r="O200" s="411"/>
      <c r="P200" s="1227"/>
      <c r="Q200" s="1400"/>
      <c r="R200" s="1133"/>
      <c r="S200" s="410"/>
      <c r="T200" s="411"/>
      <c r="U200" s="411"/>
      <c r="V200" s="2099"/>
      <c r="W200" s="411"/>
      <c r="X200" s="411"/>
      <c r="Y200" s="541"/>
      <c r="Z200" s="541"/>
      <c r="AA200" s="541"/>
      <c r="AB200" s="541"/>
      <c r="AC200" s="541"/>
      <c r="AD200" s="541"/>
      <c r="AE200" s="541"/>
      <c r="AN200" s="541"/>
    </row>
    <row r="201" spans="1:40">
      <c r="A201" s="412" t="s">
        <v>666</v>
      </c>
      <c r="B201" s="413"/>
      <c r="C201" s="414"/>
      <c r="D201" s="414">
        <f>(B$165/B$65)^(1/100)-1</f>
        <v>1.9636720430742161E-2</v>
      </c>
      <c r="E201" s="1401">
        <f>(C$165/C$65)^(1/100)-1</f>
        <v>1.639295596494672E-2</v>
      </c>
      <c r="F201" s="415"/>
      <c r="G201" s="416">
        <f>SUMPRODUCT($B$65:$B$164,G$65:G$164)/SUM($B$65:$B$164)</f>
        <v>5.6022588697579846E-2</v>
      </c>
      <c r="H201" s="416">
        <f>PRODUCT(AG$66:AG$165)^(1/100)-1</f>
        <v>1.6239398598631327E-2</v>
      </c>
      <c r="I201" s="416">
        <f>PRODUCT(AH$66:AH$165)^(1/100)-1</f>
        <v>-8.2905206242589458E-4</v>
      </c>
      <c r="J201" s="1228">
        <f>PRODUCT(AI$66:AI$165)^(1/100)-1</f>
        <v>9.8096887246112985E-4</v>
      </c>
      <c r="K201" s="1985">
        <f>PRODUCT(AJ$66:AJ$165)^(1/100)-1</f>
        <v>1.6486899508250552E-2</v>
      </c>
      <c r="L201" s="416"/>
      <c r="M201" s="416"/>
      <c r="N201" s="416">
        <f>PRODUCT(AK$66:AK$165)^(1/100)-1</f>
        <v>1.4884005338088979E-2</v>
      </c>
      <c r="O201" s="416">
        <f>PRODUCT(AL$66:AL$165)^(1/100)-1</f>
        <v>-7.7325721530074887E-4</v>
      </c>
      <c r="P201" s="1228">
        <f>PRODUCT(AM$66:AM$165)^(1/100)-1</f>
        <v>2.3544643938746557E-3</v>
      </c>
      <c r="Q201" s="1408"/>
      <c r="R201" s="83"/>
      <c r="S201" s="416"/>
      <c r="T201" s="416"/>
      <c r="U201" s="416"/>
      <c r="V201" s="2099">
        <f>SUMPRODUCT($B$65:$B$164,V$65:V$164)/SUM($B$65:$B$164)</f>
        <v>-1.1978980884465884E-3</v>
      </c>
      <c r="W201" s="416"/>
      <c r="X201" s="416"/>
      <c r="Y201" s="118"/>
      <c r="Z201" s="684">
        <f>(1+J201)*(1+H201)*(1+I201)-1-E201</f>
        <v>0</v>
      </c>
      <c r="AA201" s="651">
        <f>(1+K201)-(1+N201)*(1+P201)*(1+O201)</f>
        <v>0</v>
      </c>
      <c r="AB201" s="118"/>
      <c r="AC201" s="118"/>
      <c r="AD201" s="118"/>
      <c r="AE201" s="118"/>
      <c r="AN201" s="118"/>
    </row>
    <row r="202" spans="1:40">
      <c r="A202" s="407"/>
      <c r="B202" s="413"/>
      <c r="C202" s="417"/>
      <c r="D202" s="418"/>
      <c r="E202" s="1402"/>
      <c r="F202" s="419"/>
      <c r="G202" s="420"/>
      <c r="H202" s="590">
        <f>H201/($H201+$I201+$J201)</f>
        <v>0.99073187195489432</v>
      </c>
      <c r="I202" s="590">
        <f>I201/($H201+$I201+$J201)</f>
        <v>-5.0578738908748637E-2</v>
      </c>
      <c r="J202" s="590">
        <f>J201/($H201+$I201+$J201)</f>
        <v>5.9846866953854307E-2</v>
      </c>
      <c r="K202" s="1979"/>
      <c r="L202" s="590"/>
      <c r="M202" s="590"/>
      <c r="N202" s="590">
        <f>N201/($N201+$O201+$P201)</f>
        <v>0.90396679198803442</v>
      </c>
      <c r="O202" s="590">
        <f>O201/($N201+$O201+$P201)</f>
        <v>-4.6963087449870954E-2</v>
      </c>
      <c r="P202" s="590">
        <f>P201/($N201+$O201+$P201)</f>
        <v>0.14299629546183656</v>
      </c>
      <c r="Q202" s="1406"/>
      <c r="R202" s="83"/>
      <c r="S202" s="417"/>
      <c r="T202" s="421"/>
      <c r="U202" s="421"/>
      <c r="V202" s="2099"/>
      <c r="W202" s="421"/>
      <c r="X202" s="421"/>
      <c r="Y202" s="118"/>
      <c r="Z202" s="118"/>
      <c r="AA202" s="118"/>
      <c r="AB202" s="118"/>
      <c r="AC202" s="118"/>
      <c r="AD202" s="118"/>
      <c r="AE202" s="118"/>
      <c r="AN202" s="118"/>
    </row>
    <row r="203" spans="1:40">
      <c r="A203" s="407"/>
      <c r="B203" s="409"/>
      <c r="C203" s="409"/>
      <c r="D203" s="410"/>
      <c r="E203" s="1400"/>
      <c r="F203" s="410"/>
      <c r="G203" s="410"/>
      <c r="H203" s="411"/>
      <c r="I203" s="411"/>
      <c r="J203" s="1227"/>
      <c r="K203" s="1983"/>
      <c r="L203" s="411"/>
      <c r="M203" s="411"/>
      <c r="N203" s="411"/>
      <c r="O203" s="411"/>
      <c r="P203" s="1227"/>
      <c r="Q203" s="1400"/>
      <c r="R203" s="83"/>
      <c r="S203" s="410"/>
      <c r="T203" s="411"/>
      <c r="U203" s="411"/>
      <c r="V203" s="2099"/>
      <c r="W203" s="411"/>
      <c r="X203" s="411"/>
      <c r="Y203" s="118"/>
      <c r="Z203" s="118"/>
      <c r="AA203" s="118"/>
      <c r="AB203" s="118"/>
      <c r="AC203" s="118"/>
      <c r="AD203" s="118"/>
      <c r="AE203" s="118"/>
      <c r="AN203" s="118"/>
    </row>
    <row r="204" spans="1:40">
      <c r="A204" s="412" t="s">
        <v>667</v>
      </c>
      <c r="B204" s="413"/>
      <c r="C204" s="414"/>
      <c r="D204" s="414">
        <f>(B$105/B$65)^(1/40)-1</f>
        <v>1.4219755454262906E-2</v>
      </c>
      <c r="E204" s="1401">
        <f>(C$105/C$65)^(1/40)-1</f>
        <v>-1.6743854272127656E-2</v>
      </c>
      <c r="F204" s="415"/>
      <c r="G204" s="416">
        <f>SUMPRODUCT($B$65:$B$104,G$65:G$104)/SUM($B$65:$B$104)</f>
        <v>2.592424178237895E-2</v>
      </c>
      <c r="H204" s="416">
        <f>PRODUCT(AG$66:AG$105)^(1/40)-1</f>
        <v>7.0608097005049331E-3</v>
      </c>
      <c r="I204" s="416">
        <f>PRODUCT(AH$66:AH$105)^(1/40)-1</f>
        <v>-2.0713415954261016E-3</v>
      </c>
      <c r="J204" s="1228">
        <f>PRODUCT(AI$66:AI$105)^(1/40)-1</f>
        <v>-2.1611184782308279E-2</v>
      </c>
      <c r="K204" s="1985">
        <f>PRODUCT(AJ$66:AJ$105)^(1/40)-1</f>
        <v>-1.3121336113508186E-2</v>
      </c>
      <c r="L204" s="416"/>
      <c r="M204" s="416"/>
      <c r="N204" s="416">
        <f>PRODUCT(AK$66:AK$105)^(1/40)-1</f>
        <v>7.5607891847120356E-3</v>
      </c>
      <c r="O204" s="416">
        <f>PRODUCT(AL$66:AL$105)^(1/40)-1</f>
        <v>-1.9320220701485313E-3</v>
      </c>
      <c r="P204" s="1228">
        <f>PRODUCT(AM$66:AM$105)^(1/40)-1</f>
        <v>-1.8630898779069205E-2</v>
      </c>
      <c r="Q204" s="1408"/>
      <c r="R204" s="83"/>
      <c r="S204" s="416"/>
      <c r="T204" s="416"/>
      <c r="U204" s="416"/>
      <c r="V204" s="2099">
        <f>SUMPRODUCT($B$65:$B$104,V$65:V$104)/SUM($B$65:$B$104)</f>
        <v>-6.5912924640229853E-3</v>
      </c>
      <c r="W204" s="416"/>
      <c r="X204" s="416"/>
      <c r="Y204" s="118"/>
      <c r="Z204" s="684">
        <f>(1+J204)*(1+H204)*(1+I204)-1-E204</f>
        <v>-1.1102230246251565E-16</v>
      </c>
      <c r="AA204" s="651">
        <f>(1+K204)-(1+N204)*(1+P204)*(1+O204)</f>
        <v>0</v>
      </c>
      <c r="AB204" s="118"/>
      <c r="AC204" s="118"/>
      <c r="AD204" s="118"/>
      <c r="AE204" s="118"/>
      <c r="AN204" s="118"/>
    </row>
    <row r="205" spans="1:40">
      <c r="A205" s="407"/>
      <c r="B205" s="413"/>
      <c r="C205" s="417"/>
      <c r="D205" s="418"/>
      <c r="E205" s="1402"/>
      <c r="F205" s="419"/>
      <c r="G205" s="420"/>
      <c r="H205" s="590">
        <f>H204/($H204+$I204+$J204)</f>
        <v>-0.42479425185833741</v>
      </c>
      <c r="I205" s="590">
        <f>I204/($H204+$I204+$J204)</f>
        <v>0.1246165865805961</v>
      </c>
      <c r="J205" s="590">
        <f>J204/($H204+$I204+$J204)</f>
        <v>1.3001776652777413</v>
      </c>
      <c r="K205" s="1979"/>
      <c r="L205" s="590"/>
      <c r="M205" s="590"/>
      <c r="N205" s="590">
        <f>N204/($N204+$O204+$P204)</f>
        <v>-0.58150381643589311</v>
      </c>
      <c r="O205" s="590">
        <f>O204/($N204+$O204+$P204)</f>
        <v>0.14859271694830822</v>
      </c>
      <c r="P205" s="590">
        <f>P204/($N204+$O204+$P204)</f>
        <v>1.4329110994875849</v>
      </c>
      <c r="Q205" s="1406"/>
      <c r="R205" s="83"/>
      <c r="S205" s="417"/>
      <c r="T205" s="421"/>
      <c r="U205" s="421"/>
      <c r="V205" s="2099"/>
      <c r="W205" s="421"/>
      <c r="X205" s="421"/>
      <c r="Y205" s="118"/>
      <c r="Z205" s="118"/>
      <c r="AA205" s="118"/>
      <c r="AB205" s="118"/>
      <c r="AC205" s="118"/>
      <c r="AD205" s="118"/>
      <c r="AE205" s="118"/>
      <c r="AN205" s="118"/>
    </row>
    <row r="206" spans="1:40">
      <c r="A206" s="407"/>
      <c r="B206" s="409"/>
      <c r="C206" s="409"/>
      <c r="D206" s="410"/>
      <c r="E206" s="1400"/>
      <c r="F206" s="410"/>
      <c r="G206" s="410"/>
      <c r="H206" s="411"/>
      <c r="I206" s="411"/>
      <c r="J206" s="1227"/>
      <c r="K206" s="1983"/>
      <c r="L206" s="411"/>
      <c r="M206" s="411"/>
      <c r="N206" s="411"/>
      <c r="O206" s="411"/>
      <c r="P206" s="1227"/>
      <c r="Q206" s="1400"/>
      <c r="R206" s="83"/>
      <c r="S206" s="410"/>
      <c r="T206" s="411"/>
      <c r="U206" s="411"/>
      <c r="V206" s="2099"/>
      <c r="W206" s="411"/>
      <c r="X206" s="411"/>
      <c r="Y206" s="118"/>
      <c r="Z206" s="118"/>
      <c r="AA206" s="118"/>
      <c r="AB206" s="118"/>
      <c r="AC206" s="118"/>
      <c r="AD206" s="118"/>
      <c r="AE206" s="118"/>
      <c r="AN206" s="118"/>
    </row>
    <row r="207" spans="1:40">
      <c r="A207" s="412" t="s">
        <v>621</v>
      </c>
      <c r="B207" s="413"/>
      <c r="C207" s="414"/>
      <c r="D207" s="414">
        <f>(B$105/B$75)^(1/30)-1</f>
        <v>2.0930502679103791E-2</v>
      </c>
      <c r="E207" s="1401">
        <f>(C$105/C$75)^(1/30)-1</f>
        <v>1.4265897665598493E-2</v>
      </c>
      <c r="F207" s="415"/>
      <c r="G207" s="416">
        <f>SUMPRODUCT($B$75:$B$104,G$75:G$104)/SUM($B$75:$B$104)</f>
        <v>2.4008428470433555E-2</v>
      </c>
      <c r="H207" s="416">
        <f>PRODUCT(AG$76:AG$105)^(1/30)-1</f>
        <v>8.8510871437790239E-3</v>
      </c>
      <c r="I207" s="416">
        <f>PRODUCT(AH$76:AH$105)^(1/30)-1</f>
        <v>-2.7608349199902404E-3</v>
      </c>
      <c r="J207" s="1228">
        <f>PRODUCT(AI$76:AI$105)^(1/30)-1</f>
        <v>8.1506415417602618E-3</v>
      </c>
      <c r="K207" s="1985">
        <f>PRODUCT(AJ$76:AJ$105)^(1/30)-1</f>
        <v>1.925130712923484E-2</v>
      </c>
      <c r="L207" s="416"/>
      <c r="M207" s="416"/>
      <c r="N207" s="416">
        <f>PRODUCT(AK$76:AK$105)^(1/30)-1</f>
        <v>8.8865335718955052E-3</v>
      </c>
      <c r="O207" s="416">
        <f>PRODUCT(AL$76:AL$105)^(1/30)-1</f>
        <v>-2.5751995794945914E-3</v>
      </c>
      <c r="P207" s="1228">
        <f>PRODUCT(AM$76:AM$105)^(1/30)-1</f>
        <v>1.2881850867061395E-2</v>
      </c>
      <c r="Q207" s="1400"/>
      <c r="R207" s="83"/>
      <c r="S207" s="410"/>
      <c r="T207" s="411"/>
      <c r="U207" s="411"/>
      <c r="V207" s="2099">
        <f>SUMPRODUCT($B$75:$B$104,V$75:V$104)/SUM($B$75:$B$104)</f>
        <v>-8.4499748560132662E-3</v>
      </c>
      <c r="W207" s="411"/>
      <c r="X207" s="411"/>
      <c r="Y207" s="118"/>
      <c r="Z207" s="684">
        <f>(1+J207)*(1+H207)*(1+I207)-1-E207</f>
        <v>0</v>
      </c>
      <c r="AA207" s="651">
        <f>(1+K207)-(1+N207)*(1+P207)*(1+O207)</f>
        <v>0</v>
      </c>
      <c r="AB207" s="118"/>
      <c r="AC207" s="118"/>
      <c r="AD207" s="118"/>
      <c r="AE207" s="118"/>
      <c r="AN207" s="118"/>
    </row>
    <row r="208" spans="1:40">
      <c r="A208" s="407"/>
      <c r="B208" s="413"/>
      <c r="C208" s="417"/>
      <c r="D208" s="418"/>
      <c r="E208" s="1402"/>
      <c r="F208" s="419"/>
      <c r="G208" s="420"/>
      <c r="H208" s="590">
        <f>H207/($H207+$I207+$J207)</f>
        <v>0.62152609867726083</v>
      </c>
      <c r="I208" s="590">
        <f>I207/($H207+$I207+$J207)</f>
        <v>-0.19386668880777222</v>
      </c>
      <c r="J208" s="590">
        <f>J207/($H207+$I207+$J207)</f>
        <v>0.57234059013051142</v>
      </c>
      <c r="K208" s="1979"/>
      <c r="L208" s="590"/>
      <c r="M208" s="590"/>
      <c r="N208" s="590">
        <f>N207/($N207+$O207+$P207)</f>
        <v>0.46300463612293152</v>
      </c>
      <c r="O208" s="590">
        <f>O207/($N207+$O207+$P207)</f>
        <v>-0.1341726033668148</v>
      </c>
      <c r="P208" s="590">
        <f>P207/($N207+$O207+$P207)</f>
        <v>0.67116796724388328</v>
      </c>
      <c r="Q208" s="1400"/>
      <c r="R208" s="83"/>
      <c r="S208" s="410"/>
      <c r="T208" s="411"/>
      <c r="U208" s="411"/>
      <c r="V208" s="2099"/>
      <c r="W208" s="411"/>
      <c r="X208" s="411"/>
      <c r="Y208" s="118"/>
      <c r="Z208" s="118"/>
      <c r="AA208" s="118"/>
      <c r="AB208" s="118"/>
      <c r="AC208" s="118"/>
      <c r="AD208" s="118"/>
      <c r="AE208" s="118"/>
      <c r="AN208" s="118"/>
    </row>
    <row r="209" spans="1:40">
      <c r="A209" s="407"/>
      <c r="B209" s="409"/>
      <c r="C209" s="409"/>
      <c r="D209" s="410"/>
      <c r="E209" s="1400"/>
      <c r="F209" s="410"/>
      <c r="G209" s="410"/>
      <c r="H209" s="411"/>
      <c r="I209" s="411"/>
      <c r="J209" s="1227"/>
      <c r="K209" s="1983"/>
      <c r="L209" s="411"/>
      <c r="M209" s="411"/>
      <c r="N209" s="411"/>
      <c r="O209" s="411"/>
      <c r="P209" s="1227"/>
      <c r="Q209" s="1400"/>
      <c r="R209" s="83"/>
      <c r="S209" s="410"/>
      <c r="T209" s="411"/>
      <c r="U209" s="411"/>
      <c r="V209" s="2099"/>
      <c r="W209" s="411"/>
      <c r="X209" s="411"/>
      <c r="Y209" s="118"/>
      <c r="Z209" s="118"/>
      <c r="AA209" s="118"/>
      <c r="AB209" s="118"/>
      <c r="AC209" s="118"/>
      <c r="AD209" s="118"/>
      <c r="AE209" s="118"/>
      <c r="AN209" s="118"/>
    </row>
    <row r="210" spans="1:40">
      <c r="A210" s="412" t="s">
        <v>374</v>
      </c>
      <c r="B210" s="413"/>
      <c r="C210" s="414"/>
      <c r="D210" s="414">
        <f>(B$165/B$105)^(1/60)-1</f>
        <v>2.3264094283384606E-2</v>
      </c>
      <c r="E210" s="1401">
        <f>(C$165/C$105)^(1/60)-1</f>
        <v>3.9102280210516538E-2</v>
      </c>
      <c r="F210" s="415"/>
      <c r="G210" s="416">
        <f>SUMPRODUCT($B$105:$B$164,G$105:G$164)/SUM($B$105:$B$164)</f>
        <v>6.2707572165206976E-2</v>
      </c>
      <c r="H210" s="416">
        <f>PRODUCT(AG$106:AG$165)^(1/60)-1</f>
        <v>2.2404886394609802E-2</v>
      </c>
      <c r="I210" s="416">
        <f>PRODUCT(AH$106:AH$165)^(1/60)-1</f>
        <v>0</v>
      </c>
      <c r="J210" s="1228">
        <f>PRODUCT(AI$106:AI$165)^(1/60)-1</f>
        <v>1.6331488667652883E-2</v>
      </c>
      <c r="K210" s="1985">
        <f>PRODUCT(AJ$106:AJ$165)^(1/60)-1</f>
        <v>3.6717596228679428E-2</v>
      </c>
      <c r="L210" s="416"/>
      <c r="M210" s="416"/>
      <c r="N210" s="416">
        <f>PRODUCT(AK$106:AK$165)^(1/60)-1</f>
        <v>1.9795696204069069E-2</v>
      </c>
      <c r="O210" s="416">
        <f>PRODUCT(AL$106:AL$165)^(1/60)-1</f>
        <v>0</v>
      </c>
      <c r="P210" s="1228">
        <f>PRODUCT(AM$106:AM$165)^(1/60)-1</f>
        <v>1.6593421689852006E-2</v>
      </c>
      <c r="Q210" s="1408"/>
      <c r="R210" s="83"/>
      <c r="S210" s="416"/>
      <c r="T210" s="416"/>
      <c r="U210" s="416"/>
      <c r="V210" s="2099">
        <f>SUMPRODUCT($B$105:$B$164,V$105:V$164)/SUM($B$105:$B$164)</f>
        <v>0</v>
      </c>
      <c r="W210" s="416"/>
      <c r="X210" s="416"/>
      <c r="Y210" s="118"/>
      <c r="Z210" s="684">
        <f>(1+J210)*(1+H210)*(1+I210)-1-E210</f>
        <v>-2.2204460492503131E-16</v>
      </c>
      <c r="AA210" s="651">
        <f>(1+K210)-(1+N210)*(1+P210)*(1+O210)</f>
        <v>0</v>
      </c>
      <c r="AB210" s="118"/>
      <c r="AC210" s="118"/>
      <c r="AD210" s="118"/>
      <c r="AE210" s="118"/>
      <c r="AN210" s="118"/>
    </row>
    <row r="211" spans="1:40">
      <c r="A211" s="407"/>
      <c r="B211" s="413"/>
      <c r="C211" s="417"/>
      <c r="D211" s="418"/>
      <c r="E211" s="1402"/>
      <c r="F211" s="419"/>
      <c r="G211" s="420"/>
      <c r="H211" s="590">
        <f>H210/($H210+$I210+$J210)</f>
        <v>0.5783939864945401</v>
      </c>
      <c r="I211" s="590">
        <f>I210/($H210+$I210+$J210)</f>
        <v>0</v>
      </c>
      <c r="J211" s="590">
        <f>J210/($H210+$I210+$J210)</f>
        <v>0.42160601350545995</v>
      </c>
      <c r="K211" s="1979"/>
      <c r="L211" s="590"/>
      <c r="M211" s="590"/>
      <c r="N211" s="590">
        <f>N210/($N210+$O210+$P210)</f>
        <v>0.54400044160938588</v>
      </c>
      <c r="O211" s="590">
        <f>O210/($N210+$O210+$P210)</f>
        <v>0</v>
      </c>
      <c r="P211" s="590">
        <f>P210/($N210+$O210+$P210)</f>
        <v>0.45599955839061418</v>
      </c>
      <c r="Q211" s="1406"/>
      <c r="R211" s="83"/>
      <c r="S211" s="417"/>
      <c r="T211" s="421"/>
      <c r="U211" s="421"/>
      <c r="V211" s="2099"/>
      <c r="W211" s="421"/>
      <c r="X211" s="421"/>
      <c r="Y211" s="118"/>
      <c r="Z211" s="118"/>
      <c r="AA211" s="118"/>
      <c r="AB211" s="118"/>
      <c r="AC211" s="118"/>
      <c r="AD211" s="118"/>
      <c r="AE211" s="118"/>
      <c r="AN211" s="118"/>
    </row>
    <row r="212" spans="1:40">
      <c r="A212" s="412"/>
      <c r="B212" s="413"/>
      <c r="C212" s="414"/>
      <c r="D212" s="416"/>
      <c r="E212" s="1403"/>
      <c r="F212" s="415"/>
      <c r="G212" s="416"/>
      <c r="H212" s="416"/>
      <c r="I212" s="416"/>
      <c r="J212" s="1228"/>
      <c r="K212" s="1985"/>
      <c r="L212" s="416"/>
      <c r="M212" s="416"/>
      <c r="N212" s="416"/>
      <c r="O212" s="416"/>
      <c r="P212" s="1228"/>
      <c r="Q212" s="1408"/>
      <c r="R212" s="83"/>
      <c r="S212" s="416"/>
      <c r="T212" s="416"/>
      <c r="U212" s="416"/>
      <c r="V212" s="2099"/>
      <c r="W212" s="416"/>
      <c r="X212" s="416"/>
      <c r="Y212" s="118"/>
      <c r="Z212" s="118"/>
      <c r="AA212" s="118"/>
      <c r="AB212" s="118"/>
      <c r="AC212" s="118"/>
      <c r="AD212" s="118"/>
      <c r="AE212" s="118"/>
      <c r="AN212" s="118"/>
    </row>
    <row r="213" spans="1:40">
      <c r="A213" s="412" t="s">
        <v>288</v>
      </c>
      <c r="B213" s="413"/>
      <c r="C213" s="414"/>
      <c r="D213" s="414">
        <f>(B$135/B$105)^(1/30)-1</f>
        <v>2.1057290398024175E-2</v>
      </c>
      <c r="E213" s="1401">
        <f>(C$135/C$105)^(1/30)-1</f>
        <v>3.8497701586304167E-2</v>
      </c>
      <c r="F213" s="415"/>
      <c r="G213" s="416">
        <f>SUMPRODUCT($B$105:$B$134,G$105:G$134)/SUM($B$105:$B$134)</f>
        <v>9.8097433715724699E-2</v>
      </c>
      <c r="H213" s="416">
        <f>PRODUCT(AG$106:AG$135)^(1/30)-1</f>
        <v>3.482536547199655E-2</v>
      </c>
      <c r="I213" s="416">
        <f>PRODUCT(AH$106:AH$135)^(1/30)-1</f>
        <v>0</v>
      </c>
      <c r="J213" s="1228">
        <f>PRODUCT(AI$106:AI$135)^(1/30)-1</f>
        <v>3.5487496120976125E-3</v>
      </c>
      <c r="K213" s="1985">
        <f>PRODUCT(AJ$106:AJ$135)^(1/30)-1</f>
        <v>3.9796758874222293E-2</v>
      </c>
      <c r="L213" s="416"/>
      <c r="M213" s="416"/>
      <c r="N213" s="416">
        <f>PRODUCT(AK$106:AK$135)^(1/30)-1</f>
        <v>3.018592810693832E-2</v>
      </c>
      <c r="O213" s="416">
        <f>PRODUCT(AL$106:AL$135)^(1/30)-1</f>
        <v>0</v>
      </c>
      <c r="P213" s="1228">
        <f>PRODUCT(AM$106:AM$135)^(1/30)-1</f>
        <v>9.32921961470079E-3</v>
      </c>
      <c r="Q213" s="1408"/>
      <c r="R213" s="83"/>
      <c r="S213" s="416"/>
      <c r="T213" s="416"/>
      <c r="U213" s="416"/>
      <c r="V213" s="2099">
        <f>SUMPRODUCT($B$105:$B$134,V$105:V$134)/SUM($B$105:$B$134)</f>
        <v>0</v>
      </c>
      <c r="W213" s="416"/>
      <c r="X213" s="416"/>
      <c r="Y213" s="118"/>
      <c r="Z213" s="684">
        <f>(1+J213)*(1+H213)*(1+I213)-1-E213</f>
        <v>0</v>
      </c>
      <c r="AA213" s="651">
        <f>(1+K213)-(1+N213)*(1+P213)*(1+O213)</f>
        <v>0</v>
      </c>
      <c r="AB213" s="118"/>
      <c r="AC213" s="118"/>
      <c r="AD213" s="118"/>
      <c r="AE213" s="118"/>
      <c r="AN213" s="118"/>
    </row>
    <row r="214" spans="1:40">
      <c r="A214" s="407"/>
      <c r="B214" s="413"/>
      <c r="C214" s="417"/>
      <c r="D214" s="418"/>
      <c r="E214" s="1402"/>
      <c r="F214" s="419"/>
      <c r="G214" s="420"/>
      <c r="H214" s="590">
        <f>H213/($H213+$I213+$J213)</f>
        <v>0.90752230756798491</v>
      </c>
      <c r="I214" s="590">
        <f>I213/($H213+$I213+$J213)</f>
        <v>0</v>
      </c>
      <c r="J214" s="590">
        <f>J213/($H213+$I213+$J213)</f>
        <v>9.2477692432015132E-2</v>
      </c>
      <c r="K214" s="1979"/>
      <c r="L214" s="590"/>
      <c r="M214" s="590"/>
      <c r="N214" s="590">
        <f>N213/($N213+$O213+$P213)</f>
        <v>0.76390776315908937</v>
      </c>
      <c r="O214" s="590">
        <f>O213/($N213+$O213+$P213)</f>
        <v>0</v>
      </c>
      <c r="P214" s="590">
        <f>P213/($N213+$O213+$P213)</f>
        <v>0.2360922368409106</v>
      </c>
      <c r="Q214" s="1406"/>
      <c r="R214" s="83"/>
      <c r="S214" s="417"/>
      <c r="T214" s="421"/>
      <c r="U214" s="421"/>
      <c r="V214" s="2099"/>
      <c r="W214" s="421"/>
      <c r="X214" s="421"/>
      <c r="Y214" s="118"/>
      <c r="Z214" s="118"/>
      <c r="AA214" s="118"/>
      <c r="AB214" s="118"/>
      <c r="AC214" s="118"/>
      <c r="AD214" s="118"/>
      <c r="AE214" s="118"/>
      <c r="AN214" s="118"/>
    </row>
    <row r="215" spans="1:40">
      <c r="A215" s="407"/>
      <c r="B215" s="413"/>
      <c r="C215" s="417"/>
      <c r="D215" s="418"/>
      <c r="E215" s="1402"/>
      <c r="F215" s="419"/>
      <c r="G215" s="420"/>
      <c r="H215" s="423"/>
      <c r="I215" s="423"/>
      <c r="J215" s="1229"/>
      <c r="K215" s="1987"/>
      <c r="L215" s="423"/>
      <c r="M215" s="418"/>
      <c r="N215" s="418"/>
      <c r="O215" s="418"/>
      <c r="P215" s="1229"/>
      <c r="Q215" s="1407"/>
      <c r="R215" s="83"/>
      <c r="S215" s="425"/>
      <c r="T215" s="423"/>
      <c r="U215" s="418"/>
      <c r="V215" s="2099"/>
      <c r="W215" s="418"/>
      <c r="X215" s="418"/>
      <c r="Y215" s="118"/>
      <c r="Z215" s="118"/>
      <c r="AA215" s="118"/>
      <c r="AB215" s="118"/>
      <c r="AC215" s="118"/>
      <c r="AD215" s="118"/>
      <c r="AE215" s="118"/>
      <c r="AN215" s="118"/>
    </row>
    <row r="216" spans="1:40">
      <c r="A216" s="412" t="s">
        <v>289</v>
      </c>
      <c r="B216" s="413"/>
      <c r="C216" s="414"/>
      <c r="D216" s="414">
        <f>($B$165/$B$135)^(1/30)-1</f>
        <v>2.5475667718342532E-2</v>
      </c>
      <c r="E216" s="1401">
        <f>(C$165/C$135)^(1/30)-1</f>
        <v>3.9707210800180581E-2</v>
      </c>
      <c r="F216" s="415"/>
      <c r="G216" s="416">
        <f>SUMPRODUCT($B$135:$B$164,G$135:G$164)/SUM($B$135:$B$164)</f>
        <v>4.497481364734067E-2</v>
      </c>
      <c r="H216" s="416">
        <f>PRODUCT(AG$136:AG$165)^(1/30)-1</f>
        <v>1.0133483968858492E-2</v>
      </c>
      <c r="I216" s="416">
        <f>PRODUCT(AH$136:AH$165)^(1/30)-1</f>
        <v>0</v>
      </c>
      <c r="J216" s="1228">
        <f>PRODUCT(AI$136:AI$165)^(1/30)-1</f>
        <v>2.9277048331400435E-2</v>
      </c>
      <c r="K216" s="1988">
        <f>PRODUCT(AJ$136:AJ$165)^(1/30)-1</f>
        <v>3.3647551944505638E-2</v>
      </c>
      <c r="L216" s="416"/>
      <c r="M216" s="416">
        <f>SUMPRODUCT($B$135:$B$164,M$135:M$164)/SUM($B$135:$B$164)</f>
        <v>4.497481364734067E-2</v>
      </c>
      <c r="N216" s="416">
        <f>PRODUCT(AK$136:AK$165)^(1/30)-1</f>
        <v>9.5102579273307342E-3</v>
      </c>
      <c r="O216" s="416">
        <f>PRODUCT(AL$136:AL$165)^(1/30)-1</f>
        <v>0</v>
      </c>
      <c r="P216" s="1228">
        <f>PRODUCT(AM$136:AM$165)^(1/30)-1</f>
        <v>2.390990465687004E-2</v>
      </c>
      <c r="Q216" s="1401">
        <f>(($B$165*$R$165)/($B$135*$R$135))^(1/30)-1</f>
        <v>1.9881814080922933E-2</v>
      </c>
      <c r="R216" s="83"/>
      <c r="S216" s="416">
        <f>SUMPRODUCT($B$135:$B$164,S$135:S$164)/SUM($B$135:$B$164)</f>
        <v>4.497481364734067E-2</v>
      </c>
      <c r="T216" s="416">
        <f>PRODUCT(AO$136:AO$165)^(1/30)-1</f>
        <v>9.2165864588202862E-3</v>
      </c>
      <c r="U216" s="416">
        <f>PRODUCT(AP$136:AP$165)^(1/30)-1</f>
        <v>1.0567828318721162E-2</v>
      </c>
      <c r="V216" s="2099">
        <f>SUMPRODUCT($B$135:$B$164,V$135:V$164)/SUM($B$135:$B$164)</f>
        <v>0</v>
      </c>
      <c r="W216" s="416"/>
      <c r="X216" s="416"/>
      <c r="Y216" s="118"/>
      <c r="Z216" s="684">
        <f>(1+J216)*(1+H216)*(1+I216)-1-E216</f>
        <v>0</v>
      </c>
      <c r="AA216" s="651">
        <f>(1+K216)-(1+N216)*(1+P216)*(1+O216)</f>
        <v>0</v>
      </c>
      <c r="AB216" s="651">
        <f>(1+Q216)-(1+T216)*(1+U216)</f>
        <v>0</v>
      </c>
      <c r="AC216" s="118"/>
      <c r="AD216" s="118"/>
      <c r="AE216" s="118"/>
      <c r="AN216" s="118"/>
    </row>
    <row r="217" spans="1:40">
      <c r="A217" s="407"/>
      <c r="B217" s="413"/>
      <c r="C217" s="417"/>
      <c r="D217" s="418"/>
      <c r="E217" s="1402"/>
      <c r="F217" s="419"/>
      <c r="G217" s="420"/>
      <c r="H217" s="590">
        <f>H216/($H216+$I216+$J216)</f>
        <v>0.25712629029351919</v>
      </c>
      <c r="I217" s="590">
        <f>I216/($H216+$I216+$J216)</f>
        <v>0</v>
      </c>
      <c r="J217" s="590">
        <f>J216/($H216+$I216+$J216)</f>
        <v>0.74287370970648081</v>
      </c>
      <c r="K217" s="1989"/>
      <c r="L217" s="590"/>
      <c r="M217" s="417"/>
      <c r="N217" s="590">
        <f>N216/($N216+$O216+$P216)</f>
        <v>0.28456647699932686</v>
      </c>
      <c r="O217" s="590">
        <f>O216/($N216+$O216+$P216)</f>
        <v>0</v>
      </c>
      <c r="P217" s="590">
        <f>P216/($N216+$O216+$P216)</f>
        <v>0.71543352300067309</v>
      </c>
      <c r="Q217" s="1406"/>
      <c r="R217" s="83"/>
      <c r="S217" s="417"/>
      <c r="T217" s="590">
        <f>T216/($T216+$U216)</f>
        <v>0.4658508509072819</v>
      </c>
      <c r="U217" s="590">
        <f>U216/($T216+$U216)</f>
        <v>0.53414914909271805</v>
      </c>
      <c r="V217" s="2099"/>
      <c r="W217" s="590"/>
      <c r="X217" s="590"/>
      <c r="Y217" s="118"/>
      <c r="Z217" s="118"/>
      <c r="AA217" s="118"/>
      <c r="AB217" s="118"/>
      <c r="AC217" s="118"/>
      <c r="AD217" s="118"/>
      <c r="AE217" s="118"/>
      <c r="AN217" s="118"/>
    </row>
    <row r="218" spans="1:40">
      <c r="A218" s="407"/>
      <c r="B218" s="413"/>
      <c r="C218" s="417"/>
      <c r="D218" s="418"/>
      <c r="E218" s="1402"/>
      <c r="F218" s="419"/>
      <c r="G218" s="420"/>
      <c r="H218" s="423"/>
      <c r="I218" s="423"/>
      <c r="J218" s="1229"/>
      <c r="K218" s="1990"/>
      <c r="L218" s="423"/>
      <c r="M218" s="425"/>
      <c r="N218" s="423"/>
      <c r="O218" s="423"/>
      <c r="P218" s="1229"/>
      <c r="Q218" s="1407"/>
      <c r="R218" s="83"/>
      <c r="S218" s="425"/>
      <c r="T218" s="423"/>
      <c r="U218" s="418"/>
      <c r="V218" s="2099"/>
      <c r="W218" s="418"/>
      <c r="X218" s="418"/>
      <c r="Y218" s="118"/>
      <c r="Z218" s="118"/>
      <c r="AA218" s="118"/>
      <c r="AB218" s="118"/>
      <c r="AC218" s="118"/>
      <c r="AD218" s="118"/>
      <c r="AE218" s="118"/>
      <c r="AN218" s="118"/>
    </row>
    <row r="219" spans="1:40">
      <c r="A219" s="412" t="s">
        <v>375</v>
      </c>
      <c r="B219" s="413"/>
      <c r="C219" s="414"/>
      <c r="D219" s="414">
        <f>(B$125/B$105)^(1/20)-1</f>
        <v>2.5856995627983048E-2</v>
      </c>
      <c r="E219" s="1401">
        <f>(C$125/C$105)^(1/20)-1</f>
        <v>4.7257243524253756E-2</v>
      </c>
      <c r="F219" s="415"/>
      <c r="G219" s="416">
        <f>SUMPRODUCT($B$105:$B$124,G$105:G$124)/SUM($B$105:$B$124)</f>
        <v>0.10163164910115763</v>
      </c>
      <c r="H219" s="416">
        <f>PRODUCT(AG$106:AG$125)^(1/20)-1</f>
        <v>3.8368919936974333E-2</v>
      </c>
      <c r="I219" s="416">
        <f>PRODUCT(AH$106:AH$125)^(1/20)-1</f>
        <v>0</v>
      </c>
      <c r="J219" s="1228">
        <f>PRODUCT(AI$106:AI$125)^(1/20)-1</f>
        <v>8.5598898586245475E-3</v>
      </c>
      <c r="K219" s="1985">
        <f>PRODUCT(AJ$106:AJ$125)^(1/20)-1</f>
        <v>4.7360404993499472E-2</v>
      </c>
      <c r="L219" s="416"/>
      <c r="M219" s="416"/>
      <c r="N219" s="416">
        <f>PRODUCT(AK$106:AK$125)^(1/20)-1</f>
        <v>3.3589247681031553E-2</v>
      </c>
      <c r="O219" s="416">
        <f>PRODUCT(AL$106:AL$125)^(1/20)-1</f>
        <v>0</v>
      </c>
      <c r="P219" s="1228">
        <f>PRODUCT(AM$106:AM$125)^(1/20)-1</f>
        <v>1.3323626714736969E-2</v>
      </c>
      <c r="Q219" s="1408"/>
      <c r="R219" s="83"/>
      <c r="S219" s="416"/>
      <c r="T219" s="416"/>
      <c r="U219" s="416"/>
      <c r="V219" s="2099">
        <f>SUMPRODUCT($B$105:$B$124,V$105:V$124)/SUM($B$105:$B$124)</f>
        <v>0</v>
      </c>
      <c r="W219" s="416"/>
      <c r="X219" s="416"/>
      <c r="Y219" s="118"/>
      <c r="Z219" s="684">
        <f>(1+J219)*(1+H219)*(1+I219)-1-E219</f>
        <v>0</v>
      </c>
      <c r="AA219" s="651">
        <f>(1+K219)-(1+N219)*(1+P219)*(1+O219)</f>
        <v>0</v>
      </c>
      <c r="AB219" s="118"/>
      <c r="AC219" s="118"/>
      <c r="AD219" s="118"/>
      <c r="AE219" s="118"/>
      <c r="AN219" s="118"/>
    </row>
    <row r="220" spans="1:40">
      <c r="A220" s="407"/>
      <c r="B220" s="413"/>
      <c r="C220" s="417"/>
      <c r="D220" s="418"/>
      <c r="E220" s="1402"/>
      <c r="F220" s="419"/>
      <c r="G220" s="420"/>
      <c r="H220" s="590">
        <f>H219/($H219+$I219+$J219)</f>
        <v>0.81759840285940266</v>
      </c>
      <c r="I220" s="590">
        <f>I219/($H219+$I219+$J219)</f>
        <v>0</v>
      </c>
      <c r="J220" s="590">
        <f>J219/($H219+$I219+$J219)</f>
        <v>0.18240159714059739</v>
      </c>
      <c r="K220" s="1989"/>
      <c r="L220" s="590"/>
      <c r="M220" s="417"/>
      <c r="N220" s="590">
        <f>N219/($N219+$O219+$P219)</f>
        <v>0.71599210480399078</v>
      </c>
      <c r="O220" s="590">
        <f>O219/($N219+$O219+$P219)</f>
        <v>0</v>
      </c>
      <c r="P220" s="590">
        <f>P219/($N219+$O219+$P219)</f>
        <v>0.28400789519600916</v>
      </c>
      <c r="Q220" s="1406"/>
      <c r="R220" s="83"/>
      <c r="S220" s="417"/>
      <c r="T220" s="421"/>
      <c r="U220" s="421"/>
      <c r="V220" s="2099"/>
      <c r="W220" s="421"/>
      <c r="X220" s="421"/>
      <c r="Y220" s="118"/>
      <c r="Z220" s="118"/>
      <c r="AA220" s="118"/>
      <c r="AB220" s="118"/>
      <c r="AC220" s="118"/>
      <c r="AD220" s="118"/>
      <c r="AE220" s="118"/>
      <c r="AN220" s="118"/>
    </row>
    <row r="221" spans="1:40">
      <c r="A221" s="407"/>
      <c r="B221" s="413"/>
      <c r="C221" s="417"/>
      <c r="D221" s="418"/>
      <c r="E221" s="1402"/>
      <c r="F221" s="419"/>
      <c r="G221" s="420"/>
      <c r="H221" s="423"/>
      <c r="I221" s="423"/>
      <c r="J221" s="1229"/>
      <c r="K221" s="1990"/>
      <c r="L221" s="423"/>
      <c r="M221" s="425"/>
      <c r="N221" s="423"/>
      <c r="O221" s="423"/>
      <c r="P221" s="1229"/>
      <c r="Q221" s="1407"/>
      <c r="R221" s="83"/>
      <c r="S221" s="425"/>
      <c r="T221" s="423"/>
      <c r="U221" s="418"/>
      <c r="V221" s="2099"/>
      <c r="W221" s="418"/>
      <c r="X221" s="418"/>
      <c r="Y221" s="118"/>
      <c r="Z221" s="118"/>
      <c r="AA221" s="118"/>
      <c r="AB221" s="118"/>
      <c r="AC221" s="118"/>
      <c r="AD221" s="118"/>
      <c r="AE221" s="118"/>
      <c r="AN221" s="118"/>
    </row>
    <row r="222" spans="1:40">
      <c r="A222" s="412" t="s">
        <v>348</v>
      </c>
      <c r="B222" s="413"/>
      <c r="C222" s="414"/>
      <c r="D222" s="414">
        <f>(B$165/B$125)^(1/40)-1</f>
        <v>2.1970102276964276E-2</v>
      </c>
      <c r="E222" s="1401">
        <f>(C$165/C$125)^(1/40)-1</f>
        <v>3.5048642978026345E-2</v>
      </c>
      <c r="F222" s="415"/>
      <c r="G222" s="416">
        <f>SUMPRODUCT($B$125:$B$164,G$125:G$164)/SUM($B$125:$B$164)</f>
        <v>5.3251067147874052E-2</v>
      </c>
      <c r="H222" s="416">
        <f>PRODUCT(AG$126:AG$165)^(1/40)-1</f>
        <v>1.4515144334443342E-2</v>
      </c>
      <c r="I222" s="416">
        <f>PRODUCT(AH$126:AH$165)^(1/40)-1</f>
        <v>0</v>
      </c>
      <c r="J222" s="1228">
        <f>PRODUCT(AI$126:AI$165)^(1/40)-1</f>
        <v>2.0239716241055694E-2</v>
      </c>
      <c r="K222" s="1988">
        <f>PRODUCT(AJ$126:AJ$165)^(1/40)-1</f>
        <v>3.143681609488036E-2</v>
      </c>
      <c r="L222" s="416"/>
      <c r="M222" s="416">
        <f>SUMPRODUCT($B$125:$B$164,M$125:M$164)/SUM($B$125:$B$164)</f>
        <v>5.3251067147874052E-2</v>
      </c>
      <c r="N222" s="416">
        <f>PRODUCT(AK$126:AK$165)^(1/40)-1</f>
        <v>1.2968104396245073E-2</v>
      </c>
      <c r="O222" s="416">
        <f>PRODUCT(AL$126:AL$165)^(1/40)-1</f>
        <v>0</v>
      </c>
      <c r="P222" s="1228">
        <f>PRODUCT(AM$126:AM$165)^(1/40)-1</f>
        <v>1.8232273670298005E-2</v>
      </c>
      <c r="Q222" s="1401">
        <f>(($B$165*$R$165)/($B$125*$R$125))^(1/40)-1</f>
        <v>2.4380543162202173E-2</v>
      </c>
      <c r="R222" s="83"/>
      <c r="S222" s="416">
        <f>SUMPRODUCT($B$125:$B$164,S$125:S$164)/SUM($B$125:$B$164)</f>
        <v>5.3251067147874052E-2</v>
      </c>
      <c r="T222" s="416">
        <f>PRODUCT(AO$126:AO$165)^(1/40)-1</f>
        <v>1.1406639271651642E-2</v>
      </c>
      <c r="U222" s="416">
        <f>PRODUCT(AP$126:AP$165)^(1/40)-1</f>
        <v>1.2827584264123004E-2</v>
      </c>
      <c r="V222" s="2099">
        <f>SUMPRODUCT($B$125:$B$164,V$125:V$164)/SUM($B$125:$B$164)</f>
        <v>0</v>
      </c>
      <c r="W222" s="416"/>
      <c r="X222" s="416"/>
      <c r="Y222" s="118"/>
      <c r="Z222" s="684">
        <f>(1+J222)*(1+H222)*(1+I222)-1-E222</f>
        <v>-2.2204460492503131E-16</v>
      </c>
      <c r="AA222" s="651">
        <f>(1+K222)-(1+N222)*(1+P222)*(1+O222)</f>
        <v>0</v>
      </c>
      <c r="AB222" s="651">
        <f>(1+Q222)-(1+T222)*(1+U222)</f>
        <v>0</v>
      </c>
      <c r="AC222" s="118"/>
      <c r="AD222" s="118"/>
      <c r="AE222" s="118"/>
      <c r="AN222" s="118"/>
    </row>
    <row r="223" spans="1:40">
      <c r="A223" s="407"/>
      <c r="B223" s="413"/>
      <c r="C223" s="417"/>
      <c r="D223" s="418"/>
      <c r="E223" s="1402"/>
      <c r="F223" s="419"/>
      <c r="G223" s="420"/>
      <c r="H223" s="590">
        <f>H222/($H222+$I222+$J222)</f>
        <v>0.41764357831077048</v>
      </c>
      <c r="I223" s="590">
        <f>I222/($H222+$I222+$J222)</f>
        <v>0</v>
      </c>
      <c r="J223" s="590">
        <f>J222/($H222+$I222+$J222)</f>
        <v>0.58235642168922952</v>
      </c>
      <c r="K223" s="1989"/>
      <c r="L223" s="590"/>
      <c r="M223" s="417"/>
      <c r="N223" s="590">
        <f>N222/($N222+$O222+$P222)</f>
        <v>0.41563933515764301</v>
      </c>
      <c r="O223" s="590">
        <f>O222/($N222+$O222+$P222)</f>
        <v>0</v>
      </c>
      <c r="P223" s="590">
        <f>P222/($N222+$O222+$P222)</f>
        <v>0.58436066484235694</v>
      </c>
      <c r="Q223" s="1406"/>
      <c r="R223" s="83"/>
      <c r="S223" s="417"/>
      <c r="T223" s="590">
        <f>T222/($T222+$U222)</f>
        <v>0.47068309223165827</v>
      </c>
      <c r="U223" s="590">
        <f>U222/($T222+$U222)</f>
        <v>0.52931690776834173</v>
      </c>
      <c r="V223" s="2099"/>
      <c r="W223" s="590"/>
      <c r="X223" s="590"/>
      <c r="Y223" s="118"/>
      <c r="Z223" s="118"/>
      <c r="AA223" s="118"/>
      <c r="AB223" s="118"/>
      <c r="AC223" s="118"/>
      <c r="AD223" s="118"/>
      <c r="AE223" s="118"/>
      <c r="AN223" s="118"/>
    </row>
    <row r="224" spans="1:40">
      <c r="A224" s="407"/>
      <c r="B224" s="413"/>
      <c r="C224" s="417"/>
      <c r="D224" s="418"/>
      <c r="E224" s="1402"/>
      <c r="F224" s="419"/>
      <c r="G224" s="420"/>
      <c r="H224" s="423"/>
      <c r="I224" s="423"/>
      <c r="J224" s="1229"/>
      <c r="K224" s="1990"/>
      <c r="L224" s="423"/>
      <c r="M224" s="425"/>
      <c r="N224" s="423"/>
      <c r="O224" s="423"/>
      <c r="P224" s="1229"/>
      <c r="Q224" s="1407"/>
      <c r="R224" s="83"/>
      <c r="S224" s="425"/>
      <c r="T224" s="423"/>
      <c r="U224" s="418"/>
      <c r="V224" s="2099"/>
      <c r="W224" s="418"/>
      <c r="X224" s="418"/>
      <c r="Y224" s="118"/>
      <c r="Z224" s="118"/>
      <c r="AA224" s="118"/>
      <c r="AB224" s="118"/>
      <c r="AC224" s="118"/>
      <c r="AD224" s="118"/>
      <c r="AE224" s="118"/>
      <c r="AN224" s="118"/>
    </row>
    <row r="225" spans="1:40">
      <c r="A225" s="412" t="s">
        <v>376</v>
      </c>
      <c r="B225" s="413"/>
      <c r="C225" s="414"/>
      <c r="D225" s="414">
        <f>(B$145/B$125)^(1/20)-1</f>
        <v>1.9752681521352011E-2</v>
      </c>
      <c r="E225" s="1401">
        <f>(C$145/C$125)^(1/20)-1</f>
        <v>4.3096882719400043E-2</v>
      </c>
      <c r="F225" s="415"/>
      <c r="G225" s="416">
        <f>SUMPRODUCT($B$125:$B$144,G$125:G$144)/SUM($B$125:$B$144)</f>
        <v>7.0060131381586177E-2</v>
      </c>
      <c r="H225" s="416">
        <f>PRODUCT(AG$126:AG$145)^(1/20)-1</f>
        <v>2.0370710491457888E-2</v>
      </c>
      <c r="I225" s="416">
        <f>PRODUCT(AH$126:AH$145)^(1/20)-1</f>
        <v>0</v>
      </c>
      <c r="J225" s="1228">
        <f>PRODUCT(AI$126:AI$145)^(1/20)-1</f>
        <v>2.2272466265712332E-2</v>
      </c>
      <c r="K225" s="1988">
        <f>PRODUCT(AJ$126:AJ$145)^(1/20)-1</f>
        <v>3.6523242765131858E-2</v>
      </c>
      <c r="L225" s="416"/>
      <c r="M225" s="416">
        <f>SUMPRODUCT($B$125:$B$144,M$125:M$144)/SUM($B$125:$B$144)</f>
        <v>7.0060131381586177E-2</v>
      </c>
      <c r="N225" s="416">
        <f>PRODUCT(AK$126:AK$145)^(1/20)-1</f>
        <v>1.736524553711849E-2</v>
      </c>
      <c r="O225" s="416">
        <f>PRODUCT(AL$126:AL$145)^(1/20)-1</f>
        <v>0</v>
      </c>
      <c r="P225" s="1228">
        <f>PRODUCT(AM$126:AM$145)^(1/20)-1</f>
        <v>1.8830992420916459E-2</v>
      </c>
      <c r="Q225" s="1401">
        <f>(($B$145*$R$145)/($B$125*$R$125))^(1/20)-1</f>
        <v>2.930313155929154E-2</v>
      </c>
      <c r="R225" s="83"/>
      <c r="S225" s="416">
        <f>SUMPRODUCT($B$125:$B$144,S$125:S$144)/SUM($B$125:$B$144)</f>
        <v>7.0060131381586177E-2</v>
      </c>
      <c r="T225" s="416">
        <f>PRODUCT(AO$126:AO$145)^(1/20)-1</f>
        <v>1.3402736648679747E-2</v>
      </c>
      <c r="U225" s="416">
        <f>PRODUCT(AP$126:AP$145)^(1/20)-1</f>
        <v>1.5690104571055574E-2</v>
      </c>
      <c r="V225" s="2099">
        <f>SUMPRODUCT($B$125:$B$144,V$125:V$144)/SUM($B$125:$B$144)</f>
        <v>0</v>
      </c>
      <c r="W225" s="416"/>
      <c r="X225" s="416"/>
      <c r="Y225" s="118"/>
      <c r="Z225" s="684">
        <f>(1+J225)*(1+H225)*(1+I225)-1-E225</f>
        <v>-2.2204460492503131E-16</v>
      </c>
      <c r="AA225" s="651">
        <f>(1+K225)-(1+N225)*(1+P225)*(1+O225)</f>
        <v>0</v>
      </c>
      <c r="AB225" s="651">
        <f>(1+Q225)-(1+T225)*(1+U225)</f>
        <v>0</v>
      </c>
      <c r="AC225" s="118"/>
      <c r="AD225" s="118"/>
      <c r="AE225" s="118"/>
      <c r="AN225" s="118"/>
    </row>
    <row r="226" spans="1:40">
      <c r="A226" s="407"/>
      <c r="B226" s="413"/>
      <c r="C226" s="417"/>
      <c r="D226" s="418"/>
      <c r="E226" s="1402"/>
      <c r="F226" s="419"/>
      <c r="G226" s="420"/>
      <c r="H226" s="590">
        <f>H225/($H225+$I225+$J225)</f>
        <v>0.47770152321104131</v>
      </c>
      <c r="I226" s="590">
        <f>I225/($H225+$I225+$J225)</f>
        <v>0</v>
      </c>
      <c r="J226" s="590">
        <f>J225/($H225+$I225+$J225)</f>
        <v>0.52229847678895869</v>
      </c>
      <c r="K226" s="1989"/>
      <c r="L226" s="590"/>
      <c r="M226" s="417"/>
      <c r="N226" s="590">
        <f>N225/($N225+$O225+$P225)</f>
        <v>0.47975277312662545</v>
      </c>
      <c r="O226" s="590">
        <f>O225/($N225+$O225+$P225)</f>
        <v>0</v>
      </c>
      <c r="P226" s="590">
        <f>P225/($N225+$O225+$P225)</f>
        <v>0.52024722687337455</v>
      </c>
      <c r="Q226" s="1406"/>
      <c r="R226" s="83"/>
      <c r="S226" s="417"/>
      <c r="T226" s="590">
        <f>T225/($T225+$U225)</f>
        <v>0.46068847478492103</v>
      </c>
      <c r="U226" s="590">
        <f>U225/($T225+$U225)</f>
        <v>0.53931152521507897</v>
      </c>
      <c r="V226" s="2099"/>
      <c r="W226" s="590"/>
      <c r="X226" s="590"/>
      <c r="Y226" s="118"/>
      <c r="Z226" s="118"/>
      <c r="AA226" s="118"/>
      <c r="AB226" s="118"/>
      <c r="AC226" s="118"/>
      <c r="AD226" s="118"/>
      <c r="AE226" s="118"/>
      <c r="AN226" s="118"/>
    </row>
    <row r="227" spans="1:40">
      <c r="A227" s="407"/>
      <c r="B227" s="413"/>
      <c r="C227" s="417"/>
      <c r="D227" s="418"/>
      <c r="E227" s="1402"/>
      <c r="F227" s="419"/>
      <c r="G227" s="420"/>
      <c r="H227" s="421"/>
      <c r="I227" s="421"/>
      <c r="J227" s="1230"/>
      <c r="K227" s="1989"/>
      <c r="L227" s="421"/>
      <c r="M227" s="417"/>
      <c r="N227" s="421"/>
      <c r="O227" s="421"/>
      <c r="P227" s="1230"/>
      <c r="Q227" s="1406"/>
      <c r="R227" s="83"/>
      <c r="S227" s="417"/>
      <c r="T227" s="421"/>
      <c r="U227" s="421"/>
      <c r="V227" s="2099"/>
      <c r="W227" s="421"/>
      <c r="X227" s="421"/>
      <c r="Y227" s="118"/>
      <c r="Z227" s="118"/>
      <c r="AA227" s="118"/>
      <c r="AB227" s="118"/>
      <c r="AC227" s="118"/>
      <c r="AD227" s="118"/>
      <c r="AE227" s="118"/>
      <c r="AN227" s="118"/>
    </row>
    <row r="228" spans="1:40">
      <c r="A228" s="412" t="s">
        <v>377</v>
      </c>
      <c r="B228" s="413"/>
      <c r="C228" s="414"/>
      <c r="D228" s="414">
        <f>(B$165/B$145)^(1/20)-1</f>
        <v>2.4192344745621597E-2</v>
      </c>
      <c r="E228" s="1401">
        <f>(C$165/C$145)^(1/20)-1</f>
        <v>2.7062501172144149E-2</v>
      </c>
      <c r="F228" s="415"/>
      <c r="G228" s="416">
        <f>SUMPRODUCT($B$145:$B$164,G$145:G$164)/SUM($B$145:$B$164)</f>
        <v>4.3194292441081361E-2</v>
      </c>
      <c r="H228" s="416">
        <f>PRODUCT(AG$146:AG$165)^(1/20)-1</f>
        <v>8.6931813127077984E-3</v>
      </c>
      <c r="I228" s="416">
        <f>PRODUCT(AH$146:AH$165)^(1/20)-1</f>
        <v>0</v>
      </c>
      <c r="J228" s="1228">
        <f>PRODUCT(AI$146:AI$165)^(1/20)-1</f>
        <v>1.8211008262721373E-2</v>
      </c>
      <c r="K228" s="1988">
        <f>PRODUCT(AJ$146:AJ$165)^(1/20)-1</f>
        <v>2.6375349536669424E-2</v>
      </c>
      <c r="L228" s="416"/>
      <c r="M228" s="416">
        <f>SUMPRODUCT($B$145:$B$164,M$145:M$164)/SUM($B$145:$B$164)</f>
        <v>4.3194292441081361E-2</v>
      </c>
      <c r="N228" s="416">
        <f>PRODUCT(AK$146:AK$165)^(1/20)-1</f>
        <v>8.5899680821019953E-3</v>
      </c>
      <c r="O228" s="416">
        <f>PRODUCT(AL$146:AL$165)^(1/20)-1</f>
        <v>0</v>
      </c>
      <c r="P228" s="1228">
        <f>PRODUCT(AM$146:AM$165)^(1/20)-1</f>
        <v>1.7633906758350415E-2</v>
      </c>
      <c r="Q228" s="1401">
        <f>(($B$165*$R$165)/($B$145*$R$145))^(1/20)-1</f>
        <v>1.948149678668476E-2</v>
      </c>
      <c r="R228" s="83"/>
      <c r="S228" s="416">
        <f>SUMPRODUCT($B$145:$B$164,S$145:S$164)/SUM($B$145:$B$164)</f>
        <v>4.3194292441081361E-2</v>
      </c>
      <c r="T228" s="416">
        <f>PRODUCT(AO$146:AO$165)^(1/20)-1</f>
        <v>9.4144736037007348E-3</v>
      </c>
      <c r="U228" s="416">
        <f>PRODUCT(AP$146:AP$165)^(1/20)-1</f>
        <v>9.9731314006661353E-3</v>
      </c>
      <c r="V228" s="2099">
        <f>SUMPRODUCT($B$145:$B$164,V$145:V$164)/SUM($B$145:$B$164)</f>
        <v>0</v>
      </c>
      <c r="W228" s="416"/>
      <c r="X228" s="416"/>
      <c r="Y228" s="118"/>
      <c r="Z228" s="684">
        <f>(1+J228)*(1+H228)*(1+I228)-1-E228</f>
        <v>0</v>
      </c>
      <c r="AA228" s="651">
        <f>(1+K228)-(1+N228)*(1+P228)*(1+O228)</f>
        <v>0</v>
      </c>
      <c r="AB228" s="651">
        <f>(1+Q228)-(1+T228)*(1+U228)</f>
        <v>0</v>
      </c>
      <c r="AC228" s="118"/>
      <c r="AD228" s="118"/>
      <c r="AE228" s="118"/>
      <c r="AN228" s="118"/>
    </row>
    <row r="229" spans="1:40">
      <c r="A229" s="407"/>
      <c r="B229" s="413"/>
      <c r="C229" s="417"/>
      <c r="D229" s="418"/>
      <c r="E229" s="1402"/>
      <c r="F229" s="419"/>
      <c r="G229" s="420"/>
      <c r="H229" s="590">
        <f>H228/($H228+$I228+$J228)</f>
        <v>0.32311626738785071</v>
      </c>
      <c r="I229" s="590">
        <f>I228/($H228+$I228+$J228)</f>
        <v>0</v>
      </c>
      <c r="J229" s="590">
        <f>J228/($H228+$I228+$J228)</f>
        <v>0.67688373261214929</v>
      </c>
      <c r="K229" s="1989"/>
      <c r="L229" s="590"/>
      <c r="M229" s="417"/>
      <c r="N229" s="590">
        <f>N228/($N228+$O228+$P228)</f>
        <v>0.32756288437021086</v>
      </c>
      <c r="O229" s="590">
        <f>O228/($N228+$O228+$P228)</f>
        <v>0</v>
      </c>
      <c r="P229" s="590">
        <f>P228/($N228+$O228+$P228)</f>
        <v>0.67243711562978914</v>
      </c>
      <c r="Q229" s="1406"/>
      <c r="R229" s="83"/>
      <c r="S229" s="417"/>
      <c r="T229" s="590">
        <f>T228/($T228+$U228)</f>
        <v>0.48559239790475489</v>
      </c>
      <c r="U229" s="590">
        <f>U228/($T228+$U228)</f>
        <v>0.51440760209524505</v>
      </c>
      <c r="V229" s="2099"/>
      <c r="W229" s="590"/>
      <c r="X229" s="590"/>
      <c r="Y229" s="118"/>
      <c r="Z229" s="118"/>
      <c r="AA229" s="118"/>
      <c r="AB229" s="118"/>
      <c r="AC229" s="118"/>
      <c r="AD229" s="118"/>
      <c r="AE229" s="118"/>
      <c r="AN229" s="118"/>
    </row>
    <row r="230" spans="1:40">
      <c r="A230" s="407"/>
      <c r="B230" s="426"/>
      <c r="C230" s="417"/>
      <c r="D230" s="418"/>
      <c r="E230" s="1402"/>
      <c r="F230" s="419"/>
      <c r="G230" s="420"/>
      <c r="H230" s="423"/>
      <c r="I230" s="423"/>
      <c r="J230" s="1229"/>
      <c r="K230" s="1990"/>
      <c r="L230" s="423"/>
      <c r="M230" s="425"/>
      <c r="N230" s="423"/>
      <c r="O230" s="423"/>
      <c r="P230" s="1229"/>
      <c r="Q230" s="1407"/>
      <c r="R230" s="83"/>
      <c r="S230" s="425"/>
      <c r="T230" s="423"/>
      <c r="U230" s="418"/>
      <c r="V230" s="2099"/>
      <c r="W230" s="418"/>
      <c r="X230" s="418"/>
      <c r="Y230" s="118"/>
      <c r="Z230" s="118"/>
      <c r="AA230" s="118"/>
      <c r="AB230" s="118"/>
      <c r="AC230" s="118"/>
      <c r="AD230" s="118"/>
      <c r="AE230" s="118"/>
      <c r="AN230" s="118"/>
    </row>
    <row r="231" spans="1:40">
      <c r="A231" s="412" t="s">
        <v>378</v>
      </c>
      <c r="B231" s="413"/>
      <c r="C231" s="414"/>
      <c r="D231" s="414">
        <f>(B$115/B$105)^(1/10)-1</f>
        <v>2.4303164830828727E-2</v>
      </c>
      <c r="E231" s="1401">
        <f>(C$115/C$105)^(1/10)-1</f>
        <v>4.8624541719136438E-2</v>
      </c>
      <c r="F231" s="415"/>
      <c r="G231" s="416">
        <f>SUMPRODUCT($B$105:$B$114,G$105:G$114)/SUM($B$105:$B$114)</f>
        <v>8.5686852158308374E-2</v>
      </c>
      <c r="H231" s="416">
        <f>PRODUCT(AG$106:AG$115)^(1/10)-1</f>
        <v>3.7630000798672736E-2</v>
      </c>
      <c r="I231" s="416">
        <f>PRODUCT(AH$106:AH$115)^(1/10)-1</f>
        <v>0</v>
      </c>
      <c r="J231" s="1228">
        <f>PRODUCT(AI$106:AI$115)^(1/10)-1</f>
        <v>1.0595820197952355E-2</v>
      </c>
      <c r="K231" s="1985">
        <f>PRODUCT(AJ$106:AJ$115)^(1/10)-1</f>
        <v>4.5728545261046749E-2</v>
      </c>
      <c r="L231" s="416"/>
      <c r="M231" s="416"/>
      <c r="N231" s="416">
        <f>PRODUCT(AK$106:AK$115)^(1/10)-1</f>
        <v>3.2794392240141912E-2</v>
      </c>
      <c r="O231" s="416">
        <f>PRODUCT(AL$106:AL$115)^(1/10)-1</f>
        <v>0</v>
      </c>
      <c r="P231" s="1228">
        <f>PRODUCT(AM$106:AM$115)^(1/10)-1</f>
        <v>1.252345395955401E-2</v>
      </c>
      <c r="Q231" s="1408"/>
      <c r="R231" s="83"/>
      <c r="S231" s="416"/>
      <c r="T231" s="416"/>
      <c r="U231" s="416"/>
      <c r="V231" s="2099">
        <f>SUMPRODUCT($B$105:$B$114,V$105:V$114)/SUM($B$105:$B$114)</f>
        <v>0</v>
      </c>
      <c r="W231" s="416"/>
      <c r="X231" s="416"/>
      <c r="Y231" s="118"/>
      <c r="Z231" s="684">
        <f>(1+J231)*(1+H231)*(1+I231)-1-E231</f>
        <v>2.2204460492503131E-16</v>
      </c>
      <c r="AA231" s="651">
        <f>(1+K231)-(1+N231)*(1+P231)*(1+O231)</f>
        <v>0</v>
      </c>
      <c r="AB231" s="118"/>
      <c r="AC231" s="118"/>
      <c r="AD231" s="118"/>
      <c r="AE231" s="118"/>
      <c r="AN231" s="118"/>
    </row>
    <row r="232" spans="1:40">
      <c r="A232" s="407"/>
      <c r="B232" s="413"/>
      <c r="C232" s="417"/>
      <c r="D232" s="418"/>
      <c r="E232" s="1402"/>
      <c r="F232" s="419"/>
      <c r="G232" s="420"/>
      <c r="H232" s="590">
        <f>H231/($H231+$I231+$J231)</f>
        <v>0.78028740664272223</v>
      </c>
      <c r="I232" s="590">
        <f>I231/($H231+$I231+$J231)</f>
        <v>0</v>
      </c>
      <c r="J232" s="590">
        <f>J231/($H231+$I231+$J231)</f>
        <v>0.21971259335727772</v>
      </c>
      <c r="K232" s="1989"/>
      <c r="L232" s="590"/>
      <c r="M232" s="417"/>
      <c r="N232" s="590">
        <f>N231/($N231+$O231+$P231)</f>
        <v>0.72365293124548269</v>
      </c>
      <c r="O232" s="590">
        <f>O231/($N231+$O231+$P231)</f>
        <v>0</v>
      </c>
      <c r="P232" s="590">
        <f>P231/($N231+$O231+$P231)</f>
        <v>0.27634706875451731</v>
      </c>
      <c r="Q232" s="1406"/>
      <c r="R232" s="83"/>
      <c r="S232" s="417"/>
      <c r="T232" s="421"/>
      <c r="U232" s="421"/>
      <c r="V232" s="2099"/>
      <c r="W232" s="421"/>
      <c r="X232" s="421"/>
      <c r="Y232" s="118"/>
      <c r="Z232" s="118"/>
      <c r="AA232" s="118"/>
      <c r="AB232" s="118"/>
      <c r="AC232" s="118"/>
      <c r="AD232" s="118"/>
      <c r="AE232" s="118"/>
      <c r="AN232" s="118"/>
    </row>
    <row r="233" spans="1:40">
      <c r="A233" s="407"/>
      <c r="B233" s="413"/>
      <c r="C233" s="417"/>
      <c r="D233" s="418"/>
      <c r="E233" s="1402"/>
      <c r="F233" s="419"/>
      <c r="G233" s="420"/>
      <c r="H233" s="423"/>
      <c r="I233" s="423"/>
      <c r="J233" s="1229"/>
      <c r="K233" s="1990"/>
      <c r="L233" s="423"/>
      <c r="M233" s="420"/>
      <c r="N233" s="418"/>
      <c r="O233" s="418"/>
      <c r="P233" s="1229"/>
      <c r="Q233" s="1409"/>
      <c r="R233" s="83"/>
      <c r="S233" s="420"/>
      <c r="T233" s="418"/>
      <c r="U233" s="418"/>
      <c r="V233" s="2099"/>
      <c r="W233" s="418"/>
      <c r="X233" s="418"/>
      <c r="Y233" s="118"/>
      <c r="Z233" s="118"/>
      <c r="AA233" s="118"/>
      <c r="AB233" s="118"/>
      <c r="AC233" s="118"/>
      <c r="AD233" s="118"/>
      <c r="AE233" s="118"/>
      <c r="AN233" s="118"/>
    </row>
    <row r="234" spans="1:40">
      <c r="A234" s="412" t="s">
        <v>379</v>
      </c>
      <c r="B234" s="413"/>
      <c r="C234" s="414"/>
      <c r="D234" s="414">
        <f>(B$125/B$115)^(1/10)-1</f>
        <v>2.7413183530171192E-2</v>
      </c>
      <c r="E234" s="1401">
        <f>(C$125/C$115)^(1/10)-1</f>
        <v>4.5891728145125654E-2</v>
      </c>
      <c r="F234" s="415"/>
      <c r="G234" s="416">
        <f>SUMPRODUCT($B$115:$B$124,G$115:G$124)/SUM($B$115:$B$124)</f>
        <v>0.11368286365197437</v>
      </c>
      <c r="H234" s="416">
        <f>PRODUCT(AG$116:AG$125)^(1/10)-1</f>
        <v>3.9108365275841495E-2</v>
      </c>
      <c r="I234" s="416">
        <f>PRODUCT(AH$116:AH$125)^(1/10)-1</f>
        <v>0</v>
      </c>
      <c r="J234" s="1228">
        <f>PRODUCT(AI$116:AI$125)^(1/10)-1</f>
        <v>6.5280610723248422E-3</v>
      </c>
      <c r="K234" s="1985">
        <f>PRODUCT(AJ$116:AJ$125)^(1/10)-1</f>
        <v>4.8994811243591396E-2</v>
      </c>
      <c r="L234" s="416"/>
      <c r="M234" s="416"/>
      <c r="N234" s="416">
        <f>PRODUCT(AK$116:AK$125)^(1/10)-1</f>
        <v>3.4384714855657084E-2</v>
      </c>
      <c r="O234" s="416">
        <f>PRODUCT(AL$116:AL$125)^(1/10)-1</f>
        <v>0</v>
      </c>
      <c r="P234" s="1228">
        <f>PRODUCT(AM$116:AM$125)^(1/10)-1</f>
        <v>1.4124431827062578E-2</v>
      </c>
      <c r="Q234" s="1408"/>
      <c r="R234" s="83"/>
      <c r="S234" s="416"/>
      <c r="T234" s="416"/>
      <c r="U234" s="416"/>
      <c r="V234" s="2099">
        <f>SUMPRODUCT($B$115:$B$124,V$115:V$124)/SUM($B$115:$B$124)</f>
        <v>0</v>
      </c>
      <c r="W234" s="416"/>
      <c r="X234" s="416"/>
      <c r="Y234" s="118"/>
      <c r="Z234" s="684">
        <f>(1+J234)*(1+H234)*(1+I234)-1-E234</f>
        <v>2.2204460492503131E-16</v>
      </c>
      <c r="AA234" s="651">
        <f>(1+K234)-(1+N234)*(1+P234)*(1+O234)</f>
        <v>0</v>
      </c>
      <c r="AB234" s="118"/>
      <c r="AC234" s="118"/>
      <c r="AD234" s="118"/>
      <c r="AE234" s="118"/>
      <c r="AN234" s="118"/>
    </row>
    <row r="235" spans="1:40">
      <c r="A235" s="407"/>
      <c r="B235" s="413"/>
      <c r="C235" s="417"/>
      <c r="D235" s="418"/>
      <c r="E235" s="1402"/>
      <c r="F235" s="419"/>
      <c r="G235" s="420"/>
      <c r="H235" s="590">
        <f>H234/($H234+$I234+$J234)</f>
        <v>0.85695503362771219</v>
      </c>
      <c r="I235" s="590">
        <f>I234/($H234+$I234+$J234)</f>
        <v>0</v>
      </c>
      <c r="J235" s="590">
        <f>J234/($H234+$I234+$J234)</f>
        <v>0.14304496637228778</v>
      </c>
      <c r="K235" s="1989"/>
      <c r="L235" s="590"/>
      <c r="M235" s="417"/>
      <c r="N235" s="590">
        <f>N234/($N234+$O234+$P234)</f>
        <v>0.70882951375242187</v>
      </c>
      <c r="O235" s="590">
        <f>O234/($N234+$O234+$P234)</f>
        <v>0</v>
      </c>
      <c r="P235" s="590">
        <f>P234/($N234+$O234+$P234)</f>
        <v>0.29117048624757819</v>
      </c>
      <c r="Q235" s="1406"/>
      <c r="R235" s="83"/>
      <c r="S235" s="417"/>
      <c r="T235" s="421"/>
      <c r="U235" s="421"/>
      <c r="V235" s="2099"/>
      <c r="W235" s="421"/>
      <c r="X235" s="421"/>
      <c r="Y235" s="118"/>
      <c r="Z235" s="118"/>
      <c r="AA235" s="118"/>
      <c r="AB235" s="118"/>
      <c r="AC235" s="118"/>
      <c r="AD235" s="118"/>
      <c r="AE235" s="118"/>
      <c r="AN235" s="118"/>
    </row>
    <row r="236" spans="1:40">
      <c r="A236" s="427"/>
      <c r="B236" s="428"/>
      <c r="C236" s="429"/>
      <c r="D236" s="420"/>
      <c r="E236" s="1404"/>
      <c r="F236" s="419"/>
      <c r="G236" s="420"/>
      <c r="H236" s="429"/>
      <c r="I236" s="429"/>
      <c r="J236" s="1231"/>
      <c r="K236" s="1990"/>
      <c r="L236" s="429"/>
      <c r="M236" s="420"/>
      <c r="N236" s="418"/>
      <c r="O236" s="418"/>
      <c r="P236" s="1229"/>
      <c r="Q236" s="1409"/>
      <c r="R236" s="83"/>
      <c r="S236" s="420"/>
      <c r="T236" s="418"/>
      <c r="U236" s="418"/>
      <c r="V236" s="2099"/>
      <c r="W236" s="418"/>
      <c r="X236" s="418"/>
      <c r="Y236" s="118"/>
      <c r="Z236" s="118"/>
      <c r="AA236" s="118"/>
      <c r="AB236" s="118"/>
      <c r="AC236" s="118"/>
      <c r="AD236" s="118"/>
      <c r="AE236" s="118"/>
      <c r="AN236" s="118"/>
    </row>
    <row r="237" spans="1:40">
      <c r="A237" s="412" t="s">
        <v>380</v>
      </c>
      <c r="B237" s="413"/>
      <c r="C237" s="414"/>
      <c r="D237" s="414">
        <f>(B$135/B$125)^(1/10)-1</f>
        <v>1.1525144407265264E-2</v>
      </c>
      <c r="E237" s="1401">
        <f>(C$135/C$125)^(1/10)-1</f>
        <v>2.1197806395377272E-2</v>
      </c>
      <c r="F237" s="415"/>
      <c r="G237" s="416">
        <f>SUMPRODUCT($B$125:$B$134,G$125:G$134)/SUM($B$125:$B$134)</f>
        <v>9.3104200065149842E-2</v>
      </c>
      <c r="H237" s="416">
        <f>PRODUCT(AG$126:AG$135)^(1/10)-1</f>
        <v>2.7774493646747E-2</v>
      </c>
      <c r="I237" s="416">
        <f>PRODUCT(AH$126:AH$135)^(1/10)-1</f>
        <v>0</v>
      </c>
      <c r="J237" s="1228">
        <f>PRODUCT(AI$126:AI$135)^(1/10)-1</f>
        <v>-6.3989593943262202E-3</v>
      </c>
      <c r="K237" s="1988">
        <f>PRODUCT(AJ$126:AJ$135)^(1/10)-1</f>
        <v>2.4832937668981314E-2</v>
      </c>
      <c r="L237" s="416"/>
      <c r="M237" s="416">
        <f>SUMPRODUCT($B$125:$B$134,M$125:M$134)/SUM($B$125:$B$134)</f>
        <v>9.3104200065149842E-2</v>
      </c>
      <c r="N237" s="416">
        <f>PRODUCT(AK$126:AK$135)^(1/10)-1</f>
        <v>2.3412870591152046E-2</v>
      </c>
      <c r="O237" s="416">
        <f>PRODUCT(AL$126:AL$135)^(1/10)-1</f>
        <v>0</v>
      </c>
      <c r="P237" s="1228">
        <f>PRODUCT(AM$126:AM$135)^(1/10)-1</f>
        <v>1.3875798503579784E-3</v>
      </c>
      <c r="Q237" s="1401">
        <f>(($B$135*$R$135)/($B$125*$R$125))^(1/10)-1</f>
        <v>3.7996145090966493E-2</v>
      </c>
      <c r="R237" s="83"/>
      <c r="S237" s="416">
        <f>SUMPRODUCT($B$125:$B$134,S$125:S$134)/SUM($B$125:$B$134)</f>
        <v>9.3104200065149842E-2</v>
      </c>
      <c r="T237" s="416">
        <f>PRODUCT(AO$126:AO$135)^(1/10)-1</f>
        <v>1.8005354160834042E-2</v>
      </c>
      <c r="U237" s="416">
        <f>PRODUCT(AP$126:AP$135)^(1/10)-1</f>
        <v>1.9637215903065108E-2</v>
      </c>
      <c r="V237" s="2099">
        <f>SUMPRODUCT($B$125:$B$134,V$125:V$134)/SUM($B$125:$B$134)</f>
        <v>0</v>
      </c>
      <c r="W237" s="416"/>
      <c r="X237" s="416"/>
      <c r="Y237" s="118"/>
      <c r="Z237" s="684">
        <f>(1+J237)*(1+H237)*(1+I237)-1-E237</f>
        <v>0</v>
      </c>
      <c r="AA237" s="651">
        <f>(1+K237)-(1+N237)*(1+P237)*(1+O237)</f>
        <v>0</v>
      </c>
      <c r="AB237" s="651">
        <f>(1+Q237)-(1+T237)*(1+U237)</f>
        <v>0</v>
      </c>
      <c r="AC237" s="118"/>
      <c r="AD237" s="118"/>
      <c r="AE237" s="118"/>
      <c r="AN237" s="118"/>
    </row>
    <row r="238" spans="1:40">
      <c r="A238" s="407"/>
      <c r="B238" s="413"/>
      <c r="C238" s="417"/>
      <c r="D238" s="418"/>
      <c r="E238" s="1402"/>
      <c r="F238" s="419"/>
      <c r="G238" s="420"/>
      <c r="H238" s="590">
        <f>H237/($H237+$I237+$J237)</f>
        <v>1.2993590391127434</v>
      </c>
      <c r="I238" s="590">
        <f>I237/($H237+$I237+$J237)</f>
        <v>0</v>
      </c>
      <c r="J238" s="590">
        <f>J237/($H237+$I237+$J237)</f>
        <v>-0.29935903911274347</v>
      </c>
      <c r="K238" s="1989"/>
      <c r="L238" s="590"/>
      <c r="M238" s="417"/>
      <c r="N238" s="590">
        <f>N237/($N237+$O237+$P237)</f>
        <v>0.94405021579626225</v>
      </c>
      <c r="O238" s="590">
        <f>O237/($N237+$O237+$P237)</f>
        <v>0</v>
      </c>
      <c r="P238" s="590">
        <f>P237/($N237+$O237+$P237)</f>
        <v>5.5949784203737744E-2</v>
      </c>
      <c r="Q238" s="1406"/>
      <c r="R238" s="83"/>
      <c r="S238" s="417"/>
      <c r="T238" s="590">
        <f>T237/($T237+$U237)</f>
        <v>0.47832425177849253</v>
      </c>
      <c r="U238" s="590">
        <f>U237/($T237+$U237)</f>
        <v>0.52167574822150753</v>
      </c>
      <c r="V238" s="2099"/>
      <c r="W238" s="590"/>
      <c r="X238" s="590"/>
      <c r="Y238" s="118"/>
      <c r="Z238" s="118"/>
      <c r="AA238" s="118"/>
      <c r="AB238" s="118"/>
      <c r="AC238" s="118"/>
      <c r="AD238" s="118"/>
      <c r="AE238" s="118"/>
      <c r="AN238" s="118"/>
    </row>
    <row r="239" spans="1:40">
      <c r="A239" s="427"/>
      <c r="B239" s="428"/>
      <c r="C239" s="429"/>
      <c r="D239" s="420"/>
      <c r="E239" s="1404"/>
      <c r="F239" s="419"/>
      <c r="G239" s="420"/>
      <c r="H239" s="429"/>
      <c r="I239" s="429"/>
      <c r="J239" s="1231"/>
      <c r="K239" s="1990"/>
      <c r="L239" s="429"/>
      <c r="M239" s="420"/>
      <c r="N239" s="418"/>
      <c r="O239" s="418"/>
      <c r="P239" s="1229"/>
      <c r="Q239" s="1409"/>
      <c r="R239" s="83"/>
      <c r="S239" s="420"/>
      <c r="T239" s="418"/>
      <c r="U239" s="418"/>
      <c r="V239" s="2099"/>
      <c r="W239" s="418"/>
      <c r="X239" s="418"/>
      <c r="Y239" s="118"/>
      <c r="Z239" s="118"/>
      <c r="AA239" s="118"/>
      <c r="AB239" s="118"/>
      <c r="AC239" s="118"/>
      <c r="AD239" s="118"/>
      <c r="AE239" s="118"/>
      <c r="AN239" s="118"/>
    </row>
    <row r="240" spans="1:40">
      <c r="A240" s="412" t="s">
        <v>381</v>
      </c>
      <c r="B240" s="413"/>
      <c r="C240" s="414"/>
      <c r="D240" s="414">
        <f>(B$145/B$135)^(1/10)-1</f>
        <v>2.8047139727156445E-2</v>
      </c>
      <c r="E240" s="1401">
        <f>(C$145/C$135)^(1/10)-1</f>
        <v>6.5465573784897702E-2</v>
      </c>
      <c r="F240" s="415"/>
      <c r="G240" s="416">
        <f>SUMPRODUCT($B$135:$B$144,G$135:G$144)/SUM($B$135:$B$144)</f>
        <v>5.0479517540738067E-2</v>
      </c>
      <c r="H240" s="416">
        <f>PRODUCT(AG$136:AG$145)^(1/10)-1</f>
        <v>1.3020261997954474E-2</v>
      </c>
      <c r="I240" s="416">
        <f>PRODUCT(AH$136:AH$145)^(1/10)-1</f>
        <v>0</v>
      </c>
      <c r="J240" s="1228">
        <f>PRODUCT(AI$136:AI$145)^(1/10)-1</f>
        <v>5.1771236720879354E-2</v>
      </c>
      <c r="K240" s="1988">
        <f>PRODUCT(AJ$136:AJ$145)^(1/10)-1</f>
        <v>4.8346899579613911E-2</v>
      </c>
      <c r="L240" s="416"/>
      <c r="M240" s="416">
        <f>SUMPRODUCT($B$135:$B$144,M$135:M$144)/SUM($B$135:$B$144)</f>
        <v>5.0479517540738067E-2</v>
      </c>
      <c r="N240" s="416">
        <f>PRODUCT(AK$136:AK$145)^(1/10)-1</f>
        <v>1.1353357544680698E-2</v>
      </c>
      <c r="O240" s="416">
        <f>PRODUCT(AL$136:AL$145)^(1/10)-1</f>
        <v>0</v>
      </c>
      <c r="P240" s="1228">
        <f>PRODUCT(AM$136:AM$145)^(1/10)-1</f>
        <v>3.6578256016022603E-2</v>
      </c>
      <c r="Q240" s="1401">
        <f>(($B$145*$R$145)/($B$135*$R$135))^(1/10)-1</f>
        <v>2.0682920305947983E-2</v>
      </c>
      <c r="R240" s="83"/>
      <c r="S240" s="416">
        <f>SUMPRODUCT($B$135:$B$144,S$135:S$144)/SUM($B$135:$B$144)</f>
        <v>5.0479517540738067E-2</v>
      </c>
      <c r="T240" s="416">
        <f>PRODUCT(AO$136:AO$145)^(1/10)-1</f>
        <v>8.820928543741946E-3</v>
      </c>
      <c r="U240" s="416">
        <f>PRODUCT(AP$136:AP$145)^(1/10)-1</f>
        <v>1.1758272877356868E-2</v>
      </c>
      <c r="V240" s="2099">
        <f>SUMPRODUCT($B$135:$B$144,V$135:V$144)/SUM($B$135:$B$144)</f>
        <v>0</v>
      </c>
      <c r="W240" s="416"/>
      <c r="X240" s="416"/>
      <c r="Y240" s="118"/>
      <c r="Z240" s="684">
        <f>(1+J240)*(1+H240)*(1+I240)-1-E240</f>
        <v>0</v>
      </c>
      <c r="AA240" s="651">
        <f>(1+K240)-(1+N240)*(1+P240)*(1+O240)</f>
        <v>0</v>
      </c>
      <c r="AB240" s="651">
        <f>(1+Q240)-(1+T240)*(1+U240)</f>
        <v>0</v>
      </c>
      <c r="AC240" s="118"/>
      <c r="AD240" s="118"/>
      <c r="AE240" s="118"/>
      <c r="AN240" s="118"/>
    </row>
    <row r="241" spans="1:40">
      <c r="A241" s="407"/>
      <c r="B241" s="413"/>
      <c r="C241" s="417"/>
      <c r="D241" s="418"/>
      <c r="E241" s="1402"/>
      <c r="F241" s="419"/>
      <c r="G241" s="420"/>
      <c r="H241" s="590">
        <f>H240/($H240+$I240+$J240)</f>
        <v>0.20095633309018823</v>
      </c>
      <c r="I241" s="590">
        <f>I240/($H240+$I240+$J240)</f>
        <v>0</v>
      </c>
      <c r="J241" s="590">
        <f>J240/($H240+$I240+$J240)</f>
        <v>0.79904366690981177</v>
      </c>
      <c r="K241" s="1989"/>
      <c r="L241" s="590"/>
      <c r="M241" s="417"/>
      <c r="N241" s="590">
        <f>N240/($N240+$O240+$P240)</f>
        <v>0.23686574895506418</v>
      </c>
      <c r="O241" s="590">
        <f>O240/($N240+$O240+$P240)</f>
        <v>0</v>
      </c>
      <c r="P241" s="590">
        <f>P240/($N240+$O240+$P240)</f>
        <v>0.76313425104493582</v>
      </c>
      <c r="Q241" s="1406"/>
      <c r="R241" s="83"/>
      <c r="S241" s="417"/>
      <c r="T241" s="590">
        <f>T240/($T240+$U240)</f>
        <v>0.42863317984235744</v>
      </c>
      <c r="U241" s="590">
        <f>U240/($T240+$U240)</f>
        <v>0.57136682015764251</v>
      </c>
      <c r="V241" s="2099"/>
      <c r="W241" s="590"/>
      <c r="X241" s="590"/>
      <c r="Y241" s="118"/>
      <c r="Z241" s="118"/>
      <c r="AA241" s="118"/>
      <c r="AB241" s="118"/>
      <c r="AC241" s="118"/>
      <c r="AD241" s="118"/>
      <c r="AE241" s="118"/>
      <c r="AN241" s="118"/>
    </row>
    <row r="242" spans="1:40">
      <c r="A242" s="427"/>
      <c r="B242" s="428"/>
      <c r="C242" s="429"/>
      <c r="D242" s="420"/>
      <c r="E242" s="1404"/>
      <c r="F242" s="419"/>
      <c r="G242" s="420"/>
      <c r="H242" s="429"/>
      <c r="I242" s="429"/>
      <c r="J242" s="1231"/>
      <c r="K242" s="1990"/>
      <c r="L242" s="429"/>
      <c r="M242" s="420"/>
      <c r="N242" s="418"/>
      <c r="O242" s="418"/>
      <c r="P242" s="1229"/>
      <c r="Q242" s="1409"/>
      <c r="R242" s="83"/>
      <c r="S242" s="420"/>
      <c r="T242" s="418"/>
      <c r="U242" s="418"/>
      <c r="V242" s="2099"/>
      <c r="W242" s="418"/>
      <c r="X242" s="418"/>
      <c r="Y242" s="118"/>
      <c r="Z242" s="118"/>
      <c r="AA242" s="118"/>
      <c r="AB242" s="118"/>
      <c r="AC242" s="118"/>
      <c r="AD242" s="118"/>
      <c r="AE242" s="118"/>
      <c r="AN242" s="118"/>
    </row>
    <row r="243" spans="1:40">
      <c r="A243" s="412" t="s">
        <v>382</v>
      </c>
      <c r="B243" s="413"/>
      <c r="C243" s="414"/>
      <c r="D243" s="414">
        <f>(B$155/B$145)^(1/10)-1</f>
        <v>3.0129326338009133E-2</v>
      </c>
      <c r="E243" s="1401">
        <f>(C$155/C$145)^(1/10)-1</f>
        <v>3.7752411437645073E-2</v>
      </c>
      <c r="F243" s="415"/>
      <c r="G243" s="416">
        <f>SUMPRODUCT($B$145:$B$154,G$145:G$154)/SUM($B$145:$B$154)</f>
        <v>4.2980666668228813E-2</v>
      </c>
      <c r="H243" s="416">
        <f>PRODUCT(AG$146:AG$155)^(1/10)-1</f>
        <v>9.0424163946130065E-3</v>
      </c>
      <c r="I243" s="416">
        <f>PRODUCT(AH$146:AH$155)^(1/10)-1</f>
        <v>0</v>
      </c>
      <c r="J243" s="1228">
        <f>PRODUCT(AI$146:AI$155)^(1/10)-1</f>
        <v>2.8452713757678216E-2</v>
      </c>
      <c r="K243" s="1988">
        <f>PRODUCT(AJ$146:AJ$155)^(1/10)-1</f>
        <v>3.6512228851948381E-2</v>
      </c>
      <c r="L243" s="416"/>
      <c r="M243" s="416">
        <f>SUMPRODUCT($B$145:$B$154,M$145:M$154)/SUM($B$145:$B$154)</f>
        <v>4.2980666668228813E-2</v>
      </c>
      <c r="N243" s="416">
        <f>PRODUCT(AK$146:AK$155)^(1/10)-1</f>
        <v>8.9199314401540164E-3</v>
      </c>
      <c r="O243" s="416">
        <f>PRODUCT(AL$146:AL$155)^(1/10)-1</f>
        <v>0</v>
      </c>
      <c r="P243" s="1228">
        <f>PRODUCT(AM$146:AM$155)^(1/10)-1</f>
        <v>2.7348351987068531E-2</v>
      </c>
      <c r="Q243" s="1401">
        <f>(($B$155*$R$155)/($B$145*$R$145))^(1/10)-1</f>
        <v>7.103134394207844E-3</v>
      </c>
      <c r="R243" s="83"/>
      <c r="S243" s="416">
        <f>SUMPRODUCT($B$145:$B$154,S$145:S$154)/SUM($B$145:$B$154)</f>
        <v>4.2980666668228813E-2</v>
      </c>
      <c r="T243" s="416">
        <f>PRODUCT(AO$146:AO$155)^(1/10)-1</f>
        <v>9.6368008997711474E-3</v>
      </c>
      <c r="U243" s="416">
        <f>PRODUCT(AP$146:AP$155)^(1/10)-1</f>
        <v>-2.5094831164091946E-3</v>
      </c>
      <c r="V243" s="2099">
        <f>SUMPRODUCT($B$145:$B$154,V$145:V$154)/SUM($B$145:$B$154)</f>
        <v>0</v>
      </c>
      <c r="W243" s="416"/>
      <c r="X243" s="416"/>
      <c r="Y243" s="118"/>
      <c r="Z243" s="684">
        <f>(1+J243)*(1+H243)*(1+I243)-1-E243</f>
        <v>-2.2204460492503131E-16</v>
      </c>
      <c r="AA243" s="651">
        <f>(1+K243)-(1+N243)*(1+P243)*(1+O243)</f>
        <v>0</v>
      </c>
      <c r="AB243" s="651">
        <f>(1+Q243)-(1+T243)*(1+U243)</f>
        <v>0</v>
      </c>
      <c r="AC243" s="118"/>
      <c r="AD243" s="118"/>
      <c r="AE243" s="118"/>
      <c r="AN243" s="118"/>
    </row>
    <row r="244" spans="1:40">
      <c r="A244" s="407"/>
      <c r="B244" s="413"/>
      <c r="C244" s="417"/>
      <c r="D244" s="418"/>
      <c r="E244" s="1402"/>
      <c r="F244" s="419"/>
      <c r="G244" s="420"/>
      <c r="H244" s="590">
        <f>H243/($H243+$I243+$J243)</f>
        <v>0.24116242183681152</v>
      </c>
      <c r="I244" s="590">
        <f>I243/($H243+$I243+$J243)</f>
        <v>0</v>
      </c>
      <c r="J244" s="590">
        <f>J243/($H243+$I243+$J243)</f>
        <v>0.75883757816318853</v>
      </c>
      <c r="K244" s="1989"/>
      <c r="L244" s="590"/>
      <c r="M244" s="417"/>
      <c r="N244" s="590">
        <f>N243/($N243+$O243+$P243)</f>
        <v>0.24594302782631342</v>
      </c>
      <c r="O244" s="590">
        <f>O243/($N243+$O243+$P243)</f>
        <v>0</v>
      </c>
      <c r="P244" s="590">
        <f>P243/($N243+$O243+$P243)</f>
        <v>0.75405697217368661</v>
      </c>
      <c r="Q244" s="1406"/>
      <c r="R244" s="83"/>
      <c r="S244" s="417"/>
      <c r="T244" s="590">
        <f>T243/($T243+$U243)</f>
        <v>1.3520936196036248</v>
      </c>
      <c r="U244" s="590">
        <f>U243/($T243+$U243)</f>
        <v>-0.35209361960362495</v>
      </c>
      <c r="V244" s="2099"/>
      <c r="W244" s="590"/>
      <c r="X244" s="590"/>
      <c r="Y244" s="118"/>
      <c r="Z244" s="118"/>
      <c r="AA244" s="118"/>
      <c r="AB244" s="118"/>
      <c r="AC244" s="118"/>
      <c r="AD244" s="118"/>
      <c r="AE244" s="118"/>
      <c r="AN244" s="118"/>
    </row>
    <row r="245" spans="1:40">
      <c r="A245" s="427"/>
      <c r="B245" s="428"/>
      <c r="C245" s="429"/>
      <c r="D245" s="420"/>
      <c r="E245" s="1404"/>
      <c r="F245" s="419"/>
      <c r="G245" s="420"/>
      <c r="H245" s="429"/>
      <c r="I245" s="429"/>
      <c r="J245" s="1231"/>
      <c r="K245" s="1990"/>
      <c r="L245" s="429"/>
      <c r="M245" s="420"/>
      <c r="N245" s="418"/>
      <c r="O245" s="418"/>
      <c r="P245" s="1229"/>
      <c r="Q245" s="1409"/>
      <c r="R245" s="83"/>
      <c r="S245" s="420"/>
      <c r="T245" s="418"/>
      <c r="U245" s="418"/>
      <c r="V245" s="2099"/>
      <c r="W245" s="418"/>
      <c r="X245" s="418"/>
      <c r="Y245" s="118"/>
      <c r="Z245" s="118"/>
      <c r="AA245" s="118"/>
      <c r="AB245" s="118"/>
      <c r="AC245" s="118"/>
      <c r="AD245" s="118"/>
      <c r="AE245" s="118"/>
      <c r="AN245" s="118"/>
    </row>
    <row r="246" spans="1:40">
      <c r="A246" s="412" t="s">
        <v>383</v>
      </c>
      <c r="B246" s="413"/>
      <c r="C246" s="416"/>
      <c r="D246" s="416">
        <f>(B$165/B$155)^(1/10)-1</f>
        <v>1.8289579973906456E-2</v>
      </c>
      <c r="E246" s="1403">
        <f>(C$165/C$155)^(1/10)-1</f>
        <v>1.6482707905866922E-2</v>
      </c>
      <c r="F246" s="415"/>
      <c r="G246" s="416">
        <f>SUMPRODUCT($B$155:$B$164,G$155:G$164)/SUM($B$155:$B$164)</f>
        <v>4.3347671103888534E-2</v>
      </c>
      <c r="H246" s="416">
        <f>PRODUCT(AG$156:AG$165)^(1/10)-1</f>
        <v>8.3440671029684221E-3</v>
      </c>
      <c r="I246" s="416">
        <f>PRODUCT(AH$156:AH$165)^(1/10)-1</f>
        <v>0</v>
      </c>
      <c r="J246" s="1228">
        <f>PRODUCT(AI$156:AI$165)^(1/10)-1</f>
        <v>8.0712933892508332E-3</v>
      </c>
      <c r="K246" s="1988">
        <f>PRODUCT(AJ$156:AJ$165)^(1/10)-1</f>
        <v>1.6337606844569974E-2</v>
      </c>
      <c r="L246" s="416"/>
      <c r="M246" s="416">
        <f>SUMPRODUCT($B$155:$B$164,M$155:M$164)/SUM($B$155:$B$164)</f>
        <v>4.3347671103888534E-2</v>
      </c>
      <c r="N246" s="416">
        <f>PRODUCT(AK$156:AK$165)^(1/10)-1</f>
        <v>8.2601126372889855E-3</v>
      </c>
      <c r="O246" s="416">
        <f>PRODUCT(AL$156:AL$165)^(1/10)-1</f>
        <v>0</v>
      </c>
      <c r="P246" s="1228">
        <f>PRODUCT(AM$156:AM$165)^(1/10)-1</f>
        <v>8.0113198033320288E-3</v>
      </c>
      <c r="Q246" s="1401">
        <f>(($B$165*$R$165)/($B$155*$R$155))^(1/10)-1</f>
        <v>3.2012002341353041E-2</v>
      </c>
      <c r="R246" s="83"/>
      <c r="S246" s="416">
        <f>SUMPRODUCT($B$155:$B$164,S$155:S$164)/SUM($B$155:$B$164)</f>
        <v>4.3347671103888534E-2</v>
      </c>
      <c r="T246" s="416">
        <f>PRODUCT(AO$156:AO$165)^(1/10)-1</f>
        <v>9.1921952652620487E-3</v>
      </c>
      <c r="U246" s="416">
        <f>PRODUCT(AP$156:AP$165)^(1/10)-1</f>
        <v>2.2611953583423272E-2</v>
      </c>
      <c r="V246" s="2099">
        <f>SUMPRODUCT($B$155:$B$164,V$155:V$164)/SUM($B$155:$B$164)</f>
        <v>0</v>
      </c>
      <c r="W246" s="416"/>
      <c r="X246" s="416"/>
      <c r="Y246" s="118"/>
      <c r="Z246" s="684">
        <f>(1+J246)*(1+H246)*(1+I246)-1-E246</f>
        <v>0</v>
      </c>
      <c r="AA246" s="651">
        <f>(1+K246)-(1+N246)*(1+P246)*(1+O246)</f>
        <v>0</v>
      </c>
      <c r="AB246" s="651">
        <f>(1+Q246)-(1+T246)*(1+U246)</f>
        <v>0</v>
      </c>
      <c r="AC246" s="118"/>
      <c r="AD246" s="118"/>
      <c r="AE246" s="118"/>
      <c r="AN246" s="118"/>
    </row>
    <row r="247" spans="1:40" ht="13" thickBot="1">
      <c r="A247" s="430"/>
      <c r="B247" s="431"/>
      <c r="C247" s="432"/>
      <c r="D247" s="433"/>
      <c r="E247" s="1405"/>
      <c r="F247" s="433"/>
      <c r="G247" s="433"/>
      <c r="H247" s="434">
        <f>H246/($H246+$I246+$J246)</f>
        <v>0.50830848990026389</v>
      </c>
      <c r="I247" s="434">
        <f>I246/($H246+$I246+$J246)</f>
        <v>0</v>
      </c>
      <c r="J247" s="1232">
        <f>J246/($H246+$I246+$J246)</f>
        <v>0.49169151009973611</v>
      </c>
      <c r="K247" s="1991"/>
      <c r="L247" s="434"/>
      <c r="M247" s="435"/>
      <c r="N247" s="434">
        <f>N246/($N246+$O246+$P246)</f>
        <v>0.50764508087609594</v>
      </c>
      <c r="O247" s="434">
        <f>O246/($N246+$O246+$P246)</f>
        <v>0</v>
      </c>
      <c r="P247" s="1232">
        <f>P246/($N246+$O246+$P246)</f>
        <v>0.49235491912390411</v>
      </c>
      <c r="Q247" s="1410"/>
      <c r="R247" s="435"/>
      <c r="S247" s="435"/>
      <c r="T247" s="434">
        <f>T246/($T246+$U246)</f>
        <v>0.28902503597866364</v>
      </c>
      <c r="U247" s="434">
        <f>U246/($T246+$U246)</f>
        <v>0.71097496402133631</v>
      </c>
      <c r="V247" s="2117"/>
      <c r="W247" s="421"/>
      <c r="X247" s="421"/>
      <c r="Y247" s="118"/>
      <c r="Z247" s="118"/>
      <c r="AA247" s="118"/>
      <c r="AB247" s="118"/>
      <c r="AC247" s="118"/>
      <c r="AD247" s="118"/>
      <c r="AE247" s="118"/>
      <c r="AN247" s="118"/>
    </row>
    <row r="248" spans="1:40" ht="13" thickTop="1">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N248" s="118"/>
    </row>
    <row r="249" spans="1:40">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684"/>
      <c r="AA249" s="651"/>
      <c r="AB249" s="118"/>
      <c r="AC249" s="118"/>
      <c r="AD249" s="118"/>
      <c r="AE249" s="118"/>
      <c r="AN249" s="118"/>
    </row>
    <row r="250" spans="1:40">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N250" s="118"/>
    </row>
    <row r="251" spans="1:40">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N251" s="118"/>
    </row>
    <row r="252" spans="1:40">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N252" s="118"/>
    </row>
    <row r="253" spans="1:40">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N253" s="118"/>
    </row>
    <row r="254" spans="1:40">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N254" s="118"/>
    </row>
    <row r="255" spans="1:40">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N255" s="118"/>
    </row>
    <row r="256" spans="1:40">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N256" s="118"/>
    </row>
    <row r="257" spans="2:40">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N257" s="118"/>
    </row>
    <row r="258" spans="2:40">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N258" s="118"/>
    </row>
    <row r="259" spans="2:40">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N259" s="118"/>
    </row>
    <row r="260" spans="2:40">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row>
    <row r="261" spans="2:40">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row>
    <row r="262" spans="2:40">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row>
    <row r="263" spans="2:40">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row>
    <row r="264" spans="2:40">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row>
    <row r="265" spans="2:40">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row>
    <row r="266" spans="2:40">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row>
    <row r="267" spans="2:40">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row>
    <row r="268" spans="2:40">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row>
    <row r="269" spans="2:40">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row>
    <row r="270" spans="2:40">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row>
    <row r="271" spans="2:40">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row>
    <row r="272" spans="2:40">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row>
    <row r="273" spans="2:40">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row>
    <row r="274" spans="2:40">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row>
    <row r="275" spans="2:40">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row>
    <row r="276" spans="2:40">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row>
    <row r="277" spans="2:40">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row>
    <row r="278" spans="2:40">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row>
    <row r="279" spans="2:40">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row>
    <row r="280" spans="2:40">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row>
    <row r="281" spans="2:40">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row>
    <row r="282" spans="2:40">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row>
    <row r="283" spans="2:40">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row>
    <row r="284" spans="2:40">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row>
    <row r="285" spans="2:40">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row>
    <row r="286" spans="2:40">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row>
    <row r="287" spans="2:40">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row>
    <row r="288" spans="2:40">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row>
    <row r="289" spans="2:40">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row>
    <row r="290" spans="2:40">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row>
    <row r="291" spans="2:40">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row>
    <row r="292" spans="2:40">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row>
    <row r="293" spans="2:40">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row>
    <row r="294" spans="2:40">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row>
    <row r="295" spans="2:40">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row>
    <row r="296" spans="2:40">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row>
    <row r="297" spans="2:40">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row>
    <row r="298" spans="2:40">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row>
    <row r="299" spans="2:40">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row>
    <row r="300" spans="2:40">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row>
    <row r="301" spans="2:40">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row>
    <row r="302" spans="2:40">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row>
    <row r="303" spans="2:40">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row>
    <row r="304" spans="2:40">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row>
    <row r="305" spans="2:40">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row>
    <row r="306" spans="2:40">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row>
    <row r="307" spans="2:40">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row>
    <row r="308" spans="2:40">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row>
    <row r="309" spans="2:40">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row>
    <row r="310" spans="2:40">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row>
    <row r="311" spans="2:40">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row>
    <row r="312" spans="2:40">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row>
    <row r="313" spans="2:40">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row>
    <row r="314" spans="2:40">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row>
    <row r="315" spans="2:40">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row>
    <row r="316" spans="2:40">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row>
    <row r="317" spans="2:40">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row>
    <row r="318" spans="2:40">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row>
    <row r="319" spans="2:40">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row>
    <row r="320" spans="2:40">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row>
    <row r="321" spans="2:40">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row>
    <row r="322" spans="2:40">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row>
    <row r="323" spans="2:40">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row>
    <row r="324" spans="2:40">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row>
    <row r="325" spans="2:40">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row>
    <row r="326" spans="2:40">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row>
    <row r="327" spans="2:40">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row>
    <row r="328" spans="2:40">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row>
    <row r="329" spans="2:40">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row>
    <row r="330" spans="2:40">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row>
    <row r="331" spans="2:40">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row>
    <row r="332" spans="2:40">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row>
    <row r="333" spans="2:40">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row>
    <row r="334" spans="2:40">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row>
    <row r="335" spans="2:40">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row>
    <row r="336" spans="2:40">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row>
    <row r="337" spans="2:40">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row>
    <row r="338" spans="2:40">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row>
    <row r="339" spans="2:40">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row>
    <row r="340" spans="2:40">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row>
    <row r="341" spans="2:40">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row>
    <row r="342" spans="2:40">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row>
    <row r="343" spans="2:40">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row>
    <row r="344" spans="2:40">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row>
    <row r="345" spans="2:40">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row>
    <row r="346" spans="2:40">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row>
    <row r="347" spans="2:40">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row>
    <row r="348" spans="2:40">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row>
    <row r="349" spans="2:40">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row>
    <row r="350" spans="2:40">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row>
    <row r="351" spans="2:40">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row>
    <row r="352" spans="2:40">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row>
    <row r="353" spans="2:40">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row>
    <row r="354" spans="2:40">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row>
    <row r="355" spans="2:40">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row>
    <row r="356" spans="2:40">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row>
    <row r="357" spans="2:40">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row>
    <row r="358" spans="2:40">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row>
    <row r="359" spans="2:40">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row>
    <row r="360" spans="2:40">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row>
    <row r="361" spans="2:40">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row>
    <row r="362" spans="2:40">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row>
    <row r="363" spans="2:40">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row>
    <row r="364" spans="2:40">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row>
    <row r="365" spans="2:40">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row>
    <row r="366" spans="2:40">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row>
    <row r="367" spans="2:40">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row>
    <row r="368" spans="2:40">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row>
    <row r="369" spans="2:40">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row>
    <row r="370" spans="2:40">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row>
    <row r="371" spans="2:40">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row>
    <row r="372" spans="2:40">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row>
    <row r="373" spans="2:40">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row>
    <row r="374" spans="2:40">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row>
    <row r="375" spans="2:40">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row>
    <row r="376" spans="2:40">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row>
    <row r="377" spans="2:40">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row>
    <row r="378" spans="2:40">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row>
    <row r="379" spans="2:40">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row>
    <row r="380" spans="2:40">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row>
    <row r="381" spans="2:40">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row>
    <row r="382" spans="2:40">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row>
    <row r="383" spans="2:40">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row>
    <row r="384" spans="2:40">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row>
    <row r="385" spans="2:24">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row>
    <row r="386" spans="2:24">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row>
    <row r="387" spans="2:24">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row>
    <row r="388" spans="2:24">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row>
    <row r="389" spans="2:24">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row>
    <row r="390" spans="2:24">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row>
    <row r="391" spans="2:24">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row>
    <row r="392" spans="2:24">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row>
    <row r="393" spans="2:24">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row>
    <row r="394" spans="2:24">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row>
    <row r="395" spans="2:24">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row>
    <row r="396" spans="2:24">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row>
  </sheetData>
  <mergeCells count="17">
    <mergeCell ref="A167:U167"/>
    <mergeCell ref="AA170:AA171"/>
    <mergeCell ref="AA8:AA9"/>
    <mergeCell ref="AB7:AC7"/>
    <mergeCell ref="AB8:AB9"/>
    <mergeCell ref="AC8:AC9"/>
    <mergeCell ref="Z7:AA7"/>
    <mergeCell ref="AB170:AB171"/>
    <mergeCell ref="Z169:AB169"/>
    <mergeCell ref="Z8:Z9"/>
    <mergeCell ref="V7:V9"/>
    <mergeCell ref="B1:C1"/>
    <mergeCell ref="A7:A9"/>
    <mergeCell ref="E7:J7"/>
    <mergeCell ref="Q7:U7"/>
    <mergeCell ref="K7:P7"/>
    <mergeCell ref="A4:V4"/>
  </mergeCells>
  <phoneticPr fontId="43"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22" fitToHeight="2" orientation="portrait" horizontalDpi="4294967292" verticalDpi="4294967292"/>
  <ignoredErrors>
    <ignoredError sqref="J169 J172 J175 AH11:AH165 AL11:AL165 J177:J178 J180:J181 J183:J184 J186:J187 J189:J192 J194:J195 J197:J198 J200:J201 J203:J204 J206:J207 J209:J210 J212:J213 J215:J216 J218:J219 J221:J222 J224:J225 J227:J228 J230:J231 J233:J234 J236:J237 J239:J240 J242:J243 J245:J246" formula="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enableFormatConditionsCalculation="0">
    <tabColor theme="5" tint="0.59999389629810485"/>
    <pageSetUpPr fitToPage="1"/>
  </sheetPr>
  <dimension ref="A1:X374"/>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Q4"/>
    </sheetView>
  </sheetViews>
  <sheetFormatPr baseColWidth="10" defaultRowHeight="12" customHeight="1" x14ac:dyDescent="0"/>
  <cols>
    <col min="1" max="1" width="10.6640625" style="689" customWidth="1"/>
    <col min="2" max="4" width="8.5" style="65" customWidth="1"/>
    <col min="5" max="5" width="8.5" style="689" customWidth="1"/>
    <col min="6" max="6" width="9" style="65" customWidth="1"/>
    <col min="7" max="7" width="9.1640625" style="689" customWidth="1"/>
    <col min="8" max="11" width="8.5" style="689" customWidth="1"/>
    <col min="12" max="13" width="9" style="689" customWidth="1"/>
    <col min="14" max="16" width="8.5" style="905" customWidth="1"/>
    <col min="17" max="17" width="8.5" style="689" customWidth="1"/>
    <col min="18" max="18" width="9.6640625" style="689" customWidth="1"/>
    <col min="19" max="23" width="10.83203125" style="689"/>
    <col min="24" max="24" width="20.83203125" style="689" bestFit="1" customWidth="1"/>
    <col min="25" max="16384" width="10.83203125" style="689"/>
  </cols>
  <sheetData>
    <row r="1" spans="1:24">
      <c r="A1" s="65"/>
      <c r="B1" s="2252" t="s">
        <v>1416</v>
      </c>
      <c r="C1" s="2252"/>
      <c r="D1" s="904"/>
      <c r="E1" s="690"/>
      <c r="F1" s="904"/>
      <c r="G1" s="690"/>
      <c r="H1" s="690"/>
      <c r="I1" s="690"/>
      <c r="J1" s="690"/>
      <c r="K1" s="690"/>
      <c r="L1" s="690"/>
      <c r="M1" s="690"/>
      <c r="N1" s="690"/>
      <c r="O1" s="690"/>
      <c r="P1" s="690"/>
      <c r="Q1" s="690"/>
      <c r="R1" s="690"/>
    </row>
    <row r="2" spans="1:24">
      <c r="A2" s="65"/>
      <c r="H2" s="4"/>
    </row>
    <row r="3" spans="1:24" ht="13" thickBot="1">
      <c r="A3" s="65"/>
      <c r="H3" s="4"/>
    </row>
    <row r="4" spans="1:24" ht="19" customHeight="1" thickTop="1">
      <c r="A4" s="2386" t="s">
        <v>1439</v>
      </c>
      <c r="B4" s="2387"/>
      <c r="C4" s="2387"/>
      <c r="D4" s="2387"/>
      <c r="E4" s="2387"/>
      <c r="F4" s="2387"/>
      <c r="G4" s="2387"/>
      <c r="H4" s="2387"/>
      <c r="I4" s="2387"/>
      <c r="J4" s="2387"/>
      <c r="K4" s="2387"/>
      <c r="L4" s="2387"/>
      <c r="M4" s="2387"/>
      <c r="N4" s="2387"/>
      <c r="O4" s="2387"/>
      <c r="P4" s="2387"/>
      <c r="Q4" s="2388"/>
      <c r="R4" s="906"/>
    </row>
    <row r="5" spans="1:24">
      <c r="A5" s="35"/>
      <c r="B5" s="36"/>
      <c r="C5" s="36"/>
      <c r="D5" s="36"/>
      <c r="E5" s="694"/>
      <c r="F5" s="36"/>
      <c r="G5" s="694"/>
      <c r="H5" s="694"/>
      <c r="I5" s="694"/>
      <c r="J5" s="694"/>
      <c r="K5" s="694"/>
      <c r="L5" s="694"/>
      <c r="M5" s="694"/>
      <c r="N5" s="907"/>
      <c r="O5" s="907"/>
      <c r="P5" s="907"/>
      <c r="Q5" s="695"/>
    </row>
    <row r="6" spans="1:24">
      <c r="A6" s="5"/>
      <c r="B6" s="908" t="s">
        <v>952</v>
      </c>
      <c r="C6" s="908" t="s">
        <v>953</v>
      </c>
      <c r="D6" s="699" t="s">
        <v>954</v>
      </c>
      <c r="E6" s="908" t="s">
        <v>955</v>
      </c>
      <c r="F6" s="908" t="s">
        <v>956</v>
      </c>
      <c r="G6" s="697" t="s">
        <v>957</v>
      </c>
      <c r="H6" s="697" t="s">
        <v>958</v>
      </c>
      <c r="I6" s="699" t="s">
        <v>959</v>
      </c>
      <c r="J6" s="699" t="s">
        <v>960</v>
      </c>
      <c r="K6" s="699" t="s">
        <v>961</v>
      </c>
      <c r="L6" s="908" t="s">
        <v>962</v>
      </c>
      <c r="M6" s="908" t="s">
        <v>963</v>
      </c>
      <c r="N6" s="1698" t="s">
        <v>964</v>
      </c>
      <c r="O6" s="1698" t="s">
        <v>965</v>
      </c>
      <c r="P6" s="908" t="s">
        <v>120</v>
      </c>
      <c r="Q6" s="1575" t="s">
        <v>121</v>
      </c>
      <c r="R6" s="697"/>
    </row>
    <row r="7" spans="1:24" ht="39.75" customHeight="1">
      <c r="A7" s="2391"/>
      <c r="B7" s="2392" t="s">
        <v>349</v>
      </c>
      <c r="C7" s="2394" t="s">
        <v>1110</v>
      </c>
      <c r="D7" s="1529"/>
      <c r="E7" s="2380" t="s">
        <v>1111</v>
      </c>
      <c r="F7" s="2381"/>
      <c r="G7" s="2381"/>
      <c r="H7" s="2389"/>
      <c r="I7" s="2381" t="s">
        <v>940</v>
      </c>
      <c r="J7" s="2381"/>
      <c r="K7" s="2389"/>
      <c r="L7" s="2380" t="s">
        <v>1204</v>
      </c>
      <c r="M7" s="2381"/>
      <c r="N7" s="2381"/>
      <c r="O7" s="2381"/>
      <c r="P7" s="2381"/>
      <c r="Q7" s="2382"/>
      <c r="R7" s="906"/>
    </row>
    <row r="8" spans="1:24" ht="79" customHeight="1">
      <c r="A8" s="2391"/>
      <c r="B8" s="2393"/>
      <c r="C8" s="2395"/>
      <c r="D8" s="1528" t="s">
        <v>1247</v>
      </c>
      <c r="E8" s="2396" t="s">
        <v>1202</v>
      </c>
      <c r="F8" s="2398" t="s">
        <v>1203</v>
      </c>
      <c r="G8" s="2390" t="s">
        <v>1112</v>
      </c>
      <c r="H8" s="2378" t="s">
        <v>1205</v>
      </c>
      <c r="I8" s="707" t="s">
        <v>1314</v>
      </c>
      <c r="J8" s="1438" t="s">
        <v>1113</v>
      </c>
      <c r="K8" s="1439" t="s">
        <v>1114</v>
      </c>
      <c r="L8" s="707" t="s">
        <v>1176</v>
      </c>
      <c r="M8" s="12" t="s">
        <v>1315</v>
      </c>
      <c r="N8" s="12" t="s">
        <v>1239</v>
      </c>
      <c r="O8" s="13" t="s">
        <v>1316</v>
      </c>
      <c r="P8" s="13" t="s">
        <v>1317</v>
      </c>
      <c r="Q8" s="1437" t="s">
        <v>1318</v>
      </c>
      <c r="R8" s="909"/>
      <c r="U8" s="910"/>
      <c r="V8" s="689" t="s">
        <v>1157</v>
      </c>
    </row>
    <row r="9" spans="1:24" ht="27" customHeight="1">
      <c r="A9" s="2391"/>
      <c r="B9" s="2180" t="s">
        <v>1117</v>
      </c>
      <c r="C9" s="2151" t="s">
        <v>1116</v>
      </c>
      <c r="D9" s="2153"/>
      <c r="E9" s="2397"/>
      <c r="F9" s="2399"/>
      <c r="G9" s="2384"/>
      <c r="H9" s="2379"/>
      <c r="I9" s="2383" t="s">
        <v>1313</v>
      </c>
      <c r="J9" s="2384"/>
      <c r="K9" s="2384"/>
      <c r="L9" s="2384"/>
      <c r="M9" s="2384"/>
      <c r="N9" s="2384"/>
      <c r="O9" s="2384"/>
      <c r="P9" s="2384"/>
      <c r="Q9" s="2385"/>
      <c r="R9" s="911"/>
      <c r="S9" s="1432"/>
      <c r="V9" s="912"/>
    </row>
    <row r="10" spans="1:24" ht="12" customHeight="1">
      <c r="A10" s="10">
        <v>1855</v>
      </c>
      <c r="B10" s="2181">
        <f>TableUK1!D10</f>
        <v>53.963474307680634</v>
      </c>
      <c r="C10" s="16"/>
      <c r="D10" s="1252">
        <f>TableUK12c!F25</f>
        <v>-3.1588320073925383E-2</v>
      </c>
      <c r="E10" s="1742">
        <v>0.49545</v>
      </c>
      <c r="F10" s="1339">
        <f>TableUK12d!F25</f>
        <v>2.7331931213251288E-3</v>
      </c>
      <c r="G10" s="712"/>
      <c r="H10" s="1272"/>
      <c r="I10" s="1252">
        <f t="shared" ref="I10:I24" si="0">J10+K10</f>
        <v>3.0187967693839843E-2</v>
      </c>
      <c r="J10" s="901">
        <f>TableUK7!C13</f>
        <v>3.0187967693839843E-2</v>
      </c>
      <c r="K10" s="1321">
        <v>0</v>
      </c>
      <c r="L10" s="901">
        <f t="shared" ref="L10:L41" si="1">M10+N10</f>
        <v>1.1434447463234185</v>
      </c>
      <c r="M10" s="901">
        <f>AVERAGE(DataUK4!O166:O167)/DataUK1!B13</f>
        <v>1.1434447463234185</v>
      </c>
      <c r="N10" s="901">
        <v>0</v>
      </c>
      <c r="O10" s="901">
        <f>AVERAGE(DataUK4!H166:H167)/DataUK1!B13</f>
        <v>1.238008555124372</v>
      </c>
      <c r="P10" s="901">
        <f t="shared" ref="P10:P41" si="2">M10/O10</f>
        <v>0.92361619117288452</v>
      </c>
      <c r="Q10" s="1576">
        <f>DataUK1!GW13/DataUK1!B13</f>
        <v>3.667838074801541E-2</v>
      </c>
      <c r="R10" s="911"/>
      <c r="S10" s="1432"/>
      <c r="U10" s="720"/>
      <c r="V10" s="912"/>
      <c r="W10" s="1432">
        <f>D10-(TableUK5b!G10-TableUK5a!G10)</f>
        <v>0</v>
      </c>
      <c r="X10" s="68"/>
    </row>
    <row r="11" spans="1:24" ht="12" customHeight="1">
      <c r="A11" s="10">
        <v>1856</v>
      </c>
      <c r="B11" s="2181">
        <f>TableUK1!D11</f>
        <v>56.584415262871076</v>
      </c>
      <c r="C11" s="954">
        <f t="shared" ref="C11:C25" si="3">B11/B10-1</f>
        <v>4.8568795631036776E-2</v>
      </c>
      <c r="D11" s="1252">
        <f>TableUK12c!F26</f>
        <v>-4.9890176640935389E-3</v>
      </c>
      <c r="E11" s="1742">
        <f t="shared" ref="E11:E19" si="4">E10*(1+H11)*(1+G11)/(1+C11)</f>
        <v>0.47510778043086299</v>
      </c>
      <c r="F11" s="1322">
        <f>TableUK12d!F26</f>
        <v>2.373214925045399E-3</v>
      </c>
      <c r="G11" s="1318">
        <f t="shared" ref="G11:G42" si="5">F10/E10</f>
        <v>5.516587186043251E-3</v>
      </c>
      <c r="H11" s="1370">
        <v>0</v>
      </c>
      <c r="I11" s="1252">
        <f t="shared" si="0"/>
        <v>2.8789687257165124E-2</v>
      </c>
      <c r="J11" s="1252">
        <f>TableUK7!C14</f>
        <v>2.8789687257165124E-2</v>
      </c>
      <c r="K11" s="946">
        <v>0</v>
      </c>
      <c r="L11" s="1252">
        <f t="shared" si="1"/>
        <v>1.1329461677875905</v>
      </c>
      <c r="M11" s="62">
        <f>AVERAGE(DataUK4!O167:O168)/DataUK1!B14</f>
        <v>1.1329461677875905</v>
      </c>
      <c r="N11" s="62">
        <v>0</v>
      </c>
      <c r="O11" s="62">
        <f>AVERAGE(DataUK4!H167:H168)/DataUK1!B14</f>
        <v>1.2023293140773585</v>
      </c>
      <c r="P11" s="62">
        <f t="shared" si="2"/>
        <v>0.94229272672852427</v>
      </c>
      <c r="Q11" s="1576">
        <f>DataUK1!GW14/DataUK1!B14</f>
        <v>3.5699212198884757E-2</v>
      </c>
      <c r="R11" s="911"/>
      <c r="S11" s="1432"/>
      <c r="U11" s="720"/>
      <c r="V11" s="1350">
        <f t="shared" ref="V11:V42" si="6">(B11*E11)/(B10*E10)-(1+G11)*(1+H11)</f>
        <v>0</v>
      </c>
      <c r="W11" s="1432">
        <f>D11-(TableUK5b!G11-TableUK5a!G11)</f>
        <v>0</v>
      </c>
      <c r="X11" s="68"/>
    </row>
    <row r="12" spans="1:24" ht="12" customHeight="1">
      <c r="A12" s="10">
        <v>1857</v>
      </c>
      <c r="B12" s="2181">
        <f>TableUK1!D12</f>
        <v>58.32610029992847</v>
      </c>
      <c r="C12" s="954">
        <f t="shared" si="3"/>
        <v>3.0780295757518061E-2</v>
      </c>
      <c r="D12" s="1252">
        <f>TableUK12c!F27</f>
        <v>-1.5519629392186356E-3</v>
      </c>
      <c r="E12" s="1742">
        <f t="shared" si="4"/>
        <v>0.46322285876158381</v>
      </c>
      <c r="F12" s="1322">
        <f>TableUK12d!F27</f>
        <v>2.5053490173204407E-3</v>
      </c>
      <c r="G12" s="1318">
        <f t="shared" si="5"/>
        <v>4.9951085265183227E-3</v>
      </c>
      <c r="H12" s="1370">
        <v>0</v>
      </c>
      <c r="I12" s="1252">
        <f t="shared" si="0"/>
        <v>2.9326493477262322E-2</v>
      </c>
      <c r="J12" s="1252">
        <f>TableUK7!C15</f>
        <v>2.9326493477262322E-2</v>
      </c>
      <c r="K12" s="946">
        <v>0</v>
      </c>
      <c r="L12" s="1252">
        <f t="shared" si="1"/>
        <v>1.1726931579220272</v>
      </c>
      <c r="M12" s="1252">
        <f>AVERAGE(DataUK4!O168:O169)/DataUK1!B15</f>
        <v>1.1726931579220272</v>
      </c>
      <c r="N12" s="1252">
        <v>0</v>
      </c>
      <c r="O12" s="1252">
        <f>AVERAGE(DataUK4!H168:H169)/DataUK1!B15</f>
        <v>1.222914778001839</v>
      </c>
      <c r="P12" s="1252">
        <f t="shared" si="2"/>
        <v>0.9589328537170263</v>
      </c>
      <c r="Q12" s="1576">
        <f>DataUK1!GW15/DataUK1!B15</f>
        <v>3.621821944441897E-2</v>
      </c>
      <c r="R12" s="911"/>
      <c r="S12" s="1432"/>
      <c r="U12" s="720"/>
      <c r="V12" s="1350">
        <f t="shared" si="6"/>
        <v>0</v>
      </c>
      <c r="W12" s="1432">
        <f>D12-(TableUK5b!G12-TableUK5a!G12)</f>
        <v>1.7347234759768071E-18</v>
      </c>
      <c r="X12" s="68"/>
    </row>
    <row r="13" spans="1:24" ht="12" customHeight="1">
      <c r="A13" s="10">
        <v>1858</v>
      </c>
      <c r="B13" s="2181">
        <f>TableUK1!D13</f>
        <v>63.134669799605717</v>
      </c>
      <c r="C13" s="954">
        <f t="shared" si="3"/>
        <v>8.2442842483044343E-2</v>
      </c>
      <c r="D13" s="1252">
        <f>TableUK12c!F28</f>
        <v>-4.3174554685772217E-4</v>
      </c>
      <c r="E13" s="1742">
        <f t="shared" si="4"/>
        <v>0.43025662834127848</v>
      </c>
      <c r="F13" s="1322">
        <f>TableUK12d!F28</f>
        <v>2.600806296754108E-3</v>
      </c>
      <c r="G13" s="1318">
        <f t="shared" si="5"/>
        <v>5.4085176712100015E-3</v>
      </c>
      <c r="H13" s="1370">
        <v>0</v>
      </c>
      <c r="I13" s="1252">
        <f t="shared" si="0"/>
        <v>2.9772395034876203E-2</v>
      </c>
      <c r="J13" s="1252">
        <f>TableUK7!C16</f>
        <v>2.9772395034876203E-2</v>
      </c>
      <c r="K13" s="946">
        <v>0</v>
      </c>
      <c r="L13" s="1252">
        <f t="shared" si="1"/>
        <v>1.1672267473423217</v>
      </c>
      <c r="M13" s="1252">
        <f>AVERAGE(DataUK4!O169:O170)/DataUK1!B16</f>
        <v>1.1672267473423217</v>
      </c>
      <c r="N13" s="1252">
        <v>0</v>
      </c>
      <c r="O13" s="1252">
        <f>AVERAGE(DataUK4!H169:H170)/DataUK1!B16</f>
        <v>1.2354799629597752</v>
      </c>
      <c r="P13" s="1252">
        <f t="shared" si="2"/>
        <v>0.94475570817519139</v>
      </c>
      <c r="Q13" s="1576">
        <f>DataUK1!GW16/DataUK1!B16</f>
        <v>3.6768907868072111E-2</v>
      </c>
      <c r="R13" s="911"/>
      <c r="S13" s="1432"/>
      <c r="U13" s="720"/>
      <c r="V13" s="1350">
        <f t="shared" si="6"/>
        <v>0</v>
      </c>
      <c r="W13" s="1432">
        <f>D13-(TableUK5b!G13-TableUK5a!G13)</f>
        <v>8.6736173798840355E-19</v>
      </c>
      <c r="X13" s="68"/>
    </row>
    <row r="14" spans="1:24" ht="12" customHeight="1">
      <c r="A14" s="893">
        <v>1859</v>
      </c>
      <c r="B14" s="2182">
        <f>TableUK1!D14</f>
        <v>66.557472426882924</v>
      </c>
      <c r="C14" s="955">
        <f t="shared" si="3"/>
        <v>5.4214311061441256E-2</v>
      </c>
      <c r="D14" s="1253">
        <f>TableUK12c!F29</f>
        <v>1.0606891635510009E-3</v>
      </c>
      <c r="E14" s="1326">
        <f t="shared" si="4"/>
        <v>0.41059719081427359</v>
      </c>
      <c r="F14" s="1323">
        <f>TableUK12d!F29</f>
        <v>2.2860899418103292E-3</v>
      </c>
      <c r="G14" s="1319">
        <f t="shared" si="5"/>
        <v>6.0447791514118294E-3</v>
      </c>
      <c r="H14" s="1371">
        <v>0</v>
      </c>
      <c r="I14" s="1253">
        <f t="shared" si="0"/>
        <v>2.8555104126639148E-2</v>
      </c>
      <c r="J14" s="1253">
        <f>TableUK7!C17</f>
        <v>2.8555104126639148E-2</v>
      </c>
      <c r="K14" s="947">
        <v>0</v>
      </c>
      <c r="L14" s="1253">
        <f t="shared" si="1"/>
        <v>1.0918757940423645</v>
      </c>
      <c r="M14" s="1253">
        <f>AVERAGE(DataUK4!O170:O171)/DataUK1!B17</f>
        <v>1.0918757940423645</v>
      </c>
      <c r="N14" s="1253">
        <v>0</v>
      </c>
      <c r="O14" s="1253">
        <f>AVERAGE(DataUK4!H170:H171)/DataUK1!B17</f>
        <v>1.1789688616286138</v>
      </c>
      <c r="P14" s="1253">
        <f t="shared" si="2"/>
        <v>0.92612776264002428</v>
      </c>
      <c r="Q14" s="1577">
        <f>DataUK1!GW17/DataUK1!B17</f>
        <v>3.4837227034499756E-2</v>
      </c>
      <c r="R14" s="911"/>
      <c r="S14" s="1432"/>
      <c r="U14" s="720"/>
      <c r="V14" s="1350">
        <f t="shared" si="6"/>
        <v>0</v>
      </c>
      <c r="W14" s="1432">
        <f>D14-(TableUK5b!G14-TableUK5a!G14)</f>
        <v>5.2041704279304213E-18</v>
      </c>
      <c r="X14" s="68"/>
    </row>
    <row r="15" spans="1:24" ht="12" customHeight="1">
      <c r="A15" s="10">
        <v>1860</v>
      </c>
      <c r="B15" s="2181">
        <f>TableUK1!D15</f>
        <v>66.871242082865905</v>
      </c>
      <c r="C15" s="954">
        <f t="shared" si="3"/>
        <v>4.7142664007813195E-3</v>
      </c>
      <c r="D15" s="1252">
        <f>TableUK12c!F30</f>
        <v>-6.6976444826875384E-3</v>
      </c>
      <c r="E15" s="1742">
        <f t="shared" si="4"/>
        <v>0.41094597196789923</v>
      </c>
      <c r="F15" s="1322">
        <f>TableUK12d!F30</f>
        <v>3.792225381706588E-3</v>
      </c>
      <c r="G15" s="1318">
        <f t="shared" si="5"/>
        <v>5.5677193925186925E-3</v>
      </c>
      <c r="H15" s="1370">
        <v>0</v>
      </c>
      <c r="I15" s="1252">
        <f t="shared" si="0"/>
        <v>2.7504309095212967E-2</v>
      </c>
      <c r="J15" s="1252">
        <f>TableUK7!C18</f>
        <v>2.7504309095212967E-2</v>
      </c>
      <c r="K15" s="946">
        <v>0</v>
      </c>
      <c r="L15" s="1252">
        <f t="shared" si="1"/>
        <v>1.0412443815720249</v>
      </c>
      <c r="M15" s="1252">
        <f>AVERAGE(DataUK4!O171:O172)/DataUK1!B18</f>
        <v>1.0412443815720249</v>
      </c>
      <c r="N15" s="1252">
        <v>0</v>
      </c>
      <c r="O15" s="1252">
        <f>AVERAGE(DataUK4!H171:H172)/DataUK1!B18</f>
        <v>1.1309771899951573</v>
      </c>
      <c r="P15" s="1252">
        <f t="shared" si="2"/>
        <v>0.92065904669260701</v>
      </c>
      <c r="Q15" s="1576">
        <f>DataUK1!GW18/DataUK1!B18</f>
        <v>3.3555257096159828E-2</v>
      </c>
      <c r="R15" s="911"/>
      <c r="S15" s="1432"/>
      <c r="U15" s="720"/>
      <c r="V15" s="1350">
        <f t="shared" si="6"/>
        <v>0</v>
      </c>
      <c r="W15" s="1432">
        <f>D15-(TableUK5b!G15-TableUK5a!G15)</f>
        <v>-6.9388939039072284E-18</v>
      </c>
      <c r="X15" s="68"/>
    </row>
    <row r="16" spans="1:24" ht="12" customHeight="1">
      <c r="A16" s="10">
        <v>1861</v>
      </c>
      <c r="B16" s="2181">
        <f>TableUK1!D16</f>
        <v>68.754072476437528</v>
      </c>
      <c r="C16" s="954">
        <f t="shared" si="3"/>
        <v>2.8156055352440479E-2</v>
      </c>
      <c r="D16" s="1252">
        <f>TableUK12c!F31</f>
        <v>-6.8486947800096244E-3</v>
      </c>
      <c r="E16" s="1742">
        <f t="shared" si="4"/>
        <v>0.40338059109853525</v>
      </c>
      <c r="F16" s="1322">
        <f>TableUK12d!F31</f>
        <v>1.6714426774572235E-3</v>
      </c>
      <c r="G16" s="1318">
        <f t="shared" si="5"/>
        <v>9.2280388186961361E-3</v>
      </c>
      <c r="H16" s="1370">
        <v>0</v>
      </c>
      <c r="I16" s="1252">
        <f t="shared" si="0"/>
        <v>2.6187922415890724E-2</v>
      </c>
      <c r="J16" s="1252">
        <f>TableUK7!C19</f>
        <v>2.6187922415890724E-2</v>
      </c>
      <c r="K16" s="946">
        <v>0</v>
      </c>
      <c r="L16" s="1252">
        <f t="shared" si="1"/>
        <v>0.9987418911360324</v>
      </c>
      <c r="M16" s="1252">
        <f>AVERAGE(DataUK4!O172:O173)/DataUK1!B19</f>
        <v>0.9987418911360324</v>
      </c>
      <c r="N16" s="1252">
        <v>0</v>
      </c>
      <c r="O16" s="1252">
        <f>AVERAGE(DataUK4!H172:H173)/DataUK1!B19</f>
        <v>1.0758653226508306</v>
      </c>
      <c r="P16" s="1252">
        <f t="shared" si="2"/>
        <v>0.92831497596300128</v>
      </c>
      <c r="Q16" s="1576">
        <f>DataUK1!GW19/DataUK1!B19</f>
        <v>3.2080204959466133E-2</v>
      </c>
      <c r="R16" s="911"/>
      <c r="S16" s="1432"/>
      <c r="U16" s="720"/>
      <c r="V16" s="1350">
        <f t="shared" si="6"/>
        <v>0</v>
      </c>
      <c r="W16" s="1432">
        <f>D16-(TableUK5b!G16-TableUK5a!G16)</f>
        <v>0</v>
      </c>
      <c r="X16" s="68"/>
    </row>
    <row r="17" spans="1:24" ht="12" customHeight="1">
      <c r="A17" s="10">
        <v>1862</v>
      </c>
      <c r="B17" s="2181">
        <f>TableUK1!D17</f>
        <v>72.11834029705436</v>
      </c>
      <c r="C17" s="954">
        <f t="shared" si="3"/>
        <v>4.8931906132102743E-2</v>
      </c>
      <c r="D17" s="1252">
        <f>TableUK12c!F32</f>
        <v>-4.621116997733557E-3</v>
      </c>
      <c r="E17" s="1742">
        <f t="shared" si="4"/>
        <v>0.38615665269407873</v>
      </c>
      <c r="F17" s="1322">
        <f>TableUK12d!F32</f>
        <v>3.1240685422374952E-3</v>
      </c>
      <c r="G17" s="1318">
        <f t="shared" si="5"/>
        <v>4.1435872581408713E-3</v>
      </c>
      <c r="H17" s="1370">
        <v>0</v>
      </c>
      <c r="I17" s="1252">
        <f t="shared" si="0"/>
        <v>2.5503184131139521E-2</v>
      </c>
      <c r="J17" s="1252">
        <f>TableUK7!C20</f>
        <v>2.5503184131139521E-2</v>
      </c>
      <c r="K17" s="946">
        <v>0</v>
      </c>
      <c r="L17" s="1252">
        <f t="shared" si="1"/>
        <v>0.96032239845805878</v>
      </c>
      <c r="M17" s="1252">
        <f>AVERAGE(DataUK4!O173:O174)/DataUK1!B20</f>
        <v>0.96032239845805878</v>
      </c>
      <c r="N17" s="1252">
        <v>0</v>
      </c>
      <c r="O17" s="1252">
        <f>AVERAGE(DataUK4!H173:H174)/DataUK1!B20</f>
        <v>1.0474157722659001</v>
      </c>
      <c r="P17" s="1252">
        <f t="shared" si="2"/>
        <v>0.9168492817141467</v>
      </c>
      <c r="Q17" s="1576">
        <f>DataUK1!GW20/DataUK1!B20</f>
        <v>3.0986368719334519E-2</v>
      </c>
      <c r="R17" s="911"/>
      <c r="S17" s="1432"/>
      <c r="U17" s="720"/>
      <c r="V17" s="1350">
        <f t="shared" si="6"/>
        <v>0</v>
      </c>
      <c r="W17" s="1432">
        <f>D17-(TableUK5b!G17-TableUK5a!G17)</f>
        <v>0</v>
      </c>
      <c r="X17" s="68"/>
    </row>
    <row r="18" spans="1:24" ht="12" customHeight="1">
      <c r="A18" s="10">
        <v>1863</v>
      </c>
      <c r="B18" s="2181">
        <f>TableUK1!D18</f>
        <v>77.527403649811717</v>
      </c>
      <c r="C18" s="954">
        <f t="shared" si="3"/>
        <v>7.500260447588647E-2</v>
      </c>
      <c r="D18" s="1252">
        <f>TableUK12c!F33</f>
        <v>-2.2204063510143906E-3</v>
      </c>
      <c r="E18" s="1742">
        <f t="shared" si="4"/>
        <v>0.36212072381546329</v>
      </c>
      <c r="F18" s="1322">
        <f>TableUK12d!F33</f>
        <v>2.7814695688720623E-3</v>
      </c>
      <c r="G18" s="1318">
        <f t="shared" si="5"/>
        <v>8.0901585417264502E-3</v>
      </c>
      <c r="H18" s="1370">
        <v>0</v>
      </c>
      <c r="I18" s="1252">
        <f t="shared" si="0"/>
        <v>2.4514629228914869E-2</v>
      </c>
      <c r="J18" s="1252">
        <f>TableUK7!C21</f>
        <v>2.4514629228914869E-2</v>
      </c>
      <c r="K18" s="946">
        <v>0</v>
      </c>
      <c r="L18" s="1252">
        <f t="shared" si="1"/>
        <v>0.90606069630069364</v>
      </c>
      <c r="M18" s="1252">
        <f>AVERAGE(DataUK4!O174:O175)/DataUK1!B21</f>
        <v>0.90606069630069364</v>
      </c>
      <c r="N18" s="1252">
        <v>0</v>
      </c>
      <c r="O18" s="1252">
        <f>AVERAGE(DataUK4!H174:H175)/DataUK1!B21</f>
        <v>1.00430307293557</v>
      </c>
      <c r="P18" s="1252">
        <f t="shared" si="2"/>
        <v>0.90217855617257581</v>
      </c>
      <c r="Q18" s="1576">
        <f>DataUK1!GW21/DataUK1!B21</f>
        <v>2.9662701366986993E-2</v>
      </c>
      <c r="R18" s="911"/>
      <c r="S18" s="1432"/>
      <c r="U18" s="720"/>
      <c r="V18" s="1350">
        <f t="shared" si="6"/>
        <v>0</v>
      </c>
      <c r="W18" s="1432">
        <f>D18-(TableUK5b!G18-TableUK5a!G18)</f>
        <v>0</v>
      </c>
      <c r="X18" s="68"/>
    </row>
    <row r="19" spans="1:24" ht="12" customHeight="1">
      <c r="A19" s="10">
        <v>1864</v>
      </c>
      <c r="B19" s="2181">
        <f>TableUK1!D19</f>
        <v>81.223675520672643</v>
      </c>
      <c r="C19" s="954">
        <f t="shared" si="3"/>
        <v>4.7676972229804715E-2</v>
      </c>
      <c r="D19" s="1252">
        <f>TableUK12c!F34</f>
        <v>-9.3287503766052195E-4</v>
      </c>
      <c r="E19" s="1742">
        <f t="shared" si="4"/>
        <v>0.34829647215372334</v>
      </c>
      <c r="F19" s="1322">
        <f>TableUK12d!F34</f>
        <v>2.4963142650410971E-3</v>
      </c>
      <c r="G19" s="1318">
        <f t="shared" si="5"/>
        <v>7.681056028954308E-3</v>
      </c>
      <c r="H19" s="1370">
        <v>0</v>
      </c>
      <c r="I19" s="1252">
        <f t="shared" si="0"/>
        <v>2.3661944624389662E-2</v>
      </c>
      <c r="J19" s="1252">
        <f>TableUK7!C22</f>
        <v>2.3661944624389662E-2</v>
      </c>
      <c r="K19" s="946">
        <v>0</v>
      </c>
      <c r="L19" s="1252">
        <f t="shared" si="1"/>
        <v>0.85957929334251548</v>
      </c>
      <c r="M19" s="1252">
        <f>AVERAGE(DataUK4!O175:O176)/DataUK1!B22</f>
        <v>0.85957929334251548</v>
      </c>
      <c r="N19" s="1252">
        <v>0</v>
      </c>
      <c r="O19" s="1252">
        <f>AVERAGE(DataUK4!H175:H176)/DataUK1!B22</f>
        <v>0.96416508858231786</v>
      </c>
      <c r="P19" s="1252">
        <f t="shared" si="2"/>
        <v>0.89152708755138343</v>
      </c>
      <c r="Q19" s="1576">
        <f>DataUK1!GW22/DataUK1!B22</f>
        <v>2.8512643272389542E-2</v>
      </c>
      <c r="R19" s="911"/>
      <c r="S19" s="1432"/>
      <c r="U19" s="720"/>
      <c r="V19" s="1350">
        <f t="shared" si="6"/>
        <v>0</v>
      </c>
      <c r="W19" s="1432">
        <f>D19-(TableUK5b!G19-TableUK5a!G19)</f>
        <v>5.2041704279304213E-18</v>
      </c>
      <c r="X19" s="68"/>
    </row>
    <row r="20" spans="1:24" ht="12" customHeight="1">
      <c r="A20" s="1320">
        <v>1865</v>
      </c>
      <c r="B20" s="2183">
        <f>TableUK1!D20</f>
        <v>83.296114957810303</v>
      </c>
      <c r="C20" s="1369">
        <f t="shared" si="3"/>
        <v>2.5515213684342397E-2</v>
      </c>
      <c r="D20" s="901">
        <f>TableUK12c!F35</f>
        <v>-3.0294526879148312E-3</v>
      </c>
      <c r="E20" s="1255">
        <f>0.3/TableUK1!B20</f>
        <v>0.34225285714433235</v>
      </c>
      <c r="F20" s="1339">
        <f>TableUK12d!F35</f>
        <v>3.6722412404417972E-3</v>
      </c>
      <c r="G20" s="1325">
        <f t="shared" si="5"/>
        <v>7.1672108810201486E-3</v>
      </c>
      <c r="H20" s="1369">
        <f t="shared" ref="H20:H51" si="7">T$149</f>
        <v>1.2985E-3</v>
      </c>
      <c r="I20" s="901">
        <f t="shared" si="0"/>
        <v>2.2816857142955491E-2</v>
      </c>
      <c r="J20" s="901">
        <f>TableUK7!C23</f>
        <v>2.2816857142955491E-2</v>
      </c>
      <c r="K20" s="1321">
        <v>0</v>
      </c>
      <c r="L20" s="901">
        <f t="shared" si="1"/>
        <v>0.83703640428932224</v>
      </c>
      <c r="M20" s="901">
        <f>AVERAGE(DataUK4!O176:O177)/DataUK1!B23</f>
        <v>0.83703640428932224</v>
      </c>
      <c r="N20" s="901">
        <v>0</v>
      </c>
      <c r="O20" s="901">
        <f>AVERAGE(DataUK4!H176:H177)/DataUK1!B23</f>
        <v>0.9218580707182592</v>
      </c>
      <c r="P20" s="901">
        <f t="shared" si="2"/>
        <v>0.90798836705649411</v>
      </c>
      <c r="Q20" s="1348">
        <f>DataUK1!GW23/DataUK1!B23</f>
        <v>2.7152060000117037E-2</v>
      </c>
      <c r="R20" s="911"/>
      <c r="S20" s="1432"/>
      <c r="U20" s="720"/>
      <c r="V20" s="1350">
        <f t="shared" si="6"/>
        <v>-7.5446909311938093E-4</v>
      </c>
      <c r="W20" s="1432">
        <f>D20-(TableUK5b!G20-TableUK5a!G20)</f>
        <v>-6.9388939039072284E-18</v>
      </c>
      <c r="X20" s="68"/>
    </row>
    <row r="21" spans="1:24" ht="12" customHeight="1">
      <c r="A21" s="10">
        <v>1866</v>
      </c>
      <c r="B21" s="2181">
        <f>TableUK1!D21</f>
        <v>80.847122326730215</v>
      </c>
      <c r="C21" s="954">
        <f t="shared" si="3"/>
        <v>-2.9401042681528544E-2</v>
      </c>
      <c r="D21" s="1252">
        <f>TableUK12c!F36</f>
        <v>-2.0704444044258724E-3</v>
      </c>
      <c r="E21" s="1742">
        <f t="shared" ref="E21:E67" si="8">E20*(1+H21)*(1+G21)/(1+C21)</f>
        <v>0.35686653021138059</v>
      </c>
      <c r="F21" s="1322">
        <f>TableUK12d!F36</f>
        <v>4.873943994027091E-3</v>
      </c>
      <c r="G21" s="1318">
        <f t="shared" si="5"/>
        <v>1.0729614563577381E-2</v>
      </c>
      <c r="H21" s="954">
        <f t="shared" si="7"/>
        <v>1.2985E-3</v>
      </c>
      <c r="I21" s="1252">
        <f t="shared" si="0"/>
        <v>2.2270753293023166E-2</v>
      </c>
      <c r="J21" s="1252">
        <f>TableUK7!C24</f>
        <v>2.2270753293023166E-2</v>
      </c>
      <c r="K21" s="946">
        <v>0</v>
      </c>
      <c r="L21" s="1252">
        <f t="shared" si="1"/>
        <v>0.83749167758413623</v>
      </c>
      <c r="M21" s="1252">
        <f>AVERAGE(DataUK4!O177:O178)/DataUK1!B24</f>
        <v>0.83749167758413623</v>
      </c>
      <c r="N21" s="1252">
        <v>0</v>
      </c>
      <c r="O21" s="1252">
        <f>AVERAGE(DataUK4!H177:H178)/DataUK1!B24</f>
        <v>0.89322423769992665</v>
      </c>
      <c r="P21" s="1252">
        <f t="shared" si="2"/>
        <v>0.93760518606245724</v>
      </c>
      <c r="Q21" s="1576">
        <f>DataUK1!GW24/DataUK1!B24</f>
        <v>2.6390842652232457E-2</v>
      </c>
      <c r="R21" s="911"/>
      <c r="S21" s="1432"/>
      <c r="U21" s="720"/>
      <c r="V21" s="1350">
        <f t="shared" si="6"/>
        <v>0</v>
      </c>
      <c r="W21" s="1432">
        <f>D21-(TableUK5b!G21-TableUK5a!G21)</f>
        <v>0</v>
      </c>
      <c r="X21" s="68"/>
    </row>
    <row r="22" spans="1:24" ht="12" customHeight="1">
      <c r="A22" s="10">
        <v>1867</v>
      </c>
      <c r="B22" s="2181">
        <f>TableUK1!D22</f>
        <v>74.970980082566783</v>
      </c>
      <c r="C22" s="954">
        <f t="shared" si="3"/>
        <v>-7.268214470783485E-2</v>
      </c>
      <c r="D22" s="1252">
        <f>TableUK12c!F37</f>
        <v>-5.6758059726537326E-3</v>
      </c>
      <c r="E22" s="1742">
        <f t="shared" si="8"/>
        <v>0.39059982738825166</v>
      </c>
      <c r="F22" s="1322">
        <f>TableUK12d!F37</f>
        <v>5.0093384274527489E-3</v>
      </c>
      <c r="G22" s="1318">
        <f t="shared" si="5"/>
        <v>1.3657610286793041E-2</v>
      </c>
      <c r="H22" s="954">
        <f t="shared" si="7"/>
        <v>1.2985E-3</v>
      </c>
      <c r="I22" s="1252">
        <f t="shared" si="0"/>
        <v>2.2589598729675052E-2</v>
      </c>
      <c r="J22" s="1252">
        <f>TableUK7!C25</f>
        <v>2.2589598729675052E-2</v>
      </c>
      <c r="K22" s="946">
        <v>0</v>
      </c>
      <c r="L22" s="1252">
        <f t="shared" si="1"/>
        <v>0.84897359425801278</v>
      </c>
      <c r="M22" s="1252">
        <f>AVERAGE(DataUK4!O178:O179)/DataUK1!B25</f>
        <v>0.84897359425801278</v>
      </c>
      <c r="N22" s="1252">
        <v>0</v>
      </c>
      <c r="O22" s="1252">
        <f>AVERAGE(DataUK4!H178:H179)/DataUK1!B25</f>
        <v>0.90284978722828757</v>
      </c>
      <c r="P22" s="1252">
        <f t="shared" si="2"/>
        <v>0.94032651529367628</v>
      </c>
      <c r="Q22" s="1576">
        <f>DataUK1!GW25/DataUK1!B25</f>
        <v>2.6203934526423063E-2</v>
      </c>
      <c r="R22" s="911"/>
      <c r="S22" s="1432"/>
      <c r="U22" s="720"/>
      <c r="V22" s="1350">
        <f t="shared" si="6"/>
        <v>0</v>
      </c>
      <c r="W22" s="1432">
        <f>D22-(TableUK5b!G22-TableUK5a!G22)</f>
        <v>0</v>
      </c>
      <c r="X22" s="68"/>
    </row>
    <row r="23" spans="1:24" ht="12" customHeight="1">
      <c r="A23" s="10">
        <v>1868</v>
      </c>
      <c r="B23" s="2181">
        <f>TableUK1!D23</f>
        <v>75.771747497826667</v>
      </c>
      <c r="C23" s="954">
        <f t="shared" si="3"/>
        <v>1.0681031705574329E-2</v>
      </c>
      <c r="D23" s="1252">
        <f>TableUK12c!F38</f>
        <v>-5.7641477098217776E-3</v>
      </c>
      <c r="E23" s="1742">
        <f t="shared" si="8"/>
        <v>0.39193657730870751</v>
      </c>
      <c r="F23" s="1322">
        <f>TableUK12d!F38</f>
        <v>3.5623045603744479E-3</v>
      </c>
      <c r="G23" s="1318">
        <f t="shared" si="5"/>
        <v>1.2824732824250649E-2</v>
      </c>
      <c r="H23" s="954">
        <f t="shared" si="7"/>
        <v>1.2985E-3</v>
      </c>
      <c r="I23" s="1252">
        <f t="shared" si="0"/>
        <v>2.2574377079650459E-2</v>
      </c>
      <c r="J23" s="1252">
        <f>TableUK7!C26</f>
        <v>2.2574377079650459E-2</v>
      </c>
      <c r="K23" s="946">
        <v>0</v>
      </c>
      <c r="L23" s="1252">
        <f t="shared" si="1"/>
        <v>0.84315298392494464</v>
      </c>
      <c r="M23" s="1252">
        <f>AVERAGE(DataUK4!O179:O180)/DataUK1!B26</f>
        <v>0.84315298392494464</v>
      </c>
      <c r="N23" s="1252">
        <v>0</v>
      </c>
      <c r="O23" s="1252">
        <f>AVERAGE(DataUK4!H179:H180)/DataUK1!B26</f>
        <v>0.90049190170725679</v>
      </c>
      <c r="P23" s="1252">
        <f t="shared" si="2"/>
        <v>0.93632489345700676</v>
      </c>
      <c r="Q23" s="1576">
        <f>DataUK1!GW26/DataUK1!B26</f>
        <v>2.5509046100005019E-2</v>
      </c>
      <c r="R23" s="911"/>
      <c r="S23" s="1432"/>
      <c r="U23" s="720"/>
      <c r="V23" s="1350">
        <f t="shared" si="6"/>
        <v>0</v>
      </c>
      <c r="W23" s="1432">
        <f>D23-(TableUK5b!G23-TableUK5a!G23)</f>
        <v>0</v>
      </c>
      <c r="X23" s="68"/>
    </row>
    <row r="24" spans="1:24" ht="12" customHeight="1">
      <c r="A24" s="893">
        <v>1869</v>
      </c>
      <c r="B24" s="2182">
        <f>TableUK1!D24</f>
        <v>82.47547547376486</v>
      </c>
      <c r="C24" s="955">
        <f t="shared" si="3"/>
        <v>8.8472658970026652E-2</v>
      </c>
      <c r="D24" s="1253">
        <f>TableUK12c!F39</f>
        <v>5.7647623384424786E-3</v>
      </c>
      <c r="E24" s="1326">
        <f t="shared" si="8"/>
        <v>0.36382396370150261</v>
      </c>
      <c r="F24" s="1323">
        <f>TableUK12d!F39</f>
        <v>3.2681411127404008E-3</v>
      </c>
      <c r="G24" s="1319">
        <f t="shared" si="5"/>
        <v>9.0889821634805232E-3</v>
      </c>
      <c r="H24" s="955">
        <f t="shared" si="7"/>
        <v>1.2985E-3</v>
      </c>
      <c r="I24" s="1253">
        <f t="shared" si="0"/>
        <v>2.18310510542278E-2</v>
      </c>
      <c r="J24" s="1253">
        <f>TableUK7!C27</f>
        <v>2.18310510542278E-2</v>
      </c>
      <c r="K24" s="947">
        <v>0</v>
      </c>
      <c r="L24" s="1253">
        <f t="shared" si="1"/>
        <v>0.81287918600417219</v>
      </c>
      <c r="M24" s="1253">
        <f>AVERAGE(DataUK4!O180:O181)/DataUK1!B27</f>
        <v>0.81287918600417219</v>
      </c>
      <c r="N24" s="1253">
        <v>0</v>
      </c>
      <c r="O24" s="1253">
        <f>AVERAGE(DataUK4!H180:H181)/DataUK1!B27</f>
        <v>0.8682754780542753</v>
      </c>
      <c r="P24" s="1253">
        <f t="shared" si="2"/>
        <v>0.9361996354264881</v>
      </c>
      <c r="Q24" s="1577">
        <f>DataUK1!GW27/DataUK1!B27</f>
        <v>2.4778242946548557E-2</v>
      </c>
      <c r="R24" s="911"/>
      <c r="S24" s="1432"/>
      <c r="U24" s="720"/>
      <c r="V24" s="1350">
        <f t="shared" si="6"/>
        <v>0</v>
      </c>
      <c r="W24" s="1432">
        <f>D24-(TableUK5b!G24-TableUK5a!G24)</f>
        <v>0</v>
      </c>
      <c r="X24" s="68"/>
    </row>
    <row r="25" spans="1:24" ht="12" customHeight="1">
      <c r="A25" s="721">
        <v>1870</v>
      </c>
      <c r="B25" s="914">
        <f>TableUK1!D25</f>
        <v>88.933139097744359</v>
      </c>
      <c r="C25" s="956">
        <f t="shared" si="3"/>
        <v>7.8297985999894681E-2</v>
      </c>
      <c r="D25" s="62">
        <f>TableUK12c!F40</f>
        <v>-7.2055379706116758E-4</v>
      </c>
      <c r="E25" s="1742">
        <f t="shared" si="8"/>
        <v>0.34087866126495781</v>
      </c>
      <c r="F25" s="1322">
        <f>TableUK12d!F40</f>
        <v>2.5605393859852218E-3</v>
      </c>
      <c r="G25" s="1328">
        <f t="shared" si="5"/>
        <v>8.9827538557128404E-3</v>
      </c>
      <c r="H25" s="954">
        <f t="shared" si="7"/>
        <v>1.2985E-3</v>
      </c>
      <c r="I25" s="62">
        <f>J25+K25</f>
        <v>2.0245842371655821E-2</v>
      </c>
      <c r="J25" s="62">
        <f>TableUK7!C28</f>
        <v>2.0245842371655821E-2</v>
      </c>
      <c r="K25" s="63">
        <v>0</v>
      </c>
      <c r="L25" s="62">
        <f t="shared" si="1"/>
        <v>0.74960231381055675</v>
      </c>
      <c r="M25" s="62">
        <f>AVERAGE(DataUK4!O181:O182)/DataUK1!B28</f>
        <v>0.74960231381055675</v>
      </c>
      <c r="N25" s="62">
        <v>0</v>
      </c>
      <c r="O25" s="62">
        <f>AVERAGE(DataUK4!H181:H182)/DataUK1!B28</f>
        <v>0.79991323210412146</v>
      </c>
      <c r="P25" s="62">
        <f t="shared" si="2"/>
        <v>0.93710453049860798</v>
      </c>
      <c r="Q25" s="1347">
        <f>DataUK1!GW28/DataUK1!B28</f>
        <v>2.2675343456254517E-2</v>
      </c>
      <c r="R25" s="1317"/>
      <c r="S25" s="1432"/>
      <c r="U25" s="720"/>
      <c r="V25" s="1350">
        <f t="shared" si="6"/>
        <v>0</v>
      </c>
      <c r="W25" s="1432">
        <f>D25-(TableUK5b!G25-TableUK5a!G25)</f>
        <v>-1.7347234759768071E-18</v>
      </c>
      <c r="X25" s="68"/>
    </row>
    <row r="26" spans="1:24" ht="12" customHeight="1">
      <c r="A26" s="721">
        <v>1871</v>
      </c>
      <c r="B26" s="914">
        <f>TableUK1!D26</f>
        <v>94.631630729166702</v>
      </c>
      <c r="C26" s="956">
        <f>B26/B25-1</f>
        <v>6.4076132803085439E-2</v>
      </c>
      <c r="D26" s="62">
        <f>TableUK12c!F41</f>
        <v>1.3200013200013096E-3</v>
      </c>
      <c r="E26" s="1742">
        <f t="shared" si="8"/>
        <v>0.3231772105883956</v>
      </c>
      <c r="F26" s="1322">
        <f>TableUK12d!F41</f>
        <v>3.0772530772530749E-3</v>
      </c>
      <c r="G26" s="1329">
        <f t="shared" si="5"/>
        <v>7.5115860185656167E-3</v>
      </c>
      <c r="H26" s="954">
        <f t="shared" si="7"/>
        <v>1.2985E-3</v>
      </c>
      <c r="I26" s="1306">
        <f t="shared" ref="I26:I89" si="9">J26+K26</f>
        <v>1.882849127299429E-2</v>
      </c>
      <c r="J26" s="1252">
        <f>TableUK7!C29</f>
        <v>1.882849127299429E-2</v>
      </c>
      <c r="K26" s="63">
        <v>0</v>
      </c>
      <c r="L26" s="62">
        <f t="shared" si="1"/>
        <v>0.69255898024891249</v>
      </c>
      <c r="M26" s="62">
        <f>AVERAGE(DataUK4!O182:O183)/DataUK1!B29</f>
        <v>0.69255898024891249</v>
      </c>
      <c r="N26" s="62">
        <v>0</v>
      </c>
      <c r="O26" s="62">
        <f>AVERAGE(DataUK4!H182:H183)/DataUK1!B29</f>
        <v>0.73972435088776323</v>
      </c>
      <c r="P26" s="62">
        <f t="shared" si="2"/>
        <v>0.93623926185173401</v>
      </c>
      <c r="Q26" s="1352">
        <f>DataUK1!GW29/DataUK1!B29</f>
        <v>2.0993767769388636E-2</v>
      </c>
      <c r="R26" s="913"/>
      <c r="S26" s="1432"/>
      <c r="U26" s="720"/>
      <c r="V26" s="1350">
        <f t="shared" si="6"/>
        <v>0</v>
      </c>
      <c r="W26" s="1432">
        <f>D26-(TableUK5b!G26-TableUK5a!G26)</f>
        <v>-8.6736173798840355E-18</v>
      </c>
      <c r="X26" s="68"/>
    </row>
    <row r="27" spans="1:24" ht="12" customHeight="1">
      <c r="A27" s="721">
        <v>1872</v>
      </c>
      <c r="B27" s="914">
        <f>TableUK1!D27</f>
        <v>96.711792178571443</v>
      </c>
      <c r="C27" s="915">
        <f t="shared" ref="C27:C90" si="10">B27/B26-1</f>
        <v>2.1981671808637859E-2</v>
      </c>
      <c r="D27" s="62">
        <f>TableUK12c!F42</f>
        <v>3.1564577504700425E-3</v>
      </c>
      <c r="E27" s="1742">
        <f t="shared" si="8"/>
        <v>0.31965162790892765</v>
      </c>
      <c r="F27" s="1322">
        <f>TableUK12d!F42</f>
        <v>3.7951709682352607E-3</v>
      </c>
      <c r="G27" s="1329">
        <f t="shared" si="5"/>
        <v>9.5218752326330352E-3</v>
      </c>
      <c r="H27" s="954">
        <f t="shared" si="7"/>
        <v>1.2985E-3</v>
      </c>
      <c r="I27" s="1306">
        <f t="shared" si="9"/>
        <v>1.7686571218137326E-2</v>
      </c>
      <c r="J27" s="1252">
        <f>TableUK7!C30</f>
        <v>1.7686571218137326E-2</v>
      </c>
      <c r="K27" s="63">
        <v>0</v>
      </c>
      <c r="L27" s="62">
        <f t="shared" si="1"/>
        <v>0.64609044659855641</v>
      </c>
      <c r="M27" s="62">
        <f>AVERAGE(DataUK4!O183:O184)/DataUK1!B30</f>
        <v>0.64609044659855641</v>
      </c>
      <c r="N27" s="62">
        <v>0</v>
      </c>
      <c r="O27" s="62">
        <f>AVERAGE(DataUK4!H183:H184)/DataUK1!B30</f>
        <v>0.69052795678412648</v>
      </c>
      <c r="P27" s="62">
        <f t="shared" si="2"/>
        <v>0.9356470512902606</v>
      </c>
      <c r="Q27" s="1352">
        <f>DataUK1!GW30/DataUK1!B30</f>
        <v>1.9720526908223117E-2</v>
      </c>
      <c r="R27" s="913"/>
      <c r="S27" s="1432"/>
      <c r="U27" s="720"/>
      <c r="V27" s="1350">
        <f t="shared" si="6"/>
        <v>0</v>
      </c>
      <c r="W27" s="1432">
        <f>D27-(TableUK5b!G27-TableUK5a!G27)</f>
        <v>-6.0715321659188248E-18</v>
      </c>
      <c r="X27" s="68"/>
    </row>
    <row r="28" spans="1:24" ht="12" customHeight="1">
      <c r="A28" s="721">
        <v>1873</v>
      </c>
      <c r="B28" s="914">
        <f>TableUK1!D28</f>
        <v>99.273319969093436</v>
      </c>
      <c r="C28" s="915">
        <f t="shared" si="10"/>
        <v>2.6486199178196612E-2</v>
      </c>
      <c r="D28" s="62">
        <f>TableUK12c!F43</f>
        <v>-8.1383619786208356E-4</v>
      </c>
      <c r="E28" s="1742">
        <f t="shared" si="8"/>
        <v>0.31551013038927572</v>
      </c>
      <c r="F28" s="1322">
        <f>TableUK12d!F43</f>
        <v>4.6019134702717755E-3</v>
      </c>
      <c r="G28" s="1329">
        <f t="shared" si="5"/>
        <v>1.187283478911782E-2</v>
      </c>
      <c r="H28" s="954">
        <f t="shared" si="7"/>
        <v>1.2985E-3</v>
      </c>
      <c r="I28" s="1306">
        <f t="shared" si="9"/>
        <v>1.6567508158018524E-2</v>
      </c>
      <c r="J28" s="1252">
        <f>TableUK7!C31</f>
        <v>1.6567508158018524E-2</v>
      </c>
      <c r="K28" s="63">
        <v>0</v>
      </c>
      <c r="L28" s="62">
        <f t="shared" si="1"/>
        <v>0.60355432219661476</v>
      </c>
      <c r="M28" s="62">
        <f>AVERAGE(DataUK4!O184:O185)/DataUK1!B31</f>
        <v>0.60355432219661476</v>
      </c>
      <c r="N28" s="62">
        <v>0</v>
      </c>
      <c r="O28" s="62">
        <f>AVERAGE(DataUK4!H184:H185)/DataUK1!B31</f>
        <v>0.64145249710808228</v>
      </c>
      <c r="P28" s="62">
        <f t="shared" si="2"/>
        <v>0.94091818944921524</v>
      </c>
      <c r="Q28" s="1352">
        <f>DataUK1!GW31/DataUK1!B31</f>
        <v>1.8307096514610471E-2</v>
      </c>
      <c r="R28" s="913"/>
      <c r="S28" s="1432"/>
      <c r="U28" s="720"/>
      <c r="V28" s="1350">
        <f t="shared" si="6"/>
        <v>0</v>
      </c>
      <c r="W28" s="1432">
        <f>D28-(TableUK5b!G28-TableUK5a!G28)</f>
        <v>-1.1275702593849246E-17</v>
      </c>
      <c r="X28" s="68"/>
    </row>
    <row r="29" spans="1:24" ht="12" customHeight="1">
      <c r="A29" s="721">
        <v>1874</v>
      </c>
      <c r="B29" s="914">
        <f>TableUK1!D29</f>
        <v>100.91339107142856</v>
      </c>
      <c r="C29" s="915">
        <f t="shared" si="10"/>
        <v>1.6520764117143649E-2</v>
      </c>
      <c r="D29" s="62">
        <f>TableUK12c!F44</f>
        <v>-6.9774938708336721E-4</v>
      </c>
      <c r="E29" s="1742">
        <f t="shared" si="8"/>
        <v>0.31531840830312996</v>
      </c>
      <c r="F29" s="1322">
        <f>TableUK12d!F44</f>
        <v>8.465248263049386E-3</v>
      </c>
      <c r="G29" s="1329">
        <f t="shared" si="5"/>
        <v>1.4585628247796495E-2</v>
      </c>
      <c r="H29" s="954">
        <f t="shared" si="7"/>
        <v>1.2985E-3</v>
      </c>
      <c r="I29" s="1306">
        <f t="shared" si="9"/>
        <v>1.6950178582238636E-2</v>
      </c>
      <c r="J29" s="1252">
        <f>TableUK7!C32</f>
        <v>1.6950178582238636E-2</v>
      </c>
      <c r="K29" s="63">
        <v>0</v>
      </c>
      <c r="L29" s="62">
        <f t="shared" si="1"/>
        <v>0.62126642048550151</v>
      </c>
      <c r="M29" s="62">
        <f>AVERAGE(DataUK4!O185:O186)/DataUK1!B32</f>
        <v>0.62126642048550151</v>
      </c>
      <c r="N29" s="62">
        <v>0</v>
      </c>
      <c r="O29" s="62">
        <f>AVERAGE(DataUK4!H185:H186)/DataUK1!B32</f>
        <v>0.6519462437193535</v>
      </c>
      <c r="P29" s="62">
        <f t="shared" si="2"/>
        <v>0.95294117647058818</v>
      </c>
      <c r="Q29" s="1352">
        <f>DataUK1!GW32/DataUK1!B32</f>
        <v>1.8560445547551308E-2</v>
      </c>
      <c r="R29" s="913"/>
      <c r="S29" s="1432"/>
      <c r="U29" s="720"/>
      <c r="V29" s="1350">
        <f t="shared" si="6"/>
        <v>0</v>
      </c>
      <c r="W29" s="1432">
        <f>D29-(TableUK5b!G29-TableUK5a!G29)</f>
        <v>-4.3368086899420177E-18</v>
      </c>
      <c r="X29" s="68"/>
    </row>
    <row r="30" spans="1:24" ht="12" customHeight="1">
      <c r="A30" s="721">
        <v>1875</v>
      </c>
      <c r="B30" s="914">
        <f>TableUK1!D30</f>
        <v>101.91382162900875</v>
      </c>
      <c r="C30" s="915">
        <f t="shared" si="10"/>
        <v>9.9137542298233239E-3</v>
      </c>
      <c r="D30" s="62">
        <f>TableUK12c!F45</f>
        <v>-2.7751830208763185E-4</v>
      </c>
      <c r="E30" s="1742">
        <f t="shared" si="8"/>
        <v>0.32102156078810301</v>
      </c>
      <c r="F30" s="1322">
        <f>TableUK12d!F45</f>
        <v>6.657723806834214E-3</v>
      </c>
      <c r="G30" s="1329">
        <f t="shared" si="5"/>
        <v>2.6846666861616773E-2</v>
      </c>
      <c r="H30" s="954">
        <f t="shared" si="7"/>
        <v>1.2985E-3</v>
      </c>
      <c r="I30" s="1306">
        <f t="shared" si="9"/>
        <v>1.7126314521096257E-2</v>
      </c>
      <c r="J30" s="1252">
        <f>TableUK7!C33</f>
        <v>1.7126314521096257E-2</v>
      </c>
      <c r="K30" s="63">
        <v>0</v>
      </c>
      <c r="L30" s="62">
        <f t="shared" si="1"/>
        <v>0.63187537425584639</v>
      </c>
      <c r="M30" s="62">
        <f>AVERAGE(DataUK4!O186:O187)/DataUK1!B33</f>
        <v>0.63187537425584639</v>
      </c>
      <c r="N30" s="62">
        <v>0</v>
      </c>
      <c r="O30" s="62">
        <f>AVERAGE(DataUK4!H186:H187)/DataUK1!B33</f>
        <v>0.65795018811421535</v>
      </c>
      <c r="P30" s="62">
        <f t="shared" si="2"/>
        <v>0.96036962321858543</v>
      </c>
      <c r="Q30" s="1352">
        <f>DataUK1!GW33/DataUK1!B33</f>
        <v>1.8667682827994917E-2</v>
      </c>
      <c r="R30" s="913"/>
      <c r="S30" s="1432"/>
      <c r="U30" s="720"/>
      <c r="V30" s="1350">
        <f t="shared" si="6"/>
        <v>0</v>
      </c>
      <c r="W30" s="1432">
        <f>D30-(TableUK5b!G30-TableUK5a!G30)</f>
        <v>5.2041704279304213E-18</v>
      </c>
      <c r="X30" s="68"/>
    </row>
    <row r="31" spans="1:24" ht="12" customHeight="1">
      <c r="A31" s="721">
        <v>1876</v>
      </c>
      <c r="B31" s="914">
        <f>TableUK1!D31</f>
        <v>100.63848928571429</v>
      </c>
      <c r="C31" s="915">
        <f t="shared" si="10"/>
        <v>-1.25138310281111E-2</v>
      </c>
      <c r="D31" s="62">
        <f>TableUK12c!F46</f>
        <v>0</v>
      </c>
      <c r="E31" s="1742">
        <f t="shared" si="8"/>
        <v>0.33226265486592765</v>
      </c>
      <c r="F31" s="1322">
        <f>TableUK12d!F46</f>
        <v>9.9640188209244238E-3</v>
      </c>
      <c r="G31" s="1329">
        <f t="shared" si="5"/>
        <v>2.0739179606782808E-2</v>
      </c>
      <c r="H31" s="954">
        <f t="shared" si="7"/>
        <v>1.2985E-3</v>
      </c>
      <c r="I31" s="1306">
        <f t="shared" si="9"/>
        <v>1.7343346225220695E-2</v>
      </c>
      <c r="J31" s="1252">
        <f>TableUK7!C34</f>
        <v>1.7343346225220695E-2</v>
      </c>
      <c r="K31" s="63">
        <v>0</v>
      </c>
      <c r="L31" s="62">
        <f t="shared" si="1"/>
        <v>0.6387987998404413</v>
      </c>
      <c r="M31" s="62">
        <f>AVERAGE(DataUK4!O187:O188)/DataUK1!B34</f>
        <v>0.6387987998404413</v>
      </c>
      <c r="N31" s="62">
        <v>0</v>
      </c>
      <c r="O31" s="62">
        <f>AVERAGE(DataUK4!H187:H188)/DataUK1!B34</f>
        <v>0.66689502072529883</v>
      </c>
      <c r="P31" s="62">
        <f t="shared" si="2"/>
        <v>0.9578700994733762</v>
      </c>
      <c r="Q31" s="1352">
        <f>DataUK1!GW34/DataUK1!B34</f>
        <v>1.9077680847742765E-2</v>
      </c>
      <c r="R31" s="913"/>
      <c r="S31" s="1432"/>
      <c r="U31" s="720"/>
      <c r="V31" s="1350">
        <f t="shared" si="6"/>
        <v>0</v>
      </c>
      <c r="W31" s="1432">
        <f>D31-(TableUK5b!G31-TableUK5a!G31)</f>
        <v>0</v>
      </c>
      <c r="X31" s="68"/>
    </row>
    <row r="32" spans="1:24" ht="12" customHeight="1">
      <c r="A32" s="721">
        <v>1877</v>
      </c>
      <c r="B32" s="914">
        <f>TableUK1!D32</f>
        <v>100.91345405007367</v>
      </c>
      <c r="C32" s="915">
        <f t="shared" si="10"/>
        <v>2.732202821315699E-3</v>
      </c>
      <c r="D32" s="62">
        <f>TableUK12c!F47</f>
        <v>-2.1906980279246847E-3</v>
      </c>
      <c r="E32" s="1742">
        <f t="shared" si="8"/>
        <v>0.34173735924555482</v>
      </c>
      <c r="F32" s="1322">
        <f>TableUK12d!F47</f>
        <v>1.344261488869913E-2</v>
      </c>
      <c r="G32" s="1329">
        <f t="shared" si="5"/>
        <v>2.9988380201636071E-2</v>
      </c>
      <c r="H32" s="954">
        <f t="shared" si="7"/>
        <v>1.2985E-3</v>
      </c>
      <c r="I32" s="1306">
        <f t="shared" si="9"/>
        <v>1.7474400003994146E-2</v>
      </c>
      <c r="J32" s="1252">
        <f>TableUK7!C35</f>
        <v>1.7474400003994146E-2</v>
      </c>
      <c r="K32" s="63">
        <v>0</v>
      </c>
      <c r="L32" s="62">
        <f t="shared" si="1"/>
        <v>0.63951935414617578</v>
      </c>
      <c r="M32" s="62">
        <f>AVERAGE(DataUK4!O188:O189)/DataUK1!B35</f>
        <v>0.63951935414617578</v>
      </c>
      <c r="N32" s="62">
        <v>0</v>
      </c>
      <c r="O32" s="62">
        <f>AVERAGE(DataUK4!H188:H189)/DataUK1!B35</f>
        <v>0.67258965615373467</v>
      </c>
      <c r="P32" s="62">
        <f t="shared" si="2"/>
        <v>0.9508313847752663</v>
      </c>
      <c r="Q32" s="1352">
        <f>DataUK1!GW35/DataUK1!B35</f>
        <v>1.9309212004413535E-2</v>
      </c>
      <c r="R32" s="913"/>
      <c r="S32" s="1432"/>
      <c r="U32" s="720"/>
      <c r="V32" s="1350">
        <f t="shared" si="6"/>
        <v>0</v>
      </c>
      <c r="W32" s="1432">
        <f>D32-(TableUK5b!G32-TableUK5a!G32)</f>
        <v>-3.4694469519536142E-18</v>
      </c>
      <c r="X32" s="68"/>
    </row>
    <row r="33" spans="1:24" ht="12" customHeight="1">
      <c r="A33" s="721">
        <v>1878</v>
      </c>
      <c r="B33" s="914">
        <f>TableUK1!D33</f>
        <v>100.1830847368421</v>
      </c>
      <c r="C33" s="915">
        <f t="shared" si="10"/>
        <v>-7.2375811541357526E-3</v>
      </c>
      <c r="D33" s="62">
        <f>TableUK12c!F48</f>
        <v>-1.768681700461113E-3</v>
      </c>
      <c r="E33" s="1742">
        <f t="shared" si="8"/>
        <v>0.35823392241631979</v>
      </c>
      <c r="F33" s="1322">
        <f>TableUK12d!F48</f>
        <v>1.4668327061732399E-2</v>
      </c>
      <c r="G33" s="1329">
        <f t="shared" si="5"/>
        <v>3.9336099858605048E-2</v>
      </c>
      <c r="H33" s="954">
        <f t="shared" si="7"/>
        <v>1.2985E-3</v>
      </c>
      <c r="I33" s="1306">
        <f t="shared" si="9"/>
        <v>1.797235851260761E-2</v>
      </c>
      <c r="J33" s="1252">
        <f>TableUK7!C36</f>
        <v>1.797235851260761E-2</v>
      </c>
      <c r="K33" s="63">
        <v>0</v>
      </c>
      <c r="L33" s="62">
        <f t="shared" si="1"/>
        <v>0.6643931633148219</v>
      </c>
      <c r="M33" s="62">
        <f>AVERAGE(DataUK4!O189:O190)/DataUK1!B36</f>
        <v>0.6643931633148219</v>
      </c>
      <c r="N33" s="62">
        <v>0</v>
      </c>
      <c r="O33" s="62">
        <f>AVERAGE(DataUK4!H189:H190)/DataUK1!B36</f>
        <v>0.69314893693499391</v>
      </c>
      <c r="P33" s="62">
        <f t="shared" si="2"/>
        <v>0.95851429312244785</v>
      </c>
      <c r="Q33" s="1352">
        <f>DataUK1!GW36/DataUK1!B36</f>
        <v>2.0039179741557486E-2</v>
      </c>
      <c r="R33" s="913"/>
      <c r="S33" s="1432"/>
      <c r="U33" s="720"/>
      <c r="V33" s="1350">
        <f t="shared" si="6"/>
        <v>0</v>
      </c>
      <c r="W33" s="1432">
        <f>D33-(TableUK5b!G33-TableUK5a!G33)</f>
        <v>0</v>
      </c>
      <c r="X33" s="68"/>
    </row>
    <row r="34" spans="1:24" ht="12" customHeight="1">
      <c r="A34" s="721">
        <v>1879</v>
      </c>
      <c r="B34" s="914">
        <f>TableUK1!D34</f>
        <v>102.22459538854007</v>
      </c>
      <c r="C34" s="915">
        <f t="shared" si="10"/>
        <v>2.0377797879358006E-2</v>
      </c>
      <c r="D34" s="62">
        <f>TableUK12c!F49</f>
        <v>-7.101654266284672E-3</v>
      </c>
      <c r="E34" s="1742">
        <f t="shared" si="8"/>
        <v>0.36592962315037153</v>
      </c>
      <c r="F34" s="1322">
        <f>TableUK12d!F49</f>
        <v>1.3612155501511848E-2</v>
      </c>
      <c r="G34" s="1329">
        <f t="shared" si="5"/>
        <v>4.0946225758837197E-2</v>
      </c>
      <c r="H34" s="954">
        <f t="shared" si="7"/>
        <v>1.2985E-3</v>
      </c>
      <c r="I34" s="1306">
        <f t="shared" si="9"/>
        <v>1.8387652428713368E-2</v>
      </c>
      <c r="J34" s="1253">
        <f>TableUK7!C37</f>
        <v>1.8387652428713368E-2</v>
      </c>
      <c r="K34" s="63">
        <v>0</v>
      </c>
      <c r="L34" s="62">
        <f t="shared" si="1"/>
        <v>0.71100455028727416</v>
      </c>
      <c r="M34" s="62">
        <f>AVERAGE(DataUK4!O190:O191)/DataUK1!B37</f>
        <v>0.71100455028727416</v>
      </c>
      <c r="N34" s="62">
        <v>0</v>
      </c>
      <c r="O34" s="62">
        <f>AVERAGE(DataUK4!H190:H191)/DataUK1!B37</f>
        <v>0.70902787765118747</v>
      </c>
      <c r="P34" s="62">
        <f t="shared" si="2"/>
        <v>1.0027878630705394</v>
      </c>
      <c r="Q34" s="1352">
        <f>DataUK1!GW37/DataUK1!B37</f>
        <v>2.0594170720158976E-2</v>
      </c>
      <c r="R34" s="913"/>
      <c r="S34" s="1432"/>
      <c r="U34" s="720"/>
      <c r="V34" s="1350">
        <f t="shared" si="6"/>
        <v>0</v>
      </c>
      <c r="W34" s="1432">
        <f>D34-(TableUK5b!G34-TableUK5a!G34)</f>
        <v>0</v>
      </c>
      <c r="X34" s="68"/>
    </row>
    <row r="35" spans="1:24" ht="12" customHeight="1">
      <c r="A35" s="724">
        <v>1880</v>
      </c>
      <c r="B35" s="916">
        <f>TableUK1!D35</f>
        <v>102.9152999620061</v>
      </c>
      <c r="C35" s="917">
        <f t="shared" si="10"/>
        <v>6.7567357037783271E-3</v>
      </c>
      <c r="D35" s="1313">
        <f>TableUK12c!F50</f>
        <v>1.165864351414094E-3</v>
      </c>
      <c r="E35" s="1743">
        <f t="shared" si="8"/>
        <v>0.37748405366843441</v>
      </c>
      <c r="F35" s="1324">
        <f>TableUK12d!F50</f>
        <v>1.0551878277314516E-2</v>
      </c>
      <c r="G35" s="1330">
        <f t="shared" si="5"/>
        <v>3.7198834530863339E-2</v>
      </c>
      <c r="H35" s="1332">
        <f t="shared" si="7"/>
        <v>1.2985E-3</v>
      </c>
      <c r="I35" s="1307">
        <f t="shared" si="9"/>
        <v>1.7681344287347103E-2</v>
      </c>
      <c r="J35" s="1252">
        <f>TableUK7!C38</f>
        <v>1.7681344287347103E-2</v>
      </c>
      <c r="K35" s="1304">
        <v>0</v>
      </c>
      <c r="L35" s="1313">
        <f t="shared" si="1"/>
        <v>0.69850150607164729</v>
      </c>
      <c r="M35" s="1313">
        <f>AVERAGE(DataUK4!O191:O192)/DataUK1!B38</f>
        <v>0.69850150607164729</v>
      </c>
      <c r="N35" s="1313">
        <v>0</v>
      </c>
      <c r="O35" s="1313">
        <f>AVERAGE(DataUK4!H191:H192)/DataUK1!B38</f>
        <v>0.67887521391269212</v>
      </c>
      <c r="P35" s="1313">
        <f t="shared" si="2"/>
        <v>1.0289100143247818</v>
      </c>
      <c r="Q35" s="1578">
        <f>DataUK1!GW38/DataUK1!B38</f>
        <v>1.9714698880392015E-2</v>
      </c>
      <c r="R35" s="913"/>
      <c r="S35" s="1432"/>
      <c r="U35" s="720"/>
      <c r="V35" s="1350">
        <f t="shared" si="6"/>
        <v>0</v>
      </c>
      <c r="W35" s="1432">
        <f>D35-(TableUK5b!G35-TableUK5a!G35)</f>
        <v>0</v>
      </c>
      <c r="X35" s="68"/>
    </row>
    <row r="36" spans="1:24" ht="12" customHeight="1">
      <c r="A36" s="721">
        <v>1881</v>
      </c>
      <c r="B36" s="914">
        <f>TableUK1!D36</f>
        <v>107.82147259984637</v>
      </c>
      <c r="C36" s="915">
        <f t="shared" si="10"/>
        <v>4.7671946150392719E-2</v>
      </c>
      <c r="D36" s="62">
        <f>TableUK12c!F51</f>
        <v>1.0629829747296256E-3</v>
      </c>
      <c r="E36" s="1742">
        <f t="shared" si="8"/>
        <v>0.37086017052479692</v>
      </c>
      <c r="F36" s="1322">
        <f>TableUK12d!F51</f>
        <v>8.7258896383555148E-3</v>
      </c>
      <c r="G36" s="1329">
        <f t="shared" si="5"/>
        <v>2.7953176232929901E-2</v>
      </c>
      <c r="H36" s="954">
        <f t="shared" si="7"/>
        <v>1.2985E-3</v>
      </c>
      <c r="I36" s="1306">
        <f t="shared" si="9"/>
        <v>1.7058265552112088E-2</v>
      </c>
      <c r="J36" s="1252">
        <f>TableUK7!C39</f>
        <v>1.7058265552112088E-2</v>
      </c>
      <c r="K36" s="63">
        <v>0</v>
      </c>
      <c r="L36" s="62">
        <f t="shared" si="1"/>
        <v>0.67734107941049071</v>
      </c>
      <c r="M36" s="62">
        <f>AVERAGE(DataUK4!O192:O193)/DataUK1!B39</f>
        <v>0.67734107941049071</v>
      </c>
      <c r="N36" s="62">
        <v>0</v>
      </c>
      <c r="O36" s="62">
        <f>AVERAGE(DataUK4!H192:H193)/DataUK1!B39</f>
        <v>0.65038901983815356</v>
      </c>
      <c r="P36" s="62">
        <f t="shared" si="2"/>
        <v>1.0414399055799621</v>
      </c>
      <c r="Q36" s="1352">
        <f>DataUK1!GW39/DataUK1!B39</f>
        <v>1.8934674762844415E-2</v>
      </c>
      <c r="R36" s="913"/>
      <c r="S36" s="1432"/>
      <c r="U36" s="720"/>
      <c r="V36" s="1350">
        <f t="shared" si="6"/>
        <v>0</v>
      </c>
      <c r="W36" s="1432">
        <f>D36-(TableUK5b!G36-TableUK5a!G36)</f>
        <v>5.2041704279304213E-18</v>
      </c>
      <c r="X36" s="68"/>
    </row>
    <row r="37" spans="1:24" ht="12" customHeight="1">
      <c r="A37" s="721">
        <v>1882</v>
      </c>
      <c r="B37" s="914">
        <f>TableUK1!D37</f>
        <v>110.46983499240125</v>
      </c>
      <c r="C37" s="915">
        <f t="shared" si="10"/>
        <v>2.4562476552176582E-2</v>
      </c>
      <c r="D37" s="62">
        <f>TableUK12c!F52</f>
        <v>6.6197721863312485E-4</v>
      </c>
      <c r="E37" s="1742">
        <f t="shared" si="8"/>
        <v>0.37096708239921428</v>
      </c>
      <c r="F37" s="1322">
        <f>TableUK12d!F52</f>
        <v>6.2414994899693873E-3</v>
      </c>
      <c r="G37" s="1329">
        <f t="shared" si="5"/>
        <v>2.3528786135237116E-2</v>
      </c>
      <c r="H37" s="954">
        <f t="shared" si="7"/>
        <v>1.2985E-3</v>
      </c>
      <c r="I37" s="1306">
        <f t="shared" si="9"/>
        <v>1.6472196696853927E-2</v>
      </c>
      <c r="J37" s="1252">
        <f>TableUK7!C40</f>
        <v>1.6472196696853927E-2</v>
      </c>
      <c r="K37" s="63">
        <v>0</v>
      </c>
      <c r="L37" s="62">
        <f t="shared" si="1"/>
        <v>0.67465999621139472</v>
      </c>
      <c r="M37" s="62">
        <f>AVERAGE(DataUK4!O193:O194)/DataUK1!B40</f>
        <v>0.67465999621139472</v>
      </c>
      <c r="N37" s="62">
        <v>0</v>
      </c>
      <c r="O37" s="62">
        <f>AVERAGE(DataUK4!H193:H194)/DataUK1!B40</f>
        <v>0.62339028399243679</v>
      </c>
      <c r="P37" s="62">
        <f t="shared" si="2"/>
        <v>1.0822433610780817</v>
      </c>
      <c r="Q37" s="1352">
        <f>DataUK1!GW40/DataUK1!B40</f>
        <v>1.8284138333507855E-2</v>
      </c>
      <c r="R37" s="913"/>
      <c r="S37" s="1432"/>
      <c r="U37" s="720"/>
      <c r="V37" s="1350">
        <f t="shared" si="6"/>
        <v>0</v>
      </c>
      <c r="W37" s="1432">
        <f>D37-(TableUK5b!G37-TableUK5a!G37)</f>
        <v>5.2041704279304213E-18</v>
      </c>
      <c r="X37" s="68"/>
    </row>
    <row r="38" spans="1:24" ht="12" customHeight="1">
      <c r="A38" s="721">
        <v>1883</v>
      </c>
      <c r="B38" s="914">
        <f>TableUK1!D38</f>
        <v>110.33920510752687</v>
      </c>
      <c r="C38" s="915">
        <f t="shared" si="10"/>
        <v>-1.1824937086524212E-3</v>
      </c>
      <c r="D38" s="62">
        <f>TableUK12c!F53</f>
        <v>6.9839441284469048E-4</v>
      </c>
      <c r="E38" s="1742">
        <f t="shared" si="8"/>
        <v>0.378145541957086</v>
      </c>
      <c r="F38" s="1322">
        <f>TableUK12d!F53</f>
        <v>6.8471452228382043E-3</v>
      </c>
      <c r="G38" s="1329">
        <f t="shared" si="5"/>
        <v>1.6824941581346644E-2</v>
      </c>
      <c r="H38" s="954">
        <f t="shared" si="7"/>
        <v>1.2985E-3</v>
      </c>
      <c r="I38" s="1306">
        <f t="shared" si="9"/>
        <v>1.6669028112315912E-2</v>
      </c>
      <c r="J38" s="1252">
        <f>TableUK7!C41</f>
        <v>1.6669028112315912E-2</v>
      </c>
      <c r="K38" s="63">
        <v>0</v>
      </c>
      <c r="L38" s="62">
        <f t="shared" si="1"/>
        <v>0.67380378887008996</v>
      </c>
      <c r="M38" s="62">
        <f>AVERAGE(DataUK4!O194:O195)/DataUK1!B41</f>
        <v>0.67380378887008996</v>
      </c>
      <c r="N38" s="62">
        <v>0</v>
      </c>
      <c r="O38" s="62">
        <f>AVERAGE(DataUK4!H194:H195)/DataUK1!B41</f>
        <v>0.62488019136044282</v>
      </c>
      <c r="P38" s="62">
        <f t="shared" si="2"/>
        <v>1.0782927642547515</v>
      </c>
      <c r="Q38" s="1352">
        <f>DataUK1!GW41/DataUK1!B41</f>
        <v>1.8335930923547503E-2</v>
      </c>
      <c r="R38" s="913"/>
      <c r="S38" s="1432"/>
      <c r="U38" s="720"/>
      <c r="V38" s="1350">
        <f t="shared" si="6"/>
        <v>0</v>
      </c>
      <c r="W38" s="1432">
        <f>D38-(TableUK5b!G38-TableUK5a!G38)</f>
        <v>-3.4694469519536142E-18</v>
      </c>
      <c r="X38" s="68"/>
    </row>
    <row r="39" spans="1:24" ht="12" customHeight="1">
      <c r="A39" s="721">
        <v>1884</v>
      </c>
      <c r="B39" s="914">
        <f>TableUK1!D39</f>
        <v>110.04717912087912</v>
      </c>
      <c r="C39" s="915">
        <f t="shared" si="10"/>
        <v>-2.6466203591294368E-3</v>
      </c>
      <c r="D39" s="62">
        <f>TableUK12c!F54</f>
        <v>1.4293797087638806E-3</v>
      </c>
      <c r="E39" s="1742">
        <f t="shared" si="8"/>
        <v>0.38651556013480043</v>
      </c>
      <c r="F39" s="1322">
        <f>TableUK12d!F54</f>
        <v>8.2582838084460965E-3</v>
      </c>
      <c r="G39" s="1329">
        <f t="shared" si="5"/>
        <v>1.8107168968331394E-2</v>
      </c>
      <c r="H39" s="954">
        <f t="shared" si="7"/>
        <v>1.2985E-3</v>
      </c>
      <c r="I39" s="1306">
        <f t="shared" si="9"/>
        <v>1.7080586205718583E-2</v>
      </c>
      <c r="J39" s="1252">
        <f>TableUK7!C42</f>
        <v>1.7080586205718583E-2</v>
      </c>
      <c r="K39" s="63">
        <v>0</v>
      </c>
      <c r="L39" s="62">
        <f t="shared" si="1"/>
        <v>0.6726761862467121</v>
      </c>
      <c r="M39" s="62">
        <f>AVERAGE(DataUK4!O195:O196)/DataUK1!B42</f>
        <v>0.6726761862467121</v>
      </c>
      <c r="N39" s="62">
        <v>0</v>
      </c>
      <c r="O39" s="62">
        <f>AVERAGE(DataUK4!H195:H196)/DataUK1!B42</f>
        <v>0.63433027021487387</v>
      </c>
      <c r="P39" s="62">
        <f t="shared" si="2"/>
        <v>1.0604510265903737</v>
      </c>
      <c r="Q39" s="1352">
        <f>DataUK1!GW42/DataUK1!B42</f>
        <v>1.699518327468999E-2</v>
      </c>
      <c r="R39" s="913"/>
      <c r="S39" s="1432"/>
      <c r="U39" s="720"/>
      <c r="V39" s="1350">
        <f t="shared" si="6"/>
        <v>0</v>
      </c>
      <c r="W39" s="1432">
        <f>D39-(TableUK5b!G39-TableUK5a!G39)</f>
        <v>5.2041704279304213E-18</v>
      </c>
      <c r="X39" s="68"/>
    </row>
    <row r="40" spans="1:24" ht="12" customHeight="1">
      <c r="A40" s="721">
        <v>1885</v>
      </c>
      <c r="B40" s="914">
        <f>TableUK1!D40</f>
        <v>112.1667316964286</v>
      </c>
      <c r="C40" s="915">
        <f t="shared" si="10"/>
        <v>1.9260398971438386E-2</v>
      </c>
      <c r="D40" s="62">
        <f>TableUK12c!F55</f>
        <v>-4.1926724043536449E-3</v>
      </c>
      <c r="E40" s="1742">
        <f t="shared" si="8"/>
        <v>0.38781694862127525</v>
      </c>
      <c r="F40" s="1322">
        <f>TableUK12d!F55</f>
        <v>8.6349998905021416E-3</v>
      </c>
      <c r="G40" s="1329">
        <f t="shared" si="5"/>
        <v>2.1365980209350311E-2</v>
      </c>
      <c r="H40" s="954">
        <f t="shared" si="7"/>
        <v>1.2985E-3</v>
      </c>
      <c r="I40" s="1306">
        <f t="shared" si="9"/>
        <v>1.7329113281651317E-2</v>
      </c>
      <c r="J40" s="1252">
        <f>TableUK7!C43</f>
        <v>1.7329113281651317E-2</v>
      </c>
      <c r="K40" s="63">
        <v>0</v>
      </c>
      <c r="L40" s="62">
        <f t="shared" si="1"/>
        <v>0.69680364505519943</v>
      </c>
      <c r="M40" s="62">
        <f>AVERAGE(DataUK4!O196:O197)/DataUK1!B43</f>
        <v>0.69680364505519943</v>
      </c>
      <c r="N40" s="62">
        <v>0</v>
      </c>
      <c r="O40" s="62">
        <f>AVERAGE(DataUK4!H196:H197)/DataUK1!B43</f>
        <v>0.64200032430197718</v>
      </c>
      <c r="P40" s="62">
        <f t="shared" si="2"/>
        <v>1.0853633848437816</v>
      </c>
      <c r="Q40" s="1352">
        <f>DataUK1!GW43/DataUK1!B43</f>
        <v>1.7242467715243057E-2</v>
      </c>
      <c r="R40" s="913"/>
      <c r="S40" s="1432"/>
      <c r="U40" s="720"/>
      <c r="V40" s="1350">
        <f t="shared" si="6"/>
        <v>0</v>
      </c>
      <c r="W40" s="1432">
        <f>D40-(TableUK5b!G40-TableUK5a!G40)</f>
        <v>0</v>
      </c>
      <c r="X40" s="68"/>
    </row>
    <row r="41" spans="1:24" ht="12" customHeight="1">
      <c r="A41" s="721">
        <v>1886</v>
      </c>
      <c r="B41" s="914">
        <f>TableUK1!D41</f>
        <v>115.75190835385879</v>
      </c>
      <c r="C41" s="915">
        <f t="shared" si="10"/>
        <v>3.1962923437345303E-2</v>
      </c>
      <c r="D41" s="62">
        <f>TableUK12c!F56</f>
        <v>1.9791598041153354E-3</v>
      </c>
      <c r="E41" s="1742">
        <f t="shared" si="8"/>
        <v>0.38467151517873444</v>
      </c>
      <c r="F41" s="1322">
        <f>TableUK12d!F56</f>
        <v>6.5721281595186257E-3</v>
      </c>
      <c r="G41" s="1329">
        <f t="shared" si="5"/>
        <v>2.2265658891908558E-2</v>
      </c>
      <c r="H41" s="954">
        <f t="shared" si="7"/>
        <v>1.2985E-3</v>
      </c>
      <c r="I41" s="1306">
        <f t="shared" si="9"/>
        <v>1.6985395592896465E-2</v>
      </c>
      <c r="J41" s="1252">
        <f>TableUK7!C44</f>
        <v>1.6985395592896465E-2</v>
      </c>
      <c r="K41" s="63">
        <v>0</v>
      </c>
      <c r="L41" s="62">
        <f t="shared" si="1"/>
        <v>0.70536101548400787</v>
      </c>
      <c r="M41" s="62">
        <f>AVERAGE(DataUK4!O197:O198)/DataUK1!B44</f>
        <v>0.70536101548400787</v>
      </c>
      <c r="N41" s="62">
        <v>0</v>
      </c>
      <c r="O41" s="62">
        <f>AVERAGE(DataUK4!H197:H198)/DataUK1!B44</f>
        <v>0.62769529413548886</v>
      </c>
      <c r="P41" s="62">
        <f t="shared" si="2"/>
        <v>1.1237315654173994</v>
      </c>
      <c r="Q41" s="1352">
        <f>DataUK1!GW44/DataUK1!B44</f>
        <v>1.6815541636967499E-2</v>
      </c>
      <c r="R41" s="913"/>
      <c r="S41" s="1432"/>
      <c r="U41" s="720"/>
      <c r="V41" s="1350">
        <f t="shared" si="6"/>
        <v>0</v>
      </c>
      <c r="W41" s="1432">
        <f>D41-(TableUK5b!G41-TableUK5a!G41)</f>
        <v>0</v>
      </c>
      <c r="X41" s="68"/>
    </row>
    <row r="42" spans="1:24" ht="12" customHeight="1">
      <c r="A42" s="721">
        <v>1887</v>
      </c>
      <c r="B42" s="914">
        <f>TableUK1!D42</f>
        <v>121.65313253737541</v>
      </c>
      <c r="C42" s="915">
        <f t="shared" si="10"/>
        <v>5.0981657818342851E-2</v>
      </c>
      <c r="D42" s="62">
        <f>TableUK12c!F57</f>
        <v>2.1576542746276047E-3</v>
      </c>
      <c r="E42" s="1742">
        <f t="shared" si="8"/>
        <v>0.37274834464983614</v>
      </c>
      <c r="F42" s="1322">
        <f>TableUK12d!F57</f>
        <v>6.9788667751491474E-3</v>
      </c>
      <c r="G42" s="1329">
        <f t="shared" si="5"/>
        <v>1.7085039833180632E-2</v>
      </c>
      <c r="H42" s="954">
        <f t="shared" si="7"/>
        <v>1.2985E-3</v>
      </c>
      <c r="I42" s="1306">
        <f t="shared" si="9"/>
        <v>1.634938161383578E-2</v>
      </c>
      <c r="J42" s="1252">
        <f>TableUK7!C45</f>
        <v>1.634938161383578E-2</v>
      </c>
      <c r="K42" s="63">
        <v>0</v>
      </c>
      <c r="L42" s="62">
        <f t="shared" ref="L42:L73" si="11">M42+N42</f>
        <v>0.67359452249003415</v>
      </c>
      <c r="M42" s="62">
        <f>AVERAGE(DataUK4!O198:O199)/DataUK1!B45</f>
        <v>0.67359452249003415</v>
      </c>
      <c r="N42" s="62">
        <v>0</v>
      </c>
      <c r="O42" s="62">
        <f>AVERAGE(DataUK4!H198:H199)/DataUK1!B45</f>
        <v>0.5889047257303649</v>
      </c>
      <c r="P42" s="62">
        <f t="shared" ref="P42:P73" si="12">M42/O42</f>
        <v>1.1438089950027761</v>
      </c>
      <c r="Q42" s="1352">
        <f>DataUK1!GW45/DataUK1!B45</f>
        <v>1.5450165625074813E-2</v>
      </c>
      <c r="R42" s="913"/>
      <c r="S42" s="1431"/>
      <c r="U42" s="720"/>
      <c r="V42" s="1350">
        <f t="shared" si="6"/>
        <v>0</v>
      </c>
      <c r="W42" s="1432">
        <f>D42-(TableUK5b!G42-TableUK5a!G42)</f>
        <v>0</v>
      </c>
      <c r="X42" s="68"/>
    </row>
    <row r="43" spans="1:24" ht="12" customHeight="1">
      <c r="A43" s="721">
        <v>1888</v>
      </c>
      <c r="B43" s="914">
        <f>TableUK1!D43</f>
        <v>127.97917465106734</v>
      </c>
      <c r="C43" s="915">
        <f t="shared" si="10"/>
        <v>5.2000651210098336E-2</v>
      </c>
      <c r="D43" s="62">
        <f>TableUK12c!F58</f>
        <v>1.7707969869255654E-3</v>
      </c>
      <c r="E43" s="1742">
        <f t="shared" si="8"/>
        <v>0.36142590479545789</v>
      </c>
      <c r="F43" s="1322">
        <f>TableUK12d!F58</f>
        <v>4.82902649781408E-3</v>
      </c>
      <c r="G43" s="1329">
        <f t="shared" ref="G43:G74" si="13">F42/E42</f>
        <v>1.8722730430111422E-2</v>
      </c>
      <c r="H43" s="954">
        <f t="shared" si="7"/>
        <v>1.2985E-3</v>
      </c>
      <c r="I43" s="1306">
        <f t="shared" si="9"/>
        <v>1.5362592854528864E-2</v>
      </c>
      <c r="J43" s="1252">
        <f>TableUK7!C46</f>
        <v>1.5362592854528864E-2</v>
      </c>
      <c r="K43" s="63">
        <v>0</v>
      </c>
      <c r="L43" s="62">
        <f t="shared" si="11"/>
        <v>0.56031216788680405</v>
      </c>
      <c r="M43" s="62">
        <f>AVERAGE(DataUK4!O199:O200)/DataUK1!B46</f>
        <v>0.56031216788680405</v>
      </c>
      <c r="N43" s="62">
        <v>0</v>
      </c>
      <c r="O43" s="62">
        <f>AVERAGE(DataUK4!H199:H200)/DataUK1!B46</f>
        <v>0.53853569251550937</v>
      </c>
      <c r="P43" s="62">
        <f t="shared" si="12"/>
        <v>1.0404364569961488</v>
      </c>
      <c r="Q43" s="1352">
        <f>DataUK1!GW46/DataUK1!B46</f>
        <v>1.4748089140347712E-2</v>
      </c>
      <c r="R43" s="913"/>
      <c r="S43" s="1431"/>
      <c r="U43" s="720"/>
      <c r="V43" s="1350">
        <f t="shared" ref="V43:V74" si="14">(B43*E43)/(B42*E42)-(1+G43)*(1+H43)</f>
        <v>0</v>
      </c>
      <c r="W43" s="1432">
        <f>D43-(TableUK5b!G43-TableUK5a!G43)</f>
        <v>5.2041704279304213E-18</v>
      </c>
      <c r="X43" s="68"/>
    </row>
    <row r="44" spans="1:24" ht="12" customHeight="1">
      <c r="A44" s="721">
        <v>1889</v>
      </c>
      <c r="B44" s="914">
        <f>TableUK1!D44</f>
        <v>135.04591875000003</v>
      </c>
      <c r="C44" s="915">
        <f t="shared" si="10"/>
        <v>5.521792212053267E-2</v>
      </c>
      <c r="D44" s="62">
        <f>TableUK12c!F59</f>
        <v>4.5879850403881669E-3</v>
      </c>
      <c r="E44" s="1742">
        <f t="shared" si="8"/>
        <v>0.34754007265587972</v>
      </c>
      <c r="F44" s="1322">
        <f>TableUK12d!F59</f>
        <v>6.6237792682660368E-3</v>
      </c>
      <c r="G44" s="1329">
        <f t="shared" si="13"/>
        <v>1.3361041457576141E-2</v>
      </c>
      <c r="H44" s="954">
        <f t="shared" si="7"/>
        <v>1.2985E-3</v>
      </c>
      <c r="I44" s="1306">
        <f t="shared" si="9"/>
        <v>1.4393252443254602E-2</v>
      </c>
      <c r="J44" s="1253">
        <f>TableUK7!C47</f>
        <v>1.4393252443254602E-2</v>
      </c>
      <c r="K44" s="63">
        <v>0</v>
      </c>
      <c r="L44" s="62">
        <f t="shared" si="11"/>
        <v>0.46680915986585497</v>
      </c>
      <c r="M44" s="62">
        <f>AVERAGE(DataUK4!O200:O201)/DataUK1!B47</f>
        <v>0.46680915986585497</v>
      </c>
      <c r="N44" s="62">
        <v>0</v>
      </c>
      <c r="O44" s="62">
        <f>AVERAGE(DataUK4!H200:H201)/DataUK1!B47</f>
        <v>0.49897807907652897</v>
      </c>
      <c r="P44" s="62">
        <f t="shared" si="12"/>
        <v>0.93553039590394471</v>
      </c>
      <c r="Q44" s="1352">
        <f>DataUK1!GW47/DataUK1!B47</f>
        <v>1.2881960936712868E-2</v>
      </c>
      <c r="R44" s="913"/>
      <c r="S44" s="1431"/>
      <c r="U44" s="720"/>
      <c r="V44" s="1350">
        <f t="shared" si="14"/>
        <v>0</v>
      </c>
      <c r="W44" s="1432">
        <f>D44-(TableUK5b!G44-TableUK5a!G44)</f>
        <v>0</v>
      </c>
      <c r="X44" s="68"/>
    </row>
    <row r="45" spans="1:24" ht="12" customHeight="1">
      <c r="A45" s="724">
        <v>1890</v>
      </c>
      <c r="B45" s="916">
        <f>TableUK1!D45</f>
        <v>138.10343750000004</v>
      </c>
      <c r="C45" s="917">
        <f t="shared" si="10"/>
        <v>2.264058609323949E-2</v>
      </c>
      <c r="D45" s="1313">
        <f>TableUK12c!F60</f>
        <v>3.1692515171948686E-3</v>
      </c>
      <c r="E45" s="1743">
        <f t="shared" si="8"/>
        <v>0.34677259880778527</v>
      </c>
      <c r="F45" s="1324">
        <f>TableUK12d!F60</f>
        <v>5.7316250842886045E-3</v>
      </c>
      <c r="G45" s="1330">
        <f t="shared" si="13"/>
        <v>1.9059037473427239E-2</v>
      </c>
      <c r="H45" s="1332">
        <f t="shared" si="7"/>
        <v>1.2985E-3</v>
      </c>
      <c r="I45" s="1307">
        <f t="shared" si="9"/>
        <v>1.4074595355383532E-2</v>
      </c>
      <c r="J45" s="1252">
        <f>TableUK7!C48</f>
        <v>1.4074595355383532E-2</v>
      </c>
      <c r="K45" s="1304">
        <v>0</v>
      </c>
      <c r="L45" s="1313">
        <f t="shared" si="11"/>
        <v>0.45355383532723437</v>
      </c>
      <c r="M45" s="1313">
        <f>AVERAGE(DataUK4!O201:O202)/DataUK1!B48</f>
        <v>0.45355383532723437</v>
      </c>
      <c r="N45" s="1313">
        <v>0</v>
      </c>
      <c r="O45" s="1313">
        <f>AVERAGE(DataUK4!H201:H202)/DataUK1!B48</f>
        <v>0.4829697396199859</v>
      </c>
      <c r="P45" s="1313">
        <f t="shared" si="12"/>
        <v>0.93909369080577021</v>
      </c>
      <c r="Q45" s="1578">
        <f>DataUK1!GW48/DataUK1!B48</f>
        <v>1.2174524982406754E-2</v>
      </c>
      <c r="R45" s="913"/>
      <c r="S45" s="1431"/>
      <c r="U45" s="720"/>
      <c r="V45" s="1350">
        <f t="shared" si="14"/>
        <v>0</v>
      </c>
      <c r="W45" s="1432">
        <f>D45-(TableUK5b!G45-TableUK5a!G45)</f>
        <v>0</v>
      </c>
      <c r="X45" s="68"/>
    </row>
    <row r="46" spans="1:24" ht="12" customHeight="1">
      <c r="A46" s="721">
        <v>1891</v>
      </c>
      <c r="B46" s="914">
        <f>TableUK1!D46</f>
        <v>133.86103932584271</v>
      </c>
      <c r="C46" s="915">
        <f t="shared" si="10"/>
        <v>-3.0718990424531079E-2</v>
      </c>
      <c r="D46" s="62">
        <f>TableUK12c!F61</f>
        <v>2.7486910994764325E-3</v>
      </c>
      <c r="E46" s="1742">
        <f t="shared" si="8"/>
        <v>0.36414821619314508</v>
      </c>
      <c r="F46" s="1322">
        <f>TableUK12d!F61</f>
        <v>9.0820807296064839E-3</v>
      </c>
      <c r="G46" s="1329">
        <f t="shared" si="13"/>
        <v>1.652848323078036E-2</v>
      </c>
      <c r="H46" s="954">
        <f t="shared" si="7"/>
        <v>1.2985E-3</v>
      </c>
      <c r="I46" s="1306">
        <f t="shared" si="9"/>
        <v>1.4357501794687724E-2</v>
      </c>
      <c r="J46" s="1252">
        <f>TableUK7!C49</f>
        <v>1.4357501794687724E-2</v>
      </c>
      <c r="K46" s="63">
        <v>0</v>
      </c>
      <c r="L46" s="62">
        <f t="shared" si="11"/>
        <v>0.46561378320172281</v>
      </c>
      <c r="M46" s="62">
        <f>AVERAGE(DataUK4!O202:O203)/DataUK1!B49</f>
        <v>0.46561378320172281</v>
      </c>
      <c r="N46" s="62">
        <v>0</v>
      </c>
      <c r="O46" s="62">
        <f>AVERAGE(DataUK4!H202:H203)/DataUK1!B49</f>
        <v>0.48837042354630289</v>
      </c>
      <c r="P46" s="62">
        <f t="shared" si="12"/>
        <v>0.95340291048067016</v>
      </c>
      <c r="Q46" s="1352">
        <f>DataUK1!GW49/DataUK1!B49</f>
        <v>1.2275664034458005E-2</v>
      </c>
      <c r="R46" s="913"/>
      <c r="S46" s="1431"/>
      <c r="U46" s="720"/>
      <c r="V46" s="1350">
        <f t="shared" si="14"/>
        <v>0</v>
      </c>
      <c r="W46" s="1432">
        <f>D46-(TableUK5b!G46-TableUK5a!G46)</f>
        <v>-6.0715321659188248E-18</v>
      </c>
      <c r="X46" s="68"/>
    </row>
    <row r="47" spans="1:24" ht="12" customHeight="1">
      <c r="A47" s="721">
        <v>1892</v>
      </c>
      <c r="B47" s="914">
        <f>TableUK1!D47</f>
        <v>131.17036516853935</v>
      </c>
      <c r="C47" s="915">
        <f t="shared" si="10"/>
        <v>-2.010050251256279E-2</v>
      </c>
      <c r="D47" s="62">
        <f>TableUK12c!F62</f>
        <v>2.197070572569914E-3</v>
      </c>
      <c r="E47" s="1742">
        <f t="shared" si="8"/>
        <v>0.38138088387793767</v>
      </c>
      <c r="F47" s="1322">
        <f>TableUK12d!F62</f>
        <v>9.2242601262832284E-3</v>
      </c>
      <c r="G47" s="1329">
        <f t="shared" si="13"/>
        <v>2.4940615732109823E-2</v>
      </c>
      <c r="H47" s="954">
        <f t="shared" si="7"/>
        <v>1.2985E-3</v>
      </c>
      <c r="I47" s="1306">
        <f t="shared" si="9"/>
        <v>1.4652014652014652E-2</v>
      </c>
      <c r="J47" s="1252">
        <f>TableUK7!C50</f>
        <v>1.4652014652014652E-2</v>
      </c>
      <c r="K47" s="63">
        <v>0</v>
      </c>
      <c r="L47" s="62">
        <f t="shared" si="11"/>
        <v>0.47974358974358966</v>
      </c>
      <c r="M47" s="62">
        <f>AVERAGE(DataUK4!O203:O204)/DataUK1!B50</f>
        <v>0.47974358974358966</v>
      </c>
      <c r="N47" s="62">
        <v>0</v>
      </c>
      <c r="O47" s="62">
        <f>AVERAGE(DataUK4!H203:H204)/DataUK1!B50</f>
        <v>0.49384615384615388</v>
      </c>
      <c r="P47" s="62">
        <f t="shared" si="12"/>
        <v>0.97144340602284507</v>
      </c>
      <c r="Q47" s="1352">
        <f>DataUK1!GW50/DataUK1!B50</f>
        <v>1.2527472527472529E-2</v>
      </c>
      <c r="R47" s="913"/>
      <c r="S47" s="1431"/>
      <c r="U47" s="720"/>
      <c r="V47" s="1350">
        <f t="shared" si="14"/>
        <v>0</v>
      </c>
      <c r="W47" s="1432">
        <f>D47-(TableUK5b!G47-TableUK5a!G47)</f>
        <v>-3.4694469519536142E-18</v>
      </c>
      <c r="X47" s="68"/>
    </row>
    <row r="48" spans="1:24" ht="12" customHeight="1">
      <c r="A48" s="721">
        <v>1893</v>
      </c>
      <c r="B48" s="914">
        <f>TableUK1!D48</f>
        <v>133.34125000000003</v>
      </c>
      <c r="C48" s="915">
        <f t="shared" si="10"/>
        <v>1.6550116550116512E-2</v>
      </c>
      <c r="D48" s="62">
        <f>TableUK12c!F63</f>
        <v>2.0188425302827134E-4</v>
      </c>
      <c r="E48" s="1742">
        <f t="shared" si="8"/>
        <v>0.38474477393306988</v>
      </c>
      <c r="F48" s="1322">
        <f>TableUK12d!F63</f>
        <v>1.22563278773933E-2</v>
      </c>
      <c r="G48" s="1329">
        <f t="shared" si="13"/>
        <v>2.4186477393647991E-2</v>
      </c>
      <c r="H48" s="954">
        <f t="shared" si="7"/>
        <v>1.2985E-3</v>
      </c>
      <c r="I48" s="1306">
        <f t="shared" si="9"/>
        <v>1.4577259475218658E-2</v>
      </c>
      <c r="J48" s="1252">
        <f>TableUK7!C51</f>
        <v>1.4577259475218658E-2</v>
      </c>
      <c r="K48" s="63">
        <v>0</v>
      </c>
      <c r="L48" s="62">
        <f t="shared" si="11"/>
        <v>0.504701166180758</v>
      </c>
      <c r="M48" s="62">
        <f>AVERAGE(DataUK4!O204:O205)/DataUK1!B51</f>
        <v>0.504701166180758</v>
      </c>
      <c r="N48" s="62">
        <v>0</v>
      </c>
      <c r="O48" s="62">
        <f>AVERAGE(DataUK4!H204:H205)/DataUK1!B51</f>
        <v>0.48775510204081635</v>
      </c>
      <c r="P48" s="62">
        <f t="shared" si="12"/>
        <v>1.0347429766885834</v>
      </c>
      <c r="Q48" s="1352">
        <f>DataUK1!GW51/DataUK1!B51</f>
        <v>1.239067055393586E-2</v>
      </c>
      <c r="R48" s="913"/>
      <c r="S48" s="1431"/>
      <c r="U48" s="720"/>
      <c r="V48" s="1350">
        <f t="shared" si="14"/>
        <v>0</v>
      </c>
      <c r="W48" s="1432">
        <f>D48-(TableUK5b!G48-TableUK5a!G48)</f>
        <v>6.9388939039072284E-18</v>
      </c>
      <c r="X48" s="68"/>
    </row>
    <row r="49" spans="1:24" ht="12" customHeight="1">
      <c r="A49" s="721">
        <v>1894</v>
      </c>
      <c r="B49" s="914">
        <f>TableUK1!D49</f>
        <v>143.91793103448276</v>
      </c>
      <c r="C49" s="915">
        <f t="shared" si="10"/>
        <v>7.9320398109982593E-2</v>
      </c>
      <c r="D49" s="62">
        <f>TableUK12c!F64</f>
        <v>8.4306095979247604E-4</v>
      </c>
      <c r="E49" s="1742">
        <f t="shared" si="8"/>
        <v>0.36830269161711626</v>
      </c>
      <c r="F49" s="1322">
        <f>TableUK12d!F64</f>
        <v>1.0921091167733561E-2</v>
      </c>
      <c r="G49" s="1329">
        <f t="shared" si="13"/>
        <v>3.185573582222434E-2</v>
      </c>
      <c r="H49" s="954">
        <f t="shared" si="7"/>
        <v>1.2985E-3</v>
      </c>
      <c r="I49" s="1306">
        <f t="shared" si="9"/>
        <v>1.3661202185792349E-2</v>
      </c>
      <c r="J49" s="1252">
        <f>TableUK7!C52</f>
        <v>1.3661202185792349E-2</v>
      </c>
      <c r="K49" s="63">
        <v>0</v>
      </c>
      <c r="L49" s="62">
        <f t="shared" si="11"/>
        <v>0.52062841530054649</v>
      </c>
      <c r="M49" s="62">
        <f>AVERAGE(DataUK4!O205:O206)/DataUK1!B52</f>
        <v>0.52062841530054649</v>
      </c>
      <c r="N49" s="62">
        <v>0</v>
      </c>
      <c r="O49" s="62">
        <f>AVERAGE(DataUK4!H205:H206)/DataUK1!B52</f>
        <v>0.45297131147540981</v>
      </c>
      <c r="P49" s="62">
        <f t="shared" si="12"/>
        <v>1.149362889240745</v>
      </c>
      <c r="Q49" s="1352">
        <f>DataUK1!GW52/DataUK1!B52</f>
        <v>1.1543715846994535E-2</v>
      </c>
      <c r="R49" s="913"/>
      <c r="S49" s="1431"/>
      <c r="U49" s="720"/>
      <c r="V49" s="1350">
        <f t="shared" si="14"/>
        <v>0</v>
      </c>
      <c r="W49" s="1432">
        <f>D49-(TableUK5b!G49-TableUK5a!G49)</f>
        <v>1.7347234759768071E-18</v>
      </c>
      <c r="X49" s="68"/>
    </row>
    <row r="50" spans="1:24" ht="12" customHeight="1">
      <c r="A50" s="721">
        <v>1895</v>
      </c>
      <c r="B50" s="914">
        <f>TableUK1!D50</f>
        <v>149.37040697674416</v>
      </c>
      <c r="C50" s="915">
        <f t="shared" si="10"/>
        <v>3.7886008387342462E-2</v>
      </c>
      <c r="D50" s="62">
        <f>TableUK12c!F65</f>
        <v>2.9879211697393633E-3</v>
      </c>
      <c r="E50" s="1742">
        <f t="shared" si="8"/>
        <v>0.36585540396367372</v>
      </c>
      <c r="F50" s="1322">
        <f>TableUK12d!F65</f>
        <v>1.0688431802801305E-2</v>
      </c>
      <c r="G50" s="1329">
        <f t="shared" si="13"/>
        <v>2.9652488065677825E-2</v>
      </c>
      <c r="H50" s="954">
        <f t="shared" si="7"/>
        <v>1.2985E-3</v>
      </c>
      <c r="I50" s="1306">
        <f t="shared" si="9"/>
        <v>1.3315579227696406E-2</v>
      </c>
      <c r="J50" s="1252">
        <f>TableUK7!C53</f>
        <v>1.3315579227696406E-2</v>
      </c>
      <c r="K50" s="63">
        <v>0</v>
      </c>
      <c r="L50" s="62">
        <f t="shared" si="11"/>
        <v>0.54054593874833567</v>
      </c>
      <c r="M50" s="62">
        <f>AVERAGE(DataUK4!O206:O207)/DataUK1!B53</f>
        <v>0.54054593874833567</v>
      </c>
      <c r="N50" s="62">
        <v>0</v>
      </c>
      <c r="O50" s="62">
        <f>AVERAGE(DataUK4!H206:H207)/DataUK1!B53</f>
        <v>0.43651797603195747</v>
      </c>
      <c r="P50" s="62">
        <f t="shared" si="12"/>
        <v>1.238313124380386</v>
      </c>
      <c r="Q50" s="1352">
        <f>DataUK1!GW53/DataUK1!B53</f>
        <v>1.0918774966711052E-2</v>
      </c>
      <c r="R50" s="913"/>
      <c r="S50" s="1431"/>
      <c r="U50" s="720"/>
      <c r="V50" s="1350">
        <f t="shared" si="14"/>
        <v>0</v>
      </c>
      <c r="W50" s="1432">
        <f>D50-(TableUK5b!G50-TableUK5a!G50)</f>
        <v>0</v>
      </c>
      <c r="X50" s="68"/>
    </row>
    <row r="51" spans="1:24" ht="12" customHeight="1">
      <c r="A51" s="721">
        <v>1896</v>
      </c>
      <c r="B51" s="914">
        <f>TableUK1!D51</f>
        <v>155.1524117647059</v>
      </c>
      <c r="C51" s="915">
        <f t="shared" si="10"/>
        <v>3.8709172084280041E-2</v>
      </c>
      <c r="D51" s="62">
        <f>TableUK12c!F66</f>
        <v>2.3156611822059696E-3</v>
      </c>
      <c r="E51" s="1742">
        <f t="shared" si="8"/>
        <v>0.36298204354993957</v>
      </c>
      <c r="F51" s="1322">
        <f>TableUK12d!F66</f>
        <v>1.1862357728371764E-2</v>
      </c>
      <c r="G51" s="1328">
        <f t="shared" si="13"/>
        <v>2.921490754818145E-2</v>
      </c>
      <c r="H51" s="954">
        <f t="shared" si="7"/>
        <v>1.2985E-3</v>
      </c>
      <c r="I51" s="1311">
        <f t="shared" si="9"/>
        <v>1.2970168612191959E-2</v>
      </c>
      <c r="J51" s="1252">
        <f>TableUK7!C54</f>
        <v>1.2970168612191959E-2</v>
      </c>
      <c r="K51" s="63">
        <v>0</v>
      </c>
      <c r="L51" s="62">
        <f t="shared" si="11"/>
        <v>0.52782101167315176</v>
      </c>
      <c r="M51" s="62">
        <f>AVERAGE(DataUK4!O207:O208)/DataUK1!B54</f>
        <v>0.52782101167315176</v>
      </c>
      <c r="N51" s="62">
        <v>0</v>
      </c>
      <c r="O51" s="62">
        <f>AVERAGE(DataUK4!H207:H208)/DataUK1!B54</f>
        <v>0.42071984435797666</v>
      </c>
      <c r="P51" s="62">
        <f t="shared" si="12"/>
        <v>1.2545664739884392</v>
      </c>
      <c r="Q51" s="1347">
        <f>DataUK1!GW54/DataUK1!B54</f>
        <v>1.0635538261997408E-2</v>
      </c>
      <c r="R51" s="913"/>
      <c r="S51" s="1431"/>
      <c r="U51" s="720"/>
      <c r="V51" s="1350">
        <f t="shared" si="14"/>
        <v>0</v>
      </c>
      <c r="W51" s="1432">
        <f>D51-(TableUK5b!G51-TableUK5a!G51)</f>
        <v>0</v>
      </c>
      <c r="X51" s="68"/>
    </row>
    <row r="52" spans="1:24" ht="12" customHeight="1">
      <c r="A52" s="721">
        <v>1897</v>
      </c>
      <c r="B52" s="914">
        <f>TableUK1!D52</f>
        <v>156.6975287356322</v>
      </c>
      <c r="C52" s="915">
        <f t="shared" si="10"/>
        <v>9.9587041757980277E-3</v>
      </c>
      <c r="D52" s="62">
        <f>TableUK12c!F67</f>
        <v>3.07043949428055E-3</v>
      </c>
      <c r="E52" s="1742">
        <f t="shared" si="8"/>
        <v>0.37163018169111134</v>
      </c>
      <c r="F52" s="1322">
        <f>TableUK12d!F67</f>
        <v>1.3313006156415673E-2</v>
      </c>
      <c r="G52" s="1329">
        <f t="shared" si="13"/>
        <v>3.2680288017442174E-2</v>
      </c>
      <c r="H52" s="954">
        <f t="shared" ref="H52:H68" si="15">T$149</f>
        <v>1.2985E-3</v>
      </c>
      <c r="I52" s="1306">
        <f t="shared" si="9"/>
        <v>1.2547051442910916E-2</v>
      </c>
      <c r="J52" s="1252">
        <f>TableUK7!C55</f>
        <v>1.2547051442910916E-2</v>
      </c>
      <c r="K52" s="63">
        <v>0</v>
      </c>
      <c r="L52" s="62">
        <f t="shared" si="11"/>
        <v>0.47942283563362614</v>
      </c>
      <c r="M52" s="62">
        <f>AVERAGE(DataUK4!O208:O209)/DataUK1!B55</f>
        <v>0.47942283563362614</v>
      </c>
      <c r="N52" s="62">
        <v>0</v>
      </c>
      <c r="O52" s="62">
        <f>AVERAGE(DataUK4!H208:H209)/DataUK1!B55</f>
        <v>0.40276035131744042</v>
      </c>
      <c r="P52" s="62">
        <f t="shared" si="12"/>
        <v>1.1903426791277258</v>
      </c>
      <c r="Q52" s="1352">
        <f>DataUK1!GW55/DataUK1!B55</f>
        <v>1.0225846925972396E-2</v>
      </c>
      <c r="R52" s="913"/>
      <c r="S52" s="1431"/>
      <c r="U52" s="720"/>
      <c r="V52" s="1350">
        <f t="shared" si="14"/>
        <v>0</v>
      </c>
      <c r="W52" s="1432">
        <f>D52-(TableUK5b!G52-TableUK5a!G52)</f>
        <v>-5.2041704279304213E-18</v>
      </c>
      <c r="X52" s="68"/>
    </row>
    <row r="53" spans="1:24" ht="12" customHeight="1">
      <c r="A53" s="721">
        <v>1898</v>
      </c>
      <c r="B53" s="914">
        <f>TableUK1!D53</f>
        <v>164.95511494252872</v>
      </c>
      <c r="C53" s="915">
        <f t="shared" si="10"/>
        <v>5.2697616060225716E-2</v>
      </c>
      <c r="D53" s="62">
        <f>TableUK12c!F68</f>
        <v>2.8376844494892341E-4</v>
      </c>
      <c r="E53" s="1742">
        <f t="shared" si="8"/>
        <v>0.36614791436451349</v>
      </c>
      <c r="F53" s="1322">
        <f>TableUK12d!F68</f>
        <v>1.5757387133389471E-2</v>
      </c>
      <c r="G53" s="1329">
        <f t="shared" si="13"/>
        <v>3.5823264127349784E-2</v>
      </c>
      <c r="H53" s="1333">
        <f t="shared" si="15"/>
        <v>1.2985E-3</v>
      </c>
      <c r="I53" s="1306">
        <f t="shared" si="9"/>
        <v>1.1918951132300359E-2</v>
      </c>
      <c r="J53" s="1252">
        <f>TableUK7!C56</f>
        <v>1.1918951132300359E-2</v>
      </c>
      <c r="K53" s="63">
        <v>0</v>
      </c>
      <c r="L53" s="62">
        <f t="shared" si="11"/>
        <v>0.40157926102502989</v>
      </c>
      <c r="M53" s="62">
        <f>AVERAGE(DataUK4!O209:O210)/DataUK1!B56</f>
        <v>0.40157926102502989</v>
      </c>
      <c r="N53" s="62">
        <v>0</v>
      </c>
      <c r="O53" s="62">
        <f>AVERAGE(DataUK4!H209:H210)/DataUK1!B56</f>
        <v>0.3796781883194279</v>
      </c>
      <c r="P53" s="62">
        <f t="shared" si="12"/>
        <v>1.0576832522366977</v>
      </c>
      <c r="Q53" s="1352">
        <f>DataUK1!GW56/DataUK1!B56</f>
        <v>9.7139451728247925E-3</v>
      </c>
      <c r="R53" s="913"/>
      <c r="S53" s="1431"/>
      <c r="U53" s="720"/>
      <c r="V53" s="1350">
        <f t="shared" si="14"/>
        <v>0</v>
      </c>
      <c r="W53" s="1432">
        <f>D53-(TableUK5b!G53-TableUK5a!G53)</f>
        <v>-5.2041704279304213E-18</v>
      </c>
      <c r="X53" s="68"/>
    </row>
    <row r="54" spans="1:24" ht="12" customHeight="1">
      <c r="A54" s="721">
        <v>1899</v>
      </c>
      <c r="B54" s="914">
        <f>TableUK1!D54</f>
        <v>172.02187500000002</v>
      </c>
      <c r="C54" s="915">
        <f t="shared" si="10"/>
        <v>4.2840502763029864E-2</v>
      </c>
      <c r="D54" s="62">
        <f>TableUK12c!F69</f>
        <v>-7.1694105151354093E-3</v>
      </c>
      <c r="E54" s="1742">
        <f t="shared" si="8"/>
        <v>0.36669193852628207</v>
      </c>
      <c r="F54" s="1322">
        <f>TableUK12d!F69</f>
        <v>1.7559488119507291E-2</v>
      </c>
      <c r="G54" s="1329">
        <f t="shared" si="13"/>
        <v>4.3035578014251424E-2</v>
      </c>
      <c r="H54" s="1333">
        <f t="shared" si="15"/>
        <v>1.2985E-3</v>
      </c>
      <c r="I54" s="1306">
        <f t="shared" si="9"/>
        <v>1.1299435028248588E-2</v>
      </c>
      <c r="J54" s="1253">
        <f>TableUK7!C57</f>
        <v>1.1299435028248588E-2</v>
      </c>
      <c r="K54" s="63">
        <v>0</v>
      </c>
      <c r="L54" s="62">
        <f t="shared" si="11"/>
        <v>0.36372881355932202</v>
      </c>
      <c r="M54" s="62">
        <f>AVERAGE(DataUK4!O210:O211)/DataUK1!B57</f>
        <v>0.36372881355932202</v>
      </c>
      <c r="N54" s="62">
        <v>0</v>
      </c>
      <c r="O54" s="62">
        <f>AVERAGE(DataUK4!H210:H211)/DataUK1!B57</f>
        <v>0.35997175141242937</v>
      </c>
      <c r="P54" s="62">
        <f t="shared" si="12"/>
        <v>1.0104371027230636</v>
      </c>
      <c r="Q54" s="1352">
        <f>DataUK1!GW57/DataUK1!B57</f>
        <v>8.983050847457626E-3</v>
      </c>
      <c r="R54" s="913"/>
      <c r="S54" s="1431"/>
      <c r="U54" s="720"/>
      <c r="V54" s="1350">
        <f t="shared" si="14"/>
        <v>0</v>
      </c>
      <c r="W54" s="1432">
        <f>D54-(TableUK5b!G54-TableUK5a!G54)</f>
        <v>1.214306433183765E-17</v>
      </c>
      <c r="X54" s="68"/>
    </row>
    <row r="55" spans="1:24" ht="12" customHeight="1">
      <c r="A55" s="724">
        <v>1900</v>
      </c>
      <c r="B55" s="916">
        <f>TableUK1!D55</f>
        <v>169.46964673913044</v>
      </c>
      <c r="C55" s="917">
        <f t="shared" si="10"/>
        <v>-1.4836649471874352E-2</v>
      </c>
      <c r="D55" s="1313">
        <f>TableUK12c!F70</f>
        <v>-2.9654120040691762E-2</v>
      </c>
      <c r="E55" s="1743">
        <f t="shared" si="8"/>
        <v>0.39054475272251266</v>
      </c>
      <c r="F55" s="1324">
        <f>TableUK12d!F70</f>
        <v>1.9677255275161593E-2</v>
      </c>
      <c r="G55" s="1330">
        <f t="shared" si="13"/>
        <v>4.7886212579633089E-2</v>
      </c>
      <c r="H55" s="1334">
        <f t="shared" si="15"/>
        <v>1.2985E-3</v>
      </c>
      <c r="I55" s="1307">
        <f t="shared" si="9"/>
        <v>1.0970927043335164E-2</v>
      </c>
      <c r="J55" s="1252">
        <f>TableUK7!C58</f>
        <v>1.0970927043335164E-2</v>
      </c>
      <c r="K55" s="1304">
        <v>0</v>
      </c>
      <c r="L55" s="1313">
        <f t="shared" si="11"/>
        <v>0.38033461327482176</v>
      </c>
      <c r="M55" s="1313">
        <f>AVERAGE(DataUK4!O211:O212)/DataUK1!B58</f>
        <v>0.38033461327482176</v>
      </c>
      <c r="N55" s="1313">
        <v>0</v>
      </c>
      <c r="O55" s="1313">
        <f>AVERAGE(DataUK4!H211:H212)/DataUK1!B58</f>
        <v>0.36829402084476143</v>
      </c>
      <c r="P55" s="1313">
        <f t="shared" si="12"/>
        <v>1.0326928805481084</v>
      </c>
      <c r="Q55" s="1578">
        <f>DataUK1!GW58/DataUK1!B58</f>
        <v>9.3252879868348879E-3</v>
      </c>
      <c r="R55" s="913"/>
      <c r="S55" s="1431"/>
      <c r="U55" s="720"/>
      <c r="V55" s="1350">
        <f t="shared" si="14"/>
        <v>0</v>
      </c>
      <c r="W55" s="1432">
        <f>D55-(TableUK5b!G55-TableUK5a!G55)</f>
        <v>0</v>
      </c>
      <c r="X55" s="68"/>
    </row>
    <row r="56" spans="1:24" ht="12" customHeight="1">
      <c r="A56" s="721">
        <v>1901</v>
      </c>
      <c r="B56" s="914">
        <f>TableUK1!D56</f>
        <v>167.70336956521746</v>
      </c>
      <c r="C56" s="915">
        <f t="shared" si="10"/>
        <v>-1.0422380691168076E-2</v>
      </c>
      <c r="D56" s="62">
        <f>TableUK12c!F71</f>
        <v>-2.8312070657507356E-2</v>
      </c>
      <c r="E56" s="1742">
        <f t="shared" si="8"/>
        <v>0.41508081151021781</v>
      </c>
      <c r="F56" s="1322">
        <f>TableUK12d!F71</f>
        <v>2.2876634271423571E-2</v>
      </c>
      <c r="G56" s="1329">
        <f t="shared" si="13"/>
        <v>5.0384124067703324E-2</v>
      </c>
      <c r="H56" s="1333">
        <f t="shared" si="15"/>
        <v>1.2985E-3</v>
      </c>
      <c r="I56" s="1306">
        <f t="shared" si="9"/>
        <v>1.1086474501108647E-2</v>
      </c>
      <c r="J56" s="1252">
        <f>TableUK7!C59</f>
        <v>1.1086474501108647E-2</v>
      </c>
      <c r="K56" s="63">
        <v>0</v>
      </c>
      <c r="L56" s="62">
        <f t="shared" si="11"/>
        <v>0.41527161862527717</v>
      </c>
      <c r="M56" s="62">
        <f>AVERAGE(DataUK4!O212:O213)/DataUK1!B59</f>
        <v>0.41527161862527717</v>
      </c>
      <c r="N56" s="62">
        <v>0</v>
      </c>
      <c r="O56" s="62">
        <f>AVERAGE(DataUK4!H212:H213)/DataUK1!B59</f>
        <v>0.40717849223946778</v>
      </c>
      <c r="P56" s="62">
        <f t="shared" si="12"/>
        <v>1.0198761146280038</v>
      </c>
      <c r="Q56" s="1352">
        <f>DataUK1!GW59/DataUK1!B59</f>
        <v>1.047671840354767E-2</v>
      </c>
      <c r="R56" s="913"/>
      <c r="S56" s="1431"/>
      <c r="U56" s="720"/>
      <c r="V56" s="1350">
        <f t="shared" si="14"/>
        <v>0</v>
      </c>
      <c r="W56" s="1432">
        <f>D56-(TableUK5b!G56-TableUK5a!G56)</f>
        <v>0</v>
      </c>
      <c r="X56" s="68"/>
    </row>
    <row r="57" spans="1:24" ht="12" customHeight="1">
      <c r="A57" s="721">
        <v>1902</v>
      </c>
      <c r="B57" s="914">
        <f>TableUK1!D57</f>
        <v>170.39926630434786</v>
      </c>
      <c r="C57" s="915">
        <f t="shared" si="10"/>
        <v>1.6075388026607351E-2</v>
      </c>
      <c r="D57" s="62">
        <f>TableUK12c!F72</f>
        <v>-1.7580246913580226E-2</v>
      </c>
      <c r="E57" s="1742">
        <f t="shared" si="8"/>
        <v>0.43158818596785609</v>
      </c>
      <c r="F57" s="1322">
        <f>TableUK12d!F72</f>
        <v>1.6746316208681784E-2</v>
      </c>
      <c r="G57" s="1329">
        <f t="shared" si="13"/>
        <v>5.5113687833918165E-2</v>
      </c>
      <c r="H57" s="1333">
        <f t="shared" si="15"/>
        <v>1.2985E-3</v>
      </c>
      <c r="I57" s="1306">
        <f t="shared" si="9"/>
        <v>1.0911074740861976E-2</v>
      </c>
      <c r="J57" s="1252">
        <f>TableUK7!C60</f>
        <v>1.0911074740861976E-2</v>
      </c>
      <c r="K57" s="63">
        <v>0</v>
      </c>
      <c r="L57" s="62">
        <f t="shared" si="11"/>
        <v>0.42441352973267871</v>
      </c>
      <c r="M57" s="62">
        <f>AVERAGE(DataUK4!O213:O214)/DataUK1!B60</f>
        <v>0.42441352973267871</v>
      </c>
      <c r="N57" s="62">
        <v>0</v>
      </c>
      <c r="O57" s="62">
        <f>AVERAGE(DataUK4!H213:H214)/DataUK1!B60</f>
        <v>0.42648663393344244</v>
      </c>
      <c r="P57" s="62">
        <f t="shared" si="12"/>
        <v>0.99513911096898</v>
      </c>
      <c r="Q57" s="1352">
        <f>DataUK1!GW60/DataUK1!B60</f>
        <v>1.0856519367157664E-2</v>
      </c>
      <c r="R57" s="913"/>
      <c r="S57" s="1431"/>
      <c r="U57" s="720"/>
      <c r="V57" s="1350">
        <f t="shared" si="14"/>
        <v>0</v>
      </c>
      <c r="W57" s="1432">
        <f>D57-(TableUK5b!G57-TableUK5a!G57)</f>
        <v>0</v>
      </c>
      <c r="X57" s="68"/>
    </row>
    <row r="58" spans="1:24" ht="12" customHeight="1">
      <c r="A58" s="721">
        <v>1903</v>
      </c>
      <c r="B58" s="914">
        <f>TableUK1!D58</f>
        <v>166.1759946236559</v>
      </c>
      <c r="C58" s="915">
        <f t="shared" si="10"/>
        <v>-2.4784564935560471E-2</v>
      </c>
      <c r="D58" s="62">
        <f>TableUK12c!F73</f>
        <v>-4.2016806722689074E-3</v>
      </c>
      <c r="E58" s="1742">
        <f t="shared" si="8"/>
        <v>0.46032563512281877</v>
      </c>
      <c r="F58" s="1322">
        <f>TableUK12d!F73</f>
        <v>1.9527051807440229E-2</v>
      </c>
      <c r="G58" s="1329">
        <f t="shared" si="13"/>
        <v>3.8801609388652313E-2</v>
      </c>
      <c r="H58" s="1333">
        <f t="shared" si="15"/>
        <v>1.2985E-3</v>
      </c>
      <c r="I58" s="1306">
        <f t="shared" si="9"/>
        <v>1.1068068622025456E-2</v>
      </c>
      <c r="J58" s="1252">
        <f>TableUK7!C61</f>
        <v>1.1068068622025456E-2</v>
      </c>
      <c r="K58" s="63">
        <v>0</v>
      </c>
      <c r="L58" s="62">
        <f t="shared" si="11"/>
        <v>0.43292750415052572</v>
      </c>
      <c r="M58" s="62">
        <f>AVERAGE(DataUK4!O214:O215)/DataUK1!B61</f>
        <v>0.43292750415052572</v>
      </c>
      <c r="N58" s="62">
        <v>0</v>
      </c>
      <c r="O58" s="62">
        <f>AVERAGE(DataUK4!H214:H215)/DataUK1!B61</f>
        <v>0.44073049252905366</v>
      </c>
      <c r="P58" s="62">
        <f t="shared" si="12"/>
        <v>0.98229532898041183</v>
      </c>
      <c r="Q58" s="1352">
        <f>DataUK1!GW61/DataUK1!B61</f>
        <v>1.0514665190924184E-2</v>
      </c>
      <c r="R58" s="913"/>
      <c r="S58" s="1431"/>
      <c r="U58" s="720"/>
      <c r="V58" s="1350">
        <f t="shared" si="14"/>
        <v>0</v>
      </c>
      <c r="W58" s="1432">
        <f>D58-(TableUK5b!G58-TableUK5a!G58)</f>
        <v>0</v>
      </c>
      <c r="X58" s="68"/>
    </row>
    <row r="59" spans="1:24" ht="12" customHeight="1">
      <c r="A59" s="721">
        <v>1904</v>
      </c>
      <c r="B59" s="914">
        <f>TableUK1!D59</f>
        <v>165.3483333333333</v>
      </c>
      <c r="C59" s="915">
        <f t="shared" si="10"/>
        <v>-4.9806308799115184E-3</v>
      </c>
      <c r="D59" s="62">
        <f>TableUK12c!F74</f>
        <v>-1.861832435080848E-3</v>
      </c>
      <c r="E59" s="1742">
        <f t="shared" si="8"/>
        <v>0.48288082680152278</v>
      </c>
      <c r="F59" s="1322">
        <f>TableUK12d!F74</f>
        <v>1.7854941442366948E-2</v>
      </c>
      <c r="G59" s="1329">
        <f t="shared" si="13"/>
        <v>4.2420083344326995E-2</v>
      </c>
      <c r="H59" s="1333">
        <f t="shared" si="15"/>
        <v>1.2985E-3</v>
      </c>
      <c r="I59" s="1306">
        <f t="shared" si="9"/>
        <v>1.1123470522803117E-2</v>
      </c>
      <c r="J59" s="1252">
        <f>TableUK7!C62</f>
        <v>1.1123470522803117E-2</v>
      </c>
      <c r="K59" s="63">
        <v>0</v>
      </c>
      <c r="L59" s="62">
        <f t="shared" si="11"/>
        <v>0.44424360400444945</v>
      </c>
      <c r="M59" s="62">
        <f>AVERAGE(DataUK4!O215:O216)/DataUK1!B62</f>
        <v>0.44424360400444945</v>
      </c>
      <c r="N59" s="62">
        <v>0</v>
      </c>
      <c r="O59" s="62">
        <f>AVERAGE(DataUK4!H215:H216)/DataUK1!B62</f>
        <v>0.44249165739710794</v>
      </c>
      <c r="P59" s="62">
        <f t="shared" si="12"/>
        <v>1.0039592760180995</v>
      </c>
      <c r="Q59" s="1352">
        <f>DataUK1!GW62/DataUK1!B62</f>
        <v>1.0177975528364851E-2</v>
      </c>
      <c r="R59" s="913"/>
      <c r="S59" s="1431"/>
      <c r="U59" s="720"/>
      <c r="V59" s="1350">
        <f t="shared" si="14"/>
        <v>0</v>
      </c>
      <c r="W59" s="1432">
        <f>D59-(TableUK5b!G59-TableUK5a!G59)</f>
        <v>6.0715321659188248E-18</v>
      </c>
      <c r="X59" s="68"/>
    </row>
    <row r="60" spans="1:24" ht="12" customHeight="1">
      <c r="A60" s="721">
        <v>1905</v>
      </c>
      <c r="B60" s="914">
        <f>TableUK1!D60</f>
        <v>172.61336021505375</v>
      </c>
      <c r="C60" s="915">
        <f t="shared" si="10"/>
        <v>4.3937708565072509E-2</v>
      </c>
      <c r="D60" s="62">
        <f>TableUK12c!F75</f>
        <v>1.911132345914987E-4</v>
      </c>
      <c r="E60" s="1742">
        <f t="shared" si="8"/>
        <v>0.48028342067279706</v>
      </c>
      <c r="F60" s="1322">
        <f>TableUK12d!F75</f>
        <v>1.4692600527102617E-2</v>
      </c>
      <c r="G60" s="1329">
        <f t="shared" si="13"/>
        <v>3.6975875726177498E-2</v>
      </c>
      <c r="H60" s="1333">
        <f t="shared" si="15"/>
        <v>1.2985E-3</v>
      </c>
      <c r="I60" s="1306">
        <f t="shared" si="9"/>
        <v>1.0655301012253596E-2</v>
      </c>
      <c r="J60" s="1252">
        <f>TableUK7!C63</f>
        <v>1.0655301012253596E-2</v>
      </c>
      <c r="K60" s="63">
        <v>0</v>
      </c>
      <c r="L60" s="62">
        <f t="shared" si="11"/>
        <v>0.42392115077250936</v>
      </c>
      <c r="M60" s="62">
        <f>AVERAGE(DataUK4!O216:O217)/DataUK1!B63</f>
        <v>0.42392115077250936</v>
      </c>
      <c r="N60" s="62">
        <v>0</v>
      </c>
      <c r="O60" s="62">
        <f>AVERAGE(DataUK4!H216:H217)/DataUK1!B63</f>
        <v>0.42240277037826318</v>
      </c>
      <c r="P60" s="62">
        <f t="shared" si="12"/>
        <v>1.0035946269786216</v>
      </c>
      <c r="Q60" s="1352">
        <f>DataUK1!GW63/DataUK1!B63</f>
        <v>9.6430474160895049E-3</v>
      </c>
      <c r="R60" s="913"/>
      <c r="S60" s="1431"/>
      <c r="U60" s="720"/>
      <c r="V60" s="1350">
        <f t="shared" si="14"/>
        <v>0</v>
      </c>
      <c r="W60" s="1432">
        <f>D60-(TableUK5b!G60-TableUK5a!G60)</f>
        <v>-6.9388939039072284E-18</v>
      </c>
      <c r="X60" s="68"/>
    </row>
    <row r="61" spans="1:24" ht="12" customHeight="1">
      <c r="A61" s="721">
        <v>1906</v>
      </c>
      <c r="B61" s="914">
        <f>TableUK1!D61</f>
        <v>182.08548387096769</v>
      </c>
      <c r="C61" s="915">
        <f t="shared" si="10"/>
        <v>5.4874800213105868E-2</v>
      </c>
      <c r="D61" s="62">
        <f>TableUK12c!F76</f>
        <v>9.280742459396767E-4</v>
      </c>
      <c r="E61" s="1742">
        <f t="shared" si="8"/>
        <v>0.46983656019017883</v>
      </c>
      <c r="F61" s="1322">
        <f>TableUK12d!F76</f>
        <v>1.1323254247436545E-2</v>
      </c>
      <c r="G61" s="1329">
        <f t="shared" si="13"/>
        <v>3.0591521369862675E-2</v>
      </c>
      <c r="H61" s="1333">
        <f t="shared" si="15"/>
        <v>1.2985E-3</v>
      </c>
      <c r="I61" s="1306">
        <f t="shared" si="9"/>
        <v>1.0101010101010102E-2</v>
      </c>
      <c r="J61" s="1252">
        <f>TableUK7!C64</f>
        <v>1.0101010101010102E-2</v>
      </c>
      <c r="K61" s="63">
        <v>0</v>
      </c>
      <c r="L61" s="62">
        <f t="shared" si="11"/>
        <v>0.38446969696969702</v>
      </c>
      <c r="M61" s="62">
        <f>AVERAGE(DataUK4!O217:O218)/DataUK1!B64</f>
        <v>0.38446969696969702</v>
      </c>
      <c r="N61" s="62">
        <v>0</v>
      </c>
      <c r="O61" s="62">
        <f>AVERAGE(DataUK4!H217:H218)/DataUK1!B64</f>
        <v>0.39601010101010109</v>
      </c>
      <c r="P61" s="62">
        <f t="shared" si="12"/>
        <v>0.97085830888917224</v>
      </c>
      <c r="Q61" s="1352">
        <f>DataUK1!GW64/DataUK1!B64</f>
        <v>8.9898989898989905E-3</v>
      </c>
      <c r="R61" s="913"/>
      <c r="S61" s="1431"/>
      <c r="U61" s="720"/>
      <c r="V61" s="1350">
        <f t="shared" si="14"/>
        <v>0</v>
      </c>
      <c r="W61" s="1432">
        <f>D61-(TableUK5b!G61-TableUK5a!G61)</f>
        <v>-9.540979117872439E-18</v>
      </c>
      <c r="X61" s="68"/>
    </row>
    <row r="62" spans="1:24" ht="12" customHeight="1">
      <c r="A62" s="721">
        <v>1907</v>
      </c>
      <c r="B62" s="914">
        <f>TableUK1!D62</f>
        <v>188.88287234042556</v>
      </c>
      <c r="C62" s="915">
        <f t="shared" si="10"/>
        <v>3.733075435203137E-2</v>
      </c>
      <c r="D62" s="62">
        <f>TableUK12c!F77</f>
        <v>7.7202543142597217E-4</v>
      </c>
      <c r="E62" s="1742">
        <f t="shared" si="8"/>
        <v>0.4644464636138253</v>
      </c>
      <c r="F62" s="1322">
        <f>TableUK12d!F77</f>
        <v>8.8043127948199407E-3</v>
      </c>
      <c r="G62" s="1329">
        <f t="shared" si="13"/>
        <v>2.4100411093707048E-2</v>
      </c>
      <c r="H62" s="1333">
        <f t="shared" si="15"/>
        <v>1.2985E-3</v>
      </c>
      <c r="I62" s="1306">
        <f t="shared" si="9"/>
        <v>9.6339113680154135E-3</v>
      </c>
      <c r="J62" s="1252">
        <f>TableUK7!C65</f>
        <v>9.6339113680154135E-3</v>
      </c>
      <c r="K62" s="63">
        <v>0</v>
      </c>
      <c r="L62" s="62">
        <f t="shared" si="11"/>
        <v>0.36023603082851635</v>
      </c>
      <c r="M62" s="62">
        <f>AVERAGE(DataUK4!O218:O219)/DataUK1!B65</f>
        <v>0.36023603082851635</v>
      </c>
      <c r="N62" s="62">
        <v>0</v>
      </c>
      <c r="O62" s="62">
        <f>AVERAGE(DataUK4!H218:H219)/DataUK1!B65</f>
        <v>0.37126685934489401</v>
      </c>
      <c r="P62" s="62">
        <f t="shared" si="12"/>
        <v>0.97028867985728184</v>
      </c>
      <c r="Q62" s="1352">
        <f>DataUK1!GW65/DataUK1!B65</f>
        <v>8.4296724470134879E-3</v>
      </c>
      <c r="R62" s="913"/>
      <c r="S62" s="1431"/>
      <c r="U62" s="720"/>
      <c r="V62" s="1350">
        <f t="shared" si="14"/>
        <v>0</v>
      </c>
      <c r="W62" s="1432">
        <f>D62-(TableUK5b!G62-TableUK5a!G62)</f>
        <v>1.214306433183765E-17</v>
      </c>
      <c r="X62" s="68"/>
    </row>
    <row r="63" spans="1:24" ht="12" customHeight="1">
      <c r="A63" s="721">
        <v>1908</v>
      </c>
      <c r="B63" s="914">
        <f>TableUK1!D63</f>
        <v>180.23938829787238</v>
      </c>
      <c r="C63" s="915">
        <f t="shared" si="10"/>
        <v>-4.5761078998073135E-2</v>
      </c>
      <c r="D63" s="62">
        <f>TableUK12c!F78</f>
        <v>-2.1565869667135584E-3</v>
      </c>
      <c r="E63" s="1742">
        <f t="shared" si="8"/>
        <v>0.49658977653548786</v>
      </c>
      <c r="F63" s="1322">
        <f>TableUK12d!F78</f>
        <v>8.4501610634725964E-3</v>
      </c>
      <c r="G63" s="1329">
        <f t="shared" si="13"/>
        <v>1.8956571929333258E-2</v>
      </c>
      <c r="H63" s="1333">
        <f t="shared" si="15"/>
        <v>1.2985E-3</v>
      </c>
      <c r="I63" s="1306">
        <f t="shared" si="9"/>
        <v>1.0095911155981827E-2</v>
      </c>
      <c r="J63" s="1252">
        <f>TableUK7!C66</f>
        <v>1.0095911155981827E-2</v>
      </c>
      <c r="K63" s="63">
        <v>0</v>
      </c>
      <c r="L63" s="62">
        <f t="shared" si="11"/>
        <v>0.3786471479050984</v>
      </c>
      <c r="M63" s="62">
        <f>AVERAGE(DataUK4!O219:O220)/DataUK1!B66</f>
        <v>0.3786471479050984</v>
      </c>
      <c r="N63" s="62">
        <v>0</v>
      </c>
      <c r="O63" s="62">
        <f>AVERAGE(DataUK4!H219:H220)/DataUK1!B66</f>
        <v>0.38273599192327112</v>
      </c>
      <c r="P63" s="62">
        <f t="shared" si="12"/>
        <v>0.98931680295436542</v>
      </c>
      <c r="Q63" s="1352">
        <f>DataUK1!GW66/DataUK1!B66</f>
        <v>9.0358404846037355E-3</v>
      </c>
      <c r="R63" s="913"/>
      <c r="S63" s="1431"/>
      <c r="U63" s="720"/>
      <c r="V63" s="1350">
        <f t="shared" si="14"/>
        <v>0</v>
      </c>
      <c r="W63" s="1432">
        <f>D63-(TableUK5b!G63-TableUK5a!G63)</f>
        <v>0</v>
      </c>
      <c r="X63" s="68"/>
    </row>
    <row r="64" spans="1:24" ht="12" customHeight="1">
      <c r="A64" s="721">
        <v>1909</v>
      </c>
      <c r="B64" s="914">
        <f>TableUK1!D64</f>
        <v>181.13294736842104</v>
      </c>
      <c r="C64" s="915">
        <f t="shared" si="10"/>
        <v>4.9576237413317958E-3</v>
      </c>
      <c r="D64" s="62">
        <f>TableUK12c!F79</f>
        <v>-1.7558983666061713E-2</v>
      </c>
      <c r="E64" s="1742">
        <f t="shared" si="8"/>
        <v>0.50320105048339314</v>
      </c>
      <c r="F64" s="1322">
        <f>TableUK12d!F79</f>
        <v>6.6535917100872151E-3</v>
      </c>
      <c r="G64" s="1329">
        <f t="shared" si="13"/>
        <v>1.7016381453573322E-2</v>
      </c>
      <c r="H64" s="1333">
        <f t="shared" si="15"/>
        <v>1.2985E-3</v>
      </c>
      <c r="I64" s="1306">
        <f t="shared" si="9"/>
        <v>9.9403578528827041E-3</v>
      </c>
      <c r="J64" s="1253">
        <f>TableUK7!C67</f>
        <v>9.9403578528827041E-3</v>
      </c>
      <c r="K64" s="63">
        <v>0</v>
      </c>
      <c r="L64" s="62">
        <f t="shared" si="11"/>
        <v>0.36923459244532802</v>
      </c>
      <c r="M64" s="62">
        <f>AVERAGE(DataUK4!O220:O221)/DataUK1!B67</f>
        <v>0.36923459244532802</v>
      </c>
      <c r="N64" s="62">
        <v>0</v>
      </c>
      <c r="O64" s="62">
        <f>AVERAGE(DataUK4!H220:H221)/DataUK1!B67</f>
        <v>0.37688866799204768</v>
      </c>
      <c r="P64" s="62">
        <f t="shared" si="12"/>
        <v>0.9796914150072531</v>
      </c>
      <c r="Q64" s="1352">
        <f>DataUK1!GW67/DataUK1!B67</f>
        <v>8.5984095427435389E-3</v>
      </c>
      <c r="R64" s="913"/>
      <c r="S64" s="1431"/>
      <c r="U64" s="720"/>
      <c r="V64" s="1350">
        <f t="shared" si="14"/>
        <v>0</v>
      </c>
      <c r="W64" s="1432">
        <f>D64-(TableUK5b!G64-TableUK5a!G64)</f>
        <v>0</v>
      </c>
      <c r="X64" s="68"/>
    </row>
    <row r="65" spans="1:24" ht="12" customHeight="1">
      <c r="A65" s="724">
        <v>1910</v>
      </c>
      <c r="B65" s="916">
        <f>TableUK1!D65</f>
        <v>187.7095572916667</v>
      </c>
      <c r="C65" s="917">
        <f t="shared" si="10"/>
        <v>3.6308192511597337E-2</v>
      </c>
      <c r="D65" s="1313">
        <f>TableUK12c!F80</f>
        <v>9.7698653929656973E-3</v>
      </c>
      <c r="E65" s="1743">
        <f t="shared" si="8"/>
        <v>0.4926301771378262</v>
      </c>
      <c r="F65" s="1324">
        <f>TableUK12d!F80</f>
        <v>6.3507626798145348E-3</v>
      </c>
      <c r="G65" s="1330">
        <f t="shared" si="13"/>
        <v>1.3222531438866302E-2</v>
      </c>
      <c r="H65" s="1334">
        <f t="shared" si="15"/>
        <v>1.2985E-3</v>
      </c>
      <c r="I65" s="1307">
        <f t="shared" si="9"/>
        <v>9.4921689606074985E-3</v>
      </c>
      <c r="J65" s="1252">
        <f>TableUK7!C68</f>
        <v>9.4921689606074985E-3</v>
      </c>
      <c r="K65" s="1304">
        <v>0</v>
      </c>
      <c r="L65" s="1313">
        <f t="shared" si="11"/>
        <v>0.34235880398671098</v>
      </c>
      <c r="M65" s="1313">
        <f>AVERAGE(DataUK4!O221:O222)/DataUK1!B68</f>
        <v>0.34235880398671098</v>
      </c>
      <c r="N65" s="1313">
        <v>0</v>
      </c>
      <c r="O65" s="1313">
        <f>AVERAGE(DataUK4!H221:H222)/DataUK1!B68</f>
        <v>0.35491219743711439</v>
      </c>
      <c r="P65" s="1313">
        <f t="shared" si="12"/>
        <v>0.96462958010163147</v>
      </c>
      <c r="Q65" s="1578">
        <f>DataUK1!GW68/DataUK1!B68</f>
        <v>8.0208827717133356E-3</v>
      </c>
      <c r="R65" s="913"/>
      <c r="S65" s="1431"/>
      <c r="U65" s="720"/>
      <c r="V65" s="1350">
        <f t="shared" si="14"/>
        <v>0</v>
      </c>
      <c r="W65" s="1432">
        <f>D65-(TableUK5b!G65-TableUK5a!G65)</f>
        <v>0</v>
      </c>
      <c r="X65" s="68"/>
    </row>
    <row r="66" spans="1:24" ht="12" customHeight="1">
      <c r="A66" s="721">
        <v>1911</v>
      </c>
      <c r="B66" s="914">
        <f>TableUK1!D66</f>
        <v>195.28208333333336</v>
      </c>
      <c r="C66" s="915">
        <f t="shared" si="10"/>
        <v>4.0341718082581801E-2</v>
      </c>
      <c r="D66" s="62">
        <f>TableUK12c!F81</f>
        <v>-1.4644351464435136E-3</v>
      </c>
      <c r="E66" s="1742">
        <f t="shared" si="8"/>
        <v>0.48025457201585914</v>
      </c>
      <c r="F66" s="1322">
        <f>TableUK12d!F81</f>
        <v>5.1342961263328192E-3</v>
      </c>
      <c r="G66" s="1329">
        <f t="shared" si="13"/>
        <v>1.2891542123368018E-2</v>
      </c>
      <c r="H66" s="1333">
        <f t="shared" si="15"/>
        <v>1.2985E-3</v>
      </c>
      <c r="I66" s="1306">
        <f t="shared" si="9"/>
        <v>9.1240875912408752E-3</v>
      </c>
      <c r="J66" s="1252">
        <f>TableUK7!C69</f>
        <v>9.1240875912408752E-3</v>
      </c>
      <c r="K66" s="63">
        <v>0</v>
      </c>
      <c r="L66" s="62">
        <f t="shared" si="11"/>
        <v>0.31628649635036493</v>
      </c>
      <c r="M66" s="62">
        <f>AVERAGE(DataUK4!O222:O223)/DataUK1!B69</f>
        <v>0.31628649635036493</v>
      </c>
      <c r="N66" s="62">
        <v>0</v>
      </c>
      <c r="O66" s="62">
        <f>AVERAGE(DataUK4!H222:H223)/DataUK1!B69</f>
        <v>0.33109032846715331</v>
      </c>
      <c r="P66" s="62">
        <f t="shared" si="12"/>
        <v>0.95528763348260404</v>
      </c>
      <c r="Q66" s="1352">
        <f>DataUK1!GW69/DataUK1!B69</f>
        <v>7.5729927007299278E-3</v>
      </c>
      <c r="R66" s="913"/>
      <c r="S66" s="1431"/>
      <c r="U66" s="720"/>
      <c r="V66" s="1350">
        <f t="shared" si="14"/>
        <v>0</v>
      </c>
      <c r="W66" s="1432">
        <f>D66-(TableUK5b!G66-TableUK5a!G66)</f>
        <v>-3.4694469519536142E-18</v>
      </c>
      <c r="X66" s="68"/>
    </row>
    <row r="67" spans="1:24" ht="12" customHeight="1">
      <c r="A67" s="721">
        <v>1912</v>
      </c>
      <c r="B67" s="914">
        <f>TableUK1!D67</f>
        <v>199.03999999999996</v>
      </c>
      <c r="C67" s="915">
        <f t="shared" si="10"/>
        <v>1.9243530192434966E-2</v>
      </c>
      <c r="D67" s="62">
        <f>TableUK12c!F82</f>
        <v>-5.1731160896130307E-3</v>
      </c>
      <c r="E67" s="1742">
        <f t="shared" si="8"/>
        <v>0.47684300286479459</v>
      </c>
      <c r="F67" s="1322">
        <f>TableUK12d!F82</f>
        <v>4.8321398068457855E-3</v>
      </c>
      <c r="G67" s="1329">
        <f t="shared" si="13"/>
        <v>1.0690780318408448E-2</v>
      </c>
      <c r="H67" s="1333">
        <f t="shared" si="15"/>
        <v>1.2985E-3</v>
      </c>
      <c r="I67" s="1306">
        <f t="shared" si="9"/>
        <v>8.6805555555555577E-3</v>
      </c>
      <c r="J67" s="1252">
        <f>TableUK7!C70</f>
        <v>8.6805555555555577E-3</v>
      </c>
      <c r="K67" s="63">
        <v>0</v>
      </c>
      <c r="L67" s="62">
        <f t="shared" si="11"/>
        <v>0.29144965277777785</v>
      </c>
      <c r="M67" s="62">
        <f>AVERAGE(DataUK4!O223:O224)/DataUK1!B70</f>
        <v>0.29144965277777785</v>
      </c>
      <c r="N67" s="62">
        <v>0</v>
      </c>
      <c r="O67" s="62">
        <f>AVERAGE(DataUK4!H223:H224)/DataUK1!B70</f>
        <v>0.31026475694444444</v>
      </c>
      <c r="P67" s="62">
        <f t="shared" si="12"/>
        <v>0.93935790725327017</v>
      </c>
      <c r="Q67" s="1352">
        <f>DataUK1!GW70/DataUK1!B70</f>
        <v>7.1180555555555563E-3</v>
      </c>
      <c r="R67" s="913"/>
      <c r="S67" s="1431"/>
      <c r="U67" s="720"/>
      <c r="V67" s="1350">
        <f t="shared" si="14"/>
        <v>0</v>
      </c>
      <c r="W67" s="1432">
        <f>D67-(TableUK5b!G67-TableUK5a!G67)</f>
        <v>0</v>
      </c>
      <c r="X67" s="68"/>
    </row>
    <row r="68" spans="1:24" ht="12" customHeight="1">
      <c r="A68" s="931">
        <v>1913</v>
      </c>
      <c r="B68" s="918">
        <f>TableUK1!D68</f>
        <v>207.79084183673476</v>
      </c>
      <c r="C68" s="919">
        <f t="shared" si="10"/>
        <v>4.3965242346939215E-2</v>
      </c>
      <c r="D68" s="317">
        <f>TableUK12c!F83</f>
        <v>-4.1906958861976313E-3</v>
      </c>
      <c r="E68" s="1255">
        <f>1.1/TableUK1!B68</f>
        <v>0.46199076018479623</v>
      </c>
      <c r="F68" s="1339">
        <f>TableUK12d!F83</f>
        <v>7.4537088712777711E-3</v>
      </c>
      <c r="G68" s="1331">
        <f t="shared" si="13"/>
        <v>1.01336074511214E-2</v>
      </c>
      <c r="H68" s="1335">
        <f t="shared" si="15"/>
        <v>1.2985E-3</v>
      </c>
      <c r="I68" s="1308">
        <f t="shared" si="9"/>
        <v>8.3998320033599316E-3</v>
      </c>
      <c r="J68" s="1252">
        <f>TableUK7!C71</f>
        <v>8.3998320033599316E-3</v>
      </c>
      <c r="K68" s="334">
        <v>0</v>
      </c>
      <c r="L68" s="317">
        <f t="shared" si="11"/>
        <v>0.27312053758924815</v>
      </c>
      <c r="M68" s="317">
        <f>AVERAGE(DataUK4!O224:O225)/DataUK1!B71</f>
        <v>0.27312053758924815</v>
      </c>
      <c r="N68" s="317">
        <v>0</v>
      </c>
      <c r="O68" s="317">
        <f>AVERAGE(DataUK4!H224:H225)/DataUK1!B71</f>
        <v>0.29766904661906757</v>
      </c>
      <c r="P68" s="317">
        <f t="shared" si="12"/>
        <v>0.91753086419753083</v>
      </c>
      <c r="Q68" s="1345">
        <f>DataUK1!GW71/DataUK1!B71</f>
        <v>6.7618647627047451E-3</v>
      </c>
      <c r="R68" s="913"/>
      <c r="S68" s="1431"/>
      <c r="U68" s="720"/>
      <c r="V68" s="1350">
        <f t="shared" si="14"/>
        <v>3.5610755695358876E-6</v>
      </c>
      <c r="W68" s="1432">
        <f>D68-(TableUK5b!G68-TableUK5a!G68)</f>
        <v>0</v>
      </c>
      <c r="X68" s="68"/>
    </row>
    <row r="69" spans="1:24" ht="12" customHeight="1">
      <c r="A69" s="932">
        <f t="shared" ref="A69:A103" si="16">A68+1</f>
        <v>1914</v>
      </c>
      <c r="B69" s="914">
        <f>TableUK1!D69</f>
        <v>213.98704081632653</v>
      </c>
      <c r="C69" s="915">
        <f t="shared" si="10"/>
        <v>2.9819403611927475E-2</v>
      </c>
      <c r="D69" s="62">
        <f>TableUK12c!F84</f>
        <v>-0.13357441948991247</v>
      </c>
      <c r="E69" s="1742">
        <f t="shared" ref="E69:E112" si="17">E68*(1+H69)*(1+G69)/(1+C69)</f>
        <v>0.4491994749187399</v>
      </c>
      <c r="F69" s="1322">
        <f>TableUK12d!F84</f>
        <v>6.9808563674987733E-3</v>
      </c>
      <c r="G69" s="1329">
        <f t="shared" si="13"/>
        <v>1.6133891656829432E-2</v>
      </c>
      <c r="H69" s="1333">
        <f t="shared" ref="H69:H113" si="18">T$152</f>
        <v>-1.4592000000000001E-2</v>
      </c>
      <c r="I69" s="1306">
        <f t="shared" si="9"/>
        <v>1.2887438825448613E-2</v>
      </c>
      <c r="J69" s="1252">
        <f>TableUK7!C72</f>
        <v>1.2887438825448613E-2</v>
      </c>
      <c r="K69" s="63">
        <v>0</v>
      </c>
      <c r="L69" s="62">
        <f t="shared" si="11"/>
        <v>0.33503262642740622</v>
      </c>
      <c r="M69" s="62">
        <f>AVERAGE(DataUK4!O225:O226)/DataUK1!B72</f>
        <v>0.33503262642740622</v>
      </c>
      <c r="N69" s="62">
        <v>0</v>
      </c>
      <c r="O69" s="62">
        <f>AVERAGE(DataUK4!H225:H226)/DataUK1!B72</f>
        <v>0.38095432300163135</v>
      </c>
      <c r="P69" s="62">
        <f t="shared" si="12"/>
        <v>0.87945616101059843</v>
      </c>
      <c r="Q69" s="1352">
        <f>DataUK1!GW72/DataUK1!B72</f>
        <v>7.6672104404567707E-3</v>
      </c>
      <c r="R69" s="913"/>
      <c r="S69" s="1431"/>
      <c r="U69" s="720"/>
      <c r="V69" s="1350">
        <f t="shared" si="14"/>
        <v>0</v>
      </c>
      <c r="W69" s="1432">
        <f>D69-(TableUK5b!G69-TableUK5a!G69)</f>
        <v>0</v>
      </c>
      <c r="X69" s="68"/>
    </row>
    <row r="70" spans="1:24" ht="12" customHeight="1">
      <c r="A70" s="932">
        <f t="shared" si="16"/>
        <v>1915</v>
      </c>
      <c r="B70" s="914">
        <f>TableUK1!D70</f>
        <v>227.41874999999999</v>
      </c>
      <c r="C70" s="915">
        <f t="shared" si="10"/>
        <v>6.2768797271244292E-2</v>
      </c>
      <c r="D70" s="62">
        <f>TableUK12c!F85</f>
        <v>-0.39596184419713831</v>
      </c>
      <c r="E70" s="1742">
        <f t="shared" si="17"/>
        <v>0.42297416808463234</v>
      </c>
      <c r="F70" s="1322">
        <f>TableUK12d!F85</f>
        <v>-1.1877532181137533E-3</v>
      </c>
      <c r="G70" s="1329">
        <f t="shared" si="13"/>
        <v>1.5540660123793798E-2</v>
      </c>
      <c r="H70" s="1333">
        <f t="shared" si="18"/>
        <v>-1.4592000000000001E-2</v>
      </c>
      <c r="I70" s="1306">
        <f t="shared" si="9"/>
        <v>3.4188034188034191E-2</v>
      </c>
      <c r="J70" s="1252">
        <f>TableUK7!C73</f>
        <v>3.4188034188034191E-2</v>
      </c>
      <c r="K70" s="63">
        <v>0</v>
      </c>
      <c r="L70" s="62">
        <f t="shared" si="11"/>
        <v>0.53064957264957269</v>
      </c>
      <c r="M70" s="62">
        <f>AVERAGE(DataUK4!O226:O227)/DataUK1!B73</f>
        <v>0.53064957264957269</v>
      </c>
      <c r="N70" s="62">
        <v>0</v>
      </c>
      <c r="O70" s="62">
        <f>AVERAGE(DataUK4!H226:H227)/DataUK1!B73</f>
        <v>0.57295726495726496</v>
      </c>
      <c r="P70" s="62">
        <f t="shared" si="12"/>
        <v>0.92615907870398007</v>
      </c>
      <c r="Q70" s="1352">
        <f>DataUK1!GW73/DataUK1!B73</f>
        <v>1.9589743589743591E-2</v>
      </c>
      <c r="R70" s="913"/>
      <c r="S70" s="1431"/>
      <c r="U70" s="720"/>
      <c r="V70" s="1350">
        <f t="shared" si="14"/>
        <v>0</v>
      </c>
      <c r="W70" s="1432">
        <f>D70-(TableUK5b!G70-TableUK5a!G70)</f>
        <v>0</v>
      </c>
      <c r="X70" s="68"/>
    </row>
    <row r="71" spans="1:24" ht="12" customHeight="1">
      <c r="A71" s="932">
        <f t="shared" si="16"/>
        <v>1916</v>
      </c>
      <c r="B71" s="914">
        <f>TableUK1!D71</f>
        <v>234.00955769230771</v>
      </c>
      <c r="C71" s="915">
        <f t="shared" si="10"/>
        <v>2.8980933596318259E-2</v>
      </c>
      <c r="D71" s="62">
        <f>TableUK12c!F86</f>
        <v>-0.45946622185154296</v>
      </c>
      <c r="E71" s="1742">
        <f t="shared" si="17"/>
        <v>0.40392556745258767</v>
      </c>
      <c r="F71" s="1322">
        <f>TableUK12d!F86</f>
        <v>-5.3454043243921969E-3</v>
      </c>
      <c r="G71" s="1329">
        <f t="shared" si="13"/>
        <v>-2.8080987155605619E-3</v>
      </c>
      <c r="H71" s="1333">
        <f t="shared" si="18"/>
        <v>-1.4592000000000001E-2</v>
      </c>
      <c r="I71" s="1306">
        <f t="shared" si="9"/>
        <v>2.8113578858588697E-2</v>
      </c>
      <c r="J71" s="1252">
        <f>TableUK7!C74</f>
        <v>2.8113578858588697E-2</v>
      </c>
      <c r="K71" s="63">
        <v>0</v>
      </c>
      <c r="L71" s="62">
        <f t="shared" si="11"/>
        <v>0.84159403992128201</v>
      </c>
      <c r="M71" s="62">
        <f>AVERAGE(DataUK4!O227:O228)/DataUK1!B74</f>
        <v>0.84159403992128201</v>
      </c>
      <c r="N71" s="62">
        <v>0</v>
      </c>
      <c r="O71" s="62">
        <f>AVERAGE(DataUK4!H227:H228)/DataUK1!B74</f>
        <v>0.87902727017149274</v>
      </c>
      <c r="P71" s="62">
        <f t="shared" si="12"/>
        <v>0.95741516614961475</v>
      </c>
      <c r="Q71" s="1352">
        <f>DataUK1!GW74/DataUK1!B74</f>
        <v>3.497329210008434E-2</v>
      </c>
      <c r="R71" s="913"/>
      <c r="S71" s="1431"/>
      <c r="U71" s="720"/>
      <c r="V71" s="1350">
        <f t="shared" si="14"/>
        <v>0</v>
      </c>
      <c r="W71" s="1432">
        <f>D71-(TableUK5b!G71-TableUK5a!G71)</f>
        <v>0</v>
      </c>
      <c r="X71" s="68"/>
    </row>
    <row r="72" spans="1:24" ht="12" customHeight="1">
      <c r="A72" s="932">
        <f t="shared" si="16"/>
        <v>1917</v>
      </c>
      <c r="B72" s="914">
        <f>TableUK1!D72</f>
        <v>218.84955521472395</v>
      </c>
      <c r="C72" s="915">
        <f t="shared" si="10"/>
        <v>-6.4783689294935609E-2</v>
      </c>
      <c r="D72" s="62">
        <f>TableUK12c!F87</f>
        <v>-0.45192094159449253</v>
      </c>
      <c r="E72" s="1742">
        <f t="shared" si="17"/>
        <v>0.41997137655963457</v>
      </c>
      <c r="F72" s="1322">
        <f>TableUK12d!F87</f>
        <v>-9.1408594986854622E-3</v>
      </c>
      <c r="G72" s="1329">
        <f t="shared" si="13"/>
        <v>-1.3233636974514207E-2</v>
      </c>
      <c r="H72" s="1333">
        <f t="shared" si="18"/>
        <v>-1.4592000000000001E-2</v>
      </c>
      <c r="I72" s="1306">
        <f t="shared" si="9"/>
        <v>2.3975065931431311E-2</v>
      </c>
      <c r="J72" s="1252">
        <f>TableUK7!C75</f>
        <v>2.3975065931431311E-2</v>
      </c>
      <c r="K72" s="63">
        <v>0</v>
      </c>
      <c r="L72" s="62">
        <f t="shared" si="11"/>
        <v>1.1590026372572526</v>
      </c>
      <c r="M72" s="62">
        <f>AVERAGE(DataUK4!O228:O229)/DataUK1!B75</f>
        <v>1.1590026372572526</v>
      </c>
      <c r="N72" s="62">
        <v>0</v>
      </c>
      <c r="O72" s="62">
        <f>AVERAGE(DataUK4!H228:H229)/DataUK1!B75</f>
        <v>1.1969192040278112</v>
      </c>
      <c r="P72" s="62">
        <f t="shared" si="12"/>
        <v>0.96832153194387416</v>
      </c>
      <c r="Q72" s="1352">
        <f>DataUK1!GW75/DataUK1!B75</f>
        <v>4.485734835770798E-2</v>
      </c>
      <c r="R72" s="913"/>
      <c r="S72" s="1431"/>
      <c r="U72" s="720"/>
      <c r="V72" s="1350">
        <f t="shared" si="14"/>
        <v>0</v>
      </c>
      <c r="W72" s="1432">
        <f>D72-(TableUK5b!G72-TableUK5a!G72)</f>
        <v>0</v>
      </c>
      <c r="X72" s="68"/>
    </row>
    <row r="73" spans="1:24" ht="12" customHeight="1">
      <c r="A73" s="932">
        <f t="shared" si="16"/>
        <v>1918</v>
      </c>
      <c r="B73" s="914">
        <f>TableUK1!D73</f>
        <v>205.73275125628143</v>
      </c>
      <c r="C73" s="915">
        <f t="shared" si="10"/>
        <v>-5.9935255274213284E-2</v>
      </c>
      <c r="D73" s="62">
        <f>TableUK12c!F88</f>
        <v>-0.34117190531625918</v>
      </c>
      <c r="E73" s="1742">
        <f t="shared" si="17"/>
        <v>0.43064659155373891</v>
      </c>
      <c r="F73" s="1322">
        <f>TableUK12d!F88</f>
        <v>-1.1750347365653991E-2</v>
      </c>
      <c r="G73" s="1329">
        <f t="shared" si="13"/>
        <v>-2.1765434524530006E-2</v>
      </c>
      <c r="H73" s="1333">
        <f t="shared" si="18"/>
        <v>-1.4592000000000001E-2</v>
      </c>
      <c r="I73" s="1306">
        <f t="shared" si="9"/>
        <v>2.0889910173386254E-2</v>
      </c>
      <c r="J73" s="1252">
        <f>TableUK7!C76</f>
        <v>2.0889910173386254E-2</v>
      </c>
      <c r="K73" s="63">
        <v>0</v>
      </c>
      <c r="L73" s="62">
        <f t="shared" si="11"/>
        <v>1.3586588677668685</v>
      </c>
      <c r="M73" s="62">
        <f>AVERAGE(DataUK4!O229:O230)/DataUK1!B76</f>
        <v>1.3586588677668685</v>
      </c>
      <c r="N73" s="62">
        <v>0</v>
      </c>
      <c r="O73" s="62">
        <f>AVERAGE(DataUK4!H229:H230)/DataUK1!B76</f>
        <v>1.3998537706287864</v>
      </c>
      <c r="P73" s="62">
        <f t="shared" si="12"/>
        <v>0.97057199564250629</v>
      </c>
      <c r="Q73" s="1352">
        <f>DataUK1!GW76/DataUK1!B76</f>
        <v>5.5859619803634838E-2</v>
      </c>
      <c r="R73" s="913"/>
      <c r="S73" s="1431"/>
      <c r="U73" s="720"/>
      <c r="V73" s="1350">
        <f t="shared" si="14"/>
        <v>0</v>
      </c>
      <c r="W73" s="1432">
        <f>D73-(TableUK5b!G73-TableUK5a!G73)</f>
        <v>0</v>
      </c>
      <c r="X73" s="68"/>
    </row>
    <row r="74" spans="1:24" ht="12" customHeight="1">
      <c r="A74" s="932">
        <f t="shared" si="16"/>
        <v>1919</v>
      </c>
      <c r="B74" s="914">
        <f>TableUK1!D74</f>
        <v>201.27664383561645</v>
      </c>
      <c r="C74" s="915">
        <f t="shared" si="10"/>
        <v>-2.1659689055117948E-2</v>
      </c>
      <c r="D74" s="62">
        <f>TableUK12c!F89</f>
        <v>-6.6261510128913473E-2</v>
      </c>
      <c r="E74" s="1742">
        <f t="shared" si="17"/>
        <v>0.42192241858482299</v>
      </c>
      <c r="F74" s="1322">
        <f>TableUK12d!F89</f>
        <v>1.29032258064515E-3</v>
      </c>
      <c r="G74" s="1329">
        <f t="shared" si="13"/>
        <v>-2.7285360191194513E-2</v>
      </c>
      <c r="H74" s="1333">
        <f t="shared" si="18"/>
        <v>-1.4592000000000001E-2</v>
      </c>
      <c r="I74" s="1306">
        <f t="shared" si="9"/>
        <v>1.9402405898331393E-2</v>
      </c>
      <c r="J74" s="1253">
        <f>TableUK7!C77</f>
        <v>1.9402405898331393E-2</v>
      </c>
      <c r="K74" s="63">
        <v>0</v>
      </c>
      <c r="L74" s="62">
        <f t="shared" ref="L74:L105" si="19">M74+N74</f>
        <v>1.3940143577803648</v>
      </c>
      <c r="M74" s="62">
        <f>AVERAGE(DataUK4!O230:O231)/DataUK1!B77</f>
        <v>1.3940143577803648</v>
      </c>
      <c r="N74" s="62">
        <v>0</v>
      </c>
      <c r="O74" s="62">
        <f>AVERAGE(DataUK4!H230:H231)/DataUK1!B77</f>
        <v>1.4897846332945286</v>
      </c>
      <c r="P74" s="62">
        <f t="shared" ref="P74:P105" si="20">M74/O74</f>
        <v>0.93571535551257756</v>
      </c>
      <c r="Q74" s="1352">
        <f>DataUK1!GW77/DataUK1!B77</f>
        <v>6.3911525029103605E-2</v>
      </c>
      <c r="R74" s="913"/>
      <c r="S74" s="1431"/>
      <c r="U74" s="720"/>
      <c r="V74" s="1350">
        <f t="shared" si="14"/>
        <v>0</v>
      </c>
      <c r="W74" s="1432">
        <f>D74-(TableUK5b!G74-TableUK5a!G74)</f>
        <v>0</v>
      </c>
      <c r="X74" s="68"/>
    </row>
    <row r="75" spans="1:24" ht="12" customHeight="1">
      <c r="A75" s="933" t="s">
        <v>652</v>
      </c>
      <c r="B75" s="916">
        <f>TableUK1!D76</f>
        <v>177.37141304347827</v>
      </c>
      <c r="C75" s="917">
        <f t="shared" si="10"/>
        <v>-0.11876803158374249</v>
      </c>
      <c r="D75" s="1313">
        <f>TableUK12c!F91</f>
        <v>9.666839288796825E-3</v>
      </c>
      <c r="E75" s="1743">
        <f t="shared" si="17"/>
        <v>0.47324340899238737</v>
      </c>
      <c r="F75" s="1324">
        <f>TableUK12d!F90</f>
        <v>1.9749999661432014E-2</v>
      </c>
      <c r="G75" s="1330">
        <f t="shared" ref="G75:G106" si="21">F74/E74</f>
        <v>3.0581986730476244E-3</v>
      </c>
      <c r="H75" s="1334">
        <f t="shared" si="18"/>
        <v>-1.4592000000000001E-2</v>
      </c>
      <c r="I75" s="1307">
        <f t="shared" si="9"/>
        <v>1.905850962454736E-2</v>
      </c>
      <c r="J75" s="1252">
        <f>TableUK7!C78</f>
        <v>1.905850962454736E-2</v>
      </c>
      <c r="K75" s="1304">
        <v>0</v>
      </c>
      <c r="L75" s="1313">
        <f t="shared" si="19"/>
        <v>1.3337885218675032</v>
      </c>
      <c r="M75" s="1313">
        <f>AVERAGE(DataUK4!O231:O232)/DataUK1!B78</f>
        <v>1.3337885218675032</v>
      </c>
      <c r="N75" s="1313">
        <v>0</v>
      </c>
      <c r="O75" s="1313">
        <f>AVERAGE(DataUK4!H231:H232)/DataUK1!B78</f>
        <v>1.4300332164606016</v>
      </c>
      <c r="P75" s="1313">
        <f t="shared" si="20"/>
        <v>0.93269758108744605</v>
      </c>
      <c r="Q75" s="1578">
        <f>DataUK1!GW79/DataUK1!B79</f>
        <v>6.4741757194587385E-2</v>
      </c>
      <c r="R75" s="913"/>
      <c r="S75" s="1431"/>
      <c r="U75" s="720"/>
      <c r="V75" s="1350">
        <f t="shared" ref="V75:V106" si="22">(B75*E75)/(B74*E74)-(1+G75)*(1+H75)</f>
        <v>0</v>
      </c>
      <c r="W75" s="1432">
        <f>D75-(TableUK5b!G75-TableUK5a!G75)</f>
        <v>0</v>
      </c>
      <c r="X75" s="68"/>
    </row>
    <row r="76" spans="1:24" ht="12" customHeight="1">
      <c r="A76" s="932">
        <v>1921</v>
      </c>
      <c r="B76" s="914">
        <f>TableUK1!D77</f>
        <v>159.23940476190478</v>
      </c>
      <c r="C76" s="915">
        <f t="shared" si="10"/>
        <v>-0.10222621543376254</v>
      </c>
      <c r="D76" s="62">
        <f>TableUK12c!F92</f>
        <v>3.0241935483870967E-3</v>
      </c>
      <c r="E76" s="1742">
        <f t="shared" si="17"/>
        <v>0.54111587705744679</v>
      </c>
      <c r="F76" s="1322">
        <f>TableUK12d!F91</f>
        <v>1.9661660624892115E-2</v>
      </c>
      <c r="G76" s="1329">
        <f t="shared" si="21"/>
        <v>4.1733279927728933E-2</v>
      </c>
      <c r="H76" s="1333">
        <f t="shared" si="18"/>
        <v>-1.4592000000000001E-2</v>
      </c>
      <c r="I76" s="1306">
        <f t="shared" si="9"/>
        <v>2.1122994652406416E-2</v>
      </c>
      <c r="J76" s="1252">
        <f>TableUK7!C79</f>
        <v>2.1122994652406416E-2</v>
      </c>
      <c r="K76" s="63">
        <v>0</v>
      </c>
      <c r="L76" s="62">
        <f t="shared" si="19"/>
        <v>1.4335906232132647</v>
      </c>
      <c r="M76" s="62">
        <f>AVERAGE(DataUK4!O232:O233)/DataUK1!B79</f>
        <v>1.4335906232132647</v>
      </c>
      <c r="N76" s="62">
        <v>0</v>
      </c>
      <c r="O76" s="62">
        <f>AVERAGE(DataUK4!H232:H233)/DataUK1!B79</f>
        <v>1.4621307413760245</v>
      </c>
      <c r="P76" s="62">
        <f t="shared" si="20"/>
        <v>0.98048046090878271</v>
      </c>
      <c r="Q76" s="1352">
        <f>DataUK1!GW80/DataUK1!B80</f>
        <v>7.4540804464078111E-2</v>
      </c>
      <c r="R76" s="913"/>
      <c r="S76" s="1431"/>
      <c r="U76" s="720"/>
      <c r="V76" s="1350">
        <f t="shared" si="22"/>
        <v>0</v>
      </c>
      <c r="W76" s="1432">
        <f>D76-(TableUK5b!G76-TableUK5a!G76)</f>
        <v>0</v>
      </c>
      <c r="X76" s="68"/>
    </row>
    <row r="77" spans="1:24" ht="12" customHeight="1">
      <c r="A77" s="932">
        <f t="shared" si="16"/>
        <v>1922</v>
      </c>
      <c r="B77" s="914">
        <f>TableUK1!D78</f>
        <v>175.77751256281408</v>
      </c>
      <c r="C77" s="915">
        <f t="shared" si="10"/>
        <v>0.10385688030947571</v>
      </c>
      <c r="D77" s="62">
        <f>TableUK12c!F93</f>
        <v>4.2773525438991444E-3</v>
      </c>
      <c r="E77" s="1742">
        <f t="shared" si="17"/>
        <v>0.50060354898322823</v>
      </c>
      <c r="F77" s="1322">
        <f>TableUK12d!F92</f>
        <v>3.6633064516129028E-2</v>
      </c>
      <c r="G77" s="1329">
        <f t="shared" si="21"/>
        <v>3.6335397755857687E-2</v>
      </c>
      <c r="H77" s="1333">
        <f t="shared" si="18"/>
        <v>-1.4592000000000001E-2</v>
      </c>
      <c r="I77" s="1306">
        <f t="shared" si="9"/>
        <v>1.5378973105134476E-2</v>
      </c>
      <c r="J77" s="1252">
        <f>TableUK7!C80</f>
        <v>1.5378973105134476E-2</v>
      </c>
      <c r="K77" s="63">
        <v>0</v>
      </c>
      <c r="L77" s="62">
        <f t="shared" si="19"/>
        <v>1.7977330853289932</v>
      </c>
      <c r="M77" s="62">
        <f>AVERAGE(DataUK4!O233:O234)/DataUK1!B80</f>
        <v>1.7977330853289932</v>
      </c>
      <c r="N77" s="62">
        <v>0</v>
      </c>
      <c r="O77" s="62">
        <f>AVERAGE(DataUK4!H233:H234)/DataUK1!B80</f>
        <v>1.8057544757033248</v>
      </c>
      <c r="P77" s="62">
        <f t="shared" si="20"/>
        <v>0.99555787318693623</v>
      </c>
      <c r="Q77" s="1352">
        <f>DataUK1!GW81/DataUK1!B81</f>
        <v>7.8386308068459656E-2</v>
      </c>
      <c r="R77" s="913"/>
      <c r="S77" s="1431"/>
      <c r="U77" s="720"/>
      <c r="V77" s="1350">
        <f t="shared" si="22"/>
        <v>0</v>
      </c>
      <c r="W77" s="1432">
        <f>D77-(TableUK5b!G77-TableUK5a!G77)</f>
        <v>0</v>
      </c>
      <c r="X77" s="68"/>
    </row>
    <row r="78" spans="1:24" ht="12" customHeight="1">
      <c r="A78" s="932">
        <f t="shared" si="16"/>
        <v>1923</v>
      </c>
      <c r="B78" s="914">
        <f>TableUK1!D79</f>
        <v>184.81632352941176</v>
      </c>
      <c r="C78" s="915">
        <f t="shared" si="10"/>
        <v>5.1421884601806855E-2</v>
      </c>
      <c r="D78" s="62">
        <f>TableUK12c!F94</f>
        <v>7.4888836882752163E-3</v>
      </c>
      <c r="E78" s="1742">
        <f t="shared" si="17"/>
        <v>0.50350602796865618</v>
      </c>
      <c r="F78" s="1322">
        <f>TableUK12d!F93</f>
        <v>2.5213867627194957E-2</v>
      </c>
      <c r="G78" s="1329">
        <f t="shared" si="21"/>
        <v>7.317779626319898E-2</v>
      </c>
      <c r="H78" s="1333">
        <f t="shared" si="18"/>
        <v>-1.4592000000000001E-2</v>
      </c>
      <c r="I78" s="1306">
        <f t="shared" si="9"/>
        <v>1.7297698589458059E-2</v>
      </c>
      <c r="J78" s="1252">
        <f>TableUK7!C81</f>
        <v>1.7297698589458059E-2</v>
      </c>
      <c r="K78" s="63">
        <v>0</v>
      </c>
      <c r="L78" s="62">
        <f t="shared" si="19"/>
        <v>1.8857701711491444</v>
      </c>
      <c r="M78" s="62">
        <f>AVERAGE(DataUK4!O234:O235)/DataUK1!B81</f>
        <v>1.8857701711491444</v>
      </c>
      <c r="N78" s="62">
        <v>0</v>
      </c>
      <c r="O78" s="62">
        <f>AVERAGE(DataUK4!H234:H235)/DataUK1!B81</f>
        <v>1.897322738386308</v>
      </c>
      <c r="P78" s="62">
        <f t="shared" si="20"/>
        <v>0.99391112170669005</v>
      </c>
      <c r="Q78" s="1352">
        <f>DataUK1!GW82/DataUK1!B82</f>
        <v>7.5946547884187102E-2</v>
      </c>
      <c r="R78" s="913"/>
      <c r="S78" s="1431"/>
      <c r="U78" s="720"/>
      <c r="V78" s="1350">
        <f t="shared" si="22"/>
        <v>0</v>
      </c>
      <c r="W78" s="1432">
        <f>D78-(TableUK5b!G78-TableUK5a!G78)</f>
        <v>0</v>
      </c>
      <c r="X78" s="68"/>
    </row>
    <row r="79" spans="1:24" ht="12" customHeight="1">
      <c r="A79" s="932">
        <f t="shared" si="16"/>
        <v>1924</v>
      </c>
      <c r="B79" s="914">
        <f>TableUK1!D80</f>
        <v>190.68396505376344</v>
      </c>
      <c r="C79" s="915">
        <f t="shared" si="10"/>
        <v>3.1748502579740601E-2</v>
      </c>
      <c r="D79" s="62">
        <f>TableUK12c!F95</f>
        <v>-4.1551246537396124E-3</v>
      </c>
      <c r="E79" s="1742">
        <f t="shared" si="17"/>
        <v>0.50497268818575258</v>
      </c>
      <c r="F79" s="1322">
        <f>TableUK12d!F94</f>
        <v>1.647554411420547E-2</v>
      </c>
      <c r="G79" s="1329">
        <f t="shared" si="21"/>
        <v>5.0076595366529648E-2</v>
      </c>
      <c r="H79" s="1333">
        <f t="shared" si="18"/>
        <v>-1.4592000000000001E-2</v>
      </c>
      <c r="I79" s="1306">
        <f t="shared" si="9"/>
        <v>1.9013744875813841E-2</v>
      </c>
      <c r="J79" s="1252">
        <f>TableUK7!C82</f>
        <v>1.9013744875813841E-2</v>
      </c>
      <c r="K79" s="63">
        <v>0</v>
      </c>
      <c r="L79" s="62">
        <f t="shared" si="19"/>
        <v>1.8883939618906214</v>
      </c>
      <c r="M79" s="62">
        <f>AVERAGE(DataUK4!O235:O236)/DataUK1!B82</f>
        <v>1.8883939618906214</v>
      </c>
      <c r="N79" s="62">
        <v>0</v>
      </c>
      <c r="O79" s="62">
        <f>AVERAGE(DataUK4!H235:H236)/DataUK1!B82</f>
        <v>1.9021776787923783</v>
      </c>
      <c r="P79" s="62">
        <f t="shared" si="20"/>
        <v>0.99275371746002838</v>
      </c>
      <c r="Q79" s="1352">
        <f>DataUK1!GW83/DataUK1!B83</f>
        <v>7.5186882083433812E-2</v>
      </c>
      <c r="R79" s="913"/>
      <c r="S79" s="1431"/>
      <c r="U79" s="720"/>
      <c r="V79" s="1350">
        <f t="shared" si="22"/>
        <v>0</v>
      </c>
      <c r="W79" s="1432">
        <f>D79-(TableUK5b!G79-TableUK5a!G79)</f>
        <v>0</v>
      </c>
      <c r="X79" s="68"/>
    </row>
    <row r="80" spans="1:24" s="920" customFormat="1" ht="12" customHeight="1">
      <c r="A80" s="932">
        <f t="shared" si="16"/>
        <v>1925</v>
      </c>
      <c r="B80" s="914">
        <f>TableUK1!D81</f>
        <v>195.3740456989247</v>
      </c>
      <c r="C80" s="915">
        <f t="shared" si="10"/>
        <v>2.4596093561610743E-2</v>
      </c>
      <c r="D80" s="62">
        <f>TableUK12c!F96</f>
        <v>-5.6607881558893968E-3</v>
      </c>
      <c r="E80" s="1742">
        <f t="shared" si="17"/>
        <v>0.50150421509814103</v>
      </c>
      <c r="F80" s="1322">
        <f>TableUK12d!F95</f>
        <v>1.9875346260387804E-2</v>
      </c>
      <c r="G80" s="1328">
        <f t="shared" si="21"/>
        <v>3.2626604368244549E-2</v>
      </c>
      <c r="H80" s="1333">
        <f t="shared" si="18"/>
        <v>-1.4592000000000001E-2</v>
      </c>
      <c r="I80" s="1311">
        <f t="shared" si="9"/>
        <v>1.6474464579901153E-2</v>
      </c>
      <c r="J80" s="1252">
        <f>TableUK7!C83</f>
        <v>1.6474464579901153E-2</v>
      </c>
      <c r="K80" s="63">
        <v>0</v>
      </c>
      <c r="L80" s="62">
        <f t="shared" si="19"/>
        <v>1.823209549071618</v>
      </c>
      <c r="M80" s="62">
        <f>AVERAGE(DataUK4!O236:O237)/DataUK1!B83</f>
        <v>1.823209549071618</v>
      </c>
      <c r="N80" s="62">
        <v>0</v>
      </c>
      <c r="O80" s="62">
        <f>AVERAGE(DataUK4!H236:H237)/DataUK1!B83</f>
        <v>1.8446587894863755</v>
      </c>
      <c r="P80" s="62">
        <f t="shared" si="20"/>
        <v>0.98837224502601384</v>
      </c>
      <c r="Q80" s="1347">
        <f>DataUK1!GW84/DataUK1!B84</f>
        <v>7.2440574252765358E-2</v>
      </c>
      <c r="R80" s="1317"/>
      <c r="S80" s="1431"/>
      <c r="U80" s="720"/>
      <c r="V80" s="1350">
        <f t="shared" si="22"/>
        <v>0</v>
      </c>
      <c r="W80" s="1432">
        <f>D80-(TableUK5b!G80-TableUK5a!G80)</f>
        <v>0</v>
      </c>
      <c r="X80" s="68"/>
    </row>
    <row r="81" spans="1:24" ht="12" customHeight="1">
      <c r="A81" s="932">
        <f t="shared" si="16"/>
        <v>1926</v>
      </c>
      <c r="B81" s="914">
        <f>TableUK1!D82</f>
        <v>191.39108108108107</v>
      </c>
      <c r="C81" s="915">
        <f t="shared" si="10"/>
        <v>-2.0386354817985675E-2</v>
      </c>
      <c r="D81" s="62">
        <f>TableUK12c!F97</f>
        <v>-1.5172413793103448E-2</v>
      </c>
      <c r="E81" s="1742">
        <f t="shared" si="17"/>
        <v>0.5244634895869843</v>
      </c>
      <c r="F81" s="1322">
        <f>TableUK12d!F96</f>
        <v>2.5386457652950133E-2</v>
      </c>
      <c r="G81" s="1329">
        <f t="shared" si="21"/>
        <v>3.9631464027671891E-2</v>
      </c>
      <c r="H81" s="1333">
        <f t="shared" si="18"/>
        <v>-1.4592000000000001E-2</v>
      </c>
      <c r="I81" s="1306">
        <f t="shared" si="9"/>
        <v>1.2077294685990338E-2</v>
      </c>
      <c r="J81" s="1252">
        <f>TableUK7!C84</f>
        <v>1.2077294685990338E-2</v>
      </c>
      <c r="K81" s="63">
        <v>0</v>
      </c>
      <c r="L81" s="62">
        <f t="shared" si="19"/>
        <v>1.7888091315603671</v>
      </c>
      <c r="M81" s="62">
        <f>AVERAGE(DataUK4!O237:O238)/DataUK1!B84</f>
        <v>1.7888091315603671</v>
      </c>
      <c r="N81" s="62">
        <v>0</v>
      </c>
      <c r="O81" s="62">
        <f>AVERAGE(DataUK4!H237:H238)/DataUK1!B84</f>
        <v>1.798823252530007</v>
      </c>
      <c r="P81" s="62">
        <f t="shared" si="20"/>
        <v>0.99443296001674697</v>
      </c>
      <c r="Q81" s="1352">
        <f>DataUK1!GW85/DataUK1!B85</f>
        <v>7.6859903381642516E-2</v>
      </c>
      <c r="R81" s="913"/>
      <c r="S81" s="1431"/>
      <c r="U81" s="720"/>
      <c r="V81" s="1350">
        <f t="shared" si="22"/>
        <v>0</v>
      </c>
      <c r="W81" s="1432">
        <f>D81-(TableUK5b!G81-TableUK5a!G81)</f>
        <v>0</v>
      </c>
      <c r="X81" s="68"/>
    </row>
    <row r="82" spans="1:24" ht="12" customHeight="1">
      <c r="A82" s="932">
        <f t="shared" si="16"/>
        <v>1927</v>
      </c>
      <c r="B82" s="914">
        <f>TableUK1!D83</f>
        <v>210.67658333333335</v>
      </c>
      <c r="C82" s="915">
        <f t="shared" si="10"/>
        <v>0.10076489533011301</v>
      </c>
      <c r="D82" s="62">
        <f>TableUK12c!F98</f>
        <v>-1.7493986442160513E-3</v>
      </c>
      <c r="E82" s="1742">
        <f t="shared" si="17"/>
        <v>0.49222730403963216</v>
      </c>
      <c r="F82" s="1322">
        <f>TableUK12d!F97</f>
        <v>3.1747126436781625E-2</v>
      </c>
      <c r="G82" s="1329">
        <f t="shared" si="21"/>
        <v>4.8404623309321305E-2</v>
      </c>
      <c r="H82" s="1333">
        <f t="shared" si="18"/>
        <v>-1.4592000000000001E-2</v>
      </c>
      <c r="I82" s="1306">
        <f t="shared" si="9"/>
        <v>1.1276499774470004E-2</v>
      </c>
      <c r="J82" s="1252">
        <f>TableUK7!C85</f>
        <v>1.1276499774470004E-2</v>
      </c>
      <c r="K82" s="63">
        <v>0</v>
      </c>
      <c r="L82" s="62">
        <f t="shared" si="19"/>
        <v>1.8539009661835748</v>
      </c>
      <c r="M82" s="62">
        <f>AVERAGE(DataUK4!O238:O239)/DataUK1!B85</f>
        <v>1.8539009661835748</v>
      </c>
      <c r="N82" s="62">
        <v>0</v>
      </c>
      <c r="O82" s="62">
        <f>AVERAGE(DataUK4!H238:H239)/DataUK1!B85</f>
        <v>1.8458574879227054</v>
      </c>
      <c r="P82" s="62">
        <f t="shared" si="20"/>
        <v>1.0043575835694236</v>
      </c>
      <c r="Q82" s="1352">
        <f>DataUK1!GW86/DataUK1!B86</f>
        <v>7.0681100586377998E-2</v>
      </c>
      <c r="R82" s="913"/>
      <c r="S82" s="1431"/>
      <c r="U82" s="720"/>
      <c r="V82" s="1350">
        <f t="shared" si="22"/>
        <v>0</v>
      </c>
      <c r="W82" s="1432">
        <f>D82-(TableUK5b!G82-TableUK5a!G82)</f>
        <v>3.4694469519536142E-18</v>
      </c>
      <c r="X82" s="68"/>
    </row>
    <row r="83" spans="1:24" ht="12" customHeight="1">
      <c r="A83" s="932">
        <f t="shared" si="16"/>
        <v>1928</v>
      </c>
      <c r="B83" s="914">
        <f>TableUK1!D84</f>
        <v>212.43459722222224</v>
      </c>
      <c r="C83" s="915">
        <f t="shared" si="10"/>
        <v>8.3446098331076968E-3</v>
      </c>
      <c r="D83" s="62">
        <f>TableUK12c!F99</f>
        <v>-3.2502708559046592E-3</v>
      </c>
      <c r="E83" s="1742">
        <f t="shared" si="17"/>
        <v>0.51205569063572431</v>
      </c>
      <c r="F83" s="1322">
        <f>TableUK12d!F98</f>
        <v>3.0155259129674181E-2</v>
      </c>
      <c r="G83" s="1329">
        <f t="shared" si="21"/>
        <v>6.449688218479134E-2</v>
      </c>
      <c r="H83" s="1333">
        <f t="shared" si="18"/>
        <v>-1.4592000000000001E-2</v>
      </c>
      <c r="I83" s="1306">
        <f t="shared" si="9"/>
        <v>8.9465443972265718E-3</v>
      </c>
      <c r="J83" s="1252">
        <f>TableUK7!C86</f>
        <v>8.9465443972265718E-3</v>
      </c>
      <c r="K83" s="63">
        <v>0</v>
      </c>
      <c r="L83" s="62">
        <f t="shared" si="19"/>
        <v>1.7167794316644114</v>
      </c>
      <c r="M83" s="62">
        <f>AVERAGE(DataUK4!O239:O240)/DataUK1!B86</f>
        <v>1.7167794316644114</v>
      </c>
      <c r="N83" s="62">
        <v>0</v>
      </c>
      <c r="O83" s="62">
        <f>AVERAGE(DataUK4!H239:H240)/DataUK1!B86</f>
        <v>1.7198804691023906</v>
      </c>
      <c r="P83" s="62">
        <f t="shared" si="20"/>
        <v>0.99819694595427455</v>
      </c>
      <c r="Q83" s="1352">
        <f>DataUK1!GW87/DataUK1!B87</f>
        <v>6.9581749049429667E-2</v>
      </c>
      <c r="R83" s="913"/>
      <c r="S83" s="1431"/>
      <c r="U83" s="720"/>
      <c r="V83" s="1350">
        <f t="shared" si="22"/>
        <v>0</v>
      </c>
      <c r="W83" s="1432">
        <f>D83-(TableUK5b!G83-TableUK5a!G83)</f>
        <v>6.9388939039072284E-18</v>
      </c>
      <c r="X83" s="68"/>
    </row>
    <row r="84" spans="1:24" ht="12" customHeight="1">
      <c r="A84" s="934">
        <f t="shared" si="16"/>
        <v>1929</v>
      </c>
      <c r="B84" s="921">
        <f>TableUK1!D85</f>
        <v>217.31998595505615</v>
      </c>
      <c r="C84" s="922">
        <f t="shared" si="10"/>
        <v>2.29971426345561E-2</v>
      </c>
      <c r="D84" s="1314">
        <f>TableUK12c!F100</f>
        <v>-8.5524909129784058E-3</v>
      </c>
      <c r="E84" s="1326">
        <f t="shared" si="17"/>
        <v>0.52228787874267668</v>
      </c>
      <c r="F84" s="1323">
        <f>TableUK12d!F99</f>
        <v>2.4160346695557965E-2</v>
      </c>
      <c r="G84" s="1340">
        <f t="shared" si="21"/>
        <v>5.8890584913207401E-2</v>
      </c>
      <c r="H84" s="1336">
        <f t="shared" si="18"/>
        <v>-1.4592000000000001E-2</v>
      </c>
      <c r="I84" s="1309">
        <f t="shared" si="9"/>
        <v>6.7919522440857832E-2</v>
      </c>
      <c r="J84" s="1253">
        <f>TableUK7!C87</f>
        <v>6.7919522440857832E-2</v>
      </c>
      <c r="K84" s="948">
        <v>0</v>
      </c>
      <c r="L84" s="1314">
        <f t="shared" si="19"/>
        <v>1.7156676358756431</v>
      </c>
      <c r="M84" s="1314">
        <f>AVERAGE(DataUK4!O240:O241)/DataUK1!B87</f>
        <v>1.7156676358756431</v>
      </c>
      <c r="N84" s="1314">
        <v>0</v>
      </c>
      <c r="O84" s="1314">
        <f>AVERAGE(DataUK4!H240:H241)/DataUK1!B87</f>
        <v>1.7017557593379555</v>
      </c>
      <c r="P84" s="1314">
        <f t="shared" si="20"/>
        <v>1.0081750136359755</v>
      </c>
      <c r="Q84" s="1353">
        <f>DataUK1!GW88/DataUK1!B88</f>
        <v>6.785319478222418E-2</v>
      </c>
      <c r="R84" s="913"/>
      <c r="S84" s="1431"/>
      <c r="U84" s="720"/>
      <c r="V84" s="1350">
        <f t="shared" si="22"/>
        <v>0</v>
      </c>
      <c r="W84" s="1432">
        <f>D84-(TableUK5b!G84-TableUK5a!G84)</f>
        <v>0</v>
      </c>
      <c r="X84" s="68"/>
    </row>
    <row r="85" spans="1:24" ht="12" customHeight="1">
      <c r="A85" s="932">
        <f t="shared" si="16"/>
        <v>1930</v>
      </c>
      <c r="B85" s="914">
        <f>TableUK1!D86</f>
        <v>213.02151734104046</v>
      </c>
      <c r="C85" s="915">
        <f t="shared" si="10"/>
        <v>-1.9779444560173332E-2</v>
      </c>
      <c r="D85" s="62">
        <f>TableUK12c!F101</f>
        <v>-1.4970709481449337E-2</v>
      </c>
      <c r="E85" s="1742">
        <f t="shared" si="17"/>
        <v>0.54934009488407987</v>
      </c>
      <c r="F85" s="1322">
        <f>TableUK12d!F100</f>
        <v>2.2642719692110336E-2</v>
      </c>
      <c r="G85" s="1329">
        <f t="shared" si="21"/>
        <v>4.6258677788425955E-2</v>
      </c>
      <c r="H85" s="1333">
        <f t="shared" si="18"/>
        <v>-1.4592000000000001E-2</v>
      </c>
      <c r="I85" s="1306">
        <f t="shared" si="9"/>
        <v>7.5771640751914601E-2</v>
      </c>
      <c r="J85" s="1252">
        <f>TableUK7!C88</f>
        <v>7.5771640751914601E-2</v>
      </c>
      <c r="K85" s="63">
        <v>0</v>
      </c>
      <c r="L85" s="62">
        <f t="shared" si="19"/>
        <v>1.680820252045103</v>
      </c>
      <c r="M85" s="62">
        <f>AVERAGE(DataUK4!O241:O242)/DataUK1!B88</f>
        <v>1.680820252045103</v>
      </c>
      <c r="N85" s="62">
        <v>0</v>
      </c>
      <c r="O85" s="62">
        <f>AVERAGE(DataUK4!H241:H242)/DataUK1!B88</f>
        <v>1.6779902719434003</v>
      </c>
      <c r="P85" s="62">
        <f t="shared" si="20"/>
        <v>1.0016865295043844</v>
      </c>
      <c r="Q85" s="1352">
        <f>DataUK1!GW89/DataUK1!B89</f>
        <v>6.7950800649802745E-2</v>
      </c>
      <c r="R85" s="913"/>
      <c r="S85" s="1431"/>
      <c r="U85" s="720"/>
      <c r="V85" s="1350">
        <f t="shared" si="22"/>
        <v>0</v>
      </c>
      <c r="W85" s="1432">
        <f>D85-(TableUK5b!G85-TableUK5a!G85)</f>
        <v>0</v>
      </c>
      <c r="X85" s="68"/>
    </row>
    <row r="86" spans="1:24" ht="12" customHeight="1">
      <c r="A86" s="932">
        <f t="shared" si="16"/>
        <v>1931</v>
      </c>
      <c r="B86" s="914">
        <f>TableUK1!D87</f>
        <v>208.86647590361443</v>
      </c>
      <c r="C86" s="915">
        <f t="shared" si="10"/>
        <v>-1.950526636599792E-2</v>
      </c>
      <c r="D86" s="62">
        <f>TableUK12c!F102</f>
        <v>-1.9612476370510397E-2</v>
      </c>
      <c r="E86" s="1742">
        <f t="shared" si="17"/>
        <v>0.57484902469276078</v>
      </c>
      <c r="F86" s="1322">
        <f>TableUK12d!F101</f>
        <v>2.4213495335213706E-2</v>
      </c>
      <c r="G86" s="1329">
        <f t="shared" si="21"/>
        <v>4.121803579053944E-2</v>
      </c>
      <c r="H86" s="1333">
        <f t="shared" si="18"/>
        <v>-1.4592000000000001E-2</v>
      </c>
      <c r="I86" s="1306">
        <f t="shared" si="9"/>
        <v>8.0217069560927487E-2</v>
      </c>
      <c r="J86" s="1252">
        <f>TableUK7!C89</f>
        <v>8.0217069560927487E-2</v>
      </c>
      <c r="K86" s="63">
        <v>0</v>
      </c>
      <c r="L86" s="62">
        <f t="shared" si="19"/>
        <v>1.8243211882107218</v>
      </c>
      <c r="M86" s="62">
        <f>AVERAGE(DataUK4!O242:O243)/DataUK1!B89</f>
        <v>1.8243211882107218</v>
      </c>
      <c r="N86" s="62">
        <v>0</v>
      </c>
      <c r="O86" s="62">
        <f>AVERAGE(DataUK4!H242:H243)/DataUK1!B89</f>
        <v>1.767335808772337</v>
      </c>
      <c r="P86" s="62">
        <f t="shared" si="20"/>
        <v>1.0322436625544125</v>
      </c>
      <c r="Q86" s="1352">
        <f>DataUK1!GW90/DataUK1!B90</f>
        <v>7.1312284163788861E-2</v>
      </c>
      <c r="R86" s="913"/>
      <c r="S86" s="1431"/>
      <c r="U86" s="720"/>
      <c r="V86" s="1350">
        <f t="shared" si="22"/>
        <v>0</v>
      </c>
      <c r="W86" s="1432">
        <f>D86-(TableUK5b!G86-TableUK5a!G86)</f>
        <v>0</v>
      </c>
      <c r="X86" s="68"/>
    </row>
    <row r="87" spans="1:24" ht="12" customHeight="1">
      <c r="A87" s="932">
        <f t="shared" si="16"/>
        <v>1932</v>
      </c>
      <c r="B87" s="914">
        <f>TableUK1!D88</f>
        <v>211.48959876543208</v>
      </c>
      <c r="C87" s="915">
        <f t="shared" si="10"/>
        <v>1.255885057891315E-2</v>
      </c>
      <c r="D87" s="62">
        <f>TableUK12c!F103</f>
        <v>-8.4951456310679609E-3</v>
      </c>
      <c r="E87" s="1742">
        <f t="shared" si="17"/>
        <v>0.58299919989659899</v>
      </c>
      <c r="F87" s="1322">
        <f>TableUK12d!F102</f>
        <v>2.8260869565217381E-2</v>
      </c>
      <c r="G87" s="1329">
        <f t="shared" si="21"/>
        <v>4.2121486329658606E-2</v>
      </c>
      <c r="H87" s="1333">
        <f t="shared" si="18"/>
        <v>-1.4592000000000001E-2</v>
      </c>
      <c r="I87" s="1306">
        <f t="shared" si="9"/>
        <v>7.239141288067899E-2</v>
      </c>
      <c r="J87" s="1252">
        <f>TableUK7!C90</f>
        <v>7.239141288067899E-2</v>
      </c>
      <c r="K87" s="63">
        <v>0</v>
      </c>
      <c r="L87" s="62">
        <f t="shared" si="19"/>
        <v>2.0914898865318206</v>
      </c>
      <c r="M87" s="62">
        <f>AVERAGE(DataUK4!O243:O244)/DataUK1!B90</f>
        <v>2.0914898865318206</v>
      </c>
      <c r="N87" s="62">
        <v>0</v>
      </c>
      <c r="O87" s="62">
        <f>AVERAGE(DataUK4!H243:H244)/DataUK1!B90</f>
        <v>1.9126418352244701</v>
      </c>
      <c r="P87" s="62">
        <f t="shared" si="20"/>
        <v>1.0935083861565542</v>
      </c>
      <c r="Q87" s="1352">
        <f>DataUK1!GW91/DataUK1!B91</f>
        <v>7.0344483275087369E-2</v>
      </c>
      <c r="R87" s="913"/>
      <c r="S87" s="1431"/>
      <c r="U87" s="720"/>
      <c r="V87" s="1350">
        <f t="shared" si="22"/>
        <v>0</v>
      </c>
      <c r="W87" s="1432">
        <f>D87-(TableUK5b!G87-TableUK5a!G87)</f>
        <v>0</v>
      </c>
      <c r="X87" s="68"/>
    </row>
    <row r="88" spans="1:24" ht="12" customHeight="1">
      <c r="A88" s="932">
        <f t="shared" si="16"/>
        <v>1933</v>
      </c>
      <c r="B88" s="914">
        <f>TableUK1!D89</f>
        <v>226.31647151898736</v>
      </c>
      <c r="C88" s="915">
        <f t="shared" si="10"/>
        <v>7.0106865018927378E-2</v>
      </c>
      <c r="D88" s="62">
        <f>TableUK12c!F104</f>
        <v>-8.2324455205811144E-3</v>
      </c>
      <c r="E88" s="1742">
        <f t="shared" si="17"/>
        <v>0.56287888828521415</v>
      </c>
      <c r="F88" s="1322">
        <f>TableUK12d!F103</f>
        <v>2.055825242718446E-2</v>
      </c>
      <c r="G88" s="1329">
        <f t="shared" si="21"/>
        <v>4.8474971441178211E-2</v>
      </c>
      <c r="H88" s="1333">
        <f t="shared" si="18"/>
        <v>-1.4592000000000001E-2</v>
      </c>
      <c r="I88" s="1306">
        <f t="shared" si="9"/>
        <v>7.1753169098301844E-2</v>
      </c>
      <c r="J88" s="1252">
        <f>TableUK7!C91</f>
        <v>7.1753169098301844E-2</v>
      </c>
      <c r="K88" s="63">
        <v>0</v>
      </c>
      <c r="L88" s="62">
        <f t="shared" si="19"/>
        <v>2.2315401897154268</v>
      </c>
      <c r="M88" s="62">
        <f>AVERAGE(DataUK4!O244:O245)/DataUK1!B91</f>
        <v>2.2315401897154268</v>
      </c>
      <c r="N88" s="62">
        <v>0</v>
      </c>
      <c r="O88" s="62">
        <f>AVERAGE(DataUK4!H244:H245)/DataUK1!B91</f>
        <v>1.9832875686470295</v>
      </c>
      <c r="P88" s="62">
        <f t="shared" si="20"/>
        <v>1.1251722770781807</v>
      </c>
      <c r="Q88" s="1352">
        <f>DataUK1!GW92/DataUK1!B92</f>
        <v>5.1638364027744563E-2</v>
      </c>
      <c r="R88" s="913"/>
      <c r="S88" s="1431"/>
      <c r="U88" s="720"/>
      <c r="V88" s="1350">
        <f t="shared" si="22"/>
        <v>0</v>
      </c>
      <c r="W88" s="1432">
        <f>D88-(TableUK5b!G88-TableUK5a!G88)</f>
        <v>0</v>
      </c>
      <c r="X88" s="68"/>
    </row>
    <row r="89" spans="1:24" ht="12" customHeight="1">
      <c r="A89" s="932">
        <f t="shared" si="16"/>
        <v>1934</v>
      </c>
      <c r="B89" s="914">
        <f>TableUK1!D90</f>
        <v>239.36174050632911</v>
      </c>
      <c r="C89" s="915">
        <f t="shared" si="10"/>
        <v>5.764171250896899E-2</v>
      </c>
      <c r="D89" s="62">
        <f>TableUK12c!F105</f>
        <v>-4.5475216007276036E-3</v>
      </c>
      <c r="E89" s="1742">
        <f t="shared" si="17"/>
        <v>0.54359015832618063</v>
      </c>
      <c r="F89" s="1322">
        <f>TableUK12d!F104</f>
        <v>1.2881355932203386E-2</v>
      </c>
      <c r="G89" s="1329">
        <f t="shared" si="21"/>
        <v>3.6523402911440281E-2</v>
      </c>
      <c r="H89" s="1333">
        <f t="shared" si="18"/>
        <v>-1.4592000000000001E-2</v>
      </c>
      <c r="I89" s="1306">
        <f t="shared" si="9"/>
        <v>6.7842605156037988E-2</v>
      </c>
      <c r="J89" s="1252">
        <f>TableUK7!C92</f>
        <v>6.7842605156037988E-2</v>
      </c>
      <c r="K89" s="63">
        <v>0</v>
      </c>
      <c r="L89" s="62">
        <f t="shared" si="19"/>
        <v>2.1817149007414494</v>
      </c>
      <c r="M89" s="62">
        <f>AVERAGE(DataUK4!O245:O246)/DataUK1!B92</f>
        <v>2.1817149007414494</v>
      </c>
      <c r="N89" s="62">
        <v>0</v>
      </c>
      <c r="O89" s="62">
        <f>AVERAGE(DataUK4!H245:H246)/DataUK1!B92</f>
        <v>1.9053814876823725</v>
      </c>
      <c r="P89" s="62">
        <f t="shared" si="20"/>
        <v>1.1450278670415748</v>
      </c>
      <c r="Q89" s="1352">
        <f>DataUK1!GW93/DataUK1!B93</f>
        <v>4.778380823156942E-2</v>
      </c>
      <c r="R89" s="913"/>
      <c r="S89" s="1431"/>
      <c r="U89" s="720"/>
      <c r="V89" s="1350">
        <f t="shared" si="22"/>
        <v>0</v>
      </c>
      <c r="W89" s="1432">
        <f>D89-(TableUK5b!G89-TableUK5a!G89)</f>
        <v>0</v>
      </c>
      <c r="X89" s="68"/>
    </row>
    <row r="90" spans="1:24" s="920" customFormat="1" ht="12" customHeight="1">
      <c r="A90" s="932">
        <f t="shared" si="16"/>
        <v>1935</v>
      </c>
      <c r="B90" s="914">
        <f>TableUK1!D91</f>
        <v>248.82933962264161</v>
      </c>
      <c r="C90" s="915">
        <f t="shared" si="10"/>
        <v>3.955351885512437E-2</v>
      </c>
      <c r="D90" s="62">
        <f>TableUK12c!F106</f>
        <v>-1.0642919200695046E-2</v>
      </c>
      <c r="E90" s="1742">
        <f t="shared" si="17"/>
        <v>0.52748749532995021</v>
      </c>
      <c r="F90" s="1322">
        <f>TableUK12d!F105</f>
        <v>1.3210550250113693E-2</v>
      </c>
      <c r="G90" s="1329">
        <f t="shared" si="21"/>
        <v>2.3696815946535117E-2</v>
      </c>
      <c r="H90" s="1333">
        <f t="shared" si="18"/>
        <v>-1.4592000000000001E-2</v>
      </c>
      <c r="I90" s="1306">
        <f t="shared" ref="I90:I121" si="23">J90+K90</f>
        <v>6.9174232598357102E-2</v>
      </c>
      <c r="J90" s="1252">
        <f>TableUK7!C93</f>
        <v>6.9174232598357102E-2</v>
      </c>
      <c r="K90" s="63">
        <v>0</v>
      </c>
      <c r="L90" s="62">
        <f t="shared" si="19"/>
        <v>2.0391338760741746</v>
      </c>
      <c r="M90" s="62">
        <f>AVERAGE(DataUK4!O246:O247)/DataUK1!B93</f>
        <v>2.0391338760741746</v>
      </c>
      <c r="N90" s="62">
        <v>0</v>
      </c>
      <c r="O90" s="62">
        <f>AVERAGE(DataUK4!H246:H247)/DataUK1!B93</f>
        <v>1.7869742198100407</v>
      </c>
      <c r="P90" s="62">
        <f t="shared" si="20"/>
        <v>1.1411098456087068</v>
      </c>
      <c r="Q90" s="1352">
        <f>DataUK1!GW94/DataUK1!B94</f>
        <v>4.5633376567228698E-2</v>
      </c>
      <c r="R90" s="913"/>
      <c r="S90" s="1431"/>
      <c r="U90" s="720"/>
      <c r="V90" s="1350">
        <f t="shared" si="22"/>
        <v>0</v>
      </c>
      <c r="W90" s="1432">
        <f>D90-(TableUK5b!G90-TableUK5a!G90)</f>
        <v>0</v>
      </c>
      <c r="X90" s="68"/>
    </row>
    <row r="91" spans="1:24" ht="12" customHeight="1">
      <c r="A91" s="932">
        <f t="shared" si="16"/>
        <v>1936</v>
      </c>
      <c r="B91" s="914">
        <f>TableUK1!D92</f>
        <v>265.28785937500004</v>
      </c>
      <c r="C91" s="915">
        <f t="shared" ref="C91:C154" si="24">B91/B90-1</f>
        <v>6.6143806744487499E-2</v>
      </c>
      <c r="D91" s="62">
        <f>TableUK12c!F107</f>
        <v>-9.1992473343090117E-3</v>
      </c>
      <c r="E91" s="1742">
        <f t="shared" si="17"/>
        <v>0.4997526378040037</v>
      </c>
      <c r="F91" s="1322">
        <f>TableUK12d!F106</f>
        <v>1.7919200695047797E-2</v>
      </c>
      <c r="G91" s="1329">
        <f t="shared" si="21"/>
        <v>2.5044290844942824E-2</v>
      </c>
      <c r="H91" s="1333">
        <f t="shared" si="18"/>
        <v>-1.4592000000000001E-2</v>
      </c>
      <c r="I91" s="1306">
        <f t="shared" si="23"/>
        <v>6.5484585935925849E-2</v>
      </c>
      <c r="J91" s="1252">
        <f>TableUK7!C94</f>
        <v>6.5484585935925849E-2</v>
      </c>
      <c r="K91" s="63">
        <v>0</v>
      </c>
      <c r="L91" s="62">
        <f t="shared" si="19"/>
        <v>1.9115002161694761</v>
      </c>
      <c r="M91" s="62">
        <f>AVERAGE(DataUK4!O247:O248)/DataUK1!B94</f>
        <v>1.9115002161694761</v>
      </c>
      <c r="N91" s="62">
        <v>0</v>
      </c>
      <c r="O91" s="62">
        <f>AVERAGE(DataUK4!H247:H248)/DataUK1!B94</f>
        <v>1.7089818417639426</v>
      </c>
      <c r="P91" s="62">
        <f t="shared" si="20"/>
        <v>1.1185023558802134</v>
      </c>
      <c r="Q91" s="1352">
        <f>DataUK1!GW95/DataUK1!B95</f>
        <v>4.2413862583115053E-2</v>
      </c>
      <c r="R91" s="913"/>
      <c r="S91" s="1431"/>
      <c r="U91" s="720"/>
      <c r="V91" s="1350">
        <f t="shared" si="22"/>
        <v>0</v>
      </c>
      <c r="W91" s="1432">
        <f>D91-(TableUK5b!G91-TableUK5a!G91)</f>
        <v>0</v>
      </c>
      <c r="X91" s="68"/>
    </row>
    <row r="92" spans="1:24" ht="12" customHeight="1">
      <c r="A92" s="932">
        <f t="shared" si="16"/>
        <v>1937</v>
      </c>
      <c r="B92" s="914">
        <f>TableUK1!D93</f>
        <v>268.1672439759036</v>
      </c>
      <c r="C92" s="915">
        <f t="shared" si="24"/>
        <v>1.0853812186080392E-2</v>
      </c>
      <c r="D92" s="62">
        <f>TableUK12c!F108</f>
        <v>-1.2069301148530271E-2</v>
      </c>
      <c r="E92" s="1742">
        <f t="shared" si="17"/>
        <v>0.5046406956991023</v>
      </c>
      <c r="F92" s="1322">
        <f>TableUK12d!F107</f>
        <v>2.3834413547982436E-2</v>
      </c>
      <c r="G92" s="1329">
        <f t="shared" si="21"/>
        <v>3.5856140297303378E-2</v>
      </c>
      <c r="H92" s="1333">
        <f t="shared" si="18"/>
        <v>-1.4592000000000001E-2</v>
      </c>
      <c r="I92" s="1306">
        <f t="shared" si="23"/>
        <v>6.2439961575408258E-2</v>
      </c>
      <c r="J92" s="1252">
        <f>TableUK7!C95</f>
        <v>6.2439961575408258E-2</v>
      </c>
      <c r="K92" s="63">
        <v>0</v>
      </c>
      <c r="L92" s="62">
        <f t="shared" si="19"/>
        <v>1.7442172073342734</v>
      </c>
      <c r="M92" s="62">
        <f>AVERAGE(DataUK4!O248:O249)/DataUK1!B95</f>
        <v>1.7442172073342734</v>
      </c>
      <c r="N92" s="62">
        <v>0</v>
      </c>
      <c r="O92" s="62">
        <f>AVERAGE(DataUK4!H248:H249)/DataUK1!B95</f>
        <v>1.617862180132984</v>
      </c>
      <c r="P92" s="62">
        <f t="shared" si="20"/>
        <v>1.0780999943956311</v>
      </c>
      <c r="Q92" s="1352">
        <f>DataUK1!GW96/DataUK1!B96</f>
        <v>4.1460134486071082E-2</v>
      </c>
      <c r="R92" s="913"/>
      <c r="S92" s="1431"/>
      <c r="U92" s="720"/>
      <c r="V92" s="1350">
        <f t="shared" si="22"/>
        <v>0</v>
      </c>
      <c r="W92" s="1432">
        <f>D92-(TableUK5b!G92-TableUK5a!G92)</f>
        <v>0</v>
      </c>
      <c r="X92" s="68"/>
    </row>
    <row r="93" spans="1:24" ht="12" customHeight="1">
      <c r="A93" s="935">
        <f t="shared" si="16"/>
        <v>1938</v>
      </c>
      <c r="B93" s="914">
        <f>TableUK1!D94</f>
        <v>266.34928571428577</v>
      </c>
      <c r="C93" s="915">
        <f t="shared" si="24"/>
        <v>-6.7791958281869791E-3</v>
      </c>
      <c r="D93" s="62">
        <f>TableUK12c!F109</f>
        <v>-2.7623285131627734E-2</v>
      </c>
      <c r="E93" s="1742">
        <f t="shared" si="17"/>
        <v>0.52431805522557962</v>
      </c>
      <c r="F93" s="1322">
        <f>TableUK12d!F108</f>
        <v>3.0212186100837077E-2</v>
      </c>
      <c r="G93" s="1329">
        <f t="shared" si="21"/>
        <v>4.7230462685859113E-2</v>
      </c>
      <c r="H93" s="1333">
        <f t="shared" si="18"/>
        <v>-1.4592000000000001E-2</v>
      </c>
      <c r="I93" s="1306">
        <f t="shared" si="23"/>
        <v>5.7339449541284407E-2</v>
      </c>
      <c r="J93" s="1252">
        <f>TableUK7!C96</f>
        <v>5.7339449541284407E-2</v>
      </c>
      <c r="K93" s="63">
        <v>0</v>
      </c>
      <c r="L93" s="62">
        <f t="shared" si="19"/>
        <v>1.6651200768491836</v>
      </c>
      <c r="M93" s="62">
        <f>AVERAGE(DataUK4!O249:O250)/DataUK1!B96</f>
        <v>1.6651200768491836</v>
      </c>
      <c r="N93" s="62">
        <v>0</v>
      </c>
      <c r="O93" s="62">
        <f>AVERAGE(DataUK4!H249:H250)/DataUK1!B96</f>
        <v>1.5802209414024975</v>
      </c>
      <c r="P93" s="62">
        <f t="shared" si="20"/>
        <v>1.0537261171664611</v>
      </c>
      <c r="Q93" s="1352">
        <f>DataUK1!GW97/DataUK1!B97</f>
        <v>4.1800458715596331E-2</v>
      </c>
      <c r="R93" s="913"/>
      <c r="S93" s="1431"/>
      <c r="U93" s="720"/>
      <c r="V93" s="1350">
        <f t="shared" si="22"/>
        <v>0</v>
      </c>
      <c r="W93" s="1432">
        <f>D93-(TableUK5b!G93-TableUK5a!G93)</f>
        <v>0</v>
      </c>
      <c r="X93" s="68"/>
    </row>
    <row r="94" spans="1:24" ht="12" customHeight="1">
      <c r="A94" s="932">
        <f t="shared" si="16"/>
        <v>1939</v>
      </c>
      <c r="B94" s="914">
        <f>TableUK1!D95</f>
        <v>283.86390173410399</v>
      </c>
      <c r="C94" s="915">
        <f t="shared" si="24"/>
        <v>6.5758073924802041E-2</v>
      </c>
      <c r="D94" s="62">
        <f>TableUK12c!F110</f>
        <v>-6.0230446927374302E-2</v>
      </c>
      <c r="E94" s="1326">
        <f t="shared" si="17"/>
        <v>0.51272286780117549</v>
      </c>
      <c r="F94" s="1323">
        <f>TableUK12d!F109</f>
        <v>3.4371523915461617E-2</v>
      </c>
      <c r="G94" s="1341">
        <f t="shared" si="21"/>
        <v>5.7621868634370708E-2</v>
      </c>
      <c r="H94" s="1336">
        <f t="shared" si="18"/>
        <v>-1.4592000000000001E-2</v>
      </c>
      <c r="I94" s="1310">
        <f t="shared" si="23"/>
        <v>6.9662138627655884E-2</v>
      </c>
      <c r="J94" s="1253">
        <f>TableUK7!C97</f>
        <v>6.9662138627655884E-2</v>
      </c>
      <c r="K94" s="63">
        <v>0</v>
      </c>
      <c r="L94" s="1572">
        <f t="shared" si="19"/>
        <v>1.7866207951070336</v>
      </c>
      <c r="M94" s="1314">
        <f>AVERAGE(DataUK4!O250:O251)/DataUK1!B97</f>
        <v>1.7866207951070336</v>
      </c>
      <c r="N94" s="1314">
        <v>0</v>
      </c>
      <c r="O94" s="1314">
        <f>AVERAGE(DataUK4!H250:H251)/DataUK1!B97</f>
        <v>1.661343654434251</v>
      </c>
      <c r="P94" s="1314">
        <f t="shared" si="20"/>
        <v>1.0754071202176676</v>
      </c>
      <c r="Q94" s="1579">
        <f>DataUK1!GW98/DataUK1!B98</f>
        <v>3.9811912225705334E-2</v>
      </c>
      <c r="R94" s="913"/>
      <c r="S94" s="1431"/>
      <c r="U94" s="720"/>
      <c r="V94" s="1350">
        <f t="shared" si="22"/>
        <v>0</v>
      </c>
      <c r="W94" s="1432">
        <f>D94-(TableUK5b!G94-TableUK5a!G94)</f>
        <v>0</v>
      </c>
      <c r="X94" s="68"/>
    </row>
    <row r="95" spans="1:24" ht="12" customHeight="1">
      <c r="A95" s="933">
        <f t="shared" si="16"/>
        <v>1940</v>
      </c>
      <c r="B95" s="916">
        <f>TableUK1!D96</f>
        <v>289.09143564356447</v>
      </c>
      <c r="C95" s="917">
        <f t="shared" si="24"/>
        <v>1.8415634666915537E-2</v>
      </c>
      <c r="D95" s="62">
        <f>TableUK12c!F111</f>
        <v>-0.3502278690788565</v>
      </c>
      <c r="E95" s="1742">
        <f t="shared" si="17"/>
        <v>0.52936264134341426</v>
      </c>
      <c r="F95" s="1322">
        <f>TableUK12d!F110</f>
        <v>2.4912709497206705E-2</v>
      </c>
      <c r="G95" s="1328">
        <f t="shared" si="21"/>
        <v>6.7037236046959894E-2</v>
      </c>
      <c r="H95" s="1333">
        <f t="shared" si="18"/>
        <v>-1.4592000000000001E-2</v>
      </c>
      <c r="I95" s="1306">
        <f t="shared" si="23"/>
        <v>8.5432532708455383E-2</v>
      </c>
      <c r="J95" s="1252">
        <f>TableUK7!C98</f>
        <v>8.5432532708455383E-2</v>
      </c>
      <c r="K95" s="1304">
        <v>0</v>
      </c>
      <c r="L95" s="62">
        <f t="shared" si="19"/>
        <v>1.9451497735980496</v>
      </c>
      <c r="M95" s="62">
        <f>AVERAGE(DataUK4!O251:O252)/DataUK1!B98</f>
        <v>1.9451497735980496</v>
      </c>
      <c r="N95" s="62">
        <v>0</v>
      </c>
      <c r="O95" s="62">
        <f>AVERAGE(DataUK4!H251:H252)/DataUK1!B98</f>
        <v>1.7969261581330551</v>
      </c>
      <c r="P95" s="62">
        <f t="shared" si="20"/>
        <v>1.0824873157943193</v>
      </c>
      <c r="Q95" s="1352">
        <f>DataUK1!GW99/DataUK1!B99</f>
        <v>3.4212067955477446E-2</v>
      </c>
      <c r="R95" s="913"/>
      <c r="S95" s="1431"/>
      <c r="U95" s="720"/>
      <c r="V95" s="1350">
        <f t="shared" si="22"/>
        <v>0</v>
      </c>
      <c r="W95" s="1432">
        <f>D95-(TableUK5b!G95-TableUK5a!G95)</f>
        <v>0</v>
      </c>
      <c r="X95" s="68"/>
    </row>
    <row r="96" spans="1:24" ht="12" customHeight="1">
      <c r="A96" s="932">
        <f t="shared" si="16"/>
        <v>1941</v>
      </c>
      <c r="B96" s="914">
        <f>TableUK1!D97</f>
        <v>302.39196428571432</v>
      </c>
      <c r="C96" s="915">
        <f t="shared" si="24"/>
        <v>4.6008034145116561E-2</v>
      </c>
      <c r="D96" s="62">
        <f>TableUK12c!F112</f>
        <v>-0.32947703931058908</v>
      </c>
      <c r="E96" s="1742">
        <f t="shared" si="17"/>
        <v>0.52216364223965417</v>
      </c>
      <c r="F96" s="1322">
        <f>TableUK12d!F111</f>
        <v>1.5964645767159228E-2</v>
      </c>
      <c r="G96" s="1328">
        <f t="shared" si="21"/>
        <v>4.7061706950047202E-2</v>
      </c>
      <c r="H96" s="1333">
        <f t="shared" si="18"/>
        <v>-1.4592000000000001E-2</v>
      </c>
      <c r="I96" s="1306">
        <f t="shared" si="23"/>
        <v>9.6801346801346805E-2</v>
      </c>
      <c r="J96" s="1252">
        <f>TableUK7!C99</f>
        <v>9.6801346801346805E-2</v>
      </c>
      <c r="K96" s="63">
        <v>0</v>
      </c>
      <c r="L96" s="62">
        <f t="shared" si="19"/>
        <v>2.01384007029877</v>
      </c>
      <c r="M96" s="62">
        <f>AVERAGE(DataUK4!O252:O253)/DataUK1!B99</f>
        <v>2.01384007029877</v>
      </c>
      <c r="N96" s="62">
        <v>0</v>
      </c>
      <c r="O96" s="62">
        <f>AVERAGE(DataUK4!H252:H253)/DataUK1!B99</f>
        <v>1.8877416520210897</v>
      </c>
      <c r="P96" s="62">
        <f t="shared" si="20"/>
        <v>1.0667985569649716</v>
      </c>
      <c r="Q96" s="1352">
        <f>DataUK1!GW100/DataUK1!B100</f>
        <v>3.5101010101010098E-2</v>
      </c>
      <c r="R96" s="913"/>
      <c r="S96" s="1431"/>
      <c r="U96" s="720"/>
      <c r="V96" s="1350">
        <f t="shared" si="22"/>
        <v>0</v>
      </c>
      <c r="W96" s="1432">
        <f>D96-(TableUK5b!G96-TableUK5a!G96)</f>
        <v>0</v>
      </c>
      <c r="X96" s="68"/>
    </row>
    <row r="97" spans="1:24" ht="12" customHeight="1">
      <c r="A97" s="932">
        <f t="shared" si="16"/>
        <v>1942</v>
      </c>
      <c r="B97" s="914">
        <f>TableUK1!D98</f>
        <v>310.02812500000005</v>
      </c>
      <c r="C97" s="915">
        <f t="shared" si="24"/>
        <v>2.5252525252525304E-2</v>
      </c>
      <c r="D97" s="62">
        <f>TableUK12c!F113</f>
        <v>-0.3209256631372121</v>
      </c>
      <c r="E97" s="1742">
        <f t="shared" si="17"/>
        <v>0.51721493677629127</v>
      </c>
      <c r="F97" s="1322">
        <f>TableUK12d!F112</f>
        <v>7.9565576673356134E-3</v>
      </c>
      <c r="G97" s="1328">
        <f t="shared" si="21"/>
        <v>3.0574027901835485E-2</v>
      </c>
      <c r="H97" s="1333">
        <f t="shared" si="18"/>
        <v>-1.4592000000000001E-2</v>
      </c>
      <c r="I97" s="1306">
        <f t="shared" si="23"/>
        <v>0.10919540229885059</v>
      </c>
      <c r="J97" s="1252">
        <f>TableUK7!C100</f>
        <v>0.10919540229885059</v>
      </c>
      <c r="K97" s="63">
        <v>0</v>
      </c>
      <c r="L97" s="62">
        <f t="shared" si="19"/>
        <v>2.0907638888888886</v>
      </c>
      <c r="M97" s="62">
        <f>AVERAGE(DataUK4!O253:O254)/DataUK1!B100</f>
        <v>2.0907638888888886</v>
      </c>
      <c r="N97" s="62">
        <v>0</v>
      </c>
      <c r="O97" s="62">
        <f>AVERAGE(DataUK4!H253:H254)/DataUK1!B100</f>
        <v>1.9717424242424242</v>
      </c>
      <c r="P97" s="62">
        <f t="shared" si="20"/>
        <v>1.0603635967777052</v>
      </c>
      <c r="Q97" s="1352">
        <f>DataUK1!GW101/DataUK1!B101</f>
        <v>3.8114942528735637E-2</v>
      </c>
      <c r="R97" s="913"/>
      <c r="S97" s="1431"/>
      <c r="U97" s="720"/>
      <c r="V97" s="1350">
        <f t="shared" si="22"/>
        <v>0</v>
      </c>
      <c r="W97" s="1432">
        <f>D97-(TableUK5b!G97-TableUK5a!G97)</f>
        <v>0</v>
      </c>
      <c r="X97" s="68"/>
    </row>
    <row r="98" spans="1:24" ht="12" customHeight="1">
      <c r="A98" s="932">
        <f t="shared" si="16"/>
        <v>1943</v>
      </c>
      <c r="B98" s="914">
        <f>TableUK1!D99</f>
        <v>316.78735887096775</v>
      </c>
      <c r="C98" s="915">
        <f t="shared" si="24"/>
        <v>2.1802002224694084E-2</v>
      </c>
      <c r="D98" s="62">
        <f>TableUK12c!F114</f>
        <v>-0.29954536061169662</v>
      </c>
      <c r="E98" s="1742">
        <f t="shared" si="17"/>
        <v>0.5064662144622667</v>
      </c>
      <c r="F98" s="1322">
        <f>TableUK12d!F113</f>
        <v>-1.0097150966051748E-3</v>
      </c>
      <c r="G98" s="1328">
        <f t="shared" si="21"/>
        <v>1.5383464593902533E-2</v>
      </c>
      <c r="H98" s="1333">
        <f t="shared" si="18"/>
        <v>-1.4592000000000001E-2</v>
      </c>
      <c r="I98" s="1306">
        <f t="shared" si="23"/>
        <v>0.12337615211553815</v>
      </c>
      <c r="J98" s="1252">
        <f>TableUK7!C101</f>
        <v>0.12337615211553815</v>
      </c>
      <c r="K98" s="63">
        <v>0</v>
      </c>
      <c r="L98" s="62">
        <f t="shared" si="19"/>
        <v>2.2188908045977009</v>
      </c>
      <c r="M98" s="62">
        <f>AVERAGE(DataUK4!O254:O255)/DataUK1!B101</f>
        <v>2.2188908045977009</v>
      </c>
      <c r="N98" s="62">
        <v>0</v>
      </c>
      <c r="O98" s="62">
        <f>AVERAGE(DataUK4!H254:H255)/DataUK1!B101</f>
        <v>2.1120114942528736</v>
      </c>
      <c r="P98" s="62">
        <f t="shared" si="20"/>
        <v>1.050605458651936</v>
      </c>
      <c r="Q98" s="1354">
        <f>DataUK1!GW102/DataUK1!B102</f>
        <v>4.1922490746788596E-2</v>
      </c>
      <c r="R98" s="913"/>
      <c r="S98" s="1431">
        <f>L98-I98</f>
        <v>2.0955146524821626</v>
      </c>
      <c r="U98" s="720"/>
      <c r="V98" s="1350">
        <f t="shared" si="22"/>
        <v>0</v>
      </c>
      <c r="W98" s="1432">
        <f>D98-(TableUK5b!G98-TableUK5a!G98)</f>
        <v>0</v>
      </c>
      <c r="X98" s="68"/>
    </row>
    <row r="99" spans="1:24" ht="12" customHeight="1">
      <c r="A99" s="932">
        <f t="shared" si="16"/>
        <v>1944</v>
      </c>
      <c r="B99" s="914">
        <f>TableUK1!D100</f>
        <v>314.46368627450983</v>
      </c>
      <c r="C99" s="915">
        <f t="shared" si="24"/>
        <v>-7.3351178050143906E-3</v>
      </c>
      <c r="D99" s="62">
        <f>TableUK12c!F115</f>
        <v>-0.30437023294166154</v>
      </c>
      <c r="E99" s="1742">
        <f t="shared" si="17"/>
        <v>0.50176135678896872</v>
      </c>
      <c r="F99" s="1322">
        <f>TableUK12d!F114</f>
        <v>-8.2868361231659415E-3</v>
      </c>
      <c r="G99" s="1328">
        <f t="shared" si="21"/>
        <v>-1.9936474887613689E-3</v>
      </c>
      <c r="H99" s="1333">
        <f t="shared" si="18"/>
        <v>-1.4592000000000001E-2</v>
      </c>
      <c r="I99" s="1306">
        <f t="shared" si="23"/>
        <v>0.14042946530147896</v>
      </c>
      <c r="J99" s="1252">
        <f>TableUK7!C102</f>
        <v>0.14042946530147896</v>
      </c>
      <c r="K99" s="63">
        <v>0</v>
      </c>
      <c r="L99" s="62">
        <f t="shared" si="19"/>
        <v>2.4063085129544959</v>
      </c>
      <c r="M99" s="62">
        <f>AVERAGE(DataUK4!O255:O256)/DataUK1!B102</f>
        <v>2.4063085129544959</v>
      </c>
      <c r="N99" s="62">
        <v>0</v>
      </c>
      <c r="O99" s="62">
        <f>AVERAGE(DataUK4!H255:H256)/DataUK1!B102</f>
        <v>2.3015567167428692</v>
      </c>
      <c r="P99" s="62">
        <f t="shared" si="20"/>
        <v>1.045513454198022</v>
      </c>
      <c r="Q99" s="1354">
        <f>DataUK1!GW103/DataUK1!B103</f>
        <v>4.6384385665529007E-2</v>
      </c>
      <c r="R99" s="913"/>
      <c r="S99" s="1431">
        <f t="shared" ref="S99:S128" si="25">L99-I99</f>
        <v>2.2658790476530171</v>
      </c>
      <c r="U99" s="720"/>
      <c r="V99" s="1350">
        <f t="shared" si="22"/>
        <v>0</v>
      </c>
      <c r="W99" s="1432">
        <f>D99-(TableUK5b!G99-TableUK5a!G99)</f>
        <v>0</v>
      </c>
      <c r="X99" s="68"/>
    </row>
    <row r="100" spans="1:24" ht="12" customHeight="1">
      <c r="A100" s="932">
        <f t="shared" si="16"/>
        <v>1945</v>
      </c>
      <c r="B100" s="914">
        <f>TableUK1!D101</f>
        <v>307.95528625954199</v>
      </c>
      <c r="C100" s="915">
        <f t="shared" si="24"/>
        <v>-2.0696825417502618E-2</v>
      </c>
      <c r="D100" s="62">
        <f>TableUK12c!F116</f>
        <v>-0.24916405997195556</v>
      </c>
      <c r="E100" s="1742">
        <f t="shared" si="17"/>
        <v>0.49655076495341549</v>
      </c>
      <c r="F100" s="1322">
        <f>TableUK12d!F115</f>
        <v>-1.1286332714904142E-2</v>
      </c>
      <c r="G100" s="1328">
        <f t="shared" si="21"/>
        <v>-1.6515492895263408E-2</v>
      </c>
      <c r="H100" s="1333">
        <f t="shared" si="18"/>
        <v>-1.4592000000000001E-2</v>
      </c>
      <c r="I100" s="1306">
        <f t="shared" si="23"/>
        <v>0.158999364002544</v>
      </c>
      <c r="J100" s="1252">
        <f>TableUK7!C103</f>
        <v>0.158999364002544</v>
      </c>
      <c r="K100" s="63">
        <v>0</v>
      </c>
      <c r="L100" s="62">
        <f t="shared" si="19"/>
        <v>2.6111774744027305</v>
      </c>
      <c r="M100" s="62">
        <f>AVERAGE(DataUK4!O256:O257)/DataUK1!B103</f>
        <v>2.6111774744027305</v>
      </c>
      <c r="N100" s="62">
        <v>0</v>
      </c>
      <c r="O100" s="62">
        <f>AVERAGE(DataUK4!H256:H257)/DataUK1!B103</f>
        <v>2.469880546075085</v>
      </c>
      <c r="P100" s="62">
        <f t="shared" si="20"/>
        <v>1.0572080008291016</v>
      </c>
      <c r="Q100" s="1354">
        <f>DataUK1!GW104/DataUK1!B104</f>
        <v>5.0339198643205428E-2</v>
      </c>
      <c r="R100" s="913"/>
      <c r="S100" s="1431">
        <f t="shared" si="25"/>
        <v>2.4521781104001867</v>
      </c>
      <c r="U100" s="720"/>
      <c r="V100" s="1350">
        <f t="shared" si="22"/>
        <v>0</v>
      </c>
      <c r="W100" s="1432">
        <f>D100-(TableUK5b!G100-TableUK5a!G100)</f>
        <v>0</v>
      </c>
      <c r="X100" s="68"/>
    </row>
    <row r="101" spans="1:24" ht="12" customHeight="1">
      <c r="A101" s="932">
        <f t="shared" si="16"/>
        <v>1946</v>
      </c>
      <c r="B101" s="914">
        <f>TableUK1!D102</f>
        <v>293.22404629629636</v>
      </c>
      <c r="C101" s="915">
        <f t="shared" si="24"/>
        <v>-4.7835645694454088E-2</v>
      </c>
      <c r="D101" s="62">
        <f>TableUK12c!F117</f>
        <v>-6.9777351656546291E-2</v>
      </c>
      <c r="E101" s="1742">
        <f t="shared" si="17"/>
        <v>0.50220684221270451</v>
      </c>
      <c r="F101" s="1322">
        <f>TableUK12d!F116</f>
        <v>-9.5728616114766473E-3</v>
      </c>
      <c r="G101" s="1329">
        <f t="shared" si="21"/>
        <v>-2.2729463957150451E-2</v>
      </c>
      <c r="H101" s="1333">
        <f t="shared" si="18"/>
        <v>-1.4592000000000001E-2</v>
      </c>
      <c r="I101" s="1306">
        <f t="shared" si="23"/>
        <v>0.17554283245111807</v>
      </c>
      <c r="J101" s="1252">
        <f>TableUK7!C104</f>
        <v>0.17554283245111807</v>
      </c>
      <c r="K101" s="63">
        <v>0</v>
      </c>
      <c r="L101" s="62">
        <f t="shared" si="19"/>
        <v>2.7359815560737757</v>
      </c>
      <c r="M101" s="62">
        <f>AVERAGE(DataUK4!O257:O258)/DataUK1!B104</f>
        <v>2.7359815560737757</v>
      </c>
      <c r="N101" s="62">
        <v>0</v>
      </c>
      <c r="O101" s="62">
        <f>AVERAGE(DataUK4!H257:H258)/DataUK1!B104</f>
        <v>2.6258479966080137</v>
      </c>
      <c r="P101" s="62">
        <f t="shared" si="20"/>
        <v>1.0419420924623317</v>
      </c>
      <c r="Q101" s="1352">
        <f>DataUK1!GW105/DataUK1!B105</f>
        <v>5.4218429296748402E-2</v>
      </c>
      <c r="R101" s="913"/>
      <c r="S101" s="1431">
        <f t="shared" si="25"/>
        <v>2.5604387236226578</v>
      </c>
      <c r="U101" s="720"/>
      <c r="V101" s="1350">
        <f t="shared" si="22"/>
        <v>0</v>
      </c>
      <c r="W101" s="1432">
        <f>D101-(TableUK5b!G101-TableUK5a!G101)</f>
        <v>0</v>
      </c>
      <c r="X101" s="68"/>
    </row>
    <row r="102" spans="1:24" ht="12" customHeight="1">
      <c r="A102" s="932">
        <f t="shared" si="16"/>
        <v>1947</v>
      </c>
      <c r="B102" s="914">
        <f>TableUK1!D103</f>
        <v>302.94789792387536</v>
      </c>
      <c r="C102" s="915">
        <f t="shared" si="24"/>
        <v>3.3161849276690081E-2</v>
      </c>
      <c r="D102" s="62">
        <f>TableUK12c!F118</f>
        <v>5.335713577308341E-2</v>
      </c>
      <c r="E102" s="1742">
        <f t="shared" si="17"/>
        <v>0.46986390941182343</v>
      </c>
      <c r="F102" s="1322">
        <f>TableUK12d!F117</f>
        <v>2.2051773729626079E-2</v>
      </c>
      <c r="G102" s="1329">
        <f t="shared" si="21"/>
        <v>-1.9061591373982438E-2</v>
      </c>
      <c r="H102" s="1333">
        <f t="shared" si="18"/>
        <v>-1.4592000000000001E-2</v>
      </c>
      <c r="I102" s="1306">
        <f t="shared" si="23"/>
        <v>0.17094852007424052</v>
      </c>
      <c r="J102" s="1252">
        <f>TableUK7!C105</f>
        <v>0.17094852007424052</v>
      </c>
      <c r="K102" s="63">
        <v>0</v>
      </c>
      <c r="L102" s="62">
        <f t="shared" si="19"/>
        <v>2.8939667278816033</v>
      </c>
      <c r="M102" s="62">
        <f>AVERAGE(DataUK4!O258:O259)/DataUK1!B105</f>
        <v>2.8939667278816033</v>
      </c>
      <c r="N102" s="62">
        <v>0</v>
      </c>
      <c r="O102" s="62">
        <f>AVERAGE(DataUK4!H258:H259)/DataUK1!B105</f>
        <v>2.7840175002700662</v>
      </c>
      <c r="P102" s="62">
        <f t="shared" si="20"/>
        <v>1.0394930087906671</v>
      </c>
      <c r="Q102" s="1352">
        <f>DataUK1!GW106/DataUK1!B106</f>
        <v>4.9956041809123775E-2</v>
      </c>
      <c r="R102" s="913"/>
      <c r="S102" s="1431">
        <f t="shared" si="25"/>
        <v>2.7230182078073626</v>
      </c>
      <c r="U102" s="720"/>
      <c r="V102" s="1350">
        <f t="shared" si="22"/>
        <v>0</v>
      </c>
      <c r="W102" s="1432">
        <f>D102-(TableUK5b!G102-TableUK5a!G102)</f>
        <v>0</v>
      </c>
      <c r="X102" s="68"/>
    </row>
    <row r="103" spans="1:24" ht="12" customHeight="1">
      <c r="A103" s="932">
        <f t="shared" si="16"/>
        <v>1948</v>
      </c>
      <c r="B103" s="914">
        <f>TableUK1!D104</f>
        <v>310.33750000000003</v>
      </c>
      <c r="C103" s="915">
        <f t="shared" si="24"/>
        <v>2.4392320021911829E-2</v>
      </c>
      <c r="D103" s="62">
        <f>TableUK12c!F119</f>
        <v>5.6348138178555406E-2</v>
      </c>
      <c r="E103" s="1742">
        <f t="shared" si="17"/>
        <v>0.47319531786677294</v>
      </c>
      <c r="F103" s="1322">
        <f>TableUK12d!F118</f>
        <v>2.9951403352176928E-2</v>
      </c>
      <c r="G103" s="1329">
        <f t="shared" si="21"/>
        <v>4.6932256953360244E-2</v>
      </c>
      <c r="H103" s="1333">
        <f t="shared" si="18"/>
        <v>-1.4592000000000001E-2</v>
      </c>
      <c r="I103" s="1306">
        <f t="shared" si="23"/>
        <v>0.14178112538768275</v>
      </c>
      <c r="J103" s="1252">
        <f>TableUK7!C106</f>
        <v>0.14178112538768275</v>
      </c>
      <c r="K103" s="63">
        <v>0</v>
      </c>
      <c r="L103" s="62">
        <f t="shared" si="19"/>
        <v>2.6425222233076102</v>
      </c>
      <c r="M103" s="62">
        <f>AVERAGE(DataUK4!O259:O260)/DataUK1!B106</f>
        <v>2.6425222233076102</v>
      </c>
      <c r="N103" s="62">
        <v>0</v>
      </c>
      <c r="O103" s="62">
        <f>AVERAGE(DataUK4!H259:H260)/DataUK1!B106</f>
        <v>2.4960681840382928</v>
      </c>
      <c r="P103" s="62">
        <f t="shared" si="20"/>
        <v>1.0586738936884228</v>
      </c>
      <c r="Q103" s="1352">
        <f>DataUK1!GW107/DataUK1!B107</f>
        <v>4.4049623393885691E-2</v>
      </c>
      <c r="R103" s="913"/>
      <c r="S103" s="1431">
        <f t="shared" si="25"/>
        <v>2.5007410979199274</v>
      </c>
      <c r="U103" s="720"/>
      <c r="V103" s="1350">
        <f t="shared" si="22"/>
        <v>0</v>
      </c>
      <c r="W103" s="1432">
        <f>D103-(TableUK5b!G103-TableUK5a!G103)</f>
        <v>0</v>
      </c>
      <c r="X103" s="68"/>
    </row>
    <row r="104" spans="1:24" ht="12" customHeight="1">
      <c r="A104" s="934">
        <v>1949</v>
      </c>
      <c r="B104" s="921">
        <f>TableUK1!D105</f>
        <v>321.61884615384616</v>
      </c>
      <c r="C104" s="922">
        <f t="shared" si="24"/>
        <v>3.6351862581370797E-2</v>
      </c>
      <c r="D104" s="1314">
        <f>TableUK12c!F120</f>
        <v>6.3644883701116123E-2</v>
      </c>
      <c r="E104" s="1326">
        <f t="shared" si="17"/>
        <v>0.47841357956163655</v>
      </c>
      <c r="F104" s="1323">
        <f>TableUK12d!F119</f>
        <v>2.4854194706146256E-2</v>
      </c>
      <c r="G104" s="1340">
        <f t="shared" si="21"/>
        <v>6.3296068708375675E-2</v>
      </c>
      <c r="H104" s="1336">
        <f t="shared" si="18"/>
        <v>-1.4592000000000001E-2</v>
      </c>
      <c r="I104" s="1309">
        <f t="shared" si="23"/>
        <v>0.13330000833125052</v>
      </c>
      <c r="J104" s="1253">
        <f>TableUK7!C107</f>
        <v>0.13330000833125052</v>
      </c>
      <c r="K104" s="948">
        <v>0</v>
      </c>
      <c r="L104" s="1314">
        <f t="shared" si="19"/>
        <v>2.3173327425786443</v>
      </c>
      <c r="M104" s="1314">
        <f>AVERAGE(DataUK4!O260:O261)/DataUK1!B107</f>
        <v>2.3173327425786443</v>
      </c>
      <c r="N104" s="1314">
        <v>0</v>
      </c>
      <c r="O104" s="1314">
        <f>AVERAGE(DataUK4!H260:H261)/DataUK1!B107</f>
        <v>2.2698980948161274</v>
      </c>
      <c r="P104" s="1314">
        <f t="shared" si="20"/>
        <v>1.020897258723132</v>
      </c>
      <c r="Q104" s="1353">
        <f>DataUK1!GW108/DataUK1!B108</f>
        <v>4.1631258851953679E-2</v>
      </c>
      <c r="R104" s="913"/>
      <c r="S104" s="1431">
        <f t="shared" si="25"/>
        <v>2.1840327342473937</v>
      </c>
      <c r="U104" s="720"/>
      <c r="V104" s="1350">
        <f t="shared" si="22"/>
        <v>0</v>
      </c>
      <c r="W104" s="1432">
        <f>D104-(TableUK5b!G104-TableUK5a!G104)</f>
        <v>0</v>
      </c>
      <c r="X104" s="68"/>
    </row>
    <row r="105" spans="1:24" ht="12" customHeight="1">
      <c r="A105" s="932">
        <v>1950</v>
      </c>
      <c r="B105" s="914">
        <f>TableUK1!D106</f>
        <v>330.19387499999999</v>
      </c>
      <c r="C105" s="915">
        <f t="shared" si="24"/>
        <v>2.6662084478880299E-2</v>
      </c>
      <c r="D105" s="62">
        <f>TableUK12c!F121</f>
        <v>6.0285691227503838E-2</v>
      </c>
      <c r="E105" s="1742">
        <f t="shared" si="17"/>
        <v>0.48304510159970659</v>
      </c>
      <c r="F105" s="1322">
        <f>TableUK12d!F120</f>
        <v>2.3600579364403167E-2</v>
      </c>
      <c r="G105" s="1328">
        <f t="shared" si="21"/>
        <v>5.1951273475388797E-2</v>
      </c>
      <c r="H105" s="1333">
        <f t="shared" si="18"/>
        <v>-1.4592000000000001E-2</v>
      </c>
      <c r="I105" s="1311">
        <f t="shared" si="23"/>
        <v>0.13846032122794524</v>
      </c>
      <c r="J105" s="1252">
        <f>TableUK7!C108</f>
        <v>0.13846032122794524</v>
      </c>
      <c r="K105" s="63">
        <v>0</v>
      </c>
      <c r="L105" s="62">
        <f t="shared" si="19"/>
        <v>2.087819711738732</v>
      </c>
      <c r="M105" s="62">
        <f>AVERAGE(DataUK4!O261:O262)/DataUK1!B108</f>
        <v>2.087819711738732</v>
      </c>
      <c r="N105" s="62">
        <v>0</v>
      </c>
      <c r="O105" s="62">
        <f>AVERAGE(DataUK4!H261:H262)/DataUK1!B108</f>
        <v>2.1586853286678327</v>
      </c>
      <c r="P105" s="62">
        <f t="shared" si="20"/>
        <v>0.96717186336146865</v>
      </c>
      <c r="Q105" s="1347">
        <f>DataUK1!GW109/DataUK1!B109</f>
        <v>4.0738982514439429E-2</v>
      </c>
      <c r="R105" s="913"/>
      <c r="S105" s="1431">
        <f t="shared" si="25"/>
        <v>1.9493593905107869</v>
      </c>
      <c r="U105" s="720"/>
      <c r="V105" s="1350">
        <f t="shared" si="22"/>
        <v>0</v>
      </c>
      <c r="W105" s="1432">
        <f>D105-(TableUK5b!G105-TableUK5a!G105)</f>
        <v>0</v>
      </c>
      <c r="X105" s="68"/>
    </row>
    <row r="106" spans="1:24" ht="12" customHeight="1">
      <c r="A106" s="932">
        <f t="shared" ref="A106:A125" si="26">A105+1</f>
        <v>1951</v>
      </c>
      <c r="B106" s="914">
        <f>TableUK1!D107</f>
        <v>337.43779069767447</v>
      </c>
      <c r="C106" s="915">
        <f t="shared" si="24"/>
        <v>2.1938370897020665E-2</v>
      </c>
      <c r="D106" s="62">
        <f>TableUK12c!F122</f>
        <v>4.7326457464706304E-2</v>
      </c>
      <c r="E106" s="1742">
        <f t="shared" si="17"/>
        <v>0.48853504419180915</v>
      </c>
      <c r="F106" s="1322">
        <f>TableUK12d!F121</f>
        <v>2.4533935921233152E-2</v>
      </c>
      <c r="G106" s="1329">
        <f t="shared" si="21"/>
        <v>4.8857920898576199E-2</v>
      </c>
      <c r="H106" s="1333">
        <f t="shared" si="18"/>
        <v>-1.4592000000000001E-2</v>
      </c>
      <c r="I106" s="1306">
        <f t="shared" si="23"/>
        <v>0.12243428159884766</v>
      </c>
      <c r="J106" s="1252">
        <f>TableUK7!C109</f>
        <v>0.12243428159884766</v>
      </c>
      <c r="K106" s="63">
        <v>0</v>
      </c>
      <c r="L106" s="62">
        <f t="shared" ref="L106:L121" si="27">M106+N106</f>
        <v>1.8964158556847852</v>
      </c>
      <c r="M106" s="62">
        <f>AVERAGE(DataUK4!O262:O263)/DataUK1!B109</f>
        <v>1.8964158556847852</v>
      </c>
      <c r="N106" s="62">
        <v>0</v>
      </c>
      <c r="O106" s="62">
        <f>AVERAGE(DataUK4!H262:H263)/DataUK1!B109</f>
        <v>2.0497112113300102</v>
      </c>
      <c r="P106" s="62">
        <f t="shared" ref="P106:P137" si="28">M106/O106</f>
        <v>0.92521124205309135</v>
      </c>
      <c r="Q106" s="1352">
        <f>DataUK1!GW110/DataUK1!B110</f>
        <v>4.0424918977313637E-2</v>
      </c>
      <c r="R106" s="913"/>
      <c r="S106" s="1431">
        <f t="shared" si="25"/>
        <v>1.7739815740859375</v>
      </c>
      <c r="U106" s="720"/>
      <c r="V106" s="1350">
        <f t="shared" si="22"/>
        <v>0</v>
      </c>
      <c r="W106" s="1432">
        <f>D106-(TableUK5b!G106-TableUK5a!G106)</f>
        <v>0</v>
      </c>
      <c r="X106" s="68"/>
    </row>
    <row r="107" spans="1:24" ht="12" customHeight="1">
      <c r="A107" s="932">
        <f t="shared" si="26"/>
        <v>1952</v>
      </c>
      <c r="B107" s="914">
        <f>TableUK1!D108</f>
        <v>338.35282608695655</v>
      </c>
      <c r="C107" s="915">
        <f t="shared" si="24"/>
        <v>2.7117158021636723E-3</v>
      </c>
      <c r="D107" s="62">
        <f>TableUK12c!F123</f>
        <v>2.494037478705281E-2</v>
      </c>
      <c r="E107" s="1742">
        <f t="shared" si="17"/>
        <v>0.50421498979970514</v>
      </c>
      <c r="F107" s="1322">
        <f>TableUK12d!F122</f>
        <v>2.7796064662424107E-2</v>
      </c>
      <c r="G107" s="1329">
        <f t="shared" ref="G107:G138" si="29">F106/E106</f>
        <v>5.0219398204728607E-2</v>
      </c>
      <c r="H107" s="1333">
        <f t="shared" si="18"/>
        <v>-1.4592000000000001E-2</v>
      </c>
      <c r="I107" s="1306">
        <f t="shared" si="23"/>
        <v>0.11951121256881966</v>
      </c>
      <c r="J107" s="1252">
        <f>TableUK7!C110</f>
        <v>0.11951121256881966</v>
      </c>
      <c r="K107" s="63">
        <v>0</v>
      </c>
      <c r="L107" s="62">
        <f t="shared" si="27"/>
        <v>1.7089665106229741</v>
      </c>
      <c r="M107" s="62">
        <f>AVERAGE(DataUK4!O263:O264)/DataUK1!B110</f>
        <v>1.7089665106229741</v>
      </c>
      <c r="N107" s="62">
        <v>0</v>
      </c>
      <c r="O107" s="62">
        <f>AVERAGE(DataUK4!H263:H264)/DataUK1!B110</f>
        <v>1.8704357220021604</v>
      </c>
      <c r="P107" s="62">
        <f t="shared" si="28"/>
        <v>0.91367294289784751</v>
      </c>
      <c r="Q107" s="1352">
        <f>DataUK1!GW111/DataUK1!B111</f>
        <v>4.3010608298643747E-2</v>
      </c>
      <c r="R107" s="913"/>
      <c r="S107" s="1431">
        <f t="shared" si="25"/>
        <v>1.5894552980541545</v>
      </c>
      <c r="U107" s="720"/>
      <c r="V107" s="1350">
        <f t="shared" ref="V107:V113" si="30">(B107*E107)/(B106*E106)-(1+G107)*(1+H107)</f>
        <v>0</v>
      </c>
      <c r="W107" s="1432">
        <f>D107-(TableUK5b!G107-TableUK5a!G107)</f>
        <v>0</v>
      </c>
      <c r="X107" s="68"/>
    </row>
    <row r="108" spans="1:24" ht="12" customHeight="1">
      <c r="A108" s="932">
        <f t="shared" si="26"/>
        <v>1953</v>
      </c>
      <c r="B108" s="914">
        <f>TableUK1!D109</f>
        <v>345.0241666666667</v>
      </c>
      <c r="C108" s="915">
        <f t="shared" si="24"/>
        <v>1.9717112036166773E-2</v>
      </c>
      <c r="D108" s="62">
        <f>TableUK12c!F124</f>
        <v>1.7337382941027591E-2</v>
      </c>
      <c r="E108" s="1742">
        <f t="shared" si="17"/>
        <v>0.51411116177956617</v>
      </c>
      <c r="F108" s="1322">
        <f>TableUK12d!F123</f>
        <v>3.332197614991482E-2</v>
      </c>
      <c r="G108" s="1329">
        <f t="shared" si="29"/>
        <v>5.512740641341473E-2</v>
      </c>
      <c r="H108" s="1333">
        <f t="shared" si="18"/>
        <v>-1.4592000000000001E-2</v>
      </c>
      <c r="I108" s="1306">
        <f t="shared" si="23"/>
        <v>0.11736496718828875</v>
      </c>
      <c r="J108" s="1252">
        <f>TableUK7!C111</f>
        <v>0.11736496718828875</v>
      </c>
      <c r="K108" s="63">
        <v>0</v>
      </c>
      <c r="L108" s="62">
        <f t="shared" si="27"/>
        <v>1.6528467839398415</v>
      </c>
      <c r="M108" s="62">
        <f>AVERAGE(DataUK4!O264:O265)/DataUK1!B111</f>
        <v>1.6528467839398415</v>
      </c>
      <c r="N108" s="62">
        <v>0</v>
      </c>
      <c r="O108" s="62">
        <f>AVERAGE(DataUK4!H264:H265)/DataUK1!B111</f>
        <v>1.7669531354908017</v>
      </c>
      <c r="P108" s="62">
        <f t="shared" si="28"/>
        <v>0.93542197058935284</v>
      </c>
      <c r="Q108" s="1352">
        <f>DataUK1!GW112/DataUK1!B112</f>
        <v>4.2093639575971731E-2</v>
      </c>
      <c r="R108" s="913"/>
      <c r="S108" s="1431">
        <f t="shared" si="25"/>
        <v>1.5354818167515527</v>
      </c>
      <c r="U108" s="720"/>
      <c r="V108" s="1350">
        <f t="shared" si="30"/>
        <v>0</v>
      </c>
      <c r="W108" s="1432">
        <f>D108-(TableUK5b!G108-TableUK5a!G108)</f>
        <v>0</v>
      </c>
      <c r="X108" s="68"/>
    </row>
    <row r="109" spans="1:24" ht="12" customHeight="1">
      <c r="A109" s="932">
        <f t="shared" si="26"/>
        <v>1954</v>
      </c>
      <c r="B109" s="914">
        <f>TableUK1!D110</f>
        <v>359.24540816326521</v>
      </c>
      <c r="C109" s="915">
        <f t="shared" si="24"/>
        <v>4.1218102586819239E-2</v>
      </c>
      <c r="D109" s="62">
        <f>TableUK12c!F125</f>
        <v>1.9257303977443158E-2</v>
      </c>
      <c r="E109" s="1742">
        <f t="shared" si="17"/>
        <v>0.51809029466603407</v>
      </c>
      <c r="F109" s="1322">
        <f>TableUK12d!F124</f>
        <v>3.5813718046064286E-2</v>
      </c>
      <c r="G109" s="1328">
        <f t="shared" si="29"/>
        <v>6.4814730017867569E-2</v>
      </c>
      <c r="H109" s="1333">
        <f t="shared" si="18"/>
        <v>-1.4592000000000001E-2</v>
      </c>
      <c r="I109" s="1311">
        <f t="shared" si="23"/>
        <v>0.11516770555060848</v>
      </c>
      <c r="J109" s="1252">
        <f>TableUK7!C112</f>
        <v>0.11516770555060848</v>
      </c>
      <c r="K109" s="63">
        <v>0</v>
      </c>
      <c r="L109" s="62">
        <f t="shared" si="27"/>
        <v>1.5801678445229681</v>
      </c>
      <c r="M109" s="62">
        <f>AVERAGE(DataUK4!O265:O266)/DataUK1!B112</f>
        <v>1.5801678445229681</v>
      </c>
      <c r="N109" s="62">
        <v>0</v>
      </c>
      <c r="O109" s="62">
        <f>AVERAGE(DataUK4!H265:H266)/DataUK1!B112</f>
        <v>1.6884464916708732</v>
      </c>
      <c r="P109" s="62">
        <f t="shared" si="28"/>
        <v>0.93587084477829474</v>
      </c>
      <c r="Q109" s="1347">
        <f>DataUK1!GW113/DataUK1!B113</f>
        <v>3.9994063520332447E-2</v>
      </c>
      <c r="R109" s="913"/>
      <c r="S109" s="1431">
        <f t="shared" si="25"/>
        <v>1.4650001389723597</v>
      </c>
      <c r="U109" s="720"/>
      <c r="V109" s="1350">
        <f t="shared" si="30"/>
        <v>0</v>
      </c>
      <c r="W109" s="1432">
        <f>D109-(TableUK5b!G109-TableUK5a!G109)</f>
        <v>0</v>
      </c>
      <c r="X109" s="68"/>
    </row>
    <row r="110" spans="1:24" ht="12" customHeight="1">
      <c r="A110" s="932">
        <f t="shared" si="26"/>
        <v>1955</v>
      </c>
      <c r="B110" s="914">
        <f>TableUK1!D111</f>
        <v>367.69656862745103</v>
      </c>
      <c r="C110" s="915">
        <f t="shared" si="24"/>
        <v>2.3524755702222011E-2</v>
      </c>
      <c r="D110" s="62">
        <f>TableUK12c!F126</f>
        <v>3.6067415730337081E-2</v>
      </c>
      <c r="E110" s="1742">
        <f t="shared" si="17"/>
        <v>0.53327625181290816</v>
      </c>
      <c r="F110" s="1322">
        <f>TableUK12d!F125</f>
        <v>2.9335892974983499E-2</v>
      </c>
      <c r="G110" s="1329">
        <f t="shared" si="29"/>
        <v>6.9126402124846109E-2</v>
      </c>
      <c r="H110" s="1333">
        <f t="shared" si="18"/>
        <v>-1.4592000000000001E-2</v>
      </c>
      <c r="I110" s="1306">
        <f t="shared" si="23"/>
        <v>0.11256617442184452</v>
      </c>
      <c r="J110" s="1252">
        <f>TableUK7!C113</f>
        <v>0.11256617442184452</v>
      </c>
      <c r="K110" s="63">
        <v>0</v>
      </c>
      <c r="L110" s="62">
        <f t="shared" si="27"/>
        <v>1.4325912733748887</v>
      </c>
      <c r="M110" s="62">
        <f>AVERAGE(DataUK4!O266:O267)/DataUK1!B113</f>
        <v>1.4325912733748887</v>
      </c>
      <c r="N110" s="62">
        <v>0</v>
      </c>
      <c r="O110" s="62">
        <f>AVERAGE(DataUK4!H266:H267)/DataUK1!B113</f>
        <v>1.6020480854853072</v>
      </c>
      <c r="P110" s="62">
        <f t="shared" si="28"/>
        <v>0.8942248902228892</v>
      </c>
      <c r="Q110" s="1352">
        <f>DataUK1!GW114/DataUK1!B114</f>
        <v>4.2190025076623019E-2</v>
      </c>
      <c r="R110" s="913"/>
      <c r="S110" s="1431">
        <f t="shared" si="25"/>
        <v>1.3200250989530442</v>
      </c>
      <c r="U110" s="720"/>
      <c r="V110" s="1350">
        <f t="shared" si="30"/>
        <v>0</v>
      </c>
      <c r="W110" s="1432">
        <f>D110-(TableUK5b!G110-TableUK5a!G110)</f>
        <v>0</v>
      </c>
      <c r="X110" s="68"/>
    </row>
    <row r="111" spans="1:24" ht="12" customHeight="1">
      <c r="A111" s="932">
        <f t="shared" si="26"/>
        <v>1956</v>
      </c>
      <c r="B111" s="914">
        <f>TableUK1!D112</f>
        <v>372.23287037037039</v>
      </c>
      <c r="C111" s="915">
        <f t="shared" si="24"/>
        <v>1.233707934738848E-2</v>
      </c>
      <c r="D111" s="62">
        <f>TableUK12c!F127</f>
        <v>2.2784019975031208E-2</v>
      </c>
      <c r="E111" s="1742">
        <f t="shared" si="17"/>
        <v>0.5476461543111184</v>
      </c>
      <c r="F111" s="1322">
        <f>TableUK12d!F126</f>
        <v>2.5168539325842697E-2</v>
      </c>
      <c r="G111" s="1329">
        <f t="shared" si="29"/>
        <v>5.5010687003694943E-2</v>
      </c>
      <c r="H111" s="1333">
        <f t="shared" si="18"/>
        <v>-1.4592000000000001E-2</v>
      </c>
      <c r="I111" s="1306">
        <f t="shared" si="23"/>
        <v>0.10917598128411747</v>
      </c>
      <c r="J111" s="1252">
        <f>TableUK7!C114</f>
        <v>0.10917598128411747</v>
      </c>
      <c r="K111" s="63">
        <v>0</v>
      </c>
      <c r="L111" s="62">
        <f t="shared" si="27"/>
        <v>1.3058790749512399</v>
      </c>
      <c r="M111" s="62">
        <f>AVERAGE(DataUK4!O267:O268)/DataUK1!B114</f>
        <v>1.3058790749512399</v>
      </c>
      <c r="N111" s="62">
        <v>0</v>
      </c>
      <c r="O111" s="62">
        <f>AVERAGE(DataUK4!H267:H268)/DataUK1!B114</f>
        <v>1.508135971022569</v>
      </c>
      <c r="P111" s="62">
        <f t="shared" si="28"/>
        <v>0.86588948214384687</v>
      </c>
      <c r="Q111" s="1352">
        <f>DataUK1!GW115/DataUK1!B115</f>
        <v>4.4574993501429676E-2</v>
      </c>
      <c r="R111" s="913"/>
      <c r="S111" s="1431">
        <f t="shared" si="25"/>
        <v>1.1967030936671224</v>
      </c>
      <c r="U111" s="720"/>
      <c r="V111" s="1350">
        <f t="shared" si="30"/>
        <v>0</v>
      </c>
      <c r="W111" s="1432">
        <f>D111-(TableUK5b!G111-TableUK5a!G111)</f>
        <v>0</v>
      </c>
      <c r="X111" s="68"/>
    </row>
    <row r="112" spans="1:24" ht="12" customHeight="1">
      <c r="A112" s="932">
        <f t="shared" si="26"/>
        <v>1957</v>
      </c>
      <c r="B112" s="914">
        <f>TableUK1!D113</f>
        <v>376.85312500000003</v>
      </c>
      <c r="C112" s="915">
        <f t="shared" si="24"/>
        <v>1.2412269300753787E-2</v>
      </c>
      <c r="D112" s="62">
        <f>TableUK12c!F128</f>
        <v>2.8871261762822096E-2</v>
      </c>
      <c r="E112" s="1742">
        <f t="shared" si="17"/>
        <v>0.55753589594213959</v>
      </c>
      <c r="F112" s="1322">
        <f>TableUK12d!F127</f>
        <v>2.3512276321265086E-2</v>
      </c>
      <c r="G112" s="1329">
        <f t="shared" si="29"/>
        <v>4.5957666510964709E-2</v>
      </c>
      <c r="H112" s="1333">
        <f t="shared" si="18"/>
        <v>-1.4592000000000001E-2</v>
      </c>
      <c r="I112" s="1306">
        <f t="shared" si="23"/>
        <v>0.10794751176033672</v>
      </c>
      <c r="J112" s="1252">
        <f>TableUK7!C115</f>
        <v>0.10794751176033672</v>
      </c>
      <c r="K112" s="63">
        <v>0</v>
      </c>
      <c r="L112" s="62">
        <f t="shared" si="27"/>
        <v>1.2108916038471533</v>
      </c>
      <c r="M112" s="62">
        <f>AVERAGE(DataUK4!O268:O269)/DataUK1!B115</f>
        <v>1.2108916038471533</v>
      </c>
      <c r="N112" s="62">
        <v>0</v>
      </c>
      <c r="O112" s="62">
        <f>AVERAGE(DataUK4!H268:H269)/DataUK1!B115</f>
        <v>1.4120093579412527</v>
      </c>
      <c r="P112" s="62">
        <f t="shared" si="28"/>
        <v>0.85756627393225326</v>
      </c>
      <c r="Q112" s="1352">
        <f>DataUK1!GW116/DataUK1!B116</f>
        <v>4.1218123297846E-2</v>
      </c>
      <c r="R112" s="913"/>
      <c r="S112" s="1431">
        <f t="shared" si="25"/>
        <v>1.1029440920868165</v>
      </c>
      <c r="U112" s="720"/>
      <c r="V112" s="1350">
        <f t="shared" si="30"/>
        <v>0</v>
      </c>
      <c r="W112" s="1432">
        <f>D112-(TableUK5b!G112-TableUK5a!G112)</f>
        <v>0</v>
      </c>
      <c r="X112" s="68"/>
    </row>
    <row r="113" spans="1:24" ht="12" customHeight="1">
      <c r="A113" s="931">
        <f t="shared" si="26"/>
        <v>1958</v>
      </c>
      <c r="B113" s="918">
        <f>TableUK1!D114</f>
        <v>379.47913793103453</v>
      </c>
      <c r="C113" s="919">
        <f t="shared" si="24"/>
        <v>6.9682663001255918E-3</v>
      </c>
      <c r="D113" s="317">
        <f>TableUK12c!F129</f>
        <v>3.226264250910639E-2</v>
      </c>
      <c r="E113" s="1255">
        <f>AVERAGE(DataUK3!BZ117:BZ118)/DataUK1!B117</f>
        <v>0.56860696989839521</v>
      </c>
      <c r="F113" s="901">
        <f>TableUK12d!F128</f>
        <v>2.2367837611469678E-2</v>
      </c>
      <c r="G113" s="1342">
        <f t="shared" si="29"/>
        <v>4.2171771346728074E-2</v>
      </c>
      <c r="H113" s="1335">
        <f t="shared" si="18"/>
        <v>-1.4592000000000001E-2</v>
      </c>
      <c r="I113" s="1327">
        <f t="shared" si="23"/>
        <v>0.10730225049852815</v>
      </c>
      <c r="J113" s="901">
        <f>TableUK7!C116</f>
        <v>0.10730225049852815</v>
      </c>
      <c r="K113" s="334">
        <v>0</v>
      </c>
      <c r="L113" s="317">
        <f t="shared" si="27"/>
        <v>1.1647685070562019</v>
      </c>
      <c r="M113" s="317">
        <f>AVERAGE(DataUK4!O269:O270)/DataUK1!B116</f>
        <v>1.1647685070562019</v>
      </c>
      <c r="N113" s="317">
        <v>0</v>
      </c>
      <c r="O113" s="317">
        <f>AVERAGE(DataUK4!H269:H270)/DataUK1!B116</f>
        <v>1.3520178261946025</v>
      </c>
      <c r="P113" s="317">
        <f t="shared" si="28"/>
        <v>0.86150380896571932</v>
      </c>
      <c r="Q113" s="1355">
        <f>DataUK1!GW117/DataUK1!B117</f>
        <v>4.1249643908460733E-2</v>
      </c>
      <c r="R113" s="913"/>
      <c r="S113" s="1431">
        <f t="shared" si="25"/>
        <v>1.0574662565576738</v>
      </c>
      <c r="U113" s="720"/>
      <c r="V113" s="1350">
        <f t="shared" si="30"/>
        <v>-6.1457743760762185E-7</v>
      </c>
      <c r="W113" s="1432">
        <f>D113-(TableUK5b!G113-TableUK5a!G113)</f>
        <v>0</v>
      </c>
      <c r="X113" s="68"/>
    </row>
    <row r="114" spans="1:24" ht="12" customHeight="1">
      <c r="A114" s="932">
        <f t="shared" si="26"/>
        <v>1959</v>
      </c>
      <c r="B114" s="914">
        <f>TableUK1!D115</f>
        <v>394.7974576271186</v>
      </c>
      <c r="C114" s="915">
        <f t="shared" si="24"/>
        <v>4.0366697836411669E-2</v>
      </c>
      <c r="D114" s="1801">
        <f>TableUK12c!F130</f>
        <v>2.7858908110536956E-2</v>
      </c>
      <c r="E114" s="1326">
        <f>AVERAGE(DataUK3!BZ118:BZ119)/DataUK1!B118</f>
        <v>0.57462987886944816</v>
      </c>
      <c r="F114" s="1253">
        <f>TableUK12d!F129</f>
        <v>1.9537348029708121E-2</v>
      </c>
      <c r="G114" s="1340">
        <f t="shared" si="29"/>
        <v>3.9337958898862255E-2</v>
      </c>
      <c r="H114" s="955"/>
      <c r="I114" s="1309">
        <f t="shared" si="23"/>
        <v>0.10497981157469717</v>
      </c>
      <c r="J114" s="1253">
        <f>TableUK7!C117</f>
        <v>0.10497981157469717</v>
      </c>
      <c r="K114" s="63">
        <v>0</v>
      </c>
      <c r="L114" s="1572">
        <f t="shared" si="27"/>
        <v>1.1346500807140822</v>
      </c>
      <c r="M114" s="1314">
        <f>AVERAGE(DataUK4!O270:O271)/DataUK1!B117</f>
        <v>1.1346500807140822</v>
      </c>
      <c r="N114" s="1314">
        <v>0</v>
      </c>
      <c r="O114" s="1314">
        <f>AVERAGE(DataUK4!H270:H271)/DataUK1!B117</f>
        <v>1.3082565758237585</v>
      </c>
      <c r="P114" s="1314">
        <f t="shared" si="28"/>
        <v>0.86729935219292664</v>
      </c>
      <c r="Q114" s="1353">
        <f>DataUK1!GW118/DataUK1!B118</f>
        <v>3.8506056527590843E-2</v>
      </c>
      <c r="R114" s="913"/>
      <c r="S114" s="1431">
        <f t="shared" si="25"/>
        <v>1.0296702691393851</v>
      </c>
      <c r="U114" s="720"/>
      <c r="V114" s="1350"/>
      <c r="W114" s="1432">
        <f>D114-(TableUK5b!G114-TableUK5a!G114)</f>
        <v>0</v>
      </c>
      <c r="X114" s="68"/>
    </row>
    <row r="115" spans="1:24" ht="12" customHeight="1">
      <c r="A115" s="933">
        <f t="shared" si="26"/>
        <v>1960</v>
      </c>
      <c r="B115" s="916">
        <f>TableUK1!D116</f>
        <v>419.81133333333332</v>
      </c>
      <c r="C115" s="917">
        <f t="shared" si="24"/>
        <v>6.3358755794825861E-2</v>
      </c>
      <c r="D115" s="62">
        <f>TableUK12c!F131</f>
        <v>1.6742446776866527E-2</v>
      </c>
      <c r="E115" s="1742">
        <f>AVERAGE(DataUK3!BZ119:BZ120)/DataUK1!B119</f>
        <v>0.56733322270162634</v>
      </c>
      <c r="F115" s="1252">
        <f>TableUK12d!F130</f>
        <v>2.0489777578072341E-2</v>
      </c>
      <c r="G115" s="1329">
        <f t="shared" si="29"/>
        <v>3.39998819207709E-2</v>
      </c>
      <c r="H115" s="1333"/>
      <c r="I115" s="1306">
        <f t="shared" si="23"/>
        <v>0.10039827414537006</v>
      </c>
      <c r="J115" s="1252">
        <f>TableUK7!C118</f>
        <v>0.10039827414537006</v>
      </c>
      <c r="K115" s="1304">
        <v>0</v>
      </c>
      <c r="L115" s="62">
        <f t="shared" si="27"/>
        <v>1.0718483624943922</v>
      </c>
      <c r="M115" s="62">
        <f>AVERAGE(DataUK4!O271:O272)/DataUK1!B118</f>
        <v>1.0718483624943922</v>
      </c>
      <c r="N115" s="62">
        <v>0</v>
      </c>
      <c r="O115" s="62">
        <f>AVERAGE(DataUK4!H271:H272)/DataUK1!B118</f>
        <v>1.2558322117541498</v>
      </c>
      <c r="P115" s="62">
        <f t="shared" si="28"/>
        <v>0.85349647226935799</v>
      </c>
      <c r="Q115" s="1352">
        <f>DataUK1!GW119/DataUK1!B119</f>
        <v>3.8773647527381348E-2</v>
      </c>
      <c r="R115" s="913"/>
      <c r="S115" s="1431">
        <f t="shared" si="25"/>
        <v>0.97145008834902213</v>
      </c>
      <c r="U115" s="720"/>
      <c r="V115" s="1350"/>
      <c r="W115" s="1432">
        <f>D115-(TableUK5b!G115-TableUK5a!G115)</f>
        <v>0</v>
      </c>
      <c r="X115" s="68"/>
    </row>
    <row r="116" spans="1:24" ht="12" customHeight="1">
      <c r="A116" s="932">
        <f t="shared" si="26"/>
        <v>1961</v>
      </c>
      <c r="B116" s="914">
        <f>TableUK1!D117</f>
        <v>435.95344262295083</v>
      </c>
      <c r="C116" s="915">
        <f t="shared" si="24"/>
        <v>3.845086591981195E-2</v>
      </c>
      <c r="D116" s="62">
        <f>TableUK12c!F132</f>
        <v>2.2933397259179353E-2</v>
      </c>
      <c r="E116" s="1742">
        <f>AVERAGE(DataUK3!BZ120:BZ121)/DataUK1!B120</f>
        <v>0.53729173215969828</v>
      </c>
      <c r="F116" s="1252">
        <f>TableUK12d!F131</f>
        <v>2.0141928355925719E-2</v>
      </c>
      <c r="G116" s="1329">
        <f t="shared" si="29"/>
        <v>3.6115948719696943E-2</v>
      </c>
      <c r="H116" s="1333"/>
      <c r="I116" s="1306">
        <f t="shared" si="23"/>
        <v>9.8239547312165998E-2</v>
      </c>
      <c r="J116" s="1252">
        <f>TableUK7!C119</f>
        <v>9.8239547312165998E-2</v>
      </c>
      <c r="K116" s="63">
        <v>0</v>
      </c>
      <c r="L116" s="62">
        <f t="shared" si="27"/>
        <v>1.001389810819781</v>
      </c>
      <c r="M116" s="62">
        <f>AVERAGE(DataUK4!O272:O273)/DataUK1!B119</f>
        <v>1.001389810819781</v>
      </c>
      <c r="N116" s="62">
        <v>0</v>
      </c>
      <c r="O116" s="62">
        <f>AVERAGE(DataUK4!H272:H273)/DataUK1!B119</f>
        <v>1.1808413541320943</v>
      </c>
      <c r="P116" s="62">
        <f t="shared" si="28"/>
        <v>0.84803077679794814</v>
      </c>
      <c r="Q116" s="1352">
        <f>DataUK1!GW120/DataUK1!B120</f>
        <v>4.0702609242376613E-2</v>
      </c>
      <c r="R116" s="913"/>
      <c r="S116" s="1431">
        <f t="shared" si="25"/>
        <v>0.90315026350761496</v>
      </c>
      <c r="U116" s="720"/>
      <c r="V116" s="1350"/>
      <c r="W116" s="1432">
        <f>D116-(TableUK5b!G116-TableUK5a!G116)</f>
        <v>0</v>
      </c>
      <c r="X116" s="68"/>
    </row>
    <row r="117" spans="1:24" ht="12" customHeight="1">
      <c r="A117" s="932">
        <f t="shared" si="26"/>
        <v>1962</v>
      </c>
      <c r="B117" s="914">
        <f>TableUK1!D118</f>
        <v>438.47546874999995</v>
      </c>
      <c r="C117" s="915">
        <f t="shared" si="24"/>
        <v>5.7850813423450109E-3</v>
      </c>
      <c r="D117" s="62">
        <f>TableUK12c!F133</f>
        <v>3.530847250819797E-2</v>
      </c>
      <c r="E117" s="1742">
        <f>AVERAGE(DataUK3!BZ121:BZ122)/DataUK1!B121</f>
        <v>0.51692485290831902</v>
      </c>
      <c r="F117" s="1252">
        <f>TableUK12d!F132</f>
        <v>2.3133165527987533E-2</v>
      </c>
      <c r="G117" s="1329">
        <f t="shared" si="29"/>
        <v>3.7487880699305025E-2</v>
      </c>
      <c r="H117" s="1333"/>
      <c r="I117" s="1306">
        <f t="shared" si="23"/>
        <v>9.8474880630239237E-2</v>
      </c>
      <c r="J117" s="1252">
        <f>TableUK7!C120</f>
        <v>9.8474880630239237E-2</v>
      </c>
      <c r="K117" s="63">
        <v>0</v>
      </c>
      <c r="L117" s="62">
        <f t="shared" si="27"/>
        <v>0.99542203709525323</v>
      </c>
      <c r="M117" s="62">
        <f>AVERAGE(DataUK4!O273:O274)/DataUK1!B120</f>
        <v>0.99542203709525323</v>
      </c>
      <c r="N117" s="62">
        <v>0</v>
      </c>
      <c r="O117" s="62">
        <f>AVERAGE(DataUK4!H273:H274)/DataUK1!B120</f>
        <v>1.1498349575605158</v>
      </c>
      <c r="P117" s="62">
        <f t="shared" si="28"/>
        <v>0.86570862239841428</v>
      </c>
      <c r="Q117" s="1352">
        <f>DataUK1!GW121/DataUK1!B121</f>
        <v>3.6556937513964403E-2</v>
      </c>
      <c r="R117" s="913"/>
      <c r="S117" s="1431">
        <f t="shared" si="25"/>
        <v>0.89694715646501399</v>
      </c>
      <c r="U117" s="720"/>
      <c r="V117" s="1350"/>
      <c r="W117" s="1432">
        <f>D117-(TableUK5b!G117-TableUK5a!G117)</f>
        <v>0</v>
      </c>
      <c r="X117" s="68"/>
    </row>
    <row r="118" spans="1:24" ht="12" customHeight="1">
      <c r="A118" s="932">
        <f t="shared" si="26"/>
        <v>1963</v>
      </c>
      <c r="B118" s="914">
        <f>TableUK1!D119</f>
        <v>450.18599999999998</v>
      </c>
      <c r="C118" s="915">
        <f t="shared" si="24"/>
        <v>2.6707380650927259E-2</v>
      </c>
      <c r="D118" s="62">
        <f>TableUK12c!F134</f>
        <v>2.657186972602248E-2</v>
      </c>
      <c r="E118" s="1742">
        <f>AVERAGE(DataUK3!BZ122:BZ123)/DataUK1!B122</f>
        <v>0.53715806013856149</v>
      </c>
      <c r="F118" s="1252">
        <f>TableUK12d!F133</f>
        <v>2.6424159231297185E-2</v>
      </c>
      <c r="G118" s="1329">
        <f t="shared" si="29"/>
        <v>4.4751505751437326E-2</v>
      </c>
      <c r="H118" s="1333"/>
      <c r="I118" s="1306">
        <f t="shared" si="23"/>
        <v>9.4636097421612747E-2</v>
      </c>
      <c r="J118" s="1252">
        <f>TableUK7!C121</f>
        <v>9.4636097421612747E-2</v>
      </c>
      <c r="K118" s="63">
        <v>0</v>
      </c>
      <c r="L118" s="62">
        <f t="shared" si="27"/>
        <v>0.98275862068965514</v>
      </c>
      <c r="M118" s="62">
        <f>AVERAGE(DataUK4!O274:O275)/DataUK1!B121</f>
        <v>0.98275862068965514</v>
      </c>
      <c r="N118" s="62">
        <v>0</v>
      </c>
      <c r="O118" s="62">
        <f>AVERAGE(DataUK4!H274:H275)/DataUK1!B121</f>
        <v>1.1185298279585909</v>
      </c>
      <c r="P118" s="62">
        <f t="shared" si="28"/>
        <v>0.87861637313979424</v>
      </c>
      <c r="Q118" s="1352">
        <f>DataUK1!GW122/DataUK1!B122</f>
        <v>3.4604671094921789E-2</v>
      </c>
      <c r="R118" s="913"/>
      <c r="S118" s="1431">
        <f t="shared" si="25"/>
        <v>0.88812252326804242</v>
      </c>
      <c r="U118" s="720"/>
      <c r="V118" s="1350"/>
      <c r="W118" s="1432">
        <f>D118-(TableUK5b!G118-TableUK5a!G118)</f>
        <v>0</v>
      </c>
      <c r="X118" s="68"/>
    </row>
    <row r="119" spans="1:24" ht="12" customHeight="1">
      <c r="A119" s="932">
        <f t="shared" si="26"/>
        <v>1964</v>
      </c>
      <c r="B119" s="914">
        <f>TableUK1!D120</f>
        <v>476.13007462686568</v>
      </c>
      <c r="C119" s="915">
        <f t="shared" si="24"/>
        <v>5.7629678903532433E-2</v>
      </c>
      <c r="D119" s="62">
        <f>TableUK12c!F135</f>
        <v>3.6141009183371181E-2</v>
      </c>
      <c r="E119" s="1742">
        <f>AVERAGE(DataUK3!BZ123:BZ124)/DataUK1!B123</f>
        <v>0.53473973859206603</v>
      </c>
      <c r="F119" s="1252">
        <f>TableUK12d!F134</f>
        <v>2.7433660095515098E-2</v>
      </c>
      <c r="G119" s="1329">
        <f t="shared" si="29"/>
        <v>4.9192521144485843E-2</v>
      </c>
      <c r="H119" s="1333"/>
      <c r="I119" s="1306">
        <f t="shared" si="23"/>
        <v>9.1722082091263465E-2</v>
      </c>
      <c r="J119" s="1252">
        <f>TableUK7!C122</f>
        <v>9.1722082091263465E-2</v>
      </c>
      <c r="K119" s="63">
        <v>0</v>
      </c>
      <c r="L119" s="62">
        <f t="shared" si="27"/>
        <v>0.93655810299264342</v>
      </c>
      <c r="M119" s="62">
        <f>AVERAGE(DataUK4!O275:O276)/DataUK1!B122</f>
        <v>0.93655810299264342</v>
      </c>
      <c r="N119" s="62">
        <v>0</v>
      </c>
      <c r="O119" s="62">
        <f>AVERAGE(DataUK4!H275:H276)/DataUK1!B122</f>
        <v>1.0832619098635812</v>
      </c>
      <c r="P119" s="62">
        <f t="shared" si="28"/>
        <v>0.8645721726803699</v>
      </c>
      <c r="Q119" s="1352">
        <f>DataUK1!GW123/DataUK1!B123</f>
        <v>3.2102728731942212E-2</v>
      </c>
      <c r="R119" s="913"/>
      <c r="S119" s="1431">
        <f t="shared" si="25"/>
        <v>0.84483602090137999</v>
      </c>
      <c r="U119" s="720"/>
      <c r="V119" s="1350"/>
      <c r="W119" s="1432">
        <f>D119-(TableUK5b!G119-TableUK5a!G119)</f>
        <v>0</v>
      </c>
      <c r="X119" s="68"/>
    </row>
    <row r="120" spans="1:24" ht="12" customHeight="1">
      <c r="A120" s="932">
        <f t="shared" si="26"/>
        <v>1965</v>
      </c>
      <c r="B120" s="914">
        <f>TableUK1!D121</f>
        <v>485.79253521126765</v>
      </c>
      <c r="C120" s="915">
        <f t="shared" si="24"/>
        <v>2.0293741352033434E-2</v>
      </c>
      <c r="D120" s="62">
        <f>TableUK12c!F136</f>
        <v>3.7892424566006652E-2</v>
      </c>
      <c r="E120" s="1742">
        <f>AVERAGE(DataUK3!BZ124:BZ125)/DataUK1!B124</f>
        <v>0.5373265466884809</v>
      </c>
      <c r="F120" s="1252">
        <f>TableUK12d!F135</f>
        <v>3.3474869161647075E-2</v>
      </c>
      <c r="G120" s="1329">
        <f t="shared" si="29"/>
        <v>5.1302826619443118E-2</v>
      </c>
      <c r="H120" s="1333"/>
      <c r="I120" s="1306">
        <f t="shared" si="23"/>
        <v>8.9209369340254627E-2</v>
      </c>
      <c r="J120" s="1252">
        <f>TableUK7!C123</f>
        <v>8.9209369340254627E-2</v>
      </c>
      <c r="K120" s="63">
        <v>0</v>
      </c>
      <c r="L120" s="62">
        <f t="shared" si="27"/>
        <v>0.86456251842631116</v>
      </c>
      <c r="M120" s="62">
        <f>AVERAGE(DataUK4!O276:O277)/DataUK1!B123</f>
        <v>0.86456251842631116</v>
      </c>
      <c r="N120" s="62">
        <v>0</v>
      </c>
      <c r="O120" s="62">
        <f>AVERAGE(DataUK4!H276:H277)/DataUK1!B123</f>
        <v>1.0119238706718643</v>
      </c>
      <c r="P120" s="62">
        <f t="shared" si="28"/>
        <v>0.85437506069729041</v>
      </c>
      <c r="Q120" s="1352">
        <f>DataUK1!GW124/DataUK1!B124</f>
        <v>3.0630794401017996E-2</v>
      </c>
      <c r="R120" s="913"/>
      <c r="S120" s="1431">
        <f t="shared" si="25"/>
        <v>0.77535314908605657</v>
      </c>
      <c r="U120" s="720"/>
      <c r="V120" s="1350"/>
      <c r="W120" s="1432">
        <f>D120-(TableUK5b!G120-TableUK5a!G120)</f>
        <v>0</v>
      </c>
      <c r="X120" s="68"/>
    </row>
    <row r="121" spans="1:24" ht="12" customHeight="1">
      <c r="A121" s="932">
        <f t="shared" si="26"/>
        <v>1966</v>
      </c>
      <c r="B121" s="914">
        <f>TableUK1!D122</f>
        <v>493.02817567567558</v>
      </c>
      <c r="C121" s="915">
        <f t="shared" si="24"/>
        <v>1.4894507304977767E-2</v>
      </c>
      <c r="D121" s="62">
        <f>TableUK12c!F137</f>
        <v>4.7002411852532441E-2</v>
      </c>
      <c r="E121" s="1742">
        <f>AVERAGE(DataUK3!BZ125:BZ126)/DataUK1!B125</f>
        <v>0.53680577435339272</v>
      </c>
      <c r="F121" s="1252">
        <f>TableUK12d!F136</f>
        <v>3.3163498794886663E-2</v>
      </c>
      <c r="G121" s="1329">
        <f t="shared" si="29"/>
        <v>6.2298930451047271E-2</v>
      </c>
      <c r="H121" s="1333"/>
      <c r="I121" s="1306">
        <f t="shared" si="23"/>
        <v>8.8473889063927155E-2</v>
      </c>
      <c r="J121" s="1252">
        <f>TableUK7!C124</f>
        <v>8.8473889063927155E-2</v>
      </c>
      <c r="K121" s="63">
        <v>0</v>
      </c>
      <c r="L121" s="62">
        <f t="shared" si="27"/>
        <v>0.82000242380173305</v>
      </c>
      <c r="M121" s="62">
        <f>AVERAGE(DataUK4!O277:O278)/DataUK1!B124</f>
        <v>0.82000242380173305</v>
      </c>
      <c r="N121" s="62">
        <v>0</v>
      </c>
      <c r="O121" s="62">
        <f>AVERAGE(DataUK4!H277:H278)/DataUK1!B124</f>
        <v>0.95932557716778766</v>
      </c>
      <c r="P121" s="62">
        <f t="shared" si="28"/>
        <v>0.85476968749506532</v>
      </c>
      <c r="Q121" s="1352">
        <f>DataUK1!GW125/DataUK1!B125</f>
        <v>3.1163177040071034E-2</v>
      </c>
      <c r="R121" s="913"/>
      <c r="S121" s="1431">
        <f t="shared" si="25"/>
        <v>0.73152853473780588</v>
      </c>
      <c r="U121" s="720"/>
      <c r="V121" s="1350"/>
      <c r="W121" s="1432">
        <f>D121-(TableUK5b!G121-TableUK5a!G121)</f>
        <v>0</v>
      </c>
      <c r="X121" s="68"/>
    </row>
    <row r="122" spans="1:24" ht="12" customHeight="1">
      <c r="A122" s="932">
        <f t="shared" si="26"/>
        <v>1967</v>
      </c>
      <c r="B122" s="914">
        <f>TableUK1!D123</f>
        <v>504.06125000000003</v>
      </c>
      <c r="C122" s="915">
        <f t="shared" si="24"/>
        <v>2.2378182158056203E-2</v>
      </c>
      <c r="D122" s="62">
        <f>TableUK12c!F138</f>
        <v>4.6700314772603925E-2</v>
      </c>
      <c r="E122" s="1742">
        <f>AVERAGE(DataUK3!BZ126:BZ127)/DataUK1!B126</f>
        <v>0.5527155678005401</v>
      </c>
      <c r="F122" s="1252">
        <f>TableUK12d!F137</f>
        <v>3.6062937866084756E-2</v>
      </c>
      <c r="G122" s="1329">
        <f t="shared" si="29"/>
        <v>6.1779325743717313E-2</v>
      </c>
      <c r="H122" s="1333"/>
      <c r="I122" s="1306">
        <f>AVERAGE(DataUK3!CA126:CA127)/DataUK1!B126</f>
        <v>0.38889495076243213</v>
      </c>
      <c r="J122" s="1252">
        <f>TableUK7!C125</f>
        <v>8.8200260054374993E-2</v>
      </c>
      <c r="K122" s="63">
        <f>I122-J122</f>
        <v>0.30069469070805716</v>
      </c>
      <c r="L122" s="62">
        <f>AVERAGE(DataUK3!CB126:CB127)/DataUK1!B126</f>
        <v>1.0648953872173272</v>
      </c>
      <c r="M122" s="62">
        <f>AVERAGE(DataUK4!O278:O279)/DataUK1!B125</f>
        <v>0.80689141580500101</v>
      </c>
      <c r="N122" s="62">
        <f>L122-M122</f>
        <v>0.25800397141232623</v>
      </c>
      <c r="O122" s="62">
        <f>AVERAGE(DataUK4!H278:H279)/DataUK1!B125</f>
        <v>0.94778449288230748</v>
      </c>
      <c r="P122" s="62">
        <f t="shared" si="28"/>
        <v>0.85134481716530674</v>
      </c>
      <c r="Q122" s="1352">
        <f>DataUK1!GW126/DataUK1!B126</f>
        <v>3.158842303390709E-2</v>
      </c>
      <c r="R122" s="913"/>
      <c r="S122" s="1431">
        <f t="shared" si="25"/>
        <v>0.67600043645489505</v>
      </c>
      <c r="U122" s="720"/>
      <c r="V122" s="1350"/>
      <c r="W122" s="1432">
        <f>D122-(TableUK5b!G122-TableUK5a!G122)</f>
        <v>0</v>
      </c>
      <c r="X122" s="68"/>
    </row>
    <row r="123" spans="1:24" ht="12" customHeight="1">
      <c r="A123" s="932">
        <f t="shared" si="26"/>
        <v>1968</v>
      </c>
      <c r="B123" s="914">
        <f>TableUK1!D124</f>
        <v>523.76987341772144</v>
      </c>
      <c r="C123" s="915">
        <f t="shared" si="24"/>
        <v>3.9099659848324864E-2</v>
      </c>
      <c r="D123" s="62">
        <f>TableUK12c!F139</f>
        <v>6.0337267283068985E-2</v>
      </c>
      <c r="E123" s="1742">
        <f>AVERAGE(DataUK3!BZ127:BZ128)/DataUK1!B127</f>
        <v>0.56333973128598847</v>
      </c>
      <c r="F123" s="1252">
        <f>TableUK12d!F138</f>
        <v>4.1083251926625416E-2</v>
      </c>
      <c r="G123" s="1329">
        <f t="shared" si="29"/>
        <v>6.5246828508182864E-2</v>
      </c>
      <c r="H123" s="1333"/>
      <c r="I123" s="1306">
        <f>AVERAGE(DataUK3!CA127:CA128)/DataUK1!B127</f>
        <v>0.41457470451560763</v>
      </c>
      <c r="J123" s="1252">
        <f>TableUK7!C126</f>
        <v>8.5306035402004682E-2</v>
      </c>
      <c r="K123" s="63">
        <f t="shared" ref="K123:K165" si="31">I123-J123</f>
        <v>0.32926866911360297</v>
      </c>
      <c r="L123" s="62">
        <f>AVERAGE(DataUK3!CB127:CB128)/DataUK1!B127</f>
        <v>1.0395747045156076</v>
      </c>
      <c r="M123" s="62">
        <f>AVERAGE(DataUK4!O279:O280)/DataUK1!B126</f>
        <v>0.79753948552879239</v>
      </c>
      <c r="N123" s="62">
        <f t="shared" ref="N123:N165" si="32">L123-M123</f>
        <v>0.24203521898681524</v>
      </c>
      <c r="O123" s="62">
        <f>AVERAGE(DataUK4!H279:H280)/DataUK1!B126</f>
        <v>0.92989443247224424</v>
      </c>
      <c r="P123" s="62">
        <f t="shared" si="28"/>
        <v>0.85766669600164269</v>
      </c>
      <c r="Q123" s="1352">
        <f>DataUK1!GW127/DataUK1!B127</f>
        <v>3.2705323770077788E-2</v>
      </c>
      <c r="R123" s="913"/>
      <c r="S123" s="1431">
        <f t="shared" si="25"/>
        <v>0.625</v>
      </c>
      <c r="U123" s="720"/>
      <c r="V123" s="1350"/>
      <c r="W123" s="1432">
        <f>D123-(TableUK5b!G123-TableUK5a!G123)</f>
        <v>0</v>
      </c>
      <c r="X123" s="68"/>
    </row>
    <row r="124" spans="1:24" ht="12" customHeight="1">
      <c r="A124" s="934">
        <f t="shared" si="26"/>
        <v>1969</v>
      </c>
      <c r="B124" s="921">
        <f>TableUK1!D125</f>
        <v>537.64005952380944</v>
      </c>
      <c r="C124" s="922">
        <f t="shared" si="24"/>
        <v>2.6481450747790847E-2</v>
      </c>
      <c r="D124" s="1314">
        <f>TableUK12c!F140</f>
        <v>8.7311616587101001E-2</v>
      </c>
      <c r="E124" s="1326">
        <f>AVERAGE(DataUK3!BZ128:BZ129)/DataUK1!B128</f>
        <v>0.57891570446814911</v>
      </c>
      <c r="F124" s="1253">
        <f>TableUK12d!F139</f>
        <v>4.1895311834423313E-2</v>
      </c>
      <c r="G124" s="1340">
        <f t="shared" si="29"/>
        <v>7.2928021307570159E-2</v>
      </c>
      <c r="H124" s="1336"/>
      <c r="I124" s="1309">
        <f>AVERAGE(DataUK3!CA128:CA129)/DataUK1!B128</f>
        <v>0.40009718397852695</v>
      </c>
      <c r="J124" s="1253">
        <f>TableUK7!C127</f>
        <v>8.1500849717060925E-2</v>
      </c>
      <c r="K124" s="948">
        <f t="shared" si="31"/>
        <v>0.31859633426146605</v>
      </c>
      <c r="L124" s="1314">
        <f>AVERAGE(DataUK3!CB128:CB129)/DataUK1!B128</f>
        <v>0.97170095101464704</v>
      </c>
      <c r="M124" s="1314">
        <f>AVERAGE(DataUK4!O280:O281)/DataUK1!B127</f>
        <v>0.73215728861501161</v>
      </c>
      <c r="N124" s="1314">
        <f t="shared" si="32"/>
        <v>0.23954366239963543</v>
      </c>
      <c r="O124" s="1314">
        <f>AVERAGE(DataUK4!H280:H281)/DataUK1!B127</f>
        <v>0.84684058995858169</v>
      </c>
      <c r="P124" s="1314">
        <f t="shared" si="28"/>
        <v>0.86457510102440982</v>
      </c>
      <c r="Q124" s="1353">
        <f>DataUK1!GW128/DataUK1!B128</f>
        <v>3.0844343661059304E-2</v>
      </c>
      <c r="R124" s="913"/>
      <c r="S124" s="1431">
        <f t="shared" si="25"/>
        <v>0.57160376703612004</v>
      </c>
      <c r="U124" s="720"/>
      <c r="V124" s="1350"/>
      <c r="W124" s="1432">
        <f>D124-(TableUK5b!G124-TableUK5a!G124)</f>
        <v>0</v>
      </c>
      <c r="X124" s="68"/>
    </row>
    <row r="125" spans="1:24" s="905" customFormat="1" ht="12" customHeight="1">
      <c r="A125" s="932">
        <f t="shared" si="26"/>
        <v>1970</v>
      </c>
      <c r="B125" s="914">
        <f>TableUK1!D126</f>
        <v>550.18088888888883</v>
      </c>
      <c r="C125" s="915">
        <f t="shared" si="24"/>
        <v>2.3325697449306348E-2</v>
      </c>
      <c r="D125" s="62">
        <f>TableUK12c!F141</f>
        <v>9.3035154667746811E-2</v>
      </c>
      <c r="E125" s="1742">
        <f>AVERAGE(DataUK3!BZ129:BZ130)/DataUK1!B129</f>
        <v>0.60562637177106193</v>
      </c>
      <c r="F125" s="1252">
        <f>TableUK12d!F140</f>
        <v>3.9619020874286245E-2</v>
      </c>
      <c r="G125" s="1328">
        <f t="shared" si="29"/>
        <v>7.2368587535403983E-2</v>
      </c>
      <c r="H125" s="1333"/>
      <c r="I125" s="1311">
        <f>AVERAGE(DataUK3!CA129:CA130)/DataUK1!B129</f>
        <v>0.37247805166300862</v>
      </c>
      <c r="J125" s="62">
        <f>TableUK7!C128</f>
        <v>8.019584669930778E-2</v>
      </c>
      <c r="K125" s="63">
        <f t="shared" si="31"/>
        <v>0.29228220496370083</v>
      </c>
      <c r="L125" s="62">
        <f>AVERAGE(DataUK3!CB129:CB130)/DataUK1!B129</f>
        <v>0.89199940908323483</v>
      </c>
      <c r="M125" s="62">
        <f>AVERAGE(DataUK4!O281:O282)/DataUK1!B128</f>
        <v>0.65083184857810583</v>
      </c>
      <c r="N125" s="62">
        <f t="shared" si="32"/>
        <v>0.241167560505129</v>
      </c>
      <c r="O125" s="62">
        <f>AVERAGE(DataUK4!H281:H282)/DataUK1!B128</f>
        <v>0.76961612328481843</v>
      </c>
      <c r="P125" s="62">
        <f t="shared" si="28"/>
        <v>0.84565776221042988</v>
      </c>
      <c r="Q125" s="1347">
        <f>DataUK1!GW129/DataUK1!B129</f>
        <v>2.8743879790646631E-2</v>
      </c>
      <c r="R125" s="1317"/>
      <c r="S125" s="1431">
        <f t="shared" si="25"/>
        <v>0.5195213574202262</v>
      </c>
      <c r="U125" s="720"/>
      <c r="V125" s="1350"/>
      <c r="W125" s="1432">
        <f>D125-(TableUK5b!G125-TableUK5a!G125)</f>
        <v>0</v>
      </c>
      <c r="X125" s="68"/>
    </row>
    <row r="126" spans="1:24" ht="12" customHeight="1">
      <c r="A126" s="932">
        <v>1971</v>
      </c>
      <c r="B126" s="914">
        <f>TableUK1!D127</f>
        <v>553.93530612244888</v>
      </c>
      <c r="C126" s="915">
        <f t="shared" si="24"/>
        <v>6.8239688244029484E-3</v>
      </c>
      <c r="D126" s="62">
        <f>TableUK12c!F142</f>
        <v>7.230778038587049E-2</v>
      </c>
      <c r="E126" s="1742">
        <f>AVERAGE(DataUK3!BZ130:BZ131)/DataUK1!B130</f>
        <v>0.63614576114576116</v>
      </c>
      <c r="F126" s="1252">
        <f>TableUK12d!F141</f>
        <v>3.8842816637175689E-2</v>
      </c>
      <c r="G126" s="1329">
        <f t="shared" si="29"/>
        <v>6.5418255744753101E-2</v>
      </c>
      <c r="H126" s="1303"/>
      <c r="I126" s="1306">
        <f>AVERAGE(DataUK3!CA130:CA131)/DataUK1!B130</f>
        <v>0.38914876414876415</v>
      </c>
      <c r="J126" s="1300">
        <f>TableUK7!C129</f>
        <v>7.9310079310079315E-2</v>
      </c>
      <c r="K126" s="63">
        <f t="shared" si="31"/>
        <v>0.30983868483868482</v>
      </c>
      <c r="L126" s="62">
        <f>AVERAGE(DataUK3!CB130:CB131)/DataUK1!B130</f>
        <v>0.88013013013013008</v>
      </c>
      <c r="M126" s="62">
        <f>AVERAGE(DataUK4!O282:O283)/DataUK1!B129</f>
        <v>0.63618521019753504</v>
      </c>
      <c r="N126" s="62">
        <f t="shared" si="32"/>
        <v>0.24394491993259504</v>
      </c>
      <c r="O126" s="62">
        <f>AVERAGE(DataUK4!H282:H283)/DataUK1!B129</f>
        <v>0.73106955934492657</v>
      </c>
      <c r="P126" s="62">
        <f t="shared" si="28"/>
        <v>0.87021159897231604</v>
      </c>
      <c r="Q126" s="1352">
        <f>DataUK1!GW130/DataUK1!B130</f>
        <v>2.8509278509278511E-2</v>
      </c>
      <c r="R126" s="913"/>
      <c r="S126" s="1431">
        <f t="shared" si="25"/>
        <v>0.49098136598136594</v>
      </c>
      <c r="U126" s="720"/>
      <c r="V126" s="1350"/>
      <c r="W126" s="1432">
        <f>D126-(TableUK5b!G126-TableUK5a!G126)</f>
        <v>0</v>
      </c>
      <c r="X126" s="68"/>
    </row>
    <row r="127" spans="1:24" ht="12" customHeight="1">
      <c r="A127" s="932">
        <v>1972</v>
      </c>
      <c r="B127" s="914">
        <f>TableUK1!D128</f>
        <v>572.4135377358491</v>
      </c>
      <c r="C127" s="915">
        <f t="shared" si="24"/>
        <v>3.3358104112821474E-2</v>
      </c>
      <c r="D127" s="62">
        <f>TableUK12c!F143</f>
        <v>3.7956254982841692E-2</v>
      </c>
      <c r="E127" s="1742">
        <f>AVERAGE(DataUK3!BZ131:BZ132)/DataUK1!B131</f>
        <v>0.65894803919880129</v>
      </c>
      <c r="F127" s="1252">
        <f>TableUK12d!F142</f>
        <v>3.5743592679529021E-2</v>
      </c>
      <c r="G127" s="1329">
        <f t="shared" si="29"/>
        <v>6.1059617165751368E-2</v>
      </c>
      <c r="H127" s="1303"/>
      <c r="I127" s="1306">
        <f>AVERAGE(DataUK3!CA131:CA132)/DataUK1!B131</f>
        <v>0.3883109725642836</v>
      </c>
      <c r="J127" s="1300">
        <f>TableUK7!C130</f>
        <v>7.3196355682620604E-2</v>
      </c>
      <c r="K127" s="63">
        <f t="shared" si="31"/>
        <v>0.31511461688166298</v>
      </c>
      <c r="L127" s="62">
        <f>AVERAGE(DataUK3!CB131:CB132)/DataUK1!B131</f>
        <v>0.8480960336186556</v>
      </c>
      <c r="M127" s="62">
        <f>AVERAGE(DataUK4!O283:O284)/DataUK1!B130</f>
        <v>0.61745399245399246</v>
      </c>
      <c r="N127" s="62">
        <f t="shared" si="32"/>
        <v>0.23064204116466314</v>
      </c>
      <c r="O127" s="62">
        <f>AVERAGE(DataUK4!H283:H284)/DataUK1!B130</f>
        <v>0.69997882497882502</v>
      </c>
      <c r="P127" s="62">
        <f t="shared" si="28"/>
        <v>0.88210381574424201</v>
      </c>
      <c r="Q127" s="1352">
        <f>DataUK1!GW131/DataUK1!B131</f>
        <v>2.9709109071181301E-2</v>
      </c>
      <c r="R127" s="913"/>
      <c r="S127" s="1431">
        <f t="shared" si="25"/>
        <v>0.459785061054372</v>
      </c>
      <c r="U127" s="720"/>
      <c r="V127" s="1350"/>
      <c r="W127" s="1432">
        <f>D127-(TableUK5b!G127-TableUK5a!G127)</f>
        <v>0</v>
      </c>
      <c r="X127" s="68"/>
    </row>
    <row r="128" spans="1:24" ht="12" customHeight="1">
      <c r="A128" s="932">
        <v>1973</v>
      </c>
      <c r="B128" s="914">
        <f>TableUK1!D129</f>
        <v>614.67999999999995</v>
      </c>
      <c r="C128" s="915">
        <f t="shared" si="24"/>
        <v>7.3839033282360189E-2</v>
      </c>
      <c r="D128" s="62">
        <f>TableUK12c!F144</f>
        <v>2.5617348306574125E-2</v>
      </c>
      <c r="E128" s="1742">
        <f>AVERAGE(DataUK3!BZ132:BZ133)/DataUK1!B132</f>
        <v>0.68647846575996185</v>
      </c>
      <c r="F128" s="1252">
        <f>TableUK12d!F143</f>
        <v>3.3311379943845539E-2</v>
      </c>
      <c r="G128" s="1329">
        <f t="shared" si="29"/>
        <v>5.4243416101501379E-2</v>
      </c>
      <c r="H128" s="1303"/>
      <c r="I128" s="1306">
        <f>AVERAGE(DataUK3!CA132:CA133)/DataUK1!B132</f>
        <v>0.35792471963731809</v>
      </c>
      <c r="J128" s="1300">
        <f>TableUK7!C131</f>
        <v>7.0388928656645186E-2</v>
      </c>
      <c r="K128" s="63">
        <f t="shared" si="31"/>
        <v>0.28753579098067289</v>
      </c>
      <c r="L128" s="62">
        <f>AVERAGE(DataUK3!CB132:CB133)/DataUK1!B132</f>
        <v>0.76811918396564061</v>
      </c>
      <c r="M128" s="62">
        <f>AVERAGE(DataUK4!O284:O285)/DataUK1!B131</f>
        <v>0.55672286998604958</v>
      </c>
      <c r="N128" s="62">
        <f t="shared" si="32"/>
        <v>0.21139631397959102</v>
      </c>
      <c r="O128" s="62">
        <f>AVERAGE(DataUK4!H284:H285)/DataUK1!B131</f>
        <v>0.66601794602414621</v>
      </c>
      <c r="P128" s="62">
        <f t="shared" si="28"/>
        <v>0.83589770111970196</v>
      </c>
      <c r="Q128" s="1352">
        <f>DataUK1!GW132/DataUK1!B132</f>
        <v>2.8707349081364828E-2</v>
      </c>
      <c r="R128" s="913"/>
      <c r="S128" s="1431">
        <f t="shared" si="25"/>
        <v>0.41019446432832252</v>
      </c>
      <c r="U128" s="720"/>
      <c r="V128" s="1350"/>
      <c r="W128" s="1432">
        <f>D128-(TableUK5b!G128-TableUK5a!G128)</f>
        <v>0</v>
      </c>
      <c r="X128" s="68"/>
    </row>
    <row r="129" spans="1:24" ht="12" customHeight="1">
      <c r="A129" s="932">
        <v>1974</v>
      </c>
      <c r="B129" s="914">
        <f>TableUK1!D130</f>
        <v>592.81015267175565</v>
      </c>
      <c r="C129" s="915">
        <f t="shared" si="24"/>
        <v>-3.557924013835545E-2</v>
      </c>
      <c r="D129" s="62">
        <f>TableUK12c!F145</f>
        <v>-3.613059760535893E-3</v>
      </c>
      <c r="E129" s="1742">
        <f>AVERAGE(DataUK3!BZ133:BZ134)/DataUK1!B133</f>
        <v>0.71456253195898489</v>
      </c>
      <c r="F129" s="1252">
        <f>TableUK12d!F144</f>
        <v>3.9528164189330077E-2</v>
      </c>
      <c r="G129" s="1329">
        <f t="shared" si="29"/>
        <v>4.8525018052778063E-2</v>
      </c>
      <c r="H129" s="1303"/>
      <c r="I129" s="1306">
        <f>AVERAGE(DataUK3!CA133:CA134)/DataUK1!B133</f>
        <v>0.36193045724897061</v>
      </c>
      <c r="J129" s="1300">
        <f>TableUK7!C132</f>
        <v>7.3606588260623843E-2</v>
      </c>
      <c r="K129" s="63">
        <f t="shared" si="31"/>
        <v>0.28832386898834678</v>
      </c>
      <c r="L129" s="62">
        <f>AVERAGE(DataUK3!CB133:CB134)/DataUK1!B133</f>
        <v>0.74911187663159029</v>
      </c>
      <c r="M129" s="62">
        <f>AVERAGE(DataUK4!O285:O286)/DataUK1!B132</f>
        <v>0.49988815318539725</v>
      </c>
      <c r="N129" s="62">
        <f t="shared" si="32"/>
        <v>0.24922372344619304</v>
      </c>
      <c r="O129" s="62">
        <f>AVERAGE(DataUK4!H285:H286)/DataUK1!B132</f>
        <v>0.64767507754712483</v>
      </c>
      <c r="P129" s="62">
        <f t="shared" si="28"/>
        <v>0.77181934354888837</v>
      </c>
      <c r="Q129" s="1352">
        <f>DataUK1!GW133/DataUK1!B133</f>
        <v>3.099012299163011E-2</v>
      </c>
      <c r="R129" s="913"/>
      <c r="S129" s="1431"/>
      <c r="U129" s="720"/>
      <c r="V129" s="1350"/>
      <c r="W129" s="1432">
        <f>D129-(TableUK5b!G129-TableUK5a!G129)</f>
        <v>-6.9388939039072284E-18</v>
      </c>
      <c r="X129" s="68"/>
    </row>
    <row r="130" spans="1:24" ht="12" customHeight="1">
      <c r="A130" s="932">
        <v>1975</v>
      </c>
      <c r="B130" s="914">
        <f>TableUK1!D131</f>
        <v>582.54056886227545</v>
      </c>
      <c r="C130" s="915">
        <f t="shared" si="24"/>
        <v>-1.7323562633325129E-2</v>
      </c>
      <c r="D130" s="62">
        <f>TableUK12c!F146</f>
        <v>-1.8801211069001292E-2</v>
      </c>
      <c r="E130" s="1742">
        <f>AVERAGE(DataUK3!BZ134:BZ135)/DataUK1!B134</f>
        <v>0.64477147000375956</v>
      </c>
      <c r="F130" s="1252">
        <f>TableUK12d!F145</f>
        <v>4.1774355187509889E-2</v>
      </c>
      <c r="G130" s="1329">
        <f t="shared" si="29"/>
        <v>5.5317991668221066E-2</v>
      </c>
      <c r="H130" s="1303"/>
      <c r="I130" s="1306">
        <f>AVERAGE(DataUK3!CA134:CA135)/DataUK1!B134</f>
        <v>0.3491916859122402</v>
      </c>
      <c r="J130" s="1300">
        <f>TableUK7!C133</f>
        <v>6.9437134110317419E-2</v>
      </c>
      <c r="K130" s="63">
        <f t="shared" si="31"/>
        <v>0.27975455180192277</v>
      </c>
      <c r="L130" s="62">
        <f>AVERAGE(DataUK3!CB134:CB135)/DataUK1!B134</f>
        <v>0.69403834792416352</v>
      </c>
      <c r="M130" s="62">
        <f>AVERAGE(DataUK4!O286:O287)/DataUK1!B133</f>
        <v>0.52101219151169365</v>
      </c>
      <c r="N130" s="1580">
        <f t="shared" si="32"/>
        <v>0.17302615641246988</v>
      </c>
      <c r="O130" s="62">
        <f>AVERAGE(DataUK4!H286:H287)/DataUK1!B133</f>
        <v>0.69293134537233902</v>
      </c>
      <c r="P130" s="62">
        <f t="shared" si="28"/>
        <v>0.75189583353562028</v>
      </c>
      <c r="Q130" s="1352">
        <f>DataUK1!GW134/DataUK1!B134</f>
        <v>3.1065041087061603E-2</v>
      </c>
      <c r="R130" s="913"/>
      <c r="S130" s="1431"/>
      <c r="U130" s="720"/>
      <c r="V130" s="1350"/>
      <c r="W130" s="1432">
        <f>D130-(TableUK5b!G130-TableUK5a!G130)</f>
        <v>0</v>
      </c>
      <c r="X130" s="68"/>
    </row>
    <row r="131" spans="1:24" ht="12" customHeight="1">
      <c r="A131" s="932">
        <v>1976</v>
      </c>
      <c r="B131" s="914">
        <f>TableUK1!D132</f>
        <v>595.76973958333338</v>
      </c>
      <c r="C131" s="915">
        <f t="shared" si="24"/>
        <v>2.2709441072739311E-2</v>
      </c>
      <c r="D131" s="62">
        <f>TableUK12c!F147</f>
        <v>-2.5433485060484227E-2</v>
      </c>
      <c r="E131" s="1742">
        <f>AVERAGE(DataUK3!BZ135:BZ136)/DataUK1!B135</f>
        <v>0.62639089364345613</v>
      </c>
      <c r="F131" s="1252">
        <f>TableUK12d!F146</f>
        <v>3.7051936228324617E-2</v>
      </c>
      <c r="G131" s="1329">
        <f t="shared" si="29"/>
        <v>6.4789397687317507E-2</v>
      </c>
      <c r="H131" s="1303"/>
      <c r="I131" s="1306">
        <f>AVERAGE(DataUK3!CA135:CA136)/DataUK1!B135</f>
        <v>0.3491714019477079</v>
      </c>
      <c r="J131" s="1300">
        <f>TableUK7!C134</f>
        <v>6.7537136175110993E-2</v>
      </c>
      <c r="K131" s="63">
        <f t="shared" si="31"/>
        <v>0.28163426577259693</v>
      </c>
      <c r="L131" s="62">
        <f>AVERAGE(DataUK3!CB135:CB136)/DataUK1!B135</f>
        <v>0.69370192395534525</v>
      </c>
      <c r="M131" s="62">
        <f>AVERAGE(DataUK4!O287:O288)/DataUK1!B134</f>
        <v>0.50483377195338097</v>
      </c>
      <c r="N131" s="62">
        <f t="shared" si="32"/>
        <v>0.18886815200196427</v>
      </c>
      <c r="O131" s="62">
        <f>AVERAGE(DataUK4!H287:H288)/DataUK1!B134</f>
        <v>0.66464901444760727</v>
      </c>
      <c r="P131" s="62">
        <f t="shared" si="28"/>
        <v>0.75954941778248264</v>
      </c>
      <c r="Q131" s="1352">
        <f>DataUK1!GW135/DataUK1!B135</f>
        <v>3.6149531344210777E-2</v>
      </c>
      <c r="R131" s="913"/>
      <c r="S131" s="1431"/>
      <c r="U131" s="720"/>
      <c r="V131" s="1350"/>
      <c r="W131" s="1432">
        <f>D131-(TableUK5b!G131-TableUK5a!G131)</f>
        <v>0</v>
      </c>
      <c r="X131" s="68"/>
    </row>
    <row r="132" spans="1:24" ht="12" customHeight="1">
      <c r="A132" s="932">
        <v>1977</v>
      </c>
      <c r="B132" s="914">
        <f>TableUK1!D133</f>
        <v>607.04433486238531</v>
      </c>
      <c r="C132" s="915">
        <f t="shared" si="24"/>
        <v>1.8924417488771939E-2</v>
      </c>
      <c r="D132" s="62">
        <f>TableUK12c!F148</f>
        <v>-1.3943692847300515E-2</v>
      </c>
      <c r="E132" s="1742">
        <f>AVERAGE(DataUK3!BZ136:BZ137)/DataUK1!B136</f>
        <v>0.60991653308274829</v>
      </c>
      <c r="F132" s="1252">
        <f>TableUK12d!F147</f>
        <v>3.2615433662173891E-2</v>
      </c>
      <c r="G132" s="1329">
        <f t="shared" si="29"/>
        <v>5.9151460540572146E-2</v>
      </c>
      <c r="H132" s="1303"/>
      <c r="I132" s="1306">
        <f>AVERAGE(DataUK3!CA136:CA137)/DataUK1!B136</f>
        <v>0.3509440368928512</v>
      </c>
      <c r="J132" s="1300">
        <f>TableUK7!C135</f>
        <v>6.5316613627928649E-2</v>
      </c>
      <c r="K132" s="63">
        <f t="shared" si="31"/>
        <v>0.28562742326492252</v>
      </c>
      <c r="L132" s="62">
        <f>AVERAGE(DataUK3!CB136:CB137)/DataUK1!B136</f>
        <v>0.72380110078413107</v>
      </c>
      <c r="M132" s="62">
        <f>AVERAGE(DataUK4!O288:O289)/DataUK1!B135</f>
        <v>0.5573121265827411</v>
      </c>
      <c r="N132" s="62">
        <f t="shared" si="32"/>
        <v>0.16648897420138997</v>
      </c>
      <c r="O132" s="62">
        <f>AVERAGE(DataUK4!H288:H289)/DataUK1!B135</f>
        <v>0.66847855876925322</v>
      </c>
      <c r="P132" s="62">
        <f t="shared" si="28"/>
        <v>0.83370232189468807</v>
      </c>
      <c r="Q132" s="1352">
        <f>DataUK1!GW136/DataUK1!B136</f>
        <v>3.862220362137448E-2</v>
      </c>
      <c r="R132" s="913"/>
      <c r="S132" s="1431"/>
      <c r="U132" s="720"/>
      <c r="V132" s="1350"/>
      <c r="W132" s="1432">
        <f>D132-(TableUK5b!G132-TableUK5a!G132)</f>
        <v>0</v>
      </c>
      <c r="X132" s="68"/>
    </row>
    <row r="133" spans="1:24" ht="12" customHeight="1">
      <c r="A133" s="932">
        <v>1978</v>
      </c>
      <c r="B133" s="914">
        <f>TableUK1!D134</f>
        <v>619.89485655737712</v>
      </c>
      <c r="C133" s="915">
        <f t="shared" si="24"/>
        <v>2.1169000280523154E-2</v>
      </c>
      <c r="D133" s="62">
        <f>TableUK12c!F149</f>
        <v>-2.8027796835834277E-2</v>
      </c>
      <c r="E133" s="1742">
        <f>AVERAGE(DataUK3!BZ137:BZ138)/DataUK1!B137</f>
        <v>0.62009727720549124</v>
      </c>
      <c r="F133" s="1252">
        <f>TableUK12d!F148</f>
        <v>2.196855818614556E-2</v>
      </c>
      <c r="G133" s="1329">
        <f t="shared" si="29"/>
        <v>5.3475241107702368E-2</v>
      </c>
      <c r="H133" s="1303"/>
      <c r="I133" s="1306">
        <f>AVERAGE(DataUK3!CA137:CA138)/DataUK1!B137</f>
        <v>0.34501281599546779</v>
      </c>
      <c r="J133" s="1300">
        <f>TableUK7!C136</f>
        <v>6.4318334127855967E-2</v>
      </c>
      <c r="K133" s="63">
        <f t="shared" si="31"/>
        <v>0.28069448186761181</v>
      </c>
      <c r="L133" s="62">
        <f>AVERAGE(DataUK3!CB137:CB138)/DataUK1!B137</f>
        <v>0.72218307183175467</v>
      </c>
      <c r="M133" s="62">
        <f>AVERAGE(DataUK4!O289:O290)/DataUK1!B136</f>
        <v>0.5696320980440156</v>
      </c>
      <c r="N133" s="62">
        <f t="shared" si="32"/>
        <v>0.15255097378773907</v>
      </c>
      <c r="O133" s="62">
        <f>AVERAGE(DataUK4!H289:H290)/DataUK1!B136</f>
        <v>0.65567330243135891</v>
      </c>
      <c r="P133" s="62">
        <f t="shared" si="28"/>
        <v>0.86877427513323102</v>
      </c>
      <c r="Q133" s="1352">
        <f>DataUK1!GW137/DataUK1!B137</f>
        <v>4.0665740875080313E-2</v>
      </c>
      <c r="R133" s="913"/>
      <c r="S133" s="1431"/>
      <c r="U133" s="720"/>
      <c r="V133" s="1350"/>
      <c r="W133" s="1432">
        <f>D133-(TableUK5b!G133-TableUK5a!G133)</f>
        <v>0</v>
      </c>
      <c r="X133" s="68"/>
    </row>
    <row r="134" spans="1:24" ht="12" customHeight="1">
      <c r="A134" s="932">
        <v>1979</v>
      </c>
      <c r="B134" s="914">
        <f>TableUK1!D135</f>
        <v>632.30740143369189</v>
      </c>
      <c r="C134" s="915">
        <f t="shared" si="24"/>
        <v>2.0023629402651455E-2</v>
      </c>
      <c r="D134" s="62">
        <f>TableUK12c!F150</f>
        <v>-2.2993814529424835E-2</v>
      </c>
      <c r="E134" s="1326">
        <f>AVERAGE(DataUK3!BZ138:BZ139)/DataUK1!B138</f>
        <v>0.65237209522737638</v>
      </c>
      <c r="F134" s="1253">
        <f>TableUK12d!F149</f>
        <v>1.7301696204767309E-2</v>
      </c>
      <c r="G134" s="1340">
        <f t="shared" si="29"/>
        <v>3.5427599819738441E-2</v>
      </c>
      <c r="H134" s="1337"/>
      <c r="I134" s="1309">
        <f>AVERAGE(DataUK3!CA138:CA139)/DataUK1!B138</f>
        <v>0.3295136153349485</v>
      </c>
      <c r="J134" s="1301">
        <f>TableUK7!C137</f>
        <v>5.9324594087088386E-2</v>
      </c>
      <c r="K134" s="63">
        <f t="shared" si="31"/>
        <v>0.27018902124786009</v>
      </c>
      <c r="L134" s="1572">
        <f>AVERAGE(DataUK3!CB138:CB139)/DataUK1!B138</f>
        <v>0.66524698341991628</v>
      </c>
      <c r="M134" s="1314">
        <f>AVERAGE(DataUK4!O290:O291)/DataUK1!B137</f>
        <v>0.53422665312523754</v>
      </c>
      <c r="N134" s="1314">
        <f t="shared" si="32"/>
        <v>0.13102033029467874</v>
      </c>
      <c r="O134" s="1314">
        <f>AVERAGE(DataUK4!H290:H291)/DataUK1!B137</f>
        <v>0.62939664642361182</v>
      </c>
      <c r="P134" s="1314">
        <f t="shared" si="28"/>
        <v>0.84879170577226004</v>
      </c>
      <c r="Q134" s="1353">
        <f>DataUK1!GW138/DataUK1!B138</f>
        <v>4.2158076497035249E-2</v>
      </c>
      <c r="R134" s="913"/>
      <c r="S134" s="1431"/>
      <c r="U134" s="720"/>
      <c r="V134" s="1350"/>
      <c r="W134" s="1432">
        <f>D134-(TableUK5b!G134-TableUK5a!G134)</f>
        <v>0</v>
      </c>
      <c r="X134" s="68"/>
    </row>
    <row r="135" spans="1:24" ht="12" customHeight="1">
      <c r="A135" s="933">
        <v>1980</v>
      </c>
      <c r="B135" s="916">
        <f>TableUK1!D136</f>
        <v>616.981766467066</v>
      </c>
      <c r="C135" s="917">
        <f t="shared" si="24"/>
        <v>-2.4237633359781352E-2</v>
      </c>
      <c r="D135" s="62">
        <f>TableUK12c!F151</f>
        <v>-1.8836911472566477E-2</v>
      </c>
      <c r="E135" s="1742">
        <f>AVERAGE(DataUK3!BZ139:BZ140)/DataUK1!B139</f>
        <v>0.68779602227203107</v>
      </c>
      <c r="F135" s="1252">
        <f>TableUK12d!F150</f>
        <v>1.5773534604726216E-2</v>
      </c>
      <c r="G135" s="1329">
        <f t="shared" si="29"/>
        <v>2.6521208266483274E-2</v>
      </c>
      <c r="H135" s="1303"/>
      <c r="I135" s="1306">
        <f>AVERAGE(DataUK3!CA139:CA140)/DataUK1!B139</f>
        <v>0.32170711670503754</v>
      </c>
      <c r="J135" s="1300">
        <f>TableUK7!C138</f>
        <v>4.8106471668069646E-2</v>
      </c>
      <c r="K135" s="1304">
        <f t="shared" si="31"/>
        <v>0.2736006450369679</v>
      </c>
      <c r="L135" s="62">
        <f>AVERAGE(DataUK3!CB139:CB140)/DataUK1!B139</f>
        <v>0.64499132851245944</v>
      </c>
      <c r="M135" s="62">
        <f>AVERAGE(DataUK4!O291:O292)/DataUK1!B138</f>
        <v>0.5261733119294858</v>
      </c>
      <c r="N135" s="62">
        <f t="shared" si="32"/>
        <v>0.11881801658297364</v>
      </c>
      <c r="O135" s="62">
        <f>AVERAGE(DataUK4!H291:H292)/DataUK1!B138</f>
        <v>0.59561240870291499</v>
      </c>
      <c r="P135" s="62">
        <f t="shared" si="28"/>
        <v>0.88341563110706667</v>
      </c>
      <c r="Q135" s="1352">
        <f>DataUK1!GW139/DataUK1!B139</f>
        <v>4.4523778131624045E-2</v>
      </c>
      <c r="R135" s="913"/>
      <c r="S135" s="1431"/>
      <c r="U135" s="720"/>
      <c r="V135" s="1350"/>
      <c r="W135" s="1432">
        <f>D135-(TableUK5b!G135-TableUK5a!G135)</f>
        <v>0</v>
      </c>
      <c r="X135" s="68"/>
    </row>
    <row r="136" spans="1:24" ht="12" customHeight="1">
      <c r="A136" s="932">
        <v>1981</v>
      </c>
      <c r="B136" s="914">
        <f>TableUK1!D137</f>
        <v>606.53541666666649</v>
      </c>
      <c r="C136" s="915">
        <f t="shared" si="24"/>
        <v>-1.6931375233691148E-2</v>
      </c>
      <c r="D136" s="62">
        <f>TableUK12c!F152</f>
        <v>-1.9041825234192036E-2</v>
      </c>
      <c r="E136" s="1742">
        <f>AVERAGE(DataUK3!BZ140:BZ141)/DataUK1!B140</f>
        <v>0.70555542690410589</v>
      </c>
      <c r="F136" s="1252">
        <f>TableUK12d!F151</f>
        <v>1.3124325632518884E-2</v>
      </c>
      <c r="G136" s="1329">
        <f t="shared" si="29"/>
        <v>2.2933448426498176E-2</v>
      </c>
      <c r="H136" s="1303"/>
      <c r="I136" s="1306">
        <f>AVERAGE(DataUK3!CA140:CA141)/DataUK1!B140</f>
        <v>0.34234305166384926</v>
      </c>
      <c r="J136" s="1300">
        <f>TableUK7!C139</f>
        <v>3.6213324687955913E-2</v>
      </c>
      <c r="K136" s="63">
        <f t="shared" si="31"/>
        <v>0.30612972697589336</v>
      </c>
      <c r="L136" s="62">
        <f>AVERAGE(DataUK3!CB140:CB141)/DataUK1!B140</f>
        <v>0.64492045480860527</v>
      </c>
      <c r="M136" s="62">
        <f>AVERAGE(DataUK4!O292:O293)/DataUK1!B139</f>
        <v>0.49428239637318827</v>
      </c>
      <c r="N136" s="62">
        <f t="shared" si="32"/>
        <v>0.150638058435417</v>
      </c>
      <c r="O136" s="62">
        <f>AVERAGE(DataUK4!H292:H293)/DataUK1!B139</f>
        <v>0.55200864106126823</v>
      </c>
      <c r="P136" s="62">
        <f t="shared" si="28"/>
        <v>0.89542510679344089</v>
      </c>
      <c r="Q136" s="1352">
        <f>DataUK1!GW140/DataUK1!B140</f>
        <v>5.0028946576198975E-2</v>
      </c>
      <c r="R136" s="913"/>
      <c r="S136" s="1431"/>
      <c r="U136" s="720"/>
      <c r="V136" s="1350"/>
      <c r="W136" s="1432">
        <f>D136-(TableUK5b!G136-TableUK5a!G136)</f>
        <v>0</v>
      </c>
      <c r="X136" s="68"/>
    </row>
    <row r="137" spans="1:24" ht="12" customHeight="1">
      <c r="A137" s="932">
        <v>1982</v>
      </c>
      <c r="B137" s="914">
        <f>TableUK1!D138</f>
        <v>624.49619047619046</v>
      </c>
      <c r="C137" s="915">
        <f t="shared" si="24"/>
        <v>2.9612077573690332E-2</v>
      </c>
      <c r="D137" s="62">
        <f>TableUK12c!F153</f>
        <v>-7.4107625913763363E-3</v>
      </c>
      <c r="E137" s="1742">
        <f>AVERAGE(DataUK3!BZ141:BZ142)/DataUK1!B141</f>
        <v>0.67093531395212291</v>
      </c>
      <c r="F137" s="1252">
        <f>TableUK12d!F152</f>
        <v>6.7513173302107751E-3</v>
      </c>
      <c r="G137" s="1329">
        <f t="shared" si="29"/>
        <v>1.8601409800087398E-2</v>
      </c>
      <c r="H137" s="1303"/>
      <c r="I137" s="1306">
        <f>AVERAGE(DataUK3!CA141:CA142)/DataUK1!B141</f>
        <v>0.34911970944959825</v>
      </c>
      <c r="J137" s="1300">
        <f>TableUK7!C140</f>
        <v>2.1881448054889199E-2</v>
      </c>
      <c r="K137" s="63">
        <f t="shared" si="31"/>
        <v>0.32723826139470907</v>
      </c>
      <c r="L137" s="62">
        <f>AVERAGE(DataUK3!CB141:CB142)/DataUK1!B141</f>
        <v>0.65121370216906271</v>
      </c>
      <c r="M137" s="62">
        <f>AVERAGE(DataUK4!O293:O294)/DataUK1!B140</f>
        <v>0.52044786142695054</v>
      </c>
      <c r="N137" s="62">
        <f t="shared" si="32"/>
        <v>0.13076584074211217</v>
      </c>
      <c r="O137" s="62">
        <f>AVERAGE(DataUK4!H293:H294)/DataUK1!B140</f>
        <v>0.5463909408795129</v>
      </c>
      <c r="P137" s="62">
        <f t="shared" si="28"/>
        <v>0.95251919914557448</v>
      </c>
      <c r="Q137" s="1352">
        <f>DataUK1!GW141/DataUK1!B141</f>
        <v>5.1370552414822766E-2</v>
      </c>
      <c r="R137" s="913"/>
      <c r="S137" s="1431"/>
      <c r="U137" s="720"/>
      <c r="V137" s="1350"/>
      <c r="W137" s="1432">
        <f>D137-(TableUK5b!G137-TableUK5a!G137)</f>
        <v>0</v>
      </c>
      <c r="X137" s="68"/>
    </row>
    <row r="138" spans="1:24" ht="12" customHeight="1">
      <c r="A138" s="932">
        <v>1983</v>
      </c>
      <c r="B138" s="914">
        <f>TableUK1!D139</f>
        <v>654.23205463182899</v>
      </c>
      <c r="C138" s="915">
        <f t="shared" si="24"/>
        <v>4.761576549084201E-2</v>
      </c>
      <c r="D138" s="62">
        <f>TableUK12c!F154</f>
        <v>-1.6798449023036569E-2</v>
      </c>
      <c r="E138" s="1742">
        <f>AVERAGE(DataUK3!BZ142:BZ143)/DataUK1!B142</f>
        <v>0.64209453999112198</v>
      </c>
      <c r="F138" s="1252">
        <f>TableUK12d!F153</f>
        <v>5.0789097329692959E-3</v>
      </c>
      <c r="G138" s="1329">
        <f t="shared" si="29"/>
        <v>1.0062545807050098E-2</v>
      </c>
      <c r="H138" s="1303"/>
      <c r="I138" s="1306">
        <f>AVERAGE(DataUK3!CA142:CA143)/DataUK1!B142</f>
        <v>0.33903198758588765</v>
      </c>
      <c r="J138" s="1300">
        <f>TableUK7!C141</f>
        <v>1.6608428089584969E-2</v>
      </c>
      <c r="K138" s="63">
        <f t="shared" si="31"/>
        <v>0.32242355949630269</v>
      </c>
      <c r="L138" s="62">
        <f>AVERAGE(DataUK3!CB142:CB143)/DataUK1!B142</f>
        <v>0.67078320452553586</v>
      </c>
      <c r="M138" s="62">
        <f>AVERAGE(DataUK4!O294:O295)/DataUK1!B141</f>
        <v>0.55945421147103724</v>
      </c>
      <c r="N138" s="62">
        <f t="shared" si="32"/>
        <v>0.11132899305449862</v>
      </c>
      <c r="O138" s="62">
        <f>AVERAGE(DataUK4!H294:H295)/DataUK1!B141</f>
        <v>0.54874519803391997</v>
      </c>
      <c r="P138" s="62">
        <f t="shared" ref="P138:P165" si="33">M138/O138</f>
        <v>1.0195154572203753</v>
      </c>
      <c r="Q138" s="1352">
        <f>DataUK1!GW142/DataUK1!B142</f>
        <v>5.0096558422588221E-2</v>
      </c>
      <c r="R138" s="913"/>
      <c r="S138" s="1431"/>
      <c r="U138" s="720"/>
      <c r="V138" s="1350"/>
      <c r="W138" s="1432">
        <f>D138-(TableUK5b!G138-TableUK5a!G138)</f>
        <v>0</v>
      </c>
      <c r="X138" s="68"/>
    </row>
    <row r="139" spans="1:24" ht="12" customHeight="1">
      <c r="A139" s="932">
        <v>1984</v>
      </c>
      <c r="B139" s="914">
        <f>TableUK1!D140</f>
        <v>673.74538548752832</v>
      </c>
      <c r="C139" s="915">
        <f t="shared" si="24"/>
        <v>2.9826314252793029E-2</v>
      </c>
      <c r="D139" s="62">
        <f>TableUK12c!F155</f>
        <v>-2.4545277782687856E-2</v>
      </c>
      <c r="E139" s="1742">
        <f>AVERAGE(DataUK3!BZ143:BZ144)/DataUK1!B143</f>
        <v>0.63622167433975674</v>
      </c>
      <c r="F139" s="1252">
        <f>TableUK12d!F154</f>
        <v>9.6213791530449337E-3</v>
      </c>
      <c r="G139" s="1329">
        <f t="shared" ref="G139:G165" si="34">F138/E138</f>
        <v>7.9099095485837961E-3</v>
      </c>
      <c r="H139" s="1303"/>
      <c r="I139" s="1306">
        <f>AVERAGE(DataUK3!CA143:CA144)/DataUK1!B143</f>
        <v>0.3695938127578457</v>
      </c>
      <c r="J139" s="1300">
        <f>TableUK7!C142</f>
        <v>1.3065941679826398E-2</v>
      </c>
      <c r="K139" s="63">
        <f t="shared" si="31"/>
        <v>0.35652787107801931</v>
      </c>
      <c r="L139" s="62">
        <f>AVERAGE(DataUK3!CB143:CB144)/DataUK1!B143</f>
        <v>0.67844418574387944</v>
      </c>
      <c r="M139" s="62">
        <f>AVERAGE(DataUK4!O295:O296)/DataUK1!B142</f>
        <v>0.55850036612525655</v>
      </c>
      <c r="N139" s="62">
        <f t="shared" si="32"/>
        <v>0.11994381961862288</v>
      </c>
      <c r="O139" s="62">
        <f>AVERAGE(DataUK4!H295:H296)/DataUK1!B142</f>
        <v>0.54446619696400589</v>
      </c>
      <c r="P139" s="62">
        <f t="shared" si="33"/>
        <v>1.0257760155534108</v>
      </c>
      <c r="Q139" s="1352">
        <f>DataUK1!GW143/DataUK1!B143</f>
        <v>5.3515846191181278E-2</v>
      </c>
      <c r="R139" s="913"/>
      <c r="S139" s="1431"/>
      <c r="U139" s="720"/>
      <c r="V139" s="1350"/>
      <c r="W139" s="1432">
        <f>D139-(TableUK5b!G139-TableUK5a!G139)</f>
        <v>0</v>
      </c>
      <c r="X139" s="68"/>
    </row>
    <row r="140" spans="1:24" ht="12" customHeight="1">
      <c r="A140" s="932">
        <v>1985</v>
      </c>
      <c r="B140" s="914">
        <f>TableUK1!D141</f>
        <v>696.42971030042918</v>
      </c>
      <c r="C140" s="915">
        <f t="shared" si="24"/>
        <v>3.3668987278460127E-2</v>
      </c>
      <c r="D140" s="62">
        <f>TableUK12c!F156</f>
        <v>-1.8387347176402096E-2</v>
      </c>
      <c r="E140" s="1742">
        <f>AVERAGE(DataUK3!BZ144:BZ145)/DataUK1!B144</f>
        <v>0.63971490303032252</v>
      </c>
      <c r="F140" s="1252">
        <f>TableUK12d!F155</f>
        <v>1.1959768794301167E-2</v>
      </c>
      <c r="G140" s="1329">
        <f t="shared" si="34"/>
        <v>1.5122683714020877E-2</v>
      </c>
      <c r="H140" s="1303"/>
      <c r="I140" s="1306">
        <f>AVERAGE(DataUK3!CA144:CA145)/DataUK1!B144</f>
        <v>0.38592096238742146</v>
      </c>
      <c r="J140" s="1300">
        <f>TableUK7!C143</f>
        <v>6.2226100508434735E-3</v>
      </c>
      <c r="K140" s="63">
        <f t="shared" si="31"/>
        <v>0.379698352336578</v>
      </c>
      <c r="L140" s="62">
        <f>AVERAGE(DataUK3!CB144:CB145)/DataUK1!B144</f>
        <v>0.67170056768235553</v>
      </c>
      <c r="M140" s="62">
        <f>AVERAGE(DataUK4!O296:O297)/DataUK1!B143</f>
        <v>0.56307350339573803</v>
      </c>
      <c r="N140" s="62">
        <f t="shared" si="32"/>
        <v>0.1086270642866175</v>
      </c>
      <c r="O140" s="62">
        <f>AVERAGE(DataUK4!H296:H297)/DataUK1!B143</f>
        <v>0.55349122665100392</v>
      </c>
      <c r="P140" s="62">
        <f t="shared" si="33"/>
        <v>1.0173124275206915</v>
      </c>
      <c r="Q140" s="1352">
        <f>DataUK1!GW144/DataUK1!B144</f>
        <v>5.2959000003219979E-2</v>
      </c>
      <c r="R140" s="913"/>
      <c r="S140" s="1431"/>
      <c r="U140" s="720"/>
      <c r="V140" s="1350"/>
      <c r="W140" s="1432">
        <f>D140-(TableUK5b!G140-TableUK5a!G140)</f>
        <v>0</v>
      </c>
      <c r="X140" s="68"/>
    </row>
    <row r="141" spans="1:24" ht="12" customHeight="1">
      <c r="A141" s="932">
        <v>1986</v>
      </c>
      <c r="B141" s="914">
        <f>TableUK1!D142</f>
        <v>728.70192360995838</v>
      </c>
      <c r="C141" s="915">
        <f t="shared" si="24"/>
        <v>4.6339512562735719E-2</v>
      </c>
      <c r="D141" s="62">
        <f>TableUK12c!F157</f>
        <v>-1.9015235494309474E-2</v>
      </c>
      <c r="E141" s="1742">
        <f>AVERAGE(DataUK3!BZ145:BZ146)/DataUK1!B145</f>
        <v>0.64720146895979147</v>
      </c>
      <c r="F141" s="1252">
        <f>TableUK12d!F156</f>
        <v>1.1139142247234619E-2</v>
      </c>
      <c r="G141" s="1329">
        <f t="shared" si="34"/>
        <v>1.8695466898844895E-2</v>
      </c>
      <c r="H141" s="1303"/>
      <c r="I141" s="1306">
        <f>AVERAGE(DataUK3!CA145:CA146)/DataUK1!B145</f>
        <v>0.3817804514627624</v>
      </c>
      <c r="J141" s="1300">
        <f>TableUK7!C144</f>
        <v>5.754078811790699E-3</v>
      </c>
      <c r="K141" s="63">
        <f t="shared" si="31"/>
        <v>0.37602637265097172</v>
      </c>
      <c r="L141" s="62">
        <f>AVERAGE(DataUK3!CB145:CB146)/DataUK1!B145</f>
        <v>0.67201779334921563</v>
      </c>
      <c r="M141" s="62">
        <f>AVERAGE(DataUK4!O297:O298)/DataUK1!B144</f>
        <v>0.55877750264843296</v>
      </c>
      <c r="N141" s="62">
        <f t="shared" si="32"/>
        <v>0.11324029070078268</v>
      </c>
      <c r="O141" s="62">
        <f>AVERAGE(DataUK4!H297:H298)/DataUK1!B144</f>
        <v>0.5552387453672547</v>
      </c>
      <c r="P141" s="62">
        <f t="shared" si="33"/>
        <v>1.0063733975892435</v>
      </c>
      <c r="Q141" s="1352">
        <f>DataUK1!GW145/DataUK1!B145</f>
        <v>5.1093482644716484E-2</v>
      </c>
      <c r="R141" s="913"/>
      <c r="S141" s="1431"/>
      <c r="U141" s="720"/>
      <c r="V141" s="1350"/>
      <c r="W141" s="1432">
        <f>D141-(TableUK5b!G141-TableUK5a!G141)</f>
        <v>0</v>
      </c>
      <c r="X141" s="68"/>
    </row>
    <row r="142" spans="1:24" ht="12" customHeight="1">
      <c r="A142" s="932">
        <v>1987</v>
      </c>
      <c r="B142" s="914">
        <f>TableUK1!D143</f>
        <v>756.20355314960636</v>
      </c>
      <c r="C142" s="915">
        <f t="shared" si="24"/>
        <v>3.7740574916292458E-2</v>
      </c>
      <c r="D142" s="62">
        <f>TableUK12c!F158</f>
        <v>-1.6917431292487399E-2</v>
      </c>
      <c r="E142" s="1742">
        <f>AVERAGE(DataUK3!BZ146:BZ147)/DataUK1!B146</f>
        <v>0.63239746578565814</v>
      </c>
      <c r="F142" s="1252">
        <f>TableUK12d!F157</f>
        <v>1.1614113822498575E-2</v>
      </c>
      <c r="G142" s="1329">
        <f t="shared" si="34"/>
        <v>1.7211243764847912E-2</v>
      </c>
      <c r="H142" s="1303"/>
      <c r="I142" s="1306">
        <f>AVERAGE(DataUK3!CA146:CA147)/DataUK1!B146</f>
        <v>0.48542881159057588</v>
      </c>
      <c r="J142" s="1300">
        <f>TableUK7!C145</f>
        <v>1.6524350600774191E-2</v>
      </c>
      <c r="K142" s="63">
        <f t="shared" si="31"/>
        <v>0.46890446098980171</v>
      </c>
      <c r="L142" s="62">
        <f>AVERAGE(DataUK3!CB146:CB147)/DataUK1!B146</f>
        <v>0.66150447894366027</v>
      </c>
      <c r="M142" s="62">
        <f>AVERAGE(DataUK4!O298:O299)/DataUK1!B145</f>
        <v>0.55560926822505685</v>
      </c>
      <c r="N142" s="62">
        <f t="shared" si="32"/>
        <v>0.10589521071860342</v>
      </c>
      <c r="O142" s="62">
        <f>AVERAGE(DataUK4!H298:H299)/DataUK1!B145</f>
        <v>0.55173999237462579</v>
      </c>
      <c r="P142" s="62">
        <f t="shared" si="33"/>
        <v>1.0070128609560784</v>
      </c>
      <c r="Q142" s="1352">
        <f>DataUK1!GW146/DataUK1!B146</f>
        <v>5.0409538395414691E-2</v>
      </c>
      <c r="R142" s="913"/>
      <c r="S142" s="1431"/>
      <c r="U142" s="720"/>
      <c r="V142" s="1350"/>
      <c r="W142" s="1432">
        <f>D142-(TableUK5b!G142-TableUK5a!G142)</f>
        <v>0</v>
      </c>
      <c r="X142" s="68"/>
    </row>
    <row r="143" spans="1:24" ht="12" customHeight="1">
      <c r="A143" s="932">
        <v>1988</v>
      </c>
      <c r="B143" s="914">
        <f>TableUK1!D144</f>
        <v>798.20970370370367</v>
      </c>
      <c r="C143" s="915">
        <f t="shared" si="24"/>
        <v>5.5548734701312386E-2</v>
      </c>
      <c r="D143" s="62">
        <f>TableUK12c!F159</f>
        <v>2.0631703485327491E-3</v>
      </c>
      <c r="E143" s="1742">
        <f>AVERAGE(DataUK3!BZ147:BZ148)/DataUK1!B147</f>
        <v>0.62525941154793541</v>
      </c>
      <c r="F143" s="1252">
        <f>TableUK12d!F158</f>
        <v>8.7375445106077365E-3</v>
      </c>
      <c r="G143" s="1329">
        <f t="shared" si="34"/>
        <v>1.8365212466608792E-2</v>
      </c>
      <c r="H143" s="1303"/>
      <c r="I143" s="1306">
        <f>AVERAGE(DataUK3!CA147:CA148)/DataUK1!B147</f>
        <v>0.57679187920634611</v>
      </c>
      <c r="J143" s="1300">
        <f>TableUK7!C146</f>
        <v>2.7069110145658371E-2</v>
      </c>
      <c r="K143" s="63">
        <f t="shared" si="31"/>
        <v>0.54972276906068773</v>
      </c>
      <c r="L143" s="62">
        <f>AVERAGE(DataUK3!CB147:CB148)/DataUK1!B147</f>
        <v>0.61065235943288276</v>
      </c>
      <c r="M143" s="62">
        <f>AVERAGE(DataUK4!O299:O300)/DataUK1!B146</f>
        <v>0.52131340636382684</v>
      </c>
      <c r="N143" s="62">
        <f t="shared" si="32"/>
        <v>8.9338953069055926E-2</v>
      </c>
      <c r="O143" s="62">
        <f>AVERAGE(DataUK4!H299:H300)/DataUK1!B146</f>
        <v>0.51497242994594805</v>
      </c>
      <c r="P143" s="62">
        <f t="shared" si="33"/>
        <v>1.0123132347464587</v>
      </c>
      <c r="Q143" s="1352">
        <f>DataUK1!GW147/DataUK1!B147</f>
        <v>4.5724315832347408E-2</v>
      </c>
      <c r="R143" s="913"/>
      <c r="S143" s="1431"/>
      <c r="U143" s="720"/>
      <c r="V143" s="1350"/>
      <c r="W143" s="1432">
        <f>D143-(TableUK5b!G143-TableUK5a!G143)</f>
        <v>0</v>
      </c>
      <c r="X143" s="68"/>
    </row>
    <row r="144" spans="1:24" ht="12" customHeight="1">
      <c r="A144" s="934">
        <v>1989</v>
      </c>
      <c r="B144" s="921">
        <f>TableUK1!D145</f>
        <v>813.46043103448278</v>
      </c>
      <c r="C144" s="922">
        <f t="shared" si="24"/>
        <v>1.9106166286898763E-2</v>
      </c>
      <c r="D144" s="1314">
        <f>TableUK12c!F160</f>
        <v>1.0926044873640612E-2</v>
      </c>
      <c r="E144" s="1326">
        <f>AVERAGE(DataUK3!BZ148:BZ149)/DataUK1!B148</f>
        <v>0.63007486323063633</v>
      </c>
      <c r="F144" s="1253">
        <f>TableUK12d!F159</f>
        <v>5.0136736554238833E-3</v>
      </c>
      <c r="G144" s="1340">
        <f t="shared" si="34"/>
        <v>1.3974271077306085E-2</v>
      </c>
      <c r="H144" s="1337"/>
      <c r="I144" s="1309">
        <f>AVERAGE(DataUK3!CA148:CA149)/DataUK1!B148</f>
        <v>0.57978360539546836</v>
      </c>
      <c r="J144" s="1301">
        <f>TableUK7!C147</f>
        <v>3.0786396154953599E-2</v>
      </c>
      <c r="K144" s="948">
        <f t="shared" si="31"/>
        <v>0.54899720924051476</v>
      </c>
      <c r="L144" s="1314">
        <f>AVERAGE(DataUK3!CB148:CB149)/DataUK1!B148</f>
        <v>0.55019823251899269</v>
      </c>
      <c r="M144" s="1314">
        <f>AVERAGE(DataUK4!O300:O301)/DataUK1!B147</f>
        <v>0.44919655152349736</v>
      </c>
      <c r="N144" s="1314">
        <f t="shared" si="32"/>
        <v>0.10100168099549534</v>
      </c>
      <c r="O144" s="1314">
        <f>AVERAGE(DataUK4!H300:H301)/DataUK1!B147</f>
        <v>0.44560600477123297</v>
      </c>
      <c r="P144" s="1314">
        <f t="shared" si="33"/>
        <v>1.0080576713819369</v>
      </c>
      <c r="Q144" s="1353">
        <f>DataUK1!GW148/DataUK1!B148</f>
        <v>4.4251256949212607E-2</v>
      </c>
      <c r="R144" s="913"/>
      <c r="S144" s="1431"/>
      <c r="U144" s="720"/>
      <c r="V144" s="1350"/>
      <c r="W144" s="1432">
        <f>D144-(TableUK5b!G144-TableUK5a!G144)</f>
        <v>0</v>
      </c>
      <c r="X144" s="68"/>
    </row>
    <row r="145" spans="1:24" ht="12" customHeight="1">
      <c r="A145" s="935">
        <v>1990</v>
      </c>
      <c r="B145" s="914">
        <f>TableUK1!D146</f>
        <v>813.58441506410259</v>
      </c>
      <c r="C145" s="915">
        <f t="shared" si="24"/>
        <v>1.5241556305589654E-4</v>
      </c>
      <c r="D145" s="62">
        <f>TableUK12c!F161</f>
        <v>-1.0119078249951112E-2</v>
      </c>
      <c r="E145" s="1742">
        <f>AVERAGE(DataUK3!BZ149:BZ150)/DataUK1!B149</f>
        <v>0.60200384920185668</v>
      </c>
      <c r="F145" s="1252">
        <f>TableUK12d!F160</f>
        <v>1.0199561452080888E-2</v>
      </c>
      <c r="G145" s="1329">
        <f t="shared" si="34"/>
        <v>7.9572665853020214E-3</v>
      </c>
      <c r="H145" s="1303"/>
      <c r="I145" s="1306">
        <f>AVERAGE(DataUK3!CA149:CA150)/DataUK1!B149</f>
        <v>0.54766835112131163</v>
      </c>
      <c r="J145" s="1300">
        <f>TableUK7!C148</f>
        <v>3.2561777631402902E-2</v>
      </c>
      <c r="K145" s="63">
        <f t="shared" si="31"/>
        <v>0.51510657348990874</v>
      </c>
      <c r="L145" s="62">
        <f>AVERAGE(DataUK3!CB149:CB150)/DataUK1!B149</f>
        <v>0.49930734950547018</v>
      </c>
      <c r="M145" s="62">
        <f>AVERAGE(DataUK4!O301:O302)/DataUK1!B148</f>
        <v>0.39518704733216681</v>
      </c>
      <c r="N145" s="62">
        <f t="shared" si="32"/>
        <v>0.10412030217330337</v>
      </c>
      <c r="O145" s="62">
        <f>AVERAGE(DataUK4!H301:H302)/DataUK1!B148</f>
        <v>0.40084165762253871</v>
      </c>
      <c r="P145" s="62">
        <f t="shared" si="33"/>
        <v>0.98589315710370429</v>
      </c>
      <c r="Q145" s="1352">
        <f>DataUK1!GW149/DataUK1!B149</f>
        <v>4.117822627955086E-2</v>
      </c>
      <c r="R145" s="913"/>
      <c r="U145" s="720"/>
      <c r="V145" s="1350"/>
      <c r="W145" s="1432">
        <f>D145-(TableUK5b!G145-TableUK5a!G145)</f>
        <v>0</v>
      </c>
      <c r="X145" s="68"/>
    </row>
    <row r="146" spans="1:24" ht="12" customHeight="1">
      <c r="A146" s="935">
        <v>1991</v>
      </c>
      <c r="B146" s="914">
        <f>TableUK1!D147</f>
        <v>799.8257142857143</v>
      </c>
      <c r="C146" s="915">
        <f t="shared" si="24"/>
        <v>-1.6911214772107219E-2</v>
      </c>
      <c r="D146" s="62">
        <f>TableUK12c!F162</f>
        <v>-2.7704428464772682E-2</v>
      </c>
      <c r="E146" s="1742">
        <f>AVERAGE(DataUK3!BZ150:BZ151)/DataUK1!B150</f>
        <v>0.56768831781209472</v>
      </c>
      <c r="F146" s="1252">
        <f>TableUK12d!F161</f>
        <v>1.5024237621316758E-2</v>
      </c>
      <c r="G146" s="1329">
        <f t="shared" si="34"/>
        <v>1.6942684777852466E-2</v>
      </c>
      <c r="H146" s="1303"/>
      <c r="I146" s="1306">
        <f>AVERAGE(DataUK3!CA150:CA151)/DataUK1!B150</f>
        <v>0.51391901449958743</v>
      </c>
      <c r="J146" s="1300">
        <f>TableUK7!C149</f>
        <v>2.9282093598962632E-2</v>
      </c>
      <c r="K146" s="63">
        <f t="shared" si="31"/>
        <v>0.48463692090062482</v>
      </c>
      <c r="L146" s="62">
        <f>AVERAGE(DataUK3!CB150:CB151)/DataUK1!B150</f>
        <v>0.48552005972729773</v>
      </c>
      <c r="M146" s="62">
        <f>AVERAGE(DataUK4!O302:O303)/DataUK1!B149</f>
        <v>0.37691713924024578</v>
      </c>
      <c r="N146" s="62">
        <f t="shared" si="32"/>
        <v>0.10860292048705195</v>
      </c>
      <c r="O146" s="62">
        <f>AVERAGE(DataUK4!H302:H303)/DataUK1!B149</f>
        <v>0.39062811975752088</v>
      </c>
      <c r="P146" s="62">
        <f t="shared" si="33"/>
        <v>0.96490017020334817</v>
      </c>
      <c r="Q146" s="1352">
        <f>DataUK1!GW150/DataUK1!B150</f>
        <v>3.522338795237534E-2</v>
      </c>
      <c r="R146" s="913"/>
      <c r="U146" s="720"/>
      <c r="V146" s="1350"/>
      <c r="W146" s="1432">
        <f>D146-(TableUK5b!G146-TableUK5a!G146)</f>
        <v>0</v>
      </c>
      <c r="X146" s="68"/>
    </row>
    <row r="147" spans="1:24" ht="12" customHeight="1">
      <c r="A147" s="932">
        <v>1992</v>
      </c>
      <c r="B147" s="914">
        <f>TableUK1!D148</f>
        <v>809.72809420289855</v>
      </c>
      <c r="C147" s="915">
        <f t="shared" si="24"/>
        <v>1.2380672114333802E-2</v>
      </c>
      <c r="D147" s="62">
        <f>TableUK12c!F163</f>
        <v>-6.4436185712976463E-2</v>
      </c>
      <c r="E147" s="1742">
        <f>AVERAGE(DataUK3!BZ151:BZ152)/DataUK1!B151</f>
        <v>0.51181046398318164</v>
      </c>
      <c r="F147" s="1252">
        <f>TableUK12d!F162</f>
        <v>1.3277535463083029E-2</v>
      </c>
      <c r="G147" s="1329">
        <f t="shared" si="34"/>
        <v>2.6465645231561367E-2</v>
      </c>
      <c r="H147" s="1303"/>
      <c r="I147" s="1306">
        <f>AVERAGE(DataUK3!CA151:CA152)/DataUK1!B151</f>
        <v>0.48197054912251497</v>
      </c>
      <c r="J147" s="1300">
        <f>TableUK7!C150</f>
        <v>2.2193834131670448E-2</v>
      </c>
      <c r="K147" s="63">
        <f t="shared" si="31"/>
        <v>0.45977671499084449</v>
      </c>
      <c r="L147" s="62">
        <f>AVERAGE(DataUK3!CB151:CB152)/DataUK1!B151</f>
        <v>0.51343207650569622</v>
      </c>
      <c r="M147" s="62">
        <f>AVERAGE(DataUK4!O303:O304)/DataUK1!B150</f>
        <v>0.41892019332783215</v>
      </c>
      <c r="N147" s="62">
        <f t="shared" si="32"/>
        <v>9.4511883177864076E-2</v>
      </c>
      <c r="O147" s="62">
        <f>AVERAGE(DataUK4!H303:H304)/DataUK1!B150</f>
        <v>0.43022024441038942</v>
      </c>
      <c r="P147" s="62">
        <f t="shared" si="33"/>
        <v>0.97373426464846202</v>
      </c>
      <c r="Q147" s="1352">
        <f>DataUK1!GW151/DataUK1!B151</f>
        <v>3.4055733344804946E-2</v>
      </c>
      <c r="R147" s="913"/>
      <c r="U147" s="720"/>
      <c r="V147" s="1350"/>
      <c r="W147" s="1432">
        <f>D147-(TableUK5b!G147-TableUK5a!G147)</f>
        <v>0</v>
      </c>
      <c r="X147" s="68"/>
    </row>
    <row r="148" spans="1:24" ht="12" customHeight="1">
      <c r="A148" s="932">
        <v>1993</v>
      </c>
      <c r="B148" s="914">
        <f>TableUK1!D149</f>
        <v>828.50543661971824</v>
      </c>
      <c r="C148" s="915">
        <f t="shared" si="24"/>
        <v>2.3189688676053866E-2</v>
      </c>
      <c r="D148" s="62">
        <f>TableUK12c!F164</f>
        <v>-8.2763080290207292E-2</v>
      </c>
      <c r="E148" s="1742">
        <f>AVERAGE(DataUK3!BZ152:BZ153)/DataUK1!B152</f>
        <v>0.4756976273209832</v>
      </c>
      <c r="F148" s="1252">
        <f>TableUK12d!F163</f>
        <v>1.1987214137019713E-2</v>
      </c>
      <c r="G148" s="1329">
        <f t="shared" si="34"/>
        <v>2.594228996365212E-2</v>
      </c>
      <c r="H148" s="1303"/>
      <c r="I148" s="1306">
        <f>AVERAGE(DataUK3!CA152:CA153)/DataUK1!B152</f>
        <v>0.4541532541729732</v>
      </c>
      <c r="J148" s="1300">
        <f>TableUK7!C151</f>
        <v>1.5362190624400435E-2</v>
      </c>
      <c r="K148" s="63">
        <f t="shared" si="31"/>
        <v>0.43879106354857278</v>
      </c>
      <c r="L148" s="62">
        <f>AVERAGE(DataUK3!CB152:CB153)/DataUK1!B152</f>
        <v>0.59207632508331731</v>
      </c>
      <c r="M148" s="62">
        <f>AVERAGE(DataUK4!O304:O305)/DataUK1!B151</f>
        <v>0.51333014123178955</v>
      </c>
      <c r="N148" s="62">
        <f t="shared" si="32"/>
        <v>7.8746183851527762E-2</v>
      </c>
      <c r="O148" s="62">
        <f>AVERAGE(DataUK4!H304:H305)/DataUK1!B151</f>
        <v>0.49477792138078341</v>
      </c>
      <c r="P148" s="62">
        <f t="shared" si="33"/>
        <v>1.037496054389881</v>
      </c>
      <c r="Q148" s="1352">
        <f>DataUK1!GW152/DataUK1!B152</f>
        <v>3.4636210535291735E-2</v>
      </c>
      <c r="R148" s="913"/>
      <c r="S148" s="936"/>
      <c r="T148" s="937" t="s">
        <v>386</v>
      </c>
      <c r="U148" s="720"/>
      <c r="V148" s="1350"/>
      <c r="W148" s="1432">
        <f>D148-(TableUK5b!G148-TableUK5a!G148)</f>
        <v>0</v>
      </c>
      <c r="X148" s="68"/>
    </row>
    <row r="149" spans="1:24" ht="12" customHeight="1">
      <c r="A149" s="932">
        <v>1994</v>
      </c>
      <c r="B149" s="914">
        <f>TableUK1!D150</f>
        <v>876.33902912621363</v>
      </c>
      <c r="C149" s="915">
        <f t="shared" si="24"/>
        <v>5.7734796167005609E-2</v>
      </c>
      <c r="D149" s="62">
        <f>TableUK12c!F165</f>
        <v>-6.826466346471903E-2</v>
      </c>
      <c r="E149" s="1742">
        <f>AVERAGE(DataUK3!BZ153:BZ154)/DataUK1!B153</f>
        <v>0.47127508964130249</v>
      </c>
      <c r="F149" s="1252">
        <f>TableUK12d!F164</f>
        <v>1.0833031330164078E-2</v>
      </c>
      <c r="G149" s="1329">
        <f t="shared" si="34"/>
        <v>2.5199230453447654E-2</v>
      </c>
      <c r="H149" s="1303"/>
      <c r="I149" s="1306">
        <f>AVERAGE(DataUK3!CA153:CA154)/DataUK1!B153</f>
        <v>0.412766773839294</v>
      </c>
      <c r="J149" s="1300">
        <f>TableUK7!C152</f>
        <v>1.704425171013112E-2</v>
      </c>
      <c r="K149" s="63">
        <f t="shared" si="31"/>
        <v>0.39572252212916287</v>
      </c>
      <c r="L149" s="62">
        <f>AVERAGE(DataUK3!CB153:CB154)/DataUK1!B153</f>
        <v>0.6190823509175829</v>
      </c>
      <c r="M149" s="62">
        <f>AVERAGE(DataUK4!O305:O306)/DataUK1!B152</f>
        <v>0.56040329858520399</v>
      </c>
      <c r="N149" s="62">
        <f t="shared" si="32"/>
        <v>5.8679052332378911E-2</v>
      </c>
      <c r="O149" s="62">
        <f>AVERAGE(DataUK4!H305:H306)/DataUK1!B152</f>
        <v>0.54998507749046022</v>
      </c>
      <c r="P149" s="62">
        <f t="shared" si="33"/>
        <v>1.0189427341234081</v>
      </c>
      <c r="Q149" s="1352">
        <f>DataUK1!GW153/DataUK1!B153</f>
        <v>3.7024173381494857E-2</v>
      </c>
      <c r="R149" s="913"/>
      <c r="S149" s="924" t="s">
        <v>1210</v>
      </c>
      <c r="T149" s="938">
        <v>1.2985E-3</v>
      </c>
      <c r="U149" s="720"/>
      <c r="V149" s="1350"/>
      <c r="W149" s="1432">
        <f>D149-(TableUK5b!G149-TableUK5a!G149)</f>
        <v>0</v>
      </c>
      <c r="X149" s="68"/>
    </row>
    <row r="150" spans="1:24" ht="12" customHeight="1">
      <c r="A150" s="932">
        <v>1995</v>
      </c>
      <c r="B150" s="914">
        <f>TableUK1!D151</f>
        <v>901.48054729729733</v>
      </c>
      <c r="C150" s="915">
        <f t="shared" si="24"/>
        <v>2.8689259904528086E-2</v>
      </c>
      <c r="D150" s="62">
        <f>TableUK12c!F166</f>
        <v>-5.79570749832777E-2</v>
      </c>
      <c r="E150" s="1742">
        <f>AVERAGE(DataUK3!BZ154:BZ155)/DataUK1!B154</f>
        <v>0.48137675858320189</v>
      </c>
      <c r="F150" s="1252">
        <f>TableUK12d!F165</f>
        <v>1.0821458341602825E-2</v>
      </c>
      <c r="G150" s="1329">
        <f t="shared" si="34"/>
        <v>2.2986641068615209E-2</v>
      </c>
      <c r="H150" s="1303"/>
      <c r="I150" s="1306">
        <f>AVERAGE(DataUK3!CA154:CA155)/DataUK1!B154</f>
        <v>0.37817939154313573</v>
      </c>
      <c r="J150" s="1300">
        <f>TableUK7!C153</f>
        <v>2.3741754377170569E-2</v>
      </c>
      <c r="K150" s="63">
        <f t="shared" si="31"/>
        <v>0.35443763716596516</v>
      </c>
      <c r="L150" s="62">
        <f>AVERAGE(DataUK3!CB154:CB155)/DataUK1!B154</f>
        <v>0.63576787093358234</v>
      </c>
      <c r="M150" s="62">
        <f>AVERAGE(DataUK4!O306:O307)/DataUK1!B153</f>
        <v>0.57192308710091433</v>
      </c>
      <c r="N150" s="62">
        <f t="shared" si="32"/>
        <v>6.3844783832668006E-2</v>
      </c>
      <c r="O150" s="62">
        <f>AVERAGE(DataUK4!H306:H307)/DataUK1!B153</f>
        <v>0.57691289908572485</v>
      </c>
      <c r="P150" s="62">
        <f t="shared" si="33"/>
        <v>0.99135083997477225</v>
      </c>
      <c r="Q150" s="1352">
        <f>DataUK1!GW154/DataUK1!B154</f>
        <v>4.0280778045299816E-2</v>
      </c>
      <c r="R150" s="913"/>
      <c r="S150" s="924" t="s">
        <v>1115</v>
      </c>
      <c r="T150" s="940">
        <f>(E67*(1+H68)*(1+G68)/(1+C68))/E68</f>
        <v>0.99999647923308188</v>
      </c>
      <c r="U150" s="720"/>
      <c r="V150" s="1350"/>
      <c r="W150" s="1432">
        <f>D150-(TableUK5b!G150-TableUK5a!G150)</f>
        <v>0</v>
      </c>
      <c r="X150" s="68"/>
    </row>
    <row r="151" spans="1:24" ht="12" customHeight="1">
      <c r="A151" s="932">
        <v>1996</v>
      </c>
      <c r="B151" s="914">
        <f>TableUK1!D152</f>
        <v>930.74757496740551</v>
      </c>
      <c r="C151" s="915">
        <f t="shared" si="24"/>
        <v>3.2465512159805199E-2</v>
      </c>
      <c r="D151" s="62">
        <f>TableUK12c!F167</f>
        <v>-4.3553170497495394E-2</v>
      </c>
      <c r="E151" s="1742">
        <f>AVERAGE(DataUK3!BZ155:BZ156)/DataUK1!B155</f>
        <v>0.4743625776192944</v>
      </c>
      <c r="F151" s="1252">
        <f>TableUK12d!F166</f>
        <v>9.297130656407188E-3</v>
      </c>
      <c r="G151" s="1329">
        <f t="shared" si="34"/>
        <v>2.2480226036364463E-2</v>
      </c>
      <c r="H151" s="1303"/>
      <c r="I151" s="1306">
        <f>AVERAGE(DataUK3!CA155:CA156)/DataUK1!B155</f>
        <v>0.35168969262613042</v>
      </c>
      <c r="J151" s="1300">
        <f>TableUK7!C154</f>
        <v>2.3811301310708462E-2</v>
      </c>
      <c r="K151" s="63">
        <f t="shared" si="31"/>
        <v>0.32787839131542196</v>
      </c>
      <c r="L151" s="62">
        <f>AVERAGE(DataUK3!CB155:CB156)/DataUK1!B155</f>
        <v>0.65236729698949847</v>
      </c>
      <c r="M151" s="62">
        <f>AVERAGE(DataUK4!O307:O308)/DataUK1!B154</f>
        <v>0.60221909271910135</v>
      </c>
      <c r="N151" s="62">
        <f t="shared" si="32"/>
        <v>5.0148204270397123E-2</v>
      </c>
      <c r="O151" s="62">
        <f>AVERAGE(DataUK4!H307:H308)/DataUK1!B154</f>
        <v>0.59488007719673108</v>
      </c>
      <c r="P151" s="62">
        <f t="shared" si="33"/>
        <v>1.0123369663965789</v>
      </c>
      <c r="Q151" s="1352">
        <f>DataUK1!GW155/DataUK1!B155</f>
        <v>4.0059021404041911E-2</v>
      </c>
      <c r="R151" s="913"/>
      <c r="S151" s="924"/>
      <c r="T151" s="939"/>
      <c r="U151" s="720"/>
      <c r="V151" s="1350"/>
      <c r="W151" s="1432">
        <f>D151-(TableUK5b!G151-TableUK5a!G151)</f>
        <v>0</v>
      </c>
      <c r="X151" s="68"/>
    </row>
    <row r="152" spans="1:24" ht="12" customHeight="1">
      <c r="A152" s="932">
        <v>1997</v>
      </c>
      <c r="B152" s="914">
        <f>TableUK1!D153</f>
        <v>972.57233799237611</v>
      </c>
      <c r="C152" s="915">
        <f t="shared" si="24"/>
        <v>4.4936741335517727E-2</v>
      </c>
      <c r="D152" s="62">
        <f>TableUK12c!F168</f>
        <v>-2.3488292716226364E-2</v>
      </c>
      <c r="E152" s="1742">
        <f>AVERAGE(DataUK3!BZ156:BZ157)/DataUK1!B156</f>
        <v>0.46018453035958573</v>
      </c>
      <c r="F152" s="1252">
        <f>TableUK12d!F167</f>
        <v>4.6710639954797087E-3</v>
      </c>
      <c r="G152" s="1329">
        <f t="shared" si="34"/>
        <v>1.9599207642110244E-2</v>
      </c>
      <c r="H152" s="1303"/>
      <c r="I152" s="1306">
        <f>AVERAGE(DataUK3!CA156:CA157)/DataUK1!B156</f>
        <v>0.32874897263172842</v>
      </c>
      <c r="J152" s="1300">
        <f>TableUK7!C155</f>
        <v>2.0408107539859159E-2</v>
      </c>
      <c r="K152" s="63">
        <f t="shared" si="31"/>
        <v>0.30834086509186925</v>
      </c>
      <c r="L152" s="62">
        <f>AVERAGE(DataUK3!CB156:CB157)/DataUK1!B156</f>
        <v>0.65057669150554165</v>
      </c>
      <c r="M152" s="62">
        <f>AVERAGE(DataUK4!O308:O309)/DataUK1!B155</f>
        <v>0.60706412429626633</v>
      </c>
      <c r="N152" s="62">
        <f t="shared" si="32"/>
        <v>4.3512567209275321E-2</v>
      </c>
      <c r="O152" s="62">
        <f>AVERAGE(DataUK4!H308:H309)/DataUK1!B155</f>
        <v>0.57517690319143022</v>
      </c>
      <c r="P152" s="62">
        <f t="shared" si="33"/>
        <v>1.0554389804734969</v>
      </c>
      <c r="Q152" s="1352">
        <f>DataUK1!GW156/DataUK1!B156</f>
        <v>4.0002512103149139E-2</v>
      </c>
      <c r="R152" s="913"/>
      <c r="S152" s="924"/>
      <c r="T152" s="938">
        <v>-1.4592000000000001E-2</v>
      </c>
      <c r="U152" s="720"/>
      <c r="V152" s="1350"/>
      <c r="W152" s="1432">
        <f>D152-(TableUK5b!G152-TableUK5a!G152)</f>
        <v>0</v>
      </c>
      <c r="X152" s="68"/>
    </row>
    <row r="153" spans="1:24" ht="12" customHeight="1">
      <c r="A153" s="932">
        <v>1998</v>
      </c>
      <c r="B153" s="914">
        <f>TableUK1!D154</f>
        <v>1026.2394520547944</v>
      </c>
      <c r="C153" s="915">
        <f t="shared" si="24"/>
        <v>5.5180588595805657E-2</v>
      </c>
      <c r="D153" s="62">
        <f>TableUK12c!F169</f>
        <v>1.2541403115441767E-3</v>
      </c>
      <c r="E153" s="1742">
        <f>AVERAGE(DataUK3!BZ157:BZ158)/DataUK1!B157</f>
        <v>0.45397636776805006</v>
      </c>
      <c r="F153" s="1252">
        <f>TableUK12d!F168</f>
        <v>2.2172161922315529E-3</v>
      </c>
      <c r="G153" s="1329">
        <f t="shared" si="34"/>
        <v>1.0150415077685824E-2</v>
      </c>
      <c r="H153" s="1303"/>
      <c r="I153" s="1306">
        <f>AVERAGE(DataUK3!CA157:CA158)/DataUK1!B157</f>
        <v>0.3076444614651071</v>
      </c>
      <c r="J153" s="1300">
        <f>TableUK7!C156</f>
        <v>1.9727765209540137E-2</v>
      </c>
      <c r="K153" s="63">
        <f t="shared" si="31"/>
        <v>0.28791669625556698</v>
      </c>
      <c r="L153" s="62">
        <f>AVERAGE(DataUK3!CB157:CB158)/DataUK1!B157</f>
        <v>0.64913630000101452</v>
      </c>
      <c r="M153" s="62">
        <f>AVERAGE(DataUK4!O309:O310)/DataUK1!B156</f>
        <v>0.61398190193513857</v>
      </c>
      <c r="N153" s="62">
        <f t="shared" si="32"/>
        <v>3.5154398065875947E-2</v>
      </c>
      <c r="O153" s="62">
        <f>AVERAGE(DataUK4!H309:H310)/DataUK1!B156</f>
        <v>0.53676135293137861</v>
      </c>
      <c r="P153" s="62">
        <f t="shared" si="33"/>
        <v>1.1438638392686817</v>
      </c>
      <c r="Q153" s="1352">
        <f>DataUK1!GW157/DataUK1!B157</f>
        <v>3.8429640976738053E-2</v>
      </c>
      <c r="R153" s="913"/>
      <c r="S153" s="924" t="s">
        <v>1115</v>
      </c>
      <c r="T153" s="940">
        <f>(E112*(1+H113)*(1+G113)/(1+C113))/E113</f>
        <v>1.0000005984411973</v>
      </c>
      <c r="U153" s="720"/>
      <c r="V153" s="1350"/>
      <c r="W153" s="1432">
        <f>D153-(TableUK5b!G153-TableUK5a!G153)</f>
        <v>-3.4694469519536142E-18</v>
      </c>
      <c r="X153" s="68"/>
    </row>
    <row r="154" spans="1:24" ht="12" customHeight="1">
      <c r="A154" s="934">
        <f t="shared" ref="A154:A165" si="35">A153+1</f>
        <v>1999</v>
      </c>
      <c r="B154" s="921">
        <f>TableUK1!D155</f>
        <v>1045.2921916971916</v>
      </c>
      <c r="C154" s="922">
        <f t="shared" si="24"/>
        <v>1.8565588766100038E-2</v>
      </c>
      <c r="D154" s="1314">
        <f>TableUK12c!F170</f>
        <v>1.3183110970057248E-2</v>
      </c>
      <c r="E154" s="1326">
        <f>AVERAGE(DataUK3!BZ158:BZ159)/DataUK1!B158</f>
        <v>0.46224193723610857</v>
      </c>
      <c r="F154" s="1253">
        <f>TableUK12d!F169</f>
        <v>3.8448467387279545E-3</v>
      </c>
      <c r="G154" s="1340">
        <f t="shared" si="34"/>
        <v>4.8839903344140463E-3</v>
      </c>
      <c r="H154" s="1337"/>
      <c r="I154" s="1309">
        <f>AVERAGE(DataUK3!CA158:CA159)/DataUK1!B158</f>
        <v>0.29391049389120749</v>
      </c>
      <c r="J154" s="1301">
        <f>TableUK7!C157</f>
        <v>2.2590142682937249E-2</v>
      </c>
      <c r="K154" s="948">
        <f t="shared" si="31"/>
        <v>0.27132035120827025</v>
      </c>
      <c r="L154" s="1314">
        <f>AVERAGE(DataUK3!CB158:CB159)/DataUK1!B158</f>
        <v>0.63173605914829678</v>
      </c>
      <c r="M154" s="1314">
        <f>AVERAGE(DataUK4!O310:O311)/DataUK1!B157</f>
        <v>0.5770628113175007</v>
      </c>
      <c r="N154" s="1314">
        <f t="shared" si="32"/>
        <v>5.4673247830796079E-2</v>
      </c>
      <c r="O154" s="1314">
        <f>AVERAGE(DataUK4!H310:H311)/DataUK1!B157</f>
        <v>0.49460108244651174</v>
      </c>
      <c r="P154" s="1314">
        <f t="shared" si="33"/>
        <v>1.16672371290232</v>
      </c>
      <c r="Q154" s="1353">
        <f>DataUK1!GW158/DataUK1!B158</f>
        <v>3.2060632619206594E-2</v>
      </c>
      <c r="R154" s="913"/>
      <c r="S154" s="1367"/>
      <c r="T154" s="1367"/>
      <c r="U154" s="720"/>
      <c r="V154" s="1350"/>
      <c r="W154" s="1432">
        <f>D154-(TableUK5b!G154-TableUK5a!G154)</f>
        <v>0</v>
      </c>
      <c r="X154" s="68"/>
    </row>
    <row r="155" spans="1:24" ht="12" customHeight="1">
      <c r="A155" s="932">
        <f t="shared" si="35"/>
        <v>2000</v>
      </c>
      <c r="B155" s="914">
        <f>TableUK1!D156</f>
        <v>1094.763052184466</v>
      </c>
      <c r="C155" s="915">
        <f t="shared" ref="C155:C165" si="36">B155/B154-1</f>
        <v>4.7327303198305692E-2</v>
      </c>
      <c r="D155" s="62">
        <f>TableUK12c!F171</f>
        <v>1.825454654978876E-2</v>
      </c>
      <c r="E155" s="1742">
        <f>AVERAGE(DataUK3!BZ159:BZ160)/DataUK1!B159</f>
        <v>0.48015034075151841</v>
      </c>
      <c r="F155" s="1252">
        <f>TableUK12d!F170</f>
        <v>3.7584072848894697E-3</v>
      </c>
      <c r="G155" s="1329">
        <f t="shared" si="34"/>
        <v>8.3178232631109048E-3</v>
      </c>
      <c r="H155" s="1303"/>
      <c r="I155" s="1306">
        <f>AVERAGE(DataUK3!CA159:CA160)/DataUK1!B159</f>
        <v>0.29548595464292043</v>
      </c>
      <c r="J155" s="1300">
        <f>TableUK7!C158</f>
        <v>2.0252212886581817E-2</v>
      </c>
      <c r="K155" s="63">
        <f t="shared" si="31"/>
        <v>0.27523374175633863</v>
      </c>
      <c r="L155" s="62">
        <f>AVERAGE(DataUK3!CB159:CB160)/DataUK1!B159</f>
        <v>0.60200361661139035</v>
      </c>
      <c r="M155" s="62">
        <f>AVERAGE(DataUK4!O311:O312)/DataUK1!B158</f>
        <v>0.55774026554235756</v>
      </c>
      <c r="N155" s="62">
        <f t="shared" si="32"/>
        <v>4.4263351069032786E-2</v>
      </c>
      <c r="O155" s="62">
        <f>AVERAGE(DataUK4!H311:H312)/DataUK1!B158</f>
        <v>0.46658565553709647</v>
      </c>
      <c r="P155" s="62">
        <f t="shared" si="33"/>
        <v>1.1953652216340238</v>
      </c>
      <c r="Q155" s="1352">
        <f>DataUK1!GW159/DataUK1!B159</f>
        <v>3.0560482091286423E-2</v>
      </c>
      <c r="R155" s="913"/>
      <c r="S155" s="907"/>
      <c r="T155" s="927"/>
      <c r="U155" s="720"/>
      <c r="V155" s="1350"/>
      <c r="W155" s="1432">
        <f>D155-(TableUK5b!G155-TableUK5a!G155)</f>
        <v>0</v>
      </c>
      <c r="X155" s="68"/>
    </row>
    <row r="156" spans="1:24" ht="12" customHeight="1">
      <c r="A156" s="932">
        <f t="shared" si="35"/>
        <v>2001</v>
      </c>
      <c r="B156" s="914">
        <f>TableUK1!D157</f>
        <v>1139.9037500000002</v>
      </c>
      <c r="C156" s="915">
        <f t="shared" si="36"/>
        <v>4.1233304070192656E-2</v>
      </c>
      <c r="D156" s="62">
        <f>TableUK12c!F172</f>
        <v>1.1469195248272604E-2</v>
      </c>
      <c r="E156" s="1742">
        <f>AVERAGE(DataUK3!BZ160:BZ161)/DataUK1!B160</f>
        <v>0.51219127053490265</v>
      </c>
      <c r="F156" s="1252">
        <f>TableUK12d!F171</f>
        <v>2.9621065825491712E-3</v>
      </c>
      <c r="G156" s="1329">
        <f t="shared" si="34"/>
        <v>7.8275635064778085E-3</v>
      </c>
      <c r="H156" s="1303"/>
      <c r="I156" s="1306">
        <f>AVERAGE(DataUK3!CA160:CA161)/DataUK1!B160</f>
        <v>0.29513018094729487</v>
      </c>
      <c r="J156" s="1300">
        <f>TableUK7!C159</f>
        <v>1.6845172234936503E-2</v>
      </c>
      <c r="K156" s="63">
        <f t="shared" si="31"/>
        <v>0.27828500871235839</v>
      </c>
      <c r="L156" s="62">
        <f>AVERAGE(DataUK3!CB160:CB161)/DataUK1!B160</f>
        <v>0.56771295383491804</v>
      </c>
      <c r="M156" s="62">
        <f>AVERAGE(DataUK4!O312:O313)/DataUK1!B159</f>
        <v>0.52663051599846622</v>
      </c>
      <c r="N156" s="62">
        <f t="shared" si="32"/>
        <v>4.1082437836451824E-2</v>
      </c>
      <c r="O156" s="62">
        <f>AVERAGE(DataUK4!H312:H313)/DataUK1!B159</f>
        <v>0.43420651754612571</v>
      </c>
      <c r="P156" s="62">
        <f t="shared" si="33"/>
        <v>1.2128572343286448</v>
      </c>
      <c r="Q156" s="1352">
        <f>DataUK1!GW160/DataUK1!B160</f>
        <v>2.594626958635762E-2</v>
      </c>
      <c r="R156" s="913"/>
      <c r="S156" s="907"/>
      <c r="T156" s="1368"/>
      <c r="U156" s="720"/>
      <c r="V156" s="1350"/>
      <c r="W156" s="1432">
        <f>D156-(TableUK5b!G156-TableUK5a!G156)</f>
        <v>0</v>
      </c>
      <c r="X156" s="68"/>
    </row>
    <row r="157" spans="1:24" ht="12" customHeight="1">
      <c r="A157" s="932">
        <f t="shared" si="35"/>
        <v>2002</v>
      </c>
      <c r="B157" s="914">
        <f>TableUK1!D158</f>
        <v>1182.2803208868143</v>
      </c>
      <c r="C157" s="915">
        <f t="shared" si="36"/>
        <v>3.7175569329265024E-2</v>
      </c>
      <c r="D157" s="62">
        <f>TableUK12c!F173</f>
        <v>-1.6568893179371033E-2</v>
      </c>
      <c r="E157" s="1742">
        <f>AVERAGE(DataUK3!BZ161:BZ162)/DataUK1!B161</f>
        <v>0.51501573356793595</v>
      </c>
      <c r="F157" s="1252">
        <f>TableUK12d!F172</f>
        <v>4.1023290394672351E-3</v>
      </c>
      <c r="G157" s="1329">
        <f t="shared" si="34"/>
        <v>5.7832039570993076E-3</v>
      </c>
      <c r="H157" s="1303"/>
      <c r="I157" s="1306">
        <f>AVERAGE(DataUK3!CA161:CA162)/DataUK1!B161</f>
        <v>0.27749558315275741</v>
      </c>
      <c r="J157" s="1300">
        <f>TableUK7!C160</f>
        <v>1.6023383248262399E-2</v>
      </c>
      <c r="K157" s="63">
        <f t="shared" si="31"/>
        <v>0.261472199904495</v>
      </c>
      <c r="L157" s="62">
        <f>AVERAGE(DataUK3!CB161:CB162)/DataUK1!B161</f>
        <v>0.53039760391838553</v>
      </c>
      <c r="M157" s="62">
        <f>AVERAGE(DataUK4!O313:O314)/DataUK1!B160</f>
        <v>0.49495681104654671</v>
      </c>
      <c r="N157" s="62">
        <f t="shared" si="32"/>
        <v>3.5440792871838822E-2</v>
      </c>
      <c r="O157" s="62">
        <f>AVERAGE(DataUK4!H313:H314)/DataUK1!B160</f>
        <v>0.42084309749836335</v>
      </c>
      <c r="P157" s="62">
        <f t="shared" si="33"/>
        <v>1.1761077085230596</v>
      </c>
      <c r="Q157" s="1352">
        <f>DataUK1!GW161/DataUK1!B161</f>
        <v>2.2101253837990147E-2</v>
      </c>
      <c r="R157" s="913"/>
      <c r="S157" s="907"/>
      <c r="T157" s="907"/>
      <c r="U157" s="720"/>
      <c r="V157" s="1350"/>
      <c r="W157" s="1432">
        <f>D157-(TableUK5b!G157-TableUK5a!G157)</f>
        <v>0</v>
      </c>
      <c r="X157" s="68"/>
    </row>
    <row r="158" spans="1:24" ht="12" customHeight="1">
      <c r="A158" s="932">
        <f t="shared" si="35"/>
        <v>2003</v>
      </c>
      <c r="B158" s="914">
        <f>TableUK1!D159</f>
        <v>1226.8419156214366</v>
      </c>
      <c r="C158" s="915">
        <f t="shared" si="36"/>
        <v>3.7691225970163389E-2</v>
      </c>
      <c r="D158" s="62">
        <f>TableUK12c!F174</f>
        <v>-3.1263324232791281E-2</v>
      </c>
      <c r="E158" s="1742">
        <f>AVERAGE(DataUK3!BZ162:BZ163)/DataUK1!B162</f>
        <v>0.51187102275817598</v>
      </c>
      <c r="F158" s="1252">
        <f>TableUK12d!F173</f>
        <v>5.3476321901673694E-3</v>
      </c>
      <c r="G158" s="1329">
        <f t="shared" si="34"/>
        <v>7.9654441060412681E-3</v>
      </c>
      <c r="H158" s="1303"/>
      <c r="I158" s="1306">
        <f>AVERAGE(DataUK3!CA162:CA163)/DataUK1!B162</f>
        <v>0.26815642458100558</v>
      </c>
      <c r="J158" s="1300">
        <f>TableUK7!C161</f>
        <v>1.4858081910785465E-2</v>
      </c>
      <c r="K158" s="63">
        <f t="shared" si="31"/>
        <v>0.25329834267022011</v>
      </c>
      <c r="L158" s="62">
        <f>AVERAGE(DataUK3!CB162:CB163)/DataUK1!B162</f>
        <v>0.52368717026285727</v>
      </c>
      <c r="M158" s="62">
        <f>AVERAGE(DataUK4!O314:O315)/DataUK1!B161</f>
        <v>0.49284279943027054</v>
      </c>
      <c r="N158" s="62">
        <f t="shared" si="32"/>
        <v>3.0844370832586732E-2</v>
      </c>
      <c r="O158" s="62">
        <f>AVERAGE(DataUK4!H314:H315)/DataUK1!B161</f>
        <v>0.42605635618611298</v>
      </c>
      <c r="P158" s="62">
        <f t="shared" si="33"/>
        <v>1.1567549510163473</v>
      </c>
      <c r="Q158" s="1352">
        <f>DataUK1!GW162/DataUK1!B162</f>
        <v>2.1776248824795456E-2</v>
      </c>
      <c r="R158" s="913"/>
      <c r="S158" s="907"/>
      <c r="T158" s="927"/>
      <c r="U158" s="720"/>
      <c r="V158" s="1350"/>
      <c r="W158" s="1432">
        <f>D158-(TableUK5b!G158-TableUK5a!G158)</f>
        <v>0</v>
      </c>
      <c r="X158" s="68"/>
    </row>
    <row r="159" spans="1:24" ht="12" customHeight="1">
      <c r="A159" s="932">
        <f t="shared" si="35"/>
        <v>2004</v>
      </c>
      <c r="B159" s="914">
        <f>TableUK1!D160</f>
        <v>1260.8605005561735</v>
      </c>
      <c r="C159" s="915">
        <f t="shared" si="36"/>
        <v>2.7728580595084651E-2</v>
      </c>
      <c r="D159" s="62">
        <f>TableUK12c!F175</f>
        <v>-2.8497992086349504E-2</v>
      </c>
      <c r="E159" s="1742">
        <f>AVERAGE(DataUK3!BZ163:BZ164)/DataUK1!B163</f>
        <v>0.52991835545615296</v>
      </c>
      <c r="F159" s="1252">
        <f>TableUK12d!F174</f>
        <v>9.4531030711658501E-3</v>
      </c>
      <c r="G159" s="1329">
        <f t="shared" si="34"/>
        <v>1.0447225868251111E-2</v>
      </c>
      <c r="H159" s="1303"/>
      <c r="I159" s="1306">
        <f>AVERAGE(DataUK3!CA163:CA164)/DataUK1!B163</f>
        <v>0.26733425401631045</v>
      </c>
      <c r="J159" s="1300">
        <f>TableUK7!C162</f>
        <v>1.4716023387068521E-2</v>
      </c>
      <c r="K159" s="63">
        <f t="shared" si="31"/>
        <v>0.25261823062924194</v>
      </c>
      <c r="L159" s="62">
        <f>AVERAGE(DataUK3!CB163:CB164)/DataUK1!B163</f>
        <v>0.53628462010764244</v>
      </c>
      <c r="M159" s="62">
        <f>AVERAGE(DataUK4!O315:O316)/DataUK1!B162</f>
        <v>0.5040879635744866</v>
      </c>
      <c r="N159" s="62">
        <f t="shared" si="32"/>
        <v>3.2196656533155843E-2</v>
      </c>
      <c r="O159" s="62">
        <f>AVERAGE(DataUK4!H315:H316)/DataUK1!B162</f>
        <v>0.43961342569210804</v>
      </c>
      <c r="P159" s="62">
        <f t="shared" si="33"/>
        <v>1.1466618945517251</v>
      </c>
      <c r="Q159" s="1352">
        <f>DataUK1!GW163/DataUK1!B163</f>
        <v>2.1399425833085954E-2</v>
      </c>
      <c r="R159" s="913"/>
      <c r="S159" s="907"/>
      <c r="T159" s="1368"/>
      <c r="U159" s="720"/>
      <c r="V159" s="1350"/>
      <c r="W159" s="1432">
        <f>D159-(TableUK5b!G159-TableUK5a!G159)</f>
        <v>0</v>
      </c>
      <c r="X159" s="68"/>
    </row>
    <row r="160" spans="1:24" ht="12" customHeight="1">
      <c r="A160" s="932">
        <f t="shared" si="35"/>
        <v>2005</v>
      </c>
      <c r="B160" s="914">
        <f>TableUK1!D161</f>
        <v>1294.4237418300654</v>
      </c>
      <c r="C160" s="915">
        <f t="shared" si="36"/>
        <v>2.661931376158333E-2</v>
      </c>
      <c r="D160" s="62">
        <f>TableUK12c!F176</f>
        <v>-4.0747085599307724E-2</v>
      </c>
      <c r="E160" s="1742">
        <f>AVERAGE(DataUK3!BZ164:BZ165)/DataUK1!B164</f>
        <v>0.55392877212514868</v>
      </c>
      <c r="F160" s="1252">
        <f>TableUK12d!F175</f>
        <v>1.0951334368327697E-2</v>
      </c>
      <c r="G160" s="1329">
        <f t="shared" si="34"/>
        <v>1.783879153049649E-2</v>
      </c>
      <c r="H160" s="1303"/>
      <c r="I160" s="1306">
        <f>AVERAGE(DataUK3!CA164:CA165)/DataUK1!B164</f>
        <v>0.27654248353942579</v>
      </c>
      <c r="J160" s="1300">
        <f>TableUK7!C163</f>
        <v>1.4148135054537332E-2</v>
      </c>
      <c r="K160" s="63">
        <f t="shared" si="31"/>
        <v>0.26239434848488846</v>
      </c>
      <c r="L160" s="62">
        <f>AVERAGE(DataUK3!CB164:CB165)/DataUK1!B164</f>
        <v>0.56265483316932119</v>
      </c>
      <c r="M160" s="62">
        <f>AVERAGE(DataUK4!O316:O317)/DataUK1!B163</f>
        <v>0.52792610320622624</v>
      </c>
      <c r="N160" s="62">
        <f t="shared" si="32"/>
        <v>3.4728729963094951E-2</v>
      </c>
      <c r="O160" s="62">
        <f>AVERAGE(DataUK4!H316:H317)/DataUK1!B163</f>
        <v>0.4560801031066597</v>
      </c>
      <c r="P160" s="62">
        <f t="shared" si="33"/>
        <v>1.1575293454158084</v>
      </c>
      <c r="Q160" s="1352">
        <f>DataUK1!GW164/DataUK1!B164</f>
        <v>2.2783175960834078E-2</v>
      </c>
      <c r="R160" s="913"/>
      <c r="U160" s="720"/>
      <c r="V160" s="1350"/>
      <c r="W160" s="1432">
        <f>D160-(TableUK5b!G160-TableUK5a!G160)</f>
        <v>0</v>
      </c>
      <c r="X160" s="68"/>
    </row>
    <row r="161" spans="1:24" ht="12" customHeight="1">
      <c r="A161" s="932">
        <f t="shared" si="35"/>
        <v>2006</v>
      </c>
      <c r="B161" s="914">
        <f>TableUK1!D162</f>
        <v>1311.2324894514768</v>
      </c>
      <c r="C161" s="915">
        <f t="shared" si="36"/>
        <v>1.2985506274511893E-2</v>
      </c>
      <c r="D161" s="62">
        <f>TableUK12c!F177</f>
        <v>-2.1000031945605041E-2</v>
      </c>
      <c r="E161" s="1742">
        <f>AVERAGE(DataUK3!BZ165:BZ166)/DataUK1!B165</f>
        <v>0.57286300356446296</v>
      </c>
      <c r="F161" s="1252">
        <f>TableUK12d!F176</f>
        <v>-4.2449644362208827E-3</v>
      </c>
      <c r="G161" s="1329">
        <f t="shared" si="34"/>
        <v>1.9770293437390667E-2</v>
      </c>
      <c r="H161" s="1303"/>
      <c r="I161" s="1306">
        <f>AVERAGE(DataUK3!CA165:CA166)/DataUK1!B165</f>
        <v>0.28154717869392698</v>
      </c>
      <c r="J161" s="1300">
        <f>TableUK7!C164</f>
        <v>1.3027103369426323E-2</v>
      </c>
      <c r="K161" s="63">
        <f t="shared" si="31"/>
        <v>0.26852007532450067</v>
      </c>
      <c r="L161" s="62">
        <f>AVERAGE(DataUK3!CB165:CB166)/DataUK1!B165</f>
        <v>0.57742702939000601</v>
      </c>
      <c r="M161" s="62">
        <f>AVERAGE(DataUK4!O317:O318)/DataUK1!B164</f>
        <v>0.54117496005227284</v>
      </c>
      <c r="N161" s="62">
        <f t="shared" si="32"/>
        <v>3.6252069337733173E-2</v>
      </c>
      <c r="O161" s="62">
        <f>AVERAGE(DataUK4!H317:H318)/DataUK1!B164</f>
        <v>0.47206693102080621</v>
      </c>
      <c r="P161" s="62">
        <f t="shared" si="33"/>
        <v>1.1463945565558387</v>
      </c>
      <c r="Q161" s="1352">
        <f>DataUK1!GW165/DataUK1!B165</f>
        <v>2.3072331696818885E-2</v>
      </c>
      <c r="R161" s="913"/>
      <c r="U161" s="720"/>
      <c r="V161" s="1350"/>
      <c r="W161" s="1432">
        <f>D161-(TableUK5b!G161-TableUK5a!G161)</f>
        <v>0</v>
      </c>
      <c r="X161" s="68"/>
    </row>
    <row r="162" spans="1:24" ht="12" customHeight="1">
      <c r="A162" s="932">
        <f t="shared" si="35"/>
        <v>2007</v>
      </c>
      <c r="B162" s="914">
        <f>TableUK1!D163</f>
        <v>1369.4100154639175</v>
      </c>
      <c r="C162" s="915">
        <f t="shared" si="36"/>
        <v>4.4368581834620224E-2</v>
      </c>
      <c r="D162" s="62">
        <f>TableUK12c!F178</f>
        <v>-2.1937995229434015E-2</v>
      </c>
      <c r="E162" s="1742">
        <f>AVERAGE(DataUK3!BZ166:BZ167)/DataUK1!B166</f>
        <v>0.5758677142409846</v>
      </c>
      <c r="F162" s="1252">
        <f>TableUK12d!F177</f>
        <v>9.3121438695543263E-3</v>
      </c>
      <c r="G162" s="1329">
        <f t="shared" si="34"/>
        <v>-7.4100865474082001E-3</v>
      </c>
      <c r="H162" s="1303"/>
      <c r="I162" s="1306">
        <f>AVERAGE(DataUK3!CA166:CA167)/DataUK1!B166</f>
        <v>0.27231897363520718</v>
      </c>
      <c r="J162" s="1300">
        <f>TableUK7!C165</f>
        <v>1.219075670645026E-2</v>
      </c>
      <c r="K162" s="63">
        <f t="shared" si="31"/>
        <v>0.26012821692875693</v>
      </c>
      <c r="L162" s="62">
        <f>AVERAGE(DataUK3!CB166:CB167)/DataUK1!B166</f>
        <v>0.57297579234805018</v>
      </c>
      <c r="M162" s="62">
        <f>AVERAGE(DataUK4!O318:O319)/DataUK1!B165</f>
        <v>0.55032996502791043</v>
      </c>
      <c r="N162" s="62">
        <f t="shared" si="32"/>
        <v>2.2645827320139755E-2</v>
      </c>
      <c r="O162" s="62">
        <f>AVERAGE(DataUK4!H318:H319)/DataUK1!B165</f>
        <v>0.48751471181653105</v>
      </c>
      <c r="P162" s="62">
        <f t="shared" si="33"/>
        <v>1.1288479130759421</v>
      </c>
      <c r="Q162" s="1352">
        <f>DataUK1!GW166/DataUK1!B166</f>
        <v>2.4599430269359394E-2</v>
      </c>
      <c r="R162" s="913"/>
      <c r="U162" s="720"/>
      <c r="V162" s="1350"/>
      <c r="W162" s="1432">
        <f>D162-(TableUK5b!G162-TableUK5a!G162)</f>
        <v>0</v>
      </c>
      <c r="X162" s="68"/>
    </row>
    <row r="163" spans="1:24" ht="12" customHeight="1">
      <c r="A163" s="932">
        <f t="shared" si="35"/>
        <v>2008</v>
      </c>
      <c r="B163" s="914">
        <f>TableUK1!D164</f>
        <v>1372.91264</v>
      </c>
      <c r="C163" s="915">
        <f t="shared" si="36"/>
        <v>2.5577617342720238E-3</v>
      </c>
      <c r="D163" s="62">
        <f>TableUK12c!F179</f>
        <v>-4.0000334909182526E-2</v>
      </c>
      <c r="E163" s="1742">
        <f>AVERAGE(DataUK3!BZ167:BZ168)/DataUK1!B167</f>
        <v>0.56908056983144972</v>
      </c>
      <c r="F163" s="1252">
        <f>TableUK12d!F178</f>
        <v>1.0282992743453057E-2</v>
      </c>
      <c r="G163" s="1329">
        <f t="shared" si="34"/>
        <v>1.6170630232028346E-2</v>
      </c>
      <c r="H163" s="1303"/>
      <c r="I163" s="1306">
        <f>AVERAGE(DataUK3!CA167:CA168)/DataUK1!B167</f>
        <v>0.30165467593043649</v>
      </c>
      <c r="J163" s="1300">
        <f>TableUK7!C166</f>
        <v>1.1794865549493374E-2</v>
      </c>
      <c r="K163" s="63">
        <f t="shared" si="31"/>
        <v>0.28985981038094311</v>
      </c>
      <c r="L163" s="62">
        <f>AVERAGE(DataUK3!CB167:CB168)/DataUK1!B167</f>
        <v>0.63517931301149644</v>
      </c>
      <c r="M163" s="62">
        <f>AVERAGE(DataUK4!O319:O320)/DataUK1!B166</f>
        <v>0.59702846371763008</v>
      </c>
      <c r="N163" s="62">
        <f t="shared" si="32"/>
        <v>3.8150849293866362E-2</v>
      </c>
      <c r="O163" s="62">
        <f>AVERAGE(DataUK4!H319:H320)/DataUK1!B166</f>
        <v>0.52706849905634923</v>
      </c>
      <c r="P163" s="62">
        <f t="shared" si="33"/>
        <v>1.1327341034164164</v>
      </c>
      <c r="Q163" s="1352">
        <f>DataUK1!GW167/DataUK1!B167</f>
        <v>2.4956005212392829E-2</v>
      </c>
      <c r="R163" s="913"/>
      <c r="U163" s="720"/>
      <c r="V163" s="1350"/>
      <c r="W163" s="1432">
        <f>D163-(TableUK5b!G163-TableUK5a!G163)</f>
        <v>0</v>
      </c>
      <c r="X163" s="68"/>
    </row>
    <row r="164" spans="1:24" ht="12" customHeight="1">
      <c r="A164" s="932">
        <f t="shared" si="35"/>
        <v>2009</v>
      </c>
      <c r="B164" s="914">
        <f>TableUK1!D165</f>
        <v>1288.5795329400198</v>
      </c>
      <c r="C164" s="915">
        <f t="shared" si="36"/>
        <v>-6.142641898903356E-2</v>
      </c>
      <c r="D164" s="62">
        <f>TableUK12c!F180</f>
        <v>-0.10405326741358001</v>
      </c>
      <c r="E164" s="1326">
        <f>AVERAGE(DataUK3!BZ168:BZ169)/DataUK1!B168</f>
        <v>0.57122705340204916</v>
      </c>
      <c r="F164" s="1253">
        <f>TableUK12d!F179</f>
        <v>1.4360753515214391E-2</v>
      </c>
      <c r="G164" s="1340">
        <f t="shared" si="34"/>
        <v>1.8069484864856086E-2</v>
      </c>
      <c r="H164" s="1337"/>
      <c r="I164" s="1309">
        <f>AVERAGE(DataUK3!CA168:CA169)/DataUK1!B168</f>
        <v>0.37242803932529167</v>
      </c>
      <c r="J164" s="1301">
        <f>TableUK7!C167</f>
        <v>0.17183962719279008</v>
      </c>
      <c r="K164" s="63">
        <f t="shared" si="31"/>
        <v>0.20058841213250159</v>
      </c>
      <c r="L164" s="62">
        <f>AVERAGE(DataUK3!CB168:CB169)/DataUK1!B168</f>
        <v>0.80728964405810599</v>
      </c>
      <c r="M164" s="1314">
        <f>AVERAGE(DataUK4!O320:O321)/DataUK1!B167</f>
        <v>0.71227066384937643</v>
      </c>
      <c r="N164" s="1314">
        <f t="shared" si="32"/>
        <v>9.5018980208729564E-2</v>
      </c>
      <c r="O164" s="1314">
        <f>AVERAGE(DataUK4!H320:H321)/DataUK1!B167</f>
        <v>0.63886749196219794</v>
      </c>
      <c r="P164" s="1314">
        <f t="shared" si="33"/>
        <v>1.1148957691707404</v>
      </c>
      <c r="Q164" s="1353">
        <f>DataUK1!GW168/DataUK1!B168</f>
        <v>2.0924155518147958E-2</v>
      </c>
      <c r="R164" s="913"/>
      <c r="U164" s="720"/>
      <c r="V164" s="1350"/>
      <c r="W164" s="1432">
        <f>D164-(TableUK5b!G164-TableUK5a!G164)</f>
        <v>0</v>
      </c>
      <c r="X164" s="68"/>
    </row>
    <row r="165" spans="1:24" ht="12" customHeight="1" thickBot="1">
      <c r="A165" s="941">
        <f t="shared" si="35"/>
        <v>2010</v>
      </c>
      <c r="B165" s="942">
        <f>TableUK1!D166</f>
        <v>1312.3</v>
      </c>
      <c r="C165" s="943">
        <f t="shared" si="36"/>
        <v>1.8408228947932814E-2</v>
      </c>
      <c r="D165" s="1315">
        <f>TableUK12c!F181</f>
        <v>-9.8684505086302082E-2</v>
      </c>
      <c r="E165" s="1744">
        <f>AVERAGE(DataUK3!BZ169:BZ170)/DataUK1!B169</f>
        <v>0.54001295435494934</v>
      </c>
      <c r="F165" s="1254">
        <f>TableUK12d!F180</f>
        <v>1.794027351381524E-2</v>
      </c>
      <c r="G165" s="1343">
        <f t="shared" si="34"/>
        <v>2.5140184502267963E-2</v>
      </c>
      <c r="H165" s="1338"/>
      <c r="I165" s="1312">
        <f>AVERAGE(DataUK3!CA169:CA170)/DataUK1!B169</f>
        <v>0.38461136935152024</v>
      </c>
      <c r="J165" s="1302">
        <f>TableUK7!C168</f>
        <v>0.16421245142116894</v>
      </c>
      <c r="K165" s="1305">
        <f t="shared" si="31"/>
        <v>0.2203989179303513</v>
      </c>
      <c r="L165" s="1315">
        <f>AVERAGE(DataUK3!CB169:CB170)/DataUK1!B169</f>
        <v>0.91783624171302292</v>
      </c>
      <c r="M165" s="1315">
        <f>AVERAGE(DataUK4!O321:O322)/DataUK1!B168</f>
        <v>0.89871839547451349</v>
      </c>
      <c r="N165" s="1315">
        <f t="shared" si="32"/>
        <v>1.9117846238509428E-2</v>
      </c>
      <c r="O165" s="1315">
        <f>AVERAGE(DataUK4!H321:H322)/DataUK1!B168</f>
        <v>0.8336517675090287</v>
      </c>
      <c r="P165" s="1315">
        <f t="shared" si="33"/>
        <v>1.0780501289644062</v>
      </c>
      <c r="Q165" s="1356">
        <f>DataUK1!GW169/DataUK1!B169</f>
        <v>3.2743275165739542E-2</v>
      </c>
      <c r="R165" s="913"/>
      <c r="U165" s="720"/>
      <c r="V165" s="1350"/>
      <c r="W165" s="1432">
        <f>D165-(TableUK5b!G165-TableUK5a!G165)</f>
        <v>0</v>
      </c>
      <c r="X165" s="68">
        <f>M165/O165</f>
        <v>1.0780501289644062</v>
      </c>
    </row>
    <row r="166" spans="1:24" ht="12" customHeight="1" thickTop="1">
      <c r="A166" s="697"/>
      <c r="B166" s="925"/>
      <c r="C166" s="36"/>
      <c r="D166" s="36"/>
      <c r="F166" s="53"/>
      <c r="R166" s="694"/>
    </row>
    <row r="167" spans="1:24" ht="12" customHeight="1" thickBot="1">
      <c r="A167" s="697"/>
      <c r="B167" s="926"/>
      <c r="C167" s="923"/>
      <c r="D167" s="923"/>
      <c r="F167" s="923"/>
      <c r="R167" s="927"/>
    </row>
    <row r="168" spans="1:24" ht="12" customHeight="1" thickTop="1">
      <c r="A168" s="387"/>
      <c r="B168" s="665" t="s">
        <v>362</v>
      </c>
      <c r="C168" s="1204"/>
      <c r="D168" s="1204" t="s">
        <v>364</v>
      </c>
      <c r="E168" s="1624"/>
      <c r="F168" s="1204" t="s">
        <v>1248</v>
      </c>
      <c r="G168" s="1204"/>
      <c r="H168" s="668"/>
      <c r="I168" s="668"/>
      <c r="J168" s="1204"/>
      <c r="K168" s="1210"/>
      <c r="L168" s="1204"/>
      <c r="M168" s="1204"/>
      <c r="N168" s="668"/>
      <c r="O168" s="668"/>
      <c r="P168" s="1388"/>
      <c r="Q168" s="1633"/>
      <c r="R168" s="928"/>
    </row>
    <row r="169" spans="1:24" ht="12" customHeight="1">
      <c r="A169" s="585" t="s">
        <v>609</v>
      </c>
      <c r="B169" s="1206">
        <f>(B$165/B$68)^(1/97)-1</f>
        <v>1.9181696909979618E-2</v>
      </c>
      <c r="C169" s="1207"/>
      <c r="D169" s="1211">
        <f>SUMPRODUCT($B$68:$B$164,D$68:D$164)/SUM($B$68:$B$164)</f>
        <v>-2.6467887375044987E-2</v>
      </c>
      <c r="E169" s="1625"/>
      <c r="F169" s="1211">
        <f>SUMPRODUCT($B$68:$B$164,F$68:F$164)/SUM($B$68:$B$164)</f>
        <v>1.5538804687309397E-2</v>
      </c>
      <c r="G169" s="1211"/>
      <c r="H169" s="1207"/>
      <c r="I169" s="1207"/>
      <c r="J169" s="1207"/>
      <c r="K169" s="1214"/>
      <c r="L169" s="1211"/>
      <c r="M169" s="1211"/>
      <c r="N169" s="1207"/>
      <c r="O169" s="1207"/>
      <c r="P169" s="361"/>
      <c r="Q169" s="695"/>
      <c r="R169" s="928"/>
    </row>
    <row r="170" spans="1:24" ht="12" customHeight="1">
      <c r="A170" s="200"/>
      <c r="B170" s="108"/>
      <c r="C170" s="83"/>
      <c r="D170" s="308"/>
      <c r="E170" s="108"/>
      <c r="F170" s="308"/>
      <c r="G170" s="308"/>
      <c r="H170" s="590"/>
      <c r="I170" s="590"/>
      <c r="J170" s="1219"/>
      <c r="K170" s="589"/>
      <c r="L170" s="589"/>
      <c r="M170" s="589"/>
      <c r="N170" s="590"/>
      <c r="O170" s="590"/>
      <c r="P170" s="590"/>
      <c r="Q170" s="695"/>
      <c r="R170" s="694"/>
    </row>
    <row r="171" spans="1:24" ht="12" customHeight="1">
      <c r="A171" s="200"/>
      <c r="B171" s="252"/>
      <c r="C171" s="203"/>
      <c r="D171" s="308"/>
      <c r="E171" s="108"/>
      <c r="F171" s="308"/>
      <c r="G171" s="308"/>
      <c r="H171" s="308"/>
      <c r="I171" s="308"/>
      <c r="J171" s="203"/>
      <c r="K171" s="365"/>
      <c r="L171" s="203"/>
      <c r="M171" s="203"/>
      <c r="N171" s="365"/>
      <c r="O171" s="365"/>
      <c r="P171" s="365"/>
      <c r="Q171" s="695"/>
      <c r="R171" s="694"/>
    </row>
    <row r="172" spans="1:24" ht="12" customHeight="1">
      <c r="A172" s="200" t="s">
        <v>348</v>
      </c>
      <c r="B172" s="653">
        <f>(B$165/B$125)^(1/40)-1</f>
        <v>2.1970102276964276E-2</v>
      </c>
      <c r="C172" s="361"/>
      <c r="D172" s="1212">
        <f>SUMPRODUCT($B$125:$B$164,D$125:D$164)/SUM($B$125:$B$164)</f>
        <v>-2.0206051425227349E-2</v>
      </c>
      <c r="E172" s="108"/>
      <c r="F172" s="1212">
        <f>SUMPRODUCT($B$125:$B$164,F$125:F$164)/SUM($B$125:$B$164)</f>
        <v>1.2515564166343449E-2</v>
      </c>
      <c r="G172" s="1212"/>
      <c r="H172" s="361"/>
      <c r="I172" s="361"/>
      <c r="J172" s="361"/>
      <c r="K172" s="203"/>
      <c r="L172" s="1212"/>
      <c r="M172" s="1212"/>
      <c r="N172" s="361"/>
      <c r="O172" s="361"/>
      <c r="P172" s="361"/>
      <c r="Q172" s="695"/>
      <c r="R172" s="694"/>
    </row>
    <row r="173" spans="1:24" ht="12" customHeight="1">
      <c r="A173" s="200"/>
      <c r="B173" s="108"/>
      <c r="C173" s="83"/>
      <c r="D173" s="308"/>
      <c r="E173" s="108"/>
      <c r="F173" s="308"/>
      <c r="G173" s="308"/>
      <c r="H173" s="590"/>
      <c r="I173" s="590"/>
      <c r="J173" s="1219"/>
      <c r="K173" s="589"/>
      <c r="L173" s="589"/>
      <c r="M173" s="589"/>
      <c r="N173" s="590"/>
      <c r="O173" s="590"/>
      <c r="P173" s="590"/>
      <c r="Q173" s="695"/>
      <c r="R173" s="928"/>
    </row>
    <row r="174" spans="1:24" ht="12" customHeight="1">
      <c r="A174" s="200"/>
      <c r="B174" s="666"/>
      <c r="C174" s="116"/>
      <c r="D174" s="308"/>
      <c r="E174" s="108"/>
      <c r="F174" s="308"/>
      <c r="G174" s="308"/>
      <c r="H174" s="1213"/>
      <c r="I174" s="83"/>
      <c r="J174" s="116"/>
      <c r="K174" s="116"/>
      <c r="L174" s="1212"/>
      <c r="M174" s="1212"/>
      <c r="N174" s="83"/>
      <c r="O174" s="1213"/>
      <c r="P174" s="83"/>
      <c r="Q174" s="695"/>
      <c r="R174" s="928"/>
    </row>
    <row r="175" spans="1:24" ht="12" customHeight="1">
      <c r="A175" s="585" t="s">
        <v>606</v>
      </c>
      <c r="B175" s="653">
        <f>(B$165/B$75)^(1/90)-1</f>
        <v>2.2485638349202253E-2</v>
      </c>
      <c r="C175" s="361"/>
      <c r="D175" s="1212">
        <f>SUMPRODUCT($B$75:$B$164,D$75:D$164)/SUM($B$75:$B$164)</f>
        <v>-1.910971741075845E-2</v>
      </c>
      <c r="E175" s="108"/>
      <c r="F175" s="1212">
        <f>SUMPRODUCT($B$75:$B$164,F$75:F$164)/SUM($B$75:$B$164)</f>
        <v>1.6058255144282618E-2</v>
      </c>
      <c r="G175" s="1212"/>
      <c r="H175" s="361"/>
      <c r="I175" s="361"/>
      <c r="J175" s="361"/>
      <c r="K175" s="203"/>
      <c r="L175" s="1212"/>
      <c r="M175" s="1212"/>
      <c r="N175" s="361"/>
      <c r="O175" s="361"/>
      <c r="P175" s="361"/>
      <c r="Q175" s="695"/>
      <c r="R175" s="928"/>
    </row>
    <row r="176" spans="1:24" ht="12" customHeight="1">
      <c r="A176" s="200"/>
      <c r="B176" s="108"/>
      <c r="C176" s="83"/>
      <c r="D176" s="308"/>
      <c r="E176" s="108"/>
      <c r="F176" s="308"/>
      <c r="G176" s="308"/>
      <c r="H176" s="590"/>
      <c r="I176" s="590"/>
      <c r="J176" s="1219"/>
      <c r="K176" s="589"/>
      <c r="L176" s="589"/>
      <c r="M176" s="589"/>
      <c r="N176" s="590"/>
      <c r="O176" s="590"/>
      <c r="P176" s="590"/>
      <c r="Q176" s="695"/>
      <c r="R176" s="928"/>
    </row>
    <row r="177" spans="1:18" ht="12" customHeight="1">
      <c r="A177" s="200"/>
      <c r="B177" s="666"/>
      <c r="C177" s="116"/>
      <c r="D177" s="116"/>
      <c r="E177" s="108"/>
      <c r="F177" s="116"/>
      <c r="G177" s="116"/>
      <c r="H177" s="116"/>
      <c r="I177" s="116"/>
      <c r="J177" s="116"/>
      <c r="K177" s="116"/>
      <c r="L177" s="116"/>
      <c r="M177" s="116"/>
      <c r="N177" s="116"/>
      <c r="O177" s="116"/>
      <c r="P177" s="116"/>
      <c r="Q177" s="695"/>
      <c r="R177" s="928"/>
    </row>
    <row r="178" spans="1:18" ht="12" customHeight="1">
      <c r="A178" s="585" t="s">
        <v>607</v>
      </c>
      <c r="B178" s="653">
        <f>(B$125/B$75)^(1/50)-1</f>
        <v>2.2898254446642063E-2</v>
      </c>
      <c r="C178" s="361"/>
      <c r="D178" s="1212">
        <f>SUMPRODUCT($B$75:$B$124,D$75:D$124)/SUM($B$75:$B$124)</f>
        <v>-1.6717478782775779E-2</v>
      </c>
      <c r="E178" s="108"/>
      <c r="F178" s="1212">
        <f>SUMPRODUCT($B$75:$B$124,F$75:F$124)/SUM($B$75:$B$124)</f>
        <v>2.3788529032151905E-2</v>
      </c>
      <c r="G178" s="1212"/>
      <c r="H178" s="361"/>
      <c r="I178" s="361"/>
      <c r="J178" s="361"/>
      <c r="K178" s="203"/>
      <c r="L178" s="1212"/>
      <c r="M178" s="1212"/>
      <c r="N178" s="361"/>
      <c r="O178" s="361"/>
      <c r="P178" s="361"/>
      <c r="Q178" s="695"/>
      <c r="R178" s="928"/>
    </row>
    <row r="179" spans="1:18" ht="12" customHeight="1">
      <c r="A179" s="200"/>
      <c r="B179" s="108"/>
      <c r="C179" s="83"/>
      <c r="D179" s="308"/>
      <c r="E179" s="108"/>
      <c r="F179" s="308"/>
      <c r="G179" s="308"/>
      <c r="H179" s="590"/>
      <c r="I179" s="590"/>
      <c r="J179" s="1219"/>
      <c r="K179" s="589"/>
      <c r="L179" s="589"/>
      <c r="M179" s="589"/>
      <c r="N179" s="590"/>
      <c r="O179" s="590"/>
      <c r="P179" s="590"/>
      <c r="Q179" s="695"/>
      <c r="R179" s="929"/>
    </row>
    <row r="180" spans="1:18" ht="12" customHeight="1">
      <c r="A180" s="200"/>
      <c r="B180" s="108"/>
      <c r="C180" s="83"/>
      <c r="D180" s="308"/>
      <c r="E180" s="108"/>
      <c r="F180" s="308"/>
      <c r="G180" s="308"/>
      <c r="H180" s="590"/>
      <c r="I180" s="590"/>
      <c r="J180" s="1219"/>
      <c r="K180" s="589"/>
      <c r="L180" s="589"/>
      <c r="M180" s="589"/>
      <c r="N180" s="590"/>
      <c r="O180" s="590"/>
      <c r="P180" s="590"/>
      <c r="Q180" s="695"/>
      <c r="R180" s="927"/>
    </row>
    <row r="181" spans="1:18" ht="12" customHeight="1">
      <c r="A181" s="585" t="s">
        <v>608</v>
      </c>
      <c r="B181" s="653">
        <f>(B$75/B$68)^(1/7)-1</f>
        <v>-2.2358557107879706E-2</v>
      </c>
      <c r="C181" s="361"/>
      <c r="D181" s="1212">
        <f>SUMPRODUCT($B$68:$B$74,D$68:D$74)/SUM($B$68:$B$74)</f>
        <v>-0.27132854183887795</v>
      </c>
      <c r="E181" s="108"/>
      <c r="F181" s="1212">
        <f>SUMPRODUCT($B$68:$B$74,F$68:F$74)/SUM($B$68:$B$74)</f>
        <v>-1.7471481342944254E-3</v>
      </c>
      <c r="G181" s="1212"/>
      <c r="H181" s="361"/>
      <c r="I181" s="361"/>
      <c r="J181" s="361"/>
      <c r="K181" s="203"/>
      <c r="L181" s="1212"/>
      <c r="M181" s="1212"/>
      <c r="N181" s="361"/>
      <c r="O181" s="361"/>
      <c r="P181" s="361"/>
      <c r="Q181" s="695"/>
      <c r="R181" s="928"/>
    </row>
    <row r="182" spans="1:18" ht="12" customHeight="1">
      <c r="A182" s="120"/>
      <c r="B182" s="666"/>
      <c r="C182" s="116"/>
      <c r="D182" s="308"/>
      <c r="E182" s="108"/>
      <c r="F182" s="308"/>
      <c r="G182" s="308"/>
      <c r="H182" s="590"/>
      <c r="I182" s="590"/>
      <c r="J182" s="1219"/>
      <c r="K182" s="589"/>
      <c r="L182" s="589"/>
      <c r="M182" s="589"/>
      <c r="N182" s="590"/>
      <c r="O182" s="590"/>
      <c r="P182" s="590"/>
      <c r="Q182" s="695"/>
      <c r="R182" s="929"/>
    </row>
    <row r="183" spans="1:18" ht="12" customHeight="1">
      <c r="A183" s="200"/>
      <c r="B183" s="666"/>
      <c r="C183" s="116"/>
      <c r="D183" s="116"/>
      <c r="E183" s="108"/>
      <c r="F183" s="116"/>
      <c r="G183" s="116"/>
      <c r="H183" s="669"/>
      <c r="I183" s="669"/>
      <c r="J183" s="116"/>
      <c r="K183" s="116"/>
      <c r="L183" s="116"/>
      <c r="M183" s="116"/>
      <c r="N183" s="669"/>
      <c r="O183" s="669"/>
      <c r="P183" s="669"/>
      <c r="Q183" s="695"/>
      <c r="R183" s="927"/>
    </row>
    <row r="184" spans="1:18" ht="12" customHeight="1">
      <c r="A184" s="585" t="s">
        <v>610</v>
      </c>
      <c r="B184" s="653">
        <f>(B$68/B$40)^(1/28)-1</f>
        <v>2.2263702555587184E-2</v>
      </c>
      <c r="C184" s="361"/>
      <c r="D184" s="1212">
        <f>SUMPRODUCT($B$40:$B$67,D$40:D$67)/SUM($B$40:$B$67)</f>
        <v>-3.2301782656424644E-3</v>
      </c>
      <c r="E184" s="108"/>
      <c r="F184" s="1212">
        <f>SUMPRODUCT($B$40:$B$67,F$40:F$67)/SUM($B$40:$B$67)</f>
        <v>1.1324805218078063E-2</v>
      </c>
      <c r="G184" s="1212"/>
      <c r="H184" s="361"/>
      <c r="I184" s="361"/>
      <c r="J184" s="361"/>
      <c r="K184" s="308"/>
      <c r="L184" s="365"/>
      <c r="M184" s="365"/>
      <c r="N184" s="361"/>
      <c r="O184" s="361"/>
      <c r="P184" s="361"/>
      <c r="Q184" s="695"/>
      <c r="R184" s="928"/>
    </row>
    <row r="185" spans="1:18" ht="12" customHeight="1">
      <c r="A185" s="120"/>
      <c r="B185" s="666"/>
      <c r="C185" s="116"/>
      <c r="D185" s="599"/>
      <c r="E185" s="108"/>
      <c r="F185" s="599"/>
      <c r="G185" s="599"/>
      <c r="H185" s="590"/>
      <c r="I185" s="590"/>
      <c r="J185" s="83"/>
      <c r="K185" s="591"/>
      <c r="L185" s="116"/>
      <c r="M185" s="116"/>
      <c r="N185" s="590"/>
      <c r="O185" s="590"/>
      <c r="P185" s="590"/>
      <c r="Q185" s="37"/>
      <c r="R185" s="694"/>
    </row>
    <row r="186" spans="1:18" ht="12" customHeight="1">
      <c r="A186" s="120"/>
      <c r="B186" s="116"/>
      <c r="C186" s="116"/>
      <c r="D186" s="599"/>
      <c r="E186" s="108"/>
      <c r="F186" s="599"/>
      <c r="G186" s="599"/>
      <c r="H186" s="590"/>
      <c r="I186" s="590"/>
      <c r="J186" s="83"/>
      <c r="K186" s="591"/>
      <c r="L186" s="116"/>
      <c r="M186" s="116"/>
      <c r="N186" s="590"/>
      <c r="O186" s="590"/>
      <c r="P186" s="590"/>
      <c r="Q186" s="695"/>
      <c r="R186" s="694"/>
    </row>
    <row r="187" spans="1:18" ht="12" customHeight="1">
      <c r="A187" s="585" t="s">
        <v>611</v>
      </c>
      <c r="B187" s="653">
        <f>(B$40/B$10)^(1/30)-1</f>
        <v>2.4689152565412265E-2</v>
      </c>
      <c r="C187" s="361"/>
      <c r="D187" s="1212">
        <f>SUMPRODUCT($B$10:$B$39,D$10:D$39)/SUM($B$10:$B$39)</f>
        <v>-1.8283703620001657E-3</v>
      </c>
      <c r="E187" s="108"/>
      <c r="F187" s="1212">
        <f>SUMPRODUCT($B$10:$B$39,F$10:F$39)/SUM($B$10:$B$39)</f>
        <v>6.1180547136416861E-3</v>
      </c>
      <c r="G187" s="1212"/>
      <c r="H187" s="361"/>
      <c r="I187" s="361"/>
      <c r="J187" s="361"/>
      <c r="K187" s="308"/>
      <c r="L187" s="365"/>
      <c r="M187" s="365"/>
      <c r="N187" s="361"/>
      <c r="O187" s="361"/>
      <c r="P187" s="361"/>
      <c r="Q187" s="695"/>
      <c r="R187" s="694"/>
    </row>
    <row r="188" spans="1:18" ht="12" customHeight="1" thickBot="1">
      <c r="A188" s="397"/>
      <c r="B188" s="667"/>
      <c r="C188" s="1205"/>
      <c r="D188" s="1205"/>
      <c r="E188" s="1626"/>
      <c r="F188" s="1205"/>
      <c r="G188" s="1205"/>
      <c r="H188" s="670"/>
      <c r="I188" s="670"/>
      <c r="J188" s="1216"/>
      <c r="K188" s="1215"/>
      <c r="L188" s="1205"/>
      <c r="M188" s="1205"/>
      <c r="N188" s="670"/>
      <c r="O188" s="670"/>
      <c r="P188" s="590"/>
      <c r="Q188" s="695"/>
      <c r="R188" s="694"/>
    </row>
    <row r="189" spans="1:18" ht="12" customHeight="1" thickTop="1" thickBot="1">
      <c r="A189" s="83"/>
      <c r="B189" s="116"/>
      <c r="C189" s="116"/>
      <c r="D189" s="116"/>
      <c r="E189" s="666"/>
      <c r="F189" s="116"/>
      <c r="G189" s="116"/>
      <c r="H189" s="116"/>
      <c r="I189" s="116"/>
      <c r="J189" s="116"/>
      <c r="K189" s="116"/>
      <c r="L189" s="116"/>
      <c r="M189" s="116"/>
      <c r="N189" s="116"/>
      <c r="O189" s="116"/>
      <c r="P189" s="1629"/>
      <c r="Q189" s="1630"/>
    </row>
    <row r="190" spans="1:18" ht="12" customHeight="1" thickTop="1">
      <c r="A190" s="401"/>
      <c r="B190" s="402"/>
      <c r="C190" s="403"/>
      <c r="D190" s="403"/>
      <c r="E190" s="402"/>
      <c r="F190" s="403"/>
      <c r="G190" s="403"/>
      <c r="H190" s="404"/>
      <c r="I190" s="405"/>
      <c r="J190" s="406"/>
      <c r="K190" s="403"/>
      <c r="L190" s="406"/>
      <c r="M190" s="406"/>
      <c r="N190" s="403"/>
      <c r="O190" s="403"/>
      <c r="P190" s="1571"/>
      <c r="Q190" s="1628"/>
    </row>
    <row r="191" spans="1:18" ht="12" customHeight="1">
      <c r="A191" s="407"/>
      <c r="B191" s="410" t="s">
        <v>362</v>
      </c>
      <c r="C191" s="410"/>
      <c r="D191" s="410" t="s">
        <v>364</v>
      </c>
      <c r="E191" s="108"/>
      <c r="F191" s="410" t="s">
        <v>1248</v>
      </c>
      <c r="G191" s="410"/>
      <c r="H191" s="411"/>
      <c r="I191" s="411"/>
      <c r="J191" s="410"/>
      <c r="K191" s="410"/>
      <c r="L191" s="410"/>
      <c r="M191" s="410"/>
      <c r="N191" s="411"/>
      <c r="O191" s="411"/>
      <c r="P191" s="1631"/>
      <c r="Q191" s="1632"/>
    </row>
    <row r="192" spans="1:18" ht="12" customHeight="1">
      <c r="A192" s="412" t="s">
        <v>442</v>
      </c>
      <c r="B192" s="1235">
        <f>(B$65/B$10)^(1/55)-1</f>
        <v>2.2924052711889908E-2</v>
      </c>
      <c r="C192" s="1235"/>
      <c r="D192" s="1237">
        <f>SUMPRODUCT($B$10:$B$64,D$10:D$64)/SUM($B$10:$B$64)</f>
        <v>-3.0383129792400793E-3</v>
      </c>
      <c r="E192" s="1625"/>
      <c r="F192" s="1237">
        <f>SUMPRODUCT($B$10:$B$64,F$10:F$64)/SUM($B$10:$B$64)</f>
        <v>9.760366109325588E-3</v>
      </c>
      <c r="G192" s="1237"/>
      <c r="H192" s="1237"/>
      <c r="I192" s="1237"/>
      <c r="J192" s="1235"/>
      <c r="K192" s="1236"/>
      <c r="L192" s="1237"/>
      <c r="M192" s="1237"/>
      <c r="N192" s="1237"/>
      <c r="O192" s="1237"/>
      <c r="P192" s="416"/>
      <c r="Q192" s="1628"/>
    </row>
    <row r="193" spans="1:17" ht="12" customHeight="1">
      <c r="A193" s="407"/>
      <c r="B193" s="418"/>
      <c r="C193" s="418"/>
      <c r="D193" s="420"/>
      <c r="E193" s="108"/>
      <c r="F193" s="420"/>
      <c r="G193" s="420"/>
      <c r="H193" s="590"/>
      <c r="I193" s="590"/>
      <c r="J193" s="417"/>
      <c r="K193" s="422"/>
      <c r="L193" s="417"/>
      <c r="M193" s="417"/>
      <c r="N193" s="421"/>
      <c r="O193" s="421"/>
      <c r="P193" s="421"/>
      <c r="Q193" s="1628"/>
    </row>
    <row r="194" spans="1:17" ht="12" customHeight="1">
      <c r="A194" s="407"/>
      <c r="B194" s="410"/>
      <c r="C194" s="410"/>
      <c r="D194" s="410"/>
      <c r="E194" s="108"/>
      <c r="F194" s="410"/>
      <c r="G194" s="410"/>
      <c r="H194" s="411"/>
      <c r="I194" s="411"/>
      <c r="J194" s="410"/>
      <c r="K194" s="410"/>
      <c r="L194" s="410"/>
      <c r="M194" s="410"/>
      <c r="N194" s="411"/>
      <c r="O194" s="411"/>
      <c r="P194" s="411"/>
      <c r="Q194" s="1628"/>
    </row>
    <row r="195" spans="1:17" ht="12" customHeight="1">
      <c r="A195" s="412" t="s">
        <v>1041</v>
      </c>
      <c r="B195" s="414">
        <f>(B165/B25)^(1/140)-1</f>
        <v>1.941209533472299E-2</v>
      </c>
      <c r="C195" s="414"/>
      <c r="D195" s="416">
        <f>SUMPRODUCT($B$25:$B$164,D$25:D$164)/SUM($B$25:$B$164)</f>
        <v>-2.3993675055611813E-2</v>
      </c>
      <c r="E195" s="108"/>
      <c r="F195" s="416">
        <f>SUMPRODUCT($B$25:$B$164,F$25:F$164)/SUM($B$25:$B$164)</f>
        <v>1.5020700920222224E-2</v>
      </c>
      <c r="G195" s="416"/>
      <c r="H195" s="416"/>
      <c r="I195" s="416"/>
      <c r="J195" s="414"/>
      <c r="K195" s="415"/>
      <c r="L195" s="416"/>
      <c r="M195" s="416"/>
      <c r="N195" s="416"/>
      <c r="O195" s="416"/>
      <c r="P195" s="416"/>
      <c r="Q195" s="1628"/>
    </row>
    <row r="196" spans="1:17" ht="12" customHeight="1">
      <c r="A196" s="407"/>
      <c r="B196" s="418"/>
      <c r="C196" s="418"/>
      <c r="D196" s="420"/>
      <c r="E196" s="108"/>
      <c r="F196" s="420"/>
      <c r="G196" s="420"/>
      <c r="H196" s="683"/>
      <c r="I196" s="683"/>
      <c r="J196" s="417"/>
      <c r="K196" s="422"/>
      <c r="L196" s="417"/>
      <c r="M196" s="417"/>
      <c r="N196" s="421"/>
      <c r="O196" s="421"/>
      <c r="P196" s="421"/>
      <c r="Q196" s="1628"/>
    </row>
    <row r="197" spans="1:17" ht="12" customHeight="1">
      <c r="A197" s="407"/>
      <c r="B197" s="410"/>
      <c r="C197" s="410"/>
      <c r="D197" s="410"/>
      <c r="E197" s="108"/>
      <c r="F197" s="410"/>
      <c r="G197" s="410"/>
      <c r="H197" s="411"/>
      <c r="I197" s="411"/>
      <c r="J197" s="410"/>
      <c r="K197" s="410"/>
      <c r="L197" s="410"/>
      <c r="M197" s="410"/>
      <c r="N197" s="411"/>
      <c r="O197" s="411"/>
      <c r="P197" s="411"/>
      <c r="Q197" s="1628"/>
    </row>
    <row r="198" spans="1:17" ht="12" customHeight="1">
      <c r="A198" s="412" t="s">
        <v>1042</v>
      </c>
      <c r="B198" s="414">
        <f>(B65/B25)^(1/40)-1</f>
        <v>1.8850749066462447E-2</v>
      </c>
      <c r="C198" s="414"/>
      <c r="D198" s="416">
        <f>SUMPRODUCT($B$25:$B$64,D$25:D$64)/SUM($B$25:$B$64)</f>
        <v>-2.8308568049929951E-3</v>
      </c>
      <c r="E198" s="108"/>
      <c r="F198" s="416">
        <f>SUMPRODUCT($B$25:$B$64,F$25:F$64)/SUM($B$25:$B$64)</f>
        <v>1.1065230595892307E-2</v>
      </c>
      <c r="G198" s="416"/>
      <c r="H198" s="416"/>
      <c r="I198" s="416"/>
      <c r="J198" s="414"/>
      <c r="K198" s="415"/>
      <c r="L198" s="416"/>
      <c r="M198" s="416"/>
      <c r="N198" s="416"/>
      <c r="O198" s="416"/>
      <c r="P198" s="416"/>
      <c r="Q198" s="1628"/>
    </row>
    <row r="199" spans="1:17" ht="12" customHeight="1">
      <c r="A199" s="407"/>
      <c r="B199" s="418"/>
      <c r="C199" s="418"/>
      <c r="D199" s="420"/>
      <c r="E199" s="108"/>
      <c r="F199" s="420"/>
      <c r="G199" s="420"/>
      <c r="H199" s="683"/>
      <c r="I199" s="683"/>
      <c r="J199" s="417"/>
      <c r="K199" s="422"/>
      <c r="L199" s="417"/>
      <c r="M199" s="417"/>
      <c r="N199" s="421"/>
      <c r="O199" s="421"/>
      <c r="P199" s="421"/>
      <c r="Q199" s="1628"/>
    </row>
    <row r="200" spans="1:17" ht="12" customHeight="1">
      <c r="A200" s="407"/>
      <c r="B200" s="410"/>
      <c r="C200" s="410"/>
      <c r="D200" s="410"/>
      <c r="E200" s="108"/>
      <c r="F200" s="410"/>
      <c r="G200" s="410"/>
      <c r="H200" s="411"/>
      <c r="I200" s="411"/>
      <c r="J200" s="410"/>
      <c r="K200" s="410"/>
      <c r="L200" s="410"/>
      <c r="M200" s="410"/>
      <c r="N200" s="411"/>
      <c r="O200" s="411"/>
      <c r="P200" s="411"/>
      <c r="Q200" s="1628"/>
    </row>
    <row r="201" spans="1:17" ht="12" customHeight="1">
      <c r="A201" s="412" t="s">
        <v>666</v>
      </c>
      <c r="B201" s="414">
        <f>(B165/B65)^(1/100)-1</f>
        <v>1.9636720430742161E-2</v>
      </c>
      <c r="C201" s="414"/>
      <c r="D201" s="416">
        <f>SUMPRODUCT($B$65:$B$164,D$65:D$164)/SUM($B$65:$B$164)</f>
        <v>-2.6163475911547329E-2</v>
      </c>
      <c r="E201" s="108"/>
      <c r="F201" s="416">
        <f>SUMPRODUCT($B$65:$B$164,F$65:F$164)/SUM($B$65:$B$164)</f>
        <v>1.5426251012545474E-2</v>
      </c>
      <c r="G201" s="416"/>
      <c r="H201" s="416"/>
      <c r="I201" s="416"/>
      <c r="J201" s="414"/>
      <c r="K201" s="415"/>
      <c r="L201" s="416"/>
      <c r="M201" s="416"/>
      <c r="N201" s="416"/>
      <c r="O201" s="416"/>
      <c r="P201" s="416"/>
      <c r="Q201" s="1628"/>
    </row>
    <row r="202" spans="1:17" ht="12" customHeight="1">
      <c r="A202" s="407"/>
      <c r="B202" s="418"/>
      <c r="C202" s="418"/>
      <c r="D202" s="420"/>
      <c r="E202" s="108"/>
      <c r="F202" s="420"/>
      <c r="G202" s="420"/>
      <c r="H202" s="683"/>
      <c r="I202" s="683"/>
      <c r="J202" s="417"/>
      <c r="K202" s="422"/>
      <c r="L202" s="417"/>
      <c r="M202" s="417"/>
      <c r="N202" s="421"/>
      <c r="O202" s="421"/>
      <c r="P202" s="421"/>
      <c r="Q202" s="1628"/>
    </row>
    <row r="203" spans="1:17" ht="12" customHeight="1">
      <c r="A203" s="407"/>
      <c r="B203" s="410"/>
      <c r="C203" s="410"/>
      <c r="D203" s="410"/>
      <c r="E203" s="108"/>
      <c r="F203" s="410"/>
      <c r="G203" s="410"/>
      <c r="H203" s="411"/>
      <c r="I203" s="411"/>
      <c r="J203" s="410"/>
      <c r="K203" s="410"/>
      <c r="L203" s="410"/>
      <c r="M203" s="410"/>
      <c r="N203" s="411"/>
      <c r="O203" s="411"/>
      <c r="P203" s="411"/>
      <c r="Q203" s="1628"/>
    </row>
    <row r="204" spans="1:17" ht="12" customHeight="1">
      <c r="A204" s="412" t="s">
        <v>667</v>
      </c>
      <c r="B204" s="414">
        <f>(B$105/B$65)^(1/40)-1</f>
        <v>1.4219755454262906E-2</v>
      </c>
      <c r="C204" s="414"/>
      <c r="D204" s="416">
        <f>SUMPRODUCT($B$65:$B$104,D$65:D$104)/SUM($B$65:$B$104)</f>
        <v>-0.10426327245033853</v>
      </c>
      <c r="E204" s="108"/>
      <c r="F204" s="416">
        <f>SUMPRODUCT($B$65:$B$104,F$65:F$104)/SUM($B$65:$B$104)</f>
        <v>1.4050125189973183E-2</v>
      </c>
      <c r="G204" s="416"/>
      <c r="H204" s="416"/>
      <c r="I204" s="416"/>
      <c r="J204" s="414"/>
      <c r="K204" s="415"/>
      <c r="L204" s="416"/>
      <c r="M204" s="416"/>
      <c r="N204" s="416"/>
      <c r="O204" s="416"/>
      <c r="P204" s="416"/>
      <c r="Q204" s="1628"/>
    </row>
    <row r="205" spans="1:17" ht="12" customHeight="1">
      <c r="A205" s="407"/>
      <c r="B205" s="418"/>
      <c r="C205" s="418"/>
      <c r="D205" s="420"/>
      <c r="E205" s="108"/>
      <c r="F205" s="420"/>
      <c r="G205" s="420"/>
      <c r="H205" s="590"/>
      <c r="I205" s="590"/>
      <c r="J205" s="417"/>
      <c r="K205" s="422"/>
      <c r="L205" s="417"/>
      <c r="M205" s="417"/>
      <c r="N205" s="421"/>
      <c r="O205" s="421"/>
      <c r="P205" s="421"/>
      <c r="Q205" s="1628"/>
    </row>
    <row r="206" spans="1:17" ht="12" customHeight="1">
      <c r="A206" s="407"/>
      <c r="B206" s="410"/>
      <c r="C206" s="410"/>
      <c r="D206" s="410"/>
      <c r="E206" s="108"/>
      <c r="F206" s="410"/>
      <c r="G206" s="410"/>
      <c r="H206" s="411"/>
      <c r="I206" s="411"/>
      <c r="J206" s="410"/>
      <c r="K206" s="410"/>
      <c r="L206" s="410"/>
      <c r="M206" s="410"/>
      <c r="N206" s="411"/>
      <c r="O206" s="411"/>
      <c r="P206" s="411"/>
      <c r="Q206" s="1628"/>
    </row>
    <row r="207" spans="1:17" ht="12" customHeight="1">
      <c r="A207" s="412" t="s">
        <v>621</v>
      </c>
      <c r="B207" s="414">
        <f>(B$105/B$75)^(1/30)-1</f>
        <v>2.0930502679103791E-2</v>
      </c>
      <c r="C207" s="414"/>
      <c r="D207" s="416">
        <f>SUMPRODUCT($B$75:$B$104,D$75:D$104)/SUM($B$75:$B$104)</f>
        <v>-7.8518550205761942E-2</v>
      </c>
      <c r="E207" s="108"/>
      <c r="F207" s="416">
        <f>SUMPRODUCT($B$75:$B$104,F$75:F$104)/SUM($B$75:$B$104)</f>
        <v>1.7942009520622075E-2</v>
      </c>
      <c r="G207" s="416"/>
      <c r="H207" s="416"/>
      <c r="I207" s="416"/>
      <c r="J207" s="410"/>
      <c r="K207" s="410"/>
      <c r="L207" s="410"/>
      <c r="M207" s="410"/>
      <c r="N207" s="411"/>
      <c r="O207" s="411"/>
      <c r="P207" s="411"/>
      <c r="Q207" s="1628"/>
    </row>
    <row r="208" spans="1:17" ht="12" customHeight="1">
      <c r="A208" s="407"/>
      <c r="B208" s="418"/>
      <c r="C208" s="418"/>
      <c r="D208" s="420"/>
      <c r="E208" s="108"/>
      <c r="F208" s="420"/>
      <c r="G208" s="420"/>
      <c r="H208" s="590"/>
      <c r="I208" s="590"/>
      <c r="J208" s="410"/>
      <c r="K208" s="410"/>
      <c r="L208" s="410"/>
      <c r="M208" s="410"/>
      <c r="N208" s="411"/>
      <c r="O208" s="411"/>
      <c r="P208" s="411"/>
      <c r="Q208" s="1628"/>
    </row>
    <row r="209" spans="1:17" ht="12" customHeight="1">
      <c r="A209" s="407"/>
      <c r="B209" s="410"/>
      <c r="C209" s="410"/>
      <c r="D209" s="410"/>
      <c r="E209" s="108"/>
      <c r="F209" s="410"/>
      <c r="G209" s="410"/>
      <c r="H209" s="411"/>
      <c r="I209" s="411"/>
      <c r="J209" s="410"/>
      <c r="K209" s="410"/>
      <c r="L209" s="410"/>
      <c r="M209" s="410"/>
      <c r="N209" s="411"/>
      <c r="O209" s="411"/>
      <c r="P209" s="411"/>
      <c r="Q209" s="1628"/>
    </row>
    <row r="210" spans="1:17" ht="12" customHeight="1">
      <c r="A210" s="412" t="s">
        <v>374</v>
      </c>
      <c r="B210" s="414">
        <f>(B$165/B$105)^(1/60)-1</f>
        <v>2.3264094283384606E-2</v>
      </c>
      <c r="C210" s="414"/>
      <c r="D210" s="416">
        <f>SUMPRODUCT($B$105:$B$164,D$105:D$164)/SUM($B$105:$B$164)</f>
        <v>-8.8171462224844767E-3</v>
      </c>
      <c r="E210" s="108"/>
      <c r="F210" s="416">
        <f>SUMPRODUCT($B$105:$B$164,F$105:F$164)/SUM($B$105:$B$164)</f>
        <v>1.573189498692017E-2</v>
      </c>
      <c r="G210" s="416"/>
      <c r="H210" s="416"/>
      <c r="I210" s="416"/>
      <c r="J210" s="414"/>
      <c r="K210" s="415"/>
      <c r="L210" s="416"/>
      <c r="M210" s="416"/>
      <c r="N210" s="416"/>
      <c r="O210" s="416"/>
      <c r="P210" s="416"/>
      <c r="Q210" s="1628"/>
    </row>
    <row r="211" spans="1:17" ht="12" customHeight="1">
      <c r="A211" s="407"/>
      <c r="B211" s="418"/>
      <c r="C211" s="418"/>
      <c r="D211" s="420"/>
      <c r="E211" s="108"/>
      <c r="F211" s="420"/>
      <c r="G211" s="420"/>
      <c r="H211" s="590"/>
      <c r="I211" s="590"/>
      <c r="J211" s="1219"/>
      <c r="K211" s="589"/>
      <c r="L211" s="589"/>
      <c r="M211" s="589"/>
      <c r="N211" s="590"/>
      <c r="O211" s="590"/>
      <c r="P211" s="590"/>
      <c r="Q211" s="1628"/>
    </row>
    <row r="212" spans="1:17" ht="12" customHeight="1">
      <c r="A212" s="412"/>
      <c r="B212" s="416"/>
      <c r="C212" s="416"/>
      <c r="D212" s="416"/>
      <c r="E212" s="108"/>
      <c r="F212" s="416"/>
      <c r="G212" s="416"/>
      <c r="H212" s="416"/>
      <c r="I212" s="416"/>
      <c r="J212" s="416"/>
      <c r="K212" s="415"/>
      <c r="L212" s="416"/>
      <c r="M212" s="416"/>
      <c r="N212" s="416"/>
      <c r="O212" s="416"/>
      <c r="P212" s="416"/>
      <c r="Q212" s="1628"/>
    </row>
    <row r="213" spans="1:17" ht="12" customHeight="1">
      <c r="A213" s="412" t="s">
        <v>288</v>
      </c>
      <c r="B213" s="414">
        <f>(B$135/B$105)^(1/30)-1</f>
        <v>2.1057290398024175E-2</v>
      </c>
      <c r="C213" s="414"/>
      <c r="D213" s="416">
        <f>SUMPRODUCT($B$105:$B$134,D$105:D$134)/SUM($B$105:$B$134)</f>
        <v>2.6492099970071285E-2</v>
      </c>
      <c r="E213" s="108"/>
      <c r="F213" s="416">
        <f>SUMPRODUCT($B$105:$B$134,F$105:F$134)/SUM($B$105:$B$134)</f>
        <v>3.0853240044397896E-2</v>
      </c>
      <c r="G213" s="416"/>
      <c r="H213" s="416"/>
      <c r="I213" s="416"/>
      <c r="J213" s="414"/>
      <c r="K213" s="415"/>
      <c r="L213" s="416"/>
      <c r="M213" s="416"/>
      <c r="N213" s="416"/>
      <c r="O213" s="416"/>
      <c r="P213" s="416"/>
      <c r="Q213" s="1628"/>
    </row>
    <row r="214" spans="1:17" ht="12" customHeight="1">
      <c r="A214" s="407"/>
      <c r="B214" s="418"/>
      <c r="C214" s="418"/>
      <c r="D214" s="420"/>
      <c r="E214" s="108"/>
      <c r="F214" s="420"/>
      <c r="G214" s="420"/>
      <c r="H214" s="590"/>
      <c r="I214" s="590"/>
      <c r="J214" s="1219"/>
      <c r="K214" s="589"/>
      <c r="L214" s="589"/>
      <c r="M214" s="589"/>
      <c r="N214" s="590"/>
      <c r="O214" s="590"/>
      <c r="P214" s="590"/>
      <c r="Q214" s="1628"/>
    </row>
    <row r="215" spans="1:17" ht="12" customHeight="1">
      <c r="A215" s="407"/>
      <c r="B215" s="418"/>
      <c r="C215" s="418"/>
      <c r="D215" s="420"/>
      <c r="E215" s="108"/>
      <c r="F215" s="420"/>
      <c r="G215" s="420"/>
      <c r="H215" s="423"/>
      <c r="I215" s="418"/>
      <c r="J215" s="418"/>
      <c r="K215" s="424"/>
      <c r="L215" s="425"/>
      <c r="M215" s="425"/>
      <c r="N215" s="418"/>
      <c r="O215" s="423"/>
      <c r="P215" s="418"/>
      <c r="Q215" s="1628"/>
    </row>
    <row r="216" spans="1:17" ht="12" customHeight="1">
      <c r="A216" s="412" t="s">
        <v>289</v>
      </c>
      <c r="B216" s="414">
        <f>(B$165/B$135)^(1/30)-1</f>
        <v>2.5475667718342532E-2</v>
      </c>
      <c r="C216" s="414"/>
      <c r="D216" s="416">
        <f>SUMPRODUCT($B$135:$B$164,D$135:D$164)/SUM($B$135:$B$164)</f>
        <v>-2.6509510892708005E-2</v>
      </c>
      <c r="E216" s="108"/>
      <c r="F216" s="416">
        <f>SUMPRODUCT($B$135:$B$164,F$135:F$164)/SUM($B$135:$B$164)</f>
        <v>8.1550594577158783E-3</v>
      </c>
      <c r="G216" s="416"/>
      <c r="H216" s="416"/>
      <c r="I216" s="416"/>
      <c r="J216" s="414"/>
      <c r="K216" s="415"/>
      <c r="L216" s="416"/>
      <c r="M216" s="416"/>
      <c r="N216" s="416"/>
      <c r="O216" s="416"/>
      <c r="P216" s="416"/>
      <c r="Q216" s="1628"/>
    </row>
    <row r="217" spans="1:17" ht="12" customHeight="1">
      <c r="A217" s="407"/>
      <c r="B217" s="418"/>
      <c r="C217" s="418"/>
      <c r="D217" s="420"/>
      <c r="E217" s="108"/>
      <c r="F217" s="420"/>
      <c r="G217" s="420"/>
      <c r="H217" s="590"/>
      <c r="I217" s="590"/>
      <c r="J217" s="1219"/>
      <c r="K217" s="589"/>
      <c r="L217" s="589"/>
      <c r="M217" s="589"/>
      <c r="N217" s="590"/>
      <c r="O217" s="590"/>
      <c r="P217" s="590"/>
      <c r="Q217" s="1628"/>
    </row>
    <row r="218" spans="1:17" ht="12" customHeight="1">
      <c r="A218" s="407"/>
      <c r="B218" s="418"/>
      <c r="C218" s="418"/>
      <c r="D218" s="420"/>
      <c r="E218" s="108"/>
      <c r="F218" s="420"/>
      <c r="G218" s="420"/>
      <c r="H218" s="423"/>
      <c r="I218" s="418"/>
      <c r="J218" s="418"/>
      <c r="K218" s="424"/>
      <c r="L218" s="425"/>
      <c r="M218" s="425"/>
      <c r="N218" s="418"/>
      <c r="O218" s="423"/>
      <c r="P218" s="418"/>
      <c r="Q218" s="1628"/>
    </row>
    <row r="219" spans="1:17" ht="12" customHeight="1">
      <c r="A219" s="412" t="s">
        <v>375</v>
      </c>
      <c r="B219" s="414">
        <f>(B$125/B$105)^(1/20)-1</f>
        <v>2.5856995627983048E-2</v>
      </c>
      <c r="C219" s="414"/>
      <c r="D219" s="416">
        <f>SUMPRODUCT($B$105:$B$124,D$105:D$124)/SUM($B$105:$B$124)</f>
        <v>3.8060915124205175E-2</v>
      </c>
      <c r="E219" s="108"/>
      <c r="F219" s="416">
        <f>SUMPRODUCT($B$105:$B$124,F$105:F$124)/SUM($B$105:$B$124)</f>
        <v>2.8970687551628856E-2</v>
      </c>
      <c r="G219" s="416"/>
      <c r="H219" s="416"/>
      <c r="I219" s="416"/>
      <c r="J219" s="414"/>
      <c r="K219" s="415"/>
      <c r="L219" s="416"/>
      <c r="M219" s="416"/>
      <c r="N219" s="416"/>
      <c r="O219" s="416"/>
      <c r="P219" s="416"/>
      <c r="Q219" s="1628"/>
    </row>
    <row r="220" spans="1:17" ht="12" customHeight="1">
      <c r="A220" s="407"/>
      <c r="B220" s="418"/>
      <c r="C220" s="418"/>
      <c r="D220" s="420"/>
      <c r="E220" s="108"/>
      <c r="F220" s="420"/>
      <c r="G220" s="420"/>
      <c r="H220" s="590"/>
      <c r="I220" s="590"/>
      <c r="J220" s="1219"/>
      <c r="K220" s="589"/>
      <c r="L220" s="589"/>
      <c r="M220" s="589"/>
      <c r="N220" s="590"/>
      <c r="O220" s="590"/>
      <c r="P220" s="590"/>
      <c r="Q220" s="1628"/>
    </row>
    <row r="221" spans="1:17" ht="12" customHeight="1">
      <c r="A221" s="407"/>
      <c r="B221" s="418"/>
      <c r="C221" s="418"/>
      <c r="D221" s="420"/>
      <c r="E221" s="108"/>
      <c r="F221" s="420"/>
      <c r="G221" s="420"/>
      <c r="H221" s="423"/>
      <c r="I221" s="418"/>
      <c r="J221" s="418"/>
      <c r="K221" s="424"/>
      <c r="L221" s="425"/>
      <c r="M221" s="425"/>
      <c r="N221" s="418"/>
      <c r="O221" s="423"/>
      <c r="P221" s="418"/>
      <c r="Q221" s="1628"/>
    </row>
    <row r="222" spans="1:17" ht="12" customHeight="1">
      <c r="A222" s="412" t="s">
        <v>348</v>
      </c>
      <c r="B222" s="414">
        <f>(B$165/B$125)^(1/40)-1</f>
        <v>2.1970102276964276E-2</v>
      </c>
      <c r="C222" s="414"/>
      <c r="D222" s="416">
        <f>SUMPRODUCT($B$125:$B$164,D$125:D$164)/SUM($B$125:$B$164)</f>
        <v>-2.0206051425227349E-2</v>
      </c>
      <c r="E222" s="108"/>
      <c r="F222" s="416">
        <f>SUMPRODUCT($B$125:$B$164,F$125:F$164)/SUM($B$125:$B$164)</f>
        <v>1.2515564166343449E-2</v>
      </c>
      <c r="G222" s="416"/>
      <c r="H222" s="416"/>
      <c r="I222" s="416"/>
      <c r="J222" s="414"/>
      <c r="K222" s="415"/>
      <c r="L222" s="416"/>
      <c r="M222" s="416"/>
      <c r="N222" s="416"/>
      <c r="O222" s="416"/>
      <c r="P222" s="416"/>
      <c r="Q222" s="1628"/>
    </row>
    <row r="223" spans="1:17" ht="12" customHeight="1">
      <c r="A223" s="407"/>
      <c r="B223" s="418"/>
      <c r="C223" s="418"/>
      <c r="D223" s="420"/>
      <c r="E223" s="108"/>
      <c r="F223" s="420"/>
      <c r="G223" s="420"/>
      <c r="H223" s="590"/>
      <c r="I223" s="590"/>
      <c r="J223" s="1219"/>
      <c r="K223" s="589"/>
      <c r="L223" s="589"/>
      <c r="M223" s="589"/>
      <c r="N223" s="590"/>
      <c r="O223" s="590"/>
      <c r="P223" s="590"/>
      <c r="Q223" s="1628"/>
    </row>
    <row r="224" spans="1:17" ht="12" customHeight="1">
      <c r="A224" s="407"/>
      <c r="B224" s="418"/>
      <c r="C224" s="418"/>
      <c r="D224" s="420"/>
      <c r="E224" s="108"/>
      <c r="F224" s="420"/>
      <c r="G224" s="420"/>
      <c r="H224" s="423"/>
      <c r="I224" s="418"/>
      <c r="J224" s="418"/>
      <c r="K224" s="424"/>
      <c r="L224" s="425"/>
      <c r="M224" s="425"/>
      <c r="N224" s="418"/>
      <c r="O224" s="423"/>
      <c r="P224" s="418"/>
      <c r="Q224" s="1628"/>
    </row>
    <row r="225" spans="1:17" ht="12" customHeight="1">
      <c r="A225" s="412" t="s">
        <v>376</v>
      </c>
      <c r="B225" s="414">
        <f>(B$145/B$125)^(1/20)-1</f>
        <v>1.9752681521352011E-2</v>
      </c>
      <c r="C225" s="414"/>
      <c r="D225" s="416">
        <f>SUMPRODUCT($B$125:$B$144,D$125:D$144)/SUM($B$125:$B$144)</f>
        <v>-1.8741366575596716E-3</v>
      </c>
      <c r="E225" s="108"/>
      <c r="F225" s="416">
        <f>SUMPRODUCT($B$125:$B$144,F$125:F$144)/SUM($B$125:$B$144)</f>
        <v>2.0669751715284072E-2</v>
      </c>
      <c r="G225" s="416"/>
      <c r="H225" s="416"/>
      <c r="I225" s="416"/>
      <c r="J225" s="414"/>
      <c r="K225" s="415"/>
      <c r="L225" s="416"/>
      <c r="M225" s="416"/>
      <c r="N225" s="416"/>
      <c r="O225" s="416"/>
      <c r="P225" s="416"/>
      <c r="Q225" s="1628"/>
    </row>
    <row r="226" spans="1:17" ht="12" customHeight="1">
      <c r="A226" s="407"/>
      <c r="B226" s="418"/>
      <c r="C226" s="418"/>
      <c r="D226" s="420"/>
      <c r="E226" s="108"/>
      <c r="F226" s="420"/>
      <c r="G226" s="420"/>
      <c r="H226" s="590"/>
      <c r="I226" s="590"/>
      <c r="J226" s="1219"/>
      <c r="K226" s="589"/>
      <c r="L226" s="589"/>
      <c r="M226" s="589"/>
      <c r="N226" s="590"/>
      <c r="O226" s="590"/>
      <c r="P226" s="590"/>
      <c r="Q226" s="1628"/>
    </row>
    <row r="227" spans="1:17" ht="12" customHeight="1">
      <c r="A227" s="407"/>
      <c r="B227" s="418"/>
      <c r="C227" s="418"/>
      <c r="D227" s="420"/>
      <c r="E227" s="108"/>
      <c r="F227" s="420"/>
      <c r="G227" s="420"/>
      <c r="H227" s="421"/>
      <c r="I227" s="421"/>
      <c r="J227" s="417"/>
      <c r="K227" s="422"/>
      <c r="L227" s="417"/>
      <c r="M227" s="417"/>
      <c r="N227" s="421"/>
      <c r="O227" s="421"/>
      <c r="P227" s="421"/>
      <c r="Q227" s="1628"/>
    </row>
    <row r="228" spans="1:17" ht="12" customHeight="1">
      <c r="A228" s="412" t="s">
        <v>377</v>
      </c>
      <c r="B228" s="414">
        <f>(B$165/B$145)^(1/20)-1</f>
        <v>2.4192344745621597E-2</v>
      </c>
      <c r="C228" s="414"/>
      <c r="D228" s="416">
        <f>SUMPRODUCT($B$145:$B$164,D$145:D$164)/SUM($B$145:$B$164)</f>
        <v>-3.1173939595516367E-2</v>
      </c>
      <c r="E228" s="108"/>
      <c r="F228" s="416">
        <f>SUMPRODUCT($B$145:$B$164,F$145:F$164)/SUM($B$145:$B$164)</f>
        <v>7.636956650991014E-3</v>
      </c>
      <c r="G228" s="416"/>
      <c r="H228" s="416"/>
      <c r="I228" s="416"/>
      <c r="J228" s="414"/>
      <c r="K228" s="415"/>
      <c r="L228" s="416"/>
      <c r="M228" s="416"/>
      <c r="N228" s="416"/>
      <c r="O228" s="416"/>
      <c r="P228" s="416"/>
      <c r="Q228" s="1628"/>
    </row>
    <row r="229" spans="1:17" ht="12" customHeight="1">
      <c r="A229" s="407"/>
      <c r="B229" s="418"/>
      <c r="C229" s="418"/>
      <c r="D229" s="420"/>
      <c r="E229" s="108"/>
      <c r="F229" s="420"/>
      <c r="G229" s="420"/>
      <c r="H229" s="590"/>
      <c r="I229" s="590"/>
      <c r="J229" s="1219"/>
      <c r="K229" s="589"/>
      <c r="L229" s="589"/>
      <c r="M229" s="589"/>
      <c r="N229" s="590"/>
      <c r="O229" s="590"/>
      <c r="P229" s="590"/>
      <c r="Q229" s="1628"/>
    </row>
    <row r="230" spans="1:17" ht="12" customHeight="1">
      <c r="A230" s="407"/>
      <c r="B230" s="418"/>
      <c r="C230" s="418"/>
      <c r="D230" s="420"/>
      <c r="E230" s="108"/>
      <c r="F230" s="420"/>
      <c r="G230" s="420"/>
      <c r="H230" s="423"/>
      <c r="I230" s="418"/>
      <c r="J230" s="418"/>
      <c r="K230" s="424"/>
      <c r="L230" s="425"/>
      <c r="M230" s="425"/>
      <c r="N230" s="418"/>
      <c r="O230" s="423"/>
      <c r="P230" s="418"/>
      <c r="Q230" s="1628"/>
    </row>
    <row r="231" spans="1:17" ht="12" customHeight="1">
      <c r="A231" s="412" t="s">
        <v>378</v>
      </c>
      <c r="B231" s="414">
        <f>(B$115/B$105)^(1/10)-1</f>
        <v>2.4303164830828727E-2</v>
      </c>
      <c r="C231" s="414"/>
      <c r="D231" s="416">
        <f>SUMPRODUCT($B$105:$B$114,D$105:D$114)/SUM($B$105:$B$114)</f>
        <v>3.1399362343208254E-2</v>
      </c>
      <c r="E231" s="108"/>
      <c r="F231" s="416">
        <f>SUMPRODUCT($B$105:$B$114,F$105:F$114)/SUM($B$105:$B$114)</f>
        <v>2.6394950523147359E-2</v>
      </c>
      <c r="G231" s="416"/>
      <c r="H231" s="416"/>
      <c r="I231" s="416"/>
      <c r="J231" s="414"/>
      <c r="K231" s="415"/>
      <c r="L231" s="416"/>
      <c r="M231" s="416"/>
      <c r="N231" s="416"/>
      <c r="O231" s="416"/>
      <c r="P231" s="416"/>
      <c r="Q231" s="1628"/>
    </row>
    <row r="232" spans="1:17" ht="12" customHeight="1">
      <c r="A232" s="407"/>
      <c r="B232" s="418"/>
      <c r="C232" s="418"/>
      <c r="D232" s="420"/>
      <c r="E232" s="108"/>
      <c r="F232" s="420"/>
      <c r="G232" s="420"/>
      <c r="H232" s="590"/>
      <c r="I232" s="590"/>
      <c r="J232" s="1219"/>
      <c r="K232" s="589"/>
      <c r="L232" s="589"/>
      <c r="M232" s="589"/>
      <c r="N232" s="590"/>
      <c r="O232" s="590"/>
      <c r="P232" s="590"/>
      <c r="Q232" s="1628"/>
    </row>
    <row r="233" spans="1:17" ht="12" customHeight="1">
      <c r="A233" s="407"/>
      <c r="B233" s="418"/>
      <c r="C233" s="418"/>
      <c r="D233" s="420"/>
      <c r="E233" s="108"/>
      <c r="F233" s="420"/>
      <c r="G233" s="420"/>
      <c r="H233" s="423"/>
      <c r="I233" s="418"/>
      <c r="J233" s="418"/>
      <c r="K233" s="419"/>
      <c r="L233" s="420"/>
      <c r="M233" s="420"/>
      <c r="N233" s="418"/>
      <c r="O233" s="418"/>
      <c r="P233" s="418"/>
      <c r="Q233" s="1628"/>
    </row>
    <row r="234" spans="1:17" ht="12" customHeight="1">
      <c r="A234" s="412" t="s">
        <v>379</v>
      </c>
      <c r="B234" s="414">
        <f>(B$125/B$115)^(1/10)-1</f>
        <v>2.7413183530171192E-2</v>
      </c>
      <c r="C234" s="414"/>
      <c r="D234" s="416">
        <f>SUMPRODUCT($B$115:$B$124,D$115:D$124)/SUM($B$115:$B$124)</f>
        <v>4.30957739620524E-2</v>
      </c>
      <c r="E234" s="108"/>
      <c r="F234" s="416">
        <f>SUMPRODUCT($B$115:$B$124,F$115:F$124)/SUM($B$115:$B$124)</f>
        <v>3.0917451732318812E-2</v>
      </c>
      <c r="G234" s="416"/>
      <c r="H234" s="416"/>
      <c r="I234" s="416"/>
      <c r="J234" s="414"/>
      <c r="K234" s="415"/>
      <c r="L234" s="416"/>
      <c r="M234" s="416"/>
      <c r="N234" s="416"/>
      <c r="O234" s="416"/>
      <c r="P234" s="416"/>
      <c r="Q234" s="1628"/>
    </row>
    <row r="235" spans="1:17" ht="12" customHeight="1">
      <c r="A235" s="407"/>
      <c r="B235" s="418"/>
      <c r="C235" s="418"/>
      <c r="D235" s="420"/>
      <c r="E235" s="108"/>
      <c r="F235" s="420"/>
      <c r="G235" s="420"/>
      <c r="H235" s="590"/>
      <c r="I235" s="590"/>
      <c r="J235" s="1219"/>
      <c r="K235" s="589"/>
      <c r="L235" s="589"/>
      <c r="M235" s="589"/>
      <c r="N235" s="590"/>
      <c r="O235" s="590"/>
      <c r="P235" s="590"/>
      <c r="Q235" s="1628"/>
    </row>
    <row r="236" spans="1:17" ht="12" customHeight="1">
      <c r="A236" s="427"/>
      <c r="B236" s="420"/>
      <c r="C236" s="420"/>
      <c r="D236" s="420"/>
      <c r="E236" s="108"/>
      <c r="F236" s="420"/>
      <c r="G236" s="420"/>
      <c r="H236" s="429"/>
      <c r="I236" s="429"/>
      <c r="J236" s="418"/>
      <c r="K236" s="419"/>
      <c r="L236" s="420"/>
      <c r="M236" s="420"/>
      <c r="N236" s="418"/>
      <c r="O236" s="418"/>
      <c r="P236" s="418"/>
      <c r="Q236" s="1628"/>
    </row>
    <row r="237" spans="1:17" ht="12" customHeight="1">
      <c r="A237" s="412" t="s">
        <v>380</v>
      </c>
      <c r="B237" s="414">
        <f>(B$135/B$125)^(1/10)-1</f>
        <v>1.1525144407265264E-2</v>
      </c>
      <c r="C237" s="414"/>
      <c r="D237" s="416">
        <f>SUMPRODUCT($B$125:$B$134,D$125:D$134)/SUM($B$125:$B$134)</f>
        <v>1.0147369718769457E-2</v>
      </c>
      <c r="E237" s="108"/>
      <c r="F237" s="416">
        <f>SUMPRODUCT($B$125:$B$134,F$125:F$134)/SUM($B$125:$B$134)</f>
        <v>3.3512960358731969E-2</v>
      </c>
      <c r="G237" s="416"/>
      <c r="H237" s="416"/>
      <c r="I237" s="416"/>
      <c r="J237" s="414"/>
      <c r="K237" s="415"/>
      <c r="L237" s="416"/>
      <c r="M237" s="416"/>
      <c r="N237" s="416"/>
      <c r="O237" s="416"/>
      <c r="P237" s="416"/>
      <c r="Q237" s="1628"/>
    </row>
    <row r="238" spans="1:17" ht="12" customHeight="1">
      <c r="A238" s="407"/>
      <c r="B238" s="418"/>
      <c r="C238" s="418"/>
      <c r="D238" s="420"/>
      <c r="E238" s="108"/>
      <c r="F238" s="420"/>
      <c r="G238" s="420"/>
      <c r="H238" s="590"/>
      <c r="I238" s="590"/>
      <c r="J238" s="1219"/>
      <c r="K238" s="589"/>
      <c r="L238" s="589"/>
      <c r="M238" s="589"/>
      <c r="N238" s="590"/>
      <c r="O238" s="590"/>
      <c r="P238" s="590"/>
      <c r="Q238" s="1628"/>
    </row>
    <row r="239" spans="1:17" ht="12" customHeight="1">
      <c r="A239" s="427"/>
      <c r="B239" s="420"/>
      <c r="C239" s="420"/>
      <c r="D239" s="420"/>
      <c r="E239" s="108"/>
      <c r="F239" s="420"/>
      <c r="G239" s="420"/>
      <c r="H239" s="429"/>
      <c r="I239" s="429"/>
      <c r="J239" s="418"/>
      <c r="K239" s="419"/>
      <c r="L239" s="420"/>
      <c r="M239" s="420"/>
      <c r="N239" s="418"/>
      <c r="O239" s="418"/>
      <c r="P239" s="418"/>
      <c r="Q239" s="1628"/>
    </row>
    <row r="240" spans="1:17" ht="12" customHeight="1">
      <c r="A240" s="412" t="s">
        <v>381</v>
      </c>
      <c r="B240" s="414">
        <f>(B$145/B$135)^(1/10)-1</f>
        <v>2.8047139727156445E-2</v>
      </c>
      <c r="C240" s="414"/>
      <c r="D240" s="416">
        <f>SUMPRODUCT($B$135:$B$144,D$135:D$144)/SUM($B$135:$B$144)</f>
        <v>-1.2088846454362447E-2</v>
      </c>
      <c r="E240" s="108"/>
      <c r="F240" s="416">
        <f>SUMPRODUCT($B$135:$B$144,F$135:F$144)/SUM($B$135:$B$144)</f>
        <v>9.7568390531132584E-3</v>
      </c>
      <c r="G240" s="416"/>
      <c r="H240" s="416"/>
      <c r="I240" s="416"/>
      <c r="J240" s="414"/>
      <c r="K240" s="415"/>
      <c r="L240" s="416"/>
      <c r="M240" s="416"/>
      <c r="N240" s="416"/>
      <c r="O240" s="416"/>
      <c r="P240" s="416"/>
      <c r="Q240" s="1628"/>
    </row>
    <row r="241" spans="1:18" ht="12" customHeight="1">
      <c r="A241" s="407"/>
      <c r="B241" s="418"/>
      <c r="C241" s="418"/>
      <c r="D241" s="420"/>
      <c r="E241" s="108"/>
      <c r="F241" s="420"/>
      <c r="G241" s="420"/>
      <c r="H241" s="590"/>
      <c r="I241" s="590"/>
      <c r="J241" s="1219"/>
      <c r="K241" s="589"/>
      <c r="L241" s="589"/>
      <c r="M241" s="589"/>
      <c r="N241" s="590"/>
      <c r="O241" s="590"/>
      <c r="P241" s="590"/>
      <c r="Q241" s="1628"/>
    </row>
    <row r="242" spans="1:18" ht="12" customHeight="1">
      <c r="A242" s="427"/>
      <c r="B242" s="420"/>
      <c r="C242" s="420"/>
      <c r="D242" s="420"/>
      <c r="E242" s="108"/>
      <c r="F242" s="420"/>
      <c r="G242" s="420"/>
      <c r="H242" s="429"/>
      <c r="I242" s="429"/>
      <c r="J242" s="418"/>
      <c r="K242" s="419"/>
      <c r="L242" s="420"/>
      <c r="M242" s="420"/>
      <c r="N242" s="418"/>
      <c r="O242" s="418"/>
      <c r="P242" s="418"/>
      <c r="Q242" s="1628"/>
    </row>
    <row r="243" spans="1:18" ht="12" customHeight="1">
      <c r="A243" s="412" t="s">
        <v>382</v>
      </c>
      <c r="B243" s="414">
        <f>(B$155/B$145)^(1/10)-1</f>
        <v>3.0129326338009133E-2</v>
      </c>
      <c r="C243" s="414"/>
      <c r="D243" s="416">
        <f>SUMPRODUCT($B$145:$B$154,D$145:D$154)/SUM($B$145:$B$154)</f>
        <v>-3.4596844131088947E-2</v>
      </c>
      <c r="E243" s="108"/>
      <c r="F243" s="416">
        <f>SUMPRODUCT($B$145:$B$154,F$145:F$154)/SUM($B$145:$B$154)</f>
        <v>8.855420764242266E-3</v>
      </c>
      <c r="G243" s="416"/>
      <c r="H243" s="416"/>
      <c r="I243" s="416"/>
      <c r="J243" s="414"/>
      <c r="K243" s="415"/>
      <c r="L243" s="416"/>
      <c r="M243" s="416"/>
      <c r="N243" s="416"/>
      <c r="O243" s="416"/>
      <c r="P243" s="416"/>
      <c r="Q243" s="1628"/>
    </row>
    <row r="244" spans="1:18" ht="12" customHeight="1">
      <c r="A244" s="407"/>
      <c r="B244" s="418"/>
      <c r="C244" s="418"/>
      <c r="D244" s="420"/>
      <c r="E244" s="108"/>
      <c r="F244" s="420"/>
      <c r="G244" s="420"/>
      <c r="H244" s="590"/>
      <c r="I244" s="590"/>
      <c r="J244" s="1219"/>
      <c r="K244" s="589"/>
      <c r="L244" s="589"/>
      <c r="M244" s="589"/>
      <c r="N244" s="590"/>
      <c r="O244" s="590"/>
      <c r="P244" s="590"/>
      <c r="Q244" s="1628"/>
    </row>
    <row r="245" spans="1:18" ht="12" customHeight="1">
      <c r="A245" s="427"/>
      <c r="B245" s="420"/>
      <c r="C245" s="420"/>
      <c r="D245" s="420"/>
      <c r="E245" s="108"/>
      <c r="F245" s="420"/>
      <c r="G245" s="420"/>
      <c r="H245" s="429"/>
      <c r="I245" s="429"/>
      <c r="J245" s="418"/>
      <c r="K245" s="419"/>
      <c r="L245" s="420"/>
      <c r="M245" s="420"/>
      <c r="N245" s="418"/>
      <c r="O245" s="418"/>
      <c r="P245" s="418"/>
      <c r="Q245" s="1628"/>
    </row>
    <row r="246" spans="1:18" ht="12" customHeight="1">
      <c r="A246" s="412" t="s">
        <v>383</v>
      </c>
      <c r="B246" s="416">
        <f>(B$165/B$155)^(1/10)-1</f>
        <v>1.8289579973906456E-2</v>
      </c>
      <c r="C246" s="416"/>
      <c r="D246" s="416">
        <f>SUMPRODUCT($B$155:$B$164,D$155:D$164)/SUM($B$155:$B$164)</f>
        <v>-2.8716368518897733E-2</v>
      </c>
      <c r="E246" s="108"/>
      <c r="F246" s="416">
        <f>SUMPRODUCT($B$155:$B$164,F$155:F$164)/SUM($B$155:$B$164)</f>
        <v>6.76212589497546E-3</v>
      </c>
      <c r="G246" s="416"/>
      <c r="H246" s="416"/>
      <c r="I246" s="416"/>
      <c r="J246" s="416"/>
      <c r="K246" s="415"/>
      <c r="L246" s="416"/>
      <c r="M246" s="416"/>
      <c r="N246" s="416"/>
      <c r="O246" s="416"/>
      <c r="P246" s="416"/>
      <c r="Q246" s="1628"/>
    </row>
    <row r="247" spans="1:18" ht="12" customHeight="1" thickBot="1">
      <c r="A247" s="430"/>
      <c r="B247" s="431"/>
      <c r="C247" s="432"/>
      <c r="D247" s="433"/>
      <c r="E247" s="1627"/>
      <c r="F247" s="433"/>
      <c r="G247" s="433"/>
      <c r="H247" s="434"/>
      <c r="I247" s="434"/>
      <c r="J247" s="435"/>
      <c r="K247" s="435"/>
      <c r="L247" s="435"/>
      <c r="M247" s="435"/>
      <c r="N247" s="434"/>
      <c r="O247" s="434"/>
      <c r="P247" s="434"/>
      <c r="Q247" s="1634"/>
    </row>
    <row r="248" spans="1:18" ht="12" customHeight="1" thickTop="1">
      <c r="B248" s="66"/>
      <c r="C248" s="66"/>
      <c r="D248" s="66"/>
      <c r="E248" s="691"/>
      <c r="F248" s="66"/>
      <c r="G248" s="691"/>
      <c r="H248" s="691"/>
      <c r="I248" s="691"/>
      <c r="J248" s="691"/>
      <c r="K248" s="691"/>
      <c r="L248" s="691"/>
      <c r="M248" s="691"/>
      <c r="N248" s="930"/>
      <c r="O248" s="930"/>
      <c r="P248" s="930"/>
      <c r="Q248" s="691"/>
    </row>
    <row r="249" spans="1:18" ht="12" customHeight="1">
      <c r="B249" s="66"/>
      <c r="C249" s="66"/>
      <c r="D249" s="66"/>
      <c r="E249" s="691"/>
      <c r="F249" s="66"/>
      <c r="G249" s="691"/>
      <c r="H249" s="691"/>
      <c r="I249" s="691"/>
      <c r="J249" s="691"/>
      <c r="K249" s="691"/>
      <c r="L249" s="691"/>
      <c r="M249" s="691"/>
      <c r="N249" s="930"/>
      <c r="O249" s="930"/>
      <c r="P249" s="930"/>
      <c r="Q249" s="691"/>
    </row>
    <row r="250" spans="1:18" ht="12" customHeight="1">
      <c r="B250" s="66"/>
      <c r="C250" s="66"/>
      <c r="D250" s="66"/>
      <c r="E250" s="691"/>
      <c r="F250" s="66"/>
      <c r="G250" s="691"/>
      <c r="H250" s="691"/>
      <c r="I250" s="691"/>
      <c r="J250" s="691"/>
      <c r="K250" s="691"/>
      <c r="L250" s="691"/>
      <c r="M250" s="691"/>
      <c r="N250" s="930"/>
      <c r="O250" s="930"/>
      <c r="P250" s="930"/>
      <c r="Q250" s="691"/>
    </row>
    <row r="251" spans="1:18" ht="12" customHeight="1">
      <c r="B251" s="66"/>
      <c r="C251" s="66"/>
      <c r="D251" s="66"/>
      <c r="E251" s="691"/>
      <c r="F251" s="66"/>
      <c r="G251" s="691"/>
      <c r="H251" s="691"/>
      <c r="I251" s="691"/>
      <c r="J251" s="691"/>
      <c r="K251" s="691"/>
      <c r="L251" s="691"/>
      <c r="M251" s="691"/>
      <c r="N251" s="930"/>
      <c r="O251" s="930"/>
      <c r="P251" s="930"/>
      <c r="Q251" s="691"/>
    </row>
    <row r="252" spans="1:18" ht="12" customHeight="1">
      <c r="B252" s="66"/>
      <c r="C252" s="66"/>
      <c r="D252" s="66"/>
      <c r="E252" s="691"/>
      <c r="F252" s="66"/>
      <c r="G252" s="691"/>
      <c r="H252" s="691"/>
      <c r="I252" s="691"/>
      <c r="J252" s="691"/>
      <c r="K252" s="691"/>
      <c r="L252" s="691"/>
      <c r="M252" s="691"/>
      <c r="N252" s="930"/>
      <c r="O252" s="930"/>
      <c r="P252" s="930"/>
      <c r="Q252" s="691"/>
    </row>
    <row r="253" spans="1:18" ht="12" customHeight="1">
      <c r="B253" s="66"/>
      <c r="C253" s="66"/>
      <c r="D253" s="66"/>
      <c r="E253" s="691"/>
      <c r="F253" s="66"/>
      <c r="G253" s="691"/>
      <c r="H253" s="691"/>
      <c r="I253" s="691"/>
      <c r="J253" s="691"/>
      <c r="K253" s="691"/>
      <c r="L253" s="691"/>
      <c r="M253" s="691"/>
      <c r="N253" s="930"/>
      <c r="O253" s="930"/>
      <c r="P253" s="930"/>
      <c r="Q253" s="691"/>
      <c r="R253" s="691"/>
    </row>
    <row r="254" spans="1:18" ht="12" customHeight="1">
      <c r="B254" s="66"/>
      <c r="C254" s="66"/>
      <c r="D254" s="66"/>
      <c r="E254" s="691"/>
      <c r="F254" s="66"/>
      <c r="G254" s="691"/>
      <c r="H254" s="691"/>
      <c r="I254" s="691"/>
      <c r="J254" s="691"/>
      <c r="K254" s="691"/>
      <c r="L254" s="691"/>
      <c r="M254" s="691"/>
      <c r="N254" s="930"/>
      <c r="O254" s="930"/>
      <c r="P254" s="930"/>
      <c r="Q254" s="691"/>
      <c r="R254" s="691"/>
    </row>
    <row r="255" spans="1:18" ht="12" customHeight="1">
      <c r="B255" s="66"/>
      <c r="C255" s="66"/>
      <c r="D255" s="66"/>
      <c r="E255" s="691"/>
      <c r="F255" s="66"/>
      <c r="G255" s="691"/>
      <c r="H255" s="691"/>
      <c r="I255" s="691"/>
      <c r="J255" s="691"/>
      <c r="K255" s="691"/>
      <c r="L255" s="691"/>
      <c r="M255" s="691"/>
      <c r="N255" s="930"/>
      <c r="O255" s="930"/>
      <c r="P255" s="930"/>
      <c r="Q255" s="691"/>
      <c r="R255" s="691"/>
    </row>
    <row r="256" spans="1:18" ht="12" customHeight="1">
      <c r="B256" s="66"/>
      <c r="C256" s="66"/>
      <c r="D256" s="66"/>
      <c r="E256" s="691"/>
      <c r="F256" s="66"/>
      <c r="G256" s="691"/>
      <c r="H256" s="691"/>
      <c r="I256" s="691"/>
      <c r="J256" s="691"/>
      <c r="K256" s="691"/>
      <c r="L256" s="691"/>
      <c r="M256" s="691"/>
      <c r="N256" s="930"/>
      <c r="O256" s="930"/>
      <c r="P256" s="930"/>
      <c r="Q256" s="691"/>
      <c r="R256" s="691"/>
    </row>
    <row r="257" spans="2:18" ht="12" customHeight="1">
      <c r="B257" s="66"/>
      <c r="C257" s="66"/>
      <c r="D257" s="66"/>
      <c r="E257" s="691"/>
      <c r="F257" s="66"/>
      <c r="G257" s="691"/>
      <c r="H257" s="691"/>
      <c r="I257" s="691"/>
      <c r="J257" s="691"/>
      <c r="K257" s="691"/>
      <c r="L257" s="691"/>
      <c r="M257" s="691"/>
      <c r="N257" s="930"/>
      <c r="O257" s="930"/>
      <c r="P257" s="930"/>
      <c r="Q257" s="691"/>
      <c r="R257" s="691"/>
    </row>
    <row r="258" spans="2:18" ht="12" customHeight="1">
      <c r="B258" s="66"/>
      <c r="C258" s="66"/>
      <c r="D258" s="66"/>
      <c r="E258" s="691"/>
      <c r="F258" s="66"/>
      <c r="G258" s="691"/>
      <c r="H258" s="691"/>
      <c r="I258" s="691"/>
      <c r="J258" s="691"/>
      <c r="K258" s="691"/>
      <c r="L258" s="691"/>
      <c r="M258" s="691"/>
      <c r="N258" s="930"/>
      <c r="O258" s="930"/>
      <c r="P258" s="930"/>
      <c r="Q258" s="691"/>
      <c r="R258" s="691"/>
    </row>
    <row r="259" spans="2:18" ht="12" customHeight="1">
      <c r="B259" s="66"/>
      <c r="C259" s="66"/>
      <c r="D259" s="66"/>
      <c r="E259" s="691"/>
      <c r="F259" s="66"/>
      <c r="G259" s="691"/>
      <c r="H259" s="691"/>
      <c r="I259" s="691"/>
      <c r="J259" s="691"/>
      <c r="K259" s="691"/>
      <c r="L259" s="691"/>
      <c r="M259" s="691"/>
      <c r="N259" s="930"/>
      <c r="O259" s="930"/>
      <c r="P259" s="930"/>
      <c r="Q259" s="691"/>
      <c r="R259" s="691"/>
    </row>
    <row r="260" spans="2:18" ht="12" customHeight="1">
      <c r="B260" s="66"/>
      <c r="C260" s="66"/>
      <c r="D260" s="66"/>
      <c r="E260" s="691"/>
      <c r="F260" s="66"/>
      <c r="G260" s="691"/>
      <c r="H260" s="691"/>
      <c r="I260" s="691"/>
      <c r="J260" s="691"/>
      <c r="K260" s="691"/>
      <c r="L260" s="691"/>
      <c r="M260" s="691"/>
      <c r="N260" s="930"/>
      <c r="O260" s="930"/>
      <c r="P260" s="930"/>
      <c r="Q260" s="691"/>
      <c r="R260" s="691"/>
    </row>
    <row r="261" spans="2:18" ht="12" customHeight="1">
      <c r="B261" s="66"/>
      <c r="C261" s="66"/>
      <c r="D261" s="66"/>
      <c r="E261" s="691"/>
      <c r="F261" s="66"/>
      <c r="G261" s="691"/>
      <c r="H261" s="691"/>
      <c r="I261" s="691"/>
      <c r="J261" s="691"/>
      <c r="K261" s="691"/>
      <c r="L261" s="691"/>
      <c r="M261" s="691"/>
      <c r="N261" s="930"/>
      <c r="O261" s="930"/>
      <c r="P261" s="930"/>
      <c r="Q261" s="691"/>
      <c r="R261" s="691"/>
    </row>
    <row r="262" spans="2:18" ht="12" customHeight="1">
      <c r="B262" s="66"/>
      <c r="C262" s="66"/>
      <c r="D262" s="66"/>
      <c r="E262" s="691"/>
      <c r="F262" s="66"/>
      <c r="G262" s="691"/>
      <c r="H262" s="691"/>
      <c r="I262" s="691"/>
      <c r="J262" s="691"/>
      <c r="K262" s="691"/>
      <c r="L262" s="691"/>
      <c r="M262" s="691"/>
      <c r="N262" s="930"/>
      <c r="O262" s="930"/>
      <c r="P262" s="930"/>
      <c r="Q262" s="691"/>
      <c r="R262" s="691"/>
    </row>
    <row r="263" spans="2:18" ht="12" customHeight="1">
      <c r="B263" s="66"/>
      <c r="C263" s="66"/>
      <c r="D263" s="66"/>
      <c r="E263" s="691"/>
      <c r="F263" s="66"/>
      <c r="G263" s="691"/>
      <c r="H263" s="691"/>
      <c r="I263" s="691"/>
      <c r="J263" s="691"/>
      <c r="K263" s="691"/>
      <c r="L263" s="691"/>
      <c r="M263" s="691"/>
      <c r="N263" s="930"/>
      <c r="O263" s="930"/>
      <c r="P263" s="930"/>
      <c r="Q263" s="691"/>
      <c r="R263" s="691"/>
    </row>
    <row r="264" spans="2:18" ht="12" customHeight="1">
      <c r="B264" s="66"/>
      <c r="C264" s="66"/>
      <c r="D264" s="66"/>
      <c r="E264" s="691"/>
      <c r="F264" s="66"/>
      <c r="G264" s="691"/>
      <c r="H264" s="691"/>
      <c r="I264" s="691"/>
      <c r="J264" s="691"/>
      <c r="K264" s="691"/>
      <c r="L264" s="691"/>
      <c r="M264" s="691"/>
      <c r="N264" s="930"/>
      <c r="O264" s="930"/>
      <c r="P264" s="930"/>
      <c r="Q264" s="691"/>
      <c r="R264" s="691"/>
    </row>
    <row r="265" spans="2:18" ht="12" customHeight="1">
      <c r="B265" s="66"/>
      <c r="C265" s="66"/>
      <c r="D265" s="66"/>
      <c r="E265" s="691"/>
      <c r="F265" s="66"/>
      <c r="G265" s="691"/>
      <c r="H265" s="691"/>
      <c r="I265" s="691"/>
      <c r="J265" s="691"/>
      <c r="K265" s="691"/>
      <c r="L265" s="691"/>
      <c r="M265" s="691"/>
      <c r="N265" s="930"/>
      <c r="O265" s="930"/>
      <c r="P265" s="930"/>
      <c r="Q265" s="691"/>
      <c r="R265" s="691"/>
    </row>
    <row r="266" spans="2:18" ht="12" customHeight="1">
      <c r="B266" s="66"/>
      <c r="C266" s="66"/>
      <c r="D266" s="66"/>
      <c r="E266" s="691"/>
      <c r="F266" s="66"/>
      <c r="G266" s="691"/>
      <c r="H266" s="691"/>
      <c r="I266" s="691"/>
      <c r="J266" s="691"/>
      <c r="K266" s="691"/>
      <c r="L266" s="691"/>
      <c r="M266" s="691"/>
      <c r="N266" s="930"/>
      <c r="O266" s="930"/>
      <c r="P266" s="930"/>
      <c r="Q266" s="691"/>
      <c r="R266" s="691"/>
    </row>
    <row r="267" spans="2:18" ht="12" customHeight="1">
      <c r="B267" s="66"/>
      <c r="C267" s="66"/>
      <c r="D267" s="66"/>
      <c r="E267" s="691"/>
      <c r="F267" s="66"/>
      <c r="G267" s="691"/>
      <c r="H267" s="691"/>
      <c r="I267" s="691"/>
      <c r="J267" s="691"/>
      <c r="K267" s="691"/>
      <c r="L267" s="691"/>
      <c r="M267" s="691"/>
      <c r="N267" s="930"/>
      <c r="O267" s="930"/>
      <c r="P267" s="930"/>
      <c r="Q267" s="691"/>
      <c r="R267" s="691"/>
    </row>
    <row r="268" spans="2:18" ht="12" customHeight="1">
      <c r="B268" s="66"/>
      <c r="C268" s="66"/>
      <c r="D268" s="66"/>
      <c r="E268" s="691"/>
      <c r="F268" s="66"/>
      <c r="G268" s="691"/>
      <c r="H268" s="691"/>
      <c r="I268" s="691"/>
      <c r="J268" s="691"/>
      <c r="K268" s="691"/>
      <c r="L268" s="691"/>
      <c r="M268" s="691"/>
      <c r="N268" s="930"/>
      <c r="O268" s="930"/>
      <c r="P268" s="930"/>
      <c r="Q268" s="691"/>
      <c r="R268" s="691"/>
    </row>
    <row r="269" spans="2:18" ht="12" customHeight="1">
      <c r="B269" s="66"/>
      <c r="C269" s="66"/>
      <c r="D269" s="66"/>
      <c r="E269" s="691"/>
      <c r="F269" s="66"/>
      <c r="G269" s="691"/>
      <c r="H269" s="691"/>
      <c r="I269" s="691"/>
      <c r="J269" s="691"/>
      <c r="K269" s="691"/>
      <c r="L269" s="691"/>
      <c r="M269" s="691"/>
      <c r="N269" s="930"/>
      <c r="O269" s="930"/>
      <c r="P269" s="930"/>
      <c r="Q269" s="691"/>
      <c r="R269" s="691"/>
    </row>
    <row r="270" spans="2:18" ht="12" customHeight="1">
      <c r="B270" s="66"/>
      <c r="C270" s="66"/>
      <c r="D270" s="66"/>
      <c r="E270" s="691"/>
      <c r="F270" s="66"/>
      <c r="G270" s="691"/>
      <c r="H270" s="691"/>
      <c r="I270" s="691"/>
      <c r="J270" s="691"/>
      <c r="K270" s="691"/>
      <c r="L270" s="691"/>
      <c r="M270" s="691"/>
      <c r="N270" s="930"/>
      <c r="O270" s="930"/>
      <c r="P270" s="930"/>
      <c r="Q270" s="691"/>
      <c r="R270" s="691"/>
    </row>
    <row r="271" spans="2:18" ht="12" customHeight="1">
      <c r="B271" s="66"/>
      <c r="C271" s="66"/>
      <c r="D271" s="66"/>
      <c r="E271" s="691"/>
      <c r="F271" s="66"/>
      <c r="G271" s="691"/>
      <c r="H271" s="691"/>
      <c r="I271" s="691"/>
      <c r="J271" s="691"/>
      <c r="K271" s="691"/>
      <c r="L271" s="691"/>
      <c r="M271" s="691"/>
      <c r="N271" s="930"/>
      <c r="O271" s="930"/>
      <c r="P271" s="930"/>
      <c r="Q271" s="691"/>
      <c r="R271" s="691"/>
    </row>
    <row r="272" spans="2:18" ht="12" customHeight="1">
      <c r="B272" s="66"/>
      <c r="C272" s="66"/>
      <c r="D272" s="66"/>
      <c r="E272" s="691"/>
      <c r="F272" s="66"/>
      <c r="G272" s="691"/>
      <c r="H272" s="691"/>
      <c r="I272" s="691"/>
      <c r="J272" s="691"/>
      <c r="K272" s="691"/>
      <c r="L272" s="691"/>
      <c r="M272" s="691"/>
      <c r="N272" s="930"/>
      <c r="O272" s="930"/>
      <c r="P272" s="930"/>
      <c r="Q272" s="691"/>
      <c r="R272" s="691"/>
    </row>
    <row r="273" spans="2:18" ht="12" customHeight="1">
      <c r="B273" s="66"/>
      <c r="C273" s="66"/>
      <c r="D273" s="66"/>
      <c r="E273" s="691"/>
      <c r="F273" s="66"/>
      <c r="G273" s="691"/>
      <c r="H273" s="691"/>
      <c r="I273" s="691"/>
      <c r="J273" s="691"/>
      <c r="K273" s="691"/>
      <c r="L273" s="691"/>
      <c r="M273" s="691"/>
      <c r="N273" s="930"/>
      <c r="O273" s="930"/>
      <c r="P273" s="930"/>
      <c r="Q273" s="691"/>
      <c r="R273" s="691"/>
    </row>
    <row r="274" spans="2:18" ht="12" customHeight="1">
      <c r="B274" s="66"/>
      <c r="C274" s="66"/>
      <c r="D274" s="66"/>
      <c r="E274" s="691"/>
      <c r="F274" s="66"/>
      <c r="G274" s="691"/>
      <c r="H274" s="691"/>
      <c r="I274" s="691"/>
      <c r="J274" s="691"/>
      <c r="K274" s="691"/>
      <c r="L274" s="691"/>
      <c r="M274" s="691"/>
      <c r="N274" s="930"/>
      <c r="O274" s="930"/>
      <c r="P274" s="930"/>
      <c r="Q274" s="691"/>
      <c r="R274" s="691"/>
    </row>
    <row r="275" spans="2:18" ht="12" customHeight="1">
      <c r="B275" s="66"/>
      <c r="C275" s="66"/>
      <c r="D275" s="66"/>
      <c r="E275" s="691"/>
      <c r="F275" s="66"/>
      <c r="G275" s="691"/>
      <c r="H275" s="691"/>
      <c r="I275" s="691"/>
      <c r="J275" s="691"/>
      <c r="K275" s="691"/>
      <c r="L275" s="691"/>
      <c r="M275" s="691"/>
      <c r="N275" s="930"/>
      <c r="O275" s="930"/>
      <c r="P275" s="930"/>
      <c r="Q275" s="691"/>
      <c r="R275" s="691"/>
    </row>
    <row r="276" spans="2:18" ht="12" customHeight="1">
      <c r="B276" s="66"/>
      <c r="C276" s="66"/>
      <c r="D276" s="66"/>
      <c r="E276" s="691"/>
      <c r="F276" s="66"/>
      <c r="G276" s="691"/>
      <c r="H276" s="691"/>
      <c r="I276" s="691"/>
      <c r="J276" s="691"/>
      <c r="K276" s="691"/>
      <c r="L276" s="691"/>
      <c r="M276" s="691"/>
      <c r="N276" s="930"/>
      <c r="O276" s="930"/>
      <c r="P276" s="930"/>
      <c r="Q276" s="691"/>
      <c r="R276" s="691"/>
    </row>
    <row r="277" spans="2:18" ht="12" customHeight="1">
      <c r="B277" s="66"/>
      <c r="C277" s="66"/>
      <c r="D277" s="66"/>
      <c r="E277" s="691"/>
      <c r="F277" s="66"/>
      <c r="G277" s="691"/>
      <c r="H277" s="691"/>
      <c r="I277" s="691"/>
      <c r="J277" s="691"/>
      <c r="K277" s="691"/>
      <c r="L277" s="691"/>
      <c r="M277" s="691"/>
      <c r="N277" s="930"/>
      <c r="O277" s="930"/>
      <c r="P277" s="930"/>
      <c r="Q277" s="691"/>
      <c r="R277" s="691"/>
    </row>
    <row r="278" spans="2:18" ht="12" customHeight="1">
      <c r="B278" s="66"/>
      <c r="C278" s="66"/>
      <c r="D278" s="66"/>
      <c r="E278" s="691"/>
      <c r="F278" s="66"/>
      <c r="G278" s="691"/>
      <c r="H278" s="691"/>
      <c r="I278" s="691"/>
      <c r="J278" s="691"/>
      <c r="K278" s="691"/>
      <c r="L278" s="691"/>
      <c r="M278" s="691"/>
      <c r="N278" s="930"/>
      <c r="O278" s="930"/>
      <c r="P278" s="930"/>
      <c r="Q278" s="691"/>
      <c r="R278" s="691"/>
    </row>
    <row r="279" spans="2:18" ht="12" customHeight="1">
      <c r="B279" s="66"/>
      <c r="C279" s="66"/>
      <c r="D279" s="66"/>
      <c r="E279" s="691"/>
      <c r="F279" s="66"/>
      <c r="G279" s="691"/>
      <c r="H279" s="691"/>
      <c r="I279" s="691"/>
      <c r="J279" s="691"/>
      <c r="K279" s="691"/>
      <c r="L279" s="691"/>
      <c r="M279" s="691"/>
      <c r="N279" s="930"/>
      <c r="O279" s="930"/>
      <c r="P279" s="930"/>
      <c r="Q279" s="691"/>
      <c r="R279" s="691"/>
    </row>
    <row r="280" spans="2:18" ht="12" customHeight="1">
      <c r="B280" s="66"/>
      <c r="C280" s="66"/>
      <c r="D280" s="66"/>
      <c r="E280" s="691"/>
      <c r="F280" s="66"/>
      <c r="G280" s="691"/>
      <c r="H280" s="691"/>
      <c r="I280" s="691"/>
      <c r="J280" s="691"/>
      <c r="K280" s="691"/>
      <c r="L280" s="691"/>
      <c r="M280" s="691"/>
      <c r="N280" s="930"/>
      <c r="O280" s="930"/>
      <c r="P280" s="930"/>
      <c r="Q280" s="691"/>
      <c r="R280" s="691"/>
    </row>
    <row r="281" spans="2:18" ht="12" customHeight="1">
      <c r="B281" s="66"/>
      <c r="C281" s="66"/>
      <c r="D281" s="66"/>
      <c r="E281" s="691"/>
      <c r="F281" s="66"/>
      <c r="G281" s="691"/>
      <c r="H281" s="691"/>
      <c r="I281" s="691"/>
      <c r="J281" s="691"/>
      <c r="K281" s="691"/>
      <c r="L281" s="691"/>
      <c r="M281" s="691"/>
      <c r="N281" s="930"/>
      <c r="O281" s="930"/>
      <c r="P281" s="930"/>
      <c r="Q281" s="691"/>
      <c r="R281" s="691"/>
    </row>
    <row r="282" spans="2:18" ht="12" customHeight="1">
      <c r="B282" s="66"/>
      <c r="C282" s="66"/>
      <c r="D282" s="66"/>
      <c r="E282" s="691"/>
      <c r="F282" s="66"/>
      <c r="G282" s="691"/>
      <c r="H282" s="691"/>
      <c r="I282" s="691"/>
      <c r="J282" s="691"/>
      <c r="K282" s="691"/>
      <c r="L282" s="691"/>
      <c r="M282" s="691"/>
      <c r="N282" s="930"/>
      <c r="O282" s="930"/>
      <c r="P282" s="930"/>
      <c r="Q282" s="691"/>
      <c r="R282" s="691"/>
    </row>
    <row r="283" spans="2:18" ht="12" customHeight="1">
      <c r="B283" s="66"/>
      <c r="C283" s="66"/>
      <c r="D283" s="66"/>
      <c r="E283" s="691"/>
      <c r="F283" s="66"/>
      <c r="G283" s="691"/>
      <c r="H283" s="691"/>
      <c r="I283" s="691"/>
      <c r="J283" s="691"/>
      <c r="K283" s="691"/>
      <c r="L283" s="691"/>
      <c r="M283" s="691"/>
      <c r="N283" s="930"/>
      <c r="O283" s="930"/>
      <c r="P283" s="930"/>
      <c r="Q283" s="691"/>
      <c r="R283" s="691"/>
    </row>
    <row r="284" spans="2:18" ht="12" customHeight="1">
      <c r="B284" s="66"/>
      <c r="C284" s="66"/>
      <c r="D284" s="66"/>
      <c r="E284" s="691"/>
      <c r="F284" s="66"/>
      <c r="G284" s="691"/>
      <c r="H284" s="691"/>
      <c r="I284" s="691"/>
      <c r="J284" s="691"/>
      <c r="K284" s="691"/>
      <c r="L284" s="691"/>
      <c r="M284" s="691"/>
      <c r="N284" s="930"/>
      <c r="O284" s="930"/>
      <c r="P284" s="930"/>
      <c r="Q284" s="691"/>
      <c r="R284" s="691"/>
    </row>
    <row r="285" spans="2:18" ht="12" customHeight="1">
      <c r="B285" s="66"/>
      <c r="C285" s="66"/>
      <c r="D285" s="66"/>
      <c r="E285" s="691"/>
      <c r="F285" s="66"/>
      <c r="G285" s="691"/>
      <c r="H285" s="691"/>
      <c r="I285" s="691"/>
      <c r="J285" s="691"/>
      <c r="K285" s="691"/>
      <c r="L285" s="691"/>
      <c r="M285" s="691"/>
      <c r="N285" s="930"/>
      <c r="O285" s="930"/>
      <c r="P285" s="930"/>
      <c r="Q285" s="691"/>
      <c r="R285" s="691"/>
    </row>
    <row r="286" spans="2:18" ht="12" customHeight="1">
      <c r="B286" s="66"/>
      <c r="C286" s="66"/>
      <c r="D286" s="66"/>
      <c r="E286" s="691"/>
      <c r="F286" s="66"/>
      <c r="G286" s="691"/>
      <c r="H286" s="691"/>
      <c r="I286" s="691"/>
      <c r="J286" s="691"/>
      <c r="K286" s="691"/>
      <c r="L286" s="691"/>
      <c r="M286" s="691"/>
      <c r="N286" s="930"/>
      <c r="O286" s="930"/>
      <c r="P286" s="930"/>
      <c r="Q286" s="691"/>
      <c r="R286" s="691"/>
    </row>
    <row r="287" spans="2:18" ht="12" customHeight="1">
      <c r="B287" s="66"/>
      <c r="C287" s="66"/>
      <c r="D287" s="66"/>
      <c r="E287" s="691"/>
      <c r="F287" s="66"/>
      <c r="G287" s="691"/>
      <c r="H287" s="691"/>
      <c r="I287" s="691"/>
      <c r="J287" s="691"/>
      <c r="K287" s="691"/>
      <c r="L287" s="691"/>
      <c r="M287" s="691"/>
      <c r="N287" s="930"/>
      <c r="O287" s="930"/>
      <c r="P287" s="930"/>
      <c r="Q287" s="691"/>
      <c r="R287" s="691"/>
    </row>
    <row r="288" spans="2:18" ht="12" customHeight="1">
      <c r="B288" s="66"/>
      <c r="C288" s="66"/>
      <c r="D288" s="66"/>
      <c r="E288" s="691"/>
      <c r="F288" s="66"/>
      <c r="G288" s="691"/>
      <c r="H288" s="691"/>
      <c r="I288" s="691"/>
      <c r="J288" s="691"/>
      <c r="K288" s="691"/>
      <c r="L288" s="691"/>
      <c r="M288" s="691"/>
      <c r="N288" s="930"/>
      <c r="O288" s="930"/>
      <c r="P288" s="930"/>
      <c r="Q288" s="691"/>
      <c r="R288" s="691"/>
    </row>
    <row r="289" spans="2:18" ht="12" customHeight="1">
      <c r="B289" s="66"/>
      <c r="C289" s="66"/>
      <c r="D289" s="66"/>
      <c r="E289" s="691"/>
      <c r="F289" s="66"/>
      <c r="G289" s="691"/>
      <c r="H289" s="691"/>
      <c r="I289" s="691"/>
      <c r="J289" s="691"/>
      <c r="K289" s="691"/>
      <c r="L289" s="691"/>
      <c r="M289" s="691"/>
      <c r="N289" s="930"/>
      <c r="O289" s="930"/>
      <c r="P289" s="930"/>
      <c r="Q289" s="691"/>
      <c r="R289" s="691"/>
    </row>
    <row r="290" spans="2:18" ht="12" customHeight="1">
      <c r="B290" s="66"/>
      <c r="C290" s="66"/>
      <c r="D290" s="66"/>
      <c r="E290" s="691"/>
      <c r="F290" s="66"/>
      <c r="G290" s="691"/>
      <c r="H290" s="691"/>
      <c r="I290" s="691"/>
      <c r="J290" s="691"/>
      <c r="K290" s="691"/>
      <c r="L290" s="691"/>
      <c r="M290" s="691"/>
      <c r="N290" s="930"/>
      <c r="O290" s="930"/>
      <c r="P290" s="930"/>
      <c r="Q290" s="691"/>
      <c r="R290" s="691"/>
    </row>
    <row r="291" spans="2:18" ht="12" customHeight="1">
      <c r="B291" s="66"/>
      <c r="C291" s="66"/>
      <c r="D291" s="66"/>
      <c r="E291" s="691"/>
      <c r="F291" s="66"/>
      <c r="G291" s="691"/>
      <c r="H291" s="691"/>
      <c r="I291" s="691"/>
      <c r="J291" s="691"/>
      <c r="K291" s="691"/>
      <c r="L291" s="691"/>
      <c r="M291" s="691"/>
      <c r="N291" s="930"/>
      <c r="O291" s="930"/>
      <c r="P291" s="930"/>
      <c r="Q291" s="691"/>
      <c r="R291" s="691"/>
    </row>
    <row r="292" spans="2:18" ht="12" customHeight="1">
      <c r="B292" s="66"/>
      <c r="C292" s="66"/>
      <c r="D292" s="66"/>
      <c r="E292" s="691"/>
      <c r="F292" s="66"/>
      <c r="G292" s="691"/>
      <c r="H292" s="691"/>
      <c r="I292" s="691"/>
      <c r="J292" s="691"/>
      <c r="K292" s="691"/>
      <c r="L292" s="691"/>
      <c r="M292" s="691"/>
      <c r="N292" s="930"/>
      <c r="O292" s="930"/>
      <c r="P292" s="930"/>
      <c r="Q292" s="691"/>
      <c r="R292" s="691"/>
    </row>
    <row r="293" spans="2:18" ht="12" customHeight="1">
      <c r="B293" s="66"/>
      <c r="C293" s="66"/>
      <c r="D293" s="66"/>
      <c r="E293" s="691"/>
      <c r="F293" s="66"/>
      <c r="G293" s="691"/>
      <c r="H293" s="691"/>
      <c r="I293" s="691"/>
      <c r="J293" s="691"/>
      <c r="K293" s="691"/>
      <c r="L293" s="691"/>
      <c r="M293" s="691"/>
      <c r="N293" s="930"/>
      <c r="O293" s="930"/>
      <c r="P293" s="930"/>
      <c r="Q293" s="691"/>
      <c r="R293" s="691"/>
    </row>
    <row r="294" spans="2:18" ht="12" customHeight="1">
      <c r="B294" s="66"/>
      <c r="C294" s="66"/>
      <c r="D294" s="66"/>
      <c r="E294" s="691"/>
      <c r="F294" s="66"/>
      <c r="G294" s="691"/>
      <c r="H294" s="691"/>
      <c r="I294" s="691"/>
      <c r="J294" s="691"/>
      <c r="K294" s="691"/>
      <c r="L294" s="691"/>
      <c r="M294" s="691"/>
      <c r="N294" s="930"/>
      <c r="O294" s="930"/>
      <c r="P294" s="930"/>
      <c r="Q294" s="691"/>
      <c r="R294" s="691"/>
    </row>
    <row r="295" spans="2:18" ht="12" customHeight="1">
      <c r="B295" s="66"/>
      <c r="C295" s="66"/>
      <c r="D295" s="66"/>
      <c r="E295" s="691"/>
      <c r="F295" s="66"/>
      <c r="G295" s="691"/>
      <c r="H295" s="691"/>
      <c r="I295" s="691"/>
      <c r="J295" s="691"/>
      <c r="K295" s="691"/>
      <c r="L295" s="691"/>
      <c r="M295" s="691"/>
      <c r="N295" s="930"/>
      <c r="O295" s="930"/>
      <c r="P295" s="930"/>
      <c r="Q295" s="691"/>
      <c r="R295" s="691"/>
    </row>
    <row r="296" spans="2:18" ht="12" customHeight="1">
      <c r="B296" s="66"/>
      <c r="C296" s="66"/>
      <c r="D296" s="66"/>
      <c r="E296" s="691"/>
      <c r="F296" s="66"/>
      <c r="G296" s="691"/>
      <c r="H296" s="691"/>
      <c r="I296" s="691"/>
      <c r="J296" s="691"/>
      <c r="K296" s="691"/>
      <c r="L296" s="691"/>
      <c r="M296" s="691"/>
      <c r="N296" s="930"/>
      <c r="O296" s="930"/>
      <c r="P296" s="930"/>
      <c r="Q296" s="691"/>
      <c r="R296" s="691"/>
    </row>
    <row r="297" spans="2:18" ht="12" customHeight="1">
      <c r="B297" s="66"/>
      <c r="C297" s="66"/>
      <c r="D297" s="66"/>
      <c r="E297" s="691"/>
      <c r="F297" s="66"/>
      <c r="G297" s="691"/>
      <c r="H297" s="691"/>
      <c r="I297" s="691"/>
      <c r="J297" s="691"/>
      <c r="K297" s="691"/>
      <c r="L297" s="691"/>
      <c r="M297" s="691"/>
      <c r="N297" s="930"/>
      <c r="O297" s="930"/>
      <c r="P297" s="930"/>
      <c r="Q297" s="691"/>
      <c r="R297" s="691"/>
    </row>
    <row r="298" spans="2:18" ht="12" customHeight="1">
      <c r="B298" s="66"/>
      <c r="C298" s="66"/>
      <c r="D298" s="66"/>
      <c r="E298" s="691"/>
      <c r="F298" s="66"/>
      <c r="G298" s="691"/>
      <c r="H298" s="691"/>
      <c r="I298" s="691"/>
      <c r="J298" s="691"/>
      <c r="K298" s="691"/>
      <c r="L298" s="691"/>
      <c r="M298" s="691"/>
      <c r="N298" s="930"/>
      <c r="O298" s="930"/>
      <c r="P298" s="930"/>
      <c r="Q298" s="691"/>
      <c r="R298" s="691"/>
    </row>
    <row r="299" spans="2:18" ht="12" customHeight="1">
      <c r="B299" s="66"/>
      <c r="C299" s="66"/>
      <c r="D299" s="66"/>
      <c r="E299" s="691"/>
      <c r="F299" s="66"/>
      <c r="G299" s="691"/>
      <c r="H299" s="691"/>
      <c r="I299" s="691"/>
      <c r="J299" s="691"/>
      <c r="K299" s="691"/>
      <c r="L299" s="691"/>
      <c r="M299" s="691"/>
      <c r="N299" s="930"/>
      <c r="O299" s="930"/>
      <c r="P299" s="930"/>
      <c r="Q299" s="691"/>
      <c r="R299" s="691"/>
    </row>
    <row r="300" spans="2:18" ht="12" customHeight="1">
      <c r="B300" s="66"/>
      <c r="C300" s="66"/>
      <c r="D300" s="66"/>
      <c r="E300" s="691"/>
      <c r="F300" s="66"/>
      <c r="G300" s="691"/>
      <c r="H300" s="691"/>
      <c r="I300" s="691"/>
      <c r="J300" s="691"/>
      <c r="K300" s="691"/>
      <c r="L300" s="691"/>
      <c r="M300" s="691"/>
      <c r="N300" s="930"/>
      <c r="O300" s="930"/>
      <c r="P300" s="930"/>
      <c r="Q300" s="691"/>
      <c r="R300" s="691"/>
    </row>
    <row r="301" spans="2:18" ht="12" customHeight="1">
      <c r="B301" s="66"/>
      <c r="C301" s="66"/>
      <c r="D301" s="66"/>
      <c r="E301" s="691"/>
      <c r="F301" s="66"/>
      <c r="G301" s="691"/>
      <c r="H301" s="691"/>
      <c r="I301" s="691"/>
      <c r="J301" s="691"/>
      <c r="K301" s="691"/>
      <c r="L301" s="691"/>
      <c r="M301" s="691"/>
      <c r="N301" s="930"/>
      <c r="O301" s="930"/>
      <c r="P301" s="930"/>
      <c r="Q301" s="691"/>
      <c r="R301" s="691"/>
    </row>
    <row r="302" spans="2:18" ht="12" customHeight="1">
      <c r="B302" s="66"/>
      <c r="C302" s="66"/>
      <c r="D302" s="66"/>
      <c r="E302" s="691"/>
      <c r="F302" s="66"/>
      <c r="G302" s="691"/>
      <c r="H302" s="691"/>
      <c r="I302" s="691"/>
      <c r="J302" s="691"/>
      <c r="K302" s="691"/>
      <c r="L302" s="691"/>
      <c r="M302" s="691"/>
      <c r="N302" s="930"/>
      <c r="O302" s="930"/>
      <c r="P302" s="930"/>
      <c r="Q302" s="691"/>
      <c r="R302" s="691"/>
    </row>
    <row r="303" spans="2:18" ht="12" customHeight="1">
      <c r="B303" s="66"/>
      <c r="C303" s="66"/>
      <c r="D303" s="66"/>
      <c r="E303" s="691"/>
      <c r="F303" s="66"/>
      <c r="G303" s="691"/>
      <c r="H303" s="691"/>
      <c r="I303" s="691"/>
      <c r="J303" s="691"/>
      <c r="K303" s="691"/>
      <c r="L303" s="691"/>
      <c r="M303" s="691"/>
      <c r="N303" s="930"/>
      <c r="O303" s="930"/>
      <c r="P303" s="930"/>
      <c r="Q303" s="691"/>
      <c r="R303" s="691"/>
    </row>
    <row r="304" spans="2:18" ht="12" customHeight="1">
      <c r="B304" s="66"/>
      <c r="C304" s="66"/>
      <c r="D304" s="66"/>
      <c r="E304" s="691"/>
      <c r="F304" s="66"/>
      <c r="G304" s="691"/>
      <c r="H304" s="691"/>
      <c r="I304" s="691"/>
      <c r="J304" s="691"/>
      <c r="K304" s="691"/>
      <c r="L304" s="691"/>
      <c r="M304" s="691"/>
      <c r="N304" s="930"/>
      <c r="O304" s="930"/>
      <c r="P304" s="930"/>
      <c r="Q304" s="691"/>
      <c r="R304" s="691"/>
    </row>
    <row r="305" spans="2:18" ht="12" customHeight="1">
      <c r="B305" s="66"/>
      <c r="C305" s="66"/>
      <c r="D305" s="66"/>
      <c r="E305" s="691"/>
      <c r="F305" s="66"/>
      <c r="G305" s="691"/>
      <c r="H305" s="691"/>
      <c r="I305" s="691"/>
      <c r="J305" s="691"/>
      <c r="K305" s="691"/>
      <c r="L305" s="691"/>
      <c r="M305" s="691"/>
      <c r="N305" s="930"/>
      <c r="O305" s="930"/>
      <c r="P305" s="930"/>
      <c r="Q305" s="691"/>
      <c r="R305" s="691"/>
    </row>
    <row r="306" spans="2:18" ht="12" customHeight="1">
      <c r="B306" s="66"/>
      <c r="C306" s="66"/>
      <c r="D306" s="66"/>
      <c r="E306" s="691"/>
      <c r="F306" s="66"/>
      <c r="G306" s="691"/>
      <c r="H306" s="691"/>
      <c r="I306" s="691"/>
      <c r="J306" s="691"/>
      <c r="K306" s="691"/>
      <c r="L306" s="691"/>
      <c r="M306" s="691"/>
      <c r="N306" s="930"/>
      <c r="O306" s="930"/>
      <c r="P306" s="930"/>
      <c r="Q306" s="691"/>
      <c r="R306" s="691"/>
    </row>
    <row r="307" spans="2:18" ht="12" customHeight="1">
      <c r="B307" s="66"/>
      <c r="C307" s="66"/>
      <c r="D307" s="66"/>
      <c r="E307" s="691"/>
      <c r="F307" s="66"/>
      <c r="G307" s="691"/>
      <c r="H307" s="691"/>
      <c r="I307" s="691"/>
      <c r="J307" s="691"/>
      <c r="K307" s="691"/>
      <c r="L307" s="691"/>
      <c r="M307" s="691"/>
      <c r="N307" s="930"/>
      <c r="O307" s="930"/>
      <c r="P307" s="930"/>
      <c r="Q307" s="691"/>
      <c r="R307" s="691"/>
    </row>
    <row r="308" spans="2:18" ht="12" customHeight="1">
      <c r="B308" s="66"/>
      <c r="C308" s="66"/>
      <c r="D308" s="66"/>
      <c r="E308" s="691"/>
      <c r="F308" s="66"/>
      <c r="G308" s="691"/>
      <c r="H308" s="691"/>
      <c r="I308" s="691"/>
      <c r="J308" s="691"/>
      <c r="K308" s="691"/>
      <c r="L308" s="691"/>
      <c r="M308" s="691"/>
      <c r="N308" s="930"/>
      <c r="O308" s="930"/>
      <c r="P308" s="930"/>
      <c r="Q308" s="691"/>
      <c r="R308" s="691"/>
    </row>
    <row r="309" spans="2:18" ht="12" customHeight="1">
      <c r="B309" s="66"/>
      <c r="C309" s="66"/>
      <c r="D309" s="66"/>
      <c r="E309" s="691"/>
      <c r="F309" s="66"/>
      <c r="G309" s="691"/>
      <c r="H309" s="691"/>
      <c r="I309" s="691"/>
      <c r="J309" s="691"/>
      <c r="K309" s="691"/>
      <c r="L309" s="691"/>
      <c r="M309" s="691"/>
      <c r="N309" s="930"/>
      <c r="O309" s="930"/>
      <c r="P309" s="930"/>
      <c r="Q309" s="691"/>
      <c r="R309" s="691"/>
    </row>
    <row r="310" spans="2:18" ht="12" customHeight="1">
      <c r="B310" s="66"/>
      <c r="C310" s="66"/>
      <c r="D310" s="66"/>
      <c r="E310" s="691"/>
      <c r="F310" s="66"/>
      <c r="G310" s="691"/>
      <c r="H310" s="691"/>
      <c r="I310" s="691"/>
      <c r="J310" s="691"/>
      <c r="K310" s="691"/>
      <c r="L310" s="691"/>
      <c r="M310" s="691"/>
      <c r="N310" s="930"/>
      <c r="O310" s="930"/>
      <c r="P310" s="930"/>
      <c r="Q310" s="691"/>
      <c r="R310" s="691"/>
    </row>
    <row r="311" spans="2:18" ht="12" customHeight="1">
      <c r="B311" s="66"/>
      <c r="C311" s="66"/>
      <c r="D311" s="66"/>
      <c r="E311" s="691"/>
      <c r="F311" s="66"/>
      <c r="G311" s="691"/>
      <c r="H311" s="691"/>
      <c r="I311" s="691"/>
      <c r="J311" s="691"/>
      <c r="K311" s="691"/>
      <c r="L311" s="691"/>
      <c r="M311" s="691"/>
      <c r="N311" s="930"/>
      <c r="O311" s="930"/>
      <c r="P311" s="930"/>
      <c r="Q311" s="691"/>
      <c r="R311" s="691"/>
    </row>
    <row r="312" spans="2:18" ht="12" customHeight="1">
      <c r="B312" s="66"/>
      <c r="C312" s="66"/>
      <c r="D312" s="66"/>
      <c r="E312" s="691"/>
      <c r="F312" s="66"/>
      <c r="G312" s="691"/>
      <c r="H312" s="691"/>
      <c r="I312" s="691"/>
      <c r="J312" s="691"/>
      <c r="K312" s="691"/>
      <c r="L312" s="691"/>
      <c r="M312" s="691"/>
      <c r="N312" s="930"/>
      <c r="O312" s="930"/>
      <c r="P312" s="930"/>
      <c r="Q312" s="691"/>
      <c r="R312" s="691"/>
    </row>
    <row r="313" spans="2:18" ht="12" customHeight="1">
      <c r="B313" s="66"/>
      <c r="C313" s="66"/>
      <c r="D313" s="66"/>
      <c r="E313" s="691"/>
      <c r="F313" s="66"/>
      <c r="G313" s="691"/>
      <c r="H313" s="691"/>
      <c r="I313" s="691"/>
      <c r="J313" s="691"/>
      <c r="K313" s="691"/>
      <c r="L313" s="691"/>
      <c r="M313" s="691"/>
      <c r="N313" s="930"/>
      <c r="O313" s="930"/>
      <c r="P313" s="930"/>
      <c r="Q313" s="691"/>
      <c r="R313" s="691"/>
    </row>
    <row r="314" spans="2:18" ht="12" customHeight="1">
      <c r="B314" s="66"/>
      <c r="C314" s="66"/>
      <c r="D314" s="66"/>
      <c r="E314" s="691"/>
      <c r="F314" s="66"/>
      <c r="G314" s="691"/>
      <c r="H314" s="691"/>
      <c r="I314" s="691"/>
      <c r="J314" s="691"/>
      <c r="K314" s="691"/>
      <c r="L314" s="691"/>
      <c r="M314" s="691"/>
      <c r="N314" s="930"/>
      <c r="O314" s="930"/>
      <c r="P314" s="930"/>
      <c r="Q314" s="691"/>
      <c r="R314" s="691"/>
    </row>
    <row r="315" spans="2:18" ht="12" customHeight="1">
      <c r="B315" s="66"/>
      <c r="C315" s="66"/>
      <c r="D315" s="66"/>
      <c r="E315" s="691"/>
      <c r="F315" s="66"/>
      <c r="G315" s="691"/>
      <c r="H315" s="691"/>
      <c r="I315" s="691"/>
      <c r="J315" s="691"/>
      <c r="K315" s="691"/>
      <c r="L315" s="691"/>
      <c r="M315" s="691"/>
      <c r="N315" s="930"/>
      <c r="O315" s="930"/>
      <c r="P315" s="930"/>
      <c r="Q315" s="691"/>
      <c r="R315" s="691"/>
    </row>
    <row r="316" spans="2:18" ht="12" customHeight="1">
      <c r="B316" s="66"/>
      <c r="C316" s="66"/>
      <c r="D316" s="66"/>
      <c r="E316" s="691"/>
      <c r="F316" s="66"/>
      <c r="G316" s="691"/>
      <c r="H316" s="691"/>
      <c r="I316" s="691"/>
      <c r="J316" s="691"/>
      <c r="K316" s="691"/>
      <c r="L316" s="691"/>
      <c r="M316" s="691"/>
      <c r="N316" s="930"/>
      <c r="O316" s="930"/>
      <c r="P316" s="930"/>
      <c r="Q316" s="691"/>
      <c r="R316" s="691"/>
    </row>
    <row r="317" spans="2:18" ht="12" customHeight="1">
      <c r="B317" s="66"/>
      <c r="C317" s="66"/>
      <c r="D317" s="66"/>
      <c r="E317" s="691"/>
      <c r="F317" s="66"/>
      <c r="G317" s="691"/>
      <c r="H317" s="691"/>
      <c r="I317" s="691"/>
      <c r="J317" s="691"/>
      <c r="K317" s="691"/>
      <c r="L317" s="691"/>
      <c r="M317" s="691"/>
      <c r="N317" s="930"/>
      <c r="O317" s="930"/>
      <c r="P317" s="930"/>
      <c r="Q317" s="691"/>
      <c r="R317" s="691"/>
    </row>
    <row r="318" spans="2:18" ht="12" customHeight="1">
      <c r="B318" s="66"/>
      <c r="C318" s="66"/>
      <c r="D318" s="66"/>
      <c r="E318" s="691"/>
      <c r="F318" s="66"/>
      <c r="G318" s="691"/>
      <c r="H318" s="691"/>
      <c r="I318" s="691"/>
      <c r="J318" s="691"/>
      <c r="K318" s="691"/>
      <c r="L318" s="691"/>
      <c r="M318" s="691"/>
      <c r="N318" s="930"/>
      <c r="O318" s="930"/>
      <c r="P318" s="930"/>
      <c r="Q318" s="691"/>
      <c r="R318" s="691"/>
    </row>
    <row r="319" spans="2:18" ht="12" customHeight="1">
      <c r="B319" s="66"/>
      <c r="C319" s="66"/>
      <c r="D319" s="66"/>
      <c r="E319" s="691"/>
      <c r="F319" s="66"/>
      <c r="G319" s="691"/>
      <c r="H319" s="691"/>
      <c r="I319" s="691"/>
      <c r="J319" s="691"/>
      <c r="K319" s="691"/>
      <c r="L319" s="691"/>
      <c r="M319" s="691"/>
      <c r="N319" s="930"/>
      <c r="O319" s="930"/>
      <c r="P319" s="930"/>
      <c r="Q319" s="691"/>
      <c r="R319" s="691"/>
    </row>
    <row r="320" spans="2:18" ht="12" customHeight="1">
      <c r="B320" s="66"/>
      <c r="C320" s="66"/>
      <c r="D320" s="66"/>
      <c r="E320" s="691"/>
      <c r="F320" s="66"/>
      <c r="G320" s="691"/>
      <c r="H320" s="691"/>
      <c r="I320" s="691"/>
      <c r="J320" s="691"/>
      <c r="K320" s="691"/>
      <c r="L320" s="691"/>
      <c r="M320" s="691"/>
      <c r="N320" s="930"/>
      <c r="O320" s="930"/>
      <c r="P320" s="930"/>
      <c r="Q320" s="691"/>
      <c r="R320" s="691"/>
    </row>
    <row r="321" spans="2:18" ht="12" customHeight="1">
      <c r="B321" s="66"/>
      <c r="C321" s="66"/>
      <c r="D321" s="66"/>
      <c r="E321" s="691"/>
      <c r="F321" s="66"/>
      <c r="G321" s="691"/>
      <c r="H321" s="691"/>
      <c r="I321" s="691"/>
      <c r="J321" s="691"/>
      <c r="K321" s="691"/>
      <c r="L321" s="691"/>
      <c r="M321" s="691"/>
      <c r="N321" s="930"/>
      <c r="O321" s="930"/>
      <c r="P321" s="930"/>
      <c r="Q321" s="691"/>
      <c r="R321" s="691"/>
    </row>
    <row r="322" spans="2:18" ht="12" customHeight="1">
      <c r="B322" s="66"/>
      <c r="C322" s="66"/>
      <c r="D322" s="66"/>
      <c r="E322" s="691"/>
      <c r="F322" s="66"/>
      <c r="G322" s="691"/>
      <c r="H322" s="691"/>
      <c r="I322" s="691"/>
      <c r="J322" s="691"/>
      <c r="K322" s="691"/>
      <c r="L322" s="691"/>
      <c r="M322" s="691"/>
      <c r="N322" s="930"/>
      <c r="O322" s="930"/>
      <c r="P322" s="930"/>
      <c r="Q322" s="691"/>
      <c r="R322" s="691"/>
    </row>
    <row r="323" spans="2:18" ht="12" customHeight="1">
      <c r="B323" s="66"/>
      <c r="C323" s="66"/>
      <c r="D323" s="66"/>
      <c r="E323" s="691"/>
      <c r="F323" s="66"/>
      <c r="G323" s="691"/>
      <c r="H323" s="691"/>
      <c r="I323" s="691"/>
      <c r="J323" s="691"/>
      <c r="K323" s="691"/>
      <c r="L323" s="691"/>
      <c r="M323" s="691"/>
      <c r="N323" s="930"/>
      <c r="O323" s="930"/>
      <c r="P323" s="930"/>
      <c r="Q323" s="691"/>
      <c r="R323" s="691"/>
    </row>
    <row r="324" spans="2:18" ht="12" customHeight="1">
      <c r="B324" s="66"/>
      <c r="C324" s="66"/>
      <c r="D324" s="66"/>
      <c r="E324" s="691"/>
      <c r="F324" s="66"/>
      <c r="G324" s="691"/>
      <c r="H324" s="691"/>
      <c r="I324" s="691"/>
      <c r="J324" s="691"/>
      <c r="K324" s="691"/>
      <c r="L324" s="691"/>
      <c r="M324" s="691"/>
      <c r="N324" s="930"/>
      <c r="O324" s="930"/>
      <c r="P324" s="930"/>
      <c r="Q324" s="691"/>
      <c r="R324" s="691"/>
    </row>
    <row r="325" spans="2:18" ht="12" customHeight="1">
      <c r="B325" s="66"/>
      <c r="C325" s="66"/>
      <c r="D325" s="66"/>
      <c r="E325" s="691"/>
      <c r="F325" s="66"/>
      <c r="G325" s="691"/>
      <c r="H325" s="691"/>
      <c r="I325" s="691"/>
      <c r="J325" s="691"/>
      <c r="K325" s="691"/>
      <c r="L325" s="691"/>
      <c r="M325" s="691"/>
      <c r="N325" s="930"/>
      <c r="O325" s="930"/>
      <c r="P325" s="930"/>
      <c r="Q325" s="691"/>
      <c r="R325" s="691"/>
    </row>
    <row r="326" spans="2:18" ht="12" customHeight="1">
      <c r="B326" s="66"/>
      <c r="C326" s="66"/>
      <c r="D326" s="66"/>
      <c r="E326" s="691"/>
      <c r="F326" s="66"/>
      <c r="G326" s="691"/>
      <c r="H326" s="691"/>
      <c r="I326" s="691"/>
      <c r="J326" s="691"/>
      <c r="K326" s="691"/>
      <c r="L326" s="691"/>
      <c r="M326" s="691"/>
      <c r="N326" s="930"/>
      <c r="O326" s="930"/>
      <c r="P326" s="930"/>
      <c r="Q326" s="691"/>
      <c r="R326" s="691"/>
    </row>
    <row r="327" spans="2:18" ht="12" customHeight="1">
      <c r="B327" s="66"/>
      <c r="C327" s="66"/>
      <c r="D327" s="66"/>
      <c r="E327" s="691"/>
      <c r="F327" s="66"/>
      <c r="G327" s="691"/>
      <c r="H327" s="691"/>
      <c r="I327" s="691"/>
      <c r="J327" s="691"/>
      <c r="K327" s="691"/>
      <c r="L327" s="691"/>
      <c r="M327" s="691"/>
      <c r="N327" s="930"/>
      <c r="O327" s="930"/>
      <c r="P327" s="930"/>
      <c r="Q327" s="691"/>
      <c r="R327" s="691"/>
    </row>
    <row r="328" spans="2:18" ht="12" customHeight="1">
      <c r="B328" s="66"/>
      <c r="C328" s="66"/>
      <c r="D328" s="66"/>
      <c r="E328" s="691"/>
      <c r="F328" s="66"/>
      <c r="G328" s="691"/>
      <c r="H328" s="691"/>
      <c r="I328" s="691"/>
      <c r="J328" s="691"/>
      <c r="K328" s="691"/>
      <c r="L328" s="691"/>
      <c r="M328" s="691"/>
      <c r="N328" s="930"/>
      <c r="O328" s="930"/>
      <c r="P328" s="930"/>
      <c r="Q328" s="691"/>
      <c r="R328" s="691"/>
    </row>
    <row r="329" spans="2:18" ht="12" customHeight="1">
      <c r="B329" s="66"/>
      <c r="C329" s="66"/>
      <c r="D329" s="66"/>
      <c r="E329" s="691"/>
      <c r="F329" s="66"/>
      <c r="G329" s="691"/>
      <c r="H329" s="691"/>
      <c r="I329" s="691"/>
      <c r="J329" s="691"/>
      <c r="K329" s="691"/>
      <c r="L329" s="691"/>
      <c r="M329" s="691"/>
      <c r="N329" s="930"/>
      <c r="O329" s="930"/>
      <c r="P329" s="930"/>
      <c r="Q329" s="691"/>
      <c r="R329" s="691"/>
    </row>
    <row r="330" spans="2:18" ht="12" customHeight="1">
      <c r="B330" s="66"/>
      <c r="C330" s="66"/>
      <c r="D330" s="66"/>
      <c r="E330" s="691"/>
      <c r="F330" s="66"/>
      <c r="G330" s="691"/>
      <c r="H330" s="691"/>
      <c r="I330" s="691"/>
      <c r="J330" s="691"/>
      <c r="K330" s="691"/>
      <c r="L330" s="691"/>
      <c r="M330" s="691"/>
      <c r="N330" s="930"/>
      <c r="O330" s="930"/>
      <c r="P330" s="930"/>
      <c r="Q330" s="691"/>
      <c r="R330" s="691"/>
    </row>
    <row r="331" spans="2:18" ht="12" customHeight="1">
      <c r="B331" s="66"/>
      <c r="C331" s="66"/>
      <c r="D331" s="66"/>
      <c r="E331" s="691"/>
      <c r="F331" s="66"/>
      <c r="G331" s="691"/>
      <c r="H331" s="691"/>
      <c r="I331" s="691"/>
      <c r="J331" s="691"/>
      <c r="K331" s="691"/>
      <c r="L331" s="691"/>
      <c r="M331" s="691"/>
      <c r="N331" s="930"/>
      <c r="O331" s="930"/>
      <c r="P331" s="930"/>
      <c r="Q331" s="691"/>
      <c r="R331" s="691"/>
    </row>
    <row r="332" spans="2:18" ht="12" customHeight="1">
      <c r="B332" s="66"/>
      <c r="C332" s="66"/>
      <c r="D332" s="66"/>
      <c r="E332" s="691"/>
      <c r="F332" s="66"/>
      <c r="G332" s="691"/>
      <c r="H332" s="691"/>
      <c r="I332" s="691"/>
      <c r="J332" s="691"/>
      <c r="K332" s="691"/>
      <c r="L332" s="691"/>
      <c r="M332" s="691"/>
      <c r="N332" s="930"/>
      <c r="O332" s="930"/>
      <c r="P332" s="930"/>
      <c r="Q332" s="691"/>
      <c r="R332" s="691"/>
    </row>
    <row r="333" spans="2:18" ht="12" customHeight="1">
      <c r="B333" s="66"/>
      <c r="C333" s="66"/>
      <c r="D333" s="66"/>
      <c r="E333" s="691"/>
      <c r="F333" s="66"/>
      <c r="G333" s="691"/>
      <c r="H333" s="691"/>
      <c r="I333" s="691"/>
      <c r="J333" s="691"/>
      <c r="K333" s="691"/>
      <c r="L333" s="691"/>
      <c r="M333" s="691"/>
      <c r="N333" s="930"/>
      <c r="O333" s="930"/>
      <c r="P333" s="930"/>
      <c r="Q333" s="691"/>
      <c r="R333" s="691"/>
    </row>
    <row r="334" spans="2:18" ht="12" customHeight="1">
      <c r="B334" s="66"/>
      <c r="C334" s="66"/>
      <c r="D334" s="66"/>
      <c r="E334" s="691"/>
      <c r="F334" s="66"/>
      <c r="G334" s="691"/>
      <c r="H334" s="691"/>
      <c r="I334" s="691"/>
      <c r="J334" s="691"/>
      <c r="K334" s="691"/>
      <c r="L334" s="691"/>
      <c r="M334" s="691"/>
      <c r="N334" s="930"/>
      <c r="O334" s="930"/>
      <c r="P334" s="930"/>
      <c r="Q334" s="691"/>
      <c r="R334" s="691"/>
    </row>
    <row r="335" spans="2:18" ht="12" customHeight="1">
      <c r="B335" s="66"/>
      <c r="C335" s="66"/>
      <c r="D335" s="66"/>
      <c r="E335" s="691"/>
      <c r="F335" s="66"/>
      <c r="G335" s="691"/>
      <c r="H335" s="691"/>
      <c r="I335" s="691"/>
      <c r="J335" s="691"/>
      <c r="K335" s="691"/>
      <c r="L335" s="691"/>
      <c r="M335" s="691"/>
      <c r="N335" s="930"/>
      <c r="O335" s="930"/>
      <c r="P335" s="930"/>
      <c r="Q335" s="691"/>
      <c r="R335" s="691"/>
    </row>
    <row r="336" spans="2:18" ht="12" customHeight="1">
      <c r="B336" s="66"/>
      <c r="C336" s="66"/>
      <c r="D336" s="66"/>
      <c r="E336" s="691"/>
      <c r="F336" s="66"/>
      <c r="G336" s="691"/>
      <c r="H336" s="691"/>
      <c r="I336" s="691"/>
      <c r="J336" s="691"/>
      <c r="K336" s="691"/>
      <c r="L336" s="691"/>
      <c r="M336" s="691"/>
      <c r="N336" s="930"/>
      <c r="O336" s="930"/>
      <c r="P336" s="930"/>
      <c r="Q336" s="691"/>
      <c r="R336" s="691"/>
    </row>
    <row r="337" spans="2:18" ht="12" customHeight="1">
      <c r="B337" s="66"/>
      <c r="C337" s="66"/>
      <c r="D337" s="66"/>
      <c r="E337" s="691"/>
      <c r="F337" s="66"/>
      <c r="G337" s="691"/>
      <c r="H337" s="691"/>
      <c r="I337" s="691"/>
      <c r="J337" s="691"/>
      <c r="K337" s="691"/>
      <c r="L337" s="691"/>
      <c r="M337" s="691"/>
      <c r="N337" s="930"/>
      <c r="O337" s="930"/>
      <c r="P337" s="930"/>
      <c r="Q337" s="691"/>
      <c r="R337" s="691"/>
    </row>
    <row r="338" spans="2:18" ht="12" customHeight="1">
      <c r="B338" s="66"/>
      <c r="C338" s="66"/>
      <c r="D338" s="66"/>
      <c r="E338" s="691"/>
      <c r="F338" s="66"/>
      <c r="G338" s="691"/>
      <c r="H338" s="691"/>
      <c r="I338" s="691"/>
      <c r="J338" s="691"/>
      <c r="K338" s="691"/>
      <c r="L338" s="691"/>
      <c r="M338" s="691"/>
      <c r="N338" s="930"/>
      <c r="O338" s="930"/>
      <c r="P338" s="930"/>
      <c r="Q338" s="691"/>
      <c r="R338" s="691"/>
    </row>
    <row r="339" spans="2:18" ht="12" customHeight="1">
      <c r="B339" s="66"/>
      <c r="C339" s="66"/>
      <c r="D339" s="66"/>
      <c r="E339" s="691"/>
      <c r="F339" s="66"/>
      <c r="G339" s="691"/>
      <c r="H339" s="691"/>
      <c r="I339" s="691"/>
      <c r="J339" s="691"/>
      <c r="K339" s="691"/>
      <c r="L339" s="691"/>
      <c r="M339" s="691"/>
      <c r="N339" s="930"/>
      <c r="O339" s="930"/>
      <c r="P339" s="930"/>
      <c r="Q339" s="691"/>
      <c r="R339" s="691"/>
    </row>
    <row r="340" spans="2:18" ht="12" customHeight="1">
      <c r="B340" s="66"/>
      <c r="C340" s="66"/>
      <c r="D340" s="66"/>
      <c r="E340" s="691"/>
      <c r="F340" s="66"/>
      <c r="G340" s="691"/>
      <c r="H340" s="691"/>
      <c r="I340" s="691"/>
      <c r="J340" s="691"/>
      <c r="K340" s="691"/>
      <c r="L340" s="691"/>
      <c r="M340" s="691"/>
      <c r="N340" s="930"/>
      <c r="O340" s="930"/>
      <c r="P340" s="930"/>
      <c r="Q340" s="691"/>
      <c r="R340" s="691"/>
    </row>
    <row r="341" spans="2:18" ht="12" customHeight="1">
      <c r="B341" s="66"/>
      <c r="C341" s="66"/>
      <c r="D341" s="66"/>
      <c r="E341" s="691"/>
      <c r="F341" s="66"/>
      <c r="G341" s="691"/>
      <c r="H341" s="691"/>
      <c r="I341" s="691"/>
      <c r="J341" s="691"/>
      <c r="K341" s="691"/>
      <c r="L341" s="691"/>
      <c r="M341" s="691"/>
      <c r="N341" s="930"/>
      <c r="O341" s="930"/>
      <c r="P341" s="930"/>
      <c r="Q341" s="691"/>
      <c r="R341" s="691"/>
    </row>
    <row r="342" spans="2:18" ht="12" customHeight="1">
      <c r="B342" s="66"/>
      <c r="C342" s="66"/>
      <c r="D342" s="66"/>
      <c r="E342" s="691"/>
      <c r="F342" s="66"/>
      <c r="G342" s="691"/>
      <c r="H342" s="691"/>
      <c r="I342" s="691"/>
      <c r="J342" s="691"/>
      <c r="K342" s="691"/>
      <c r="L342" s="691"/>
      <c r="M342" s="691"/>
      <c r="N342" s="930"/>
      <c r="O342" s="930"/>
      <c r="P342" s="930"/>
      <c r="Q342" s="691"/>
      <c r="R342" s="691"/>
    </row>
    <row r="343" spans="2:18" ht="12" customHeight="1">
      <c r="B343" s="66"/>
      <c r="C343" s="66"/>
      <c r="D343" s="66"/>
      <c r="E343" s="691"/>
      <c r="F343" s="66"/>
      <c r="G343" s="691"/>
      <c r="H343" s="691"/>
      <c r="I343" s="691"/>
      <c r="J343" s="691"/>
      <c r="K343" s="691"/>
      <c r="L343" s="691"/>
      <c r="M343" s="691"/>
      <c r="N343" s="930"/>
      <c r="O343" s="930"/>
      <c r="P343" s="930"/>
      <c r="Q343" s="691"/>
      <c r="R343" s="691"/>
    </row>
    <row r="344" spans="2:18" ht="12" customHeight="1">
      <c r="B344" s="66"/>
      <c r="C344" s="66"/>
      <c r="D344" s="66"/>
      <c r="E344" s="691"/>
      <c r="F344" s="66"/>
      <c r="G344" s="691"/>
      <c r="H344" s="691"/>
      <c r="I344" s="691"/>
      <c r="J344" s="691"/>
      <c r="K344" s="691"/>
      <c r="L344" s="691"/>
      <c r="M344" s="691"/>
      <c r="N344" s="930"/>
      <c r="O344" s="930"/>
      <c r="P344" s="930"/>
      <c r="Q344" s="691"/>
      <c r="R344" s="691"/>
    </row>
    <row r="345" spans="2:18" ht="12" customHeight="1">
      <c r="B345" s="66"/>
      <c r="C345" s="66"/>
      <c r="D345" s="66"/>
      <c r="E345" s="691"/>
      <c r="F345" s="66"/>
      <c r="G345" s="691"/>
      <c r="H345" s="691"/>
      <c r="I345" s="691"/>
      <c r="J345" s="691"/>
      <c r="K345" s="691"/>
      <c r="L345" s="691"/>
      <c r="M345" s="691"/>
      <c r="N345" s="930"/>
      <c r="O345" s="930"/>
      <c r="P345" s="930"/>
      <c r="Q345" s="691"/>
      <c r="R345" s="691"/>
    </row>
    <row r="346" spans="2:18" ht="12" customHeight="1">
      <c r="B346" s="66"/>
      <c r="C346" s="66"/>
      <c r="D346" s="66"/>
      <c r="E346" s="691"/>
      <c r="F346" s="66"/>
      <c r="G346" s="691"/>
      <c r="H346" s="691"/>
      <c r="I346" s="691"/>
      <c r="J346" s="691"/>
      <c r="K346" s="691"/>
      <c r="L346" s="691"/>
      <c r="M346" s="691"/>
      <c r="N346" s="930"/>
      <c r="O346" s="930"/>
      <c r="P346" s="930"/>
      <c r="Q346" s="691"/>
      <c r="R346" s="691"/>
    </row>
    <row r="347" spans="2:18" ht="12" customHeight="1">
      <c r="B347" s="66"/>
      <c r="C347" s="66"/>
      <c r="D347" s="66"/>
      <c r="E347" s="691"/>
      <c r="F347" s="66"/>
      <c r="G347" s="691"/>
      <c r="H347" s="691"/>
      <c r="I347" s="691"/>
      <c r="J347" s="691"/>
      <c r="K347" s="691"/>
      <c r="L347" s="691"/>
      <c r="M347" s="691"/>
      <c r="N347" s="930"/>
      <c r="O347" s="930"/>
      <c r="P347" s="930"/>
      <c r="Q347" s="691"/>
      <c r="R347" s="691"/>
    </row>
    <row r="348" spans="2:18" ht="12" customHeight="1">
      <c r="B348" s="66"/>
      <c r="C348" s="66"/>
      <c r="D348" s="66"/>
      <c r="E348" s="691"/>
      <c r="F348" s="66"/>
      <c r="G348" s="691"/>
      <c r="H348" s="691"/>
      <c r="I348" s="691"/>
      <c r="J348" s="691"/>
      <c r="K348" s="691"/>
      <c r="L348" s="691"/>
      <c r="M348" s="691"/>
      <c r="N348" s="930"/>
      <c r="O348" s="930"/>
      <c r="P348" s="930"/>
      <c r="Q348" s="691"/>
      <c r="R348" s="691"/>
    </row>
    <row r="349" spans="2:18" ht="12" customHeight="1">
      <c r="B349" s="66"/>
      <c r="C349" s="66"/>
      <c r="D349" s="66"/>
      <c r="E349" s="691"/>
      <c r="F349" s="66"/>
      <c r="G349" s="691"/>
      <c r="H349" s="691"/>
      <c r="I349" s="691"/>
      <c r="J349" s="691"/>
      <c r="K349" s="691"/>
      <c r="L349" s="691"/>
      <c r="M349" s="691"/>
      <c r="N349" s="930"/>
      <c r="O349" s="930"/>
      <c r="P349" s="930"/>
      <c r="Q349" s="691"/>
      <c r="R349" s="691"/>
    </row>
    <row r="350" spans="2:18" ht="12" customHeight="1">
      <c r="B350" s="66"/>
      <c r="C350" s="66"/>
      <c r="D350" s="66"/>
      <c r="E350" s="691"/>
      <c r="F350" s="66"/>
      <c r="G350" s="691"/>
      <c r="H350" s="691"/>
      <c r="I350" s="691"/>
      <c r="J350" s="691"/>
      <c r="K350" s="691"/>
      <c r="L350" s="691"/>
      <c r="M350" s="691"/>
      <c r="N350" s="930"/>
      <c r="O350" s="930"/>
      <c r="P350" s="930"/>
      <c r="Q350" s="691"/>
      <c r="R350" s="691"/>
    </row>
    <row r="351" spans="2:18" ht="12" customHeight="1">
      <c r="B351" s="66"/>
      <c r="C351" s="66"/>
      <c r="D351" s="66"/>
      <c r="E351" s="691"/>
      <c r="F351" s="66"/>
      <c r="G351" s="691"/>
      <c r="H351" s="691"/>
      <c r="I351" s="691"/>
      <c r="J351" s="691"/>
      <c r="K351" s="691"/>
      <c r="L351" s="691"/>
      <c r="M351" s="691"/>
      <c r="N351" s="930"/>
      <c r="O351" s="930"/>
      <c r="P351" s="930"/>
      <c r="Q351" s="691"/>
      <c r="R351" s="691"/>
    </row>
    <row r="352" spans="2:18" ht="12" customHeight="1">
      <c r="B352" s="66"/>
      <c r="C352" s="66"/>
      <c r="D352" s="66"/>
      <c r="E352" s="691"/>
      <c r="F352" s="66"/>
      <c r="G352" s="691"/>
      <c r="H352" s="691"/>
      <c r="I352" s="691"/>
      <c r="J352" s="691"/>
      <c r="K352" s="691"/>
      <c r="L352" s="691"/>
      <c r="M352" s="691"/>
      <c r="N352" s="930"/>
      <c r="O352" s="930"/>
      <c r="P352" s="930"/>
      <c r="Q352" s="691"/>
      <c r="R352" s="691"/>
    </row>
    <row r="353" spans="2:18" ht="12" customHeight="1">
      <c r="B353" s="66"/>
      <c r="C353" s="66"/>
      <c r="D353" s="66"/>
      <c r="E353" s="691"/>
      <c r="F353" s="66"/>
      <c r="G353" s="691"/>
      <c r="H353" s="691"/>
      <c r="I353" s="691"/>
      <c r="J353" s="691"/>
      <c r="K353" s="691"/>
      <c r="L353" s="691"/>
      <c r="M353" s="691"/>
      <c r="N353" s="930"/>
      <c r="O353" s="930"/>
      <c r="P353" s="930"/>
      <c r="Q353" s="691"/>
      <c r="R353" s="691"/>
    </row>
    <row r="354" spans="2:18" ht="12" customHeight="1">
      <c r="B354" s="66"/>
      <c r="C354" s="66"/>
      <c r="D354" s="66"/>
      <c r="E354" s="691"/>
      <c r="F354" s="66"/>
      <c r="G354" s="691"/>
      <c r="H354" s="691"/>
      <c r="I354" s="691"/>
      <c r="J354" s="691"/>
      <c r="K354" s="691"/>
      <c r="L354" s="691"/>
      <c r="M354" s="691"/>
      <c r="N354" s="930"/>
      <c r="O354" s="930"/>
      <c r="P354" s="930"/>
      <c r="Q354" s="691"/>
      <c r="R354" s="691"/>
    </row>
    <row r="355" spans="2:18" ht="12" customHeight="1">
      <c r="B355" s="66"/>
      <c r="C355" s="66"/>
      <c r="D355" s="66"/>
      <c r="E355" s="691"/>
      <c r="F355" s="66"/>
      <c r="G355" s="691"/>
      <c r="H355" s="691"/>
      <c r="I355" s="691"/>
      <c r="J355" s="691"/>
      <c r="K355" s="691"/>
      <c r="L355" s="691"/>
      <c r="M355" s="691"/>
      <c r="N355" s="930"/>
      <c r="O355" s="930"/>
      <c r="P355" s="930"/>
      <c r="Q355" s="691"/>
      <c r="R355" s="691"/>
    </row>
    <row r="356" spans="2:18" ht="12" customHeight="1">
      <c r="B356" s="66"/>
      <c r="C356" s="66"/>
      <c r="D356" s="66"/>
      <c r="E356" s="691"/>
      <c r="F356" s="66"/>
      <c r="G356" s="691"/>
      <c r="H356" s="691"/>
      <c r="I356" s="691"/>
      <c r="J356" s="691"/>
      <c r="K356" s="691"/>
      <c r="L356" s="691"/>
      <c r="M356" s="691"/>
      <c r="N356" s="930"/>
      <c r="O356" s="930"/>
      <c r="P356" s="930"/>
      <c r="Q356" s="691"/>
      <c r="R356" s="691"/>
    </row>
    <row r="357" spans="2:18" ht="12" customHeight="1">
      <c r="B357" s="66"/>
      <c r="C357" s="66"/>
      <c r="D357" s="66"/>
      <c r="E357" s="691"/>
      <c r="F357" s="66"/>
      <c r="G357" s="691"/>
      <c r="H357" s="691"/>
      <c r="I357" s="691"/>
      <c r="J357" s="691"/>
      <c r="K357" s="691"/>
      <c r="L357" s="691"/>
      <c r="M357" s="691"/>
      <c r="N357" s="930"/>
      <c r="O357" s="930"/>
      <c r="P357" s="930"/>
      <c r="Q357" s="691"/>
      <c r="R357" s="691"/>
    </row>
    <row r="358" spans="2:18" ht="12" customHeight="1">
      <c r="B358" s="66"/>
      <c r="C358" s="66"/>
      <c r="D358" s="66"/>
      <c r="E358" s="691"/>
      <c r="F358" s="66"/>
      <c r="G358" s="691"/>
      <c r="H358" s="691"/>
      <c r="I358" s="691"/>
      <c r="J358" s="691"/>
      <c r="K358" s="691"/>
      <c r="L358" s="691"/>
      <c r="M358" s="691"/>
      <c r="N358" s="930"/>
      <c r="O358" s="930"/>
      <c r="P358" s="930"/>
      <c r="Q358" s="691"/>
      <c r="R358" s="691"/>
    </row>
    <row r="359" spans="2:18" ht="12" customHeight="1">
      <c r="B359" s="66"/>
      <c r="C359" s="66"/>
      <c r="D359" s="66"/>
      <c r="E359" s="691"/>
      <c r="F359" s="66"/>
      <c r="G359" s="691"/>
      <c r="H359" s="691"/>
      <c r="I359" s="691"/>
      <c r="J359" s="691"/>
      <c r="K359" s="691"/>
      <c r="L359" s="691"/>
      <c r="M359" s="691"/>
      <c r="N359" s="930"/>
      <c r="O359" s="930"/>
      <c r="P359" s="930"/>
      <c r="Q359" s="691"/>
      <c r="R359" s="691"/>
    </row>
    <row r="360" spans="2:18" ht="12" customHeight="1">
      <c r="B360" s="66"/>
      <c r="C360" s="66"/>
      <c r="D360" s="66"/>
      <c r="E360" s="691"/>
      <c r="F360" s="66"/>
      <c r="G360" s="691"/>
      <c r="H360" s="691"/>
      <c r="I360" s="691"/>
      <c r="J360" s="691"/>
      <c r="K360" s="691"/>
      <c r="L360" s="691"/>
      <c r="M360" s="691"/>
      <c r="N360" s="930"/>
      <c r="O360" s="930"/>
      <c r="P360" s="930"/>
      <c r="Q360" s="691"/>
      <c r="R360" s="691"/>
    </row>
    <row r="361" spans="2:18" ht="12" customHeight="1">
      <c r="B361" s="66"/>
      <c r="C361" s="66"/>
      <c r="D361" s="66"/>
      <c r="E361" s="691"/>
      <c r="F361" s="66"/>
      <c r="G361" s="691"/>
      <c r="H361" s="691"/>
      <c r="I361" s="691"/>
      <c r="J361" s="691"/>
      <c r="K361" s="691"/>
      <c r="L361" s="691"/>
      <c r="M361" s="691"/>
      <c r="N361" s="930"/>
      <c r="O361" s="930"/>
      <c r="P361" s="930"/>
      <c r="Q361" s="691"/>
      <c r="R361" s="691"/>
    </row>
    <row r="362" spans="2:18" ht="12" customHeight="1">
      <c r="B362" s="66"/>
      <c r="C362" s="66"/>
      <c r="D362" s="66"/>
      <c r="E362" s="691"/>
      <c r="F362" s="66"/>
      <c r="G362" s="691"/>
      <c r="H362" s="691"/>
      <c r="I362" s="691"/>
      <c r="J362" s="691"/>
      <c r="K362" s="691"/>
      <c r="L362" s="691"/>
      <c r="M362" s="691"/>
      <c r="N362" s="930"/>
      <c r="O362" s="930"/>
      <c r="P362" s="930"/>
      <c r="Q362" s="691"/>
      <c r="R362" s="691"/>
    </row>
    <row r="363" spans="2:18" ht="12" customHeight="1">
      <c r="B363" s="66"/>
      <c r="C363" s="66"/>
      <c r="D363" s="66"/>
      <c r="E363" s="691"/>
      <c r="F363" s="66"/>
      <c r="G363" s="691"/>
      <c r="H363" s="691"/>
      <c r="I363" s="691"/>
      <c r="J363" s="691"/>
      <c r="K363" s="691"/>
      <c r="L363" s="691"/>
      <c r="M363" s="691"/>
      <c r="N363" s="930"/>
      <c r="O363" s="930"/>
      <c r="P363" s="930"/>
      <c r="Q363" s="691"/>
      <c r="R363" s="691"/>
    </row>
    <row r="364" spans="2:18" ht="12" customHeight="1">
      <c r="B364" s="66"/>
      <c r="C364" s="66"/>
      <c r="D364" s="66"/>
      <c r="E364" s="691"/>
      <c r="F364" s="66"/>
      <c r="G364" s="691"/>
      <c r="H364" s="691"/>
      <c r="I364" s="691"/>
      <c r="J364" s="691"/>
      <c r="K364" s="691"/>
      <c r="L364" s="691"/>
      <c r="M364" s="691"/>
      <c r="N364" s="930"/>
      <c r="O364" s="930"/>
      <c r="P364" s="930"/>
      <c r="Q364" s="691"/>
      <c r="R364" s="691"/>
    </row>
    <row r="365" spans="2:18" ht="12" customHeight="1">
      <c r="B365" s="66"/>
      <c r="C365" s="66"/>
      <c r="D365" s="66"/>
      <c r="E365" s="691"/>
      <c r="F365" s="66"/>
      <c r="G365" s="691"/>
      <c r="H365" s="691"/>
      <c r="I365" s="691"/>
      <c r="J365" s="691"/>
      <c r="K365" s="691"/>
      <c r="L365" s="691"/>
      <c r="M365" s="691"/>
      <c r="N365" s="930"/>
      <c r="O365" s="930"/>
      <c r="P365" s="930"/>
      <c r="Q365" s="691"/>
      <c r="R365" s="691"/>
    </row>
    <row r="366" spans="2:18" ht="12" customHeight="1">
      <c r="B366" s="66"/>
      <c r="C366" s="66"/>
      <c r="D366" s="66"/>
      <c r="E366" s="691"/>
      <c r="F366" s="66"/>
      <c r="G366" s="691"/>
      <c r="H366" s="691"/>
      <c r="I366" s="691"/>
      <c r="J366" s="691"/>
      <c r="K366" s="691"/>
      <c r="L366" s="691"/>
      <c r="M366" s="691"/>
      <c r="N366" s="930"/>
      <c r="O366" s="930"/>
      <c r="P366" s="930"/>
      <c r="Q366" s="691"/>
      <c r="R366" s="691"/>
    </row>
    <row r="367" spans="2:18" ht="12" customHeight="1">
      <c r="B367" s="66"/>
      <c r="C367" s="66"/>
      <c r="D367" s="66"/>
      <c r="E367" s="691"/>
      <c r="F367" s="66"/>
      <c r="G367" s="691"/>
      <c r="H367" s="691"/>
      <c r="I367" s="691"/>
      <c r="J367" s="691"/>
      <c r="K367" s="691"/>
      <c r="L367" s="691"/>
      <c r="M367" s="691"/>
      <c r="N367" s="930"/>
      <c r="O367" s="930"/>
      <c r="P367" s="930"/>
      <c r="Q367" s="691"/>
      <c r="R367" s="691"/>
    </row>
    <row r="368" spans="2:18" ht="12" customHeight="1">
      <c r="B368" s="66"/>
      <c r="C368" s="66"/>
      <c r="D368" s="66"/>
      <c r="E368" s="691"/>
      <c r="F368" s="66"/>
      <c r="G368" s="691"/>
      <c r="H368" s="691"/>
      <c r="I368" s="691"/>
      <c r="J368" s="691"/>
      <c r="K368" s="691"/>
      <c r="L368" s="691"/>
      <c r="M368" s="691"/>
      <c r="N368" s="930"/>
      <c r="O368" s="930"/>
      <c r="P368" s="930"/>
      <c r="Q368" s="691"/>
      <c r="R368" s="691"/>
    </row>
    <row r="369" spans="2:18" ht="12" customHeight="1">
      <c r="B369" s="66"/>
      <c r="C369" s="66"/>
      <c r="D369" s="66"/>
      <c r="E369" s="691"/>
      <c r="F369" s="66"/>
      <c r="G369" s="691"/>
      <c r="H369" s="691"/>
      <c r="I369" s="691"/>
      <c r="J369" s="691"/>
      <c r="K369" s="691"/>
      <c r="L369" s="691"/>
      <c r="M369" s="691"/>
      <c r="N369" s="930"/>
      <c r="O369" s="930"/>
      <c r="P369" s="930"/>
      <c r="Q369" s="691"/>
      <c r="R369" s="691"/>
    </row>
    <row r="370" spans="2:18" ht="12" customHeight="1">
      <c r="B370" s="66"/>
      <c r="C370" s="66"/>
      <c r="D370" s="66"/>
      <c r="E370" s="691"/>
      <c r="F370" s="66"/>
      <c r="G370" s="691"/>
      <c r="H370" s="691"/>
      <c r="I370" s="691"/>
      <c r="J370" s="691"/>
      <c r="K370" s="691"/>
      <c r="L370" s="691"/>
      <c r="M370" s="691"/>
      <c r="N370" s="930"/>
      <c r="O370" s="930"/>
      <c r="P370" s="930"/>
      <c r="Q370" s="691"/>
      <c r="R370" s="691"/>
    </row>
    <row r="371" spans="2:18" ht="12" customHeight="1">
      <c r="B371" s="66"/>
      <c r="C371" s="66"/>
      <c r="D371" s="66"/>
      <c r="E371" s="691"/>
      <c r="F371" s="66"/>
      <c r="G371" s="691"/>
      <c r="H371" s="691"/>
      <c r="I371" s="691"/>
      <c r="J371" s="691"/>
      <c r="K371" s="691"/>
      <c r="L371" s="691"/>
      <c r="M371" s="691"/>
      <c r="N371" s="930"/>
      <c r="O371" s="930"/>
      <c r="P371" s="930"/>
      <c r="Q371" s="691"/>
      <c r="R371" s="691"/>
    </row>
    <row r="372" spans="2:18" ht="12" customHeight="1">
      <c r="B372" s="66"/>
      <c r="C372" s="66"/>
      <c r="D372" s="66"/>
      <c r="E372" s="691"/>
      <c r="F372" s="66"/>
      <c r="G372" s="691"/>
      <c r="H372" s="691"/>
      <c r="I372" s="691"/>
      <c r="J372" s="691"/>
      <c r="K372" s="691"/>
      <c r="L372" s="691"/>
      <c r="M372" s="691"/>
      <c r="N372" s="930"/>
      <c r="O372" s="930"/>
      <c r="P372" s="930"/>
      <c r="Q372" s="691"/>
      <c r="R372" s="691"/>
    </row>
    <row r="373" spans="2:18" ht="12" customHeight="1">
      <c r="B373" s="66"/>
      <c r="C373" s="66"/>
      <c r="D373" s="66"/>
      <c r="E373" s="691"/>
      <c r="F373" s="66"/>
      <c r="G373" s="691"/>
      <c r="H373" s="691"/>
      <c r="I373" s="691"/>
      <c r="J373" s="691"/>
      <c r="K373" s="691"/>
      <c r="L373" s="691"/>
      <c r="M373" s="691"/>
      <c r="N373" s="930"/>
      <c r="O373" s="930"/>
      <c r="P373" s="930"/>
      <c r="Q373" s="691"/>
      <c r="R373" s="691"/>
    </row>
    <row r="374" spans="2:18" ht="12" customHeight="1">
      <c r="B374" s="66"/>
      <c r="C374" s="66"/>
      <c r="D374" s="66"/>
      <c r="E374" s="691"/>
      <c r="F374" s="66"/>
      <c r="G374" s="691"/>
      <c r="H374" s="691"/>
      <c r="I374" s="691"/>
      <c r="J374" s="691"/>
      <c r="K374" s="691"/>
      <c r="L374" s="691"/>
      <c r="M374" s="691"/>
      <c r="N374" s="930"/>
      <c r="O374" s="930"/>
      <c r="P374" s="930"/>
      <c r="Q374" s="691"/>
      <c r="R374" s="691"/>
    </row>
  </sheetData>
  <mergeCells count="13">
    <mergeCell ref="I7:K7"/>
    <mergeCell ref="E8:E9"/>
    <mergeCell ref="F8:F9"/>
    <mergeCell ref="H8:H9"/>
    <mergeCell ref="L7:Q7"/>
    <mergeCell ref="I9:Q9"/>
    <mergeCell ref="B1:C1"/>
    <mergeCell ref="A4:Q4"/>
    <mergeCell ref="E7:H7"/>
    <mergeCell ref="G8:G9"/>
    <mergeCell ref="A7:A9"/>
    <mergeCell ref="B7:B8"/>
    <mergeCell ref="C7:C8"/>
  </mergeCells>
  <phoneticPr fontId="24"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34" fitToHeight="2" orientation="portrait" horizontalDpi="4294967292" verticalDpi="4294967292"/>
  <ignoredErrors>
    <ignoredError sqref="I122:I165 E113:E165 L122:L165 M122:M165 M10:M121 O126:O165 O10:O125" formulaRange="1"/>
  </ignoredError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enableFormatConditionsCalculation="0">
    <tabColor theme="5" tint="0.59999389629810485"/>
    <pageSetUpPr fitToPage="1"/>
  </sheetPr>
  <dimension ref="A1:Y146"/>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P4"/>
    </sheetView>
  </sheetViews>
  <sheetFormatPr baseColWidth="10" defaultColWidth="10.33203125" defaultRowHeight="12" x14ac:dyDescent="0"/>
  <cols>
    <col min="1" max="17" width="8.6640625" style="76" customWidth="1"/>
    <col min="18" max="16384" width="10.33203125" style="76"/>
  </cols>
  <sheetData>
    <row r="1" spans="1:25">
      <c r="A1" s="87"/>
      <c r="B1" s="2252" t="s">
        <v>1416</v>
      </c>
      <c r="C1" s="2252"/>
      <c r="I1" s="118"/>
    </row>
    <row r="2" spans="1:25">
      <c r="B2" s="356"/>
      <c r="C2" s="356"/>
      <c r="D2" s="356"/>
      <c r="E2" s="356"/>
      <c r="F2" s="356"/>
      <c r="G2" s="75"/>
      <c r="H2" s="356"/>
      <c r="I2" s="118"/>
      <c r="J2" s="356"/>
      <c r="K2" s="356"/>
      <c r="L2" s="356"/>
      <c r="M2" s="356"/>
      <c r="N2" s="356"/>
      <c r="O2" s="356"/>
    </row>
    <row r="3" spans="1:25" ht="13" thickBot="1">
      <c r="R3" s="233"/>
    </row>
    <row r="4" spans="1:25" ht="19.75" customHeight="1" thickTop="1">
      <c r="A4" s="2264" t="s">
        <v>1100</v>
      </c>
      <c r="B4" s="2265"/>
      <c r="C4" s="2265"/>
      <c r="D4" s="2265"/>
      <c r="E4" s="2265"/>
      <c r="F4" s="2265"/>
      <c r="G4" s="2265"/>
      <c r="H4" s="2265"/>
      <c r="I4" s="2265"/>
      <c r="J4" s="2265"/>
      <c r="K4" s="2265"/>
      <c r="L4" s="2265"/>
      <c r="M4" s="2265"/>
      <c r="N4" s="2265"/>
      <c r="O4" s="2265"/>
      <c r="P4" s="2266"/>
      <c r="Q4" s="1531"/>
    </row>
    <row r="5" spans="1:25" ht="12" customHeight="1">
      <c r="A5" s="120"/>
      <c r="B5" s="83"/>
      <c r="C5" s="83"/>
      <c r="D5" s="83"/>
      <c r="E5" s="83"/>
      <c r="F5" s="83"/>
      <c r="G5" s="83"/>
      <c r="H5" s="83"/>
      <c r="I5" s="83"/>
      <c r="J5" s="83"/>
      <c r="K5" s="83"/>
      <c r="L5" s="83"/>
      <c r="M5" s="83"/>
      <c r="N5" s="83"/>
      <c r="O5" s="83"/>
      <c r="P5" s="121"/>
      <c r="Q5" s="83"/>
    </row>
    <row r="6" spans="1:25">
      <c r="A6" s="120"/>
      <c r="B6" s="122" t="s">
        <v>952</v>
      </c>
      <c r="C6" s="122" t="s">
        <v>953</v>
      </c>
      <c r="D6" s="122" t="s">
        <v>954</v>
      </c>
      <c r="E6" s="110" t="s">
        <v>955</v>
      </c>
      <c r="F6" s="122" t="s">
        <v>956</v>
      </c>
      <c r="G6" s="122" t="s">
        <v>957</v>
      </c>
      <c r="H6" s="122" t="s">
        <v>958</v>
      </c>
      <c r="I6" s="122" t="s">
        <v>959</v>
      </c>
      <c r="J6" s="577" t="s">
        <v>960</v>
      </c>
      <c r="K6" s="577" t="s">
        <v>961</v>
      </c>
      <c r="L6" s="577" t="s">
        <v>962</v>
      </c>
      <c r="M6" s="577" t="s">
        <v>963</v>
      </c>
      <c r="N6" s="577" t="s">
        <v>964</v>
      </c>
      <c r="O6" s="577" t="s">
        <v>965</v>
      </c>
      <c r="P6" s="1668" t="s">
        <v>120</v>
      </c>
      <c r="Q6" s="83"/>
    </row>
    <row r="7" spans="1:25" ht="34.75" customHeight="1">
      <c r="A7" s="2270"/>
      <c r="B7" s="1693" t="s">
        <v>434</v>
      </c>
      <c r="C7" s="2419" t="s">
        <v>439</v>
      </c>
      <c r="D7" s="1656" t="s">
        <v>434</v>
      </c>
      <c r="E7" s="2408" t="s">
        <v>438</v>
      </c>
      <c r="F7" s="2414" t="s">
        <v>1335</v>
      </c>
      <c r="G7" s="2414" t="s">
        <v>1334</v>
      </c>
      <c r="H7" s="2414" t="s">
        <v>342</v>
      </c>
      <c r="I7" s="2414" t="s">
        <v>388</v>
      </c>
      <c r="J7" s="1656" t="s">
        <v>434</v>
      </c>
      <c r="K7" s="2408" t="s">
        <v>446</v>
      </c>
      <c r="L7" s="2414" t="s">
        <v>1339</v>
      </c>
      <c r="M7" s="2414" t="s">
        <v>1333</v>
      </c>
      <c r="N7" s="2414" t="s">
        <v>342</v>
      </c>
      <c r="O7" s="2260" t="s">
        <v>388</v>
      </c>
      <c r="P7" s="2412" t="s">
        <v>1340</v>
      </c>
      <c r="Q7" s="91"/>
    </row>
    <row r="8" spans="1:25" ht="34.75" customHeight="1">
      <c r="A8" s="2270"/>
      <c r="B8" s="2418" t="s">
        <v>445</v>
      </c>
      <c r="C8" s="2420"/>
      <c r="D8" s="2411" t="s">
        <v>1336</v>
      </c>
      <c r="E8" s="2409"/>
      <c r="F8" s="2415"/>
      <c r="G8" s="2409"/>
      <c r="H8" s="2415"/>
      <c r="I8" s="2415"/>
      <c r="J8" s="2411" t="s">
        <v>1338</v>
      </c>
      <c r="K8" s="2409"/>
      <c r="L8" s="2415"/>
      <c r="M8" s="2409"/>
      <c r="N8" s="2415"/>
      <c r="O8" s="2417"/>
      <c r="P8" s="2413"/>
      <c r="Q8" s="1667"/>
    </row>
    <row r="9" spans="1:25" ht="49.75" customHeight="1">
      <c r="A9" s="2270"/>
      <c r="B9" s="2254"/>
      <c r="C9" s="2421"/>
      <c r="D9" s="2263"/>
      <c r="E9" s="2410"/>
      <c r="F9" s="2416"/>
      <c r="G9" s="2184" t="s">
        <v>440</v>
      </c>
      <c r="H9" s="1069" t="s">
        <v>1337</v>
      </c>
      <c r="I9" s="1069" t="s">
        <v>386</v>
      </c>
      <c r="J9" s="2263"/>
      <c r="K9" s="2410"/>
      <c r="L9" s="2416"/>
      <c r="M9" s="2184" t="s">
        <v>440</v>
      </c>
      <c r="N9" s="1069" t="s">
        <v>1337</v>
      </c>
      <c r="O9" s="1066" t="s">
        <v>386</v>
      </c>
      <c r="P9" s="2185" t="s">
        <v>664</v>
      </c>
      <c r="Q9" s="91"/>
    </row>
    <row r="10" spans="1:25" ht="13" customHeight="1">
      <c r="A10" s="1659">
        <v>1700</v>
      </c>
      <c r="B10" s="1677">
        <f>TableUK2!B10*TableUK5d!P$27/TableUK5d!P10</f>
        <v>9.4920545019306385E-2</v>
      </c>
      <c r="C10" s="533">
        <f>C11</f>
        <v>7.7652864108415098E-3</v>
      </c>
      <c r="D10" s="1683">
        <f t="shared" ref="D10:D27" si="0">E10*B10</f>
        <v>0.64923274540928522</v>
      </c>
      <c r="E10" s="544">
        <f>TableUK6f!K31</f>
        <v>6.8397494481014025</v>
      </c>
      <c r="F10" s="533">
        <f>F11</f>
        <v>8.4009095661559119E-3</v>
      </c>
      <c r="G10" s="544">
        <f>M10-TableUK5e!E10</f>
        <v>5.7708425052099353E-2</v>
      </c>
      <c r="H10" s="533">
        <f>G10/E10</f>
        <v>8.4372133058350889E-3</v>
      </c>
      <c r="I10" s="533">
        <f t="shared" ref="I10:I15" si="1">U$14</f>
        <v>-3.6000000000000001E-5</v>
      </c>
      <c r="J10" s="1683">
        <f t="shared" ref="J10:J27" si="2">B10*K10</f>
        <v>0.66771693737718985</v>
      </c>
      <c r="K10" s="544">
        <f>E10+TableUK5e!G10-TableUK5e!I10</f>
        <v>7.0344827586206904</v>
      </c>
      <c r="L10" s="533">
        <f>L11</f>
        <v>8.8022486218002349E-3</v>
      </c>
      <c r="M10" s="544">
        <f>TableUK12c!B10</f>
        <v>0.05</v>
      </c>
      <c r="N10" s="533">
        <f>N11</f>
        <v>7.1078431372549019E-3</v>
      </c>
      <c r="O10" s="1673">
        <f>(1+L10)/(1+N10)-1</f>
        <v>1.6824469157812327E-3</v>
      </c>
      <c r="P10" s="1674">
        <f t="shared" ref="P10:P15" si="3">P$16</f>
        <v>74.059458355549651</v>
      </c>
      <c r="Q10" s="958"/>
      <c r="R10" s="68"/>
      <c r="S10" s="68"/>
    </row>
    <row r="11" spans="1:25" ht="13" customHeight="1" thickBot="1">
      <c r="A11" s="348">
        <v>1710</v>
      </c>
      <c r="B11" s="1678">
        <f>TableUK2!B11*TableUK5d!P$27/TableUK5d!P11</f>
        <v>0.10255436938315213</v>
      </c>
      <c r="C11" s="439">
        <f t="shared" ref="C11:C24" si="4">(B11/B10)^(1/10)-1</f>
        <v>7.7652864108415098E-3</v>
      </c>
      <c r="D11" s="1684">
        <f t="shared" si="0"/>
        <v>0.70588296881916024</v>
      </c>
      <c r="E11" s="607">
        <f>E10*((1+F11)/(1+C11))^10</f>
        <v>6.8830121336119721</v>
      </c>
      <c r="F11" s="609">
        <f>(1+H11)*(1+I11)-1</f>
        <v>8.4009095661559119E-3</v>
      </c>
      <c r="G11" s="1660">
        <f>M11-TableUK5e!E11</f>
        <v>6.9782333097365937E-2</v>
      </c>
      <c r="H11" s="609">
        <f t="shared" ref="H11:H27" si="5">G10/E10</f>
        <v>8.4372133058350889E-3</v>
      </c>
      <c r="I11" s="609">
        <f t="shared" si="1"/>
        <v>-3.6000000000000001E-5</v>
      </c>
      <c r="J11" s="1689">
        <f t="shared" si="2"/>
        <v>0.72887458780192405</v>
      </c>
      <c r="K11" s="607">
        <f>E11+TableUK5e!G11-TableUK5e!I11</f>
        <v>7.1072016939501097</v>
      </c>
      <c r="L11" s="439">
        <f t="shared" ref="L11:L24" si="6">(J11/J10)^(1/10)-1</f>
        <v>8.8022486218002349E-3</v>
      </c>
      <c r="M11" s="1660">
        <f>TableUK12c!B11</f>
        <v>5.4701402375323477E-2</v>
      </c>
      <c r="N11" s="609">
        <f>M10/K10</f>
        <v>7.1078431372549019E-3</v>
      </c>
      <c r="O11" s="1657">
        <f t="shared" ref="O11:O27" si="7">(1+L11)/(1+N11)-1</f>
        <v>1.6824469157812327E-3</v>
      </c>
      <c r="P11" s="612">
        <f t="shared" si="3"/>
        <v>74.059458355549651</v>
      </c>
      <c r="Q11" s="958"/>
      <c r="R11" s="68"/>
      <c r="S11" s="68"/>
    </row>
    <row r="12" spans="1:25" ht="13" customHeight="1">
      <c r="A12" s="348">
        <v>1720</v>
      </c>
      <c r="B12" s="1678">
        <f>TableUK2!B12*TableUK5d!P$27/TableUK5d!P12</f>
        <v>0.11080213116598539</v>
      </c>
      <c r="C12" s="439">
        <f t="shared" si="4"/>
        <v>7.7652864108415098E-3</v>
      </c>
      <c r="D12" s="1684">
        <f t="shared" si="0"/>
        <v>0.78052158213239153</v>
      </c>
      <c r="E12" s="607">
        <f>E11*((1+F12)/(1+C12))^10</f>
        <v>7.0442831190958186</v>
      </c>
      <c r="F12" s="609">
        <f>(1+H12)*(1+I12)-1</f>
        <v>1.0101977324290523E-2</v>
      </c>
      <c r="G12" s="1660">
        <f>M12-TableUK5e!E12</f>
        <v>4.8562443844458472E-2</v>
      </c>
      <c r="H12" s="609">
        <f t="shared" si="5"/>
        <v>1.0138342304613449E-2</v>
      </c>
      <c r="I12" s="609">
        <f t="shared" si="1"/>
        <v>-3.6000000000000001E-5</v>
      </c>
      <c r="J12" s="1689">
        <f t="shared" si="2"/>
        <v>0.75983613968031727</v>
      </c>
      <c r="K12" s="607">
        <f>E12+TableUK5e!G12-TableUK5e!I12</f>
        <v>6.857594991039087</v>
      </c>
      <c r="L12" s="439">
        <f t="shared" si="6"/>
        <v>4.1687773115350879E-3</v>
      </c>
      <c r="M12" s="1660">
        <f>TableUK12c!B12</f>
        <v>3.7298485492731723E-2</v>
      </c>
      <c r="N12" s="609">
        <f t="shared" ref="N12:N27" si="8">M11/K11</f>
        <v>7.6966160144135431E-3</v>
      </c>
      <c r="O12" s="1657">
        <f t="shared" si="7"/>
        <v>-3.5008936686039549E-3</v>
      </c>
      <c r="P12" s="612">
        <f t="shared" si="3"/>
        <v>74.059458355549651</v>
      </c>
      <c r="Q12" s="958"/>
      <c r="R12" s="68"/>
      <c r="S12" s="68"/>
      <c r="T12" s="2406" t="s">
        <v>969</v>
      </c>
      <c r="U12" s="2407"/>
      <c r="X12" s="389"/>
      <c r="Y12" s="389"/>
    </row>
    <row r="13" spans="1:25" ht="13" customHeight="1">
      <c r="A13" s="348">
        <v>1730</v>
      </c>
      <c r="B13" s="1678">
        <f>TableUK2!B13*TableUK5d!P$27/TableUK5d!P13</f>
        <v>0.11971320524682733</v>
      </c>
      <c r="C13" s="439">
        <f t="shared" si="4"/>
        <v>7.7652864108415098E-3</v>
      </c>
      <c r="D13" s="1684">
        <f t="shared" si="0"/>
        <v>0.83572920675391915</v>
      </c>
      <c r="E13" s="607">
        <f>E12*((1+F13)/(1+C13))^10</f>
        <v>6.9810945670596176</v>
      </c>
      <c r="F13" s="609">
        <f>(1+H13)*(1+I13)-1</f>
        <v>6.8576320098832078E-3</v>
      </c>
      <c r="G13" s="1660">
        <f>M13-TableUK5e!E13</f>
        <v>2.7330911681036921E-2</v>
      </c>
      <c r="H13" s="609">
        <f t="shared" si="5"/>
        <v>6.893880189570204E-3</v>
      </c>
      <c r="I13" s="609">
        <f t="shared" si="1"/>
        <v>-3.6000000000000001E-5</v>
      </c>
      <c r="J13" s="1689">
        <f t="shared" si="2"/>
        <v>0.81150725660677736</v>
      </c>
      <c r="K13" s="607">
        <f>E13+TableUK5e!G13-TableUK5e!I13</f>
        <v>6.7787614151136779</v>
      </c>
      <c r="L13" s="439">
        <f t="shared" si="6"/>
        <v>6.6007419829750003E-3</v>
      </c>
      <c r="M13" s="1660">
        <f>TableUK12c!B13</f>
        <v>3.394427843216926E-2</v>
      </c>
      <c r="N13" s="609">
        <f t="shared" si="8"/>
        <v>5.4390038404820004E-3</v>
      </c>
      <c r="O13" s="1657">
        <f t="shared" si="7"/>
        <v>1.1554536257849524E-3</v>
      </c>
      <c r="P13" s="612">
        <f t="shared" si="3"/>
        <v>74.059458355549651</v>
      </c>
      <c r="Q13" s="958"/>
      <c r="R13" s="68"/>
      <c r="S13" s="68"/>
      <c r="T13" s="1695"/>
      <c r="U13" s="1696" t="s">
        <v>441</v>
      </c>
    </row>
    <row r="14" spans="1:25" ht="13" customHeight="1">
      <c r="A14" s="348">
        <v>1740</v>
      </c>
      <c r="B14" s="1678">
        <f>TableUK2!B14*TableUK5d!P$27/TableUK5d!P14</f>
        <v>0.1293409373958728</v>
      </c>
      <c r="C14" s="439">
        <f t="shared" si="4"/>
        <v>7.7652864108415098E-3</v>
      </c>
      <c r="D14" s="1684">
        <f t="shared" si="0"/>
        <v>0.86871759644966373</v>
      </c>
      <c r="E14" s="607">
        <f>E13*((1+F14)/(1+C14))^10</f>
        <v>6.716493740808346</v>
      </c>
      <c r="F14" s="609">
        <f>(1+H14)*(1+I14)-1</f>
        <v>3.8788485249250382E-3</v>
      </c>
      <c r="G14" s="1660">
        <f>M14-TableUK5e!E14</f>
        <v>7.9771384291204811E-2</v>
      </c>
      <c r="H14" s="609">
        <f t="shared" si="5"/>
        <v>3.9149894645458851E-3</v>
      </c>
      <c r="I14" s="609">
        <f t="shared" si="1"/>
        <v>-3.6000000000000001E-5</v>
      </c>
      <c r="J14" s="1689">
        <f t="shared" si="2"/>
        <v>0.85365981959851767</v>
      </c>
      <c r="K14" s="607">
        <f>E14+TableUK5e!G14-TableUK5e!I14</f>
        <v>6.6000744759234866</v>
      </c>
      <c r="L14" s="439">
        <f t="shared" si="6"/>
        <v>5.0767881981570451E-3</v>
      </c>
      <c r="M14" s="1660">
        <f>TableUK12c!B14</f>
        <v>5.1813495021731507E-2</v>
      </c>
      <c r="N14" s="609">
        <f t="shared" si="8"/>
        <v>5.0074455130532164E-3</v>
      </c>
      <c r="O14" s="1657">
        <f t="shared" si="7"/>
        <v>6.8997185457053689E-5</v>
      </c>
      <c r="P14" s="612">
        <f t="shared" si="3"/>
        <v>74.059458355549651</v>
      </c>
      <c r="Q14" s="958"/>
      <c r="R14" s="68"/>
      <c r="S14" s="68"/>
      <c r="T14" s="390" t="s">
        <v>435</v>
      </c>
      <c r="U14" s="391">
        <v>-3.6000000000000001E-5</v>
      </c>
    </row>
    <row r="15" spans="1:25" ht="13" customHeight="1">
      <c r="A15" s="1644">
        <v>1750</v>
      </c>
      <c r="B15" s="1679">
        <f>TableUK2!B15*TableUK5d!P$27/TableUK5d!P15</f>
        <v>0.13974296362670022</v>
      </c>
      <c r="C15" s="1646">
        <f t="shared" si="4"/>
        <v>7.7652864108415098E-3</v>
      </c>
      <c r="D15" s="1685">
        <f t="shared" si="0"/>
        <v>0.97723137236951574</v>
      </c>
      <c r="E15" s="1645">
        <f>TableUK6f!K32</f>
        <v>6.9930631711806592</v>
      </c>
      <c r="F15" s="1647">
        <f>(1+H15)*(1+I15)-1</f>
        <v>1.1840511108275109E-2</v>
      </c>
      <c r="G15" s="1645">
        <f>M15-TableUK5e!E15</f>
        <v>6.7746938631984749E-2</v>
      </c>
      <c r="H15" s="1647">
        <f t="shared" si="5"/>
        <v>1.1876938678067484E-2</v>
      </c>
      <c r="I15" s="1647">
        <f t="shared" si="1"/>
        <v>-3.6000000000000001E-5</v>
      </c>
      <c r="J15" s="1685">
        <f t="shared" si="2"/>
        <v>0.92568056722641356</v>
      </c>
      <c r="K15" s="1645">
        <f>E15+TableUK5e!G15-TableUK5e!I15</f>
        <v>6.624165848516089</v>
      </c>
      <c r="L15" s="1646">
        <f t="shared" si="6"/>
        <v>8.1325347178557994E-3</v>
      </c>
      <c r="M15" s="1645">
        <f>TableUK12c!B15</f>
        <v>5.7273518035825463E-2</v>
      </c>
      <c r="N15" s="1647">
        <f t="shared" si="8"/>
        <v>7.8504409625592495E-3</v>
      </c>
      <c r="O15" s="1675">
        <f t="shared" si="7"/>
        <v>2.7989644478121356E-4</v>
      </c>
      <c r="P15" s="1676">
        <f t="shared" si="3"/>
        <v>74.059458355549651</v>
      </c>
      <c r="Q15" s="958"/>
      <c r="R15" s="68"/>
      <c r="S15" s="68"/>
      <c r="T15" s="392" t="s">
        <v>373</v>
      </c>
      <c r="U15" s="393">
        <f>(E14*((1+F15)/(1+C15))^10)/E15</f>
        <v>1.0000042611883169</v>
      </c>
    </row>
    <row r="16" spans="1:25" ht="13" customHeight="1">
      <c r="A16" s="348">
        <v>1760</v>
      </c>
      <c r="B16" s="1678">
        <f>TableUK2!B16*TableUK5d!P$27/TableUK5d!P16</f>
        <v>0.15098155523184256</v>
      </c>
      <c r="C16" s="439">
        <f t="shared" si="4"/>
        <v>7.7652864108415098E-3</v>
      </c>
      <c r="D16" s="1684">
        <f t="shared" si="0"/>
        <v>1.0665191622139329</v>
      </c>
      <c r="E16" s="607">
        <f>E15*((1+F16)/(1+C16))^10</f>
        <v>7.0639036707246747</v>
      </c>
      <c r="F16" s="609">
        <f t="shared" ref="F16:F21" si="9">(1+H16)*(1+I16)-1</f>
        <v>8.7815396565420478E-3</v>
      </c>
      <c r="G16" s="1660">
        <f>M16-TableUK5e!E16</f>
        <v>6.2255146232854074E-2</v>
      </c>
      <c r="H16" s="609">
        <f t="shared" si="5"/>
        <v>9.6877343981645794E-3</v>
      </c>
      <c r="I16" s="609">
        <f>U$17</f>
        <v>-8.9749999999999997E-4</v>
      </c>
      <c r="J16" s="1689">
        <f t="shared" si="2"/>
        <v>1.0260538670906014</v>
      </c>
      <c r="K16" s="607">
        <f>E16+TableUK5e!G16-TableUK5e!I16</f>
        <v>6.7958888455945843</v>
      </c>
      <c r="L16" s="439">
        <f t="shared" si="6"/>
        <v>1.034780312576955E-2</v>
      </c>
      <c r="M16" s="1660">
        <f>TableUK12c!B16</f>
        <v>3.5270286803797055E-2</v>
      </c>
      <c r="N16" s="609">
        <f t="shared" si="8"/>
        <v>8.6461479596945147E-3</v>
      </c>
      <c r="O16" s="1657">
        <f t="shared" si="7"/>
        <v>1.6870685220156112E-3</v>
      </c>
      <c r="P16" s="612">
        <f>DataUK4!AW71</f>
        <v>74.059458355549651</v>
      </c>
      <c r="Q16" s="958"/>
      <c r="R16" s="68"/>
      <c r="S16" s="68"/>
      <c r="T16" s="388"/>
      <c r="U16" s="363"/>
    </row>
    <row r="17" spans="1:21" ht="13" customHeight="1">
      <c r="A17" s="348">
        <v>1770</v>
      </c>
      <c r="B17" s="1678">
        <f>TableUK2!B17*TableUK5d!P$27/TableUK5d!P17</f>
        <v>0.16677756643808714</v>
      </c>
      <c r="C17" s="439">
        <f t="shared" si="4"/>
        <v>1.0000000000000009E-2</v>
      </c>
      <c r="D17" s="1684">
        <f t="shared" si="0"/>
        <v>1.1539218786593204</v>
      </c>
      <c r="E17" s="607">
        <f>E16*((1+F17)/(1+C17))^10</f>
        <v>6.9189274271350572</v>
      </c>
      <c r="F17" s="609">
        <f t="shared" si="9"/>
        <v>7.9077265628828552E-3</v>
      </c>
      <c r="G17" s="1660">
        <f>M17-TableUK5e!E17</f>
        <v>5.5344123937026105E-2</v>
      </c>
      <c r="H17" s="609">
        <f t="shared" si="5"/>
        <v>8.8131363527593817E-3</v>
      </c>
      <c r="I17" s="609">
        <f>U$17</f>
        <v>-8.9749999999999997E-4</v>
      </c>
      <c r="J17" s="1689">
        <f t="shared" si="2"/>
        <v>1.0729389609679543</v>
      </c>
      <c r="K17" s="607">
        <f>E17+TableUK5e!G17-TableUK5e!I17</f>
        <v>6.4333530215303956</v>
      </c>
      <c r="L17" s="439">
        <f t="shared" si="6"/>
        <v>4.478129818485943E-3</v>
      </c>
      <c r="M17" s="549">
        <f>TableUK12c!B17</f>
        <v>4.7718850349674796E-2</v>
      </c>
      <c r="N17" s="891">
        <f t="shared" si="8"/>
        <v>5.189944627575967E-3</v>
      </c>
      <c r="O17" s="1657">
        <f t="shared" si="7"/>
        <v>-7.0813960375804008E-4</v>
      </c>
      <c r="P17" s="612">
        <f>DataUK4!AW81</f>
        <v>71.837674604883134</v>
      </c>
      <c r="Q17" s="958"/>
      <c r="R17" s="1777"/>
      <c r="S17" s="68"/>
      <c r="T17" s="390" t="s">
        <v>436</v>
      </c>
      <c r="U17" s="391">
        <v>-8.9749999999999997E-4</v>
      </c>
    </row>
    <row r="18" spans="1:21" ht="13" customHeight="1">
      <c r="A18" s="348">
        <v>1780</v>
      </c>
      <c r="B18" s="1678">
        <f>TableUK2!B18*TableUK5d!P$27/TableUK5d!P18</f>
        <v>0.18422618990974821</v>
      </c>
      <c r="C18" s="439">
        <f t="shared" si="4"/>
        <v>1.0000000000000009E-2</v>
      </c>
      <c r="D18" s="1684">
        <f t="shared" si="0"/>
        <v>1.2384476196219234</v>
      </c>
      <c r="E18" s="607">
        <f>E17*((1+F18)/(1+C18))^10</f>
        <v>6.7224297491504039</v>
      </c>
      <c r="F18" s="609">
        <f t="shared" si="9"/>
        <v>7.0942665227902157E-3</v>
      </c>
      <c r="G18" s="1660">
        <f>M18-TableUK5e!E18</f>
        <v>0.12961980029717091</v>
      </c>
      <c r="H18" s="609">
        <f t="shared" si="5"/>
        <v>7.9989455764450223E-3</v>
      </c>
      <c r="I18" s="609">
        <f>U$17</f>
        <v>-8.9749999999999997E-4</v>
      </c>
      <c r="J18" s="1689">
        <f t="shared" si="2"/>
        <v>1.204147443179389</v>
      </c>
      <c r="K18" s="607">
        <f>E18+TableUK5e!G18-TableUK5e!I18</f>
        <v>6.5362446228155555</v>
      </c>
      <c r="L18" s="439">
        <f t="shared" si="6"/>
        <v>1.1603830598991394E-2</v>
      </c>
      <c r="M18" s="549">
        <f>TableUK12c!B18</f>
        <v>8.1419864658058949E-2</v>
      </c>
      <c r="N18" s="891">
        <f t="shared" si="8"/>
        <v>7.4174151783642081E-3</v>
      </c>
      <c r="O18" s="1657">
        <f t="shared" si="7"/>
        <v>4.1555916718851726E-3</v>
      </c>
      <c r="P18" s="612">
        <f>DataUK4!AW91</f>
        <v>82.57629606643782</v>
      </c>
      <c r="Q18" s="958"/>
      <c r="R18" s="1777"/>
      <c r="S18" s="1532"/>
      <c r="T18" s="392" t="s">
        <v>373</v>
      </c>
      <c r="U18" s="393">
        <f>(E20*((1+F21)/(1+C21))^10)/E21</f>
        <v>1.0000022110835138</v>
      </c>
    </row>
    <row r="19" spans="1:21" ht="13" customHeight="1">
      <c r="A19" s="748">
        <v>1790</v>
      </c>
      <c r="B19" s="1680">
        <f>TableUK2!B19*TableUK5d!P$27/TableUK5d!P19</f>
        <v>0.2035003254545143</v>
      </c>
      <c r="C19" s="1583">
        <f t="shared" si="4"/>
        <v>1.0000000000000009E-2</v>
      </c>
      <c r="D19" s="1686">
        <f t="shared" si="0"/>
        <v>1.4856630544670486</v>
      </c>
      <c r="E19" s="1648">
        <f>E18*((1+F19)/(1+C19))^10</f>
        <v>7.3005438745557143</v>
      </c>
      <c r="F19" s="1649">
        <f t="shared" si="9"/>
        <v>1.8366883765820852E-2</v>
      </c>
      <c r="G19" s="1661">
        <f>M19-TableUK5e!E19</f>
        <v>0.19852871026633967</v>
      </c>
      <c r="H19" s="1649">
        <f t="shared" si="5"/>
        <v>1.9281689081771743E-2</v>
      </c>
      <c r="I19" s="1649">
        <f>U$17</f>
        <v>-8.9749999999999997E-4</v>
      </c>
      <c r="J19" s="1690">
        <f t="shared" si="2"/>
        <v>1.3411930616559815</v>
      </c>
      <c r="K19" s="1648">
        <f>E19+TableUK5e!G19-TableUK5e!I19</f>
        <v>6.5906187553285287</v>
      </c>
      <c r="L19" s="1583">
        <f t="shared" si="6"/>
        <v>1.0837076474263796E-2</v>
      </c>
      <c r="M19" s="1661">
        <f>TableUK12c!B19</f>
        <v>0.11143727002358339</v>
      </c>
      <c r="N19" s="1650">
        <f t="shared" si="8"/>
        <v>1.2456673419757428E-2</v>
      </c>
      <c r="O19" s="1658">
        <f t="shared" si="7"/>
        <v>-1.5996703740647211E-3</v>
      </c>
      <c r="P19" s="1651">
        <f>DataUK4!AW101</f>
        <v>85.538674400659801</v>
      </c>
      <c r="Q19" s="958"/>
      <c r="R19" s="1777"/>
      <c r="S19" s="1532"/>
      <c r="T19" s="388"/>
      <c r="U19" s="363"/>
    </row>
    <row r="20" spans="1:21" ht="13" customHeight="1">
      <c r="A20" s="348">
        <v>1800</v>
      </c>
      <c r="B20" s="1678">
        <f>TableUK2!B20*TableUK5d!P$27/TableUK5d!P20</f>
        <v>0.22479096202543747</v>
      </c>
      <c r="C20" s="439">
        <f t="shared" si="4"/>
        <v>1.0000000000000009E-2</v>
      </c>
      <c r="D20" s="1684">
        <f t="shared" si="0"/>
        <v>1.7219208647985167</v>
      </c>
      <c r="E20" s="607">
        <f>E19*((1+F20)/(1+C20))^10</f>
        <v>7.6600982943596421</v>
      </c>
      <c r="F20" s="609">
        <f t="shared" si="9"/>
        <v>1.4867363461339433E-2</v>
      </c>
      <c r="G20" s="549">
        <f>M20-TableUK5e!E20</f>
        <v>0.14584012927199391</v>
      </c>
      <c r="H20" s="609">
        <f t="shared" si="5"/>
        <v>2.7193687713906307E-2</v>
      </c>
      <c r="I20" s="891">
        <v>-1.2E-2</v>
      </c>
      <c r="J20" s="1689">
        <f t="shared" si="2"/>
        <v>1.5741734391610049</v>
      </c>
      <c r="K20" s="607">
        <f>E20+TableUK5e!G20-TableUK5e!I20</f>
        <v>7.0028324314163068</v>
      </c>
      <c r="L20" s="439">
        <f t="shared" si="6"/>
        <v>1.6146038149275954E-2</v>
      </c>
      <c r="M20" s="549">
        <f>TableUK12c!B20</f>
        <v>0.1</v>
      </c>
      <c r="N20" s="891">
        <f t="shared" si="8"/>
        <v>1.6908468561238826E-2</v>
      </c>
      <c r="O20" s="1657">
        <f t="shared" si="7"/>
        <v>-7.4975323299408814E-4</v>
      </c>
      <c r="P20" s="612">
        <f>AVERAGE(DataUK4!AW109,DataUK4!AW113)</f>
        <v>110.20408163265296</v>
      </c>
      <c r="Q20" s="958"/>
      <c r="R20" s="1777"/>
      <c r="S20" s="1532"/>
      <c r="T20" s="390" t="s">
        <v>437</v>
      </c>
      <c r="U20" s="391">
        <v>7.9509999999999997E-3</v>
      </c>
    </row>
    <row r="21" spans="1:21" ht="13" customHeight="1">
      <c r="A21" s="610">
        <v>1810</v>
      </c>
      <c r="B21" s="1677">
        <f>TableUK2!B21*TableUK5d!P$27/TableUK5d!P21</f>
        <v>0.26869316929215598</v>
      </c>
      <c r="C21" s="438">
        <f t="shared" si="4"/>
        <v>1.8000000000000016E-2</v>
      </c>
      <c r="D21" s="1683">
        <f t="shared" si="0"/>
        <v>1.938262076403013</v>
      </c>
      <c r="E21" s="544">
        <f>TableUK6f!K33</f>
        <v>7.213663382322526</v>
      </c>
      <c r="F21" s="533">
        <f t="shared" si="9"/>
        <v>1.1905664496984825E-2</v>
      </c>
      <c r="G21" s="1662">
        <f>M21-TableUK5e!E21</f>
        <v>0.14819860732618678</v>
      </c>
      <c r="H21" s="533">
        <f t="shared" si="5"/>
        <v>1.9038937056379594E-2</v>
      </c>
      <c r="I21" s="1584">
        <v>-7.0000000000000001E-3</v>
      </c>
      <c r="J21" s="1683">
        <f t="shared" si="2"/>
        <v>1.7974223081127532</v>
      </c>
      <c r="K21" s="544">
        <f>E21+TableUK5e!G21-TableUK5e!I21</f>
        <v>6.6894975888217552</v>
      </c>
      <c r="L21" s="438">
        <f t="shared" si="6"/>
        <v>1.335066006274177E-2</v>
      </c>
      <c r="M21" s="1662">
        <f>TableUK12c!B21</f>
        <v>8.8952497576646139E-2</v>
      </c>
      <c r="N21" s="1584">
        <f t="shared" si="8"/>
        <v>1.4279936151460251E-2</v>
      </c>
      <c r="O21" s="1673">
        <f t="shared" si="7"/>
        <v>-9.161929124266166E-4</v>
      </c>
      <c r="P21" s="1780">
        <f>AVERAGE(DataUK4!AW118,DataUK4!AW121)</f>
        <v>136.30630870340298</v>
      </c>
      <c r="Q21" s="958"/>
      <c r="R21" s="1777"/>
      <c r="S21" s="1532"/>
      <c r="T21" s="392" t="s">
        <v>373</v>
      </c>
      <c r="U21" s="393">
        <f>(E24*((1+F25)/(1+C25))^10)/E25</f>
        <v>0.99999819001927948</v>
      </c>
    </row>
    <row r="22" spans="1:21" ht="13" customHeight="1">
      <c r="A22" s="126">
        <v>1820</v>
      </c>
      <c r="B22" s="1678">
        <f>TableUK2!B22*TableUK5d!P$27/TableUK5d!P22</f>
        <v>0.32116958161375481</v>
      </c>
      <c r="C22" s="439">
        <f t="shared" si="4"/>
        <v>1.8000000000000016E-2</v>
      </c>
      <c r="D22" s="1684">
        <f t="shared" si="0"/>
        <v>2.5711338701881266</v>
      </c>
      <c r="E22" s="607">
        <f>E21*((1+F22)/(1+C22))^10</f>
        <v>8.0055335790804296</v>
      </c>
      <c r="F22" s="891">
        <f t="shared" ref="F22:F27" si="10">(1+H22)*(1+I22)-1</f>
        <v>2.865849999495329E-2</v>
      </c>
      <c r="G22" s="549">
        <f>M22-TableUK5e!E22</f>
        <v>7.5346009208477061E-2</v>
      </c>
      <c r="H22" s="609">
        <f t="shared" si="5"/>
        <v>2.0544153431023067E-2</v>
      </c>
      <c r="I22" s="609">
        <f>U$20</f>
        <v>7.9509999999999997E-3</v>
      </c>
      <c r="J22" s="1689">
        <f t="shared" si="2"/>
        <v>2.1712580218828377</v>
      </c>
      <c r="K22" s="607">
        <f>E22+TableUK5e!G22-TableUK5e!I22</f>
        <v>6.7604721809988764</v>
      </c>
      <c r="L22" s="439">
        <f t="shared" si="6"/>
        <v>1.9074960729625223E-2</v>
      </c>
      <c r="M22" s="549">
        <f>TableUK12c!B22</f>
        <v>9.545119233135281E-2</v>
      </c>
      <c r="N22" s="891">
        <f t="shared" si="8"/>
        <v>1.3297336069794989E-2</v>
      </c>
      <c r="O22" s="1657">
        <f t="shared" si="7"/>
        <v>5.7018058314841635E-3</v>
      </c>
      <c r="P22" s="612">
        <f>DataUK4!AW131</f>
        <v>119.3877551020407</v>
      </c>
      <c r="Q22" s="958"/>
      <c r="R22" s="1777"/>
      <c r="S22" s="1532"/>
      <c r="T22" s="388"/>
      <c r="U22" s="363"/>
    </row>
    <row r="23" spans="1:21" ht="13" customHeight="1">
      <c r="A23" s="126">
        <v>1830</v>
      </c>
      <c r="B23" s="1678">
        <f>TableUK2!B23*TableUK5d!P$27/TableUK5d!P23</f>
        <v>0.38389476154415064</v>
      </c>
      <c r="C23" s="439">
        <f t="shared" si="4"/>
        <v>1.8000000000000016E-2</v>
      </c>
      <c r="D23" s="1684">
        <f t="shared" si="0"/>
        <v>3.0563452387676238</v>
      </c>
      <c r="E23" s="607">
        <f>E22*((1+F23)/(1+C23))^10</f>
        <v>7.9614142857120545</v>
      </c>
      <c r="F23" s="609">
        <f t="shared" si="10"/>
        <v>1.7437573827651986E-2</v>
      </c>
      <c r="G23" s="1660">
        <f>M23-TableUK5e!E23</f>
        <v>7.1813424692625569E-2</v>
      </c>
      <c r="H23" s="609">
        <f t="shared" si="5"/>
        <v>9.4117410743696887E-3</v>
      </c>
      <c r="I23" s="609">
        <f>U$20</f>
        <v>7.9509999999999997E-3</v>
      </c>
      <c r="J23" s="1689">
        <f t="shared" si="2"/>
        <v>2.5665181021895549</v>
      </c>
      <c r="K23" s="607">
        <f>E23+TableUK5e!G23-TableUK5e!I23</f>
        <v>6.6854731017067728</v>
      </c>
      <c r="L23" s="439">
        <f t="shared" si="6"/>
        <v>1.6864977036141093E-2</v>
      </c>
      <c r="M23" s="549">
        <f>TableUK12c!B23</f>
        <v>8.5319716602079446E-2</v>
      </c>
      <c r="N23" s="891">
        <f t="shared" si="8"/>
        <v>1.4119012662995629E-2</v>
      </c>
      <c r="O23" s="1657">
        <f t="shared" si="7"/>
        <v>2.7077338447041299E-3</v>
      </c>
      <c r="P23" s="612">
        <f>DataUK4!AW141</f>
        <v>101.02040816326522</v>
      </c>
      <c r="Q23" s="958"/>
      <c r="R23" s="68"/>
      <c r="S23" s="1532"/>
      <c r="T23" s="390" t="s">
        <v>611</v>
      </c>
      <c r="U23" s="391">
        <v>1.29184E-2</v>
      </c>
    </row>
    <row r="24" spans="1:21">
      <c r="A24" s="145">
        <v>1840</v>
      </c>
      <c r="B24" s="1680">
        <f>TableUK2!B24*TableUK5d!P$27/TableUK5d!P24</f>
        <v>0.45887031766998637</v>
      </c>
      <c r="C24" s="1583">
        <f t="shared" si="4"/>
        <v>1.8000000000000016E-2</v>
      </c>
      <c r="D24" s="1686">
        <f t="shared" si="0"/>
        <v>3.61905471867682</v>
      </c>
      <c r="E24" s="1648">
        <f>E23*((1+F24)/(1+C24))^10</f>
        <v>7.8868791013839292</v>
      </c>
      <c r="F24" s="1649">
        <f t="shared" si="10"/>
        <v>1.7042903854602942E-2</v>
      </c>
      <c r="G24" s="1663">
        <f>M24-TableUK5e!E24</f>
        <v>6.1334166392313115E-2</v>
      </c>
      <c r="H24" s="1649">
        <f t="shared" si="5"/>
        <v>9.0201843686875428E-3</v>
      </c>
      <c r="I24" s="1649">
        <f>U$20</f>
        <v>7.9509999999999997E-3</v>
      </c>
      <c r="J24" s="1690">
        <f t="shared" si="2"/>
        <v>3.1874698028998245</v>
      </c>
      <c r="K24" s="1648">
        <f>E24+TableUK5e!G24-TableUK5e!I24</f>
        <v>6.9463412213823164</v>
      </c>
      <c r="L24" s="1583">
        <f t="shared" si="6"/>
        <v>2.1904177967684957E-2</v>
      </c>
      <c r="M24" s="1663">
        <f>TableUK12c!B24</f>
        <v>7.6679435309652683E-2</v>
      </c>
      <c r="N24" s="1649">
        <f t="shared" si="8"/>
        <v>1.2761956454554829E-2</v>
      </c>
      <c r="O24" s="1658">
        <f t="shared" si="7"/>
        <v>9.0270190886068136E-3</v>
      </c>
      <c r="P24" s="1651">
        <f>DataUK4!AW151</f>
        <v>113.26530612244891</v>
      </c>
      <c r="Q24" s="958"/>
      <c r="R24" s="68"/>
      <c r="S24" s="68"/>
      <c r="T24" s="392" t="s">
        <v>373</v>
      </c>
      <c r="U24" s="393">
        <f>(E25*((1+F26)/(1+C26))^30)/E26</f>
        <v>0.9999951609529264</v>
      </c>
    </row>
    <row r="25" spans="1:21">
      <c r="A25" s="610">
        <v>1855</v>
      </c>
      <c r="B25" s="1677">
        <f>TableUK2!B25*TableUK5d!P$27/TableUK5d!P25</f>
        <v>0.61834790788105265</v>
      </c>
      <c r="C25" s="438">
        <f>(B25/B24)^(1/15)-1</f>
        <v>2.0084609756297889E-2</v>
      </c>
      <c r="D25" s="1683">
        <f t="shared" si="0"/>
        <v>4.6753528623736669</v>
      </c>
      <c r="E25" s="544">
        <f>TableUK6f!K34</f>
        <v>7.5610393482127423</v>
      </c>
      <c r="F25" s="533">
        <f t="shared" si="10"/>
        <v>1.5789567518861958E-2</v>
      </c>
      <c r="G25" s="764">
        <f>SUMPRODUCT(TableUK5a!G$10:G$39,TableUK5a!B$10:B$39)/SUM(TableUK5a!B$10:B$39)</f>
        <v>0.1093194577619664</v>
      </c>
      <c r="H25" s="533">
        <f t="shared" si="5"/>
        <v>7.776734701252193E-3</v>
      </c>
      <c r="I25" s="533">
        <f>U$20</f>
        <v>7.9509999999999997E-3</v>
      </c>
      <c r="J25" s="1683">
        <f t="shared" si="2"/>
        <v>4.2933333333333348</v>
      </c>
      <c r="K25" s="544">
        <f>E25+TableUK5e!G25-TableUK5e!I25</f>
        <v>6.9432325695831638</v>
      </c>
      <c r="L25" s="438">
        <f>(J25/J24)^(1/15)-1</f>
        <v>2.0054169267689659E-2</v>
      </c>
      <c r="M25" s="764">
        <f>SUMPRODUCT(TableUK5b!G$10:G$39,TableUK5b!B$10:B$39)/SUM(TableUK5b!B$10:B$39)</f>
        <v>0.10749108739996624</v>
      </c>
      <c r="N25" s="533">
        <f t="shared" si="8"/>
        <v>1.103882358580616E-2</v>
      </c>
      <c r="O25" s="1657">
        <f t="shared" si="7"/>
        <v>8.9169134474076372E-3</v>
      </c>
      <c r="P25" s="612">
        <f>DataUK4!AW166</f>
        <v>107.1428571428571</v>
      </c>
      <c r="Q25" s="958"/>
      <c r="R25" s="68"/>
      <c r="S25" s="68"/>
      <c r="T25" s="388"/>
      <c r="U25" s="363"/>
    </row>
    <row r="26" spans="1:21">
      <c r="A26" s="1653">
        <v>1885</v>
      </c>
      <c r="B26" s="1681">
        <f>TableUK6f!B18*TableUK5d!P27/TableUK5d!P26</f>
        <v>1.5824772727272729</v>
      </c>
      <c r="C26" s="1654">
        <f>(B26/B25)^(1/30)-1</f>
        <v>3.1818917904653743E-2</v>
      </c>
      <c r="D26" s="1687">
        <f t="shared" si="0"/>
        <v>10.570018769484314</v>
      </c>
      <c r="E26" s="877">
        <f>TableUK6f!K37</f>
        <v>6.6794126851930908</v>
      </c>
      <c r="F26" s="1654">
        <f t="shared" si="10"/>
        <v>2.7563435575868711E-2</v>
      </c>
      <c r="G26" s="765">
        <f>SUMPRODUCT(TableUK5a!G$40:G$67,TableUK5a!B$40:B$67)/SUM(TableUK5a!B$40:B$67)</f>
        <v>0.11327912044991832</v>
      </c>
      <c r="H26" s="1654">
        <f t="shared" si="5"/>
        <v>1.4458258015520978E-2</v>
      </c>
      <c r="I26" s="1654">
        <f>U$23</f>
        <v>1.29184E-2</v>
      </c>
      <c r="J26" s="1691">
        <f t="shared" si="2"/>
        <v>10.108477272727276</v>
      </c>
      <c r="K26" s="1655">
        <f>E26+TableUK5e!G26-TableUK5e!I26</f>
        <v>6.3877551020408179</v>
      </c>
      <c r="L26" s="1654">
        <f>(J26/J25)^(1/30)-1</f>
        <v>2.8954974283396995E-2</v>
      </c>
      <c r="M26" s="765">
        <f>SUMPRODUCT(TableUK5b!G$40:G$67,TableUK5b!B$40:B$67)/SUM(TableUK5b!B$40:B$67)</f>
        <v>0.11004894218427586</v>
      </c>
      <c r="N26" s="1654">
        <f t="shared" si="8"/>
        <v>1.5481418247584275E-2</v>
      </c>
      <c r="O26" s="1669">
        <f t="shared" si="7"/>
        <v>1.3268146313365481E-2</v>
      </c>
      <c r="P26" s="1670">
        <f>DataUK4!AW196</f>
        <v>89.795918367346928</v>
      </c>
      <c r="Q26" s="958"/>
      <c r="R26" s="68"/>
      <c r="S26" s="68"/>
      <c r="T26" s="390" t="s">
        <v>610</v>
      </c>
      <c r="U26" s="391">
        <v>-2.6714999999999998E-3</v>
      </c>
    </row>
    <row r="27" spans="1:21" ht="13" thickBot="1">
      <c r="A27" s="1652">
        <v>1913</v>
      </c>
      <c r="B27" s="1682">
        <f>TableUK6f!B20</f>
        <v>2.3810000000000007</v>
      </c>
      <c r="C27" s="611">
        <f>(B27/B26)^(1/28)-1</f>
        <v>1.4697281684534769E-2</v>
      </c>
      <c r="D27" s="1688">
        <f t="shared" si="0"/>
        <v>15.705299999999999</v>
      </c>
      <c r="E27" s="608">
        <f>TableUK6f!K39</f>
        <v>6.5960940781184352</v>
      </c>
      <c r="F27" s="611">
        <f t="shared" si="10"/>
        <v>1.4242636108116491E-2</v>
      </c>
      <c r="G27" s="611"/>
      <c r="H27" s="441">
        <f t="shared" si="5"/>
        <v>1.6959443260787771E-2</v>
      </c>
      <c r="I27" s="441">
        <f>U$26</f>
        <v>-2.6714999999999998E-3</v>
      </c>
      <c r="J27" s="1692">
        <f t="shared" si="2"/>
        <v>16.175000000000001</v>
      </c>
      <c r="K27" s="614">
        <f>E27+TableUK5e!G27-TableUK5e!I27</f>
        <v>6.7933641327173433</v>
      </c>
      <c r="L27" s="611">
        <f>(J27/J26)^(1/28)-1</f>
        <v>1.6930743088838796E-2</v>
      </c>
      <c r="M27" s="611"/>
      <c r="N27" s="441">
        <f t="shared" si="8"/>
        <v>1.7228109159838707E-2</v>
      </c>
      <c r="O27" s="1671">
        <f t="shared" si="7"/>
        <v>-2.9232978161164436E-4</v>
      </c>
      <c r="P27" s="1672">
        <f>DataUK4!AW224</f>
        <v>100</v>
      </c>
      <c r="Q27" s="958"/>
      <c r="R27" s="68"/>
      <c r="S27" s="68"/>
      <c r="T27" s="398" t="s">
        <v>373</v>
      </c>
      <c r="U27" s="400">
        <f>(E26*((1+F27)/(1+C27))^28)/E27</f>
        <v>1.0000038947398391</v>
      </c>
    </row>
    <row r="28" spans="1:21" ht="14" thickTop="1" thickBot="1">
      <c r="B28" s="118"/>
      <c r="C28" s="118"/>
      <c r="D28" s="118"/>
      <c r="E28" s="118"/>
      <c r="F28" s="118"/>
      <c r="G28" s="1636"/>
      <c r="H28" s="1664"/>
      <c r="I28" s="197"/>
      <c r="J28" s="197"/>
      <c r="K28" s="197"/>
      <c r="L28" s="197"/>
      <c r="M28" s="197"/>
      <c r="N28" s="197"/>
      <c r="O28" s="197"/>
      <c r="P28" s="118"/>
      <c r="Q28" s="118"/>
      <c r="R28" s="233"/>
      <c r="S28" s="68"/>
    </row>
    <row r="29" spans="1:21">
      <c r="A29" s="2400" t="s">
        <v>1413</v>
      </c>
      <c r="B29" s="2401"/>
      <c r="C29" s="2401"/>
      <c r="D29" s="2401"/>
      <c r="E29" s="2401"/>
      <c r="F29" s="2401"/>
      <c r="G29" s="2401"/>
      <c r="H29" s="2401"/>
      <c r="I29" s="2401"/>
      <c r="J29" s="2401"/>
      <c r="K29" s="2401"/>
      <c r="L29" s="2401"/>
      <c r="M29" s="2401"/>
      <c r="N29" s="2401"/>
      <c r="O29" s="2401"/>
      <c r="P29" s="2402"/>
      <c r="Q29" s="118"/>
      <c r="R29" s="233"/>
      <c r="S29" s="68"/>
    </row>
    <row r="30" spans="1:21" ht="13" thickBot="1">
      <c r="A30" s="2403"/>
      <c r="B30" s="2404"/>
      <c r="C30" s="2404"/>
      <c r="D30" s="2404"/>
      <c r="E30" s="2404"/>
      <c r="F30" s="2404"/>
      <c r="G30" s="2404"/>
      <c r="H30" s="2404"/>
      <c r="I30" s="2404"/>
      <c r="J30" s="2404"/>
      <c r="K30" s="2404"/>
      <c r="L30" s="2404"/>
      <c r="M30" s="2404"/>
      <c r="N30" s="2404"/>
      <c r="O30" s="2404"/>
      <c r="P30" s="2405"/>
      <c r="Q30" s="118"/>
      <c r="S30" s="68"/>
    </row>
    <row r="31" spans="1:21">
      <c r="B31" s="118"/>
      <c r="C31" s="118"/>
      <c r="D31" s="118"/>
      <c r="E31" s="118"/>
      <c r="F31" s="118"/>
      <c r="G31" s="1665"/>
      <c r="H31" s="116"/>
      <c r="I31" s="118"/>
      <c r="J31" s="118"/>
      <c r="K31" s="118"/>
      <c r="L31" s="118"/>
      <c r="M31" s="118"/>
      <c r="N31" s="118"/>
      <c r="O31" s="118"/>
      <c r="P31" s="118"/>
      <c r="Q31" s="118"/>
      <c r="R31" s="233"/>
      <c r="S31" s="68"/>
    </row>
    <row r="32" spans="1:21">
      <c r="B32" s="118"/>
      <c r="C32" s="118"/>
      <c r="D32" s="118"/>
      <c r="E32" s="118"/>
      <c r="F32" s="118"/>
      <c r="G32" s="1665"/>
      <c r="H32" s="116"/>
      <c r="I32" s="118"/>
      <c r="J32" s="118"/>
      <c r="K32" s="118"/>
      <c r="L32" s="118"/>
      <c r="M32" s="118"/>
      <c r="N32" s="118"/>
      <c r="O32" s="118"/>
      <c r="P32" s="118"/>
      <c r="Q32" s="118"/>
      <c r="R32" s="233"/>
      <c r="S32" s="233"/>
    </row>
    <row r="33" spans="2:18">
      <c r="B33" s="118"/>
      <c r="C33" s="118"/>
      <c r="D33" s="118"/>
      <c r="E33" s="118"/>
      <c r="F33" s="118"/>
      <c r="G33" s="1666"/>
      <c r="H33" s="116"/>
      <c r="J33" s="118"/>
      <c r="K33" s="118"/>
      <c r="L33" s="118"/>
      <c r="M33" s="118"/>
      <c r="N33" s="118"/>
      <c r="O33" s="118"/>
      <c r="P33" s="118"/>
      <c r="Q33" s="118"/>
    </row>
    <row r="34" spans="2:18">
      <c r="B34" s="118"/>
      <c r="C34" s="118"/>
      <c r="D34" s="118"/>
      <c r="E34" s="118"/>
      <c r="F34" s="118"/>
      <c r="G34" s="1666"/>
      <c r="H34" s="116"/>
      <c r="I34" s="118"/>
      <c r="J34" s="118"/>
      <c r="K34" s="118"/>
      <c r="L34" s="118"/>
      <c r="M34" s="118"/>
      <c r="N34" s="118"/>
      <c r="O34" s="118"/>
      <c r="P34" s="118"/>
      <c r="Q34" s="118"/>
      <c r="R34" s="68"/>
    </row>
    <row r="35" spans="2:18">
      <c r="B35" s="118"/>
      <c r="C35" s="533"/>
      <c r="D35" s="118"/>
      <c r="E35" s="118"/>
      <c r="F35" s="118"/>
      <c r="G35" s="135"/>
      <c r="H35" s="116"/>
      <c r="J35" s="118"/>
      <c r="K35" s="118"/>
      <c r="L35" s="118"/>
      <c r="M35" s="118"/>
      <c r="N35" s="118"/>
      <c r="O35" s="118"/>
      <c r="P35" s="118"/>
      <c r="Q35" s="118"/>
    </row>
    <row r="36" spans="2:18">
      <c r="B36" s="118"/>
      <c r="C36" s="439"/>
      <c r="D36" s="118"/>
      <c r="E36" s="118"/>
      <c r="F36" s="118"/>
      <c r="G36" s="116"/>
      <c r="H36" s="116"/>
      <c r="J36" s="118"/>
      <c r="K36" s="118"/>
      <c r="L36" s="118"/>
      <c r="M36" s="118"/>
      <c r="N36" s="118"/>
      <c r="O36" s="118"/>
      <c r="P36" s="118"/>
      <c r="Q36" s="118"/>
    </row>
    <row r="37" spans="2:18">
      <c r="B37" s="118"/>
      <c r="C37" s="439"/>
      <c r="D37" s="118"/>
      <c r="E37" s="118"/>
      <c r="F37" s="118"/>
      <c r="G37" s="118"/>
      <c r="H37" s="118"/>
      <c r="I37" s="118"/>
      <c r="J37" s="118"/>
      <c r="K37" s="118"/>
      <c r="L37" s="118"/>
      <c r="M37" s="118"/>
      <c r="N37" s="118"/>
      <c r="O37" s="118"/>
      <c r="P37" s="118"/>
      <c r="Q37" s="118"/>
    </row>
    <row r="38" spans="2:18">
      <c r="B38" s="118"/>
      <c r="C38" s="439"/>
      <c r="D38" s="118"/>
      <c r="E38" s="118"/>
      <c r="F38" s="118"/>
      <c r="G38" s="118"/>
      <c r="H38" s="118"/>
      <c r="J38" s="118"/>
      <c r="K38" s="118"/>
      <c r="L38" s="118"/>
      <c r="M38" s="118"/>
      <c r="N38" s="118"/>
      <c r="O38" s="118"/>
      <c r="P38" s="118"/>
      <c r="Q38" s="118"/>
    </row>
    <row r="39" spans="2:18">
      <c r="B39" s="118"/>
      <c r="C39" s="439"/>
      <c r="D39" s="118"/>
      <c r="E39" s="118"/>
      <c r="F39" s="118"/>
      <c r="G39" s="118"/>
      <c r="H39" s="118"/>
      <c r="I39" s="118"/>
      <c r="J39" s="118"/>
      <c r="K39" s="118"/>
      <c r="L39" s="118"/>
      <c r="M39" s="118"/>
      <c r="N39" s="118"/>
      <c r="O39" s="118"/>
      <c r="P39" s="118"/>
      <c r="Q39" s="118"/>
    </row>
    <row r="40" spans="2:18">
      <c r="B40" s="118"/>
      <c r="C40" s="438"/>
      <c r="D40" s="118"/>
      <c r="E40" s="118"/>
      <c r="F40" s="118"/>
      <c r="G40" s="118"/>
      <c r="H40" s="118"/>
      <c r="I40" s="118"/>
      <c r="J40" s="118"/>
      <c r="K40" s="118"/>
      <c r="L40" s="118"/>
      <c r="M40" s="118"/>
      <c r="N40" s="118"/>
      <c r="O40" s="118"/>
      <c r="P40" s="118"/>
      <c r="Q40" s="118"/>
    </row>
    <row r="41" spans="2:18">
      <c r="B41" s="118"/>
      <c r="C41" s="439"/>
      <c r="D41" s="118"/>
      <c r="E41" s="118"/>
      <c r="F41" s="118"/>
      <c r="G41" s="118"/>
      <c r="H41" s="118"/>
      <c r="I41" s="118"/>
      <c r="J41" s="118"/>
      <c r="K41" s="118"/>
      <c r="L41" s="118"/>
      <c r="M41" s="118"/>
      <c r="N41" s="118"/>
      <c r="O41" s="118"/>
      <c r="P41" s="118"/>
      <c r="Q41" s="118"/>
    </row>
    <row r="42" spans="2:18">
      <c r="B42" s="118"/>
      <c r="C42" s="439"/>
      <c r="D42" s="118"/>
      <c r="E42" s="118"/>
      <c r="F42" s="118"/>
      <c r="G42" s="118"/>
      <c r="H42" s="118"/>
      <c r="I42" s="118"/>
      <c r="J42" s="118"/>
      <c r="K42" s="118"/>
      <c r="L42" s="118"/>
      <c r="M42" s="118"/>
      <c r="N42" s="118"/>
      <c r="O42" s="118"/>
      <c r="P42" s="118"/>
      <c r="Q42" s="118"/>
    </row>
    <row r="43" spans="2:18">
      <c r="B43" s="118"/>
      <c r="C43" s="439"/>
      <c r="D43" s="118"/>
      <c r="E43" s="118"/>
      <c r="F43" s="118"/>
      <c r="G43" s="118"/>
      <c r="H43" s="118"/>
      <c r="I43" s="118"/>
      <c r="J43" s="118"/>
      <c r="K43" s="118"/>
      <c r="L43" s="118"/>
      <c r="M43" s="118"/>
      <c r="N43" s="118"/>
      <c r="O43" s="118"/>
      <c r="P43" s="118"/>
      <c r="Q43" s="118"/>
    </row>
    <row r="44" spans="2:18">
      <c r="B44" s="118"/>
      <c r="C44" s="439"/>
      <c r="D44" s="118"/>
      <c r="E44" s="118"/>
      <c r="F44" s="118"/>
      <c r="G44" s="118"/>
      <c r="H44" s="118"/>
      <c r="I44" s="118"/>
      <c r="J44" s="118"/>
      <c r="K44" s="118"/>
      <c r="L44" s="118"/>
      <c r="M44" s="118"/>
      <c r="N44" s="118"/>
      <c r="O44" s="118"/>
      <c r="P44" s="118"/>
      <c r="Q44" s="118"/>
    </row>
    <row r="45" spans="2:18">
      <c r="B45" s="118"/>
      <c r="C45" s="439"/>
      <c r="D45" s="118"/>
      <c r="E45" s="118"/>
      <c r="F45" s="118"/>
      <c r="G45" s="118"/>
      <c r="H45" s="118"/>
      <c r="I45" s="118"/>
      <c r="J45" s="118"/>
      <c r="K45" s="118"/>
      <c r="L45" s="118"/>
      <c r="M45" s="118"/>
      <c r="N45" s="118"/>
      <c r="O45" s="118"/>
      <c r="P45" s="118"/>
      <c r="Q45" s="118"/>
    </row>
    <row r="46" spans="2:18">
      <c r="B46" s="118"/>
      <c r="C46" s="438"/>
      <c r="D46" s="118"/>
      <c r="E46" s="118"/>
      <c r="F46" s="118"/>
      <c r="G46" s="118"/>
      <c r="H46" s="118"/>
      <c r="I46" s="118"/>
      <c r="J46" s="118"/>
      <c r="K46" s="118"/>
      <c r="L46" s="118"/>
      <c r="M46" s="118"/>
      <c r="N46" s="118"/>
      <c r="O46" s="118"/>
      <c r="P46" s="118"/>
      <c r="Q46" s="118"/>
    </row>
    <row r="47" spans="2:18">
      <c r="B47" s="118"/>
      <c r="C47" s="439"/>
      <c r="D47" s="118"/>
      <c r="E47" s="118"/>
      <c r="F47" s="118"/>
      <c r="G47" s="118"/>
      <c r="H47" s="118"/>
      <c r="I47" s="118"/>
      <c r="J47" s="118"/>
      <c r="K47" s="118"/>
      <c r="L47" s="118"/>
      <c r="M47" s="118"/>
      <c r="N47" s="118"/>
      <c r="O47" s="118"/>
      <c r="P47" s="118"/>
      <c r="Q47" s="118"/>
    </row>
    <row r="48" spans="2:18">
      <c r="B48" s="118"/>
      <c r="C48" s="439"/>
      <c r="D48" s="118"/>
      <c r="E48" s="118"/>
      <c r="F48" s="118"/>
      <c r="G48" s="118"/>
      <c r="H48" s="118"/>
      <c r="I48" s="118"/>
      <c r="J48" s="118"/>
      <c r="K48" s="118"/>
      <c r="L48" s="118"/>
      <c r="M48" s="118"/>
      <c r="N48" s="118"/>
      <c r="O48" s="118"/>
      <c r="P48" s="118"/>
      <c r="Q48" s="118"/>
    </row>
    <row r="49" spans="2:17">
      <c r="B49" s="118"/>
      <c r="C49" s="439"/>
      <c r="D49" s="118"/>
      <c r="E49" s="118"/>
      <c r="F49" s="118"/>
      <c r="G49" s="118"/>
      <c r="H49" s="118"/>
      <c r="I49" s="118"/>
      <c r="J49" s="118"/>
      <c r="K49" s="118"/>
      <c r="L49" s="118"/>
      <c r="M49" s="118"/>
      <c r="N49" s="118"/>
      <c r="O49" s="118"/>
      <c r="P49" s="118"/>
      <c r="Q49" s="118"/>
    </row>
    <row r="50" spans="2:17">
      <c r="B50" s="118"/>
      <c r="C50" s="438"/>
      <c r="D50" s="118"/>
      <c r="E50" s="118"/>
      <c r="F50" s="118"/>
      <c r="G50" s="118"/>
      <c r="H50" s="118"/>
      <c r="I50" s="118"/>
      <c r="J50" s="118"/>
      <c r="K50" s="118"/>
      <c r="L50" s="118"/>
      <c r="M50" s="118"/>
      <c r="N50" s="118"/>
      <c r="O50" s="118"/>
      <c r="P50" s="118"/>
      <c r="Q50" s="118"/>
    </row>
    <row r="51" spans="2:17">
      <c r="B51" s="118"/>
      <c r="C51" s="438"/>
      <c r="D51" s="118"/>
      <c r="E51" s="118"/>
      <c r="F51" s="118"/>
      <c r="G51" s="118"/>
      <c r="H51" s="118"/>
      <c r="I51" s="118"/>
      <c r="J51" s="118"/>
      <c r="K51" s="118"/>
      <c r="L51" s="118"/>
      <c r="M51" s="118"/>
      <c r="N51" s="118"/>
      <c r="O51" s="118"/>
      <c r="P51" s="118"/>
      <c r="Q51" s="118"/>
    </row>
    <row r="52" spans="2:17">
      <c r="B52" s="118"/>
      <c r="C52" s="1802"/>
      <c r="D52" s="118"/>
      <c r="E52" s="118"/>
      <c r="F52" s="118"/>
      <c r="G52" s="118"/>
      <c r="H52" s="118"/>
      <c r="I52" s="118"/>
      <c r="J52" s="118"/>
      <c r="K52" s="118"/>
      <c r="L52" s="118"/>
      <c r="M52" s="118"/>
      <c r="N52" s="118"/>
      <c r="O52" s="118"/>
      <c r="P52" s="118"/>
      <c r="Q52" s="118"/>
    </row>
    <row r="53" spans="2:17">
      <c r="B53" s="118"/>
      <c r="C53" s="118"/>
      <c r="D53" s="118"/>
      <c r="E53" s="118"/>
      <c r="F53" s="118"/>
      <c r="G53" s="118"/>
      <c r="H53" s="118"/>
      <c r="I53" s="118"/>
      <c r="J53" s="118"/>
      <c r="K53" s="118"/>
      <c r="L53" s="118"/>
      <c r="M53" s="118"/>
      <c r="N53" s="118"/>
      <c r="O53" s="118"/>
      <c r="P53" s="118"/>
      <c r="Q53" s="118"/>
    </row>
    <row r="54" spans="2:17">
      <c r="B54" s="118"/>
      <c r="C54" s="118"/>
      <c r="D54" s="118"/>
      <c r="E54" s="118"/>
      <c r="F54" s="118"/>
      <c r="G54" s="118"/>
      <c r="H54" s="118"/>
      <c r="I54" s="118"/>
      <c r="J54" s="118"/>
      <c r="K54" s="118"/>
      <c r="L54" s="118"/>
      <c r="M54" s="118"/>
      <c r="N54" s="118"/>
      <c r="O54" s="118"/>
      <c r="P54" s="118"/>
      <c r="Q54" s="118"/>
    </row>
    <row r="55" spans="2:17">
      <c r="B55" s="118"/>
      <c r="C55" s="118"/>
      <c r="D55" s="118"/>
      <c r="E55" s="118"/>
      <c r="F55" s="118"/>
      <c r="G55" s="118"/>
      <c r="H55" s="118"/>
      <c r="I55" s="118"/>
      <c r="J55" s="118"/>
      <c r="K55" s="118"/>
      <c r="L55" s="118"/>
      <c r="M55" s="118"/>
      <c r="N55" s="118"/>
      <c r="O55" s="118"/>
      <c r="P55" s="118"/>
      <c r="Q55" s="118"/>
    </row>
    <row r="56" spans="2:17">
      <c r="B56" s="118"/>
      <c r="C56" s="118"/>
      <c r="D56" s="118"/>
      <c r="E56" s="118"/>
      <c r="F56" s="118"/>
      <c r="G56" s="118"/>
      <c r="H56" s="118"/>
      <c r="I56" s="118"/>
      <c r="J56" s="118"/>
      <c r="K56" s="118"/>
      <c r="L56" s="118"/>
      <c r="M56" s="118"/>
      <c r="N56" s="118"/>
      <c r="O56" s="118"/>
      <c r="P56" s="118"/>
      <c r="Q56" s="118"/>
    </row>
    <row r="57" spans="2:17">
      <c r="B57" s="118"/>
      <c r="C57" s="118"/>
      <c r="D57" s="118"/>
      <c r="E57" s="118"/>
      <c r="F57" s="118"/>
      <c r="G57" s="118"/>
      <c r="H57" s="118"/>
      <c r="I57" s="118"/>
      <c r="J57" s="118"/>
      <c r="K57" s="118"/>
      <c r="L57" s="118"/>
      <c r="M57" s="118"/>
      <c r="N57" s="118"/>
      <c r="O57" s="118"/>
      <c r="P57" s="118"/>
      <c r="Q57" s="118"/>
    </row>
    <row r="58" spans="2:17">
      <c r="B58" s="118"/>
      <c r="C58" s="118"/>
      <c r="D58" s="118"/>
      <c r="E58" s="118"/>
      <c r="F58" s="118"/>
      <c r="G58" s="118"/>
      <c r="H58" s="118"/>
      <c r="I58" s="118"/>
      <c r="J58" s="118"/>
      <c r="K58" s="118"/>
      <c r="L58" s="118"/>
      <c r="M58" s="118"/>
      <c r="N58" s="118"/>
      <c r="O58" s="118"/>
      <c r="P58" s="118"/>
      <c r="Q58" s="118"/>
    </row>
    <row r="59" spans="2:17">
      <c r="B59" s="118"/>
      <c r="C59" s="118"/>
      <c r="D59" s="118"/>
      <c r="E59" s="118"/>
      <c r="F59" s="118"/>
      <c r="G59" s="118"/>
      <c r="H59" s="118"/>
      <c r="I59" s="118"/>
      <c r="J59" s="118"/>
      <c r="K59" s="118"/>
      <c r="L59" s="118"/>
      <c r="M59" s="118"/>
      <c r="N59" s="118"/>
      <c r="O59" s="118"/>
      <c r="P59" s="118"/>
      <c r="Q59" s="118"/>
    </row>
    <row r="60" spans="2:17">
      <c r="B60" s="118"/>
      <c r="C60" s="118"/>
      <c r="D60" s="118"/>
      <c r="E60" s="118"/>
      <c r="F60" s="118"/>
      <c r="G60" s="118"/>
      <c r="H60" s="118"/>
      <c r="I60" s="118"/>
      <c r="J60" s="118"/>
      <c r="K60" s="118"/>
      <c r="L60" s="118"/>
      <c r="M60" s="118"/>
      <c r="N60" s="118"/>
      <c r="O60" s="118"/>
      <c r="P60" s="118"/>
      <c r="Q60" s="118"/>
    </row>
    <row r="61" spans="2:17">
      <c r="B61" s="118"/>
      <c r="C61" s="118"/>
      <c r="D61" s="118"/>
      <c r="E61" s="118"/>
      <c r="F61" s="118"/>
      <c r="G61" s="118"/>
      <c r="H61" s="118"/>
      <c r="I61" s="118"/>
      <c r="J61" s="118"/>
      <c r="K61" s="118"/>
      <c r="L61" s="118"/>
      <c r="M61" s="118"/>
      <c r="N61" s="118"/>
      <c r="O61" s="118"/>
      <c r="P61" s="118"/>
      <c r="Q61" s="118"/>
    </row>
    <row r="62" spans="2:17">
      <c r="B62" s="118"/>
      <c r="C62" s="118"/>
      <c r="D62" s="118"/>
      <c r="E62" s="118"/>
      <c r="F62" s="118"/>
      <c r="G62" s="118"/>
      <c r="H62" s="118"/>
      <c r="I62" s="118"/>
      <c r="J62" s="118"/>
      <c r="K62" s="118"/>
      <c r="L62" s="118"/>
      <c r="M62" s="118"/>
      <c r="N62" s="118"/>
      <c r="O62" s="118"/>
      <c r="P62" s="118"/>
      <c r="Q62" s="118"/>
    </row>
    <row r="63" spans="2:17">
      <c r="B63" s="118"/>
      <c r="C63" s="118"/>
      <c r="D63" s="118"/>
      <c r="E63" s="118"/>
      <c r="F63" s="118"/>
      <c r="H63" s="118"/>
      <c r="I63" s="118"/>
      <c r="J63" s="118"/>
      <c r="K63" s="118"/>
      <c r="L63" s="118"/>
      <c r="M63" s="118"/>
      <c r="N63" s="118"/>
      <c r="O63" s="118"/>
      <c r="P63" s="118"/>
      <c r="Q63" s="118"/>
    </row>
    <row r="64" spans="2:17">
      <c r="B64" s="118"/>
      <c r="C64" s="118"/>
      <c r="D64" s="118"/>
      <c r="E64" s="118"/>
      <c r="F64" s="118"/>
      <c r="H64" s="118"/>
      <c r="I64" s="118"/>
      <c r="J64" s="118"/>
      <c r="K64" s="118"/>
      <c r="L64" s="118"/>
      <c r="M64" s="118"/>
      <c r="N64" s="118"/>
      <c r="O64" s="118"/>
      <c r="P64" s="118"/>
      <c r="Q64" s="118"/>
    </row>
    <row r="65" spans="2:17">
      <c r="B65" s="118"/>
      <c r="C65" s="118"/>
      <c r="D65" s="118"/>
      <c r="E65" s="118"/>
      <c r="F65" s="118"/>
      <c r="H65" s="118"/>
      <c r="I65" s="118"/>
      <c r="J65" s="118"/>
      <c r="K65" s="118"/>
      <c r="L65" s="118"/>
      <c r="M65" s="118"/>
      <c r="N65" s="118"/>
      <c r="O65" s="118"/>
      <c r="P65" s="118"/>
      <c r="Q65" s="118"/>
    </row>
    <row r="66" spans="2:17">
      <c r="B66" s="118"/>
      <c r="C66" s="118"/>
      <c r="D66" s="118"/>
      <c r="E66" s="118"/>
      <c r="F66" s="118"/>
      <c r="H66" s="118"/>
      <c r="I66" s="118"/>
      <c r="J66" s="118"/>
      <c r="K66" s="118"/>
      <c r="L66" s="118"/>
      <c r="M66" s="118"/>
      <c r="N66" s="118"/>
      <c r="O66" s="118"/>
      <c r="P66" s="118"/>
      <c r="Q66" s="118"/>
    </row>
    <row r="67" spans="2:17">
      <c r="B67" s="118"/>
      <c r="C67" s="118"/>
      <c r="D67" s="118"/>
      <c r="E67" s="118"/>
      <c r="F67" s="118"/>
      <c r="H67" s="118"/>
      <c r="I67" s="118"/>
      <c r="J67" s="118"/>
      <c r="K67" s="118"/>
      <c r="L67" s="118"/>
      <c r="M67" s="118"/>
      <c r="N67" s="118"/>
      <c r="O67" s="118"/>
      <c r="P67" s="118"/>
      <c r="Q67" s="118"/>
    </row>
    <row r="68" spans="2:17">
      <c r="B68" s="118"/>
      <c r="C68" s="118"/>
      <c r="D68" s="118"/>
      <c r="E68" s="118"/>
      <c r="F68" s="118"/>
      <c r="H68" s="118"/>
      <c r="I68" s="118"/>
      <c r="J68" s="118"/>
      <c r="K68" s="118"/>
      <c r="L68" s="118"/>
      <c r="M68" s="118"/>
      <c r="N68" s="118"/>
      <c r="O68" s="118"/>
      <c r="P68" s="118"/>
      <c r="Q68" s="118"/>
    </row>
    <row r="69" spans="2:17">
      <c r="B69" s="118"/>
      <c r="C69" s="118"/>
      <c r="D69" s="118"/>
      <c r="E69" s="118"/>
      <c r="F69" s="118"/>
      <c r="H69" s="118"/>
      <c r="I69" s="118"/>
      <c r="J69" s="118"/>
      <c r="K69" s="118"/>
      <c r="L69" s="118"/>
      <c r="M69" s="118"/>
      <c r="N69" s="118"/>
      <c r="O69" s="118"/>
      <c r="P69" s="118"/>
      <c r="Q69" s="118"/>
    </row>
    <row r="70" spans="2:17">
      <c r="B70" s="118"/>
      <c r="C70" s="118"/>
      <c r="D70" s="118"/>
      <c r="E70" s="118"/>
      <c r="F70" s="118"/>
      <c r="H70" s="118"/>
      <c r="I70" s="118"/>
      <c r="J70" s="118"/>
      <c r="K70" s="118"/>
      <c r="L70" s="118"/>
      <c r="M70" s="118"/>
      <c r="N70" s="118"/>
      <c r="O70" s="118"/>
      <c r="P70" s="118"/>
      <c r="Q70" s="118"/>
    </row>
    <row r="71" spans="2:17">
      <c r="B71" s="118"/>
      <c r="C71" s="118"/>
      <c r="D71" s="118"/>
      <c r="E71" s="118"/>
      <c r="F71" s="118"/>
      <c r="H71" s="118"/>
      <c r="I71" s="118"/>
      <c r="J71" s="118"/>
      <c r="K71" s="118"/>
      <c r="L71" s="118"/>
      <c r="M71" s="118"/>
      <c r="N71" s="118"/>
      <c r="O71" s="118"/>
      <c r="P71" s="118"/>
      <c r="Q71" s="118"/>
    </row>
    <row r="72" spans="2:17">
      <c r="B72" s="118"/>
      <c r="C72" s="118"/>
      <c r="D72" s="118"/>
      <c r="E72" s="118"/>
      <c r="F72" s="118"/>
      <c r="H72" s="118"/>
      <c r="I72" s="118"/>
      <c r="J72" s="118"/>
      <c r="K72" s="118"/>
      <c r="L72" s="118"/>
      <c r="M72" s="118"/>
      <c r="N72" s="118"/>
      <c r="O72" s="118"/>
      <c r="P72" s="118"/>
      <c r="Q72" s="118"/>
    </row>
    <row r="73" spans="2:17">
      <c r="B73" s="118"/>
      <c r="C73" s="118"/>
      <c r="D73" s="118"/>
      <c r="E73" s="118"/>
      <c r="F73" s="118"/>
      <c r="H73" s="118"/>
      <c r="I73" s="118"/>
      <c r="J73" s="118"/>
      <c r="K73" s="118"/>
      <c r="L73" s="118"/>
      <c r="M73" s="118"/>
      <c r="N73" s="118"/>
      <c r="O73" s="118"/>
      <c r="P73" s="118"/>
      <c r="Q73" s="118"/>
    </row>
    <row r="74" spans="2:17">
      <c r="B74" s="118"/>
      <c r="C74" s="118"/>
      <c r="D74" s="118"/>
      <c r="E74" s="118"/>
      <c r="F74" s="118"/>
      <c r="H74" s="118"/>
      <c r="I74" s="118"/>
      <c r="J74" s="118"/>
      <c r="K74" s="118"/>
      <c r="L74" s="118"/>
      <c r="M74" s="118"/>
      <c r="N74" s="118"/>
      <c r="O74" s="118"/>
      <c r="P74" s="118"/>
      <c r="Q74" s="118"/>
    </row>
    <row r="75" spans="2:17">
      <c r="B75" s="118"/>
      <c r="C75" s="118"/>
      <c r="D75" s="118"/>
      <c r="E75" s="118"/>
      <c r="F75" s="118"/>
      <c r="H75" s="118"/>
      <c r="I75" s="118"/>
      <c r="J75" s="118"/>
      <c r="K75" s="118"/>
      <c r="L75" s="118"/>
      <c r="M75" s="118"/>
      <c r="N75" s="118"/>
      <c r="O75" s="118"/>
      <c r="P75" s="118"/>
      <c r="Q75" s="118"/>
    </row>
    <row r="76" spans="2:17">
      <c r="B76" s="118"/>
      <c r="C76" s="118"/>
      <c r="D76" s="118"/>
      <c r="E76" s="118"/>
      <c r="F76" s="118"/>
      <c r="H76" s="118"/>
      <c r="I76" s="118"/>
      <c r="J76" s="118"/>
      <c r="K76" s="118"/>
      <c r="L76" s="118"/>
      <c r="M76" s="118"/>
      <c r="N76" s="118"/>
      <c r="O76" s="118"/>
      <c r="P76" s="118"/>
      <c r="Q76" s="118"/>
    </row>
    <row r="77" spans="2:17">
      <c r="B77" s="118"/>
      <c r="C77" s="118"/>
      <c r="D77" s="118"/>
      <c r="E77" s="118"/>
      <c r="F77" s="118"/>
      <c r="H77" s="118"/>
      <c r="I77" s="118"/>
      <c r="J77" s="118"/>
      <c r="K77" s="118"/>
      <c r="L77" s="118"/>
      <c r="M77" s="118"/>
      <c r="N77" s="118"/>
      <c r="O77" s="118"/>
      <c r="P77" s="118"/>
      <c r="Q77" s="118"/>
    </row>
    <row r="78" spans="2:17">
      <c r="B78" s="118"/>
      <c r="C78" s="118"/>
      <c r="D78" s="118"/>
      <c r="E78" s="118"/>
      <c r="F78" s="118"/>
      <c r="H78" s="118"/>
      <c r="I78" s="118"/>
      <c r="J78" s="118"/>
      <c r="K78" s="118"/>
      <c r="L78" s="118"/>
      <c r="M78" s="118"/>
      <c r="N78" s="118"/>
      <c r="O78" s="118"/>
      <c r="P78" s="118"/>
      <c r="Q78" s="118"/>
    </row>
    <row r="79" spans="2:17">
      <c r="B79" s="118"/>
      <c r="C79" s="118"/>
      <c r="D79" s="118"/>
      <c r="E79" s="118"/>
      <c r="F79" s="118"/>
      <c r="H79" s="118"/>
      <c r="I79" s="118"/>
      <c r="J79" s="118"/>
      <c r="K79" s="118"/>
      <c r="L79" s="118"/>
      <c r="M79" s="118"/>
      <c r="N79" s="118"/>
      <c r="O79" s="118"/>
      <c r="P79" s="118"/>
      <c r="Q79" s="118"/>
    </row>
    <row r="80" spans="2:17">
      <c r="B80" s="118"/>
      <c r="C80" s="118"/>
      <c r="D80" s="118"/>
      <c r="E80" s="118"/>
      <c r="F80" s="118"/>
      <c r="H80" s="118"/>
      <c r="I80" s="118"/>
      <c r="J80" s="118"/>
      <c r="K80" s="118"/>
      <c r="L80" s="118"/>
      <c r="M80" s="118"/>
      <c r="N80" s="118"/>
      <c r="O80" s="118"/>
      <c r="P80" s="118"/>
      <c r="Q80" s="118"/>
    </row>
    <row r="81" spans="2:17">
      <c r="B81" s="118"/>
      <c r="C81" s="118"/>
      <c r="D81" s="118"/>
      <c r="E81" s="118"/>
      <c r="F81" s="118"/>
      <c r="H81" s="118"/>
      <c r="I81" s="118"/>
      <c r="J81" s="118"/>
      <c r="K81" s="118"/>
      <c r="L81" s="118"/>
      <c r="M81" s="118"/>
      <c r="N81" s="118"/>
      <c r="O81" s="118"/>
      <c r="P81" s="118"/>
      <c r="Q81" s="118"/>
    </row>
    <row r="82" spans="2:17">
      <c r="B82" s="118"/>
      <c r="C82" s="118"/>
      <c r="D82" s="118"/>
      <c r="E82" s="118"/>
      <c r="F82" s="118"/>
      <c r="H82" s="118"/>
      <c r="I82" s="118"/>
      <c r="J82" s="118"/>
      <c r="K82" s="118"/>
      <c r="L82" s="118"/>
      <c r="M82" s="118"/>
      <c r="N82" s="118"/>
      <c r="O82" s="118"/>
      <c r="P82" s="118"/>
      <c r="Q82" s="118"/>
    </row>
    <row r="83" spans="2:17">
      <c r="B83" s="118"/>
      <c r="C83" s="118"/>
      <c r="D83" s="118"/>
      <c r="E83" s="118"/>
      <c r="F83" s="118"/>
      <c r="H83" s="118"/>
      <c r="I83" s="118"/>
      <c r="J83" s="118"/>
      <c r="K83" s="118"/>
      <c r="L83" s="118"/>
      <c r="M83" s="118"/>
      <c r="N83" s="118"/>
      <c r="O83" s="118"/>
      <c r="P83" s="118"/>
      <c r="Q83" s="118"/>
    </row>
    <row r="84" spans="2:17">
      <c r="B84" s="118"/>
      <c r="C84" s="118"/>
      <c r="D84" s="118"/>
      <c r="E84" s="118"/>
      <c r="F84" s="118"/>
      <c r="H84" s="118"/>
      <c r="I84" s="118"/>
      <c r="J84" s="118"/>
      <c r="K84" s="118"/>
      <c r="L84" s="118"/>
      <c r="M84" s="118"/>
      <c r="N84" s="118"/>
      <c r="O84" s="118"/>
      <c r="P84" s="118"/>
      <c r="Q84" s="118"/>
    </row>
    <row r="85" spans="2:17">
      <c r="B85" s="118"/>
      <c r="C85" s="118"/>
      <c r="D85" s="118"/>
      <c r="E85" s="118"/>
      <c r="F85" s="118"/>
      <c r="H85" s="118"/>
      <c r="I85" s="118"/>
      <c r="J85" s="118"/>
      <c r="K85" s="118"/>
      <c r="L85" s="118"/>
      <c r="M85" s="118"/>
      <c r="N85" s="118"/>
      <c r="O85" s="118"/>
      <c r="P85" s="118"/>
      <c r="Q85" s="118"/>
    </row>
    <row r="86" spans="2:17">
      <c r="B86" s="118"/>
      <c r="C86" s="118"/>
      <c r="D86" s="118"/>
      <c r="E86" s="118"/>
      <c r="F86" s="118"/>
      <c r="H86" s="118"/>
      <c r="I86" s="118"/>
      <c r="J86" s="118"/>
      <c r="K86" s="118"/>
      <c r="L86" s="118"/>
      <c r="M86" s="118"/>
      <c r="N86" s="118"/>
      <c r="O86" s="118"/>
      <c r="P86" s="118"/>
      <c r="Q86" s="118"/>
    </row>
    <row r="87" spans="2:17">
      <c r="B87" s="118"/>
      <c r="C87" s="118"/>
      <c r="D87" s="118"/>
      <c r="E87" s="118"/>
      <c r="F87" s="118"/>
      <c r="H87" s="118"/>
      <c r="I87" s="118"/>
      <c r="J87" s="118"/>
      <c r="K87" s="118"/>
      <c r="L87" s="118"/>
      <c r="M87" s="118"/>
      <c r="N87" s="118"/>
      <c r="O87" s="118"/>
      <c r="P87" s="118"/>
      <c r="Q87" s="118"/>
    </row>
    <row r="88" spans="2:17">
      <c r="B88" s="118"/>
      <c r="C88" s="118"/>
      <c r="D88" s="118"/>
      <c r="E88" s="118"/>
      <c r="F88" s="118"/>
      <c r="H88" s="118"/>
      <c r="I88" s="118"/>
      <c r="J88" s="118"/>
      <c r="K88" s="118"/>
      <c r="L88" s="118"/>
      <c r="M88" s="118"/>
      <c r="N88" s="118"/>
      <c r="O88" s="118"/>
      <c r="P88" s="118"/>
      <c r="Q88" s="118"/>
    </row>
    <row r="89" spans="2:17">
      <c r="B89" s="118"/>
      <c r="C89" s="118"/>
      <c r="D89" s="118"/>
      <c r="E89" s="118"/>
      <c r="F89" s="118"/>
      <c r="H89" s="118"/>
      <c r="I89" s="118"/>
      <c r="J89" s="118"/>
      <c r="K89" s="118"/>
      <c r="L89" s="118"/>
      <c r="M89" s="118"/>
      <c r="N89" s="118"/>
      <c r="O89" s="118"/>
      <c r="P89" s="118"/>
      <c r="Q89" s="118"/>
    </row>
    <row r="90" spans="2:17">
      <c r="B90" s="118"/>
      <c r="C90" s="118"/>
      <c r="D90" s="118"/>
      <c r="E90" s="118"/>
      <c r="F90" s="118"/>
      <c r="H90" s="118"/>
      <c r="I90" s="118"/>
      <c r="J90" s="118"/>
      <c r="K90" s="118"/>
      <c r="L90" s="118"/>
      <c r="M90" s="118"/>
      <c r="N90" s="118"/>
      <c r="O90" s="118"/>
      <c r="P90" s="118"/>
      <c r="Q90" s="118"/>
    </row>
    <row r="91" spans="2:17">
      <c r="B91" s="118"/>
      <c r="C91" s="118"/>
      <c r="D91" s="118"/>
      <c r="E91" s="118"/>
      <c r="F91" s="118"/>
      <c r="H91" s="118"/>
      <c r="I91" s="118"/>
      <c r="J91" s="118"/>
      <c r="K91" s="118"/>
      <c r="L91" s="118"/>
      <c r="M91" s="118"/>
      <c r="N91" s="118"/>
      <c r="O91" s="118"/>
      <c r="P91" s="118"/>
      <c r="Q91" s="118"/>
    </row>
    <row r="92" spans="2:17">
      <c r="B92" s="118"/>
      <c r="C92" s="118"/>
      <c r="D92" s="118"/>
      <c r="E92" s="118"/>
      <c r="F92" s="118"/>
      <c r="H92" s="118"/>
      <c r="I92" s="118"/>
      <c r="J92" s="118"/>
      <c r="K92" s="118"/>
      <c r="L92" s="118"/>
      <c r="M92" s="118"/>
      <c r="N92" s="118"/>
      <c r="O92" s="118"/>
      <c r="P92" s="118"/>
      <c r="Q92" s="118"/>
    </row>
    <row r="93" spans="2:17">
      <c r="B93" s="118"/>
      <c r="C93" s="118"/>
      <c r="D93" s="118"/>
      <c r="E93" s="118"/>
      <c r="F93" s="118"/>
      <c r="H93" s="118"/>
      <c r="I93" s="118"/>
      <c r="J93" s="118"/>
      <c r="K93" s="118"/>
      <c r="L93" s="118"/>
      <c r="M93" s="118"/>
      <c r="N93" s="118"/>
      <c r="O93" s="118"/>
      <c r="P93" s="118"/>
      <c r="Q93" s="118"/>
    </row>
    <row r="94" spans="2:17">
      <c r="B94" s="118"/>
      <c r="C94" s="118"/>
      <c r="D94" s="118"/>
      <c r="E94" s="118"/>
      <c r="F94" s="118"/>
      <c r="H94" s="118"/>
      <c r="I94" s="118"/>
      <c r="J94" s="118"/>
      <c r="K94" s="118"/>
      <c r="L94" s="118"/>
      <c r="M94" s="118"/>
      <c r="N94" s="118"/>
      <c r="O94" s="118"/>
      <c r="P94" s="118"/>
      <c r="Q94" s="118"/>
    </row>
    <row r="95" spans="2:17">
      <c r="B95" s="118"/>
      <c r="C95" s="118"/>
      <c r="D95" s="118"/>
      <c r="E95" s="118"/>
      <c r="F95" s="118"/>
      <c r="H95" s="118"/>
      <c r="I95" s="118"/>
      <c r="J95" s="118"/>
      <c r="K95" s="118"/>
      <c r="L95" s="118"/>
      <c r="M95" s="118"/>
      <c r="N95" s="118"/>
      <c r="O95" s="118"/>
      <c r="P95" s="118"/>
      <c r="Q95" s="118"/>
    </row>
    <row r="96" spans="2:17">
      <c r="B96" s="118"/>
      <c r="C96" s="118"/>
      <c r="D96" s="118"/>
      <c r="E96" s="118"/>
      <c r="F96" s="118"/>
      <c r="H96" s="118"/>
      <c r="I96" s="118"/>
      <c r="J96" s="118"/>
      <c r="K96" s="118"/>
      <c r="L96" s="118"/>
      <c r="M96" s="118"/>
      <c r="N96" s="118"/>
      <c r="O96" s="118"/>
      <c r="P96" s="118"/>
      <c r="Q96" s="118"/>
    </row>
    <row r="97" spans="2:17">
      <c r="B97" s="118"/>
      <c r="C97" s="118"/>
      <c r="D97" s="118"/>
      <c r="E97" s="118"/>
      <c r="F97" s="118"/>
      <c r="H97" s="118"/>
      <c r="I97" s="118"/>
      <c r="J97" s="118"/>
      <c r="K97" s="118"/>
      <c r="L97" s="118"/>
      <c r="M97" s="118"/>
      <c r="N97" s="118"/>
      <c r="O97" s="118"/>
      <c r="P97" s="118"/>
      <c r="Q97" s="118"/>
    </row>
    <row r="98" spans="2:17">
      <c r="B98" s="118"/>
      <c r="C98" s="118"/>
      <c r="D98" s="118"/>
      <c r="E98" s="118"/>
      <c r="F98" s="118"/>
      <c r="H98" s="118"/>
      <c r="I98" s="118"/>
      <c r="J98" s="118"/>
      <c r="K98" s="118"/>
      <c r="L98" s="118"/>
      <c r="M98" s="118"/>
      <c r="N98" s="118"/>
      <c r="O98" s="118"/>
      <c r="P98" s="118"/>
      <c r="Q98" s="118"/>
    </row>
    <row r="99" spans="2:17">
      <c r="B99" s="118"/>
      <c r="C99" s="118"/>
      <c r="D99" s="118"/>
      <c r="E99" s="118"/>
      <c r="F99" s="118"/>
      <c r="H99" s="118"/>
      <c r="I99" s="118"/>
      <c r="J99" s="118"/>
      <c r="K99" s="118"/>
      <c r="L99" s="118"/>
      <c r="M99" s="118"/>
      <c r="N99" s="118"/>
      <c r="O99" s="118"/>
      <c r="P99" s="118"/>
      <c r="Q99" s="118"/>
    </row>
    <row r="100" spans="2:17">
      <c r="B100" s="118"/>
      <c r="C100" s="118"/>
      <c r="D100" s="118"/>
      <c r="E100" s="118"/>
      <c r="F100" s="118"/>
      <c r="H100" s="118"/>
      <c r="I100" s="118"/>
      <c r="J100" s="118"/>
      <c r="K100" s="118"/>
      <c r="L100" s="118"/>
      <c r="M100" s="118"/>
      <c r="N100" s="118"/>
      <c r="O100" s="118"/>
      <c r="P100" s="118"/>
      <c r="Q100" s="118"/>
    </row>
    <row r="101" spans="2:17">
      <c r="B101" s="118"/>
      <c r="C101" s="118"/>
      <c r="D101" s="118"/>
      <c r="E101" s="118"/>
      <c r="F101" s="118"/>
      <c r="H101" s="118"/>
      <c r="I101" s="118"/>
      <c r="J101" s="118"/>
      <c r="K101" s="118"/>
      <c r="L101" s="118"/>
      <c r="M101" s="118"/>
      <c r="N101" s="118"/>
      <c r="O101" s="118"/>
      <c r="P101" s="118"/>
      <c r="Q101" s="118"/>
    </row>
    <row r="102" spans="2:17">
      <c r="B102" s="118"/>
      <c r="C102" s="118"/>
      <c r="D102" s="118"/>
      <c r="E102" s="118"/>
      <c r="F102" s="118"/>
      <c r="H102" s="118"/>
      <c r="I102" s="118"/>
      <c r="J102" s="118"/>
      <c r="K102" s="118"/>
      <c r="L102" s="118"/>
      <c r="M102" s="118"/>
      <c r="N102" s="118"/>
      <c r="O102" s="118"/>
      <c r="P102" s="118"/>
      <c r="Q102" s="118"/>
    </row>
    <row r="103" spans="2:17">
      <c r="B103" s="118"/>
      <c r="C103" s="118"/>
      <c r="D103" s="118"/>
      <c r="E103" s="118"/>
      <c r="F103" s="118"/>
      <c r="H103" s="118"/>
      <c r="I103" s="118"/>
      <c r="J103" s="118"/>
      <c r="K103" s="118"/>
      <c r="L103" s="118"/>
      <c r="M103" s="118"/>
      <c r="N103" s="118"/>
      <c r="O103" s="118"/>
      <c r="P103" s="118"/>
      <c r="Q103" s="118"/>
    </row>
    <row r="104" spans="2:17">
      <c r="B104" s="118"/>
      <c r="C104" s="118"/>
      <c r="D104" s="118"/>
      <c r="E104" s="118"/>
      <c r="F104" s="118"/>
      <c r="H104" s="118"/>
      <c r="I104" s="118"/>
      <c r="J104" s="118"/>
      <c r="K104" s="118"/>
      <c r="L104" s="118"/>
      <c r="M104" s="118"/>
      <c r="N104" s="118"/>
      <c r="O104" s="118"/>
      <c r="P104" s="118"/>
      <c r="Q104" s="118"/>
    </row>
    <row r="105" spans="2:17">
      <c r="B105" s="118"/>
      <c r="C105" s="118"/>
      <c r="D105" s="118"/>
      <c r="E105" s="118"/>
      <c r="F105" s="118"/>
      <c r="H105" s="118"/>
      <c r="I105" s="118"/>
      <c r="J105" s="118"/>
      <c r="K105" s="118"/>
      <c r="L105" s="118"/>
      <c r="M105" s="118"/>
      <c r="N105" s="118"/>
      <c r="O105" s="118"/>
      <c r="P105" s="118"/>
      <c r="Q105" s="118"/>
    </row>
    <row r="106" spans="2:17">
      <c r="B106" s="118"/>
      <c r="C106" s="118"/>
      <c r="D106" s="118"/>
      <c r="E106" s="118"/>
      <c r="F106" s="118"/>
      <c r="H106" s="118"/>
      <c r="I106" s="118"/>
      <c r="J106" s="118"/>
      <c r="K106" s="118"/>
      <c r="L106" s="118"/>
      <c r="M106" s="118"/>
      <c r="N106" s="118"/>
      <c r="O106" s="118"/>
      <c r="P106" s="118"/>
      <c r="Q106" s="118"/>
    </row>
    <row r="107" spans="2:17">
      <c r="B107" s="118"/>
      <c r="C107" s="118"/>
      <c r="D107" s="118"/>
      <c r="E107" s="118"/>
      <c r="F107" s="118"/>
      <c r="H107" s="118"/>
      <c r="I107" s="118"/>
      <c r="J107" s="118"/>
      <c r="K107" s="118"/>
      <c r="L107" s="118"/>
      <c r="M107" s="118"/>
      <c r="N107" s="118"/>
      <c r="O107" s="118"/>
      <c r="P107" s="118"/>
      <c r="Q107" s="118"/>
    </row>
    <row r="108" spans="2:17">
      <c r="B108" s="118"/>
      <c r="C108" s="118"/>
      <c r="D108" s="118"/>
      <c r="E108" s="118"/>
      <c r="F108" s="118"/>
      <c r="H108" s="118"/>
      <c r="I108" s="118"/>
      <c r="J108" s="118"/>
      <c r="K108" s="118"/>
      <c r="L108" s="118"/>
      <c r="M108" s="118"/>
      <c r="N108" s="118"/>
      <c r="O108" s="118"/>
      <c r="P108" s="118"/>
      <c r="Q108" s="118"/>
    </row>
    <row r="109" spans="2:17">
      <c r="B109" s="118"/>
      <c r="C109" s="118"/>
      <c r="D109" s="118"/>
      <c r="E109" s="118"/>
      <c r="F109" s="118"/>
      <c r="H109" s="118"/>
      <c r="I109" s="118"/>
      <c r="J109" s="118"/>
      <c r="K109" s="118"/>
      <c r="L109" s="118"/>
      <c r="M109" s="118"/>
      <c r="N109" s="118"/>
      <c r="O109" s="118"/>
      <c r="P109" s="118"/>
      <c r="Q109" s="118"/>
    </row>
    <row r="110" spans="2:17">
      <c r="B110" s="118"/>
      <c r="C110" s="118"/>
      <c r="D110" s="118"/>
      <c r="E110" s="118"/>
      <c r="F110" s="118"/>
      <c r="H110" s="118"/>
      <c r="I110" s="118"/>
      <c r="J110" s="118"/>
      <c r="K110" s="118"/>
      <c r="L110" s="118"/>
      <c r="M110" s="118"/>
      <c r="N110" s="118"/>
      <c r="O110" s="118"/>
      <c r="P110" s="118"/>
      <c r="Q110" s="118"/>
    </row>
    <row r="111" spans="2:17">
      <c r="B111" s="118"/>
      <c r="C111" s="118"/>
      <c r="D111" s="118"/>
      <c r="E111" s="118"/>
      <c r="F111" s="118"/>
      <c r="H111" s="118"/>
      <c r="I111" s="118"/>
      <c r="J111" s="118"/>
      <c r="K111" s="118"/>
      <c r="L111" s="118"/>
      <c r="M111" s="118"/>
      <c r="N111" s="118"/>
      <c r="O111" s="118"/>
      <c r="P111" s="118"/>
      <c r="Q111" s="118"/>
    </row>
    <row r="112" spans="2:17">
      <c r="B112" s="118"/>
      <c r="C112" s="118"/>
      <c r="D112" s="118"/>
      <c r="E112" s="118"/>
      <c r="F112" s="118"/>
      <c r="H112" s="118"/>
      <c r="I112" s="118"/>
      <c r="J112" s="118"/>
      <c r="K112" s="118"/>
      <c r="L112" s="118"/>
      <c r="M112" s="118"/>
      <c r="N112" s="118"/>
      <c r="O112" s="118"/>
      <c r="P112" s="118"/>
      <c r="Q112" s="118"/>
    </row>
    <row r="113" spans="2:17">
      <c r="B113" s="118"/>
      <c r="C113" s="118"/>
      <c r="D113" s="118"/>
      <c r="E113" s="118"/>
      <c r="F113" s="118"/>
      <c r="H113" s="118"/>
      <c r="I113" s="118"/>
      <c r="J113" s="118"/>
      <c r="K113" s="118"/>
      <c r="L113" s="118"/>
      <c r="M113" s="118"/>
      <c r="N113" s="118"/>
      <c r="O113" s="118"/>
      <c r="P113" s="118"/>
      <c r="Q113" s="118"/>
    </row>
    <row r="114" spans="2:17">
      <c r="B114" s="118"/>
      <c r="C114" s="118"/>
      <c r="D114" s="118"/>
      <c r="E114" s="118"/>
      <c r="F114" s="118"/>
      <c r="H114" s="118"/>
      <c r="I114" s="118"/>
      <c r="J114" s="118"/>
      <c r="K114" s="118"/>
      <c r="L114" s="118"/>
      <c r="M114" s="118"/>
      <c r="N114" s="118"/>
      <c r="O114" s="118"/>
      <c r="P114" s="118"/>
      <c r="Q114" s="118"/>
    </row>
    <row r="115" spans="2:17">
      <c r="B115" s="118"/>
      <c r="C115" s="118"/>
      <c r="D115" s="118"/>
      <c r="E115" s="118"/>
      <c r="F115" s="118"/>
      <c r="H115" s="118"/>
      <c r="I115" s="118"/>
      <c r="J115" s="118"/>
      <c r="K115" s="118"/>
      <c r="L115" s="118"/>
      <c r="M115" s="118"/>
      <c r="N115" s="118"/>
      <c r="O115" s="118"/>
      <c r="P115" s="118"/>
      <c r="Q115" s="118"/>
    </row>
    <row r="116" spans="2:17">
      <c r="B116" s="118"/>
      <c r="C116" s="118"/>
      <c r="D116" s="118"/>
      <c r="E116" s="118"/>
      <c r="F116" s="118"/>
      <c r="H116" s="118"/>
      <c r="I116" s="118"/>
      <c r="J116" s="118"/>
      <c r="K116" s="118"/>
      <c r="L116" s="118"/>
      <c r="M116" s="118"/>
      <c r="N116" s="118"/>
      <c r="O116" s="118"/>
      <c r="P116" s="118"/>
      <c r="Q116" s="118"/>
    </row>
    <row r="117" spans="2:17">
      <c r="B117" s="118"/>
      <c r="C117" s="118"/>
      <c r="D117" s="118"/>
      <c r="E117" s="118"/>
      <c r="F117" s="118"/>
      <c r="H117" s="118"/>
      <c r="I117" s="118"/>
      <c r="J117" s="118"/>
      <c r="K117" s="118"/>
      <c r="L117" s="118"/>
      <c r="M117" s="118"/>
      <c r="N117" s="118"/>
      <c r="O117" s="118"/>
      <c r="P117" s="118"/>
      <c r="Q117" s="118"/>
    </row>
    <row r="118" spans="2:17">
      <c r="B118" s="118"/>
      <c r="C118" s="118"/>
      <c r="D118" s="118"/>
      <c r="E118" s="118"/>
      <c r="F118" s="118"/>
      <c r="H118" s="118"/>
      <c r="I118" s="118"/>
      <c r="J118" s="118"/>
      <c r="K118" s="118"/>
      <c r="L118" s="118"/>
      <c r="M118" s="118"/>
      <c r="N118" s="118"/>
      <c r="O118" s="118"/>
      <c r="P118" s="118"/>
      <c r="Q118" s="118"/>
    </row>
    <row r="119" spans="2:17">
      <c r="B119" s="118"/>
      <c r="C119" s="118"/>
      <c r="D119" s="118"/>
      <c r="E119" s="118"/>
      <c r="F119" s="118"/>
      <c r="H119" s="118"/>
      <c r="I119" s="118"/>
      <c r="J119" s="118"/>
      <c r="K119" s="118"/>
      <c r="L119" s="118"/>
      <c r="M119" s="118"/>
      <c r="N119" s="118"/>
      <c r="O119" s="118"/>
      <c r="P119" s="118"/>
      <c r="Q119" s="118"/>
    </row>
    <row r="120" spans="2:17">
      <c r="B120" s="118"/>
      <c r="C120" s="118"/>
      <c r="D120" s="118"/>
      <c r="E120" s="118"/>
      <c r="F120" s="118"/>
      <c r="H120" s="118"/>
      <c r="I120" s="118"/>
      <c r="J120" s="118"/>
      <c r="K120" s="118"/>
      <c r="L120" s="118"/>
      <c r="M120" s="118"/>
      <c r="N120" s="118"/>
      <c r="O120" s="118"/>
      <c r="P120" s="118"/>
      <c r="Q120" s="118"/>
    </row>
    <row r="121" spans="2:17">
      <c r="B121" s="118"/>
      <c r="C121" s="118"/>
      <c r="D121" s="118"/>
      <c r="E121" s="118"/>
      <c r="F121" s="118"/>
      <c r="H121" s="118"/>
      <c r="I121" s="118"/>
      <c r="J121" s="118"/>
      <c r="K121" s="118"/>
      <c r="L121" s="118"/>
      <c r="M121" s="118"/>
      <c r="N121" s="118"/>
      <c r="O121" s="118"/>
      <c r="P121" s="118"/>
      <c r="Q121" s="118"/>
    </row>
    <row r="122" spans="2:17">
      <c r="B122" s="118"/>
      <c r="C122" s="118"/>
      <c r="D122" s="118"/>
      <c r="E122" s="118"/>
      <c r="F122" s="118"/>
      <c r="H122" s="118"/>
      <c r="I122" s="118"/>
      <c r="J122" s="118"/>
      <c r="K122" s="118"/>
      <c r="L122" s="118"/>
      <c r="M122" s="118"/>
      <c r="N122" s="118"/>
      <c r="O122" s="118"/>
      <c r="P122" s="118"/>
      <c r="Q122" s="118"/>
    </row>
    <row r="123" spans="2:17">
      <c r="B123" s="118"/>
      <c r="C123" s="118"/>
      <c r="D123" s="118"/>
      <c r="E123" s="118"/>
      <c r="F123" s="118"/>
      <c r="H123" s="118"/>
      <c r="I123" s="118"/>
      <c r="J123" s="118"/>
      <c r="K123" s="118"/>
      <c r="L123" s="118"/>
      <c r="M123" s="118"/>
      <c r="N123" s="118"/>
      <c r="O123" s="118"/>
      <c r="P123" s="118"/>
      <c r="Q123" s="118"/>
    </row>
    <row r="124" spans="2:17">
      <c r="B124" s="118"/>
      <c r="C124" s="118"/>
      <c r="D124" s="118"/>
      <c r="E124" s="118"/>
      <c r="F124" s="118"/>
      <c r="H124" s="118"/>
      <c r="I124" s="118"/>
      <c r="J124" s="118"/>
      <c r="K124" s="118"/>
      <c r="L124" s="118"/>
      <c r="M124" s="118"/>
      <c r="N124" s="118"/>
      <c r="O124" s="118"/>
      <c r="P124" s="118"/>
      <c r="Q124" s="118"/>
    </row>
    <row r="125" spans="2:17">
      <c r="B125" s="118"/>
      <c r="C125" s="118"/>
      <c r="D125" s="118"/>
      <c r="E125" s="118"/>
      <c r="F125" s="118"/>
      <c r="H125" s="118"/>
      <c r="I125" s="118"/>
      <c r="J125" s="118"/>
      <c r="K125" s="118"/>
      <c r="L125" s="118"/>
      <c r="M125" s="118"/>
      <c r="N125" s="118"/>
      <c r="O125" s="118"/>
      <c r="P125" s="118"/>
      <c r="Q125" s="118"/>
    </row>
    <row r="126" spans="2:17">
      <c r="B126" s="118"/>
      <c r="C126" s="118"/>
      <c r="D126" s="118"/>
      <c r="E126" s="118"/>
      <c r="F126" s="118"/>
      <c r="H126" s="118"/>
      <c r="I126" s="118"/>
      <c r="J126" s="118"/>
      <c r="K126" s="118"/>
      <c r="L126" s="118"/>
      <c r="M126" s="118"/>
      <c r="N126" s="118"/>
      <c r="O126" s="118"/>
      <c r="P126" s="118"/>
      <c r="Q126" s="118"/>
    </row>
    <row r="127" spans="2:17">
      <c r="B127" s="118"/>
      <c r="C127" s="118"/>
      <c r="D127" s="118"/>
      <c r="E127" s="118"/>
      <c r="F127" s="118"/>
      <c r="H127" s="118"/>
      <c r="I127" s="118"/>
      <c r="J127" s="118"/>
      <c r="K127" s="118"/>
      <c r="L127" s="118"/>
      <c r="M127" s="118"/>
      <c r="N127" s="118"/>
      <c r="O127" s="118"/>
      <c r="P127" s="118"/>
      <c r="Q127" s="118"/>
    </row>
    <row r="128" spans="2:17">
      <c r="B128" s="118"/>
      <c r="C128" s="118"/>
      <c r="D128" s="118"/>
      <c r="E128" s="118"/>
      <c r="F128" s="118"/>
      <c r="H128" s="118"/>
      <c r="I128" s="118"/>
      <c r="J128" s="118"/>
      <c r="K128" s="118"/>
      <c r="L128" s="118"/>
      <c r="M128" s="118"/>
      <c r="N128" s="118"/>
      <c r="O128" s="118"/>
      <c r="P128" s="118"/>
      <c r="Q128" s="118"/>
    </row>
    <row r="129" spans="2:17">
      <c r="B129" s="118"/>
      <c r="C129" s="118"/>
      <c r="D129" s="118"/>
      <c r="E129" s="118"/>
      <c r="F129" s="118"/>
      <c r="H129" s="118"/>
      <c r="I129" s="118"/>
      <c r="J129" s="118"/>
      <c r="K129" s="118"/>
      <c r="L129" s="118"/>
      <c r="M129" s="118"/>
      <c r="N129" s="118"/>
      <c r="O129" s="118"/>
      <c r="P129" s="118"/>
      <c r="Q129" s="118"/>
    </row>
    <row r="130" spans="2:17">
      <c r="B130" s="118"/>
      <c r="C130" s="118"/>
      <c r="D130" s="118"/>
      <c r="E130" s="118"/>
      <c r="F130" s="118"/>
      <c r="H130" s="118"/>
      <c r="I130" s="118"/>
      <c r="J130" s="118"/>
      <c r="K130" s="118"/>
      <c r="L130" s="118"/>
      <c r="M130" s="118"/>
      <c r="N130" s="118"/>
      <c r="O130" s="118"/>
      <c r="P130" s="118"/>
      <c r="Q130" s="118"/>
    </row>
    <row r="131" spans="2:17">
      <c r="B131" s="118"/>
      <c r="C131" s="118"/>
      <c r="D131" s="118"/>
      <c r="E131" s="118"/>
      <c r="F131" s="118"/>
      <c r="H131" s="118"/>
      <c r="I131" s="118"/>
      <c r="J131" s="118"/>
      <c r="K131" s="118"/>
      <c r="L131" s="118"/>
      <c r="M131" s="118"/>
      <c r="N131" s="118"/>
      <c r="O131" s="118"/>
      <c r="P131" s="118"/>
      <c r="Q131" s="118"/>
    </row>
    <row r="132" spans="2:17">
      <c r="B132" s="118"/>
      <c r="C132" s="118"/>
      <c r="D132" s="118"/>
      <c r="E132" s="118"/>
      <c r="F132" s="118"/>
      <c r="H132" s="118"/>
      <c r="I132" s="118"/>
      <c r="J132" s="118"/>
      <c r="K132" s="118"/>
      <c r="L132" s="118"/>
      <c r="M132" s="118"/>
      <c r="N132" s="118"/>
      <c r="O132" s="118"/>
      <c r="P132" s="118"/>
      <c r="Q132" s="118"/>
    </row>
    <row r="133" spans="2:17">
      <c r="B133" s="118"/>
      <c r="C133" s="118"/>
      <c r="D133" s="118"/>
      <c r="E133" s="118"/>
      <c r="F133" s="118"/>
      <c r="H133" s="118"/>
      <c r="I133" s="118"/>
      <c r="J133" s="118"/>
      <c r="K133" s="118"/>
      <c r="L133" s="118"/>
      <c r="M133" s="118"/>
      <c r="N133" s="118"/>
      <c r="O133" s="118"/>
      <c r="P133" s="118"/>
      <c r="Q133" s="118"/>
    </row>
    <row r="134" spans="2:17">
      <c r="B134" s="118"/>
      <c r="C134" s="118"/>
      <c r="D134" s="118"/>
      <c r="E134" s="118"/>
      <c r="F134" s="118"/>
      <c r="H134" s="118"/>
      <c r="I134" s="118"/>
      <c r="J134" s="118"/>
      <c r="K134" s="118"/>
      <c r="L134" s="118"/>
      <c r="M134" s="118"/>
      <c r="N134" s="118"/>
      <c r="O134" s="118"/>
      <c r="P134" s="118"/>
      <c r="Q134" s="118"/>
    </row>
    <row r="135" spans="2:17">
      <c r="P135" s="118"/>
      <c r="Q135" s="118"/>
    </row>
    <row r="136" spans="2:17">
      <c r="P136" s="118"/>
      <c r="Q136" s="118"/>
    </row>
    <row r="137" spans="2:17">
      <c r="P137" s="118"/>
      <c r="Q137" s="118"/>
    </row>
    <row r="138" spans="2:17">
      <c r="P138" s="118"/>
      <c r="Q138" s="118"/>
    </row>
    <row r="139" spans="2:17">
      <c r="P139" s="118"/>
      <c r="Q139" s="118"/>
    </row>
    <row r="140" spans="2:17">
      <c r="P140" s="118"/>
      <c r="Q140" s="118"/>
    </row>
    <row r="141" spans="2:17">
      <c r="P141" s="118"/>
      <c r="Q141" s="118"/>
    </row>
    <row r="142" spans="2:17">
      <c r="P142" s="118"/>
      <c r="Q142" s="118"/>
    </row>
    <row r="143" spans="2:17">
      <c r="P143" s="118"/>
      <c r="Q143" s="118"/>
    </row>
    <row r="144" spans="2:17">
      <c r="P144" s="118"/>
      <c r="Q144" s="118"/>
    </row>
    <row r="145" spans="16:17">
      <c r="P145" s="118"/>
      <c r="Q145" s="118"/>
    </row>
    <row r="146" spans="16:17">
      <c r="P146" s="118"/>
      <c r="Q146" s="118"/>
    </row>
  </sheetData>
  <mergeCells count="20">
    <mergeCell ref="A7:A9"/>
    <mergeCell ref="O7:O8"/>
    <mergeCell ref="D8:D9"/>
    <mergeCell ref="N7:N8"/>
    <mergeCell ref="B8:B9"/>
    <mergeCell ref="H7:H8"/>
    <mergeCell ref="G7:G8"/>
    <mergeCell ref="C7:C9"/>
    <mergeCell ref="F7:F9"/>
    <mergeCell ref="I7:I8"/>
    <mergeCell ref="B1:C1"/>
    <mergeCell ref="A4:P4"/>
    <mergeCell ref="A29:P30"/>
    <mergeCell ref="T12:U12"/>
    <mergeCell ref="E7:E9"/>
    <mergeCell ref="J8:J9"/>
    <mergeCell ref="K7:K9"/>
    <mergeCell ref="P7:P8"/>
    <mergeCell ref="L7:L9"/>
    <mergeCell ref="M7:M8"/>
  </mergeCells>
  <phoneticPr fontId="43" type="noConversion"/>
  <hyperlinks>
    <hyperlink ref="B1" location="Index!A1" display="Back to Index"/>
    <hyperlink ref="C1" location="Index!A1" display="Index!A1"/>
  </hyperlinks>
  <printOptions horizontalCentered="1" verticalCentered="1"/>
  <pageMargins left="0.79000000000000015" right="0" top="0.98" bottom="0.98" header="0.51" footer="0.51"/>
  <pageSetup paperSize="9" scale="67" orientation="landscape" horizontalDpi="4294967292" verticalDpi="4294967292"/>
  <ignoredErrors>
    <ignoredError sqref="M10 O10" 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enableFormatConditionsCalculation="0">
    <tabColor theme="5" tint="0.59999389629810485"/>
    <pageSetUpPr fitToPage="1"/>
  </sheetPr>
  <dimension ref="A1:W190"/>
  <sheetViews>
    <sheetView workbookViewId="0">
      <pane xSplit="1" ySplit="9" topLeftCell="B10" activePane="bottomRight" state="frozen"/>
      <selection pane="topRight" activeCell="B1" sqref="B1"/>
      <selection pane="bottomLeft" activeCell="A10" sqref="A10"/>
      <selection pane="bottomRight" activeCell="A4" sqref="A4:N4"/>
    </sheetView>
  </sheetViews>
  <sheetFormatPr baseColWidth="10" defaultRowHeight="12" customHeight="1" x14ac:dyDescent="0"/>
  <cols>
    <col min="1" max="1" width="10.6640625" style="689" customWidth="1"/>
    <col min="2" max="5" width="8.5" style="65" customWidth="1"/>
    <col min="6" max="6" width="9" style="65" customWidth="1"/>
    <col min="7" max="7" width="8.5" style="689" customWidth="1"/>
    <col min="8" max="8" width="9.1640625" style="689" customWidth="1"/>
    <col min="9" max="9" width="9" style="689" customWidth="1"/>
    <col min="10" max="14" width="8.5" style="905" customWidth="1"/>
    <col min="15" max="15" width="9.6640625" style="689" customWidth="1"/>
    <col min="16" max="16384" width="10.83203125" style="689"/>
  </cols>
  <sheetData>
    <row r="1" spans="1:23">
      <c r="A1" s="65"/>
      <c r="B1" s="2252" t="s">
        <v>1416</v>
      </c>
      <c r="C1" s="2252"/>
      <c r="D1" s="1818"/>
      <c r="E1" s="904"/>
      <c r="F1" s="904"/>
      <c r="G1" s="690"/>
      <c r="H1" s="690"/>
      <c r="I1" s="690"/>
      <c r="J1" s="690"/>
      <c r="K1" s="690"/>
      <c r="L1" s="690"/>
      <c r="M1" s="690"/>
      <c r="N1" s="690"/>
      <c r="O1" s="690"/>
    </row>
    <row r="2" spans="1:23">
      <c r="A2" s="65"/>
      <c r="F2" s="66"/>
    </row>
    <row r="3" spans="1:23" ht="13" thickBot="1">
      <c r="A3" s="65"/>
    </row>
    <row r="4" spans="1:23" ht="19" customHeight="1" thickTop="1">
      <c r="A4" s="2386" t="s">
        <v>1332</v>
      </c>
      <c r="B4" s="2387"/>
      <c r="C4" s="2387"/>
      <c r="D4" s="2387"/>
      <c r="E4" s="2387"/>
      <c r="F4" s="2387"/>
      <c r="G4" s="2387"/>
      <c r="H4" s="2387"/>
      <c r="I4" s="2387"/>
      <c r="J4" s="2387"/>
      <c r="K4" s="2387"/>
      <c r="L4" s="2387"/>
      <c r="M4" s="2387"/>
      <c r="N4" s="2388"/>
      <c r="O4" s="906"/>
    </row>
    <row r="5" spans="1:23">
      <c r="A5" s="35"/>
      <c r="B5" s="36"/>
      <c r="C5" s="36"/>
      <c r="D5" s="36"/>
      <c r="E5" s="36"/>
      <c r="F5" s="36"/>
      <c r="G5" s="694"/>
      <c r="H5" s="694"/>
      <c r="I5" s="694"/>
      <c r="J5" s="907"/>
      <c r="K5" s="907"/>
      <c r="L5" s="907"/>
      <c r="M5" s="907"/>
      <c r="N5" s="1581"/>
    </row>
    <row r="6" spans="1:23">
      <c r="A6" s="5"/>
      <c r="B6" s="908" t="s">
        <v>952</v>
      </c>
      <c r="C6" s="908" t="s">
        <v>953</v>
      </c>
      <c r="D6" s="699" t="s">
        <v>954</v>
      </c>
      <c r="E6" s="908" t="s">
        <v>955</v>
      </c>
      <c r="F6" s="908" t="s">
        <v>956</v>
      </c>
      <c r="G6" s="699" t="s">
        <v>957</v>
      </c>
      <c r="H6" s="1698" t="s">
        <v>958</v>
      </c>
      <c r="I6" s="1698" t="s">
        <v>959</v>
      </c>
      <c r="J6" s="1698" t="s">
        <v>960</v>
      </c>
      <c r="K6" s="699" t="s">
        <v>961</v>
      </c>
      <c r="L6" s="908" t="s">
        <v>962</v>
      </c>
      <c r="M6" s="908" t="s">
        <v>963</v>
      </c>
      <c r="N6" s="1316" t="s">
        <v>964</v>
      </c>
      <c r="O6" s="697"/>
    </row>
    <row r="7" spans="1:23" ht="39.75" customHeight="1">
      <c r="A7" s="2391"/>
      <c r="B7" s="2392" t="s">
        <v>349</v>
      </c>
      <c r="C7" s="2422" t="s">
        <v>1110</v>
      </c>
      <c r="D7" s="2392" t="s">
        <v>1422</v>
      </c>
      <c r="E7" s="2431" t="s">
        <v>1423</v>
      </c>
      <c r="F7" s="2378" t="s">
        <v>1424</v>
      </c>
      <c r="G7" s="2380" t="s">
        <v>1241</v>
      </c>
      <c r="H7" s="2389"/>
      <c r="I7" s="2381" t="s">
        <v>1204</v>
      </c>
      <c r="J7" s="2381"/>
      <c r="K7" s="2381"/>
      <c r="L7" s="2381"/>
      <c r="M7" s="2381"/>
      <c r="N7" s="2382"/>
      <c r="O7" s="906"/>
    </row>
    <row r="8" spans="1:23" ht="79" customHeight="1">
      <c r="A8" s="2391"/>
      <c r="B8" s="2393"/>
      <c r="C8" s="2423"/>
      <c r="D8" s="2393"/>
      <c r="E8" s="2432"/>
      <c r="F8" s="2429"/>
      <c r="G8" s="2424" t="s">
        <v>1425</v>
      </c>
      <c r="H8" s="2426" t="s">
        <v>1112</v>
      </c>
      <c r="I8" s="1697" t="s">
        <v>1176</v>
      </c>
      <c r="J8" s="15" t="s">
        <v>1315</v>
      </c>
      <c r="K8" s="15" t="s">
        <v>1239</v>
      </c>
      <c r="L8" s="47" t="s">
        <v>1316</v>
      </c>
      <c r="M8" s="47" t="s">
        <v>1331</v>
      </c>
      <c r="N8" s="1635" t="s">
        <v>1317</v>
      </c>
      <c r="O8" s="909"/>
      <c r="R8" s="910"/>
      <c r="S8" s="689" t="s">
        <v>1099</v>
      </c>
    </row>
    <row r="9" spans="1:23" ht="21" customHeight="1">
      <c r="A9" s="2391"/>
      <c r="B9" s="2180" t="s">
        <v>1240</v>
      </c>
      <c r="C9" s="2153" t="s">
        <v>1116</v>
      </c>
      <c r="D9" s="2428"/>
      <c r="E9" s="2430"/>
      <c r="F9" s="2379"/>
      <c r="G9" s="2425"/>
      <c r="H9" s="2427"/>
      <c r="I9" s="2430" t="s">
        <v>1421</v>
      </c>
      <c r="J9" s="2430"/>
      <c r="K9" s="2430"/>
      <c r="L9" s="2430"/>
      <c r="M9" s="2430"/>
      <c r="N9" s="2187"/>
      <c r="O9" s="911"/>
      <c r="P9" s="1432"/>
      <c r="S9" s="912"/>
    </row>
    <row r="10" spans="1:23" ht="12" customHeight="1">
      <c r="A10" s="10">
        <v>1700</v>
      </c>
      <c r="B10" s="2181">
        <f>TableUK5d!B10</f>
        <v>9.4920545019306385E-2</v>
      </c>
      <c r="C10" s="533">
        <f>C11</f>
        <v>7.7652864108415098E-3</v>
      </c>
      <c r="D10" s="575">
        <f t="shared" ref="D10:D37" si="0">E10-F10</f>
        <v>-1.2337825052099351E-2</v>
      </c>
      <c r="E10" s="386">
        <f>TableUK12c!F10</f>
        <v>-7.7084250520993514E-3</v>
      </c>
      <c r="F10" s="1845">
        <v>4.6293999999999997E-3</v>
      </c>
      <c r="G10" s="1837">
        <f>TableUK6f!I31</f>
        <v>0.3</v>
      </c>
      <c r="H10" s="1796"/>
      <c r="I10" s="901">
        <f>J10+K10</f>
        <v>0.10526668948071206</v>
      </c>
      <c r="J10" s="901">
        <f>AVERAGE(DataUK4!O11:O12)/DataUK4!B11</f>
        <v>0.10526668948071206</v>
      </c>
      <c r="K10" s="901">
        <v>0</v>
      </c>
      <c r="L10" s="901">
        <f>AVERAGE(DataUK4!H11:H12)/DataUK4!B11</f>
        <v>0.22536980255473302</v>
      </c>
      <c r="M10" s="901">
        <f>DataUK4!G11/DataUK4!B11/1000</f>
        <v>1.3087210043547987E-2</v>
      </c>
      <c r="N10" s="1348">
        <f>J10/L10</f>
        <v>0.46708426899893624</v>
      </c>
      <c r="O10" s="911"/>
      <c r="P10" s="1432"/>
      <c r="R10" s="720"/>
      <c r="S10" s="912"/>
      <c r="T10" s="720">
        <f>J10-TableUK6f!J31</f>
        <v>0</v>
      </c>
      <c r="U10" s="1431">
        <f>E10-TableUK12c!F10</f>
        <v>0</v>
      </c>
      <c r="V10" s="1432">
        <f>E10-F10-TableUK12c!L10</f>
        <v>0</v>
      </c>
      <c r="W10" s="1835">
        <f>D10-TableUK12c!L10</f>
        <v>0</v>
      </c>
    </row>
    <row r="11" spans="1:23" ht="12" customHeight="1">
      <c r="A11" s="10">
        <v>1710</v>
      </c>
      <c r="B11" s="2181">
        <f>TableUK5d!B11</f>
        <v>0.10255436938315213</v>
      </c>
      <c r="C11" s="1836">
        <f t="shared" ref="C11:C24" si="1">(B11/B10)^(1/10)-1</f>
        <v>7.7652864108415098E-3</v>
      </c>
      <c r="D11" s="1846">
        <f t="shared" si="0"/>
        <v>-1.9710330722042462E-2</v>
      </c>
      <c r="E11" s="386">
        <f>TableUK12c!F11</f>
        <v>-1.5080930722042463E-2</v>
      </c>
      <c r="F11" s="1370">
        <f>F$10</f>
        <v>4.6293999999999997E-3</v>
      </c>
      <c r="G11" s="1838">
        <f>G10*((1+H11)/(1+C11))^10</f>
        <v>0.32361818155032113</v>
      </c>
      <c r="H11" s="1370">
        <f t="shared" ref="H11:H29" si="2">F10/G10</f>
        <v>1.5431333333333333E-2</v>
      </c>
      <c r="I11" s="1252">
        <f t="shared" ref="I11:I37" si="3">J11+K11</f>
        <v>9.9428621212183529E-2</v>
      </c>
      <c r="J11" s="62">
        <f>AVERAGE(DataUK4!O21:O22)/DataUK4!B21</f>
        <v>9.9428621212183529E-2</v>
      </c>
      <c r="K11" s="62">
        <v>0</v>
      </c>
      <c r="L11" s="62">
        <f>AVERAGE(DataUK4!H21:H22)/DataUK4!B21</f>
        <v>0.28540730923120733</v>
      </c>
      <c r="M11" s="901">
        <f>DataUK4!G21/DataUK4!B21/1000</f>
        <v>1.3442840390281015E-2</v>
      </c>
      <c r="N11" s="1347">
        <f t="shared" ref="N11:N37" si="4">J11/L11</f>
        <v>0.34837447394045817</v>
      </c>
      <c r="O11" s="911"/>
      <c r="P11" s="1432"/>
      <c r="R11" s="720"/>
      <c r="S11" s="1350">
        <f t="shared" ref="S11:S24" si="5">((B11*G11)/(B10*G10))^(1/10)-(1+H11)</f>
        <v>0</v>
      </c>
      <c r="T11" s="1433"/>
      <c r="U11" s="1431">
        <f>E11-TableUK12c!F11</f>
        <v>0</v>
      </c>
      <c r="V11" s="1432">
        <f>E11-F11-TableUK12c!L11</f>
        <v>0</v>
      </c>
      <c r="W11" s="1835">
        <f>D11-TableUK12c!L11</f>
        <v>0</v>
      </c>
    </row>
    <row r="12" spans="1:23" ht="12" customHeight="1">
      <c r="A12" s="10">
        <v>1720</v>
      </c>
      <c r="B12" s="2181">
        <f>TableUK5d!B12</f>
        <v>0.11080213116598539</v>
      </c>
      <c r="C12" s="1836">
        <f t="shared" si="1"/>
        <v>7.7652864108415098E-3</v>
      </c>
      <c r="D12" s="1846">
        <f t="shared" si="0"/>
        <v>-1.5893358351726745E-2</v>
      </c>
      <c r="E12" s="386">
        <f>TableUK12c!F12</f>
        <v>-1.1263958351726746E-2</v>
      </c>
      <c r="F12" s="1370">
        <f>F$10</f>
        <v>4.6293999999999997E-3</v>
      </c>
      <c r="G12" s="1838">
        <f>G11*((1+H12)/(1+C12))^10</f>
        <v>0.34524324175601778</v>
      </c>
      <c r="H12" s="1370">
        <f t="shared" si="2"/>
        <v>1.4305129513497836E-2</v>
      </c>
      <c r="I12" s="1252">
        <f t="shared" si="3"/>
        <v>0.53193136981274924</v>
      </c>
      <c r="J12" s="1252">
        <f>AVERAGE(DataUK4!O31:O32)/DataUK4!B31</f>
        <v>0.53193136981274924</v>
      </c>
      <c r="K12" s="1252">
        <v>0</v>
      </c>
      <c r="L12" s="1252">
        <f>AVERAGE(DataUK4!H31:H32)/DataUK4!B31</f>
        <v>0.62355392167439716</v>
      </c>
      <c r="M12" s="901">
        <f>DataUK4!G31/DataUK4!B31/1000</f>
        <v>2.2252157646691407E-2</v>
      </c>
      <c r="N12" s="1576">
        <f t="shared" si="4"/>
        <v>0.85306394735579782</v>
      </c>
      <c r="O12" s="911"/>
      <c r="P12" s="1432"/>
      <c r="R12" s="720"/>
      <c r="S12" s="1350">
        <f t="shared" si="5"/>
        <v>0</v>
      </c>
      <c r="U12" s="1431">
        <f>E12-TableUK12c!F12</f>
        <v>0</v>
      </c>
      <c r="V12" s="1432">
        <f>E12-F12-TableUK12c!L12</f>
        <v>0</v>
      </c>
      <c r="W12" s="1835">
        <f>D12-TableUK12c!L12</f>
        <v>0</v>
      </c>
    </row>
    <row r="13" spans="1:23" ht="12" customHeight="1">
      <c r="A13" s="10">
        <v>1730</v>
      </c>
      <c r="B13" s="2181">
        <f>TableUK5d!B13</f>
        <v>0.11971320524682733</v>
      </c>
      <c r="C13" s="1836">
        <f t="shared" si="1"/>
        <v>7.7652864108415098E-3</v>
      </c>
      <c r="D13" s="1846">
        <f t="shared" si="0"/>
        <v>1.9839667511323414E-3</v>
      </c>
      <c r="E13" s="386">
        <f>TableUK12c!F13</f>
        <v>6.6133667511323411E-3</v>
      </c>
      <c r="F13" s="1370">
        <f>F$10</f>
        <v>4.6293999999999997E-3</v>
      </c>
      <c r="G13" s="1838">
        <f>G12*((1+H13)/(1+C13))^10</f>
        <v>0.36507258747607818</v>
      </c>
      <c r="H13" s="1370">
        <f t="shared" si="2"/>
        <v>1.3409096660236961E-2</v>
      </c>
      <c r="I13" s="1252">
        <f t="shared" si="3"/>
        <v>0.56740573942201811</v>
      </c>
      <c r="J13" s="1252">
        <f>AVERAGE(DataUK4!O41:O42)/DataUK4!B41</f>
        <v>0.56740573942201811</v>
      </c>
      <c r="K13" s="1252">
        <v>0</v>
      </c>
      <c r="L13" s="1252">
        <f>AVERAGE(DataUK4!H41:H42)/DataUK4!B41</f>
        <v>0.62483094099731784</v>
      </c>
      <c r="M13" s="901">
        <f>DataUK4!G41/DataUK4!B41/1000</f>
        <v>2.3607317335512995E-2</v>
      </c>
      <c r="N13" s="1576">
        <f t="shared" si="4"/>
        <v>0.9080948176419672</v>
      </c>
      <c r="O13" s="911"/>
      <c r="P13" s="1432"/>
      <c r="R13" s="720"/>
      <c r="S13" s="1350">
        <f t="shared" si="5"/>
        <v>0</v>
      </c>
      <c r="U13" s="1431">
        <f>E13-TableUK12c!F13</f>
        <v>0</v>
      </c>
      <c r="V13" s="1432">
        <f>E13-F13-TableUK12c!L13</f>
        <v>0</v>
      </c>
      <c r="W13" s="1835">
        <f>D13-TableUK12c!L13</f>
        <v>0</v>
      </c>
    </row>
    <row r="14" spans="1:23" ht="12" customHeight="1">
      <c r="A14" s="893">
        <v>1740</v>
      </c>
      <c r="B14" s="2182">
        <f>TableUK5d!B14</f>
        <v>0.1293409373958728</v>
      </c>
      <c r="C14" s="1638">
        <f t="shared" si="1"/>
        <v>7.7652864108415098E-3</v>
      </c>
      <c r="D14" s="1847">
        <f t="shared" si="0"/>
        <v>-3.258728926947331E-2</v>
      </c>
      <c r="E14" s="880">
        <f>TableUK12c!F14</f>
        <v>-2.7957889269473311E-2</v>
      </c>
      <c r="F14" s="1371">
        <f>F$10</f>
        <v>4.6293999999999997E-3</v>
      </c>
      <c r="G14" s="1839">
        <f>G13*((1+H14)/(1+C14))^10</f>
        <v>0.38327535309142791</v>
      </c>
      <c r="H14" s="1371">
        <f t="shared" si="2"/>
        <v>1.2680765849896485E-2</v>
      </c>
      <c r="I14" s="1253">
        <f t="shared" si="3"/>
        <v>0.499694617976287</v>
      </c>
      <c r="J14" s="1253">
        <f>AVERAGE(DataUK4!O51:O52)/DataUK4!B51</f>
        <v>0.499694617976287</v>
      </c>
      <c r="K14" s="1253">
        <v>0</v>
      </c>
      <c r="L14" s="1253">
        <f>AVERAGE(DataUK4!H51:H52)/DataUK4!B51</f>
        <v>0.5269142269859648</v>
      </c>
      <c r="M14" s="901">
        <f>DataUK4!G51/DataUK4!B51/1000</f>
        <v>2.0012695029106971E-2</v>
      </c>
      <c r="N14" s="1577">
        <f t="shared" si="4"/>
        <v>0.94834148023412013</v>
      </c>
      <c r="O14" s="911"/>
      <c r="R14" s="720"/>
      <c r="S14" s="1350">
        <f t="shared" si="5"/>
        <v>0</v>
      </c>
      <c r="U14" s="1431">
        <f>E14-TableUK12c!F14</f>
        <v>0</v>
      </c>
      <c r="V14" s="1432">
        <f>E14-F14-TableUK12c!L14</f>
        <v>0</v>
      </c>
      <c r="W14" s="1835">
        <f>D14-TableUK12c!L14</f>
        <v>0</v>
      </c>
    </row>
    <row r="15" spans="1:23" ht="12" customHeight="1">
      <c r="A15" s="10">
        <v>1750</v>
      </c>
      <c r="B15" s="2183">
        <f>TableUK5d!B15</f>
        <v>0.13974296362670022</v>
      </c>
      <c r="C15" s="438">
        <f t="shared" si="1"/>
        <v>7.7652864108415098E-3</v>
      </c>
      <c r="D15" s="1848">
        <f t="shared" si="0"/>
        <v>-1.7338870596159288E-2</v>
      </c>
      <c r="E15" s="386">
        <f>TableUK12c!F15</f>
        <v>-1.0473420596159288E-2</v>
      </c>
      <c r="F15" s="1845">
        <v>6.8654500000000004E-3</v>
      </c>
      <c r="G15" s="1837">
        <f>TableUK6f!I32</f>
        <v>0.4</v>
      </c>
      <c r="H15" s="1845">
        <f t="shared" si="2"/>
        <v>1.2078522562591405E-2</v>
      </c>
      <c r="I15" s="1252">
        <f t="shared" si="3"/>
        <v>0.76889732266457045</v>
      </c>
      <c r="J15" s="1252">
        <f>AVERAGE(DataUK4!O61:O62)/DataUK4!B61</f>
        <v>0.76889732266457045</v>
      </c>
      <c r="K15" s="1252">
        <v>0</v>
      </c>
      <c r="L15" s="1252">
        <f>AVERAGE(DataUK4!H61:H62)/DataUK4!B61</f>
        <v>0.80575264587059681</v>
      </c>
      <c r="M15" s="901">
        <f>DataUK4!G61/DataUK4!B61/1000</f>
        <v>2.9026150816781542E-2</v>
      </c>
      <c r="N15" s="1576">
        <f t="shared" si="4"/>
        <v>0.95425975527985385</v>
      </c>
      <c r="O15" s="911"/>
      <c r="P15" s="936"/>
      <c r="Q15" s="937" t="s">
        <v>1319</v>
      </c>
      <c r="R15" s="720"/>
      <c r="S15" s="1350">
        <f t="shared" si="5"/>
        <v>2.229593729641266E-7</v>
      </c>
      <c r="T15" s="720">
        <f>J15-TableUK6f!J32</f>
        <v>0</v>
      </c>
      <c r="U15" s="1431">
        <f>E15-TableUK12c!F15</f>
        <v>0</v>
      </c>
      <c r="V15" s="1432">
        <f>E15-F15-TableUK12c!L15</f>
        <v>0</v>
      </c>
      <c r="W15" s="1835">
        <f>D15-TableUK12c!L15</f>
        <v>0</v>
      </c>
    </row>
    <row r="16" spans="1:23" ht="12" customHeight="1">
      <c r="A16" s="10">
        <v>1760</v>
      </c>
      <c r="B16" s="2181">
        <f>TableUK5d!B16</f>
        <v>0.15098155523184256</v>
      </c>
      <c r="C16" s="1836">
        <f t="shared" si="1"/>
        <v>7.7652864108415098E-3</v>
      </c>
      <c r="D16" s="1846">
        <f t="shared" si="0"/>
        <v>-3.3850309429057021E-2</v>
      </c>
      <c r="E16" s="386">
        <f>TableUK12c!F16</f>
        <v>-2.6984859429057019E-2</v>
      </c>
      <c r="F16" s="1370">
        <f>F$15</f>
        <v>6.8654500000000004E-3</v>
      </c>
      <c r="G16" s="1838">
        <f>G15*((1+H16)/(1+C16))^10</f>
        <v>0.43890876617693392</v>
      </c>
      <c r="H16" s="1370">
        <f t="shared" si="2"/>
        <v>1.7163624999999998E-2</v>
      </c>
      <c r="I16" s="1252">
        <f t="shared" si="3"/>
        <v>0.70692359130702476</v>
      </c>
      <c r="J16" s="1252">
        <f>AVERAGE(DataUK4!O71:O72)/DataUK4!B71</f>
        <v>0.70692359130702476</v>
      </c>
      <c r="K16" s="1252">
        <v>0</v>
      </c>
      <c r="L16" s="1252">
        <f>AVERAGE(DataUK4!H71:H72)/DataUK4!B71</f>
        <v>0.92384189008334849</v>
      </c>
      <c r="M16" s="901">
        <f>DataUK4!G71/DataUK4!B71/1000</f>
        <v>2.8037101835793853E-2</v>
      </c>
      <c r="N16" s="1576">
        <f t="shared" si="4"/>
        <v>0.76519975863320777</v>
      </c>
      <c r="O16" s="911"/>
      <c r="P16" s="924" t="s">
        <v>435</v>
      </c>
      <c r="Q16" s="938">
        <v>0</v>
      </c>
      <c r="R16" s="720"/>
      <c r="S16" s="1350">
        <f t="shared" si="5"/>
        <v>0</v>
      </c>
      <c r="U16" s="1431">
        <f>E16-TableUK12c!F16</f>
        <v>0</v>
      </c>
      <c r="V16" s="1432">
        <f>E16-F16-TableUK12c!L16</f>
        <v>0</v>
      </c>
      <c r="W16" s="1835">
        <f>D16-TableUK12c!L16</f>
        <v>0</v>
      </c>
    </row>
    <row r="17" spans="1:23" ht="12" customHeight="1">
      <c r="A17" s="10">
        <v>1770</v>
      </c>
      <c r="B17" s="2181">
        <f>TableUK5d!B17</f>
        <v>0.16677756643808714</v>
      </c>
      <c r="C17" s="1836">
        <f t="shared" si="1"/>
        <v>1.0000000000000009E-2</v>
      </c>
      <c r="D17" s="1846">
        <f t="shared" si="0"/>
        <v>-1.4490723587351307E-2</v>
      </c>
      <c r="E17" s="386">
        <f>TableUK12c!F17</f>
        <v>-7.6252735873513066E-3</v>
      </c>
      <c r="F17" s="1370">
        <f>F$15</f>
        <v>6.8654500000000004E-3</v>
      </c>
      <c r="G17" s="1838">
        <f>G16*((1+H17)/(1+C17))^10</f>
        <v>0.46405282200001974</v>
      </c>
      <c r="H17" s="1370">
        <f t="shared" si="2"/>
        <v>1.5642089037775985E-2</v>
      </c>
      <c r="I17" s="1252">
        <f t="shared" si="3"/>
        <v>0.9496272276046811</v>
      </c>
      <c r="J17" s="1252">
        <f>AVERAGE(DataUK4!O81:O82)/DataUK4!B81</f>
        <v>0.9496272276046811</v>
      </c>
      <c r="K17" s="1252">
        <v>0</v>
      </c>
      <c r="L17" s="1252">
        <f>AVERAGE(DataUK4!H81:H82)/DataUK4!B81</f>
        <v>1.1655447398425138</v>
      </c>
      <c r="M17" s="901">
        <f>DataUK4!G81/DataUK4!B81/1000</f>
        <v>3.649972389041134E-2</v>
      </c>
      <c r="N17" s="1576">
        <f t="shared" si="4"/>
        <v>0.81474970041303851</v>
      </c>
      <c r="O17" s="911"/>
      <c r="P17" s="924" t="s">
        <v>1115</v>
      </c>
      <c r="Q17" s="940">
        <f>G14*((1+H15)/(1+C15))^10/G15</f>
        <v>0.99999779701774283</v>
      </c>
      <c r="R17" s="720"/>
      <c r="S17" s="1350">
        <f t="shared" si="5"/>
        <v>0</v>
      </c>
      <c r="U17" s="1431">
        <f>E17-TableUK12c!F17</f>
        <v>0</v>
      </c>
      <c r="V17" s="1432">
        <f>E17-F17-TableUK12c!L17</f>
        <v>0</v>
      </c>
      <c r="W17" s="1835">
        <f>D17-TableUK12c!L17</f>
        <v>0</v>
      </c>
    </row>
    <row r="18" spans="1:23" ht="12" customHeight="1">
      <c r="A18" s="10">
        <v>1780</v>
      </c>
      <c r="B18" s="2181">
        <f>TableUK5d!B18</f>
        <v>0.18422618990974821</v>
      </c>
      <c r="C18" s="1836">
        <f t="shared" si="1"/>
        <v>1.0000000000000009E-2</v>
      </c>
      <c r="D18" s="1846">
        <f t="shared" si="0"/>
        <v>-5.5065385639111959E-2</v>
      </c>
      <c r="E18" s="386">
        <f>TableUK12c!F18</f>
        <v>-4.8199935639111957E-2</v>
      </c>
      <c r="F18" s="1370">
        <f>F$15</f>
        <v>6.8654500000000004E-3</v>
      </c>
      <c r="G18" s="1838">
        <f>G17*((1+H18)/(1+C18))^10</f>
        <v>0.48655833551217309</v>
      </c>
      <c r="H18" s="1370">
        <f t="shared" si="2"/>
        <v>1.4794544229707773E-2</v>
      </c>
      <c r="I18" s="1252">
        <f t="shared" si="3"/>
        <v>0.67274346184702116</v>
      </c>
      <c r="J18" s="1252">
        <f>AVERAGE(DataUK4!O91:O92)/DataUK4!B91</f>
        <v>0.67274346184702116</v>
      </c>
      <c r="K18" s="1252">
        <v>0</v>
      </c>
      <c r="L18" s="1252">
        <f>AVERAGE(DataUK4!H91:H92)/DataUK4!B91</f>
        <v>1.12798030485046</v>
      </c>
      <c r="M18" s="901">
        <f>DataUK4!G91/DataUK4!B91/1000</f>
        <v>3.3071016821230148E-2</v>
      </c>
      <c r="N18" s="1576">
        <f t="shared" si="4"/>
        <v>0.59641419176747856</v>
      </c>
      <c r="O18" s="911"/>
      <c r="P18" s="924"/>
      <c r="Q18" s="939"/>
      <c r="R18" s="720"/>
      <c r="S18" s="1350">
        <f t="shared" si="5"/>
        <v>0</v>
      </c>
      <c r="U18" s="1431">
        <f>E18-TableUK12c!F18</f>
        <v>0</v>
      </c>
      <c r="V18" s="1432">
        <f>E18-F18-TableUK12c!L18</f>
        <v>0</v>
      </c>
      <c r="W18" s="1835">
        <f>D18-TableUK12c!L18</f>
        <v>0</v>
      </c>
    </row>
    <row r="19" spans="1:23" ht="12" customHeight="1">
      <c r="A19" s="893">
        <v>1790</v>
      </c>
      <c r="B19" s="2182">
        <f>TableUK5d!B19</f>
        <v>0.2035003254545143</v>
      </c>
      <c r="C19" s="1638">
        <f t="shared" si="1"/>
        <v>1.0000000000000009E-2</v>
      </c>
      <c r="D19" s="1847">
        <f t="shared" si="0"/>
        <v>-9.3956890242756261E-2</v>
      </c>
      <c r="E19" s="880">
        <f>TableUK12c!F19</f>
        <v>-8.7091440242756266E-2</v>
      </c>
      <c r="F19" s="1371">
        <f>F$15</f>
        <v>6.8654500000000004E-3</v>
      </c>
      <c r="G19" s="1839">
        <f>G18*((1+H19)/(1+C19))^10</f>
        <v>0.50672556619261844</v>
      </c>
      <c r="H19" s="1371">
        <f t="shared" si="2"/>
        <v>1.4110229953769305E-2</v>
      </c>
      <c r="I19" s="1253">
        <f t="shared" si="3"/>
        <v>1.2166506854198038</v>
      </c>
      <c r="J19" s="1253">
        <f>AVERAGE(DataUK4!O101:O102)/DataUK4!B101</f>
        <v>1.2166506854198038</v>
      </c>
      <c r="K19" s="1253">
        <v>0</v>
      </c>
      <c r="L19" s="1253">
        <f>AVERAGE(DataUK4!H101:H102)/DataUK4!B101</f>
        <v>1.4980434968835556</v>
      </c>
      <c r="M19" s="901">
        <f>DataUK4!G101/DataUK4!B101/1000</f>
        <v>4.6492394750977675E-2</v>
      </c>
      <c r="N19" s="1577">
        <f t="shared" si="4"/>
        <v>0.81215978571440317</v>
      </c>
      <c r="O19" s="911"/>
      <c r="P19" s="924" t="s">
        <v>436</v>
      </c>
      <c r="Q19" s="938">
        <v>0</v>
      </c>
      <c r="R19" s="720"/>
      <c r="S19" s="1350">
        <f t="shared" si="5"/>
        <v>0</v>
      </c>
      <c r="U19" s="1431">
        <f>E19-TableUK12c!F19</f>
        <v>0</v>
      </c>
      <c r="V19" s="1432">
        <f>E19-F19-TableUK12c!L19</f>
        <v>0</v>
      </c>
      <c r="W19" s="1835">
        <f>D19-TableUK12c!L19</f>
        <v>0</v>
      </c>
    </row>
    <row r="20" spans="1:23" ht="12" customHeight="1">
      <c r="A20" s="10">
        <v>1800</v>
      </c>
      <c r="B20" s="2181">
        <f>TableUK5d!B20</f>
        <v>0.22479096202543747</v>
      </c>
      <c r="C20" s="1836">
        <f t="shared" si="1"/>
        <v>1.0000000000000009E-2</v>
      </c>
      <c r="D20" s="1846">
        <f t="shared" si="0"/>
        <v>-5.2705579271993923E-2</v>
      </c>
      <c r="E20" s="386">
        <f>TableUK12c!F20</f>
        <v>-4.5840129271993921E-2</v>
      </c>
      <c r="F20" s="1370">
        <f>F$15</f>
        <v>6.8654500000000004E-3</v>
      </c>
      <c r="G20" s="1838">
        <f>G19*((1+H20)/(1+C20))^10</f>
        <v>0.5248136189342244</v>
      </c>
      <c r="H20" s="1370">
        <f t="shared" si="2"/>
        <v>1.3548655244662117E-2</v>
      </c>
      <c r="I20" s="901">
        <f t="shared" si="3"/>
        <v>1.1820794818775604</v>
      </c>
      <c r="J20" s="901">
        <f>AVERAGE(DataUK4!O111:O112)/DataUK4!B111</f>
        <v>1.1820794818775604</v>
      </c>
      <c r="K20" s="901">
        <v>0</v>
      </c>
      <c r="L20" s="901">
        <f>AVERAGE(DataUK4!H111:H112)/DataUK4!B111</f>
        <v>1.9144806385739164</v>
      </c>
      <c r="M20" s="901">
        <f>DataUK4!G111/DataUK4!B111/1000</f>
        <v>6.0424944842508557E-2</v>
      </c>
      <c r="N20" s="1348">
        <f t="shared" si="4"/>
        <v>0.61744133529502987</v>
      </c>
      <c r="O20" s="911"/>
      <c r="P20" s="924" t="s">
        <v>1115</v>
      </c>
      <c r="Q20" s="940">
        <f>G20*((1+H21)/(1+C21))^10/G21</f>
        <v>1.0000045625264284</v>
      </c>
      <c r="R20" s="720"/>
      <c r="S20" s="1350">
        <f t="shared" si="5"/>
        <v>0</v>
      </c>
      <c r="U20" s="1431">
        <f>E20-TableUK12c!F20</f>
        <v>0</v>
      </c>
      <c r="V20" s="1432">
        <f>E20-F20-TableUK12c!L20</f>
        <v>0</v>
      </c>
      <c r="W20" s="1835">
        <f>D20-TableUK12c!L20</f>
        <v>0</v>
      </c>
    </row>
    <row r="21" spans="1:23" ht="12" customHeight="1">
      <c r="A21" s="10">
        <v>1810</v>
      </c>
      <c r="B21" s="2183">
        <f>TableUK5d!B21</f>
        <v>0.26869316929215598</v>
      </c>
      <c r="C21" s="438">
        <f t="shared" si="1"/>
        <v>1.8000000000000016E-2</v>
      </c>
      <c r="D21" s="1848">
        <f t="shared" si="0"/>
        <v>-6.9519609749540648E-2</v>
      </c>
      <c r="E21" s="386">
        <f>TableUK12c!F21</f>
        <v>-5.924610974954065E-2</v>
      </c>
      <c r="F21" s="1845">
        <v>1.02735E-2</v>
      </c>
      <c r="G21" s="1837">
        <f>TableUK6f!I33</f>
        <v>0.5</v>
      </c>
      <c r="H21" s="1845">
        <f t="shared" si="2"/>
        <v>1.3081691770770256E-2</v>
      </c>
      <c r="I21" s="1252">
        <f t="shared" si="3"/>
        <v>1.0241657935007706</v>
      </c>
      <c r="J21" s="1252">
        <f>AVERAGE(DataUK4!O121:O122)/DataUK4!B121</f>
        <v>1.0241657935007706</v>
      </c>
      <c r="K21" s="1252">
        <v>0</v>
      </c>
      <c r="L21" s="1252">
        <f>AVERAGE(DataUK4!H121:H122)/DataUK4!B121</f>
        <v>1.7785364213291233</v>
      </c>
      <c r="M21" s="901">
        <f>DataUK4!G121/DataUK4!B121</f>
        <v>6.1980242965817889E-2</v>
      </c>
      <c r="N21" s="1576">
        <f t="shared" si="4"/>
        <v>0.57584752340095369</v>
      </c>
      <c r="O21" s="911"/>
      <c r="P21" s="1639"/>
      <c r="Q21" s="1640"/>
      <c r="R21" s="720"/>
      <c r="S21" s="1350">
        <f t="shared" si="5"/>
        <v>-4.6222003935447731E-7</v>
      </c>
      <c r="U21" s="1431">
        <f>E21-TableUK12c!F21</f>
        <v>0</v>
      </c>
      <c r="V21" s="1432">
        <f>E21-F21-TableUK12c!L21</f>
        <v>0</v>
      </c>
      <c r="W21" s="1835">
        <f>D21-TableUK12c!L21</f>
        <v>0</v>
      </c>
    </row>
    <row r="22" spans="1:23" ht="12" customHeight="1">
      <c r="A22" s="10">
        <v>1820</v>
      </c>
      <c r="B22" s="2181">
        <f>TableUK5d!B22</f>
        <v>0.32116958161375481</v>
      </c>
      <c r="C22" s="1836">
        <f t="shared" si="1"/>
        <v>1.8000000000000016E-2</v>
      </c>
      <c r="D22" s="1846">
        <f t="shared" si="0"/>
        <v>9.8316831228757572E-3</v>
      </c>
      <c r="E22" s="386">
        <f>TableUK12c!F22</f>
        <v>2.0105183122875757E-2</v>
      </c>
      <c r="F22" s="1370">
        <f>F$21</f>
        <v>1.02735E-2</v>
      </c>
      <c r="G22" s="1838">
        <f>G21*((1+H22)/(1+C22))^10</f>
        <v>0.51265161312997076</v>
      </c>
      <c r="H22" s="1370">
        <f t="shared" si="2"/>
        <v>2.0546999999999999E-2</v>
      </c>
      <c r="I22" s="1252">
        <f t="shared" si="3"/>
        <v>1.7577130112115229</v>
      </c>
      <c r="J22" s="1252">
        <f>AVERAGE(DataUK4!O131:O132)/DataUK4!B131</f>
        <v>1.7577130112115229</v>
      </c>
      <c r="K22" s="1252">
        <v>0</v>
      </c>
      <c r="L22" s="1252">
        <f>AVERAGE(DataUK4!H131:H132)/DataUK4!B131</f>
        <v>2.3428584300515767</v>
      </c>
      <c r="M22" s="901">
        <f>DataUK4!G131/DataUK4!B131</f>
        <v>7.8761277355797923E-2</v>
      </c>
      <c r="N22" s="1576">
        <f t="shared" si="4"/>
        <v>0.7502429462512713</v>
      </c>
      <c r="O22" s="911"/>
      <c r="P22" s="1639" t="s">
        <v>437</v>
      </c>
      <c r="Q22" s="938">
        <v>0</v>
      </c>
      <c r="R22" s="720"/>
      <c r="S22" s="1350">
        <f t="shared" si="5"/>
        <v>0</v>
      </c>
      <c r="U22" s="1431">
        <f>E22-TableUK12c!F22</f>
        <v>0</v>
      </c>
      <c r="V22" s="1432">
        <f>E22-F22-TableUK12c!L22</f>
        <v>0</v>
      </c>
      <c r="W22" s="1835">
        <f>D22-TableUK12c!L22</f>
        <v>0</v>
      </c>
    </row>
    <row r="23" spans="1:23" ht="12" customHeight="1">
      <c r="A23" s="10">
        <v>1830</v>
      </c>
      <c r="B23" s="2181">
        <f>TableUK5d!B23</f>
        <v>0.38389476154415064</v>
      </c>
      <c r="C23" s="1836">
        <f t="shared" si="1"/>
        <v>1.8000000000000016E-2</v>
      </c>
      <c r="D23" s="1846">
        <f t="shared" si="0"/>
        <v>3.2327919094538738E-3</v>
      </c>
      <c r="E23" s="386">
        <f>TableUK12c!F23</f>
        <v>1.3506291909453873E-2</v>
      </c>
      <c r="F23" s="1370">
        <f>F$21</f>
        <v>1.02735E-2</v>
      </c>
      <c r="G23" s="1838">
        <f>G22*((1+H23)/(1+C23))^10</f>
        <v>0.52301754255669286</v>
      </c>
      <c r="H23" s="1370">
        <f t="shared" si="2"/>
        <v>2.0039925237483637E-2</v>
      </c>
      <c r="I23" s="1252">
        <f t="shared" si="3"/>
        <v>1.798958726561974</v>
      </c>
      <c r="J23" s="1252">
        <f>AVERAGE(DataUK4!O141:O142)/DataUK4!B141</f>
        <v>1.798958726561974</v>
      </c>
      <c r="K23" s="1252">
        <v>0</v>
      </c>
      <c r="L23" s="1252">
        <f>AVERAGE(DataUK4!H141:H142)/DataUK4!B141</f>
        <v>2.1866954267368857</v>
      </c>
      <c r="M23" s="901">
        <f>DataUK4!G141/DataUK4!B141</f>
        <v>6.7816355007358775E-2</v>
      </c>
      <c r="N23" s="1576">
        <f t="shared" si="4"/>
        <v>0.82268371926239636</v>
      </c>
      <c r="O23" s="911"/>
      <c r="P23" s="1641"/>
      <c r="Q23" s="1642">
        <f>G24*((1+H25)/(1+C25))^15/G25</f>
        <v>1.0000047762227637</v>
      </c>
      <c r="R23" s="720"/>
      <c r="S23" s="1350">
        <f t="shared" si="5"/>
        <v>0</v>
      </c>
      <c r="U23" s="1431">
        <f>E23-TableUK12c!F23</f>
        <v>0</v>
      </c>
      <c r="V23" s="1432">
        <f>E23-F23-TableUK12c!L23</f>
        <v>0</v>
      </c>
      <c r="W23" s="1835">
        <f>D23-TableUK12c!L23</f>
        <v>0</v>
      </c>
    </row>
    <row r="24" spans="1:23" ht="12" customHeight="1">
      <c r="A24" s="893">
        <v>1840</v>
      </c>
      <c r="B24" s="2182">
        <f>TableUK5d!B24</f>
        <v>0.45887031766998637</v>
      </c>
      <c r="C24" s="1638">
        <f t="shared" si="1"/>
        <v>1.8000000000000016E-2</v>
      </c>
      <c r="D24" s="1847">
        <f t="shared" si="0"/>
        <v>5.0717689173395662E-3</v>
      </c>
      <c r="E24" s="880">
        <f>TableUK12c!F24</f>
        <v>1.5345268917339566E-2</v>
      </c>
      <c r="F24" s="1371">
        <f>F$21</f>
        <v>1.02735E-2</v>
      </c>
      <c r="G24" s="1839">
        <f>G23*((1+H24)/(1+C24))^10</f>
        <v>0.53151901844548377</v>
      </c>
      <c r="H24" s="1371">
        <f t="shared" si="2"/>
        <v>1.9642744581337624E-2</v>
      </c>
      <c r="I24" s="1253">
        <f t="shared" si="3"/>
        <v>1.4720568984470974</v>
      </c>
      <c r="J24" s="1253">
        <f>AVERAGE(DataUK4!O151:O152)/DataUK4!B151</f>
        <v>1.4720568984470974</v>
      </c>
      <c r="K24" s="1253">
        <v>0</v>
      </c>
      <c r="L24" s="1253">
        <f>AVERAGE(DataUK4!H151:H152)/DataUK4!B151</f>
        <v>1.6140735670401698</v>
      </c>
      <c r="M24" s="901">
        <f>DataUK4!G151/DataUK4!B151</f>
        <v>4.8678103762208012E-2</v>
      </c>
      <c r="N24" s="1577">
        <f t="shared" si="4"/>
        <v>0.91201350948736648</v>
      </c>
      <c r="O24" s="911"/>
      <c r="P24" s="1432"/>
      <c r="R24" s="720"/>
      <c r="S24" s="1350">
        <f t="shared" si="5"/>
        <v>0</v>
      </c>
      <c r="U24" s="1431">
        <f>E24-TableUK12c!F24</f>
        <v>0</v>
      </c>
      <c r="V24" s="1432">
        <f>E24-F24-TableUK12c!L24</f>
        <v>0</v>
      </c>
      <c r="W24" s="1835">
        <f>D24-TableUK12c!L24</f>
        <v>0</v>
      </c>
    </row>
    <row r="25" spans="1:23" ht="12" customHeight="1">
      <c r="A25" s="10">
        <v>1855</v>
      </c>
      <c r="B25" s="914">
        <f>TableUK5d!B25</f>
        <v>0.61834790788105265</v>
      </c>
      <c r="C25" s="438">
        <f>(B25/B24)^(1/15)-1</f>
        <v>2.0084609756297889E-2</v>
      </c>
      <c r="D25" s="1848">
        <f t="shared" si="0"/>
        <v>-7.9464250756418522E-3</v>
      </c>
      <c r="E25" s="1849">
        <f t="array" ref="E25">SUMPRODUCT(TableUK5c!D10:D39,TableUK5c!B10:B39)/SUM(TableUK5c!B10:B39)</f>
        <v>-1.8283703620001657E-3</v>
      </c>
      <c r="F25" s="1845">
        <f t="array" ref="F25">SUMPRODUCT(TableUK5c!F10:F39,TableUK5c!B10:B39)/SUM(TableUK5c!B10:B39)</f>
        <v>6.1180547136416861E-3</v>
      </c>
      <c r="G25" s="1837">
        <f>TableUK6f!I34</f>
        <v>0.52563796769383986</v>
      </c>
      <c r="H25" s="1857">
        <f t="shared" si="2"/>
        <v>1.9328565194236261E-2</v>
      </c>
      <c r="I25" s="62">
        <f t="shared" si="3"/>
        <v>1.1434447463234185</v>
      </c>
      <c r="J25" s="62">
        <f>AVERAGE(DataUK4!O166:O167)/DataUK4!B166</f>
        <v>1.1434447463234185</v>
      </c>
      <c r="K25" s="62">
        <v>0</v>
      </c>
      <c r="L25" s="62">
        <f>AVERAGE(DataUK4!H166:H167)/DataUK4!B166</f>
        <v>1.238008555124372</v>
      </c>
      <c r="M25" s="901">
        <f>DataUK4!G166/DataUK4!B166</f>
        <v>3.667838074801541E-2</v>
      </c>
      <c r="N25" s="1347">
        <f t="shared" si="4"/>
        <v>0.92361619117288452</v>
      </c>
      <c r="O25" s="1317"/>
      <c r="P25" s="1432"/>
      <c r="Q25" s="927"/>
      <c r="R25" s="1694"/>
      <c r="S25" s="1350"/>
      <c r="U25" s="1431">
        <f>E25-TableUK12c!F25</f>
        <v>2.9759949711925218E-2</v>
      </c>
      <c r="V25" s="720"/>
      <c r="W25" s="1835"/>
    </row>
    <row r="26" spans="1:23" ht="12" customHeight="1">
      <c r="A26" s="893">
        <v>1885</v>
      </c>
      <c r="B26" s="921">
        <f>TableUK5d!B26</f>
        <v>1.5824772727272729</v>
      </c>
      <c r="C26" s="1638">
        <f>(B26/B25)^(1/30)-1</f>
        <v>3.1818917904653743E-2</v>
      </c>
      <c r="D26" s="1847">
        <f t="shared" si="0"/>
        <v>-1.4554983483720528E-2</v>
      </c>
      <c r="E26" s="1850">
        <f t="array" ref="E26">SUMPRODUCT(TableUK5c!D40:D67,TableUK5c!B40:B67)/SUM(TableUK5c!B40:B67)</f>
        <v>-3.2301782656424644E-3</v>
      </c>
      <c r="F26" s="1371">
        <f t="array" ref="F26">SUMPRODUCT(TableUK5c!F40:F67,TableUK5c!B40:B67)/SUM(TableUK5c!B40:B67)</f>
        <v>1.1324805218078063E-2</v>
      </c>
      <c r="G26" s="1839">
        <f>TableUK6f!I37</f>
        <v>0.40514606190292657</v>
      </c>
      <c r="H26" s="1858">
        <f t="shared" si="2"/>
        <v>1.1639293752853816E-2</v>
      </c>
      <c r="I26" s="1314">
        <f t="shared" si="3"/>
        <v>0.69680364505519943</v>
      </c>
      <c r="J26" s="1314">
        <f>AVERAGE(DataUK4!O196:O197)/DataUK4!B196</f>
        <v>0.69680364505519943</v>
      </c>
      <c r="K26" s="1314">
        <v>0</v>
      </c>
      <c r="L26" s="1314">
        <f>AVERAGE(DataUK4!H196:H197)/DataUK4!B196</f>
        <v>0.64200032430197718</v>
      </c>
      <c r="M26" s="902">
        <f>DataUK4!G196/DataUK4!B196</f>
        <v>1.7242467715243057E-2</v>
      </c>
      <c r="N26" s="1579">
        <f t="shared" si="4"/>
        <v>1.0853633848437816</v>
      </c>
      <c r="O26" s="913"/>
      <c r="P26" s="1432"/>
      <c r="Q26" s="1368"/>
      <c r="R26" s="1694"/>
      <c r="S26" s="1350"/>
      <c r="U26" s="1431">
        <f>E26-TableUK12c!F26</f>
        <v>1.7588393984510745E-3</v>
      </c>
      <c r="V26" s="720"/>
      <c r="W26" s="1835"/>
    </row>
    <row r="27" spans="1:23" ht="12" customHeight="1">
      <c r="A27" s="10">
        <v>1913</v>
      </c>
      <c r="B27" s="914">
        <f>TableUK5d!B27</f>
        <v>2.3810000000000007</v>
      </c>
      <c r="C27" s="1636">
        <f>(B27/B26)^(1/28)-1</f>
        <v>1.4697281684534769E-2</v>
      </c>
      <c r="D27" s="1851">
        <f t="shared" si="0"/>
        <v>-0.26958139370458351</v>
      </c>
      <c r="E27" s="1324">
        <f>SUMPRODUCT(TableUK5c!D68:D74,TableUK5c!B68:B74)/SUM(TableUK5c!B68:B74)</f>
        <v>-0.27132854183887795</v>
      </c>
      <c r="F27" s="1370">
        <f>SUMPRODUCT(TableUK5c!F68:F74,TableUK5c!B68:B74)/SUM(TableUK5c!B68:B74)</f>
        <v>-1.7471481342944254E-3</v>
      </c>
      <c r="G27" s="1838">
        <f>TableUK6f!I39</f>
        <v>0.47039059218815615</v>
      </c>
      <c r="H27" s="1859">
        <f t="shared" si="2"/>
        <v>2.7952401079469207E-2</v>
      </c>
      <c r="I27" s="62">
        <f t="shared" si="3"/>
        <v>0.27312053758924815</v>
      </c>
      <c r="J27" s="62">
        <f>AVERAGE(DataUK4!O224:O225)/DataUK4!B224</f>
        <v>0.27312053758924815</v>
      </c>
      <c r="K27" s="62">
        <v>0</v>
      </c>
      <c r="L27" s="62">
        <f>AVERAGE(DataUK4!H224:H225)/DataUK4!B224</f>
        <v>0.29766904661906757</v>
      </c>
      <c r="M27" s="901">
        <f>DataUK4!G224/DataUK4!B224</f>
        <v>6.7618647627047451E-3</v>
      </c>
      <c r="N27" s="1347">
        <f t="shared" si="4"/>
        <v>0.91753086419753083</v>
      </c>
      <c r="O27" s="913"/>
      <c r="P27" s="1432"/>
      <c r="R27" s="720"/>
      <c r="S27" s="1350"/>
      <c r="U27" s="1431"/>
      <c r="V27" s="720"/>
      <c r="W27" s="1835"/>
    </row>
    <row r="28" spans="1:23" ht="12" customHeight="1">
      <c r="A28" s="714" t="s">
        <v>1322</v>
      </c>
      <c r="B28" s="2188"/>
      <c r="C28" s="923"/>
      <c r="D28" s="1852">
        <f t="shared" si="0"/>
        <v>-2.6813065261963746E-2</v>
      </c>
      <c r="E28" s="21">
        <f>SUMPRODUCT(TableUK5c!D75:D84,TableUK5c!B75:B84)/SUM(TableUK5c!B75:B84)</f>
        <v>-1.7689470756346584E-3</v>
      </c>
      <c r="F28" s="22">
        <f>SUMPRODUCT(TableUK5c!F75:F84,TableUK5c!B75:B84)/SUM(TableUK5c!B75:B84)</f>
        <v>2.5044118186329088E-2</v>
      </c>
      <c r="G28" s="1265">
        <f>AVERAGE(TableUK5c!E75:E84)+AVERAGE(TableUK5c!I75:I84)</f>
        <v>0.52845463760164346</v>
      </c>
      <c r="H28" s="522">
        <f t="shared" si="2"/>
        <v>-3.7142497390669888E-3</v>
      </c>
      <c r="I28" s="62">
        <f t="shared" si="3"/>
        <v>1.7237643077805143</v>
      </c>
      <c r="J28" s="1265">
        <f>AVERAGE(TableUK5c!M75:M84)</f>
        <v>1.7237643077805143</v>
      </c>
      <c r="K28" s="1265">
        <f>AVERAGE(TableUK5c!N75:N84)</f>
        <v>0</v>
      </c>
      <c r="L28" s="1265">
        <f>AVERAGE(TableUK5c!O75:O84)</f>
        <v>1.740839460909807</v>
      </c>
      <c r="M28" s="1265">
        <f>AVERAGE(TableUK5c!Q75:Q84)</f>
        <v>7.2621882174718572E-2</v>
      </c>
      <c r="N28" s="1798">
        <f t="shared" si="4"/>
        <v>0.99019142573872443</v>
      </c>
      <c r="O28" s="927"/>
      <c r="U28" s="1431"/>
      <c r="V28" s="439"/>
      <c r="W28" s="1835"/>
    </row>
    <row r="29" spans="1:23" ht="12" customHeight="1">
      <c r="A29" s="714" t="s">
        <v>1323</v>
      </c>
      <c r="B29" s="2189"/>
      <c r="C29" s="1840"/>
      <c r="D29" s="1853">
        <f t="shared" si="0"/>
        <v>-4.1390715266832204E-2</v>
      </c>
      <c r="E29" s="53">
        <f>SUMPRODUCT(TableUK5c!D85:D94,TableUK5c!B85:B94)/SUM(TableUK5c!B85:B94)</f>
        <v>-1.8430090588697694E-2</v>
      </c>
      <c r="F29" s="1854">
        <f>SUMPRODUCT(TableUK5c!F85:F94,TableUK5c!B85:B94)/SUM(TableUK5c!B85:B94)</f>
        <v>2.2960624678134509E-2</v>
      </c>
      <c r="G29" s="907"/>
      <c r="H29" s="522">
        <f t="shared" si="2"/>
        <v>4.7391235508860645E-2</v>
      </c>
      <c r="I29" s="62">
        <f t="shared" si="3"/>
        <v>1.915647858877866</v>
      </c>
      <c r="J29" s="1265">
        <f>AVERAGE(TableUK5c!M85:M94)</f>
        <v>1.915647858877866</v>
      </c>
      <c r="K29" s="29">
        <f>AVERAGE(TableUK5c!N85:N94)</f>
        <v>0</v>
      </c>
      <c r="L29" s="1265">
        <f>AVERAGE(TableUK5c!O85:O94)</f>
        <v>1.7602019809813327</v>
      </c>
      <c r="M29" s="1265">
        <f>AVERAGE(TableUK5c!Q85:Q94)</f>
        <v>5.2014948492570955E-2</v>
      </c>
      <c r="N29" s="1798">
        <f t="shared" si="4"/>
        <v>1.0883113867477132</v>
      </c>
      <c r="O29" s="928"/>
      <c r="U29" s="1431"/>
      <c r="V29" s="439"/>
      <c r="W29" s="1835"/>
    </row>
    <row r="30" spans="1:23" ht="12" customHeight="1">
      <c r="A30" s="714" t="s">
        <v>1324</v>
      </c>
      <c r="B30" s="2190"/>
      <c r="C30" s="1840"/>
      <c r="D30" s="1853">
        <f t="shared" si="0"/>
        <v>-0.18355718252111677</v>
      </c>
      <c r="E30" s="21">
        <f>SUMPRODUCT(TableUK5c!D95:D104,TableUK5c!B95:B104)/SUM(TableUK5c!B95:B104)</f>
        <v>-0.17402360106748838</v>
      </c>
      <c r="F30" s="22">
        <f>SUMPRODUCT(TableUK5c!F95:F104,TableUK5c!B95:B104)/SUM(TableUK5c!B95:B104)</f>
        <v>9.5335814536284067E-3</v>
      </c>
      <c r="G30" s="907"/>
      <c r="H30" s="1833"/>
      <c r="I30" s="62">
        <f t="shared" si="3"/>
        <v>2.3875933774582263</v>
      </c>
      <c r="J30" s="1265">
        <f>AVERAGE(TableUK5c!M95:M104)</f>
        <v>2.3875933774582263</v>
      </c>
      <c r="K30" s="29">
        <f>AVERAGE(TableUK5c!N95:N104)</f>
        <v>0</v>
      </c>
      <c r="L30" s="1265">
        <f>AVERAGE(TableUK5c!O95:O104)</f>
        <v>2.2715690767199899</v>
      </c>
      <c r="M30" s="1265">
        <f>AVERAGE(TableUK5c!Q95:Q104)</f>
        <v>4.359294489924577E-2</v>
      </c>
      <c r="N30" s="1798">
        <f t="shared" si="4"/>
        <v>1.0510767213409018</v>
      </c>
      <c r="O30" s="928"/>
      <c r="U30" s="694"/>
      <c r="V30" s="439"/>
    </row>
    <row r="31" spans="1:23" ht="12" customHeight="1">
      <c r="A31" s="714" t="s">
        <v>1325</v>
      </c>
      <c r="B31" s="2190"/>
      <c r="C31" s="1840"/>
      <c r="D31" s="1853">
        <f t="shared" si="0"/>
        <v>5.0044118200608945E-3</v>
      </c>
      <c r="E31" s="21">
        <f>SUMPRODUCT(TableUK5c!D105:D114,TableUK5c!B105:B114)/SUM(TableUK5c!B105:B114)</f>
        <v>3.1399362343208254E-2</v>
      </c>
      <c r="F31" s="22">
        <f>SUMPRODUCT(TableUK5c!F105:F114,TableUK5c!B105:B114)/SUM(TableUK5c!B105:B114)</f>
        <v>2.6394950523147359E-2</v>
      </c>
      <c r="G31" s="907"/>
      <c r="H31" s="1833"/>
      <c r="I31" s="62">
        <f t="shared" si="3"/>
        <v>1.5174997246452868</v>
      </c>
      <c r="J31" s="1265">
        <f>AVERAGE(TableUK5c!M105:M114)</f>
        <v>1.5174997246452868</v>
      </c>
      <c r="K31" s="29">
        <f>AVERAGE(TableUK5c!N105:N114)</f>
        <v>0</v>
      </c>
      <c r="L31" s="1265">
        <f>AVERAGE(TableUK5c!O105:O114)</f>
        <v>1.6716699705629168</v>
      </c>
      <c r="M31" s="1265">
        <f>AVERAGE(TableUK5c!Q105:Q114)</f>
        <v>4.140010551986513E-2</v>
      </c>
      <c r="N31" s="1798">
        <f t="shared" si="4"/>
        <v>0.9077747111376806</v>
      </c>
      <c r="O31" s="694"/>
      <c r="U31" s="694"/>
      <c r="V31" s="439"/>
    </row>
    <row r="32" spans="1:23" ht="12" customHeight="1">
      <c r="A32" s="714" t="s">
        <v>1326</v>
      </c>
      <c r="B32" s="2190"/>
      <c r="C32" s="1841"/>
      <c r="D32" s="1852">
        <f t="shared" si="0"/>
        <v>1.2178322229733588E-2</v>
      </c>
      <c r="E32" s="21">
        <f>SUMPRODUCT(TableUK5c!D115:D124,TableUK5c!B115:B124)/SUM(TableUK5c!B115:B124)</f>
        <v>4.30957739620524E-2</v>
      </c>
      <c r="F32" s="22">
        <f>SUMPRODUCT(TableUK5c!F115:F124,TableUK5c!B115:B124)/SUM(TableUK5c!B115:B124)</f>
        <v>3.0917451732318812E-2</v>
      </c>
      <c r="G32" s="907"/>
      <c r="H32" s="1833"/>
      <c r="I32" s="62">
        <f t="shared" si="3"/>
        <v>0.97487129190673505</v>
      </c>
      <c r="J32" s="1265">
        <f>AVERAGE(TableUK5c!M115:M124)</f>
        <v>0.90091300662685736</v>
      </c>
      <c r="K32" s="29">
        <f>AVERAGE(TableUK5c!N115:N124)</f>
        <v>7.3958285279877689E-2</v>
      </c>
      <c r="L32" s="1265">
        <f>AVERAGE(TableUK5c!O115:O124)</f>
        <v>1.0484069224421717</v>
      </c>
      <c r="M32" s="1265">
        <f>AVERAGE(TableUK5c!Q115:Q124)</f>
        <v>3.3967265601671959E-2</v>
      </c>
      <c r="N32" s="1798">
        <f t="shared" si="4"/>
        <v>0.85931615610497858</v>
      </c>
      <c r="O32" s="694"/>
      <c r="U32" s="694"/>
      <c r="V32" s="438"/>
    </row>
    <row r="33" spans="1:18" ht="12" customHeight="1">
      <c r="A33" s="714" t="s">
        <v>1327</v>
      </c>
      <c r="B33" s="2190"/>
      <c r="C33" s="1840"/>
      <c r="D33" s="1853">
        <f t="shared" si="0"/>
        <v>-2.3365590639962512E-2</v>
      </c>
      <c r="E33" s="21">
        <f>SUMPRODUCT(TableUK5c!D125:D134,TableUK5c!B125:B134)/SUM(TableUK5c!B125:B134)</f>
        <v>1.0147369718769457E-2</v>
      </c>
      <c r="F33" s="22">
        <f>SUMPRODUCT(TableUK5c!F125:F134,TableUK5c!B125:B134)/SUM(TableUK5c!B125:B134)</f>
        <v>3.3512960358731969E-2</v>
      </c>
      <c r="G33" s="907"/>
      <c r="H33" s="1833"/>
      <c r="I33" s="62">
        <f t="shared" si="3"/>
        <v>0.76364280613445623</v>
      </c>
      <c r="J33" s="1265">
        <f>AVERAGE(TableUK5c!M125:M134)</f>
        <v>0.56480989156181494</v>
      </c>
      <c r="K33" s="29">
        <f>AVERAGE(TableUK5c!N125:N134)</f>
        <v>0.19883291457264129</v>
      </c>
      <c r="L33" s="1265">
        <f>AVERAGE(TableUK5c!O125:O134)</f>
        <v>0.68254863986240122</v>
      </c>
      <c r="M33" s="1265">
        <f>AVERAGE(TableUK5c!Q125:Q134)</f>
        <v>3.3532033286886379E-2</v>
      </c>
      <c r="N33" s="1798">
        <f t="shared" si="4"/>
        <v>0.82750130697744573</v>
      </c>
      <c r="O33" s="928"/>
    </row>
    <row r="34" spans="1:18" ht="12" customHeight="1">
      <c r="A34" s="714" t="s">
        <v>1328</v>
      </c>
      <c r="B34" s="2191"/>
      <c r="C34" s="6"/>
      <c r="D34" s="1852">
        <f t="shared" si="0"/>
        <v>-2.1845685507475704E-2</v>
      </c>
      <c r="E34" s="21">
        <f>SUMPRODUCT(TableUK5c!D135:D144,TableUK5c!B135:B144)/SUM(TableUK5c!B135:B144)</f>
        <v>-1.2088846454362447E-2</v>
      </c>
      <c r="F34" s="22">
        <f>SUMPRODUCT(TableUK5c!F135:F144,TableUK5c!B135:B144)/SUM(TableUK5c!B135:B144)</f>
        <v>9.7568390531132584E-3</v>
      </c>
      <c r="G34" s="1842"/>
      <c r="H34" s="1833"/>
      <c r="I34" s="62">
        <f t="shared" si="3"/>
        <v>0.64564263076866502</v>
      </c>
      <c r="J34" s="1265">
        <f>AVERAGE(TableUK5c!M135:M144)</f>
        <v>0.53068283794824711</v>
      </c>
      <c r="K34" s="29">
        <f>AVERAGE(TableUK5c!N135:N144)</f>
        <v>0.11495979282041793</v>
      </c>
      <c r="L34" s="1265">
        <f>AVERAGE(TableUK5c!O135:O144)</f>
        <v>0.54082717847516881</v>
      </c>
      <c r="M34" s="1265">
        <f>AVERAGE(TableUK5c!Q135:Q144)</f>
        <v>4.9397327556132645E-2</v>
      </c>
      <c r="N34" s="1798">
        <f t="shared" si="4"/>
        <v>0.98124291653477347</v>
      </c>
    </row>
    <row r="35" spans="1:18" ht="12" customHeight="1">
      <c r="A35" s="714" t="s">
        <v>1329</v>
      </c>
      <c r="B35" s="2190"/>
      <c r="C35" s="1841"/>
      <c r="D35" s="1852">
        <f t="shared" si="0"/>
        <v>-4.3452264895331216E-2</v>
      </c>
      <c r="E35" s="21">
        <f>SUMPRODUCT(TableUK5c!D145:D154,TableUK5c!B145:B154)/SUM(TableUK5c!B145:B154)</f>
        <v>-3.4596844131088947E-2</v>
      </c>
      <c r="F35" s="22">
        <f>SUMPRODUCT(TableUK5c!F145:F154,TableUK5c!B145:B154)/SUM(TableUK5c!B145:B154)</f>
        <v>8.855420764242266E-3</v>
      </c>
      <c r="G35" s="1842"/>
      <c r="H35" s="1833"/>
      <c r="I35" s="62">
        <f t="shared" si="3"/>
        <v>0.59290023803172986</v>
      </c>
      <c r="J35" s="1265">
        <f>AVERAGE(TableUK5c!M145:M154)</f>
        <v>0.52370088370861601</v>
      </c>
      <c r="K35" s="29">
        <f>AVERAGE(TableUK5c!N145:N154)</f>
        <v>6.919935432311386E-2</v>
      </c>
      <c r="L35" s="1265">
        <f>AVERAGE(TableUK5c!O145:O154)</f>
        <v>0.50447853355134709</v>
      </c>
      <c r="M35" s="1265">
        <f>AVERAGE(TableUK5c!Q145:Q154)</f>
        <v>3.729503166419533E-2</v>
      </c>
      <c r="N35" s="1798">
        <f t="shared" si="4"/>
        <v>1.0381034055541483</v>
      </c>
      <c r="R35" s="1318"/>
    </row>
    <row r="36" spans="1:18" ht="12" customHeight="1">
      <c r="A36" s="714" t="s">
        <v>1330</v>
      </c>
      <c r="B36" s="2190"/>
      <c r="C36" s="1841"/>
      <c r="D36" s="1852">
        <f t="shared" si="0"/>
        <v>-3.5478494413873192E-2</v>
      </c>
      <c r="E36" s="21">
        <f>SUMPRODUCT(TableUK5c!D155:D164,TableUK5c!B155:B164)/SUM(TableUK5c!B155:B164)</f>
        <v>-2.8716368518897733E-2</v>
      </c>
      <c r="F36" s="22">
        <f>SUMPRODUCT(TableUK5c!F155:F164,TableUK5c!B155:B164)/SUM(TableUK5c!B155:B164)</f>
        <v>6.76212589497546E-3</v>
      </c>
      <c r="G36" s="1842"/>
      <c r="H36" s="1833"/>
      <c r="I36" s="62">
        <f t="shared" si="3"/>
        <v>0.59156125767121737</v>
      </c>
      <c r="J36" s="1265">
        <f>AVERAGE(TableUK5c!M155:M164)</f>
        <v>0.55049885114455444</v>
      </c>
      <c r="K36" s="29">
        <f>AVERAGE(TableUK5c!N155:N164)</f>
        <v>4.106240652666298E-2</v>
      </c>
      <c r="L36" s="1265">
        <f>AVERAGE(TableUK5c!O155:O164)</f>
        <v>0.47689027894223501</v>
      </c>
      <c r="M36" s="1265">
        <f>AVERAGE(TableUK5c!Q155:Q164)</f>
        <v>2.3811877883106874E-2</v>
      </c>
      <c r="N36" s="1798">
        <f t="shared" si="4"/>
        <v>1.1543511693414819</v>
      </c>
      <c r="R36" s="923"/>
    </row>
    <row r="37" spans="1:18" ht="12" customHeight="1" thickBot="1">
      <c r="A37" s="738">
        <v>2010</v>
      </c>
      <c r="B37" s="2192"/>
      <c r="C37" s="1843"/>
      <c r="D37" s="1855">
        <f t="shared" si="0"/>
        <v>-0.11662477860011733</v>
      </c>
      <c r="E37" s="1268">
        <f>SUMPRODUCT(TableUK5c!D165:D165,TableUK5c!B165:B165)/SUM(TableUK5c!B165:B165)</f>
        <v>-9.8684505086302082E-2</v>
      </c>
      <c r="F37" s="1856">
        <f>SUMPRODUCT(TableUK5c!F165:F165,TableUK5c!B165:B165)/SUM(TableUK5c!B165:B165)</f>
        <v>1.794027351381524E-2</v>
      </c>
      <c r="G37" s="1844"/>
      <c r="H37" s="1834"/>
      <c r="I37" s="1800">
        <f t="shared" si="3"/>
        <v>0.91783624171302292</v>
      </c>
      <c r="J37" s="1637">
        <f>AVERAGE(TableUK5c!M165:M165)</f>
        <v>0.89871839547451349</v>
      </c>
      <c r="K37" s="1800">
        <f>AVERAGE(TableUK5c!N165:N165)</f>
        <v>1.9117846238509428E-2</v>
      </c>
      <c r="L37" s="1637">
        <f>AVERAGE(TableUK5c!O165:O165)</f>
        <v>0.8336517675090287</v>
      </c>
      <c r="M37" s="1637">
        <f>AVERAGE(TableUK5c!Q165:Q165)</f>
        <v>3.2743275165739542E-2</v>
      </c>
      <c r="N37" s="1799">
        <f t="shared" si="4"/>
        <v>1.0780501289644062</v>
      </c>
      <c r="R37" s="926"/>
    </row>
    <row r="38" spans="1:18" ht="12" customHeight="1" thickTop="1" thickBot="1">
      <c r="B38" s="66"/>
      <c r="C38" s="66"/>
      <c r="D38" s="66"/>
      <c r="E38" s="66"/>
      <c r="F38" s="66"/>
      <c r="G38" s="691"/>
      <c r="H38" s="691"/>
      <c r="I38" s="691"/>
      <c r="J38" s="930"/>
      <c r="K38" s="930"/>
      <c r="L38" s="930"/>
      <c r="M38" s="930"/>
      <c r="N38" s="930"/>
      <c r="R38" s="1832"/>
    </row>
    <row r="39" spans="1:18" ht="12" customHeight="1">
      <c r="A39" s="2400" t="s">
        <v>1426</v>
      </c>
      <c r="B39" s="2401"/>
      <c r="C39" s="2401"/>
      <c r="D39" s="2401"/>
      <c r="E39" s="2401"/>
      <c r="F39" s="2401"/>
      <c r="G39" s="2401"/>
      <c r="H39" s="2401"/>
      <c r="I39" s="2401"/>
      <c r="J39" s="2401"/>
      <c r="K39" s="2401"/>
      <c r="L39" s="2401"/>
      <c r="M39" s="2401"/>
      <c r="N39" s="2402"/>
      <c r="O39" s="1831"/>
      <c r="P39" s="1568"/>
      <c r="Q39" s="1568"/>
      <c r="R39" s="1832"/>
    </row>
    <row r="40" spans="1:18" ht="12" customHeight="1" thickBot="1">
      <c r="A40" s="2403"/>
      <c r="B40" s="2404"/>
      <c r="C40" s="2404"/>
      <c r="D40" s="2404"/>
      <c r="E40" s="2404"/>
      <c r="F40" s="2404"/>
      <c r="G40" s="2404"/>
      <c r="H40" s="2404"/>
      <c r="I40" s="2404"/>
      <c r="J40" s="2404"/>
      <c r="K40" s="2404"/>
      <c r="L40" s="2404"/>
      <c r="M40" s="2404"/>
      <c r="N40" s="2405"/>
      <c r="O40" s="1831"/>
      <c r="P40" s="1568"/>
      <c r="Q40" s="1568"/>
      <c r="R40" s="1832"/>
    </row>
    <row r="41" spans="1:18" ht="12" customHeight="1">
      <c r="B41" s="66"/>
      <c r="C41" s="66"/>
      <c r="D41" s="66"/>
      <c r="E41" s="66"/>
      <c r="F41" s="66"/>
      <c r="G41" s="691"/>
      <c r="H41" s="691"/>
      <c r="I41" s="691"/>
      <c r="J41" s="930"/>
      <c r="K41" s="930"/>
      <c r="L41" s="930"/>
      <c r="M41" s="930"/>
      <c r="N41" s="930"/>
      <c r="R41" s="1832"/>
    </row>
    <row r="42" spans="1:18" ht="12" customHeight="1">
      <c r="B42" s="66"/>
      <c r="C42" s="66"/>
      <c r="D42" s="66"/>
      <c r="E42" s="66"/>
      <c r="F42" s="66"/>
      <c r="G42" s="691"/>
      <c r="H42" s="691"/>
      <c r="I42" s="691"/>
      <c r="J42" s="930"/>
      <c r="K42" s="930"/>
      <c r="L42" s="930"/>
      <c r="M42" s="930"/>
      <c r="N42" s="930"/>
      <c r="R42" s="1832"/>
    </row>
    <row r="43" spans="1:18" ht="12" customHeight="1">
      <c r="B43" s="66"/>
      <c r="C43" s="66"/>
      <c r="D43" s="66"/>
      <c r="E43" s="66"/>
      <c r="F43" s="66"/>
      <c r="G43" s="691"/>
      <c r="H43" s="691"/>
      <c r="I43" s="691"/>
      <c r="J43" s="930"/>
      <c r="K43" s="930"/>
      <c r="L43" s="930"/>
      <c r="M43" s="930"/>
      <c r="N43" s="930"/>
      <c r="R43" s="1832"/>
    </row>
    <row r="44" spans="1:18" ht="12" customHeight="1">
      <c r="B44" s="66"/>
      <c r="C44" s="66"/>
      <c r="D44" s="66"/>
      <c r="E44" s="66"/>
      <c r="F44" s="66"/>
      <c r="G44" s="691"/>
      <c r="H44" s="691"/>
      <c r="I44" s="691"/>
      <c r="J44" s="930"/>
      <c r="K44" s="930"/>
      <c r="L44" s="930"/>
      <c r="M44" s="930"/>
      <c r="N44" s="930"/>
      <c r="R44" s="1832"/>
    </row>
    <row r="45" spans="1:18" ht="12" customHeight="1">
      <c r="B45" s="66"/>
      <c r="C45" s="66"/>
      <c r="D45" s="66"/>
      <c r="E45" s="66"/>
      <c r="F45" s="66"/>
      <c r="G45" s="691"/>
      <c r="H45" s="691"/>
      <c r="I45" s="691"/>
      <c r="J45" s="930"/>
      <c r="K45" s="930"/>
      <c r="L45" s="930"/>
      <c r="M45" s="930"/>
      <c r="N45" s="930"/>
      <c r="R45" s="1832"/>
    </row>
    <row r="46" spans="1:18" ht="12" customHeight="1">
      <c r="B46" s="66"/>
      <c r="C46" s="66"/>
      <c r="D46" s="66"/>
      <c r="E46" s="66"/>
      <c r="F46" s="66"/>
      <c r="G46" s="691"/>
      <c r="H46" s="691"/>
      <c r="I46" s="691"/>
      <c r="J46" s="930"/>
      <c r="K46" s="930"/>
      <c r="L46" s="930"/>
      <c r="M46" s="930"/>
      <c r="N46" s="930"/>
      <c r="R46" s="694"/>
    </row>
    <row r="47" spans="1:18" ht="12" customHeight="1">
      <c r="B47" s="66"/>
      <c r="C47" s="66"/>
      <c r="D47" s="66"/>
      <c r="E47" s="66"/>
      <c r="F47" s="66"/>
      <c r="G47" s="691"/>
      <c r="H47" s="691"/>
      <c r="I47" s="691"/>
      <c r="J47" s="930"/>
      <c r="K47" s="930"/>
      <c r="L47" s="930"/>
      <c r="M47" s="930"/>
      <c r="N47" s="930"/>
    </row>
    <row r="48" spans="1:18" ht="12" customHeight="1">
      <c r="B48" s="66"/>
      <c r="C48" s="66"/>
      <c r="D48" s="66"/>
      <c r="E48" s="66"/>
      <c r="F48" s="66"/>
      <c r="G48" s="691"/>
      <c r="H48" s="691"/>
      <c r="I48" s="691"/>
      <c r="J48" s="930"/>
      <c r="K48" s="930"/>
      <c r="L48" s="930"/>
      <c r="M48" s="930"/>
      <c r="N48" s="930"/>
    </row>
    <row r="49" spans="2:14" ht="12" customHeight="1">
      <c r="B49" s="66"/>
      <c r="C49" s="66"/>
      <c r="D49" s="66"/>
      <c r="E49" s="66"/>
      <c r="F49" s="66"/>
      <c r="G49" s="691"/>
      <c r="H49" s="691"/>
      <c r="I49" s="691"/>
      <c r="J49" s="930"/>
      <c r="K49" s="930"/>
      <c r="L49" s="930"/>
      <c r="M49" s="930"/>
      <c r="N49" s="930"/>
    </row>
    <row r="50" spans="2:14" ht="12" customHeight="1">
      <c r="B50" s="66"/>
      <c r="C50" s="66"/>
      <c r="D50" s="66"/>
      <c r="E50" s="66"/>
      <c r="F50" s="66"/>
      <c r="G50" s="691"/>
      <c r="H50" s="691"/>
      <c r="I50" s="691"/>
      <c r="J50" s="930"/>
      <c r="K50" s="930"/>
      <c r="L50" s="930"/>
      <c r="M50" s="930"/>
      <c r="N50" s="930"/>
    </row>
    <row r="51" spans="2:14" ht="12" customHeight="1">
      <c r="B51" s="66"/>
      <c r="C51" s="66"/>
      <c r="D51" s="66"/>
      <c r="E51" s="66"/>
      <c r="F51" s="66"/>
      <c r="G51" s="691"/>
      <c r="H51" s="691"/>
      <c r="I51" s="691"/>
      <c r="J51" s="930"/>
      <c r="K51" s="930"/>
      <c r="L51" s="930"/>
      <c r="M51" s="930"/>
      <c r="N51" s="930"/>
    </row>
    <row r="52" spans="2:14" ht="12" customHeight="1">
      <c r="B52" s="66"/>
      <c r="C52" s="66"/>
      <c r="D52" s="66"/>
      <c r="E52" s="66"/>
      <c r="F52" s="66"/>
      <c r="G52" s="691"/>
      <c r="H52" s="691"/>
      <c r="I52" s="691"/>
      <c r="J52" s="930"/>
      <c r="K52" s="930"/>
      <c r="L52" s="930"/>
      <c r="M52" s="930"/>
      <c r="N52" s="930"/>
    </row>
    <row r="53" spans="2:14" ht="12" customHeight="1">
      <c r="B53" s="66"/>
      <c r="C53" s="66"/>
      <c r="D53" s="66"/>
      <c r="E53" s="66"/>
      <c r="F53" s="66"/>
      <c r="G53" s="691"/>
      <c r="H53" s="691"/>
      <c r="I53" s="691"/>
      <c r="J53" s="930"/>
      <c r="K53" s="930"/>
      <c r="L53" s="930"/>
      <c r="M53" s="930"/>
      <c r="N53" s="930"/>
    </row>
    <row r="54" spans="2:14" ht="12" customHeight="1">
      <c r="B54" s="66"/>
      <c r="C54" s="66"/>
      <c r="D54" s="66"/>
      <c r="E54" s="66"/>
      <c r="F54" s="66"/>
      <c r="G54" s="691"/>
      <c r="H54" s="691"/>
      <c r="I54" s="691"/>
      <c r="J54" s="930"/>
      <c r="K54" s="930"/>
      <c r="L54" s="930"/>
      <c r="M54" s="930"/>
      <c r="N54" s="930"/>
    </row>
    <row r="55" spans="2:14" ht="12" customHeight="1">
      <c r="B55" s="66"/>
      <c r="C55" s="66"/>
      <c r="D55" s="66"/>
      <c r="E55" s="66"/>
      <c r="F55" s="66"/>
      <c r="G55" s="691"/>
      <c r="H55" s="691"/>
      <c r="I55" s="691"/>
      <c r="J55" s="930"/>
      <c r="K55" s="930"/>
      <c r="L55" s="930"/>
      <c r="M55" s="930"/>
      <c r="N55" s="930"/>
    </row>
    <row r="56" spans="2:14" ht="12" customHeight="1">
      <c r="B56" s="66"/>
      <c r="C56" s="66"/>
      <c r="D56" s="66"/>
      <c r="E56" s="66"/>
      <c r="F56" s="66"/>
      <c r="G56" s="691"/>
      <c r="H56" s="691"/>
      <c r="I56" s="691"/>
      <c r="J56" s="930"/>
      <c r="K56" s="930"/>
      <c r="L56" s="930"/>
      <c r="M56" s="930"/>
      <c r="N56" s="930"/>
    </row>
    <row r="57" spans="2:14" ht="12" customHeight="1">
      <c r="B57" s="66"/>
      <c r="C57" s="66"/>
      <c r="D57" s="66"/>
      <c r="E57" s="66"/>
      <c r="F57" s="66"/>
      <c r="G57" s="691"/>
      <c r="H57" s="691"/>
      <c r="I57" s="691"/>
      <c r="J57" s="930"/>
      <c r="K57" s="930"/>
      <c r="L57" s="930"/>
      <c r="M57" s="930"/>
      <c r="N57" s="930"/>
    </row>
    <row r="58" spans="2:14" ht="12" customHeight="1">
      <c r="B58" s="66"/>
      <c r="C58" s="66"/>
      <c r="D58" s="66"/>
      <c r="E58" s="66"/>
      <c r="F58" s="66"/>
      <c r="G58" s="691"/>
      <c r="H58" s="691"/>
      <c r="I58" s="691"/>
      <c r="J58" s="930"/>
      <c r="K58" s="930"/>
      <c r="L58" s="930"/>
      <c r="M58" s="930"/>
      <c r="N58" s="930"/>
    </row>
    <row r="59" spans="2:14" ht="12" customHeight="1">
      <c r="B59" s="66"/>
      <c r="C59" s="66"/>
      <c r="D59" s="66"/>
      <c r="E59" s="66"/>
      <c r="F59" s="66"/>
      <c r="G59" s="691"/>
      <c r="H59" s="691"/>
      <c r="I59" s="691"/>
      <c r="J59" s="930"/>
      <c r="K59" s="930"/>
      <c r="L59" s="930"/>
      <c r="M59" s="930"/>
      <c r="N59" s="930"/>
    </row>
    <row r="60" spans="2:14" ht="12" customHeight="1">
      <c r="B60" s="66"/>
      <c r="C60" s="66"/>
      <c r="D60" s="66"/>
      <c r="E60" s="66"/>
      <c r="F60" s="66"/>
      <c r="G60" s="691"/>
      <c r="H60" s="691"/>
      <c r="I60" s="691"/>
      <c r="J60" s="930"/>
      <c r="K60" s="930"/>
      <c r="L60" s="930"/>
      <c r="M60" s="930"/>
      <c r="N60" s="930"/>
    </row>
    <row r="61" spans="2:14" ht="12" customHeight="1">
      <c r="B61" s="66"/>
      <c r="C61" s="66"/>
      <c r="D61" s="66"/>
      <c r="E61" s="66"/>
      <c r="F61" s="66"/>
      <c r="G61" s="691"/>
      <c r="H61" s="691"/>
      <c r="I61" s="691"/>
      <c r="J61" s="930"/>
      <c r="K61" s="930"/>
      <c r="L61" s="930"/>
      <c r="M61" s="930"/>
      <c r="N61" s="930"/>
    </row>
    <row r="62" spans="2:14" ht="12" customHeight="1">
      <c r="B62" s="66"/>
      <c r="C62" s="66"/>
      <c r="D62" s="66"/>
      <c r="E62" s="66"/>
      <c r="F62" s="66"/>
      <c r="G62" s="691"/>
      <c r="H62" s="691"/>
      <c r="I62" s="691"/>
      <c r="J62" s="930"/>
      <c r="K62" s="930"/>
      <c r="L62" s="930"/>
      <c r="M62" s="930"/>
      <c r="N62" s="930"/>
    </row>
    <row r="63" spans="2:14" ht="12" customHeight="1">
      <c r="B63" s="66"/>
      <c r="C63" s="66"/>
      <c r="D63" s="66"/>
      <c r="E63" s="66"/>
      <c r="F63" s="66"/>
      <c r="G63" s="691"/>
      <c r="H63" s="691"/>
      <c r="I63" s="691"/>
      <c r="J63" s="930"/>
      <c r="K63" s="930"/>
      <c r="L63" s="930"/>
      <c r="M63" s="930"/>
      <c r="N63" s="930"/>
    </row>
    <row r="64" spans="2:14" ht="12" customHeight="1">
      <c r="B64" s="66"/>
      <c r="C64" s="66"/>
      <c r="D64" s="66"/>
      <c r="E64" s="66"/>
      <c r="F64" s="66"/>
      <c r="G64" s="691"/>
      <c r="H64" s="691"/>
      <c r="I64" s="691"/>
      <c r="J64" s="930"/>
      <c r="K64" s="930"/>
      <c r="L64" s="930"/>
      <c r="M64" s="930"/>
      <c r="N64" s="930"/>
    </row>
    <row r="65" spans="2:15" ht="12" customHeight="1">
      <c r="B65" s="66"/>
      <c r="C65" s="66"/>
      <c r="D65" s="66"/>
      <c r="E65" s="66"/>
      <c r="F65" s="66"/>
      <c r="G65" s="691"/>
      <c r="H65" s="691"/>
      <c r="I65" s="691"/>
      <c r="J65" s="930"/>
      <c r="K65" s="930"/>
      <c r="L65" s="930"/>
      <c r="M65" s="930"/>
      <c r="N65" s="930"/>
    </row>
    <row r="66" spans="2:15" ht="12" customHeight="1">
      <c r="B66" s="66"/>
      <c r="C66" s="66"/>
      <c r="D66" s="66"/>
      <c r="E66" s="66"/>
      <c r="F66" s="66"/>
      <c r="G66" s="691"/>
      <c r="H66" s="691"/>
      <c r="I66" s="691"/>
      <c r="J66" s="930"/>
      <c r="K66" s="930"/>
      <c r="L66" s="930"/>
      <c r="M66" s="930"/>
      <c r="N66" s="930"/>
    </row>
    <row r="67" spans="2:15" ht="12" customHeight="1">
      <c r="B67" s="66"/>
      <c r="C67" s="66"/>
      <c r="D67" s="66"/>
      <c r="E67" s="66"/>
      <c r="F67" s="66"/>
      <c r="G67" s="691"/>
      <c r="H67" s="691"/>
      <c r="I67" s="691"/>
      <c r="J67" s="930"/>
      <c r="K67" s="930"/>
      <c r="L67" s="930"/>
      <c r="M67" s="930"/>
      <c r="N67" s="930"/>
    </row>
    <row r="68" spans="2:15" ht="12" customHeight="1">
      <c r="B68" s="66"/>
      <c r="C68" s="66"/>
      <c r="D68" s="66"/>
      <c r="E68" s="66"/>
      <c r="F68" s="66"/>
      <c r="G68" s="691"/>
      <c r="H68" s="691"/>
      <c r="I68" s="691"/>
      <c r="J68" s="930"/>
      <c r="K68" s="930"/>
      <c r="L68" s="930"/>
      <c r="M68" s="930"/>
      <c r="N68" s="930"/>
    </row>
    <row r="69" spans="2:15" ht="12" customHeight="1">
      <c r="B69" s="66"/>
      <c r="C69" s="66"/>
      <c r="D69" s="66"/>
      <c r="E69" s="66"/>
      <c r="F69" s="66"/>
      <c r="G69" s="691"/>
      <c r="H69" s="691"/>
      <c r="I69" s="691"/>
      <c r="J69" s="930"/>
      <c r="K69" s="930"/>
      <c r="L69" s="930"/>
      <c r="M69" s="930"/>
      <c r="N69" s="930"/>
      <c r="O69" s="691"/>
    </row>
    <row r="70" spans="2:15" ht="12" customHeight="1">
      <c r="B70" s="66"/>
      <c r="C70" s="66"/>
      <c r="D70" s="66"/>
      <c r="E70" s="66"/>
      <c r="F70" s="66"/>
      <c r="G70" s="691"/>
      <c r="H70" s="691"/>
      <c r="I70" s="691"/>
      <c r="J70" s="930"/>
      <c r="K70" s="930"/>
      <c r="L70" s="930"/>
      <c r="M70" s="930"/>
      <c r="N70" s="930"/>
      <c r="O70" s="691"/>
    </row>
    <row r="71" spans="2:15" ht="12" customHeight="1">
      <c r="B71" s="66"/>
      <c r="C71" s="66"/>
      <c r="D71" s="66"/>
      <c r="E71" s="66"/>
      <c r="F71" s="66"/>
      <c r="G71" s="691"/>
      <c r="H71" s="691"/>
      <c r="I71" s="691"/>
      <c r="J71" s="930"/>
      <c r="K71" s="930"/>
      <c r="L71" s="930"/>
      <c r="M71" s="930"/>
      <c r="N71" s="930"/>
      <c r="O71" s="691"/>
    </row>
    <row r="72" spans="2:15" ht="12" customHeight="1">
      <c r="B72" s="66"/>
      <c r="C72" s="66"/>
      <c r="D72" s="66"/>
      <c r="E72" s="66"/>
      <c r="F72" s="66"/>
      <c r="G72" s="691"/>
      <c r="H72" s="691"/>
      <c r="I72" s="691"/>
      <c r="J72" s="930"/>
      <c r="K72" s="930"/>
      <c r="L72" s="930"/>
      <c r="M72" s="930"/>
      <c r="N72" s="930"/>
      <c r="O72" s="691"/>
    </row>
    <row r="73" spans="2:15" ht="12" customHeight="1">
      <c r="B73" s="66"/>
      <c r="C73" s="66"/>
      <c r="D73" s="66"/>
      <c r="E73" s="66"/>
      <c r="F73" s="66"/>
      <c r="G73" s="691"/>
      <c r="H73" s="691"/>
      <c r="I73" s="691"/>
      <c r="J73" s="930"/>
      <c r="K73" s="930"/>
      <c r="L73" s="930"/>
      <c r="M73" s="930"/>
      <c r="N73" s="930"/>
      <c r="O73" s="691"/>
    </row>
    <row r="74" spans="2:15" ht="12" customHeight="1">
      <c r="B74" s="66"/>
      <c r="C74" s="66"/>
      <c r="D74" s="66"/>
      <c r="E74" s="66"/>
      <c r="F74" s="66"/>
      <c r="G74" s="691"/>
      <c r="H74" s="691"/>
      <c r="I74" s="691"/>
      <c r="J74" s="930"/>
      <c r="K74" s="930"/>
      <c r="L74" s="930"/>
      <c r="M74" s="930"/>
      <c r="N74" s="930"/>
      <c r="O74" s="691"/>
    </row>
    <row r="75" spans="2:15" ht="12" customHeight="1">
      <c r="B75" s="66"/>
      <c r="C75" s="66"/>
      <c r="D75" s="66"/>
      <c r="E75" s="66"/>
      <c r="F75" s="66"/>
      <c r="G75" s="691"/>
      <c r="H75" s="691"/>
      <c r="I75" s="691"/>
      <c r="J75" s="930"/>
      <c r="K75" s="930"/>
      <c r="L75" s="930"/>
      <c r="M75" s="930"/>
      <c r="N75" s="930"/>
      <c r="O75" s="691"/>
    </row>
    <row r="76" spans="2:15" ht="12" customHeight="1">
      <c r="B76" s="66"/>
      <c r="C76" s="66"/>
      <c r="D76" s="66"/>
      <c r="E76" s="66"/>
      <c r="F76" s="66"/>
      <c r="G76" s="691"/>
      <c r="H76" s="691"/>
      <c r="I76" s="691"/>
      <c r="J76" s="930"/>
      <c r="K76" s="930"/>
      <c r="L76" s="930"/>
      <c r="M76" s="930"/>
      <c r="N76" s="930"/>
      <c r="O76" s="691"/>
    </row>
    <row r="77" spans="2:15" ht="12" customHeight="1">
      <c r="B77" s="66"/>
      <c r="C77" s="66"/>
      <c r="D77" s="66"/>
      <c r="E77" s="66"/>
      <c r="F77" s="66"/>
      <c r="G77" s="691"/>
      <c r="H77" s="691"/>
      <c r="I77" s="691"/>
      <c r="J77" s="930"/>
      <c r="K77" s="930"/>
      <c r="L77" s="930"/>
      <c r="M77" s="930"/>
      <c r="N77" s="930"/>
      <c r="O77" s="691"/>
    </row>
    <row r="78" spans="2:15" ht="12" customHeight="1">
      <c r="B78" s="66"/>
      <c r="C78" s="66"/>
      <c r="D78" s="66"/>
      <c r="E78" s="66"/>
      <c r="F78" s="66"/>
      <c r="G78" s="691"/>
      <c r="H78" s="691"/>
      <c r="I78" s="691"/>
      <c r="J78" s="930"/>
      <c r="K78" s="930"/>
      <c r="L78" s="930"/>
      <c r="M78" s="930"/>
      <c r="N78" s="930"/>
      <c r="O78" s="691"/>
    </row>
    <row r="79" spans="2:15" ht="12" customHeight="1">
      <c r="B79" s="66"/>
      <c r="C79" s="66"/>
      <c r="D79" s="66"/>
      <c r="E79" s="66"/>
      <c r="F79" s="66"/>
      <c r="G79" s="691"/>
      <c r="H79" s="691"/>
      <c r="I79" s="691"/>
      <c r="J79" s="930"/>
      <c r="K79" s="930"/>
      <c r="L79" s="930"/>
      <c r="M79" s="930"/>
      <c r="N79" s="930"/>
      <c r="O79" s="691"/>
    </row>
    <row r="80" spans="2:15" ht="12" customHeight="1">
      <c r="B80" s="66"/>
      <c r="C80" s="66"/>
      <c r="D80" s="66"/>
      <c r="E80" s="66"/>
      <c r="F80" s="66"/>
      <c r="G80" s="691"/>
      <c r="H80" s="691"/>
      <c r="I80" s="691"/>
      <c r="J80" s="930"/>
      <c r="K80" s="930"/>
      <c r="L80" s="930"/>
      <c r="M80" s="930"/>
      <c r="N80" s="930"/>
      <c r="O80" s="691"/>
    </row>
    <row r="81" spans="2:15" ht="12" customHeight="1">
      <c r="B81" s="66"/>
      <c r="C81" s="66"/>
      <c r="D81" s="66"/>
      <c r="E81" s="66"/>
      <c r="F81" s="66"/>
      <c r="G81" s="691"/>
      <c r="H81" s="691"/>
      <c r="I81" s="691"/>
      <c r="J81" s="930"/>
      <c r="K81" s="930"/>
      <c r="L81" s="930"/>
      <c r="M81" s="930"/>
      <c r="N81" s="930"/>
      <c r="O81" s="691"/>
    </row>
    <row r="82" spans="2:15" ht="12" customHeight="1">
      <c r="B82" s="66"/>
      <c r="C82" s="66"/>
      <c r="D82" s="66"/>
      <c r="E82" s="66"/>
      <c r="F82" s="66"/>
      <c r="G82" s="691"/>
      <c r="H82" s="691"/>
      <c r="I82" s="691"/>
      <c r="J82" s="930"/>
      <c r="K82" s="930"/>
      <c r="L82" s="930"/>
      <c r="M82" s="930"/>
      <c r="N82" s="930"/>
      <c r="O82" s="691"/>
    </row>
    <row r="83" spans="2:15" ht="12" customHeight="1">
      <c r="B83" s="66"/>
      <c r="C83" s="66"/>
      <c r="D83" s="66"/>
      <c r="E83" s="66"/>
      <c r="F83" s="66"/>
      <c r="G83" s="691"/>
      <c r="H83" s="691"/>
      <c r="I83" s="691"/>
      <c r="J83" s="930"/>
      <c r="K83" s="930"/>
      <c r="L83" s="930"/>
      <c r="M83" s="930"/>
      <c r="N83" s="930"/>
      <c r="O83" s="691"/>
    </row>
    <row r="84" spans="2:15" ht="12" customHeight="1">
      <c r="B84" s="66"/>
      <c r="C84" s="66"/>
      <c r="D84" s="66"/>
      <c r="E84" s="66"/>
      <c r="F84" s="66"/>
      <c r="G84" s="691"/>
      <c r="H84" s="691"/>
      <c r="I84" s="691"/>
      <c r="J84" s="930"/>
      <c r="K84" s="930"/>
      <c r="L84" s="930"/>
      <c r="M84" s="930"/>
      <c r="N84" s="930"/>
      <c r="O84" s="691"/>
    </row>
    <row r="85" spans="2:15" ht="12" customHeight="1">
      <c r="B85" s="66"/>
      <c r="C85" s="66"/>
      <c r="D85" s="66"/>
      <c r="E85" s="66"/>
      <c r="F85" s="66"/>
      <c r="G85" s="691"/>
      <c r="H85" s="691"/>
      <c r="I85" s="691"/>
      <c r="J85" s="930"/>
      <c r="K85" s="930"/>
      <c r="L85" s="930"/>
      <c r="M85" s="930"/>
      <c r="N85" s="930"/>
      <c r="O85" s="691"/>
    </row>
    <row r="86" spans="2:15" ht="12" customHeight="1">
      <c r="B86" s="66"/>
      <c r="C86" s="66"/>
      <c r="D86" s="66"/>
      <c r="E86" s="66"/>
      <c r="F86" s="66"/>
      <c r="G86" s="691"/>
      <c r="H86" s="691"/>
      <c r="I86" s="691"/>
      <c r="J86" s="930"/>
      <c r="K86" s="930"/>
      <c r="L86" s="930"/>
      <c r="M86" s="930"/>
      <c r="N86" s="930"/>
      <c r="O86" s="691"/>
    </row>
    <row r="87" spans="2:15" ht="12" customHeight="1">
      <c r="B87" s="66"/>
      <c r="C87" s="66"/>
      <c r="D87" s="66"/>
      <c r="E87" s="66"/>
      <c r="F87" s="66"/>
      <c r="G87" s="691"/>
      <c r="H87" s="691"/>
      <c r="I87" s="691"/>
      <c r="J87" s="930"/>
      <c r="K87" s="930"/>
      <c r="L87" s="930"/>
      <c r="M87" s="930"/>
      <c r="N87" s="930"/>
      <c r="O87" s="691"/>
    </row>
    <row r="88" spans="2:15" ht="12" customHeight="1">
      <c r="B88" s="66"/>
      <c r="C88" s="66"/>
      <c r="D88" s="66"/>
      <c r="E88" s="66"/>
      <c r="F88" s="66"/>
      <c r="G88" s="691"/>
      <c r="H88" s="691"/>
      <c r="I88" s="691"/>
      <c r="J88" s="930"/>
      <c r="K88" s="930"/>
      <c r="L88" s="930"/>
      <c r="M88" s="930"/>
      <c r="N88" s="930"/>
      <c r="O88" s="691"/>
    </row>
    <row r="89" spans="2:15" ht="12" customHeight="1">
      <c r="B89" s="66"/>
      <c r="C89" s="66"/>
      <c r="D89" s="66"/>
      <c r="E89" s="66"/>
      <c r="F89" s="66"/>
      <c r="G89" s="691"/>
      <c r="H89" s="691"/>
      <c r="I89" s="691"/>
      <c r="J89" s="930"/>
      <c r="K89" s="930"/>
      <c r="L89" s="930"/>
      <c r="M89" s="930"/>
      <c r="N89" s="930"/>
      <c r="O89" s="691"/>
    </row>
    <row r="90" spans="2:15" ht="12" customHeight="1">
      <c r="B90" s="66"/>
      <c r="C90" s="66"/>
      <c r="D90" s="66"/>
      <c r="E90" s="66"/>
      <c r="F90" s="66"/>
      <c r="G90" s="691"/>
      <c r="H90" s="691"/>
      <c r="I90" s="691"/>
      <c r="J90" s="930"/>
      <c r="K90" s="930"/>
      <c r="L90" s="930"/>
      <c r="M90" s="930"/>
      <c r="N90" s="930"/>
      <c r="O90" s="691"/>
    </row>
    <row r="91" spans="2:15" ht="12" customHeight="1">
      <c r="B91" s="66"/>
      <c r="C91" s="66"/>
      <c r="D91" s="66"/>
      <c r="E91" s="66"/>
      <c r="F91" s="66"/>
      <c r="G91" s="691"/>
      <c r="H91" s="691"/>
      <c r="I91" s="691"/>
      <c r="J91" s="930"/>
      <c r="K91" s="930"/>
      <c r="L91" s="930"/>
      <c r="M91" s="930"/>
      <c r="N91" s="930"/>
      <c r="O91" s="691"/>
    </row>
    <row r="92" spans="2:15" ht="12" customHeight="1">
      <c r="B92" s="66"/>
      <c r="C92" s="66"/>
      <c r="D92" s="66"/>
      <c r="E92" s="66"/>
      <c r="F92" s="66"/>
      <c r="G92" s="691"/>
      <c r="H92" s="691"/>
      <c r="I92" s="691"/>
      <c r="J92" s="930"/>
      <c r="K92" s="930"/>
      <c r="L92" s="930"/>
      <c r="M92" s="930"/>
      <c r="N92" s="930"/>
      <c r="O92" s="691"/>
    </row>
    <row r="93" spans="2:15" ht="12" customHeight="1">
      <c r="B93" s="66"/>
      <c r="C93" s="66"/>
      <c r="D93" s="66"/>
      <c r="E93" s="66"/>
      <c r="F93" s="66"/>
      <c r="G93" s="691"/>
      <c r="H93" s="691"/>
      <c r="I93" s="691"/>
      <c r="J93" s="930"/>
      <c r="K93" s="930"/>
      <c r="L93" s="930"/>
      <c r="M93" s="930"/>
      <c r="N93" s="930"/>
      <c r="O93" s="691"/>
    </row>
    <row r="94" spans="2:15" ht="12" customHeight="1">
      <c r="B94" s="66"/>
      <c r="C94" s="66"/>
      <c r="D94" s="66"/>
      <c r="E94" s="66"/>
      <c r="F94" s="66"/>
      <c r="G94" s="691"/>
      <c r="H94" s="691"/>
      <c r="I94" s="691"/>
      <c r="J94" s="930"/>
      <c r="K94" s="930"/>
      <c r="L94" s="930"/>
      <c r="M94" s="930"/>
      <c r="N94" s="930"/>
      <c r="O94" s="691"/>
    </row>
    <row r="95" spans="2:15" ht="12" customHeight="1">
      <c r="B95" s="66"/>
      <c r="C95" s="66"/>
      <c r="D95" s="66"/>
      <c r="E95" s="66"/>
      <c r="F95" s="66"/>
      <c r="G95" s="691"/>
      <c r="H95" s="691"/>
      <c r="I95" s="691"/>
      <c r="J95" s="930"/>
      <c r="K95" s="930"/>
      <c r="L95" s="930"/>
      <c r="M95" s="930"/>
      <c r="N95" s="930"/>
      <c r="O95" s="691"/>
    </row>
    <row r="96" spans="2:15" ht="12" customHeight="1">
      <c r="B96" s="66"/>
      <c r="C96" s="66"/>
      <c r="D96" s="66"/>
      <c r="E96" s="66"/>
      <c r="F96" s="66"/>
      <c r="G96" s="691"/>
      <c r="H96" s="691"/>
      <c r="I96" s="691"/>
      <c r="J96" s="930"/>
      <c r="K96" s="930"/>
      <c r="L96" s="930"/>
      <c r="M96" s="930"/>
      <c r="N96" s="930"/>
      <c r="O96" s="691"/>
    </row>
    <row r="97" spans="2:15" ht="12" customHeight="1">
      <c r="B97" s="66"/>
      <c r="C97" s="66"/>
      <c r="D97" s="66"/>
      <c r="E97" s="66"/>
      <c r="F97" s="66"/>
      <c r="G97" s="691"/>
      <c r="H97" s="691"/>
      <c r="I97" s="691"/>
      <c r="J97" s="930"/>
      <c r="K97" s="930"/>
      <c r="L97" s="930"/>
      <c r="M97" s="930"/>
      <c r="N97" s="930"/>
      <c r="O97" s="691"/>
    </row>
    <row r="98" spans="2:15" ht="12" customHeight="1">
      <c r="B98" s="66"/>
      <c r="C98" s="66"/>
      <c r="D98" s="66"/>
      <c r="E98" s="66"/>
      <c r="F98" s="66"/>
      <c r="G98" s="691"/>
      <c r="H98" s="691"/>
      <c r="I98" s="691"/>
      <c r="J98" s="930"/>
      <c r="K98" s="930"/>
      <c r="L98" s="930"/>
      <c r="M98" s="930"/>
      <c r="N98" s="930"/>
      <c r="O98" s="691"/>
    </row>
    <row r="99" spans="2:15" ht="12" customHeight="1">
      <c r="B99" s="66"/>
      <c r="C99" s="66"/>
      <c r="D99" s="66"/>
      <c r="E99" s="66"/>
      <c r="F99" s="66"/>
      <c r="G99" s="691"/>
      <c r="H99" s="691"/>
      <c r="I99" s="691"/>
      <c r="J99" s="930"/>
      <c r="K99" s="930"/>
      <c r="L99" s="930"/>
      <c r="M99" s="930"/>
      <c r="N99" s="930"/>
      <c r="O99" s="691"/>
    </row>
    <row r="100" spans="2:15" ht="12" customHeight="1">
      <c r="B100" s="66"/>
      <c r="C100" s="66"/>
      <c r="D100" s="66"/>
      <c r="E100" s="66"/>
      <c r="F100" s="66"/>
      <c r="G100" s="691"/>
      <c r="H100" s="691"/>
      <c r="I100" s="691"/>
      <c r="J100" s="930"/>
      <c r="K100" s="930"/>
      <c r="L100" s="930"/>
      <c r="M100" s="930"/>
      <c r="N100" s="930"/>
      <c r="O100" s="691"/>
    </row>
    <row r="101" spans="2:15" ht="12" customHeight="1">
      <c r="B101" s="66"/>
      <c r="C101" s="66"/>
      <c r="D101" s="66"/>
      <c r="E101" s="66"/>
      <c r="F101" s="66"/>
      <c r="G101" s="691"/>
      <c r="H101" s="691"/>
      <c r="I101" s="691"/>
      <c r="J101" s="930"/>
      <c r="K101" s="930"/>
      <c r="L101" s="930"/>
      <c r="M101" s="930"/>
      <c r="N101" s="930"/>
      <c r="O101" s="691"/>
    </row>
    <row r="102" spans="2:15" ht="12" customHeight="1">
      <c r="B102" s="66"/>
      <c r="C102" s="66"/>
      <c r="D102" s="66"/>
      <c r="E102" s="66"/>
      <c r="F102" s="66"/>
      <c r="G102" s="691"/>
      <c r="H102" s="691"/>
      <c r="I102" s="691"/>
      <c r="J102" s="930"/>
      <c r="K102" s="930"/>
      <c r="L102" s="930"/>
      <c r="M102" s="930"/>
      <c r="N102" s="930"/>
      <c r="O102" s="691"/>
    </row>
    <row r="103" spans="2:15" ht="12" customHeight="1">
      <c r="B103" s="66"/>
      <c r="C103" s="66"/>
      <c r="D103" s="66"/>
      <c r="E103" s="66"/>
      <c r="F103" s="66"/>
      <c r="G103" s="691"/>
      <c r="H103" s="691"/>
      <c r="I103" s="691"/>
      <c r="J103" s="930"/>
      <c r="K103" s="930"/>
      <c r="L103" s="930"/>
      <c r="M103" s="930"/>
      <c r="N103" s="930"/>
      <c r="O103" s="691"/>
    </row>
    <row r="104" spans="2:15" ht="12" customHeight="1">
      <c r="B104" s="66"/>
      <c r="C104" s="66"/>
      <c r="D104" s="66"/>
      <c r="E104" s="66"/>
      <c r="F104" s="66"/>
      <c r="G104" s="691"/>
      <c r="H104" s="691"/>
      <c r="I104" s="691"/>
      <c r="J104" s="930"/>
      <c r="K104" s="930"/>
      <c r="L104" s="930"/>
      <c r="M104" s="930"/>
      <c r="N104" s="930"/>
      <c r="O104" s="691"/>
    </row>
    <row r="105" spans="2:15" ht="12" customHeight="1">
      <c r="B105" s="66"/>
      <c r="C105" s="66"/>
      <c r="D105" s="66"/>
      <c r="E105" s="66"/>
      <c r="F105" s="66"/>
      <c r="G105" s="691"/>
      <c r="H105" s="691"/>
      <c r="I105" s="691"/>
      <c r="J105" s="930"/>
      <c r="K105" s="930"/>
      <c r="L105" s="930"/>
      <c r="M105" s="930"/>
      <c r="N105" s="930"/>
      <c r="O105" s="691"/>
    </row>
    <row r="106" spans="2:15" ht="12" customHeight="1">
      <c r="B106" s="66"/>
      <c r="C106" s="66"/>
      <c r="D106" s="66"/>
      <c r="E106" s="66"/>
      <c r="F106" s="66"/>
      <c r="G106" s="691"/>
      <c r="H106" s="691"/>
      <c r="I106" s="691"/>
      <c r="J106" s="930"/>
      <c r="K106" s="930"/>
      <c r="L106" s="930"/>
      <c r="M106" s="930"/>
      <c r="N106" s="930"/>
      <c r="O106" s="691"/>
    </row>
    <row r="107" spans="2:15" ht="12" customHeight="1">
      <c r="B107" s="66"/>
      <c r="C107" s="66"/>
      <c r="D107" s="66"/>
      <c r="E107" s="66"/>
      <c r="F107" s="66"/>
      <c r="G107" s="691"/>
      <c r="H107" s="691"/>
      <c r="I107" s="691"/>
      <c r="J107" s="930"/>
      <c r="K107" s="930"/>
      <c r="L107" s="930"/>
      <c r="M107" s="930"/>
      <c r="N107" s="930"/>
      <c r="O107" s="691"/>
    </row>
    <row r="108" spans="2:15" ht="12" customHeight="1">
      <c r="B108" s="66"/>
      <c r="C108" s="66"/>
      <c r="D108" s="66"/>
      <c r="E108" s="66"/>
      <c r="F108" s="66"/>
      <c r="G108" s="691"/>
      <c r="H108" s="691"/>
      <c r="I108" s="691"/>
      <c r="J108" s="930"/>
      <c r="K108" s="930"/>
      <c r="L108" s="930"/>
      <c r="M108" s="930"/>
      <c r="N108" s="930"/>
      <c r="O108" s="691"/>
    </row>
    <row r="109" spans="2:15" ht="12" customHeight="1">
      <c r="B109" s="66"/>
      <c r="C109" s="66"/>
      <c r="D109" s="66"/>
      <c r="E109" s="66"/>
      <c r="F109" s="66"/>
      <c r="G109" s="691"/>
      <c r="H109" s="691"/>
      <c r="I109" s="691"/>
      <c r="J109" s="930"/>
      <c r="K109" s="930"/>
      <c r="L109" s="930"/>
      <c r="M109" s="930"/>
      <c r="N109" s="930"/>
      <c r="O109" s="691"/>
    </row>
    <row r="110" spans="2:15" ht="12" customHeight="1">
      <c r="B110" s="66"/>
      <c r="C110" s="66"/>
      <c r="D110" s="66"/>
      <c r="E110" s="66"/>
      <c r="F110" s="66"/>
      <c r="G110" s="691"/>
      <c r="H110" s="691"/>
      <c r="I110" s="691"/>
      <c r="J110" s="930"/>
      <c r="K110" s="930"/>
      <c r="L110" s="930"/>
      <c r="M110" s="930"/>
      <c r="N110" s="930"/>
      <c r="O110" s="691"/>
    </row>
    <row r="111" spans="2:15" ht="12" customHeight="1">
      <c r="B111" s="66"/>
      <c r="C111" s="66"/>
      <c r="D111" s="66"/>
      <c r="E111" s="66"/>
      <c r="F111" s="66"/>
      <c r="G111" s="691"/>
      <c r="H111" s="691"/>
      <c r="I111" s="691"/>
      <c r="J111" s="930"/>
      <c r="K111" s="930"/>
      <c r="L111" s="930"/>
      <c r="M111" s="930"/>
      <c r="N111" s="930"/>
      <c r="O111" s="691"/>
    </row>
    <row r="112" spans="2:15" ht="12" customHeight="1">
      <c r="B112" s="66"/>
      <c r="C112" s="66"/>
      <c r="D112" s="66"/>
      <c r="E112" s="66"/>
      <c r="F112" s="66"/>
      <c r="G112" s="691"/>
      <c r="H112" s="691"/>
      <c r="I112" s="691"/>
      <c r="J112" s="930"/>
      <c r="K112" s="930"/>
      <c r="L112" s="930"/>
      <c r="M112" s="930"/>
      <c r="N112" s="930"/>
      <c r="O112" s="691"/>
    </row>
    <row r="113" spans="2:15" ht="12" customHeight="1">
      <c r="B113" s="66"/>
      <c r="C113" s="66"/>
      <c r="D113" s="66"/>
      <c r="E113" s="66"/>
      <c r="F113" s="66"/>
      <c r="G113" s="691"/>
      <c r="H113" s="691"/>
      <c r="I113" s="691"/>
      <c r="J113" s="930"/>
      <c r="K113" s="930"/>
      <c r="L113" s="930"/>
      <c r="M113" s="930"/>
      <c r="N113" s="930"/>
      <c r="O113" s="691"/>
    </row>
    <row r="114" spans="2:15" ht="12" customHeight="1">
      <c r="B114" s="66"/>
      <c r="C114" s="66"/>
      <c r="D114" s="66"/>
      <c r="E114" s="66"/>
      <c r="F114" s="66"/>
      <c r="G114" s="691"/>
      <c r="H114" s="691"/>
      <c r="I114" s="691"/>
      <c r="J114" s="930"/>
      <c r="K114" s="930"/>
      <c r="L114" s="930"/>
      <c r="M114" s="930"/>
      <c r="N114" s="930"/>
      <c r="O114" s="691"/>
    </row>
    <row r="115" spans="2:15" ht="12" customHeight="1">
      <c r="B115" s="66"/>
      <c r="C115" s="66"/>
      <c r="D115" s="66"/>
      <c r="E115" s="66"/>
      <c r="F115" s="66"/>
      <c r="G115" s="691"/>
      <c r="H115" s="691"/>
      <c r="I115" s="691"/>
      <c r="J115" s="930"/>
      <c r="K115" s="930"/>
      <c r="L115" s="930"/>
      <c r="M115" s="930"/>
      <c r="N115" s="930"/>
      <c r="O115" s="691"/>
    </row>
    <row r="116" spans="2:15" ht="12" customHeight="1">
      <c r="B116" s="66"/>
      <c r="C116" s="66"/>
      <c r="D116" s="66"/>
      <c r="E116" s="66"/>
      <c r="F116" s="66"/>
      <c r="G116" s="691"/>
      <c r="H116" s="691"/>
      <c r="I116" s="691"/>
      <c r="J116" s="930"/>
      <c r="K116" s="930"/>
      <c r="L116" s="930"/>
      <c r="M116" s="930"/>
      <c r="N116" s="930"/>
      <c r="O116" s="691"/>
    </row>
    <row r="117" spans="2:15" ht="12" customHeight="1">
      <c r="B117" s="66"/>
      <c r="C117" s="66"/>
      <c r="D117" s="66"/>
      <c r="E117" s="66"/>
      <c r="F117" s="66"/>
      <c r="G117" s="691"/>
      <c r="H117" s="691"/>
      <c r="I117" s="691"/>
      <c r="J117" s="930"/>
      <c r="K117" s="930"/>
      <c r="L117" s="930"/>
      <c r="M117" s="930"/>
      <c r="N117" s="930"/>
      <c r="O117" s="691"/>
    </row>
    <row r="118" spans="2:15" ht="12" customHeight="1">
      <c r="B118" s="66"/>
      <c r="C118" s="66"/>
      <c r="D118" s="66"/>
      <c r="E118" s="66"/>
      <c r="F118" s="66"/>
      <c r="G118" s="691"/>
      <c r="H118" s="691"/>
      <c r="I118" s="691"/>
      <c r="J118" s="930"/>
      <c r="K118" s="930"/>
      <c r="L118" s="930"/>
      <c r="M118" s="930"/>
      <c r="N118" s="930"/>
      <c r="O118" s="691"/>
    </row>
    <row r="119" spans="2:15" ht="12" customHeight="1">
      <c r="B119" s="66"/>
      <c r="C119" s="66"/>
      <c r="D119" s="66"/>
      <c r="E119" s="66"/>
      <c r="F119" s="66"/>
      <c r="G119" s="691"/>
      <c r="H119" s="691"/>
      <c r="I119" s="691"/>
      <c r="J119" s="930"/>
      <c r="K119" s="930"/>
      <c r="L119" s="930"/>
      <c r="M119" s="930"/>
      <c r="N119" s="930"/>
      <c r="O119" s="691"/>
    </row>
    <row r="120" spans="2:15" ht="12" customHeight="1">
      <c r="B120" s="66"/>
      <c r="C120" s="66"/>
      <c r="D120" s="66"/>
      <c r="E120" s="66"/>
      <c r="F120" s="66"/>
      <c r="G120" s="691"/>
      <c r="H120" s="691"/>
      <c r="I120" s="691"/>
      <c r="J120" s="930"/>
      <c r="K120" s="930"/>
      <c r="L120" s="930"/>
      <c r="M120" s="930"/>
      <c r="N120" s="930"/>
      <c r="O120" s="691"/>
    </row>
    <row r="121" spans="2:15" ht="12" customHeight="1">
      <c r="B121" s="66"/>
      <c r="C121" s="66"/>
      <c r="D121" s="66"/>
      <c r="E121" s="66"/>
      <c r="F121" s="66"/>
      <c r="G121" s="691"/>
      <c r="H121" s="691"/>
      <c r="I121" s="691"/>
      <c r="J121" s="930"/>
      <c r="K121" s="930"/>
      <c r="L121" s="930"/>
      <c r="M121" s="930"/>
      <c r="N121" s="930"/>
      <c r="O121" s="691"/>
    </row>
    <row r="122" spans="2:15" ht="12" customHeight="1">
      <c r="B122" s="66"/>
      <c r="C122" s="66"/>
      <c r="D122" s="66"/>
      <c r="E122" s="66"/>
      <c r="F122" s="66"/>
      <c r="G122" s="691"/>
      <c r="H122" s="691"/>
      <c r="I122" s="691"/>
      <c r="J122" s="930"/>
      <c r="K122" s="930"/>
      <c r="L122" s="930"/>
      <c r="M122" s="930"/>
      <c r="N122" s="930"/>
      <c r="O122" s="691"/>
    </row>
    <row r="123" spans="2:15" ht="12" customHeight="1">
      <c r="B123" s="66"/>
      <c r="C123" s="66"/>
      <c r="D123" s="66"/>
      <c r="E123" s="66"/>
      <c r="F123" s="66"/>
      <c r="G123" s="691"/>
      <c r="H123" s="691"/>
      <c r="I123" s="691"/>
      <c r="J123" s="930"/>
      <c r="K123" s="930"/>
      <c r="L123" s="930"/>
      <c r="M123" s="930"/>
      <c r="N123" s="930"/>
      <c r="O123" s="691"/>
    </row>
    <row r="124" spans="2:15" ht="12" customHeight="1">
      <c r="B124" s="66"/>
      <c r="C124" s="66"/>
      <c r="D124" s="66"/>
      <c r="E124" s="66"/>
      <c r="F124" s="66"/>
      <c r="G124" s="691"/>
      <c r="H124" s="691"/>
      <c r="I124" s="691"/>
      <c r="J124" s="930"/>
      <c r="K124" s="930"/>
      <c r="L124" s="930"/>
      <c r="M124" s="930"/>
      <c r="N124" s="930"/>
      <c r="O124" s="691"/>
    </row>
    <row r="125" spans="2:15" ht="12" customHeight="1">
      <c r="B125" s="66"/>
      <c r="C125" s="66"/>
      <c r="D125" s="66"/>
      <c r="E125" s="66"/>
      <c r="F125" s="66"/>
      <c r="G125" s="691"/>
      <c r="H125" s="691"/>
      <c r="I125" s="691"/>
      <c r="J125" s="930"/>
      <c r="K125" s="930"/>
      <c r="L125" s="930"/>
      <c r="M125" s="930"/>
      <c r="N125" s="930"/>
      <c r="O125" s="691"/>
    </row>
    <row r="126" spans="2:15" ht="12" customHeight="1">
      <c r="B126" s="66"/>
      <c r="C126" s="66"/>
      <c r="D126" s="66"/>
      <c r="E126" s="66"/>
      <c r="F126" s="66"/>
      <c r="G126" s="691"/>
      <c r="H126" s="691"/>
      <c r="I126" s="691"/>
      <c r="J126" s="930"/>
      <c r="K126" s="930"/>
      <c r="L126" s="930"/>
      <c r="M126" s="930"/>
      <c r="N126" s="930"/>
      <c r="O126" s="691"/>
    </row>
    <row r="127" spans="2:15" ht="12" customHeight="1">
      <c r="B127" s="66"/>
      <c r="C127" s="66"/>
      <c r="D127" s="66"/>
      <c r="E127" s="66"/>
      <c r="F127" s="66"/>
      <c r="G127" s="691"/>
      <c r="H127" s="691"/>
      <c r="I127" s="691"/>
      <c r="J127" s="930"/>
      <c r="K127" s="930"/>
      <c r="L127" s="930"/>
      <c r="M127" s="930"/>
      <c r="N127" s="930"/>
      <c r="O127" s="691"/>
    </row>
    <row r="128" spans="2:15" ht="12" customHeight="1">
      <c r="B128" s="66"/>
      <c r="C128" s="66"/>
      <c r="D128" s="66"/>
      <c r="E128" s="66"/>
      <c r="F128" s="66"/>
      <c r="G128" s="691"/>
      <c r="H128" s="691"/>
      <c r="I128" s="691"/>
      <c r="J128" s="930"/>
      <c r="K128" s="930"/>
      <c r="L128" s="930"/>
      <c r="M128" s="930"/>
      <c r="N128" s="930"/>
      <c r="O128" s="691"/>
    </row>
    <row r="129" spans="2:15" ht="12" customHeight="1">
      <c r="B129" s="66"/>
      <c r="C129" s="66"/>
      <c r="D129" s="66"/>
      <c r="E129" s="66"/>
      <c r="F129" s="66"/>
      <c r="G129" s="691"/>
      <c r="H129" s="691"/>
      <c r="I129" s="691"/>
      <c r="J129" s="930"/>
      <c r="K129" s="930"/>
      <c r="L129" s="930"/>
      <c r="M129" s="930"/>
      <c r="N129" s="930"/>
      <c r="O129" s="691"/>
    </row>
    <row r="130" spans="2:15" ht="12" customHeight="1">
      <c r="B130" s="66"/>
      <c r="C130" s="66"/>
      <c r="D130" s="66"/>
      <c r="E130" s="66"/>
      <c r="F130" s="66"/>
      <c r="G130" s="691"/>
      <c r="H130" s="691"/>
      <c r="I130" s="691"/>
      <c r="J130" s="930"/>
      <c r="K130" s="930"/>
      <c r="L130" s="930"/>
      <c r="M130" s="930"/>
      <c r="N130" s="930"/>
      <c r="O130" s="691"/>
    </row>
    <row r="131" spans="2:15" ht="12" customHeight="1">
      <c r="B131" s="66"/>
      <c r="C131" s="66"/>
      <c r="D131" s="66"/>
      <c r="E131" s="66"/>
      <c r="F131" s="66"/>
      <c r="G131" s="691"/>
      <c r="H131" s="691"/>
      <c r="I131" s="691"/>
      <c r="J131" s="930"/>
      <c r="K131" s="930"/>
      <c r="L131" s="930"/>
      <c r="M131" s="930"/>
      <c r="N131" s="930"/>
      <c r="O131" s="691"/>
    </row>
    <row r="132" spans="2:15" ht="12" customHeight="1">
      <c r="B132" s="66"/>
      <c r="C132" s="66"/>
      <c r="D132" s="66"/>
      <c r="E132" s="66"/>
      <c r="F132" s="66"/>
      <c r="G132" s="691"/>
      <c r="H132" s="691"/>
      <c r="I132" s="691"/>
      <c r="J132" s="930"/>
      <c r="K132" s="930"/>
      <c r="L132" s="930"/>
      <c r="M132" s="930"/>
      <c r="N132" s="930"/>
      <c r="O132" s="691"/>
    </row>
    <row r="133" spans="2:15" ht="12" customHeight="1">
      <c r="B133" s="66"/>
      <c r="C133" s="66"/>
      <c r="D133" s="66"/>
      <c r="E133" s="66"/>
      <c r="F133" s="66"/>
      <c r="G133" s="691"/>
      <c r="H133" s="691"/>
      <c r="I133" s="691"/>
      <c r="J133" s="930"/>
      <c r="K133" s="930"/>
      <c r="L133" s="930"/>
      <c r="M133" s="930"/>
      <c r="N133" s="930"/>
      <c r="O133" s="691"/>
    </row>
    <row r="134" spans="2:15" ht="12" customHeight="1">
      <c r="B134" s="66"/>
      <c r="C134" s="66"/>
      <c r="D134" s="66"/>
      <c r="E134" s="66"/>
      <c r="F134" s="66"/>
      <c r="G134" s="691"/>
      <c r="H134" s="691"/>
      <c r="I134" s="691"/>
      <c r="J134" s="930"/>
      <c r="K134" s="930"/>
      <c r="L134" s="930"/>
      <c r="M134" s="930"/>
      <c r="N134" s="930"/>
      <c r="O134" s="691"/>
    </row>
    <row r="135" spans="2:15" ht="12" customHeight="1">
      <c r="B135" s="66"/>
      <c r="C135" s="66"/>
      <c r="D135" s="66"/>
      <c r="E135" s="66"/>
      <c r="F135" s="66"/>
      <c r="G135" s="691"/>
      <c r="H135" s="691"/>
      <c r="I135" s="691"/>
      <c r="J135" s="930"/>
      <c r="K135" s="930"/>
      <c r="L135" s="930"/>
      <c r="M135" s="930"/>
      <c r="N135" s="930"/>
      <c r="O135" s="691"/>
    </row>
    <row r="136" spans="2:15" ht="12" customHeight="1">
      <c r="B136" s="66"/>
      <c r="C136" s="66"/>
      <c r="D136" s="66"/>
      <c r="E136" s="66"/>
      <c r="F136" s="66"/>
      <c r="G136" s="691"/>
      <c r="H136" s="691"/>
      <c r="I136" s="691"/>
      <c r="J136" s="930"/>
      <c r="K136" s="930"/>
      <c r="L136" s="930"/>
      <c r="M136" s="930"/>
      <c r="N136" s="930"/>
      <c r="O136" s="691"/>
    </row>
    <row r="137" spans="2:15" ht="12" customHeight="1">
      <c r="B137" s="66"/>
      <c r="C137" s="66"/>
      <c r="D137" s="66"/>
      <c r="E137" s="66"/>
      <c r="F137" s="66"/>
      <c r="G137" s="691"/>
      <c r="H137" s="691"/>
      <c r="I137" s="691"/>
      <c r="J137" s="930"/>
      <c r="K137" s="930"/>
      <c r="L137" s="930"/>
      <c r="M137" s="930"/>
      <c r="N137" s="930"/>
      <c r="O137" s="691"/>
    </row>
    <row r="138" spans="2:15" ht="12" customHeight="1">
      <c r="B138" s="66"/>
      <c r="C138" s="66"/>
      <c r="D138" s="66"/>
      <c r="E138" s="66"/>
      <c r="F138" s="66"/>
      <c r="G138" s="691"/>
      <c r="H138" s="691"/>
      <c r="I138" s="691"/>
      <c r="J138" s="930"/>
      <c r="K138" s="930"/>
      <c r="L138" s="930"/>
      <c r="M138" s="930"/>
      <c r="N138" s="930"/>
      <c r="O138" s="691"/>
    </row>
    <row r="139" spans="2:15" ht="12" customHeight="1">
      <c r="B139" s="66"/>
      <c r="C139" s="66"/>
      <c r="D139" s="66"/>
      <c r="E139" s="66"/>
      <c r="F139" s="66"/>
      <c r="G139" s="691"/>
      <c r="H139" s="691"/>
      <c r="I139" s="691"/>
      <c r="J139" s="930"/>
      <c r="K139" s="930"/>
      <c r="L139" s="930"/>
      <c r="M139" s="930"/>
      <c r="N139" s="930"/>
      <c r="O139" s="691"/>
    </row>
    <row r="140" spans="2:15" ht="12" customHeight="1">
      <c r="B140" s="66"/>
      <c r="C140" s="66"/>
      <c r="D140" s="66"/>
      <c r="E140" s="66"/>
      <c r="F140" s="66"/>
      <c r="G140" s="691"/>
      <c r="H140" s="691"/>
      <c r="I140" s="691"/>
      <c r="J140" s="930"/>
      <c r="K140" s="930"/>
      <c r="L140" s="930"/>
      <c r="M140" s="930"/>
      <c r="N140" s="930"/>
      <c r="O140" s="691"/>
    </row>
    <row r="141" spans="2:15" ht="12" customHeight="1">
      <c r="B141" s="66"/>
      <c r="C141" s="66"/>
      <c r="D141" s="66"/>
      <c r="E141" s="66"/>
      <c r="F141" s="66"/>
      <c r="G141" s="691"/>
      <c r="H141" s="691"/>
      <c r="I141" s="691"/>
      <c r="J141" s="930"/>
      <c r="K141" s="930"/>
      <c r="L141" s="930"/>
      <c r="M141" s="930"/>
      <c r="N141" s="930"/>
      <c r="O141" s="691"/>
    </row>
    <row r="142" spans="2:15" ht="12" customHeight="1">
      <c r="B142" s="66"/>
      <c r="C142" s="66"/>
      <c r="D142" s="66"/>
      <c r="E142" s="66"/>
      <c r="F142" s="66"/>
      <c r="G142" s="691"/>
      <c r="H142" s="691"/>
      <c r="I142" s="691"/>
      <c r="J142" s="930"/>
      <c r="K142" s="930"/>
      <c r="L142" s="930"/>
      <c r="M142" s="930"/>
      <c r="N142" s="930"/>
      <c r="O142" s="691"/>
    </row>
    <row r="143" spans="2:15" ht="12" customHeight="1">
      <c r="B143" s="66"/>
      <c r="C143" s="66"/>
      <c r="D143" s="66"/>
      <c r="E143" s="66"/>
      <c r="F143" s="66"/>
      <c r="G143" s="691"/>
      <c r="H143" s="691"/>
      <c r="I143" s="691"/>
      <c r="J143" s="930"/>
      <c r="K143" s="930"/>
      <c r="L143" s="930"/>
      <c r="M143" s="930"/>
      <c r="N143" s="930"/>
      <c r="O143" s="691"/>
    </row>
    <row r="144" spans="2:15" ht="12" customHeight="1">
      <c r="B144" s="66"/>
      <c r="C144" s="66"/>
      <c r="D144" s="66"/>
      <c r="E144" s="66"/>
      <c r="F144" s="66"/>
      <c r="G144" s="691"/>
      <c r="H144" s="691"/>
      <c r="I144" s="691"/>
      <c r="J144" s="930"/>
      <c r="K144" s="930"/>
      <c r="L144" s="930"/>
      <c r="M144" s="930"/>
      <c r="N144" s="930"/>
      <c r="O144" s="691"/>
    </row>
    <row r="145" spans="2:15" ht="12" customHeight="1">
      <c r="B145" s="66"/>
      <c r="C145" s="66"/>
      <c r="D145" s="66"/>
      <c r="E145" s="66"/>
      <c r="F145" s="66"/>
      <c r="G145" s="691"/>
      <c r="H145" s="691"/>
      <c r="I145" s="691"/>
      <c r="J145" s="930"/>
      <c r="K145" s="930"/>
      <c r="L145" s="930"/>
      <c r="M145" s="930"/>
      <c r="N145" s="930"/>
      <c r="O145" s="691"/>
    </row>
    <row r="146" spans="2:15" ht="12" customHeight="1">
      <c r="B146" s="66"/>
      <c r="C146" s="66"/>
      <c r="D146" s="66"/>
      <c r="E146" s="66"/>
      <c r="F146" s="66"/>
      <c r="G146" s="691"/>
      <c r="H146" s="691"/>
      <c r="I146" s="691"/>
      <c r="J146" s="930"/>
      <c r="K146" s="930"/>
      <c r="L146" s="930"/>
      <c r="M146" s="930"/>
      <c r="N146" s="930"/>
      <c r="O146" s="691"/>
    </row>
    <row r="147" spans="2:15" ht="12" customHeight="1">
      <c r="B147" s="66"/>
      <c r="C147" s="66"/>
      <c r="D147" s="66"/>
      <c r="E147" s="66"/>
      <c r="F147" s="66"/>
      <c r="G147" s="691"/>
      <c r="H147" s="691"/>
      <c r="I147" s="691"/>
      <c r="J147" s="930"/>
      <c r="K147" s="930"/>
      <c r="L147" s="930"/>
      <c r="M147" s="930"/>
      <c r="N147" s="930"/>
      <c r="O147" s="691"/>
    </row>
    <row r="148" spans="2:15" ht="12" customHeight="1">
      <c r="B148" s="66"/>
      <c r="C148" s="66"/>
      <c r="D148" s="66"/>
      <c r="E148" s="66"/>
      <c r="F148" s="66"/>
      <c r="G148" s="691"/>
      <c r="H148" s="691"/>
      <c r="I148" s="691"/>
      <c r="J148" s="930"/>
      <c r="K148" s="930"/>
      <c r="L148" s="930"/>
      <c r="M148" s="930"/>
      <c r="N148" s="930"/>
      <c r="O148" s="691"/>
    </row>
    <row r="149" spans="2:15" ht="12" customHeight="1">
      <c r="B149" s="66"/>
      <c r="C149" s="66"/>
      <c r="D149" s="66"/>
      <c r="E149" s="66"/>
      <c r="F149" s="66"/>
      <c r="G149" s="691"/>
      <c r="H149" s="691"/>
      <c r="I149" s="691"/>
      <c r="J149" s="930"/>
      <c r="K149" s="930"/>
      <c r="L149" s="930"/>
      <c r="M149" s="930"/>
      <c r="N149" s="930"/>
      <c r="O149" s="691"/>
    </row>
    <row r="150" spans="2:15" ht="12" customHeight="1">
      <c r="B150" s="66"/>
      <c r="C150" s="66"/>
      <c r="D150" s="66"/>
      <c r="E150" s="66"/>
      <c r="F150" s="66"/>
      <c r="G150" s="691"/>
      <c r="H150" s="691"/>
      <c r="I150" s="691"/>
      <c r="J150" s="930"/>
      <c r="K150" s="930"/>
      <c r="L150" s="930"/>
      <c r="M150" s="930"/>
      <c r="N150" s="930"/>
      <c r="O150" s="691"/>
    </row>
    <row r="151" spans="2:15" ht="12" customHeight="1">
      <c r="B151" s="66"/>
      <c r="C151" s="66"/>
      <c r="D151" s="66"/>
      <c r="E151" s="66"/>
      <c r="F151" s="66"/>
      <c r="G151" s="691"/>
      <c r="H151" s="691"/>
      <c r="I151" s="691"/>
      <c r="J151" s="930"/>
      <c r="K151" s="930"/>
      <c r="L151" s="930"/>
      <c r="M151" s="930"/>
      <c r="N151" s="930"/>
      <c r="O151" s="691"/>
    </row>
    <row r="152" spans="2:15" ht="12" customHeight="1">
      <c r="B152" s="66"/>
      <c r="C152" s="66"/>
      <c r="D152" s="66"/>
      <c r="E152" s="66"/>
      <c r="F152" s="66"/>
      <c r="G152" s="691"/>
      <c r="H152" s="691"/>
      <c r="I152" s="691"/>
      <c r="J152" s="930"/>
      <c r="K152" s="930"/>
      <c r="L152" s="930"/>
      <c r="M152" s="930"/>
      <c r="N152" s="930"/>
      <c r="O152" s="691"/>
    </row>
    <row r="153" spans="2:15" ht="12" customHeight="1">
      <c r="B153" s="66"/>
      <c r="C153" s="66"/>
      <c r="D153" s="66"/>
      <c r="E153" s="66"/>
      <c r="F153" s="66"/>
      <c r="G153" s="691"/>
      <c r="H153" s="691"/>
      <c r="I153" s="691"/>
      <c r="J153" s="930"/>
      <c r="K153" s="930"/>
      <c r="L153" s="930"/>
      <c r="M153" s="930"/>
      <c r="N153" s="930"/>
      <c r="O153" s="691"/>
    </row>
    <row r="154" spans="2:15" ht="12" customHeight="1">
      <c r="B154" s="66"/>
      <c r="C154" s="66"/>
      <c r="D154" s="66"/>
      <c r="E154" s="66"/>
      <c r="F154" s="66"/>
      <c r="G154" s="691"/>
      <c r="H154" s="691"/>
      <c r="I154" s="691"/>
      <c r="J154" s="930"/>
      <c r="K154" s="930"/>
      <c r="L154" s="930"/>
      <c r="M154" s="930"/>
      <c r="N154" s="930"/>
      <c r="O154" s="691"/>
    </row>
    <row r="155" spans="2:15" ht="12" customHeight="1">
      <c r="B155" s="66"/>
      <c r="C155" s="66"/>
      <c r="D155" s="66"/>
      <c r="E155" s="66"/>
      <c r="F155" s="66"/>
      <c r="G155" s="691"/>
      <c r="H155" s="691"/>
      <c r="I155" s="691"/>
      <c r="J155" s="930"/>
      <c r="K155" s="930"/>
      <c r="L155" s="930"/>
      <c r="M155" s="930"/>
      <c r="N155" s="930"/>
      <c r="O155" s="691"/>
    </row>
    <row r="156" spans="2:15" ht="12" customHeight="1">
      <c r="B156" s="66"/>
      <c r="C156" s="66"/>
      <c r="D156" s="66"/>
      <c r="E156" s="66"/>
      <c r="F156" s="66"/>
      <c r="G156" s="691"/>
      <c r="H156" s="691"/>
      <c r="I156" s="691"/>
      <c r="J156" s="930"/>
      <c r="K156" s="930"/>
      <c r="L156" s="930"/>
      <c r="M156" s="930"/>
      <c r="N156" s="930"/>
      <c r="O156" s="691"/>
    </row>
    <row r="157" spans="2:15" ht="12" customHeight="1">
      <c r="B157" s="66"/>
      <c r="C157" s="66"/>
      <c r="D157" s="66"/>
      <c r="E157" s="66"/>
      <c r="F157" s="66"/>
      <c r="G157" s="691"/>
      <c r="H157" s="691"/>
      <c r="I157" s="691"/>
      <c r="J157" s="930"/>
      <c r="K157" s="930"/>
      <c r="L157" s="930"/>
      <c r="M157" s="930"/>
      <c r="N157" s="930"/>
      <c r="O157" s="691"/>
    </row>
    <row r="158" spans="2:15" ht="12" customHeight="1">
      <c r="B158" s="66"/>
      <c r="C158" s="66"/>
      <c r="D158" s="66"/>
      <c r="E158" s="66"/>
      <c r="F158" s="66"/>
      <c r="G158" s="691"/>
      <c r="H158" s="691"/>
      <c r="I158" s="691"/>
      <c r="J158" s="930"/>
      <c r="K158" s="930"/>
      <c r="L158" s="930"/>
      <c r="M158" s="930"/>
      <c r="N158" s="930"/>
      <c r="O158" s="691"/>
    </row>
    <row r="159" spans="2:15" ht="12" customHeight="1">
      <c r="B159" s="66"/>
      <c r="C159" s="66"/>
      <c r="D159" s="66"/>
      <c r="E159" s="66"/>
      <c r="F159" s="66"/>
      <c r="G159" s="691"/>
      <c r="H159" s="691"/>
      <c r="I159" s="691"/>
      <c r="J159" s="930"/>
      <c r="K159" s="930"/>
      <c r="L159" s="930"/>
      <c r="M159" s="930"/>
      <c r="N159" s="930"/>
      <c r="O159" s="691"/>
    </row>
    <row r="160" spans="2:15" ht="12" customHeight="1">
      <c r="B160" s="66"/>
      <c r="C160" s="66"/>
      <c r="D160" s="66"/>
      <c r="E160" s="66"/>
      <c r="F160" s="66"/>
      <c r="G160" s="691"/>
      <c r="H160" s="691"/>
      <c r="I160" s="691"/>
      <c r="J160" s="930"/>
      <c r="K160" s="930"/>
      <c r="L160" s="930"/>
      <c r="M160" s="930"/>
      <c r="N160" s="930"/>
      <c r="O160" s="691"/>
    </row>
    <row r="161" spans="2:15" ht="12" customHeight="1">
      <c r="B161" s="66"/>
      <c r="C161" s="66"/>
      <c r="D161" s="66"/>
      <c r="E161" s="66"/>
      <c r="F161" s="66"/>
      <c r="G161" s="691"/>
      <c r="H161" s="691"/>
      <c r="I161" s="691"/>
      <c r="J161" s="930"/>
      <c r="K161" s="930"/>
      <c r="L161" s="930"/>
      <c r="M161" s="930"/>
      <c r="N161" s="930"/>
      <c r="O161" s="691"/>
    </row>
    <row r="162" spans="2:15" ht="12" customHeight="1">
      <c r="B162" s="66"/>
      <c r="C162" s="66"/>
      <c r="D162" s="66"/>
      <c r="E162" s="66"/>
      <c r="F162" s="66"/>
      <c r="G162" s="691"/>
      <c r="H162" s="691"/>
      <c r="I162" s="691"/>
      <c r="J162" s="930"/>
      <c r="K162" s="930"/>
      <c r="L162" s="930"/>
      <c r="M162" s="930"/>
      <c r="N162" s="930"/>
      <c r="O162" s="691"/>
    </row>
    <row r="163" spans="2:15" ht="12" customHeight="1">
      <c r="B163" s="66"/>
      <c r="C163" s="66"/>
      <c r="D163" s="66"/>
      <c r="E163" s="66"/>
      <c r="F163" s="66"/>
      <c r="G163" s="691"/>
      <c r="H163" s="691"/>
      <c r="I163" s="691"/>
      <c r="J163" s="930"/>
      <c r="K163" s="930"/>
      <c r="L163" s="930"/>
      <c r="M163" s="930"/>
      <c r="N163" s="930"/>
      <c r="O163" s="691"/>
    </row>
    <row r="164" spans="2:15" ht="12" customHeight="1">
      <c r="B164" s="66"/>
      <c r="C164" s="66"/>
      <c r="D164" s="66"/>
      <c r="E164" s="66"/>
      <c r="F164" s="66"/>
      <c r="G164" s="691"/>
      <c r="H164" s="691"/>
      <c r="I164" s="691"/>
      <c r="J164" s="930"/>
      <c r="K164" s="930"/>
      <c r="L164" s="930"/>
      <c r="M164" s="930"/>
      <c r="N164" s="930"/>
      <c r="O164" s="691"/>
    </row>
    <row r="165" spans="2:15" ht="12" customHeight="1">
      <c r="B165" s="66"/>
      <c r="C165" s="66"/>
      <c r="D165" s="66"/>
      <c r="E165" s="66"/>
      <c r="F165" s="66"/>
      <c r="G165" s="691"/>
      <c r="H165" s="691"/>
      <c r="I165" s="691"/>
      <c r="J165" s="930"/>
      <c r="K165" s="930"/>
      <c r="L165" s="930"/>
      <c r="M165" s="930"/>
      <c r="N165" s="930"/>
      <c r="O165" s="691"/>
    </row>
    <row r="166" spans="2:15" ht="12" customHeight="1">
      <c r="B166" s="66"/>
      <c r="C166" s="66"/>
      <c r="D166" s="66"/>
      <c r="E166" s="66"/>
      <c r="F166" s="66"/>
      <c r="G166" s="691"/>
      <c r="H166" s="691"/>
      <c r="I166" s="691"/>
      <c r="J166" s="930"/>
      <c r="K166" s="930"/>
      <c r="L166" s="930"/>
      <c r="M166" s="930"/>
      <c r="N166" s="930"/>
      <c r="O166" s="691"/>
    </row>
    <row r="167" spans="2:15" ht="12" customHeight="1">
      <c r="B167" s="66"/>
      <c r="C167" s="66"/>
      <c r="D167" s="66"/>
      <c r="E167" s="66"/>
      <c r="F167" s="66"/>
      <c r="G167" s="691"/>
      <c r="H167" s="691"/>
      <c r="I167" s="691"/>
      <c r="J167" s="930"/>
      <c r="K167" s="930"/>
      <c r="L167" s="930"/>
      <c r="M167" s="930"/>
      <c r="N167" s="930"/>
      <c r="O167" s="691"/>
    </row>
    <row r="168" spans="2:15" ht="12" customHeight="1">
      <c r="B168" s="66"/>
      <c r="C168" s="66"/>
      <c r="D168" s="66"/>
      <c r="E168" s="66"/>
      <c r="F168" s="66"/>
      <c r="G168" s="691"/>
      <c r="H168" s="691"/>
      <c r="I168" s="691"/>
      <c r="J168" s="930"/>
      <c r="K168" s="930"/>
      <c r="L168" s="930"/>
      <c r="M168" s="930"/>
      <c r="N168" s="930"/>
      <c r="O168" s="691"/>
    </row>
    <row r="169" spans="2:15" ht="12" customHeight="1">
      <c r="B169" s="66"/>
      <c r="C169" s="66"/>
      <c r="D169" s="66"/>
      <c r="E169" s="66"/>
      <c r="F169" s="66"/>
      <c r="G169" s="691"/>
      <c r="H169" s="691"/>
      <c r="I169" s="691"/>
      <c r="J169" s="930"/>
      <c r="K169" s="930"/>
      <c r="L169" s="930"/>
      <c r="M169" s="930"/>
      <c r="N169" s="930"/>
      <c r="O169" s="691"/>
    </row>
    <row r="170" spans="2:15" ht="12" customHeight="1">
      <c r="B170" s="66"/>
      <c r="C170" s="66"/>
      <c r="D170" s="66"/>
      <c r="E170" s="66"/>
      <c r="F170" s="66"/>
      <c r="G170" s="691"/>
      <c r="H170" s="691"/>
      <c r="I170" s="691"/>
      <c r="J170" s="930"/>
      <c r="K170" s="930"/>
      <c r="L170" s="930"/>
      <c r="M170" s="930"/>
      <c r="N170" s="930"/>
      <c r="O170" s="691"/>
    </row>
    <row r="171" spans="2:15" ht="12" customHeight="1">
      <c r="B171" s="66"/>
      <c r="C171" s="66"/>
      <c r="D171" s="66"/>
      <c r="E171" s="66"/>
      <c r="F171" s="66"/>
      <c r="G171" s="691"/>
      <c r="H171" s="691"/>
      <c r="I171" s="691"/>
      <c r="J171" s="930"/>
      <c r="K171" s="930"/>
      <c r="L171" s="930"/>
      <c r="M171" s="930"/>
      <c r="N171" s="930"/>
      <c r="O171" s="691"/>
    </row>
    <row r="172" spans="2:15" ht="12" customHeight="1">
      <c r="B172" s="66"/>
      <c r="C172" s="66"/>
      <c r="D172" s="66"/>
      <c r="E172" s="66"/>
      <c r="F172" s="66"/>
      <c r="G172" s="691"/>
      <c r="H172" s="691"/>
      <c r="I172" s="691"/>
      <c r="J172" s="930"/>
      <c r="K172" s="930"/>
      <c r="L172" s="930"/>
      <c r="M172" s="930"/>
      <c r="N172" s="930"/>
      <c r="O172" s="691"/>
    </row>
    <row r="173" spans="2:15" ht="12" customHeight="1">
      <c r="B173" s="66"/>
      <c r="C173" s="66"/>
      <c r="D173" s="66"/>
      <c r="E173" s="66"/>
      <c r="F173" s="66"/>
      <c r="G173" s="691"/>
      <c r="H173" s="691"/>
      <c r="I173" s="691"/>
      <c r="J173" s="930"/>
      <c r="K173" s="930"/>
      <c r="L173" s="930"/>
      <c r="M173" s="930"/>
      <c r="N173" s="930"/>
      <c r="O173" s="691"/>
    </row>
    <row r="174" spans="2:15" ht="12" customHeight="1">
      <c r="B174" s="66"/>
      <c r="C174" s="66"/>
      <c r="D174" s="66"/>
      <c r="E174" s="66"/>
      <c r="F174" s="66"/>
      <c r="G174" s="691"/>
      <c r="H174" s="691"/>
      <c r="I174" s="691"/>
      <c r="J174" s="930"/>
      <c r="K174" s="930"/>
      <c r="L174" s="930"/>
      <c r="M174" s="930"/>
      <c r="N174" s="930"/>
      <c r="O174" s="691"/>
    </row>
    <row r="175" spans="2:15" ht="12" customHeight="1">
      <c r="B175" s="66"/>
      <c r="C175" s="66"/>
      <c r="D175" s="66"/>
      <c r="E175" s="66"/>
      <c r="F175" s="66"/>
      <c r="G175" s="691"/>
      <c r="H175" s="691"/>
      <c r="I175" s="691"/>
      <c r="J175" s="930"/>
      <c r="K175" s="930"/>
      <c r="L175" s="930"/>
      <c r="M175" s="930"/>
      <c r="N175" s="930"/>
      <c r="O175" s="691"/>
    </row>
    <row r="176" spans="2:15" ht="12" customHeight="1">
      <c r="B176" s="66"/>
      <c r="C176" s="66"/>
      <c r="D176" s="66"/>
      <c r="E176" s="66"/>
      <c r="F176" s="66"/>
      <c r="G176" s="691"/>
      <c r="H176" s="691"/>
      <c r="I176" s="691"/>
      <c r="J176" s="930"/>
      <c r="K176" s="930"/>
      <c r="L176" s="930"/>
      <c r="M176" s="930"/>
      <c r="N176" s="930"/>
      <c r="O176" s="691"/>
    </row>
    <row r="177" spans="2:15" ht="12" customHeight="1">
      <c r="B177" s="66"/>
      <c r="C177" s="66"/>
      <c r="D177" s="66"/>
      <c r="E177" s="66"/>
      <c r="F177" s="66"/>
      <c r="G177" s="691"/>
      <c r="H177" s="691"/>
      <c r="I177" s="691"/>
      <c r="J177" s="930"/>
      <c r="K177" s="930"/>
      <c r="L177" s="930"/>
      <c r="M177" s="930"/>
      <c r="N177" s="930"/>
      <c r="O177" s="691"/>
    </row>
    <row r="178" spans="2:15" ht="12" customHeight="1">
      <c r="B178" s="66"/>
      <c r="C178" s="66"/>
      <c r="D178" s="66"/>
      <c r="E178" s="66"/>
      <c r="F178" s="66"/>
      <c r="G178" s="691"/>
      <c r="H178" s="691"/>
      <c r="I178" s="691"/>
      <c r="J178" s="930"/>
      <c r="K178" s="930"/>
      <c r="L178" s="930"/>
      <c r="M178" s="930"/>
      <c r="N178" s="930"/>
      <c r="O178" s="691"/>
    </row>
    <row r="179" spans="2:15" ht="12" customHeight="1">
      <c r="B179" s="66"/>
      <c r="C179" s="66"/>
      <c r="D179" s="66"/>
      <c r="E179" s="66"/>
      <c r="F179" s="66"/>
      <c r="G179" s="691"/>
      <c r="H179" s="691"/>
      <c r="I179" s="691"/>
      <c r="J179" s="930"/>
      <c r="K179" s="930"/>
      <c r="L179" s="930"/>
      <c r="M179" s="930"/>
      <c r="N179" s="930"/>
      <c r="O179" s="691"/>
    </row>
    <row r="180" spans="2:15" ht="12" customHeight="1">
      <c r="B180" s="66"/>
      <c r="C180" s="66"/>
      <c r="D180" s="66"/>
      <c r="E180" s="66"/>
      <c r="F180" s="66"/>
      <c r="G180" s="691"/>
      <c r="H180" s="691"/>
      <c r="I180" s="691"/>
      <c r="J180" s="930"/>
      <c r="K180" s="930"/>
      <c r="L180" s="930"/>
      <c r="M180" s="930"/>
      <c r="N180" s="930"/>
      <c r="O180" s="691"/>
    </row>
    <row r="181" spans="2:15" ht="12" customHeight="1">
      <c r="B181" s="66"/>
      <c r="C181" s="66"/>
      <c r="D181" s="66"/>
      <c r="E181" s="66"/>
      <c r="F181" s="66"/>
      <c r="G181" s="691"/>
      <c r="H181" s="691"/>
      <c r="I181" s="691"/>
      <c r="J181" s="930"/>
      <c r="K181" s="930"/>
      <c r="L181" s="930"/>
      <c r="M181" s="930"/>
      <c r="N181" s="930"/>
      <c r="O181" s="691"/>
    </row>
    <row r="182" spans="2:15" ht="12" customHeight="1">
      <c r="B182" s="66"/>
      <c r="C182" s="66"/>
      <c r="D182" s="66"/>
      <c r="E182" s="66"/>
      <c r="F182" s="66"/>
      <c r="G182" s="691"/>
      <c r="H182" s="691"/>
      <c r="I182" s="691"/>
      <c r="J182" s="930"/>
      <c r="K182" s="930"/>
      <c r="L182" s="930"/>
      <c r="M182" s="930"/>
      <c r="N182" s="930"/>
      <c r="O182" s="691"/>
    </row>
    <row r="183" spans="2:15" ht="12" customHeight="1">
      <c r="B183" s="66"/>
      <c r="C183" s="66"/>
      <c r="D183" s="66"/>
      <c r="E183" s="66"/>
      <c r="F183" s="66"/>
      <c r="G183" s="691"/>
      <c r="H183" s="691"/>
      <c r="I183" s="691"/>
      <c r="J183" s="930"/>
      <c r="K183" s="930"/>
      <c r="L183" s="930"/>
      <c r="M183" s="930"/>
      <c r="N183" s="930"/>
      <c r="O183" s="691"/>
    </row>
    <row r="184" spans="2:15" ht="12" customHeight="1">
      <c r="B184" s="66"/>
      <c r="C184" s="66"/>
      <c r="D184" s="66"/>
      <c r="E184" s="66"/>
      <c r="F184" s="66"/>
      <c r="G184" s="691"/>
      <c r="H184" s="691"/>
      <c r="I184" s="691"/>
      <c r="J184" s="930"/>
      <c r="K184" s="930"/>
      <c r="L184" s="930"/>
      <c r="M184" s="930"/>
      <c r="N184" s="930"/>
      <c r="O184" s="691"/>
    </row>
    <row r="185" spans="2:15" ht="12" customHeight="1">
      <c r="B185" s="66"/>
      <c r="C185" s="66"/>
      <c r="D185" s="66"/>
      <c r="E185" s="66"/>
      <c r="F185" s="66"/>
      <c r="G185" s="691"/>
      <c r="H185" s="691"/>
      <c r="I185" s="691"/>
      <c r="J185" s="930"/>
      <c r="K185" s="930"/>
      <c r="L185" s="930"/>
      <c r="M185" s="930"/>
      <c r="N185" s="930"/>
      <c r="O185" s="691"/>
    </row>
    <row r="186" spans="2:15" ht="12" customHeight="1">
      <c r="B186" s="66"/>
      <c r="C186" s="66"/>
      <c r="D186" s="66"/>
      <c r="E186" s="66"/>
      <c r="F186" s="66"/>
      <c r="G186" s="691"/>
      <c r="H186" s="691"/>
      <c r="I186" s="691"/>
      <c r="J186" s="930"/>
      <c r="K186" s="930"/>
      <c r="L186" s="930"/>
      <c r="M186" s="930"/>
      <c r="N186" s="930"/>
      <c r="O186" s="691"/>
    </row>
    <row r="187" spans="2:15" ht="12" customHeight="1">
      <c r="B187" s="66"/>
      <c r="C187" s="66"/>
      <c r="D187" s="66"/>
      <c r="E187" s="66"/>
      <c r="F187" s="66"/>
      <c r="G187" s="691"/>
      <c r="H187" s="691"/>
      <c r="I187" s="691"/>
      <c r="J187" s="930"/>
      <c r="K187" s="930"/>
      <c r="L187" s="930"/>
      <c r="M187" s="930"/>
      <c r="N187" s="930"/>
      <c r="O187" s="691"/>
    </row>
    <row r="188" spans="2:15" ht="12" customHeight="1">
      <c r="B188" s="66"/>
      <c r="C188" s="66"/>
      <c r="D188" s="66"/>
      <c r="E188" s="66"/>
      <c r="F188" s="66"/>
      <c r="G188" s="691"/>
      <c r="H188" s="691"/>
      <c r="I188" s="691"/>
      <c r="J188" s="930"/>
      <c r="K188" s="930"/>
      <c r="L188" s="930"/>
      <c r="M188" s="930"/>
      <c r="N188" s="930"/>
      <c r="O188" s="691"/>
    </row>
    <row r="189" spans="2:15" ht="12" customHeight="1">
      <c r="B189" s="66"/>
      <c r="C189" s="66"/>
      <c r="D189" s="66"/>
      <c r="E189" s="66"/>
      <c r="F189" s="66"/>
      <c r="G189" s="691"/>
      <c r="H189" s="691"/>
      <c r="I189" s="691"/>
      <c r="J189" s="930"/>
      <c r="K189" s="930"/>
      <c r="L189" s="930"/>
      <c r="M189" s="930"/>
      <c r="N189" s="930"/>
      <c r="O189" s="691"/>
    </row>
    <row r="190" spans="2:15" ht="12" customHeight="1">
      <c r="B190" s="66"/>
      <c r="C190" s="66"/>
      <c r="D190" s="66"/>
      <c r="E190" s="66"/>
      <c r="F190" s="66"/>
      <c r="G190" s="691"/>
      <c r="H190" s="691"/>
      <c r="I190" s="691"/>
      <c r="J190" s="930"/>
      <c r="K190" s="930"/>
      <c r="L190" s="930"/>
      <c r="M190" s="930"/>
      <c r="N190" s="930"/>
      <c r="O190" s="691"/>
    </row>
  </sheetData>
  <mergeCells count="14">
    <mergeCell ref="A39:N40"/>
    <mergeCell ref="A4:N4"/>
    <mergeCell ref="I9:M9"/>
    <mergeCell ref="I7:N7"/>
    <mergeCell ref="E7:E9"/>
    <mergeCell ref="A7:A9"/>
    <mergeCell ref="B7:B8"/>
    <mergeCell ref="C7:C8"/>
    <mergeCell ref="G8:G9"/>
    <mergeCell ref="H8:H9"/>
    <mergeCell ref="B1:C1"/>
    <mergeCell ref="D7:D9"/>
    <mergeCell ref="F7:F9"/>
    <mergeCell ref="G7:H7"/>
  </mergeCells>
  <phoneticPr fontId="24" type="noConversion"/>
  <hyperlinks>
    <hyperlink ref="B1" location="Index!A1" display="Back to Index"/>
    <hyperlink ref="C1" location="Index!A1" display="Index!A1"/>
  </hyperlinks>
  <printOptions horizontalCentered="1" verticalCentered="1"/>
  <pageMargins left="0.78740157480314965" right="0.78740157480314965" top="0.98425196850393704" bottom="0.98425196850393704" header="0.51181102362204722" footer="0.51181102362204722"/>
  <pageSetup paperSize="9" scale="36" orientation="portrait" horizontalDpi="4294967292" verticalDpi="4294967292"/>
  <ignoredErrors>
    <ignoredError sqref="J11:J27 K28:K31 L24:L27"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enableFormatConditionsCalculation="0">
    <tabColor theme="7" tint="0.59999389629810485"/>
    <pageSetUpPr fitToPage="1"/>
  </sheetPr>
  <dimension ref="A1:AE172"/>
  <sheetViews>
    <sheetView workbookViewId="0">
      <pane xSplit="1" ySplit="9" topLeftCell="B10" activePane="bottomRight" state="frozen"/>
      <selection activeCell="A3" sqref="A3:M3"/>
      <selection pane="topRight" activeCell="A3" sqref="A3:M3"/>
      <selection pane="bottomLeft" activeCell="A3" sqref="A3:M3"/>
      <selection pane="bottomRight" activeCell="A3" sqref="A3:U3"/>
    </sheetView>
  </sheetViews>
  <sheetFormatPr baseColWidth="10" defaultRowHeight="12" customHeight="1" x14ac:dyDescent="0"/>
  <cols>
    <col min="1" max="1" width="7.6640625" style="3" customWidth="1"/>
    <col min="2" max="21" width="8.5" style="3" customWidth="1"/>
    <col min="22" max="22" width="9.6640625" style="3" customWidth="1"/>
    <col min="23" max="31" width="10.6640625" style="3" customWidth="1"/>
    <col min="32" max="16384" width="10.83203125" style="3"/>
  </cols>
  <sheetData>
    <row r="1" spans="1:24" ht="12" customHeight="1">
      <c r="B1" s="2252" t="s">
        <v>1416</v>
      </c>
      <c r="C1" s="2252"/>
      <c r="D1" s="4"/>
      <c r="E1" s="4"/>
      <c r="F1" s="4"/>
      <c r="G1" s="4"/>
      <c r="I1" s="4"/>
    </row>
    <row r="2" spans="1:24" ht="13" customHeight="1" thickBot="1"/>
    <row r="3" spans="1:24" ht="19" customHeight="1" thickTop="1">
      <c r="A3" s="2386" t="s">
        <v>1109</v>
      </c>
      <c r="B3" s="2387"/>
      <c r="C3" s="2387"/>
      <c r="D3" s="2387"/>
      <c r="E3" s="2387"/>
      <c r="F3" s="2387"/>
      <c r="G3" s="2387"/>
      <c r="H3" s="2387"/>
      <c r="I3" s="2387"/>
      <c r="J3" s="2387"/>
      <c r="K3" s="2387"/>
      <c r="L3" s="2387"/>
      <c r="M3" s="2387"/>
      <c r="N3" s="2387"/>
      <c r="O3" s="2387"/>
      <c r="P3" s="2387"/>
      <c r="Q3" s="2387"/>
      <c r="R3" s="2387"/>
      <c r="S3" s="2387"/>
      <c r="T3" s="2387"/>
      <c r="U3" s="2388"/>
    </row>
    <row r="4" spans="1:24" ht="12" customHeight="1">
      <c r="A4" s="5"/>
      <c r="B4" s="6"/>
      <c r="C4" s="6"/>
      <c r="D4" s="6"/>
      <c r="E4" s="6"/>
      <c r="F4" s="6"/>
      <c r="G4" s="6"/>
      <c r="H4" s="6"/>
      <c r="I4" s="6"/>
      <c r="J4" s="6"/>
      <c r="K4" s="6"/>
      <c r="L4" s="6"/>
      <c r="M4" s="6"/>
      <c r="N4" s="6"/>
      <c r="O4" s="6"/>
      <c r="P4" s="6"/>
      <c r="Q4" s="6"/>
      <c r="R4" s="6"/>
      <c r="S4" s="6"/>
      <c r="T4" s="6"/>
      <c r="U4" s="7"/>
    </row>
    <row r="5" spans="1:24" ht="12" customHeight="1">
      <c r="A5" s="5"/>
      <c r="B5" s="8" t="s">
        <v>952</v>
      </c>
      <c r="C5" s="8" t="s">
        <v>953</v>
      </c>
      <c r="D5" s="892" t="s">
        <v>954</v>
      </c>
      <c r="E5" s="8" t="s">
        <v>955</v>
      </c>
      <c r="F5" s="892" t="s">
        <v>956</v>
      </c>
      <c r="G5" s="8" t="s">
        <v>957</v>
      </c>
      <c r="H5" s="8" t="s">
        <v>958</v>
      </c>
      <c r="I5" s="8" t="s">
        <v>959</v>
      </c>
      <c r="J5" s="8" t="s">
        <v>960</v>
      </c>
      <c r="K5" s="8" t="s">
        <v>961</v>
      </c>
      <c r="L5" s="8" t="s">
        <v>962</v>
      </c>
      <c r="M5" s="8" t="s">
        <v>963</v>
      </c>
      <c r="N5" s="8" t="s">
        <v>964</v>
      </c>
      <c r="O5" s="892" t="s">
        <v>965</v>
      </c>
      <c r="P5" s="892" t="s">
        <v>120</v>
      </c>
      <c r="Q5" s="892" t="s">
        <v>121</v>
      </c>
      <c r="R5" s="908" t="s">
        <v>328</v>
      </c>
      <c r="S5" s="908" t="s">
        <v>329</v>
      </c>
      <c r="T5" s="892" t="s">
        <v>330</v>
      </c>
      <c r="U5" s="9" t="s">
        <v>1493</v>
      </c>
    </row>
    <row r="6" spans="1:24" ht="39" customHeight="1">
      <c r="A6" s="2391"/>
      <c r="B6" s="2433" t="s">
        <v>1142</v>
      </c>
      <c r="C6" s="2434"/>
      <c r="D6" s="2434"/>
      <c r="E6" s="2435"/>
      <c r="F6" s="2433" t="s">
        <v>966</v>
      </c>
      <c r="G6" s="2434"/>
      <c r="H6" s="2434"/>
      <c r="I6" s="2434"/>
      <c r="J6" s="2434"/>
      <c r="K6" s="2435"/>
      <c r="L6" s="2433" t="s">
        <v>895</v>
      </c>
      <c r="M6" s="2434"/>
      <c r="N6" s="2434"/>
      <c r="O6" s="2434"/>
      <c r="P6" s="2434"/>
      <c r="Q6" s="2434"/>
      <c r="R6" s="2434"/>
      <c r="S6" s="2434"/>
      <c r="T6" s="2434"/>
      <c r="U6" s="2455"/>
    </row>
    <row r="7" spans="1:24" ht="15" customHeight="1">
      <c r="A7" s="2391"/>
      <c r="B7" s="2439" t="s">
        <v>975</v>
      </c>
      <c r="C7" s="2440"/>
      <c r="D7" s="2440"/>
      <c r="E7" s="2441"/>
      <c r="F7" s="2439" t="s">
        <v>975</v>
      </c>
      <c r="G7" s="2440"/>
      <c r="H7" s="2440"/>
      <c r="I7" s="2440"/>
      <c r="J7" s="2440"/>
      <c r="K7" s="2441"/>
      <c r="L7" s="2392" t="s">
        <v>975</v>
      </c>
      <c r="M7" s="2431"/>
      <c r="N7" s="2431"/>
      <c r="O7" s="2431"/>
      <c r="P7" s="2431"/>
      <c r="Q7" s="2431"/>
      <c r="R7" s="2378"/>
      <c r="S7" s="2392" t="s">
        <v>967</v>
      </c>
      <c r="T7" s="2442" t="s">
        <v>1410</v>
      </c>
      <c r="U7" s="2436" t="s">
        <v>968</v>
      </c>
    </row>
    <row r="8" spans="1:24" ht="49.75" customHeight="1">
      <c r="A8" s="2391"/>
      <c r="B8" s="11" t="s">
        <v>969</v>
      </c>
      <c r="C8" s="12" t="s">
        <v>390</v>
      </c>
      <c r="D8" s="12" t="s">
        <v>971</v>
      </c>
      <c r="E8" s="14" t="s">
        <v>972</v>
      </c>
      <c r="F8" s="2396" t="s">
        <v>1411</v>
      </c>
      <c r="G8" s="2442" t="s">
        <v>1409</v>
      </c>
      <c r="H8" s="41" t="s">
        <v>973</v>
      </c>
      <c r="I8" s="12" t="s">
        <v>390</v>
      </c>
      <c r="J8" s="12" t="s">
        <v>971</v>
      </c>
      <c r="K8" s="14" t="s">
        <v>972</v>
      </c>
      <c r="L8" s="2396" t="s">
        <v>1408</v>
      </c>
      <c r="M8" s="331" t="s">
        <v>974</v>
      </c>
      <c r="N8" s="12" t="s">
        <v>390</v>
      </c>
      <c r="O8" s="12" t="s">
        <v>971</v>
      </c>
      <c r="P8" s="14" t="s">
        <v>972</v>
      </c>
      <c r="Q8" s="2060" t="s">
        <v>1477</v>
      </c>
      <c r="R8" s="2061" t="s">
        <v>1478</v>
      </c>
      <c r="S8" s="2393"/>
      <c r="T8" s="2443"/>
      <c r="U8" s="2437"/>
      <c r="X8" s="3" t="s">
        <v>1099</v>
      </c>
    </row>
    <row r="9" spans="1:24" ht="30" customHeight="1">
      <c r="A9" s="2391"/>
      <c r="B9" s="2149" t="s">
        <v>976</v>
      </c>
      <c r="C9" s="2153" t="s">
        <v>977</v>
      </c>
      <c r="D9" s="2153" t="s">
        <v>978</v>
      </c>
      <c r="E9" s="2151" t="s">
        <v>979</v>
      </c>
      <c r="F9" s="2397"/>
      <c r="G9" s="2444"/>
      <c r="H9" s="2186" t="s">
        <v>980</v>
      </c>
      <c r="I9" s="2153" t="s">
        <v>981</v>
      </c>
      <c r="J9" s="2153" t="s">
        <v>982</v>
      </c>
      <c r="K9" s="2151" t="s">
        <v>983</v>
      </c>
      <c r="L9" s="2397"/>
      <c r="M9" s="2186" t="s">
        <v>984</v>
      </c>
      <c r="N9" s="2153" t="s">
        <v>985</v>
      </c>
      <c r="O9" s="2153" t="s">
        <v>986</v>
      </c>
      <c r="P9" s="2151" t="s">
        <v>987</v>
      </c>
      <c r="Q9" s="2153"/>
      <c r="R9" s="2153"/>
      <c r="S9" s="2428"/>
      <c r="T9" s="2444"/>
      <c r="U9" s="2438"/>
      <c r="X9" s="17"/>
    </row>
    <row r="10" spans="1:24" ht="12" customHeight="1">
      <c r="A10" s="10">
        <v>1855</v>
      </c>
      <c r="B10" s="1287">
        <f>TableUK5a!F10</f>
        <v>7.5610393482127423</v>
      </c>
      <c r="C10" s="15"/>
      <c r="D10" s="15"/>
      <c r="E10" s="16"/>
      <c r="F10" s="1787">
        <f t="shared" ref="F10:F41" si="0">H10+G10</f>
        <v>-0.61780677862957867</v>
      </c>
      <c r="G10" s="1252">
        <v>0</v>
      </c>
      <c r="H10" s="901">
        <f t="shared" ref="H10:H41" si="1">I10+J10</f>
        <v>-0.61780677862957867</v>
      </c>
      <c r="I10" s="1252">
        <f>TableUK5c!E10</f>
        <v>0.49545</v>
      </c>
      <c r="J10" s="2447">
        <f>TableUK5c!I10-TableUK5c!L10</f>
        <v>-1.1132567786295786</v>
      </c>
      <c r="K10" s="2448"/>
      <c r="L10" s="1252">
        <f t="shared" ref="L10:L41" si="2">F10+B10</f>
        <v>6.9432325695831638</v>
      </c>
      <c r="M10" s="901">
        <f t="shared" ref="M10:M41" si="3">H10+B10</f>
        <v>6.9432325695831638</v>
      </c>
      <c r="N10" s="15"/>
      <c r="O10" s="15"/>
      <c r="P10" s="16"/>
      <c r="Q10" s="15"/>
      <c r="R10" s="15"/>
      <c r="S10" s="1287">
        <f t="shared" ref="S10:S41" si="4">B10/M10</f>
        <v>1.0889797039690214</v>
      </c>
      <c r="T10" s="901">
        <f t="shared" ref="T10:T41" si="5">F10/L10</f>
        <v>-8.8979703969021537E-2</v>
      </c>
      <c r="U10" s="1348">
        <f t="shared" ref="U10:U41" si="6">H10/M10</f>
        <v>-8.8979703969021537E-2</v>
      </c>
      <c r="X10" s="903">
        <f>B10-TableUK1!N10</f>
        <v>0</v>
      </c>
    </row>
    <row r="11" spans="1:24" ht="12" customHeight="1">
      <c r="A11" s="10">
        <v>1856</v>
      </c>
      <c r="B11" s="1287">
        <f>TableUK5a!F11</f>
        <v>7.4162256169927971</v>
      </c>
      <c r="C11" s="15"/>
      <c r="D11" s="15"/>
      <c r="E11" s="16"/>
      <c r="F11" s="1787">
        <f t="shared" si="0"/>
        <v>-0.62904870009956237</v>
      </c>
      <c r="G11" s="1252">
        <v>0</v>
      </c>
      <c r="H11" s="901">
        <f t="shared" si="1"/>
        <v>-0.62904870009956237</v>
      </c>
      <c r="I11" s="1252">
        <f>TableUK5c!E11</f>
        <v>0.47510778043086299</v>
      </c>
      <c r="J11" s="2447">
        <f>TableUK5c!I11-TableUK5c!L11</f>
        <v>-1.1041564805304254</v>
      </c>
      <c r="K11" s="2448"/>
      <c r="L11" s="1252">
        <f t="shared" si="2"/>
        <v>6.7871769168932348</v>
      </c>
      <c r="M11" s="901">
        <f t="shared" si="3"/>
        <v>6.7871769168932348</v>
      </c>
      <c r="N11" s="15"/>
      <c r="O11" s="15"/>
      <c r="P11" s="16"/>
      <c r="Q11" s="15"/>
      <c r="R11" s="15"/>
      <c r="S11" s="1287">
        <f t="shared" si="4"/>
        <v>1.0926819365108731</v>
      </c>
      <c r="T11" s="901">
        <f t="shared" si="5"/>
        <v>-9.2681936510873128E-2</v>
      </c>
      <c r="U11" s="1348">
        <f t="shared" si="6"/>
        <v>-9.2681936510873128E-2</v>
      </c>
      <c r="X11" s="903">
        <f>B11-TableUK1!N11</f>
        <v>0</v>
      </c>
    </row>
    <row r="12" spans="1:24" ht="12" customHeight="1">
      <c r="A12" s="10">
        <v>1857</v>
      </c>
      <c r="B12" s="1287">
        <f>TableUK5a!F12</f>
        <v>7.3728144419661055</v>
      </c>
      <c r="C12" s="15"/>
      <c r="D12" s="15"/>
      <c r="E12" s="16"/>
      <c r="F12" s="1787">
        <f t="shared" si="0"/>
        <v>-0.680143805683181</v>
      </c>
      <c r="G12" s="1252">
        <v>0</v>
      </c>
      <c r="H12" s="901">
        <f t="shared" si="1"/>
        <v>-0.680143805683181</v>
      </c>
      <c r="I12" s="1252">
        <f>TableUK5c!E12</f>
        <v>0.46322285876158381</v>
      </c>
      <c r="J12" s="2447">
        <f>TableUK5c!I12-TableUK5c!L12</f>
        <v>-1.1433666644447649</v>
      </c>
      <c r="K12" s="2448"/>
      <c r="L12" s="1252">
        <f t="shared" si="2"/>
        <v>6.6926706362829247</v>
      </c>
      <c r="M12" s="901">
        <f t="shared" si="3"/>
        <v>6.6926706362829247</v>
      </c>
      <c r="N12" s="15"/>
      <c r="O12" s="15"/>
      <c r="P12" s="16"/>
      <c r="Q12" s="15"/>
      <c r="R12" s="15"/>
      <c r="S12" s="1287">
        <f t="shared" si="4"/>
        <v>1.1016251721690773</v>
      </c>
      <c r="T12" s="901">
        <f t="shared" si="5"/>
        <v>-0.1016251721690774</v>
      </c>
      <c r="U12" s="1348">
        <f t="shared" si="6"/>
        <v>-0.1016251721690774</v>
      </c>
      <c r="X12" s="903">
        <f>B12-TableUK1!N12</f>
        <v>0</v>
      </c>
    </row>
    <row r="13" spans="1:24" ht="12" customHeight="1">
      <c r="A13" s="10">
        <v>1858</v>
      </c>
      <c r="B13" s="1287">
        <f>TableUK5a!F13</f>
        <v>6.9647056907788922</v>
      </c>
      <c r="C13" s="15"/>
      <c r="D13" s="15"/>
      <c r="E13" s="16"/>
      <c r="F13" s="1787">
        <f t="shared" si="0"/>
        <v>-0.70719772396616687</v>
      </c>
      <c r="G13" s="1252">
        <v>0</v>
      </c>
      <c r="H13" s="901">
        <f t="shared" si="1"/>
        <v>-0.70719772396616687</v>
      </c>
      <c r="I13" s="1252">
        <f>TableUK5c!E13</f>
        <v>0.43025662834127848</v>
      </c>
      <c r="J13" s="2447">
        <f>TableUK5c!I13-TableUK5c!L13</f>
        <v>-1.1374543523074454</v>
      </c>
      <c r="K13" s="2448"/>
      <c r="L13" s="1252">
        <f t="shared" si="2"/>
        <v>6.2575079668127254</v>
      </c>
      <c r="M13" s="901">
        <f t="shared" si="3"/>
        <v>6.2575079668127254</v>
      </c>
      <c r="N13" s="15"/>
      <c r="O13" s="15"/>
      <c r="P13" s="16"/>
      <c r="Q13" s="15"/>
      <c r="R13" s="15"/>
      <c r="S13" s="1287">
        <f t="shared" si="4"/>
        <v>1.1130158727271073</v>
      </c>
      <c r="T13" s="901">
        <f t="shared" si="5"/>
        <v>-0.11301587272710729</v>
      </c>
      <c r="U13" s="1348">
        <f t="shared" si="6"/>
        <v>-0.11301587272710729</v>
      </c>
      <c r="X13" s="903">
        <f>B13-TableUK1!N13</f>
        <v>0</v>
      </c>
    </row>
    <row r="14" spans="1:24" ht="12" customHeight="1">
      <c r="A14" s="893">
        <v>1859</v>
      </c>
      <c r="B14" s="1288">
        <f>TableUK5a!F14</f>
        <v>6.7709176123201829</v>
      </c>
      <c r="C14" s="894"/>
      <c r="D14" s="894"/>
      <c r="E14" s="895"/>
      <c r="F14" s="1788">
        <f t="shared" si="0"/>
        <v>-0.65272349910145167</v>
      </c>
      <c r="G14" s="1253">
        <v>0</v>
      </c>
      <c r="H14" s="902">
        <f t="shared" si="1"/>
        <v>-0.65272349910145167</v>
      </c>
      <c r="I14" s="1253">
        <f>TableUK5c!E14</f>
        <v>0.41059719081427359</v>
      </c>
      <c r="J14" s="2453">
        <f>TableUK5c!I14-TableUK5c!L14</f>
        <v>-1.0633206899157253</v>
      </c>
      <c r="K14" s="2454"/>
      <c r="L14" s="1253">
        <f t="shared" si="2"/>
        <v>6.1181941132187312</v>
      </c>
      <c r="M14" s="902">
        <f t="shared" si="3"/>
        <v>6.1181941132187312</v>
      </c>
      <c r="N14" s="894"/>
      <c r="O14" s="894"/>
      <c r="P14" s="895"/>
      <c r="Q14" s="894"/>
      <c r="R14" s="894"/>
      <c r="S14" s="1288">
        <f t="shared" si="4"/>
        <v>1.106685647271505</v>
      </c>
      <c r="T14" s="902">
        <f t="shared" si="5"/>
        <v>-0.10668564727150497</v>
      </c>
      <c r="U14" s="1349">
        <f t="shared" si="6"/>
        <v>-0.10668564727150497</v>
      </c>
      <c r="X14" s="903">
        <f>B14-TableUK1!N14</f>
        <v>0</v>
      </c>
    </row>
    <row r="15" spans="1:24" ht="12" customHeight="1">
      <c r="A15" s="10">
        <v>1860</v>
      </c>
      <c r="B15" s="1287">
        <f>TableUK5a!F15</f>
        <v>6.9175124517855666</v>
      </c>
      <c r="C15" s="15"/>
      <c r="D15" s="15"/>
      <c r="E15" s="16"/>
      <c r="F15" s="1787">
        <f t="shared" si="0"/>
        <v>-0.6027941005089128</v>
      </c>
      <c r="G15" s="1252">
        <v>0</v>
      </c>
      <c r="H15" s="901">
        <f t="shared" si="1"/>
        <v>-0.6027941005089128</v>
      </c>
      <c r="I15" s="1252">
        <f>TableUK5c!E15</f>
        <v>0.41094597196789923</v>
      </c>
      <c r="J15" s="2445">
        <f>TableUK5c!I15-TableUK5c!L15</f>
        <v>-1.013740072476812</v>
      </c>
      <c r="K15" s="2446"/>
      <c r="L15" s="1252">
        <f t="shared" si="2"/>
        <v>6.314718351276654</v>
      </c>
      <c r="M15" s="901">
        <f t="shared" si="3"/>
        <v>6.314718351276654</v>
      </c>
      <c r="N15" s="15"/>
      <c r="O15" s="15"/>
      <c r="P15" s="16"/>
      <c r="Q15" s="15"/>
      <c r="R15" s="15"/>
      <c r="S15" s="1287">
        <f t="shared" si="4"/>
        <v>1.095458588487489</v>
      </c>
      <c r="T15" s="901">
        <f t="shared" si="5"/>
        <v>-9.5458588487488949E-2</v>
      </c>
      <c r="U15" s="1348">
        <f t="shared" si="6"/>
        <v>-9.5458588487488949E-2</v>
      </c>
      <c r="X15" s="903">
        <f>B15-TableUK1!N15</f>
        <v>0</v>
      </c>
    </row>
    <row r="16" spans="1:24" ht="12" customHeight="1">
      <c r="A16" s="10">
        <v>1861</v>
      </c>
      <c r="B16" s="1287">
        <f>TableUK5a!F16</f>
        <v>6.8961865805518876</v>
      </c>
      <c r="C16" s="15"/>
      <c r="D16" s="15"/>
      <c r="E16" s="16"/>
      <c r="F16" s="1787">
        <f t="shared" si="0"/>
        <v>-0.56917337762160636</v>
      </c>
      <c r="G16" s="1252">
        <v>0</v>
      </c>
      <c r="H16" s="901">
        <f t="shared" si="1"/>
        <v>-0.56917337762160636</v>
      </c>
      <c r="I16" s="1252">
        <f>TableUK5c!E16</f>
        <v>0.40338059109853525</v>
      </c>
      <c r="J16" s="2447">
        <f>TableUK5c!I16-TableUK5c!L16</f>
        <v>-0.97255396872014166</v>
      </c>
      <c r="K16" s="2448"/>
      <c r="L16" s="1252">
        <f t="shared" si="2"/>
        <v>6.3270132029302815</v>
      </c>
      <c r="M16" s="901">
        <f t="shared" si="3"/>
        <v>6.3270132029302815</v>
      </c>
      <c r="N16" s="15"/>
      <c r="O16" s="15"/>
      <c r="P16" s="16"/>
      <c r="Q16" s="15"/>
      <c r="R16" s="15"/>
      <c r="S16" s="1287">
        <f t="shared" si="4"/>
        <v>1.0899592523938468</v>
      </c>
      <c r="T16" s="901">
        <f t="shared" si="5"/>
        <v>-8.995925239384682E-2</v>
      </c>
      <c r="U16" s="1348">
        <f t="shared" si="6"/>
        <v>-8.995925239384682E-2</v>
      </c>
      <c r="X16" s="903">
        <f>B16-TableUK1!N16</f>
        <v>0</v>
      </c>
    </row>
    <row r="17" spans="1:24" ht="12" customHeight="1">
      <c r="A17" s="10">
        <v>1862</v>
      </c>
      <c r="B17" s="1287">
        <f>TableUK5a!F17</f>
        <v>6.7374754526283933</v>
      </c>
      <c r="C17" s="15"/>
      <c r="D17" s="15"/>
      <c r="E17" s="16"/>
      <c r="F17" s="1787">
        <f t="shared" si="0"/>
        <v>-0.54866256163284055</v>
      </c>
      <c r="G17" s="1252">
        <v>0</v>
      </c>
      <c r="H17" s="901">
        <f t="shared" si="1"/>
        <v>-0.54866256163284055</v>
      </c>
      <c r="I17" s="1252">
        <f>TableUK5c!E17</f>
        <v>0.38615665269407873</v>
      </c>
      <c r="J17" s="2447">
        <f>TableUK5c!I17-TableUK5c!L17</f>
        <v>-0.93481921432691928</v>
      </c>
      <c r="K17" s="2448"/>
      <c r="L17" s="1252">
        <f t="shared" si="2"/>
        <v>6.1888128909955524</v>
      </c>
      <c r="M17" s="901">
        <f t="shared" si="3"/>
        <v>6.1888128909955524</v>
      </c>
      <c r="N17" s="15"/>
      <c r="O17" s="15"/>
      <c r="P17" s="16"/>
      <c r="Q17" s="15"/>
      <c r="R17" s="15"/>
      <c r="S17" s="1287">
        <f t="shared" si="4"/>
        <v>1.0886539262531463</v>
      </c>
      <c r="T17" s="901">
        <f t="shared" si="5"/>
        <v>-8.8653926253146248E-2</v>
      </c>
      <c r="U17" s="1348">
        <f t="shared" si="6"/>
        <v>-8.8653926253146248E-2</v>
      </c>
      <c r="X17" s="903">
        <f>B17-TableUK1!N17</f>
        <v>0</v>
      </c>
    </row>
    <row r="18" spans="1:24" ht="12" customHeight="1">
      <c r="A18" s="10">
        <v>1863</v>
      </c>
      <c r="B18" s="1287">
        <f>TableUK5a!F18</f>
        <v>6.4273112034915298</v>
      </c>
      <c r="C18" s="15"/>
      <c r="D18" s="15"/>
      <c r="E18" s="16"/>
      <c r="F18" s="1787">
        <f t="shared" si="0"/>
        <v>-0.5194253432563154</v>
      </c>
      <c r="G18" s="1252">
        <v>0</v>
      </c>
      <c r="H18" s="901">
        <f t="shared" si="1"/>
        <v>-0.5194253432563154</v>
      </c>
      <c r="I18" s="1252">
        <f>TableUK5c!E18</f>
        <v>0.36212072381546329</v>
      </c>
      <c r="J18" s="2447">
        <f>TableUK5c!I18-TableUK5c!L18</f>
        <v>-0.88154606707177874</v>
      </c>
      <c r="K18" s="2448"/>
      <c r="L18" s="1252">
        <f t="shared" si="2"/>
        <v>5.9078858602352149</v>
      </c>
      <c r="M18" s="901">
        <f t="shared" si="3"/>
        <v>5.9078858602352149</v>
      </c>
      <c r="N18" s="15"/>
      <c r="O18" s="15"/>
      <c r="P18" s="16"/>
      <c r="Q18" s="15"/>
      <c r="R18" s="15"/>
      <c r="S18" s="1287">
        <f t="shared" si="4"/>
        <v>1.0879206801797683</v>
      </c>
      <c r="T18" s="901">
        <f t="shared" si="5"/>
        <v>-8.7920680179768257E-2</v>
      </c>
      <c r="U18" s="1348">
        <f t="shared" si="6"/>
        <v>-8.7920680179768257E-2</v>
      </c>
      <c r="X18" s="903">
        <f>B18-TableUK1!N18</f>
        <v>0</v>
      </c>
    </row>
    <row r="19" spans="1:24" ht="12" customHeight="1">
      <c r="A19" s="10">
        <v>1864</v>
      </c>
      <c r="B19" s="1287">
        <f>TableUK5a!F19</f>
        <v>6.325827820883374</v>
      </c>
      <c r="C19" s="15"/>
      <c r="D19" s="15"/>
      <c r="E19" s="16"/>
      <c r="F19" s="1787">
        <f t="shared" si="0"/>
        <v>-0.48762087656440251</v>
      </c>
      <c r="G19" s="1252">
        <v>0</v>
      </c>
      <c r="H19" s="901">
        <f t="shared" si="1"/>
        <v>-0.48762087656440251</v>
      </c>
      <c r="I19" s="1252">
        <f>TableUK5c!E19</f>
        <v>0.34829647215372334</v>
      </c>
      <c r="J19" s="2447">
        <f>TableUK5c!I19-TableUK5c!L19</f>
        <v>-0.83591734871812584</v>
      </c>
      <c r="K19" s="2448"/>
      <c r="L19" s="1252">
        <f t="shared" si="2"/>
        <v>5.8382069443189719</v>
      </c>
      <c r="M19" s="901">
        <f t="shared" si="3"/>
        <v>5.8382069443189719</v>
      </c>
      <c r="N19" s="15"/>
      <c r="O19" s="15"/>
      <c r="P19" s="16"/>
      <c r="Q19" s="15"/>
      <c r="R19" s="15"/>
      <c r="S19" s="1287">
        <f t="shared" si="4"/>
        <v>1.0835223693190414</v>
      </c>
      <c r="T19" s="901">
        <f t="shared" si="5"/>
        <v>-8.3522369319041598E-2</v>
      </c>
      <c r="U19" s="1348">
        <f t="shared" si="6"/>
        <v>-8.3522369319041598E-2</v>
      </c>
      <c r="X19" s="903">
        <f>B19-TableUK1!N19</f>
        <v>0</v>
      </c>
    </row>
    <row r="20" spans="1:24" ht="12" customHeight="1">
      <c r="A20" s="10">
        <v>1865</v>
      </c>
      <c r="B20" s="1287">
        <f>TableUK5a!F20</f>
        <v>6.375562183270632</v>
      </c>
      <c r="C20" s="15"/>
      <c r="D20" s="15"/>
      <c r="E20" s="16"/>
      <c r="F20" s="1787">
        <f t="shared" si="0"/>
        <v>-0.47196669000203445</v>
      </c>
      <c r="G20" s="1252">
        <v>0</v>
      </c>
      <c r="H20" s="901">
        <f t="shared" si="1"/>
        <v>-0.47196669000203445</v>
      </c>
      <c r="I20" s="1252">
        <f>TableUK5c!E20</f>
        <v>0.34225285714433235</v>
      </c>
      <c r="J20" s="2447">
        <f>TableUK5c!I20-TableUK5c!L20</f>
        <v>-0.8142195471463668</v>
      </c>
      <c r="K20" s="2448"/>
      <c r="L20" s="1252">
        <f t="shared" si="2"/>
        <v>5.9035954932685977</v>
      </c>
      <c r="M20" s="901">
        <f t="shared" si="3"/>
        <v>5.9035954932685977</v>
      </c>
      <c r="N20" s="15"/>
      <c r="O20" s="15"/>
      <c r="P20" s="16"/>
      <c r="Q20" s="15"/>
      <c r="R20" s="15"/>
      <c r="S20" s="1287">
        <f t="shared" si="4"/>
        <v>1.0799456349169214</v>
      </c>
      <c r="T20" s="901">
        <f t="shared" si="5"/>
        <v>-7.9945634916921512E-2</v>
      </c>
      <c r="U20" s="1348">
        <f t="shared" si="6"/>
        <v>-7.9945634916921512E-2</v>
      </c>
      <c r="X20" s="903">
        <f>B20-TableUK1!N20</f>
        <v>0</v>
      </c>
    </row>
    <row r="21" spans="1:24" ht="12" customHeight="1">
      <c r="A21" s="10">
        <v>1866</v>
      </c>
      <c r="B21" s="1287">
        <f>TableUK5a!F21</f>
        <v>6.8057517697435257</v>
      </c>
      <c r="C21" s="15"/>
      <c r="D21" s="15"/>
      <c r="E21" s="16"/>
      <c r="F21" s="1787">
        <f t="shared" si="0"/>
        <v>-0.45835439407973244</v>
      </c>
      <c r="G21" s="1252">
        <v>0</v>
      </c>
      <c r="H21" s="901">
        <f t="shared" si="1"/>
        <v>-0.45835439407973244</v>
      </c>
      <c r="I21" s="1252">
        <f>TableUK5c!E21</f>
        <v>0.35686653021138059</v>
      </c>
      <c r="J21" s="2447">
        <f>TableUK5c!I21-TableUK5c!L21</f>
        <v>-0.81522092429111304</v>
      </c>
      <c r="K21" s="2448"/>
      <c r="L21" s="1252">
        <f t="shared" si="2"/>
        <v>6.3473973756637934</v>
      </c>
      <c r="M21" s="901">
        <f t="shared" si="3"/>
        <v>6.3473973756637934</v>
      </c>
      <c r="N21" s="15"/>
      <c r="O21" s="15"/>
      <c r="P21" s="16"/>
      <c r="Q21" s="15"/>
      <c r="R21" s="15"/>
      <c r="S21" s="1287">
        <f t="shared" si="4"/>
        <v>1.0722113910556605</v>
      </c>
      <c r="T21" s="901">
        <f t="shared" si="5"/>
        <v>-7.221139105566067E-2</v>
      </c>
      <c r="U21" s="1348">
        <f t="shared" si="6"/>
        <v>-7.221139105566067E-2</v>
      </c>
      <c r="X21" s="903">
        <f>B21-TableUK1!N21</f>
        <v>0</v>
      </c>
    </row>
    <row r="22" spans="1:24" ht="12" customHeight="1">
      <c r="A22" s="10">
        <v>1867</v>
      </c>
      <c r="B22" s="1287">
        <f>TableUK5a!F22</f>
        <v>7.5764993528887246</v>
      </c>
      <c r="C22" s="15"/>
      <c r="D22" s="15"/>
      <c r="E22" s="16"/>
      <c r="F22" s="1787">
        <f t="shared" si="0"/>
        <v>-0.43578416814008608</v>
      </c>
      <c r="G22" s="1252">
        <v>0</v>
      </c>
      <c r="H22" s="901">
        <f t="shared" si="1"/>
        <v>-0.43578416814008608</v>
      </c>
      <c r="I22" s="1252">
        <f>TableUK5c!E22</f>
        <v>0.39059982738825166</v>
      </c>
      <c r="J22" s="2447">
        <f>TableUK5c!I22-TableUK5c!L22</f>
        <v>-0.82638399552833774</v>
      </c>
      <c r="K22" s="2448"/>
      <c r="L22" s="1252">
        <f t="shared" si="2"/>
        <v>7.1407151847486388</v>
      </c>
      <c r="M22" s="901">
        <f t="shared" si="3"/>
        <v>7.1407151847486388</v>
      </c>
      <c r="N22" s="15"/>
      <c r="O22" s="15"/>
      <c r="P22" s="16"/>
      <c r="Q22" s="15"/>
      <c r="R22" s="15"/>
      <c r="S22" s="1287">
        <f t="shared" si="4"/>
        <v>1.0610280842836088</v>
      </c>
      <c r="T22" s="901">
        <f t="shared" si="5"/>
        <v>-6.1028084283608938E-2</v>
      </c>
      <c r="U22" s="1348">
        <f t="shared" si="6"/>
        <v>-6.1028084283608938E-2</v>
      </c>
      <c r="X22" s="903">
        <f>B22-TableUK1!N22</f>
        <v>0</v>
      </c>
    </row>
    <row r="23" spans="1:24" ht="12" customHeight="1">
      <c r="A23" s="10">
        <v>1868</v>
      </c>
      <c r="B23" s="1287">
        <f>TableUK5a!F23</f>
        <v>7.7205337626473556</v>
      </c>
      <c r="C23" s="15"/>
      <c r="D23" s="15"/>
      <c r="E23" s="16"/>
      <c r="F23" s="1787">
        <f t="shared" si="0"/>
        <v>-0.42864202953658664</v>
      </c>
      <c r="G23" s="1252">
        <v>0</v>
      </c>
      <c r="H23" s="901">
        <f t="shared" si="1"/>
        <v>-0.42864202953658664</v>
      </c>
      <c r="I23" s="1252">
        <f>TableUK5c!E23</f>
        <v>0.39193657730870751</v>
      </c>
      <c r="J23" s="2447">
        <f>TableUK5c!I23-TableUK5c!L23</f>
        <v>-0.82057860684529416</v>
      </c>
      <c r="K23" s="2448"/>
      <c r="L23" s="1252">
        <f t="shared" si="2"/>
        <v>7.2918917331107691</v>
      </c>
      <c r="M23" s="901">
        <f t="shared" si="3"/>
        <v>7.2918917331107691</v>
      </c>
      <c r="N23" s="15"/>
      <c r="O23" s="15"/>
      <c r="P23" s="16"/>
      <c r="Q23" s="15"/>
      <c r="R23" s="15"/>
      <c r="S23" s="1287">
        <f t="shared" si="4"/>
        <v>1.0587833781994078</v>
      </c>
      <c r="T23" s="901">
        <f t="shared" si="5"/>
        <v>-5.8783378199407953E-2</v>
      </c>
      <c r="U23" s="1348">
        <f t="shared" si="6"/>
        <v>-5.8783378199407953E-2</v>
      </c>
      <c r="X23" s="903">
        <f>B23-TableUK1!N23</f>
        <v>0</v>
      </c>
    </row>
    <row r="24" spans="1:24" ht="12" customHeight="1">
      <c r="A24" s="893">
        <v>1869</v>
      </c>
      <c r="B24" s="1288">
        <f>TableUK5a!F24</f>
        <v>7.2905184595450825</v>
      </c>
      <c r="C24" s="894"/>
      <c r="D24" s="894"/>
      <c r="E24" s="895"/>
      <c r="F24" s="1788">
        <f t="shared" si="0"/>
        <v>-0.42722417124844181</v>
      </c>
      <c r="G24" s="1253">
        <v>0</v>
      </c>
      <c r="H24" s="902">
        <f t="shared" si="1"/>
        <v>-0.42722417124844181</v>
      </c>
      <c r="I24" s="1253">
        <f>TableUK5c!E24</f>
        <v>0.36382396370150261</v>
      </c>
      <c r="J24" s="2449">
        <f>TableUK5c!I24-TableUK5c!L24</f>
        <v>-0.79104813494994441</v>
      </c>
      <c r="K24" s="2450"/>
      <c r="L24" s="1314">
        <f t="shared" si="2"/>
        <v>6.8632942882966406</v>
      </c>
      <c r="M24" s="902">
        <f t="shared" si="3"/>
        <v>6.8632942882966406</v>
      </c>
      <c r="N24" s="894"/>
      <c r="O24" s="894"/>
      <c r="P24" s="895"/>
      <c r="Q24" s="894"/>
      <c r="R24" s="894"/>
      <c r="S24" s="1288">
        <f t="shared" si="4"/>
        <v>1.0622476835908012</v>
      </c>
      <c r="T24" s="902">
        <f t="shared" si="5"/>
        <v>-6.2247683590801114E-2</v>
      </c>
      <c r="U24" s="1349">
        <f t="shared" si="6"/>
        <v>-6.2247683590801114E-2</v>
      </c>
      <c r="X24" s="903">
        <f>B24-TableUK1!N24</f>
        <v>0</v>
      </c>
    </row>
    <row r="25" spans="1:24" ht="12" customHeight="1">
      <c r="A25" s="10">
        <v>1870</v>
      </c>
      <c r="B25" s="1287">
        <f>TableUK5a!F25</f>
        <v>6.947367349221051</v>
      </c>
      <c r="C25" s="15"/>
      <c r="D25" s="15"/>
      <c r="E25" s="16"/>
      <c r="F25" s="1787">
        <f t="shared" si="0"/>
        <v>-0.38847781017394312</v>
      </c>
      <c r="G25" s="1252">
        <v>0</v>
      </c>
      <c r="H25" s="901">
        <f t="shared" si="1"/>
        <v>-0.38847781017394312</v>
      </c>
      <c r="I25" s="1252">
        <f>TableUK5c!E25</f>
        <v>0.34087866126495781</v>
      </c>
      <c r="J25" s="2445">
        <f>TableUK5c!I25-TableUK5c!L25</f>
        <v>-0.72935647143890092</v>
      </c>
      <c r="K25" s="2446"/>
      <c r="L25" s="1252">
        <f t="shared" si="2"/>
        <v>6.558889539047108</v>
      </c>
      <c r="M25" s="901">
        <f t="shared" si="3"/>
        <v>6.558889539047108</v>
      </c>
      <c r="N25" s="15"/>
      <c r="O25" s="15"/>
      <c r="P25" s="16"/>
      <c r="Q25" s="15"/>
      <c r="R25" s="15"/>
      <c r="S25" s="1287">
        <f t="shared" si="4"/>
        <v>1.0592292045568406</v>
      </c>
      <c r="T25" s="901">
        <f t="shared" si="5"/>
        <v>-5.9229204556840602E-2</v>
      </c>
      <c r="U25" s="1348">
        <f t="shared" si="6"/>
        <v>-5.9229204556840602E-2</v>
      </c>
      <c r="X25" s="903">
        <f>B25-TableUK1!N25</f>
        <v>0</v>
      </c>
    </row>
    <row r="26" spans="1:24" ht="12" customHeight="1">
      <c r="A26" s="10">
        <v>1871</v>
      </c>
      <c r="B26" s="1287">
        <f>TableUK5a!F26</f>
        <v>6.7337426185978995</v>
      </c>
      <c r="C26" s="15"/>
      <c r="D26" s="15"/>
      <c r="E26" s="16"/>
      <c r="F26" s="1787">
        <f t="shared" si="0"/>
        <v>-0.35055327838752265</v>
      </c>
      <c r="G26" s="1252">
        <v>0</v>
      </c>
      <c r="H26" s="901">
        <f t="shared" si="1"/>
        <v>-0.35055327838752265</v>
      </c>
      <c r="I26" s="1252">
        <f>TableUK5c!E26</f>
        <v>0.3231772105883956</v>
      </c>
      <c r="J26" s="2447">
        <f>TableUK5c!I26-TableUK5c!L26</f>
        <v>-0.67373048897591825</v>
      </c>
      <c r="K26" s="2448"/>
      <c r="L26" s="1252">
        <f t="shared" si="2"/>
        <v>6.383189340210377</v>
      </c>
      <c r="M26" s="901">
        <f t="shared" si="3"/>
        <v>6.383189340210377</v>
      </c>
      <c r="N26" s="15"/>
      <c r="O26" s="15"/>
      <c r="P26" s="16"/>
      <c r="Q26" s="15"/>
      <c r="R26" s="15"/>
      <c r="S26" s="1287">
        <f t="shared" si="4"/>
        <v>1.0549182014983076</v>
      </c>
      <c r="T26" s="901">
        <f t="shared" si="5"/>
        <v>-5.4918201498307603E-2</v>
      </c>
      <c r="U26" s="1348">
        <f t="shared" si="6"/>
        <v>-5.4918201498307603E-2</v>
      </c>
      <c r="X26" s="903">
        <f>B26-TableUK1!N26</f>
        <v>0</v>
      </c>
    </row>
    <row r="27" spans="1:24" ht="12" customHeight="1">
      <c r="A27" s="10">
        <v>1872</v>
      </c>
      <c r="B27" s="1287">
        <f>TableUK5a!F27</f>
        <v>6.8345790445985193</v>
      </c>
      <c r="C27" s="15"/>
      <c r="D27" s="15"/>
      <c r="E27" s="16"/>
      <c r="F27" s="1787">
        <f t="shared" si="0"/>
        <v>-0.30875224747149144</v>
      </c>
      <c r="G27" s="1252">
        <v>0</v>
      </c>
      <c r="H27" s="901">
        <f t="shared" si="1"/>
        <v>-0.30875224747149144</v>
      </c>
      <c r="I27" s="1252">
        <f>TableUK5c!E27</f>
        <v>0.31965162790892765</v>
      </c>
      <c r="J27" s="2447">
        <f>TableUK5c!I27-TableUK5c!L27</f>
        <v>-0.62840387538041909</v>
      </c>
      <c r="K27" s="2448"/>
      <c r="L27" s="1252">
        <f t="shared" si="2"/>
        <v>6.5258267971270278</v>
      </c>
      <c r="M27" s="901">
        <f t="shared" si="3"/>
        <v>6.5258267971270278</v>
      </c>
      <c r="N27" s="15"/>
      <c r="O27" s="15"/>
      <c r="P27" s="16"/>
      <c r="Q27" s="15"/>
      <c r="R27" s="15"/>
      <c r="S27" s="1287">
        <f t="shared" si="4"/>
        <v>1.0473123570499019</v>
      </c>
      <c r="T27" s="901">
        <f t="shared" si="5"/>
        <v>-4.7312357049901867E-2</v>
      </c>
      <c r="U27" s="1348">
        <f t="shared" si="6"/>
        <v>-4.7312357049901867E-2</v>
      </c>
      <c r="X27" s="903">
        <f>B27-TableUK1!N27</f>
        <v>0</v>
      </c>
    </row>
    <row r="28" spans="1:24" ht="12" customHeight="1">
      <c r="A28" s="10">
        <v>1873</v>
      </c>
      <c r="B28" s="1287">
        <f>TableUK5a!F28</f>
        <v>6.8955729108202455</v>
      </c>
      <c r="C28" s="15"/>
      <c r="D28" s="15"/>
      <c r="E28" s="16"/>
      <c r="F28" s="1787">
        <f t="shared" si="0"/>
        <v>-0.27147668364932048</v>
      </c>
      <c r="G28" s="1252">
        <v>0</v>
      </c>
      <c r="H28" s="901">
        <f t="shared" si="1"/>
        <v>-0.27147668364932048</v>
      </c>
      <c r="I28" s="1252">
        <f>TableUK5c!E28</f>
        <v>0.31551013038927572</v>
      </c>
      <c r="J28" s="2447">
        <f>TableUK5c!I28-TableUK5c!L28</f>
        <v>-0.58698681403859621</v>
      </c>
      <c r="K28" s="2448"/>
      <c r="L28" s="1252">
        <f t="shared" si="2"/>
        <v>6.6240962271709254</v>
      </c>
      <c r="M28" s="901">
        <f t="shared" si="3"/>
        <v>6.6240962271709254</v>
      </c>
      <c r="N28" s="15"/>
      <c r="O28" s="15"/>
      <c r="P28" s="16"/>
      <c r="Q28" s="15"/>
      <c r="R28" s="15"/>
      <c r="S28" s="1287">
        <f t="shared" si="4"/>
        <v>1.0409832034951074</v>
      </c>
      <c r="T28" s="901">
        <f t="shared" si="5"/>
        <v>-4.098320349510759E-2</v>
      </c>
      <c r="U28" s="1348">
        <f t="shared" si="6"/>
        <v>-4.098320349510759E-2</v>
      </c>
      <c r="X28" s="903">
        <f>B28-TableUK1!N28</f>
        <v>0</v>
      </c>
    </row>
    <row r="29" spans="1:24" ht="12" customHeight="1">
      <c r="A29" s="10">
        <v>1874</v>
      </c>
      <c r="B29" s="1287">
        <f>TableUK5a!F29</f>
        <v>7.0109099627719349</v>
      </c>
      <c r="C29" s="15"/>
      <c r="D29" s="15"/>
      <c r="E29" s="16"/>
      <c r="F29" s="1787">
        <f t="shared" si="0"/>
        <v>-0.28899783360013287</v>
      </c>
      <c r="G29" s="1252">
        <v>0</v>
      </c>
      <c r="H29" s="901">
        <f t="shared" si="1"/>
        <v>-0.28899783360013287</v>
      </c>
      <c r="I29" s="1252">
        <f>TableUK5c!E29</f>
        <v>0.31531840830312996</v>
      </c>
      <c r="J29" s="2447">
        <f>TableUK5c!I29-TableUK5c!L29</f>
        <v>-0.60431624190326283</v>
      </c>
      <c r="K29" s="2448"/>
      <c r="L29" s="1252">
        <f t="shared" si="2"/>
        <v>6.7219121291718018</v>
      </c>
      <c r="M29" s="901">
        <f t="shared" si="3"/>
        <v>6.7219121291718018</v>
      </c>
      <c r="N29" s="15"/>
      <c r="O29" s="15"/>
      <c r="P29" s="16"/>
      <c r="Q29" s="15"/>
      <c r="R29" s="15"/>
      <c r="S29" s="1287">
        <f t="shared" si="4"/>
        <v>1.0429933965286362</v>
      </c>
      <c r="T29" s="901">
        <f t="shared" si="5"/>
        <v>-4.2993396528636256E-2</v>
      </c>
      <c r="U29" s="1348">
        <f t="shared" si="6"/>
        <v>-4.2993396528636256E-2</v>
      </c>
      <c r="X29" s="903">
        <f>B29-TableUK1!N29</f>
        <v>0</v>
      </c>
    </row>
    <row r="30" spans="1:24" ht="12" customHeight="1">
      <c r="A30" s="10">
        <v>1875</v>
      </c>
      <c r="B30" s="1287">
        <f>TableUK5a!F30</f>
        <v>7.0140933170248179</v>
      </c>
      <c r="C30" s="15"/>
      <c r="D30" s="15"/>
      <c r="E30" s="16"/>
      <c r="F30" s="1787">
        <f t="shared" si="0"/>
        <v>-0.29372749894664713</v>
      </c>
      <c r="G30" s="1252">
        <v>0</v>
      </c>
      <c r="H30" s="901">
        <f t="shared" si="1"/>
        <v>-0.29372749894664713</v>
      </c>
      <c r="I30" s="1252">
        <f>TableUK5c!E30</f>
        <v>0.32102156078810301</v>
      </c>
      <c r="J30" s="2447">
        <f>TableUK5c!I30-TableUK5c!L30</f>
        <v>-0.61474905973475014</v>
      </c>
      <c r="K30" s="2448"/>
      <c r="L30" s="1252">
        <f t="shared" si="2"/>
        <v>6.7203658180781707</v>
      </c>
      <c r="M30" s="901">
        <f t="shared" si="3"/>
        <v>6.7203658180781707</v>
      </c>
      <c r="N30" s="15"/>
      <c r="O30" s="15"/>
      <c r="P30" s="16"/>
      <c r="Q30" s="15"/>
      <c r="R30" s="15"/>
      <c r="S30" s="1287">
        <f t="shared" si="4"/>
        <v>1.0437070699568918</v>
      </c>
      <c r="T30" s="901">
        <f t="shared" si="5"/>
        <v>-4.3707069956891817E-2</v>
      </c>
      <c r="U30" s="1348">
        <f t="shared" si="6"/>
        <v>-4.3707069956891817E-2</v>
      </c>
      <c r="X30" s="903">
        <f>B30-TableUK1!N30</f>
        <v>0</v>
      </c>
    </row>
    <row r="31" spans="1:24" ht="12" customHeight="1">
      <c r="A31" s="10">
        <v>1876</v>
      </c>
      <c r="B31" s="1287">
        <f>TableUK5a!F31</f>
        <v>7.1594398657578342</v>
      </c>
      <c r="C31" s="15"/>
      <c r="D31" s="15"/>
      <c r="E31" s="16"/>
      <c r="F31" s="1787">
        <f t="shared" si="0"/>
        <v>-0.28919279874929293</v>
      </c>
      <c r="G31" s="1252">
        <v>0</v>
      </c>
      <c r="H31" s="901">
        <f t="shared" si="1"/>
        <v>-0.28919279874929293</v>
      </c>
      <c r="I31" s="1252">
        <f>TableUK5c!E31</f>
        <v>0.33226265486592765</v>
      </c>
      <c r="J31" s="2447">
        <f>TableUK5c!I31-TableUK5c!L31</f>
        <v>-0.62145545361522059</v>
      </c>
      <c r="K31" s="2448"/>
      <c r="L31" s="1252">
        <f t="shared" si="2"/>
        <v>6.8702470670085409</v>
      </c>
      <c r="M31" s="901">
        <f t="shared" si="3"/>
        <v>6.8702470670085409</v>
      </c>
      <c r="N31" s="15"/>
      <c r="O31" s="15"/>
      <c r="P31" s="16"/>
      <c r="Q31" s="15"/>
      <c r="R31" s="15"/>
      <c r="S31" s="1287">
        <f t="shared" si="4"/>
        <v>1.0420935078358418</v>
      </c>
      <c r="T31" s="901">
        <f t="shared" si="5"/>
        <v>-4.2093507835841766E-2</v>
      </c>
      <c r="U31" s="1348">
        <f t="shared" si="6"/>
        <v>-4.2093507835841766E-2</v>
      </c>
      <c r="X31" s="903">
        <f>B31-TableUK1!N31</f>
        <v>0</v>
      </c>
    </row>
    <row r="32" spans="1:24" ht="12" customHeight="1">
      <c r="A32" s="10">
        <v>1877</v>
      </c>
      <c r="B32" s="1287">
        <f>TableUK5a!F32</f>
        <v>7.1796695262317254</v>
      </c>
      <c r="C32" s="15"/>
      <c r="D32" s="15"/>
      <c r="E32" s="16"/>
      <c r="F32" s="1787">
        <f t="shared" si="0"/>
        <v>-0.28030759489662682</v>
      </c>
      <c r="G32" s="1252">
        <v>0</v>
      </c>
      <c r="H32" s="901">
        <f t="shared" si="1"/>
        <v>-0.28030759489662682</v>
      </c>
      <c r="I32" s="1252">
        <f>TableUK5c!E32</f>
        <v>0.34173735924555482</v>
      </c>
      <c r="J32" s="2447">
        <f>TableUK5c!I32-TableUK5c!L32</f>
        <v>-0.62204495414218164</v>
      </c>
      <c r="K32" s="2448"/>
      <c r="L32" s="1252">
        <f t="shared" si="2"/>
        <v>6.8993619313350987</v>
      </c>
      <c r="M32" s="901">
        <f t="shared" si="3"/>
        <v>6.8993619313350987</v>
      </c>
      <c r="N32" s="15"/>
      <c r="O32" s="15"/>
      <c r="P32" s="16"/>
      <c r="Q32" s="15"/>
      <c r="R32" s="15"/>
      <c r="S32" s="1287">
        <f t="shared" si="4"/>
        <v>1.0406280461419979</v>
      </c>
      <c r="T32" s="901">
        <f t="shared" si="5"/>
        <v>-4.0628046141997998E-2</v>
      </c>
      <c r="U32" s="1348">
        <f t="shared" si="6"/>
        <v>-4.0628046141997998E-2</v>
      </c>
      <c r="X32" s="903">
        <f>B32-TableUK1!N32</f>
        <v>0</v>
      </c>
    </row>
    <row r="33" spans="1:24" ht="12" customHeight="1">
      <c r="A33" s="10">
        <v>1878</v>
      </c>
      <c r="B33" s="1287">
        <f>TableUK5a!F33</f>
        <v>7.2510029890514556</v>
      </c>
      <c r="C33" s="15"/>
      <c r="D33" s="15"/>
      <c r="E33" s="16"/>
      <c r="F33" s="1787">
        <f t="shared" si="0"/>
        <v>-0.28818688238589452</v>
      </c>
      <c r="G33" s="1252">
        <v>0</v>
      </c>
      <c r="H33" s="901">
        <f t="shared" si="1"/>
        <v>-0.28818688238589452</v>
      </c>
      <c r="I33" s="1252">
        <f>TableUK5c!E33</f>
        <v>0.35823392241631979</v>
      </c>
      <c r="J33" s="2447">
        <f>TableUK5c!I33-TableUK5c!L33</f>
        <v>-0.64642080480221431</v>
      </c>
      <c r="K33" s="2448"/>
      <c r="L33" s="1252">
        <f t="shared" si="2"/>
        <v>6.9628161066655609</v>
      </c>
      <c r="M33" s="901">
        <f t="shared" si="3"/>
        <v>6.9628161066655609</v>
      </c>
      <c r="N33" s="15"/>
      <c r="O33" s="15"/>
      <c r="P33" s="16"/>
      <c r="Q33" s="15"/>
      <c r="R33" s="15"/>
      <c r="S33" s="1287">
        <f t="shared" si="4"/>
        <v>1.0413894145660418</v>
      </c>
      <c r="T33" s="901">
        <f t="shared" si="5"/>
        <v>-4.1389414566041872E-2</v>
      </c>
      <c r="U33" s="1348">
        <f t="shared" si="6"/>
        <v>-4.1389414566041872E-2</v>
      </c>
      <c r="X33" s="903">
        <f>B33-TableUK1!N33</f>
        <v>0</v>
      </c>
    </row>
    <row r="34" spans="1:24" ht="12" customHeight="1">
      <c r="A34" s="893">
        <v>1879</v>
      </c>
      <c r="B34" s="1288">
        <f>TableUK5a!F34</f>
        <v>7.1206535458400753</v>
      </c>
      <c r="C34" s="894"/>
      <c r="D34" s="894"/>
      <c r="E34" s="895"/>
      <c r="F34" s="1788">
        <f t="shared" si="0"/>
        <v>-0.32668727470818931</v>
      </c>
      <c r="G34" s="1253">
        <v>0</v>
      </c>
      <c r="H34" s="902">
        <f t="shared" si="1"/>
        <v>-0.32668727470818931</v>
      </c>
      <c r="I34" s="1253">
        <f>TableUK5c!E34</f>
        <v>0.36592962315037153</v>
      </c>
      <c r="J34" s="2449">
        <f>TableUK5c!I34-TableUK5c!L34</f>
        <v>-0.69261689785856084</v>
      </c>
      <c r="K34" s="2450"/>
      <c r="L34" s="1314">
        <f t="shared" si="2"/>
        <v>6.793966271131886</v>
      </c>
      <c r="M34" s="902">
        <f t="shared" si="3"/>
        <v>6.793966271131886</v>
      </c>
      <c r="N34" s="894"/>
      <c r="O34" s="894"/>
      <c r="P34" s="895"/>
      <c r="Q34" s="894"/>
      <c r="R34" s="894"/>
      <c r="S34" s="1288">
        <f t="shared" si="4"/>
        <v>1.0480849126520262</v>
      </c>
      <c r="T34" s="902">
        <f t="shared" si="5"/>
        <v>-4.808491265202626E-2</v>
      </c>
      <c r="U34" s="1349">
        <f t="shared" si="6"/>
        <v>-4.808491265202626E-2</v>
      </c>
      <c r="X34" s="903">
        <f>B34-TableUK1!N34</f>
        <v>0</v>
      </c>
    </row>
    <row r="35" spans="1:24" ht="12" customHeight="1">
      <c r="A35" s="10">
        <v>1880</v>
      </c>
      <c r="B35" s="1287">
        <f>TableUK5a!F35</f>
        <v>7.076972119406431</v>
      </c>
      <c r="C35" s="15"/>
      <c r="D35" s="15"/>
      <c r="E35" s="16"/>
      <c r="F35" s="1787">
        <f t="shared" si="0"/>
        <v>-0.30333610811586575</v>
      </c>
      <c r="G35" s="1252">
        <v>0</v>
      </c>
      <c r="H35" s="901">
        <f t="shared" si="1"/>
        <v>-0.30333610811586575</v>
      </c>
      <c r="I35" s="1252">
        <f>TableUK5c!E35</f>
        <v>0.37748405366843441</v>
      </c>
      <c r="J35" s="2445">
        <f>TableUK5c!I35-TableUK5c!L35</f>
        <v>-0.68082016178430016</v>
      </c>
      <c r="K35" s="2446"/>
      <c r="L35" s="1252">
        <f t="shared" si="2"/>
        <v>6.7736360112905656</v>
      </c>
      <c r="M35" s="901">
        <f t="shared" si="3"/>
        <v>6.7736360112905656</v>
      </c>
      <c r="N35" s="15"/>
      <c r="O35" s="15"/>
      <c r="P35" s="16"/>
      <c r="Q35" s="15"/>
      <c r="R35" s="15"/>
      <c r="S35" s="1287">
        <f t="shared" si="4"/>
        <v>1.0447818730752956</v>
      </c>
      <c r="T35" s="901">
        <f t="shared" si="5"/>
        <v>-4.4781873075295617E-2</v>
      </c>
      <c r="U35" s="1348">
        <f t="shared" si="6"/>
        <v>-4.4781873075295617E-2</v>
      </c>
      <c r="X35" s="903">
        <f>B35-TableUK1!N35</f>
        <v>0</v>
      </c>
    </row>
    <row r="36" spans="1:24" ht="12" customHeight="1">
      <c r="A36" s="10">
        <v>1881</v>
      </c>
      <c r="B36" s="1287">
        <f>TableUK5a!F36</f>
        <v>6.7818561942495403</v>
      </c>
      <c r="C36" s="15"/>
      <c r="D36" s="15"/>
      <c r="E36" s="16"/>
      <c r="F36" s="1787">
        <f t="shared" si="0"/>
        <v>-0.2894226433335817</v>
      </c>
      <c r="G36" s="1252">
        <v>0</v>
      </c>
      <c r="H36" s="901">
        <f t="shared" si="1"/>
        <v>-0.2894226433335817</v>
      </c>
      <c r="I36" s="1252">
        <f>TableUK5c!E36</f>
        <v>0.37086017052479692</v>
      </c>
      <c r="J36" s="2447">
        <f>TableUK5c!I36-TableUK5c!L36</f>
        <v>-0.66028281385837861</v>
      </c>
      <c r="K36" s="2448"/>
      <c r="L36" s="1252">
        <f t="shared" si="2"/>
        <v>6.4924335509159583</v>
      </c>
      <c r="M36" s="901">
        <f t="shared" si="3"/>
        <v>6.4924335509159583</v>
      </c>
      <c r="N36" s="15"/>
      <c r="O36" s="15"/>
      <c r="P36" s="16"/>
      <c r="Q36" s="15"/>
      <c r="R36" s="15"/>
      <c r="S36" s="1287">
        <f t="shared" si="4"/>
        <v>1.044578452911967</v>
      </c>
      <c r="T36" s="901">
        <f t="shared" si="5"/>
        <v>-4.4578452911966993E-2</v>
      </c>
      <c r="U36" s="1348">
        <f t="shared" si="6"/>
        <v>-4.4578452911966993E-2</v>
      </c>
      <c r="X36" s="903">
        <f>B36-TableUK1!N36</f>
        <v>0</v>
      </c>
    </row>
    <row r="37" spans="1:24" ht="12" customHeight="1">
      <c r="A37" s="10">
        <v>1882</v>
      </c>
      <c r="B37" s="1287">
        <f>TableUK5a!F37</f>
        <v>6.6465657407366514</v>
      </c>
      <c r="C37" s="15"/>
      <c r="D37" s="15"/>
      <c r="E37" s="16"/>
      <c r="F37" s="1787">
        <f t="shared" si="0"/>
        <v>-0.28722071711532648</v>
      </c>
      <c r="G37" s="1252">
        <v>0</v>
      </c>
      <c r="H37" s="901">
        <f t="shared" si="1"/>
        <v>-0.28722071711532648</v>
      </c>
      <c r="I37" s="1252">
        <f>TableUK5c!E37</f>
        <v>0.37096708239921428</v>
      </c>
      <c r="J37" s="2447">
        <f>TableUK5c!I37-TableUK5c!L37</f>
        <v>-0.65818779951454076</v>
      </c>
      <c r="K37" s="2448"/>
      <c r="L37" s="1252">
        <f t="shared" si="2"/>
        <v>6.3593450236213247</v>
      </c>
      <c r="M37" s="901">
        <f t="shared" si="3"/>
        <v>6.3593450236213247</v>
      </c>
      <c r="N37" s="15"/>
      <c r="O37" s="15"/>
      <c r="P37" s="16"/>
      <c r="Q37" s="15"/>
      <c r="R37" s="15"/>
      <c r="S37" s="1287">
        <f t="shared" si="4"/>
        <v>1.0451651413861751</v>
      </c>
      <c r="T37" s="901">
        <f t="shared" si="5"/>
        <v>-4.5165141386175153E-2</v>
      </c>
      <c r="U37" s="1348">
        <f t="shared" si="6"/>
        <v>-4.5165141386175153E-2</v>
      </c>
      <c r="X37" s="903">
        <f>B37-TableUK1!N37</f>
        <v>0</v>
      </c>
    </row>
    <row r="38" spans="1:24" ht="12" customHeight="1">
      <c r="A38" s="10">
        <v>1883</v>
      </c>
      <c r="B38" s="1287">
        <f>TableUK5a!F38</f>
        <v>6.6862193807598826</v>
      </c>
      <c r="C38" s="15"/>
      <c r="D38" s="15"/>
      <c r="E38" s="16"/>
      <c r="F38" s="1787">
        <f t="shared" si="0"/>
        <v>-0.278989218800688</v>
      </c>
      <c r="G38" s="1252">
        <v>0</v>
      </c>
      <c r="H38" s="901">
        <f t="shared" si="1"/>
        <v>-0.278989218800688</v>
      </c>
      <c r="I38" s="1252">
        <f>TableUK5c!E38</f>
        <v>0.378145541957086</v>
      </c>
      <c r="J38" s="2447">
        <f>TableUK5c!I38-TableUK5c!L38</f>
        <v>-0.65713476075777399</v>
      </c>
      <c r="K38" s="2448"/>
      <c r="L38" s="1252">
        <f t="shared" si="2"/>
        <v>6.4072301619591947</v>
      </c>
      <c r="M38" s="901">
        <f t="shared" si="3"/>
        <v>6.4072301619591947</v>
      </c>
      <c r="N38" s="15"/>
      <c r="O38" s="15"/>
      <c r="P38" s="16"/>
      <c r="Q38" s="15"/>
      <c r="R38" s="15"/>
      <c r="S38" s="1287">
        <f t="shared" si="4"/>
        <v>1.0435428744946753</v>
      </c>
      <c r="T38" s="901">
        <f t="shared" si="5"/>
        <v>-4.3542874494675407E-2</v>
      </c>
      <c r="U38" s="1348">
        <f t="shared" si="6"/>
        <v>-4.3542874494675407E-2</v>
      </c>
      <c r="X38" s="903">
        <f>B38-TableUK1!N38</f>
        <v>0</v>
      </c>
    </row>
    <row r="39" spans="1:24" ht="12" customHeight="1">
      <c r="A39" s="10">
        <v>1884</v>
      </c>
      <c r="B39" s="1287">
        <f>TableUK5a!F39</f>
        <v>6.7399006824759873</v>
      </c>
      <c r="C39" s="15"/>
      <c r="D39" s="15"/>
      <c r="E39" s="16"/>
      <c r="F39" s="1787">
        <f t="shared" si="0"/>
        <v>-0.26908003990619306</v>
      </c>
      <c r="G39" s="1252">
        <v>0</v>
      </c>
      <c r="H39" s="901">
        <f t="shared" si="1"/>
        <v>-0.26908003990619306</v>
      </c>
      <c r="I39" s="1252">
        <f>TableUK5c!E39</f>
        <v>0.38651556013480043</v>
      </c>
      <c r="J39" s="2447">
        <f>TableUK5c!I39-TableUK5c!L39</f>
        <v>-0.65559560004099349</v>
      </c>
      <c r="K39" s="2448"/>
      <c r="L39" s="1252">
        <f t="shared" si="2"/>
        <v>6.4708206425697945</v>
      </c>
      <c r="M39" s="901">
        <f t="shared" si="3"/>
        <v>6.4708206425697945</v>
      </c>
      <c r="N39" s="15"/>
      <c r="O39" s="15"/>
      <c r="P39" s="16"/>
      <c r="Q39" s="15"/>
      <c r="R39" s="15"/>
      <c r="S39" s="1287">
        <f t="shared" si="4"/>
        <v>1.0415836034978294</v>
      </c>
      <c r="T39" s="901">
        <f t="shared" si="5"/>
        <v>-4.1583603497829566E-2</v>
      </c>
      <c r="U39" s="1348">
        <f t="shared" si="6"/>
        <v>-4.1583603497829566E-2</v>
      </c>
      <c r="X39" s="903">
        <f>B39-TableUK1!N39</f>
        <v>0</v>
      </c>
    </row>
    <row r="40" spans="1:24" ht="12" customHeight="1">
      <c r="A40" s="10">
        <v>1885</v>
      </c>
      <c r="B40" s="1287">
        <f>TableUK5a!F40</f>
        <v>6.6794126851930908</v>
      </c>
      <c r="C40" s="15"/>
      <c r="D40" s="15"/>
      <c r="E40" s="16"/>
      <c r="F40" s="1787">
        <f t="shared" si="0"/>
        <v>-0.29165758315227286</v>
      </c>
      <c r="G40" s="1252">
        <v>0</v>
      </c>
      <c r="H40" s="901">
        <f t="shared" si="1"/>
        <v>-0.29165758315227286</v>
      </c>
      <c r="I40" s="1252">
        <f>TableUK5c!E40</f>
        <v>0.38781694862127525</v>
      </c>
      <c r="J40" s="2447">
        <f>TableUK5c!I40-TableUK5c!L40</f>
        <v>-0.67947453177354811</v>
      </c>
      <c r="K40" s="2448"/>
      <c r="L40" s="1252">
        <f t="shared" si="2"/>
        <v>6.3877551020408179</v>
      </c>
      <c r="M40" s="901">
        <f t="shared" si="3"/>
        <v>6.3877551020408179</v>
      </c>
      <c r="N40" s="15"/>
      <c r="O40" s="15"/>
      <c r="P40" s="16"/>
      <c r="Q40" s="15"/>
      <c r="R40" s="15"/>
      <c r="S40" s="1287">
        <f t="shared" si="4"/>
        <v>1.0456588548704837</v>
      </c>
      <c r="T40" s="901">
        <f t="shared" si="5"/>
        <v>-4.5658854870483601E-2</v>
      </c>
      <c r="U40" s="1348">
        <f t="shared" si="6"/>
        <v>-4.5658854870483601E-2</v>
      </c>
      <c r="X40" s="903">
        <f>B40-TableUK1!N40</f>
        <v>0</v>
      </c>
    </row>
    <row r="41" spans="1:24" ht="12" customHeight="1">
      <c r="A41" s="10">
        <v>1886</v>
      </c>
      <c r="B41" s="1287">
        <f>TableUK5a!F41</f>
        <v>6.6552653360085516</v>
      </c>
      <c r="C41" s="15"/>
      <c r="D41" s="15"/>
      <c r="E41" s="16"/>
      <c r="F41" s="1787">
        <f t="shared" si="0"/>
        <v>-0.30370410471237697</v>
      </c>
      <c r="G41" s="1252">
        <v>0</v>
      </c>
      <c r="H41" s="901">
        <f t="shared" si="1"/>
        <v>-0.30370410471237697</v>
      </c>
      <c r="I41" s="1252">
        <f>TableUK5c!E41</f>
        <v>0.38467151517873444</v>
      </c>
      <c r="J41" s="2447">
        <f>TableUK5c!I41-TableUK5c!L41</f>
        <v>-0.6883756198911114</v>
      </c>
      <c r="K41" s="2448"/>
      <c r="L41" s="1252">
        <f t="shared" si="2"/>
        <v>6.3515612312961744</v>
      </c>
      <c r="M41" s="901">
        <f t="shared" si="3"/>
        <v>6.3515612312961744</v>
      </c>
      <c r="N41" s="15"/>
      <c r="O41" s="15"/>
      <c r="P41" s="16"/>
      <c r="Q41" s="15"/>
      <c r="R41" s="15"/>
      <c r="S41" s="1287">
        <f t="shared" si="4"/>
        <v>1.0478156619534627</v>
      </c>
      <c r="T41" s="901">
        <f t="shared" si="5"/>
        <v>-4.7815661953462665E-2</v>
      </c>
      <c r="U41" s="1348">
        <f t="shared" si="6"/>
        <v>-4.7815661953462665E-2</v>
      </c>
      <c r="X41" s="903">
        <f>B41-TableUK1!N41</f>
        <v>0</v>
      </c>
    </row>
    <row r="42" spans="1:24" ht="12" customHeight="1">
      <c r="A42" s="10">
        <v>1887</v>
      </c>
      <c r="B42" s="1287">
        <f>TableUK5a!F42</f>
        <v>6.5111342889845947</v>
      </c>
      <c r="C42" s="15"/>
      <c r="D42" s="15"/>
      <c r="E42" s="16"/>
      <c r="F42" s="1787">
        <f t="shared" ref="F42:F73" si="7">H42+G42</f>
        <v>-0.2844967962263622</v>
      </c>
      <c r="G42" s="1252">
        <v>0</v>
      </c>
      <c r="H42" s="901">
        <f t="shared" ref="H42:H73" si="8">I42+J42</f>
        <v>-0.2844967962263622</v>
      </c>
      <c r="I42" s="1252">
        <f>TableUK5c!E42</f>
        <v>0.37274834464983614</v>
      </c>
      <c r="J42" s="2447">
        <f>TableUK5c!I42-TableUK5c!L42</f>
        <v>-0.65724514087619834</v>
      </c>
      <c r="K42" s="2448"/>
      <c r="L42" s="1252">
        <f t="shared" ref="L42:L73" si="9">F42+B42</f>
        <v>6.2266374927582326</v>
      </c>
      <c r="M42" s="901">
        <f t="shared" ref="M42:M73" si="10">H42+B42</f>
        <v>6.2266374927582326</v>
      </c>
      <c r="N42" s="15"/>
      <c r="O42" s="15"/>
      <c r="P42" s="16"/>
      <c r="Q42" s="15"/>
      <c r="R42" s="15"/>
      <c r="S42" s="1287">
        <f t="shared" ref="S42:S73" si="11">B42/M42</f>
        <v>1.0456902777072281</v>
      </c>
      <c r="T42" s="901">
        <f t="shared" ref="T42:T73" si="12">F42/L42</f>
        <v>-4.5690277707228111E-2</v>
      </c>
      <c r="U42" s="1348">
        <f t="shared" ref="U42:U73" si="13">H42/M42</f>
        <v>-4.5690277707228111E-2</v>
      </c>
      <c r="X42" s="903">
        <f>B42-TableUK1!N42</f>
        <v>0</v>
      </c>
    </row>
    <row r="43" spans="1:24" ht="12" customHeight="1">
      <c r="A43" s="10">
        <v>1888</v>
      </c>
      <c r="B43" s="1287">
        <f>TableUK5a!F43</f>
        <v>6.3851102587573232</v>
      </c>
      <c r="C43" s="15"/>
      <c r="D43" s="15"/>
      <c r="E43" s="16"/>
      <c r="F43" s="1787">
        <f t="shared" si="7"/>
        <v>-0.18352367023681726</v>
      </c>
      <c r="G43" s="1252">
        <v>0</v>
      </c>
      <c r="H43" s="901">
        <f t="shared" si="8"/>
        <v>-0.18352367023681726</v>
      </c>
      <c r="I43" s="1252">
        <f>TableUK5c!E43</f>
        <v>0.36142590479545789</v>
      </c>
      <c r="J43" s="2447">
        <f>TableUK5c!I43-TableUK5c!L43</f>
        <v>-0.54494957503227515</v>
      </c>
      <c r="K43" s="2448"/>
      <c r="L43" s="1252">
        <f t="shared" si="9"/>
        <v>6.2015865885205059</v>
      </c>
      <c r="M43" s="901">
        <f t="shared" si="10"/>
        <v>6.2015865885205059</v>
      </c>
      <c r="N43" s="15"/>
      <c r="O43" s="15"/>
      <c r="P43" s="16"/>
      <c r="Q43" s="15"/>
      <c r="R43" s="15"/>
      <c r="S43" s="1287">
        <f t="shared" si="11"/>
        <v>1.0295930190794289</v>
      </c>
      <c r="T43" s="901">
        <f t="shared" si="12"/>
        <v>-2.9593019079428826E-2</v>
      </c>
      <c r="U43" s="1348">
        <f t="shared" si="13"/>
        <v>-2.9593019079428826E-2</v>
      </c>
      <c r="X43" s="903">
        <f>B43-TableUK1!N43</f>
        <v>0</v>
      </c>
    </row>
    <row r="44" spans="1:24" ht="12" customHeight="1">
      <c r="A44" s="893">
        <v>1889</v>
      </c>
      <c r="B44" s="1288">
        <f>TableUK5a!F44</f>
        <v>6.2434063327625102</v>
      </c>
      <c r="C44" s="894"/>
      <c r="D44" s="894"/>
      <c r="E44" s="895"/>
      <c r="F44" s="1788">
        <f t="shared" si="7"/>
        <v>-0.10487583476672063</v>
      </c>
      <c r="G44" s="1253">
        <v>0</v>
      </c>
      <c r="H44" s="902">
        <f t="shared" si="8"/>
        <v>-0.10487583476672063</v>
      </c>
      <c r="I44" s="1253">
        <f>TableUK5c!E44</f>
        <v>0.34754007265587972</v>
      </c>
      <c r="J44" s="2449">
        <f>TableUK5c!I44-TableUK5c!L44</f>
        <v>-0.45241590742260035</v>
      </c>
      <c r="K44" s="2450"/>
      <c r="L44" s="1314">
        <f t="shared" si="9"/>
        <v>6.1385304979957898</v>
      </c>
      <c r="M44" s="902">
        <f t="shared" si="10"/>
        <v>6.1385304979957898</v>
      </c>
      <c r="N44" s="894"/>
      <c r="O44" s="894"/>
      <c r="P44" s="895"/>
      <c r="Q44" s="894"/>
      <c r="R44" s="894"/>
      <c r="S44" s="1288">
        <f t="shared" si="11"/>
        <v>1.0170848438076445</v>
      </c>
      <c r="T44" s="902">
        <f t="shared" si="12"/>
        <v>-1.7084843807644558E-2</v>
      </c>
      <c r="U44" s="1349">
        <f t="shared" si="13"/>
        <v>-1.7084843807644558E-2</v>
      </c>
      <c r="X44" s="903">
        <f>B44-TableUK1!N44</f>
        <v>0</v>
      </c>
    </row>
    <row r="45" spans="1:24" ht="12" customHeight="1">
      <c r="A45" s="10">
        <v>1890</v>
      </c>
      <c r="B45" s="1287">
        <f>TableUK5a!F45</f>
        <v>6.3000837894253863</v>
      </c>
      <c r="C45" s="15"/>
      <c r="D45" s="15"/>
      <c r="E45" s="16"/>
      <c r="F45" s="1787">
        <f t="shared" si="7"/>
        <v>-9.2706641164065573E-2</v>
      </c>
      <c r="G45" s="1252">
        <v>0</v>
      </c>
      <c r="H45" s="901">
        <f t="shared" si="8"/>
        <v>-9.2706641164065573E-2</v>
      </c>
      <c r="I45" s="1252">
        <f>TableUK5c!E45</f>
        <v>0.34677259880778527</v>
      </c>
      <c r="J45" s="2445">
        <f>TableUK5c!I45-TableUK5c!L45</f>
        <v>-0.43947923997185084</v>
      </c>
      <c r="K45" s="2446"/>
      <c r="L45" s="1252">
        <f t="shared" si="9"/>
        <v>6.2073771482613207</v>
      </c>
      <c r="M45" s="901">
        <f t="shared" si="10"/>
        <v>6.2073771482613207</v>
      </c>
      <c r="N45" s="15"/>
      <c r="O45" s="15"/>
      <c r="P45" s="16"/>
      <c r="Q45" s="15"/>
      <c r="R45" s="15"/>
      <c r="S45" s="1287">
        <f t="shared" si="11"/>
        <v>1.0149349135632966</v>
      </c>
      <c r="T45" s="901">
        <f t="shared" si="12"/>
        <v>-1.4934913563296633E-2</v>
      </c>
      <c r="U45" s="1348">
        <f t="shared" si="13"/>
        <v>-1.4934913563296633E-2</v>
      </c>
      <c r="X45" s="903">
        <f>B45-TableUK1!N45</f>
        <v>0</v>
      </c>
    </row>
    <row r="46" spans="1:24" ht="12" customHeight="1">
      <c r="A46" s="10">
        <v>1891</v>
      </c>
      <c r="B46" s="1287">
        <f>TableUK5a!F46</f>
        <v>6.7147613263868795</v>
      </c>
      <c r="C46" s="15"/>
      <c r="D46" s="15"/>
      <c r="E46" s="16"/>
      <c r="F46" s="1787">
        <f t="shared" si="7"/>
        <v>-8.7108065213890029E-2</v>
      </c>
      <c r="G46" s="1252">
        <v>0</v>
      </c>
      <c r="H46" s="901">
        <f t="shared" si="8"/>
        <v>-8.7108065213890029E-2</v>
      </c>
      <c r="I46" s="1252">
        <f>TableUK5c!E46</f>
        <v>0.36414821619314508</v>
      </c>
      <c r="J46" s="2447">
        <f>TableUK5c!I46-TableUK5c!L46</f>
        <v>-0.45125628140703511</v>
      </c>
      <c r="K46" s="2448"/>
      <c r="L46" s="1252">
        <f t="shared" si="9"/>
        <v>6.6276532611729895</v>
      </c>
      <c r="M46" s="901">
        <f t="shared" si="10"/>
        <v>6.6276532611729895</v>
      </c>
      <c r="N46" s="15"/>
      <c r="O46" s="15"/>
      <c r="P46" s="16"/>
      <c r="Q46" s="15"/>
      <c r="R46" s="15"/>
      <c r="S46" s="1287">
        <f t="shared" si="11"/>
        <v>1.0131431234829678</v>
      </c>
      <c r="T46" s="901">
        <f t="shared" si="12"/>
        <v>-1.3143123482967678E-2</v>
      </c>
      <c r="U46" s="1348">
        <f t="shared" si="13"/>
        <v>-1.3143123482967678E-2</v>
      </c>
      <c r="X46" s="903">
        <f>B46-TableUK1!N46</f>
        <v>0</v>
      </c>
    </row>
    <row r="47" spans="1:24" ht="12" customHeight="1">
      <c r="A47" s="10">
        <v>1892</v>
      </c>
      <c r="B47" s="1287">
        <f>TableUK5a!F47</f>
        <v>7.056326525844451</v>
      </c>
      <c r="C47" s="15"/>
      <c r="D47" s="15"/>
      <c r="E47" s="16"/>
      <c r="F47" s="1787">
        <f t="shared" si="7"/>
        <v>-8.3710691213637334E-2</v>
      </c>
      <c r="G47" s="1252">
        <v>0</v>
      </c>
      <c r="H47" s="901">
        <f t="shared" si="8"/>
        <v>-8.3710691213637334E-2</v>
      </c>
      <c r="I47" s="1252">
        <f>TableUK5c!E47</f>
        <v>0.38138088387793767</v>
      </c>
      <c r="J47" s="2447">
        <f>TableUK5c!I47-TableUK5c!L47</f>
        <v>-0.465091575091575</v>
      </c>
      <c r="K47" s="2448"/>
      <c r="L47" s="1252">
        <f t="shared" si="9"/>
        <v>6.9726158346308136</v>
      </c>
      <c r="M47" s="901">
        <f t="shared" si="10"/>
        <v>6.9726158346308136</v>
      </c>
      <c r="N47" s="15"/>
      <c r="O47" s="15"/>
      <c r="P47" s="16"/>
      <c r="Q47" s="15"/>
      <c r="R47" s="15"/>
      <c r="S47" s="1287">
        <f t="shared" si="11"/>
        <v>1.0120056365070154</v>
      </c>
      <c r="T47" s="901">
        <f t="shared" si="12"/>
        <v>-1.2005636507015399E-2</v>
      </c>
      <c r="U47" s="1348">
        <f t="shared" si="13"/>
        <v>-1.2005636507015399E-2</v>
      </c>
      <c r="X47" s="903">
        <f>B47-TableUK1!N47</f>
        <v>0</v>
      </c>
    </row>
    <row r="48" spans="1:24" ht="12" customHeight="1">
      <c r="A48" s="10">
        <v>1893</v>
      </c>
      <c r="B48" s="1287">
        <f>TableUK5a!F48</f>
        <v>7.1291078955336014</v>
      </c>
      <c r="C48" s="15"/>
      <c r="D48" s="15"/>
      <c r="E48" s="16"/>
      <c r="F48" s="1787">
        <f t="shared" si="7"/>
        <v>-0.10537913277246946</v>
      </c>
      <c r="G48" s="1252">
        <v>0</v>
      </c>
      <c r="H48" s="901">
        <f t="shared" si="8"/>
        <v>-0.10537913277246946</v>
      </c>
      <c r="I48" s="1252">
        <f>TableUK5c!E48</f>
        <v>0.38474477393306988</v>
      </c>
      <c r="J48" s="2447">
        <f>TableUK5c!I48-TableUK5c!L48</f>
        <v>-0.49012390670553935</v>
      </c>
      <c r="K48" s="2448"/>
      <c r="L48" s="1252">
        <f t="shared" si="9"/>
        <v>7.0237287627611318</v>
      </c>
      <c r="M48" s="901">
        <f t="shared" si="10"/>
        <v>7.0237287627611318</v>
      </c>
      <c r="N48" s="15"/>
      <c r="O48" s="15"/>
      <c r="P48" s="16"/>
      <c r="Q48" s="15"/>
      <c r="R48" s="15"/>
      <c r="S48" s="1287">
        <f t="shared" si="11"/>
        <v>1.015003303278335</v>
      </c>
      <c r="T48" s="901">
        <f t="shared" si="12"/>
        <v>-1.5003303278334934E-2</v>
      </c>
      <c r="U48" s="1348">
        <f t="shared" si="13"/>
        <v>-1.5003303278334934E-2</v>
      </c>
      <c r="X48" s="903">
        <f>B48-TableUK1!N48</f>
        <v>0</v>
      </c>
    </row>
    <row r="49" spans="1:24" ht="12" customHeight="1">
      <c r="A49" s="10">
        <v>1894</v>
      </c>
      <c r="B49" s="1287">
        <f>TableUK5a!F49</f>
        <v>6.7758617649210242</v>
      </c>
      <c r="C49" s="15"/>
      <c r="D49" s="15"/>
      <c r="E49" s="16"/>
      <c r="F49" s="1787">
        <f t="shared" si="7"/>
        <v>-0.13866452149763786</v>
      </c>
      <c r="G49" s="1252">
        <v>0</v>
      </c>
      <c r="H49" s="901">
        <f t="shared" si="8"/>
        <v>-0.13866452149763786</v>
      </c>
      <c r="I49" s="1252">
        <f>TableUK5c!E49</f>
        <v>0.36830269161711626</v>
      </c>
      <c r="J49" s="2447">
        <f>TableUK5c!I49-TableUK5c!L49</f>
        <v>-0.50696721311475412</v>
      </c>
      <c r="K49" s="2448"/>
      <c r="L49" s="1252">
        <f t="shared" si="9"/>
        <v>6.6371972434233868</v>
      </c>
      <c r="M49" s="901">
        <f t="shared" si="10"/>
        <v>6.6371972434233868</v>
      </c>
      <c r="N49" s="15"/>
      <c r="O49" s="15"/>
      <c r="P49" s="16"/>
      <c r="Q49" s="15"/>
      <c r="R49" s="15"/>
      <c r="S49" s="1287">
        <f t="shared" si="11"/>
        <v>1.0208920296342008</v>
      </c>
      <c r="T49" s="901">
        <f t="shared" si="12"/>
        <v>-2.0892029634200889E-2</v>
      </c>
      <c r="U49" s="1348">
        <f t="shared" si="13"/>
        <v>-2.0892029634200889E-2</v>
      </c>
      <c r="X49" s="903">
        <f>B49-TableUK1!N49</f>
        <v>0</v>
      </c>
    </row>
    <row r="50" spans="1:24" ht="12" customHeight="1">
      <c r="A50" s="10">
        <v>1895</v>
      </c>
      <c r="B50" s="1287">
        <f>TableUK5a!F50</f>
        <v>6.7165809404500099</v>
      </c>
      <c r="C50" s="15"/>
      <c r="D50" s="15"/>
      <c r="E50" s="16"/>
      <c r="F50" s="1787">
        <f t="shared" si="7"/>
        <v>-0.16137495555696552</v>
      </c>
      <c r="G50" s="1252">
        <v>0</v>
      </c>
      <c r="H50" s="901">
        <f t="shared" si="8"/>
        <v>-0.16137495555696552</v>
      </c>
      <c r="I50" s="1252">
        <f>TableUK5c!E50</f>
        <v>0.36585540396367372</v>
      </c>
      <c r="J50" s="2447">
        <f>TableUK5c!I50-TableUK5c!L50</f>
        <v>-0.52723035952063924</v>
      </c>
      <c r="K50" s="2448"/>
      <c r="L50" s="1252">
        <f t="shared" si="9"/>
        <v>6.5552059848930444</v>
      </c>
      <c r="M50" s="901">
        <f t="shared" si="10"/>
        <v>6.5552059848930444</v>
      </c>
      <c r="N50" s="15"/>
      <c r="O50" s="15"/>
      <c r="P50" s="16"/>
      <c r="Q50" s="15"/>
      <c r="R50" s="15"/>
      <c r="S50" s="1287">
        <f t="shared" si="11"/>
        <v>1.0246178313738525</v>
      </c>
      <c r="T50" s="901">
        <f t="shared" si="12"/>
        <v>-2.4617831373852476E-2</v>
      </c>
      <c r="U50" s="1348">
        <f t="shared" si="13"/>
        <v>-2.4617831373852476E-2</v>
      </c>
      <c r="X50" s="903">
        <f>B50-TableUK1!N50</f>
        <v>0</v>
      </c>
    </row>
    <row r="51" spans="1:24" ht="12" customHeight="1">
      <c r="A51" s="10">
        <v>1896</v>
      </c>
      <c r="B51" s="1287">
        <f>TableUK5a!F51</f>
        <v>6.6530324301502111</v>
      </c>
      <c r="C51" s="15"/>
      <c r="D51" s="15"/>
      <c r="E51" s="16"/>
      <c r="F51" s="1787">
        <f t="shared" si="7"/>
        <v>-0.15186879951102028</v>
      </c>
      <c r="G51" s="1252">
        <v>0</v>
      </c>
      <c r="H51" s="901">
        <f t="shared" si="8"/>
        <v>-0.15186879951102028</v>
      </c>
      <c r="I51" s="1252">
        <f>TableUK5c!E51</f>
        <v>0.36298204354993957</v>
      </c>
      <c r="J51" s="2447">
        <f>TableUK5c!I51-TableUK5c!L51</f>
        <v>-0.51485084306095985</v>
      </c>
      <c r="K51" s="2448"/>
      <c r="L51" s="1252">
        <f t="shared" si="9"/>
        <v>6.5011636306391907</v>
      </c>
      <c r="M51" s="901">
        <f t="shared" si="10"/>
        <v>6.5011636306391907</v>
      </c>
      <c r="N51" s="15"/>
      <c r="O51" s="15"/>
      <c r="P51" s="16"/>
      <c r="Q51" s="15"/>
      <c r="R51" s="15"/>
      <c r="S51" s="1287">
        <f t="shared" si="11"/>
        <v>1.0233602487399764</v>
      </c>
      <c r="T51" s="901">
        <f t="shared" si="12"/>
        <v>-2.3360248739976511E-2</v>
      </c>
      <c r="U51" s="1348">
        <f t="shared" si="13"/>
        <v>-2.3360248739976511E-2</v>
      </c>
      <c r="X51" s="903">
        <f>B51-TableUK1!N51</f>
        <v>0</v>
      </c>
    </row>
    <row r="52" spans="1:24" ht="12" customHeight="1">
      <c r="A52" s="10">
        <v>1897</v>
      </c>
      <c r="B52" s="1287">
        <f>TableUK5a!F52</f>
        <v>6.7853337532563218</v>
      </c>
      <c r="C52" s="15"/>
      <c r="D52" s="15"/>
      <c r="E52" s="16"/>
      <c r="F52" s="1787">
        <f t="shared" si="7"/>
        <v>-9.5245602499603899E-2</v>
      </c>
      <c r="G52" s="1252">
        <v>0</v>
      </c>
      <c r="H52" s="901">
        <f t="shared" si="8"/>
        <v>-9.5245602499603899E-2</v>
      </c>
      <c r="I52" s="1252">
        <f>TableUK5c!E52</f>
        <v>0.37163018169111134</v>
      </c>
      <c r="J52" s="2447">
        <f>TableUK5c!I52-TableUK5c!L52</f>
        <v>-0.46687578419071524</v>
      </c>
      <c r="K52" s="2448"/>
      <c r="L52" s="1252">
        <f t="shared" si="9"/>
        <v>6.6900881507567176</v>
      </c>
      <c r="M52" s="901">
        <f t="shared" si="10"/>
        <v>6.6900881507567176</v>
      </c>
      <c r="N52" s="15"/>
      <c r="O52" s="15"/>
      <c r="P52" s="16"/>
      <c r="Q52" s="15"/>
      <c r="R52" s="15"/>
      <c r="S52" s="1287">
        <f t="shared" si="11"/>
        <v>1.0142368232455699</v>
      </c>
      <c r="T52" s="901">
        <f t="shared" si="12"/>
        <v>-1.4236823245569737E-2</v>
      </c>
      <c r="U52" s="1348">
        <f t="shared" si="13"/>
        <v>-1.4236823245569737E-2</v>
      </c>
      <c r="X52" s="903">
        <f>B52-TableUK1!N52</f>
        <v>0</v>
      </c>
    </row>
    <row r="53" spans="1:24" ht="12" customHeight="1">
      <c r="A53" s="10">
        <v>1898</v>
      </c>
      <c r="B53" s="1287">
        <f>TableUK5a!F53</f>
        <v>6.63149523415583</v>
      </c>
      <c r="C53" s="15"/>
      <c r="D53" s="15"/>
      <c r="E53" s="16"/>
      <c r="F53" s="1787">
        <f t="shared" si="7"/>
        <v>-2.3512395528216046E-2</v>
      </c>
      <c r="G53" s="1252">
        <v>0</v>
      </c>
      <c r="H53" s="901">
        <f t="shared" si="8"/>
        <v>-2.3512395528216046E-2</v>
      </c>
      <c r="I53" s="1252">
        <f>TableUK5c!E53</f>
        <v>0.36614791436451349</v>
      </c>
      <c r="J53" s="2447">
        <f>TableUK5c!I53-TableUK5c!L53</f>
        <v>-0.38966030989272954</v>
      </c>
      <c r="K53" s="2448"/>
      <c r="L53" s="1252">
        <f t="shared" si="9"/>
        <v>6.6079828386276143</v>
      </c>
      <c r="M53" s="901">
        <f t="shared" si="10"/>
        <v>6.6079828386276143</v>
      </c>
      <c r="N53" s="15"/>
      <c r="O53" s="15"/>
      <c r="P53" s="16"/>
      <c r="Q53" s="15"/>
      <c r="R53" s="15"/>
      <c r="S53" s="1287">
        <f t="shared" si="11"/>
        <v>1.0035581804769182</v>
      </c>
      <c r="T53" s="901">
        <f t="shared" si="12"/>
        <v>-3.5581804769183149E-3</v>
      </c>
      <c r="U53" s="1348">
        <f t="shared" si="13"/>
        <v>-3.5581804769183149E-3</v>
      </c>
      <c r="X53" s="903">
        <f>B53-TableUK1!N53</f>
        <v>0</v>
      </c>
    </row>
    <row r="54" spans="1:24" ht="12" customHeight="1">
      <c r="A54" s="893">
        <v>1899</v>
      </c>
      <c r="B54" s="1288">
        <f>TableUK5a!F54</f>
        <v>6.562990325877549</v>
      </c>
      <c r="C54" s="894"/>
      <c r="D54" s="894"/>
      <c r="E54" s="895"/>
      <c r="F54" s="1788">
        <f t="shared" si="7"/>
        <v>1.4262559995208646E-2</v>
      </c>
      <c r="G54" s="1253">
        <v>0</v>
      </c>
      <c r="H54" s="902">
        <f t="shared" si="8"/>
        <v>1.4262559995208646E-2</v>
      </c>
      <c r="I54" s="1253">
        <f>TableUK5c!E54</f>
        <v>0.36669193852628207</v>
      </c>
      <c r="J54" s="2449">
        <f>TableUK5c!I54-TableUK5c!L54</f>
        <v>-0.35242937853107342</v>
      </c>
      <c r="K54" s="2450"/>
      <c r="L54" s="1314">
        <f t="shared" si="9"/>
        <v>6.5772528858727579</v>
      </c>
      <c r="M54" s="902">
        <f t="shared" si="10"/>
        <v>6.5772528858727579</v>
      </c>
      <c r="N54" s="894"/>
      <c r="O54" s="894"/>
      <c r="P54" s="895"/>
      <c r="Q54" s="894"/>
      <c r="R54" s="894"/>
      <c r="S54" s="1288">
        <f t="shared" si="11"/>
        <v>0.99783153236728306</v>
      </c>
      <c r="T54" s="902">
        <f t="shared" si="12"/>
        <v>2.1684676327168614E-3</v>
      </c>
      <c r="U54" s="1349">
        <f t="shared" si="13"/>
        <v>2.1684676327168614E-3</v>
      </c>
      <c r="X54" s="903">
        <f>B54-TableUK1!N54</f>
        <v>0</v>
      </c>
    </row>
    <row r="55" spans="1:24" ht="12" customHeight="1">
      <c r="A55" s="10">
        <v>1900</v>
      </c>
      <c r="B55" s="1287">
        <f>TableUK5a!F55</f>
        <v>6.9008591334197646</v>
      </c>
      <c r="C55" s="15"/>
      <c r="D55" s="15"/>
      <c r="E55" s="16"/>
      <c r="F55" s="1787">
        <f t="shared" si="7"/>
        <v>2.1181066491026079E-2</v>
      </c>
      <c r="G55" s="1252">
        <v>0</v>
      </c>
      <c r="H55" s="901">
        <f t="shared" si="8"/>
        <v>2.1181066491026079E-2</v>
      </c>
      <c r="I55" s="1252">
        <f>TableUK5c!E55</f>
        <v>0.39054475272251266</v>
      </c>
      <c r="J55" s="2445">
        <f>TableUK5c!I55-TableUK5c!L55</f>
        <v>-0.36936368623148658</v>
      </c>
      <c r="K55" s="2446"/>
      <c r="L55" s="1252">
        <f t="shared" si="9"/>
        <v>6.922040199910791</v>
      </c>
      <c r="M55" s="901">
        <f t="shared" si="10"/>
        <v>6.922040199910791</v>
      </c>
      <c r="N55" s="15"/>
      <c r="O55" s="15"/>
      <c r="P55" s="16"/>
      <c r="Q55" s="15"/>
      <c r="R55" s="15"/>
      <c r="S55" s="1287">
        <f t="shared" si="11"/>
        <v>0.99694005439446898</v>
      </c>
      <c r="T55" s="901">
        <f t="shared" si="12"/>
        <v>3.0599456055310187E-3</v>
      </c>
      <c r="U55" s="1348">
        <f t="shared" si="13"/>
        <v>3.0599456055310187E-3</v>
      </c>
      <c r="X55" s="903">
        <f>B55-TableUK1!N55</f>
        <v>0</v>
      </c>
    </row>
    <row r="56" spans="1:24" ht="12" customHeight="1">
      <c r="A56" s="10">
        <v>1901</v>
      </c>
      <c r="B56" s="1287">
        <f>TableUK5a!F56</f>
        <v>7.0776495963296275</v>
      </c>
      <c r="C56" s="15"/>
      <c r="D56" s="15"/>
      <c r="E56" s="16"/>
      <c r="F56" s="1787">
        <f t="shared" si="7"/>
        <v>1.0895667386049301E-2</v>
      </c>
      <c r="G56" s="1252">
        <v>0</v>
      </c>
      <c r="H56" s="901">
        <f t="shared" si="8"/>
        <v>1.0895667386049301E-2</v>
      </c>
      <c r="I56" s="1252">
        <f>TableUK5c!E56</f>
        <v>0.41508081151021781</v>
      </c>
      <c r="J56" s="2447">
        <f>TableUK5c!I56-TableUK5c!L56</f>
        <v>-0.40418514412416851</v>
      </c>
      <c r="K56" s="2448"/>
      <c r="L56" s="1252">
        <f t="shared" si="9"/>
        <v>7.0885452637156767</v>
      </c>
      <c r="M56" s="901">
        <f t="shared" si="10"/>
        <v>7.0885452637156767</v>
      </c>
      <c r="N56" s="15"/>
      <c r="O56" s="15"/>
      <c r="P56" s="16"/>
      <c r="Q56" s="15"/>
      <c r="R56" s="15"/>
      <c r="S56" s="1287">
        <f t="shared" si="11"/>
        <v>0.99846291912082141</v>
      </c>
      <c r="T56" s="901">
        <f t="shared" si="12"/>
        <v>1.5370808791785871E-3</v>
      </c>
      <c r="U56" s="1348">
        <f t="shared" si="13"/>
        <v>1.5370808791785871E-3</v>
      </c>
      <c r="X56" s="903">
        <f>B56-TableUK1!N56</f>
        <v>0</v>
      </c>
    </row>
    <row r="57" spans="1:24" ht="12" customHeight="1">
      <c r="A57" s="10">
        <v>1902</v>
      </c>
      <c r="B57" s="1287">
        <f>TableUK5a!F57</f>
        <v>7.0664205885177171</v>
      </c>
      <c r="C57" s="15"/>
      <c r="D57" s="15"/>
      <c r="E57" s="16"/>
      <c r="F57" s="1787">
        <f t="shared" si="7"/>
        <v>1.8085730976039383E-2</v>
      </c>
      <c r="G57" s="1252">
        <v>0</v>
      </c>
      <c r="H57" s="901">
        <f t="shared" si="8"/>
        <v>1.8085730976039383E-2</v>
      </c>
      <c r="I57" s="1252">
        <f>TableUK5c!E57</f>
        <v>0.43158818596785609</v>
      </c>
      <c r="J57" s="2447">
        <f>TableUK5c!I57-TableUK5c!L57</f>
        <v>-0.4135024549918167</v>
      </c>
      <c r="K57" s="2448"/>
      <c r="L57" s="1252">
        <f t="shared" si="9"/>
        <v>7.084506319493757</v>
      </c>
      <c r="M57" s="901">
        <f t="shared" si="10"/>
        <v>7.084506319493757</v>
      </c>
      <c r="N57" s="15"/>
      <c r="O57" s="15"/>
      <c r="P57" s="16"/>
      <c r="Q57" s="15"/>
      <c r="R57" s="15"/>
      <c r="S57" s="1287">
        <f t="shared" si="11"/>
        <v>0.99744714308091231</v>
      </c>
      <c r="T57" s="901">
        <f t="shared" si="12"/>
        <v>2.5528569190875882E-3</v>
      </c>
      <c r="U57" s="1348">
        <f t="shared" si="13"/>
        <v>2.5528569190875882E-3</v>
      </c>
      <c r="X57" s="903">
        <f>B57-TableUK1!N57</f>
        <v>0</v>
      </c>
    </row>
    <row r="58" spans="1:24" ht="12" customHeight="1">
      <c r="A58" s="10">
        <v>1903</v>
      </c>
      <c r="B58" s="1287">
        <f>TableUK5a!F58</f>
        <v>7.335608681855561</v>
      </c>
      <c r="C58" s="15"/>
      <c r="D58" s="15"/>
      <c r="E58" s="16"/>
      <c r="F58" s="1787">
        <f t="shared" si="7"/>
        <v>3.8466199594318518E-2</v>
      </c>
      <c r="G58" s="1252">
        <v>0</v>
      </c>
      <c r="H58" s="901">
        <f t="shared" si="8"/>
        <v>3.8466199594318518E-2</v>
      </c>
      <c r="I58" s="1252">
        <f>TableUK5c!E58</f>
        <v>0.46032563512281877</v>
      </c>
      <c r="J58" s="2447">
        <f>TableUK5c!I58-TableUK5c!L58</f>
        <v>-0.42185943552850025</v>
      </c>
      <c r="K58" s="2448"/>
      <c r="L58" s="1252">
        <f t="shared" si="9"/>
        <v>7.3740748814498795</v>
      </c>
      <c r="M58" s="901">
        <f t="shared" si="10"/>
        <v>7.3740748814498795</v>
      </c>
      <c r="N58" s="15"/>
      <c r="O58" s="15"/>
      <c r="P58" s="16"/>
      <c r="Q58" s="15"/>
      <c r="R58" s="15"/>
      <c r="S58" s="1287">
        <f t="shared" si="11"/>
        <v>0.9947835897773315</v>
      </c>
      <c r="T58" s="901">
        <f t="shared" si="12"/>
        <v>5.2164102226685488E-3</v>
      </c>
      <c r="U58" s="1348">
        <f t="shared" si="13"/>
        <v>5.2164102226685488E-3</v>
      </c>
      <c r="X58" s="903">
        <f>B58-TableUK1!N58</f>
        <v>0</v>
      </c>
    </row>
    <row r="59" spans="1:24" ht="12" customHeight="1">
      <c r="A59" s="10">
        <v>1904</v>
      </c>
      <c r="B59" s="1287">
        <f>TableUK5a!F59</f>
        <v>7.448488099018074</v>
      </c>
      <c r="C59" s="15"/>
      <c r="D59" s="15"/>
      <c r="E59" s="16"/>
      <c r="F59" s="1787">
        <f t="shared" si="7"/>
        <v>4.9760693319876426E-2</v>
      </c>
      <c r="G59" s="1252">
        <v>0</v>
      </c>
      <c r="H59" s="901">
        <f t="shared" si="8"/>
        <v>4.9760693319876426E-2</v>
      </c>
      <c r="I59" s="1252">
        <f>TableUK5c!E59</f>
        <v>0.48288082680152278</v>
      </c>
      <c r="J59" s="2447">
        <f>TableUK5c!I59-TableUK5c!L59</f>
        <v>-0.43312013348164635</v>
      </c>
      <c r="K59" s="2448"/>
      <c r="L59" s="1252">
        <f t="shared" si="9"/>
        <v>7.4982487923379502</v>
      </c>
      <c r="M59" s="901">
        <f t="shared" si="10"/>
        <v>7.4982487923379502</v>
      </c>
      <c r="N59" s="15"/>
      <c r="O59" s="15"/>
      <c r="P59" s="16"/>
      <c r="Q59" s="15"/>
      <c r="R59" s="15"/>
      <c r="S59" s="1287">
        <f t="shared" si="11"/>
        <v>0.99336369135007574</v>
      </c>
      <c r="T59" s="901">
        <f t="shared" si="12"/>
        <v>6.6363086499242538E-3</v>
      </c>
      <c r="U59" s="1348">
        <f t="shared" si="13"/>
        <v>6.6363086499242538E-3</v>
      </c>
      <c r="X59" s="903">
        <f>B59-TableUK1!N59</f>
        <v>0</v>
      </c>
    </row>
    <row r="60" spans="1:24" ht="12" customHeight="1">
      <c r="A60" s="10">
        <v>1905</v>
      </c>
      <c r="B60" s="1287">
        <f>TableUK5a!F60</f>
        <v>7.2039359588227292</v>
      </c>
      <c r="C60" s="15"/>
      <c r="D60" s="15"/>
      <c r="E60" s="16"/>
      <c r="F60" s="1787">
        <f t="shared" si="7"/>
        <v>6.7017570912541291E-2</v>
      </c>
      <c r="G60" s="1252">
        <v>0</v>
      </c>
      <c r="H60" s="901">
        <f t="shared" si="8"/>
        <v>6.7017570912541291E-2</v>
      </c>
      <c r="I60" s="1252">
        <f>TableUK5c!E60</f>
        <v>0.48028342067279706</v>
      </c>
      <c r="J60" s="2447">
        <f>TableUK5c!I60-TableUK5c!L60</f>
        <v>-0.41326584976025577</v>
      </c>
      <c r="K60" s="2448"/>
      <c r="L60" s="1252">
        <f t="shared" si="9"/>
        <v>7.2709535297352703</v>
      </c>
      <c r="M60" s="901">
        <f t="shared" si="10"/>
        <v>7.2709535297352703</v>
      </c>
      <c r="N60" s="15"/>
      <c r="O60" s="15"/>
      <c r="P60" s="16"/>
      <c r="Q60" s="15"/>
      <c r="R60" s="15"/>
      <c r="S60" s="1287">
        <f t="shared" si="11"/>
        <v>0.99078283602852557</v>
      </c>
      <c r="T60" s="901">
        <f t="shared" si="12"/>
        <v>9.217163971474502E-3</v>
      </c>
      <c r="U60" s="1348">
        <f t="shared" si="13"/>
        <v>9.217163971474502E-3</v>
      </c>
      <c r="X60" s="903">
        <f>B60-TableUK1!N60</f>
        <v>0</v>
      </c>
    </row>
    <row r="61" spans="1:24" ht="12" customHeight="1">
      <c r="A61" s="10">
        <v>1906</v>
      </c>
      <c r="B61" s="1287">
        <f>TableUK5a!F61</f>
        <v>6.9082771694276195</v>
      </c>
      <c r="C61" s="15"/>
      <c r="D61" s="15"/>
      <c r="E61" s="16"/>
      <c r="F61" s="1787">
        <f t="shared" si="7"/>
        <v>9.5467873321491925E-2</v>
      </c>
      <c r="G61" s="1252">
        <v>0</v>
      </c>
      <c r="H61" s="901">
        <f t="shared" si="8"/>
        <v>9.5467873321491925E-2</v>
      </c>
      <c r="I61" s="1252">
        <f>TableUK5c!E61</f>
        <v>0.46983656019017883</v>
      </c>
      <c r="J61" s="2447">
        <f>TableUK5c!I61-TableUK5c!L61</f>
        <v>-0.37436868686868691</v>
      </c>
      <c r="K61" s="2448"/>
      <c r="L61" s="1252">
        <f t="shared" si="9"/>
        <v>7.0037450427491112</v>
      </c>
      <c r="M61" s="901">
        <f t="shared" si="10"/>
        <v>7.0037450427491112</v>
      </c>
      <c r="N61" s="15"/>
      <c r="O61" s="15"/>
      <c r="P61" s="16"/>
      <c r="Q61" s="15"/>
      <c r="R61" s="15"/>
      <c r="S61" s="1287">
        <f t="shared" si="11"/>
        <v>0.98636902503749357</v>
      </c>
      <c r="T61" s="901">
        <f t="shared" si="12"/>
        <v>1.3630974962506467E-2</v>
      </c>
      <c r="U61" s="1348">
        <f t="shared" si="13"/>
        <v>1.3630974962506467E-2</v>
      </c>
      <c r="X61" s="903">
        <f>B61-TableUK1!N61</f>
        <v>0</v>
      </c>
    </row>
    <row r="62" spans="1:24" ht="12" customHeight="1">
      <c r="A62" s="10">
        <v>1907</v>
      </c>
      <c r="B62" s="1287">
        <f>TableUK5a!F62</f>
        <v>6.7513233723318686</v>
      </c>
      <c r="C62" s="15"/>
      <c r="D62" s="15"/>
      <c r="E62" s="16"/>
      <c r="F62" s="1787">
        <f t="shared" si="7"/>
        <v>0.11384434415332434</v>
      </c>
      <c r="G62" s="1252">
        <v>0</v>
      </c>
      <c r="H62" s="901">
        <f t="shared" si="8"/>
        <v>0.11384434415332434</v>
      </c>
      <c r="I62" s="1252">
        <f>TableUK5c!E62</f>
        <v>0.4644464636138253</v>
      </c>
      <c r="J62" s="2447">
        <f>TableUK5c!I62-TableUK5c!L62</f>
        <v>-0.35060211946050096</v>
      </c>
      <c r="K62" s="2448"/>
      <c r="L62" s="1252">
        <f t="shared" si="9"/>
        <v>6.8651677164851925</v>
      </c>
      <c r="M62" s="901">
        <f t="shared" si="10"/>
        <v>6.8651677164851925</v>
      </c>
      <c r="N62" s="15"/>
      <c r="O62" s="15"/>
      <c r="P62" s="16"/>
      <c r="Q62" s="15"/>
      <c r="R62" s="15"/>
      <c r="S62" s="1287">
        <f t="shared" si="11"/>
        <v>0.98341710663820325</v>
      </c>
      <c r="T62" s="901">
        <f t="shared" si="12"/>
        <v>1.6582893361796851E-2</v>
      </c>
      <c r="U62" s="1348">
        <f t="shared" si="13"/>
        <v>1.6582893361796851E-2</v>
      </c>
      <c r="X62" s="903">
        <f>B62-TableUK1!N62</f>
        <v>0</v>
      </c>
    </row>
    <row r="63" spans="1:24" ht="12" customHeight="1">
      <c r="A63" s="10">
        <v>1908</v>
      </c>
      <c r="B63" s="1287">
        <f>TableUK5a!F63</f>
        <v>7.1697844746689716</v>
      </c>
      <c r="C63" s="15"/>
      <c r="D63" s="15"/>
      <c r="E63" s="16"/>
      <c r="F63" s="1787">
        <f t="shared" si="7"/>
        <v>0.12803853978637131</v>
      </c>
      <c r="G63" s="1252">
        <v>0</v>
      </c>
      <c r="H63" s="901">
        <f t="shared" si="8"/>
        <v>0.12803853978637131</v>
      </c>
      <c r="I63" s="1252">
        <f>TableUK5c!E63</f>
        <v>0.49658977653548786</v>
      </c>
      <c r="J63" s="2447">
        <f>TableUK5c!I63-TableUK5c!L63</f>
        <v>-0.36855123674911655</v>
      </c>
      <c r="K63" s="2448"/>
      <c r="L63" s="1252">
        <f t="shared" si="9"/>
        <v>7.2978230144553429</v>
      </c>
      <c r="M63" s="901">
        <f t="shared" si="10"/>
        <v>7.2978230144553429</v>
      </c>
      <c r="N63" s="15"/>
      <c r="O63" s="15"/>
      <c r="P63" s="16"/>
      <c r="Q63" s="15"/>
      <c r="R63" s="15"/>
      <c r="S63" s="1287">
        <f t="shared" si="11"/>
        <v>0.98245524185325461</v>
      </c>
      <c r="T63" s="901">
        <f t="shared" si="12"/>
        <v>1.754475814674538E-2</v>
      </c>
      <c r="U63" s="1348">
        <f t="shared" si="13"/>
        <v>1.754475814674538E-2</v>
      </c>
      <c r="X63" s="903">
        <f>B63-TableUK1!N63</f>
        <v>0</v>
      </c>
    </row>
    <row r="64" spans="1:24" ht="12" customHeight="1">
      <c r="A64" s="893">
        <v>1909</v>
      </c>
      <c r="B64" s="1288">
        <f>TableUK5a!F64</f>
        <v>7.1909673227108284</v>
      </c>
      <c r="C64" s="894"/>
      <c r="D64" s="894"/>
      <c r="E64" s="895"/>
      <c r="F64" s="1788">
        <f t="shared" si="7"/>
        <v>0.14390681589094784</v>
      </c>
      <c r="G64" s="1253">
        <v>0</v>
      </c>
      <c r="H64" s="902">
        <f t="shared" si="8"/>
        <v>0.14390681589094784</v>
      </c>
      <c r="I64" s="1253">
        <f>TableUK5c!E64</f>
        <v>0.50320105048339314</v>
      </c>
      <c r="J64" s="2449">
        <f>TableUK5c!I64-TableUK5c!L64</f>
        <v>-0.35929423459244531</v>
      </c>
      <c r="K64" s="2450"/>
      <c r="L64" s="1314">
        <f t="shared" si="9"/>
        <v>7.3348741386017764</v>
      </c>
      <c r="M64" s="902">
        <f t="shared" si="10"/>
        <v>7.3348741386017764</v>
      </c>
      <c r="N64" s="894"/>
      <c r="O64" s="894"/>
      <c r="P64" s="895"/>
      <c r="Q64" s="894"/>
      <c r="R64" s="894"/>
      <c r="S64" s="1288">
        <f t="shared" si="11"/>
        <v>0.98038046554424174</v>
      </c>
      <c r="T64" s="902">
        <f t="shared" si="12"/>
        <v>1.9619534455758272E-2</v>
      </c>
      <c r="U64" s="1349">
        <f t="shared" si="13"/>
        <v>1.9619534455758272E-2</v>
      </c>
      <c r="X64" s="903">
        <f>B64-TableUK1!N64</f>
        <v>0</v>
      </c>
    </row>
    <row r="65" spans="1:25" ht="12" customHeight="1">
      <c r="A65" s="10">
        <v>1910</v>
      </c>
      <c r="B65" s="1287">
        <f>TableUK5a!F65</f>
        <v>7.0266789270370333</v>
      </c>
      <c r="C65" s="15"/>
      <c r="D65" s="15"/>
      <c r="E65" s="16"/>
      <c r="F65" s="1787">
        <f t="shared" si="7"/>
        <v>0.15976354211172272</v>
      </c>
      <c r="G65" s="1252">
        <v>0</v>
      </c>
      <c r="H65" s="901">
        <f t="shared" si="8"/>
        <v>0.15976354211172272</v>
      </c>
      <c r="I65" s="1252">
        <f>TableUK5c!E65</f>
        <v>0.4926301771378262</v>
      </c>
      <c r="J65" s="2445">
        <f>TableUK5c!I65-TableUK5c!L65</f>
        <v>-0.33286663502610347</v>
      </c>
      <c r="K65" s="2446"/>
      <c r="L65" s="1252">
        <f t="shared" si="9"/>
        <v>7.1864424691487558</v>
      </c>
      <c r="M65" s="901">
        <f t="shared" si="10"/>
        <v>7.1864424691487558</v>
      </c>
      <c r="N65" s="15"/>
      <c r="O65" s="15"/>
      <c r="P65" s="16"/>
      <c r="Q65" s="15"/>
      <c r="R65" s="15"/>
      <c r="S65" s="1287">
        <f t="shared" si="11"/>
        <v>0.97776875793585161</v>
      </c>
      <c r="T65" s="901">
        <f t="shared" si="12"/>
        <v>2.2231242064148456E-2</v>
      </c>
      <c r="U65" s="1348">
        <f t="shared" si="13"/>
        <v>2.2231242064148456E-2</v>
      </c>
      <c r="X65" s="903">
        <f>B65-TableUK1!N65</f>
        <v>0</v>
      </c>
    </row>
    <row r="66" spans="1:25" ht="12" customHeight="1">
      <c r="A66" s="10">
        <v>1911</v>
      </c>
      <c r="B66" s="1287">
        <f>TableUK5a!F66</f>
        <v>6.8303648091001987</v>
      </c>
      <c r="C66" s="15"/>
      <c r="D66" s="15"/>
      <c r="E66" s="16"/>
      <c r="F66" s="1787">
        <f t="shared" si="7"/>
        <v>0.1730921632567351</v>
      </c>
      <c r="G66" s="1252">
        <v>0</v>
      </c>
      <c r="H66" s="901">
        <f t="shared" si="8"/>
        <v>0.1730921632567351</v>
      </c>
      <c r="I66" s="1252">
        <f>TableUK5c!E66</f>
        <v>0.48025457201585914</v>
      </c>
      <c r="J66" s="2447">
        <f>TableUK5c!I66-TableUK5c!L66</f>
        <v>-0.30716240875912404</v>
      </c>
      <c r="K66" s="2448"/>
      <c r="L66" s="1252">
        <f t="shared" si="9"/>
        <v>7.0034569723569335</v>
      </c>
      <c r="M66" s="901">
        <f t="shared" si="10"/>
        <v>7.0034569723569335</v>
      </c>
      <c r="N66" s="15"/>
      <c r="O66" s="15"/>
      <c r="P66" s="16"/>
      <c r="Q66" s="15"/>
      <c r="R66" s="15"/>
      <c r="S66" s="1287">
        <f t="shared" si="11"/>
        <v>0.97528475380944868</v>
      </c>
      <c r="T66" s="901">
        <f t="shared" si="12"/>
        <v>2.4715246190551366E-2</v>
      </c>
      <c r="U66" s="1348">
        <f t="shared" si="13"/>
        <v>2.4715246190551366E-2</v>
      </c>
      <c r="X66" s="903">
        <f>B66-TableUK1!N66</f>
        <v>0</v>
      </c>
    </row>
    <row r="67" spans="1:25" ht="12" customHeight="1">
      <c r="A67" s="10">
        <v>1912</v>
      </c>
      <c r="B67" s="1287">
        <f>TableUK5a!F67</f>
        <v>6.7950230004347274</v>
      </c>
      <c r="C67" s="15"/>
      <c r="D67" s="15"/>
      <c r="E67" s="16"/>
      <c r="F67" s="1787">
        <f t="shared" si="7"/>
        <v>0.19407390564257232</v>
      </c>
      <c r="G67" s="1252">
        <v>0</v>
      </c>
      <c r="H67" s="901">
        <f t="shared" si="8"/>
        <v>0.19407390564257232</v>
      </c>
      <c r="I67" s="1252">
        <f>TableUK5c!E67</f>
        <v>0.47684300286479459</v>
      </c>
      <c r="J67" s="2447">
        <f>TableUK5c!I67-TableUK5c!L67</f>
        <v>-0.28276909722222227</v>
      </c>
      <c r="K67" s="2448"/>
      <c r="L67" s="1252">
        <f t="shared" si="9"/>
        <v>6.9890969060772994</v>
      </c>
      <c r="M67" s="901">
        <f t="shared" si="10"/>
        <v>6.9890969060772994</v>
      </c>
      <c r="N67" s="15"/>
      <c r="O67" s="15"/>
      <c r="P67" s="16"/>
      <c r="Q67" s="15"/>
      <c r="R67" s="15"/>
      <c r="S67" s="1287">
        <f t="shared" si="11"/>
        <v>0.9722319051730679</v>
      </c>
      <c r="T67" s="901">
        <f t="shared" si="12"/>
        <v>2.7768094826932117E-2</v>
      </c>
      <c r="U67" s="1348">
        <f t="shared" si="13"/>
        <v>2.7768094826932117E-2</v>
      </c>
      <c r="X67" s="903">
        <f>B67-TableUK1!N67</f>
        <v>0</v>
      </c>
    </row>
    <row r="68" spans="1:25" ht="12" customHeight="1">
      <c r="A68" s="10">
        <v>1913</v>
      </c>
      <c r="B68" s="1287">
        <f>TableUK5a!F68</f>
        <v>6.5960940781184352</v>
      </c>
      <c r="C68" s="15"/>
      <c r="D68" s="15"/>
      <c r="E68" s="16"/>
      <c r="F68" s="1787">
        <f t="shared" si="7"/>
        <v>0.19727005459890801</v>
      </c>
      <c r="G68" s="1252">
        <v>0</v>
      </c>
      <c r="H68" s="901">
        <f t="shared" si="8"/>
        <v>0.19727005459890801</v>
      </c>
      <c r="I68" s="1252">
        <f>TableUK5c!E68</f>
        <v>0.46199076018479623</v>
      </c>
      <c r="J68" s="2447">
        <f>TableUK5c!I68-TableUK5c!L68</f>
        <v>-0.26472070558588823</v>
      </c>
      <c r="K68" s="2448"/>
      <c r="L68" s="1252">
        <f t="shared" si="9"/>
        <v>6.7933641327173433</v>
      </c>
      <c r="M68" s="901">
        <f t="shared" si="10"/>
        <v>6.7933641327173433</v>
      </c>
      <c r="N68" s="15"/>
      <c r="O68" s="15"/>
      <c r="P68" s="16"/>
      <c r="Q68" s="15"/>
      <c r="R68" s="15"/>
      <c r="S68" s="1287">
        <f t="shared" si="11"/>
        <v>0.97096136012364753</v>
      </c>
      <c r="T68" s="901">
        <f t="shared" si="12"/>
        <v>2.9038639876352402E-2</v>
      </c>
      <c r="U68" s="1348">
        <f t="shared" si="13"/>
        <v>2.9038639876352402E-2</v>
      </c>
      <c r="X68" s="903">
        <f>B68-TableUK1!N68</f>
        <v>0</v>
      </c>
    </row>
    <row r="69" spans="1:25" ht="12" customHeight="1">
      <c r="A69" s="10">
        <v>1914</v>
      </c>
      <c r="B69" s="1287">
        <f>TableUK5a!F69</f>
        <v>5.4822507961958866</v>
      </c>
      <c r="C69" s="15"/>
      <c r="D69" s="15"/>
      <c r="E69" s="16"/>
      <c r="F69" s="1787">
        <f t="shared" si="7"/>
        <v>0.12705428731678231</v>
      </c>
      <c r="G69" s="1252">
        <v>0</v>
      </c>
      <c r="H69" s="901">
        <f t="shared" si="8"/>
        <v>0.12705428731678231</v>
      </c>
      <c r="I69" s="1252">
        <f>TableUK5c!E69</f>
        <v>0.4491994749187399</v>
      </c>
      <c r="J69" s="2447">
        <f>TableUK5c!I69-TableUK5c!L69</f>
        <v>-0.32214518760195759</v>
      </c>
      <c r="K69" s="2448"/>
      <c r="L69" s="1252">
        <f t="shared" si="9"/>
        <v>5.6093050835126688</v>
      </c>
      <c r="M69" s="901">
        <f t="shared" si="10"/>
        <v>5.6093050835126688</v>
      </c>
      <c r="N69" s="15"/>
      <c r="O69" s="15"/>
      <c r="P69" s="16"/>
      <c r="Q69" s="15"/>
      <c r="R69" s="15"/>
      <c r="S69" s="1287">
        <f t="shared" si="11"/>
        <v>0.97734937119212317</v>
      </c>
      <c r="T69" s="901">
        <f t="shared" si="12"/>
        <v>2.2650628807876886E-2</v>
      </c>
      <c r="U69" s="1348">
        <f t="shared" si="13"/>
        <v>2.2650628807876886E-2</v>
      </c>
      <c r="X69" s="903">
        <f>B69-TableUK1!N69</f>
        <v>0</v>
      </c>
    </row>
    <row r="70" spans="1:25" ht="12" customHeight="1">
      <c r="A70" s="10">
        <v>1915</v>
      </c>
      <c r="B70" s="1287">
        <f>TableUK5a!F70</f>
        <v>4.5061190707394321</v>
      </c>
      <c r="C70" s="15"/>
      <c r="D70" s="15"/>
      <c r="E70" s="16"/>
      <c r="F70" s="1787">
        <f t="shared" si="7"/>
        <v>-7.3487370376906169E-2</v>
      </c>
      <c r="G70" s="1252">
        <v>0</v>
      </c>
      <c r="H70" s="901">
        <f t="shared" si="8"/>
        <v>-7.3487370376906169E-2</v>
      </c>
      <c r="I70" s="1252">
        <f>TableUK5c!E70</f>
        <v>0.42297416808463234</v>
      </c>
      <c r="J70" s="2447">
        <f>TableUK5c!I70-TableUK5c!L70</f>
        <v>-0.49646153846153851</v>
      </c>
      <c r="K70" s="2448"/>
      <c r="L70" s="1252">
        <f t="shared" si="9"/>
        <v>4.432631700362526</v>
      </c>
      <c r="M70" s="901">
        <f t="shared" si="10"/>
        <v>4.432631700362526</v>
      </c>
      <c r="N70" s="15"/>
      <c r="O70" s="15"/>
      <c r="P70" s="16"/>
      <c r="Q70" s="15"/>
      <c r="R70" s="15"/>
      <c r="S70" s="1287">
        <f t="shared" si="11"/>
        <v>1.0165787223808591</v>
      </c>
      <c r="T70" s="901">
        <f t="shared" si="12"/>
        <v>-1.6578722380859199E-2</v>
      </c>
      <c r="U70" s="1348">
        <f t="shared" si="13"/>
        <v>-1.6578722380859199E-2</v>
      </c>
      <c r="X70" s="903">
        <f>B70-TableUK1!N70</f>
        <v>0</v>
      </c>
    </row>
    <row r="71" spans="1:25" ht="12" customHeight="1">
      <c r="A71" s="10">
        <v>1916</v>
      </c>
      <c r="B71" s="1287">
        <f>TableUK5a!F71</f>
        <v>3.9241812570534229</v>
      </c>
      <c r="C71" s="15"/>
      <c r="D71" s="15"/>
      <c r="E71" s="16"/>
      <c r="F71" s="1787">
        <f t="shared" si="7"/>
        <v>-0.40955489361010566</v>
      </c>
      <c r="G71" s="1252">
        <v>0</v>
      </c>
      <c r="H71" s="901">
        <f t="shared" si="8"/>
        <v>-0.40955489361010566</v>
      </c>
      <c r="I71" s="1252">
        <f>TableUK5c!E71</f>
        <v>0.40392556745258767</v>
      </c>
      <c r="J71" s="2447">
        <f>TableUK5c!I71-TableUK5c!L71</f>
        <v>-0.81348046106269334</v>
      </c>
      <c r="K71" s="2448"/>
      <c r="L71" s="1252">
        <f t="shared" si="9"/>
        <v>3.514626363443317</v>
      </c>
      <c r="M71" s="901">
        <f t="shared" si="10"/>
        <v>3.514626363443317</v>
      </c>
      <c r="N71" s="15"/>
      <c r="O71" s="15"/>
      <c r="P71" s="16"/>
      <c r="Q71" s="15"/>
      <c r="R71" s="15"/>
      <c r="S71" s="1287">
        <f t="shared" si="11"/>
        <v>1.1165287149353937</v>
      </c>
      <c r="T71" s="901">
        <f t="shared" si="12"/>
        <v>-0.11652871493539368</v>
      </c>
      <c r="U71" s="1348">
        <f t="shared" si="13"/>
        <v>-0.11652871493539368</v>
      </c>
      <c r="X71" s="903">
        <f>B71-TableUK1!N71</f>
        <v>0</v>
      </c>
    </row>
    <row r="72" spans="1:25" ht="12" customHeight="1">
      <c r="A72" s="10">
        <v>1917</v>
      </c>
      <c r="B72" s="1287">
        <f>TableUK5a!F72</f>
        <v>3.8532140177708305</v>
      </c>
      <c r="C72" s="15"/>
      <c r="D72" s="15"/>
      <c r="E72" s="16"/>
      <c r="F72" s="1787">
        <f t="shared" si="7"/>
        <v>-0.71505619476618676</v>
      </c>
      <c r="G72" s="1252">
        <v>0</v>
      </c>
      <c r="H72" s="901">
        <f t="shared" si="8"/>
        <v>-0.71505619476618676</v>
      </c>
      <c r="I72" s="1252">
        <f>TableUK5c!E72</f>
        <v>0.41997137655963457</v>
      </c>
      <c r="J72" s="2447">
        <f>TableUK5c!I72-TableUK5c!L72</f>
        <v>-1.1350275713258213</v>
      </c>
      <c r="K72" s="2448"/>
      <c r="L72" s="1252">
        <f t="shared" si="9"/>
        <v>3.1381578230046436</v>
      </c>
      <c r="M72" s="901">
        <f t="shared" si="10"/>
        <v>3.1381578230046436</v>
      </c>
      <c r="N72" s="15"/>
      <c r="O72" s="15"/>
      <c r="P72" s="16"/>
      <c r="Q72" s="15"/>
      <c r="R72" s="15"/>
      <c r="S72" s="1287">
        <f t="shared" si="11"/>
        <v>1.2278585829955337</v>
      </c>
      <c r="T72" s="901">
        <f t="shared" si="12"/>
        <v>-0.22785858299553363</v>
      </c>
      <c r="U72" s="1348">
        <f t="shared" si="13"/>
        <v>-0.22785858299553363</v>
      </c>
      <c r="X72" s="903">
        <f>B72-TableUK1!N72</f>
        <v>0</v>
      </c>
    </row>
    <row r="73" spans="1:25" ht="12" customHeight="1">
      <c r="A73" s="10">
        <v>1918</v>
      </c>
      <c r="B73" s="1287">
        <f>TableUK5a!F73</f>
        <v>3.8100215348000654</v>
      </c>
      <c r="C73" s="15"/>
      <c r="D73" s="15"/>
      <c r="E73" s="16"/>
      <c r="F73" s="1787">
        <f t="shared" si="7"/>
        <v>-0.90712236603974339</v>
      </c>
      <c r="G73" s="1252">
        <v>0</v>
      </c>
      <c r="H73" s="901">
        <f t="shared" si="8"/>
        <v>-0.90712236603974339</v>
      </c>
      <c r="I73" s="1252">
        <f>TableUK5c!E73</f>
        <v>0.43064659155373891</v>
      </c>
      <c r="J73" s="2447">
        <f>TableUK5c!I73-TableUK5c!L73</f>
        <v>-1.3377689575934824</v>
      </c>
      <c r="K73" s="2448"/>
      <c r="L73" s="1252">
        <f t="shared" si="9"/>
        <v>2.9028991687603218</v>
      </c>
      <c r="M73" s="901">
        <f t="shared" si="10"/>
        <v>2.9028991687603218</v>
      </c>
      <c r="N73" s="15"/>
      <c r="O73" s="15"/>
      <c r="P73" s="16"/>
      <c r="Q73" s="15"/>
      <c r="R73" s="15"/>
      <c r="S73" s="1287">
        <f t="shared" si="11"/>
        <v>1.3124884170286661</v>
      </c>
      <c r="T73" s="901">
        <f t="shared" si="12"/>
        <v>-0.31248841702866603</v>
      </c>
      <c r="U73" s="1348">
        <f t="shared" si="13"/>
        <v>-0.31248841702866603</v>
      </c>
      <c r="X73" s="903">
        <f>B73-TableUK1!N73</f>
        <v>0</v>
      </c>
      <c r="Y73" s="19"/>
    </row>
    <row r="74" spans="1:25" ht="12" customHeight="1">
      <c r="A74" s="893">
        <v>1919</v>
      </c>
      <c r="B74" s="1288">
        <f>TableUK5a!F74</f>
        <v>3.4987166667558776</v>
      </c>
      <c r="C74" s="894"/>
      <c r="D74" s="894"/>
      <c r="E74" s="895"/>
      <c r="F74" s="1788">
        <f t="shared" ref="F74:F105" si="14">H74+G74</f>
        <v>-0.95268953329721051</v>
      </c>
      <c r="G74" s="1253">
        <v>0</v>
      </c>
      <c r="H74" s="902">
        <f t="shared" ref="H74:H105" si="15">I74+J74</f>
        <v>-0.95268953329721051</v>
      </c>
      <c r="I74" s="1253">
        <f>TableUK5c!E74</f>
        <v>0.42192241858482299</v>
      </c>
      <c r="J74" s="2449">
        <f>TableUK5c!I74-TableUK5c!L74</f>
        <v>-1.3746119518820334</v>
      </c>
      <c r="K74" s="2450"/>
      <c r="L74" s="1314">
        <f t="shared" ref="L74:L105" si="16">F74+B74</f>
        <v>2.5460271334586668</v>
      </c>
      <c r="M74" s="902">
        <f t="shared" ref="M74:M105" si="17">H74+B74</f>
        <v>2.5460271334586668</v>
      </c>
      <c r="N74" s="894"/>
      <c r="O74" s="894"/>
      <c r="P74" s="895"/>
      <c r="Q74" s="894"/>
      <c r="R74" s="894"/>
      <c r="S74" s="1288">
        <f t="shared" ref="S74:S105" si="18">B74/M74</f>
        <v>1.3741867165425781</v>
      </c>
      <c r="T74" s="902">
        <f t="shared" ref="T74:T105" si="19">F74/L74</f>
        <v>-0.37418671654257796</v>
      </c>
      <c r="U74" s="1349">
        <f t="shared" ref="U74:U105" si="20">H74/M74</f>
        <v>-0.37418671654257796</v>
      </c>
      <c r="X74" s="903">
        <f>B74-TableUK1!N74</f>
        <v>0</v>
      </c>
      <c r="Y74" s="19"/>
    </row>
    <row r="75" spans="1:25" ht="12" customHeight="1">
      <c r="A75" s="10">
        <f>A76-1</f>
        <v>1920</v>
      </c>
      <c r="B75" s="2193">
        <f t="shared" ref="B75:B106" si="21">C75+D75-E75</f>
        <v>3.3721174004192869</v>
      </c>
      <c r="C75" s="315">
        <f>0.5*(DataUK3!C79+DataUK3!C80)/DataUK1!$B79</f>
        <v>1.1441776253097007</v>
      </c>
      <c r="D75" s="315">
        <f>0.5*(DataUK3!AS79+DataUK3!AS80)/DataUK1!$B79</f>
        <v>2.3174194777968364</v>
      </c>
      <c r="E75" s="2194">
        <f>0.5*(DataUK3!BE79+DataUK3!BE80)/DataUK1!$B79</f>
        <v>8.9479702687249862E-2</v>
      </c>
      <c r="F75" s="1789">
        <f t="shared" si="14"/>
        <v>-0.84148660325056857</v>
      </c>
      <c r="G75" s="1252">
        <v>0</v>
      </c>
      <c r="H75" s="901">
        <f t="shared" si="15"/>
        <v>-0.84148660325056857</v>
      </c>
      <c r="I75" s="1252">
        <f>TableUK5c!E75</f>
        <v>0.47324340899238737</v>
      </c>
      <c r="J75" s="2445">
        <f>TableUK5c!I75-TableUK5c!L75</f>
        <v>-1.3147300122429559</v>
      </c>
      <c r="K75" s="2446"/>
      <c r="L75" s="1252">
        <f t="shared" si="16"/>
        <v>2.5306307971687181</v>
      </c>
      <c r="M75" s="901">
        <f t="shared" si="17"/>
        <v>2.5306307971687181</v>
      </c>
      <c r="N75" s="1252">
        <f t="shared" ref="N75:N106" si="22">I75+C75</f>
        <v>1.6174210343020881</v>
      </c>
      <c r="O75" s="15"/>
      <c r="P75" s="16"/>
      <c r="Q75" s="15"/>
      <c r="R75" s="15"/>
      <c r="S75" s="1287">
        <f t="shared" si="18"/>
        <v>1.3325204941756135</v>
      </c>
      <c r="T75" s="901">
        <f t="shared" si="19"/>
        <v>-0.33252049417561336</v>
      </c>
      <c r="U75" s="1348">
        <f t="shared" si="20"/>
        <v>-0.33252049417561336</v>
      </c>
      <c r="X75" s="903">
        <f>B75-TableUK1!N75</f>
        <v>0</v>
      </c>
      <c r="Y75" s="19"/>
    </row>
    <row r="76" spans="1:25" ht="12" customHeight="1">
      <c r="A76" s="10">
        <f>A77-1</f>
        <v>1921</v>
      </c>
      <c r="B76" s="2193">
        <f t="shared" si="21"/>
        <v>4.0412694722157632</v>
      </c>
      <c r="C76" s="315">
        <f>0.5*(DataUK3!C80+DataUK3!C81)/DataUK1!$B80</f>
        <v>1.2249476865845152</v>
      </c>
      <c r="D76" s="315">
        <f>0.5*(DataUK3!AS80+DataUK3!AS81)/DataUK1!$B80</f>
        <v>2.9240874215298769</v>
      </c>
      <c r="E76" s="2194">
        <f>0.5*(DataUK3!BE80+DataUK3!BE81)/DataUK1!$B80</f>
        <v>0.10776563589862823</v>
      </c>
      <c r="F76" s="1789">
        <f t="shared" si="14"/>
        <v>-0.87135175150341138</v>
      </c>
      <c r="G76" s="1252">
        <v>0</v>
      </c>
      <c r="H76" s="901">
        <f t="shared" si="15"/>
        <v>-0.87135175150341138</v>
      </c>
      <c r="I76" s="1252">
        <f>TableUK5c!E76</f>
        <v>0.54111587705744679</v>
      </c>
      <c r="J76" s="2447">
        <f>TableUK5c!I76-TableUK5c!L76</f>
        <v>-1.4124676285608582</v>
      </c>
      <c r="K76" s="2448"/>
      <c r="L76" s="1252">
        <f t="shared" si="16"/>
        <v>3.1699177207123519</v>
      </c>
      <c r="M76" s="901">
        <f t="shared" si="17"/>
        <v>3.1699177207123519</v>
      </c>
      <c r="N76" s="1252">
        <f t="shared" si="22"/>
        <v>1.7660635636419619</v>
      </c>
      <c r="O76" s="15"/>
      <c r="P76" s="16"/>
      <c r="Q76" s="15"/>
      <c r="R76" s="15"/>
      <c r="S76" s="1287">
        <f t="shared" si="18"/>
        <v>1.2748815042768993</v>
      </c>
      <c r="T76" s="901">
        <f t="shared" si="19"/>
        <v>-0.27488150427689934</v>
      </c>
      <c r="U76" s="1348">
        <f t="shared" si="20"/>
        <v>-0.27488150427689934</v>
      </c>
      <c r="X76" s="903">
        <f>B76-TableUK1!N77</f>
        <v>0</v>
      </c>
      <c r="Y76" s="19"/>
    </row>
    <row r="77" spans="1:25" ht="12" customHeight="1">
      <c r="A77" s="10">
        <f>A78-1</f>
        <v>1922</v>
      </c>
      <c r="B77" s="2193">
        <f t="shared" si="21"/>
        <v>4.2988997555012221</v>
      </c>
      <c r="C77" s="315">
        <f>0.5*(DataUK3!C81+DataUK3!C82)/DataUK1!$B81</f>
        <v>1.2083129584352079</v>
      </c>
      <c r="D77" s="315">
        <f>0.5*(DataUK3!AS81+DataUK3!AS82)/DataUK1!$B81</f>
        <v>3.2062347188264058</v>
      </c>
      <c r="E77" s="2194">
        <f>0.5*(DataUK3!BE81+DataUK3!BE82)/DataUK1!$B81</f>
        <v>0.1156479217603912</v>
      </c>
      <c r="F77" s="1789">
        <f t="shared" si="14"/>
        <v>-1.2817505632406303</v>
      </c>
      <c r="G77" s="1252">
        <v>0</v>
      </c>
      <c r="H77" s="901">
        <f t="shared" si="15"/>
        <v>-1.2817505632406303</v>
      </c>
      <c r="I77" s="1252">
        <f>TableUK5c!E77</f>
        <v>0.50060354898322823</v>
      </c>
      <c r="J77" s="2447">
        <f>TableUK5c!I77-TableUK5c!L77</f>
        <v>-1.7823541122238586</v>
      </c>
      <c r="K77" s="2448"/>
      <c r="L77" s="1252">
        <f t="shared" si="16"/>
        <v>3.0171491922605918</v>
      </c>
      <c r="M77" s="901">
        <f t="shared" si="17"/>
        <v>3.0171491922605918</v>
      </c>
      <c r="N77" s="1252">
        <f t="shared" si="22"/>
        <v>1.708916507418436</v>
      </c>
      <c r="O77" s="15"/>
      <c r="P77" s="16"/>
      <c r="Q77" s="15"/>
      <c r="R77" s="15"/>
      <c r="S77" s="1287">
        <f t="shared" si="18"/>
        <v>1.4248217378605272</v>
      </c>
      <c r="T77" s="901">
        <f t="shared" si="19"/>
        <v>-0.42482173786052713</v>
      </c>
      <c r="U77" s="1348">
        <f t="shared" si="20"/>
        <v>-0.42482173786052713</v>
      </c>
      <c r="X77" s="903">
        <f>B77-TableUK1!N78</f>
        <v>0</v>
      </c>
      <c r="Y77" s="19"/>
    </row>
    <row r="78" spans="1:25" ht="12" customHeight="1">
      <c r="A78" s="10">
        <f t="shared" ref="A78:A101" si="23">A79-1</f>
        <v>1923</v>
      </c>
      <c r="B78" s="2193">
        <f t="shared" si="21"/>
        <v>4.5060628557287803</v>
      </c>
      <c r="C78" s="315">
        <f>0.5*(DataUK3!C82+DataUK3!C83)/DataUK1!$B82</f>
        <v>1.2300173224449396</v>
      </c>
      <c r="D78" s="315">
        <f>0.5*(DataUK3!AS82+DataUK3!AS83)/DataUK1!$B82</f>
        <v>3.4034892353377879</v>
      </c>
      <c r="E78" s="2194">
        <f>0.5*(DataUK3!BE82+DataUK3!BE83)/DataUK1!$B82</f>
        <v>0.12744370205394706</v>
      </c>
      <c r="F78" s="1789">
        <f t="shared" si="14"/>
        <v>-1.3649664445910301</v>
      </c>
      <c r="G78" s="1252">
        <v>0</v>
      </c>
      <c r="H78" s="901">
        <f t="shared" si="15"/>
        <v>-1.3649664445910301</v>
      </c>
      <c r="I78" s="1252">
        <f>TableUK5c!E78</f>
        <v>0.50350602796865618</v>
      </c>
      <c r="J78" s="2447">
        <f>TableUK5c!I78-TableUK5c!L78</f>
        <v>-1.8684724725596864</v>
      </c>
      <c r="K78" s="2448"/>
      <c r="L78" s="1252">
        <f t="shared" si="16"/>
        <v>3.1410964111377502</v>
      </c>
      <c r="M78" s="901">
        <f t="shared" si="17"/>
        <v>3.1410964111377502</v>
      </c>
      <c r="N78" s="1252">
        <f t="shared" si="22"/>
        <v>1.7335233504135958</v>
      </c>
      <c r="O78" s="15"/>
      <c r="P78" s="16"/>
      <c r="Q78" s="15"/>
      <c r="R78" s="15"/>
      <c r="S78" s="1287">
        <f t="shared" si="18"/>
        <v>1.4345509548039055</v>
      </c>
      <c r="T78" s="901">
        <f t="shared" si="19"/>
        <v>-0.43455095480390543</v>
      </c>
      <c r="U78" s="1348">
        <f t="shared" si="20"/>
        <v>-0.43455095480390543</v>
      </c>
      <c r="X78" s="903">
        <f>B78-TableUK1!N79</f>
        <v>0</v>
      </c>
      <c r="Y78" s="19"/>
    </row>
    <row r="79" spans="1:25" ht="12" customHeight="1">
      <c r="A79" s="10">
        <f t="shared" si="23"/>
        <v>1924</v>
      </c>
      <c r="B79" s="2193">
        <f t="shared" si="21"/>
        <v>4.6695201350373763</v>
      </c>
      <c r="C79" s="315">
        <f>0.5*(DataUK3!C83+DataUK3!C84)/DataUK1!$B83</f>
        <v>1.2281167108753315</v>
      </c>
      <c r="D79" s="315">
        <f>0.5*(DataUK3!AS83+DataUK3!AS84)/DataUK1!$B83</f>
        <v>3.5780081986978538</v>
      </c>
      <c r="E79" s="2194">
        <f>0.5*(DataUK3!BE83+DataUK3!BE84)/DataUK1!$B83</f>
        <v>0.13660477453580902</v>
      </c>
      <c r="F79" s="1789">
        <f t="shared" si="14"/>
        <v>-1.3644075288290549</v>
      </c>
      <c r="G79" s="1252">
        <v>0</v>
      </c>
      <c r="H79" s="901">
        <f t="shared" si="15"/>
        <v>-1.3644075288290549</v>
      </c>
      <c r="I79" s="1252">
        <f>TableUK5c!E79</f>
        <v>0.50497268818575258</v>
      </c>
      <c r="J79" s="2447">
        <f>TableUK5c!I79-TableUK5c!L79</f>
        <v>-1.8693802170148075</v>
      </c>
      <c r="K79" s="2448"/>
      <c r="L79" s="1252">
        <f t="shared" si="16"/>
        <v>3.3051126062083211</v>
      </c>
      <c r="M79" s="901">
        <f t="shared" si="17"/>
        <v>3.3051126062083211</v>
      </c>
      <c r="N79" s="1252">
        <f t="shared" si="22"/>
        <v>1.7330893990610841</v>
      </c>
      <c r="O79" s="15"/>
      <c r="P79" s="16"/>
      <c r="Q79" s="15"/>
      <c r="R79" s="15"/>
      <c r="S79" s="1287">
        <f t="shared" si="18"/>
        <v>1.4128172596195825</v>
      </c>
      <c r="T79" s="901">
        <f t="shared" si="19"/>
        <v>-0.41281725961958232</v>
      </c>
      <c r="U79" s="1348">
        <f t="shared" si="20"/>
        <v>-0.41281725961958232</v>
      </c>
      <c r="X79" s="903">
        <f>B79-TableUK1!N80</f>
        <v>0</v>
      </c>
      <c r="Y79" s="19"/>
    </row>
    <row r="80" spans="1:25" ht="12" customHeight="1">
      <c r="A80" s="10">
        <f t="shared" si="23"/>
        <v>1925</v>
      </c>
      <c r="B80" s="2193">
        <f t="shared" si="21"/>
        <v>4.6543892680630741</v>
      </c>
      <c r="C80" s="315">
        <f>0.5*(DataUK3!C84+DataUK3!C85)/DataUK1!$B84</f>
        <v>1.1925158860908449</v>
      </c>
      <c r="D80" s="315">
        <f>0.5*(DataUK3!AS84+DataUK3!AS85)/DataUK1!$B84</f>
        <v>3.6074370440103554</v>
      </c>
      <c r="E80" s="2194">
        <f>0.5*(DataUK3!BE84+DataUK3!BE85)/DataUK1!$B84</f>
        <v>0.14556366203812662</v>
      </c>
      <c r="F80" s="1789">
        <f t="shared" si="14"/>
        <v>-1.3052308693935759</v>
      </c>
      <c r="G80" s="1252">
        <v>0</v>
      </c>
      <c r="H80" s="901">
        <f t="shared" si="15"/>
        <v>-1.3052308693935759</v>
      </c>
      <c r="I80" s="1252">
        <f>TableUK5c!E80</f>
        <v>0.50150421509814103</v>
      </c>
      <c r="J80" s="2447">
        <f>TableUK5c!I80-TableUK5c!L80</f>
        <v>-1.8067350844917169</v>
      </c>
      <c r="K80" s="2448"/>
      <c r="L80" s="1252">
        <f t="shared" si="16"/>
        <v>3.3491583986694984</v>
      </c>
      <c r="M80" s="901">
        <f t="shared" si="17"/>
        <v>3.3491583986694984</v>
      </c>
      <c r="N80" s="1252">
        <f t="shared" si="22"/>
        <v>1.6940201011889859</v>
      </c>
      <c r="O80" s="15"/>
      <c r="P80" s="16"/>
      <c r="Q80" s="15"/>
      <c r="R80" s="15"/>
      <c r="S80" s="1287">
        <f t="shared" si="18"/>
        <v>1.3897190619327224</v>
      </c>
      <c r="T80" s="901">
        <f t="shared" si="19"/>
        <v>-0.38971906193272249</v>
      </c>
      <c r="U80" s="1348">
        <f t="shared" si="20"/>
        <v>-0.38971906193272249</v>
      </c>
      <c r="X80" s="903">
        <f>B80-TableUK1!N81</f>
        <v>0</v>
      </c>
      <c r="Y80" s="19"/>
    </row>
    <row r="81" spans="1:25" ht="12" customHeight="1">
      <c r="A81" s="10">
        <f t="shared" si="23"/>
        <v>1926</v>
      </c>
      <c r="B81" s="2193">
        <f t="shared" si="21"/>
        <v>4.8520531400966176</v>
      </c>
      <c r="C81" s="315">
        <f>0.5*(DataUK3!C85+DataUK3!C86)/DataUK1!$B85</f>
        <v>1.2062801932367149</v>
      </c>
      <c r="D81" s="315">
        <f>0.5*(DataUK3!AS85+DataUK3!AS86)/DataUK1!$B85</f>
        <v>3.8076086956521737</v>
      </c>
      <c r="E81" s="2194">
        <f>0.5*(DataUK3!BE85+DataUK3!BE86)/DataUK1!$B85</f>
        <v>0.16183574879227053</v>
      </c>
      <c r="F81" s="1789">
        <f t="shared" si="14"/>
        <v>-1.2522683472873926</v>
      </c>
      <c r="G81" s="1252">
        <v>0</v>
      </c>
      <c r="H81" s="901">
        <f t="shared" si="15"/>
        <v>-1.2522683472873926</v>
      </c>
      <c r="I81" s="1252">
        <f>TableUK5c!E81</f>
        <v>0.5244634895869843</v>
      </c>
      <c r="J81" s="2447">
        <f>TableUK5c!I81-TableUK5c!L81</f>
        <v>-1.7767318368743767</v>
      </c>
      <c r="K81" s="2448"/>
      <c r="L81" s="1252">
        <f t="shared" si="16"/>
        <v>3.599784792809225</v>
      </c>
      <c r="M81" s="901">
        <f t="shared" si="17"/>
        <v>3.599784792809225</v>
      </c>
      <c r="N81" s="1252">
        <f t="shared" si="22"/>
        <v>1.7307436828236993</v>
      </c>
      <c r="O81" s="15"/>
      <c r="P81" s="16"/>
      <c r="Q81" s="15"/>
      <c r="R81" s="15"/>
      <c r="S81" s="1287">
        <f t="shared" si="18"/>
        <v>1.3478731144675287</v>
      </c>
      <c r="T81" s="901">
        <f t="shared" si="19"/>
        <v>-0.34787311446752867</v>
      </c>
      <c r="U81" s="1348">
        <f t="shared" si="20"/>
        <v>-0.34787311446752867</v>
      </c>
      <c r="X81" s="903">
        <f>B81-TableUK1!N82</f>
        <v>0</v>
      </c>
      <c r="Y81" s="19"/>
    </row>
    <row r="82" spans="1:25" ht="12" customHeight="1">
      <c r="A82" s="10">
        <f t="shared" si="23"/>
        <v>1927</v>
      </c>
      <c r="B82" s="2193">
        <f t="shared" si="21"/>
        <v>4.722936400541272</v>
      </c>
      <c r="C82" s="315">
        <f>0.5*(DataUK3!C86+DataUK3!C87)/DataUK1!$B86</f>
        <v>1.1182904826341904</v>
      </c>
      <c r="D82" s="315">
        <f>0.5*(DataUK3!AS86+DataUK3!AS87)/DataUK1!$B86</f>
        <v>3.766914749661705</v>
      </c>
      <c r="E82" s="2194">
        <f>0.5*(DataUK3!BE86+DataUK3!BE87)/DataUK1!$B86</f>
        <v>0.16226883175462337</v>
      </c>
      <c r="F82" s="1789">
        <f t="shared" si="14"/>
        <v>-1.3503971623694726</v>
      </c>
      <c r="G82" s="1252">
        <v>0</v>
      </c>
      <c r="H82" s="901">
        <f t="shared" si="15"/>
        <v>-1.3503971623694726</v>
      </c>
      <c r="I82" s="1252">
        <f>TableUK5c!E82</f>
        <v>0.49222730403963216</v>
      </c>
      <c r="J82" s="2447">
        <f>TableUK5c!I82-TableUK5c!L82</f>
        <v>-1.8426244664091047</v>
      </c>
      <c r="K82" s="2448"/>
      <c r="L82" s="1252">
        <f t="shared" si="16"/>
        <v>3.3725392381717993</v>
      </c>
      <c r="M82" s="901">
        <f t="shared" si="17"/>
        <v>3.3725392381717993</v>
      </c>
      <c r="N82" s="1252">
        <f t="shared" si="22"/>
        <v>1.6105177866738225</v>
      </c>
      <c r="O82" s="15"/>
      <c r="P82" s="16"/>
      <c r="Q82" s="15"/>
      <c r="R82" s="15"/>
      <c r="S82" s="1287">
        <f t="shared" si="18"/>
        <v>1.4004096222469755</v>
      </c>
      <c r="T82" s="901">
        <f t="shared" si="19"/>
        <v>-0.40040962224697546</v>
      </c>
      <c r="U82" s="1348">
        <f t="shared" si="20"/>
        <v>-0.40040962224697546</v>
      </c>
      <c r="X82" s="903">
        <f>B82-TableUK1!N83</f>
        <v>0</v>
      </c>
      <c r="Y82" s="19"/>
    </row>
    <row r="83" spans="1:25" ht="12" customHeight="1">
      <c r="A83" s="10">
        <f t="shared" si="23"/>
        <v>1928</v>
      </c>
      <c r="B83" s="2193">
        <f t="shared" si="21"/>
        <v>4.6330798479087454</v>
      </c>
      <c r="C83" s="315">
        <f>0.5*(DataUK3!C87+DataUK3!C88)/DataUK1!$B87</f>
        <v>1.0884589577275776</v>
      </c>
      <c r="D83" s="315">
        <f>0.5*(DataUK3!AS87+DataUK3!AS88)/DataUK1!$B87</f>
        <v>3.7189666741221203</v>
      </c>
      <c r="E83" s="2194">
        <f>0.5*(DataUK3!BE87+DataUK3!BE88)/DataUK1!$B87</f>
        <v>0.17434578394095282</v>
      </c>
      <c r="F83" s="1789">
        <f t="shared" si="14"/>
        <v>-1.1957771966314605</v>
      </c>
      <c r="G83" s="1252">
        <v>0</v>
      </c>
      <c r="H83" s="901">
        <f t="shared" si="15"/>
        <v>-1.1957771966314605</v>
      </c>
      <c r="I83" s="1252">
        <f>TableUK5c!E83</f>
        <v>0.51205569063572431</v>
      </c>
      <c r="J83" s="2447">
        <f>TableUK5c!I83-TableUK5c!L83</f>
        <v>-1.7078328872671849</v>
      </c>
      <c r="K83" s="2448"/>
      <c r="L83" s="1252">
        <f t="shared" si="16"/>
        <v>3.4373026512772848</v>
      </c>
      <c r="M83" s="901">
        <f t="shared" si="17"/>
        <v>3.4373026512772848</v>
      </c>
      <c r="N83" s="1252">
        <f t="shared" si="22"/>
        <v>1.6005146483633019</v>
      </c>
      <c r="O83" s="15"/>
      <c r="P83" s="16"/>
      <c r="Q83" s="15"/>
      <c r="R83" s="15"/>
      <c r="S83" s="1287">
        <f t="shared" si="18"/>
        <v>1.3478824293191394</v>
      </c>
      <c r="T83" s="901">
        <f t="shared" si="19"/>
        <v>-0.34788242931913943</v>
      </c>
      <c r="U83" s="1348">
        <f t="shared" si="20"/>
        <v>-0.34788242931913943</v>
      </c>
      <c r="X83" s="903">
        <f>B83-TableUK1!N84</f>
        <v>0</v>
      </c>
      <c r="Y83" s="19"/>
    </row>
    <row r="84" spans="1:25" ht="12" customHeight="1">
      <c r="A84" s="893">
        <f t="shared" si="23"/>
        <v>1929</v>
      </c>
      <c r="B84" s="2195">
        <f t="shared" si="21"/>
        <v>4.3777360159186385</v>
      </c>
      <c r="C84" s="896">
        <f>0.5*(DataUK3!C88+DataUK3!C89)/DataUK1!$B88</f>
        <v>1.0565996020340482</v>
      </c>
      <c r="D84" s="896">
        <f>0.5*(DataUK3!AS88+DataUK3!AS89)/DataUK1!$B88</f>
        <v>3.5053062126906922</v>
      </c>
      <c r="E84" s="2196">
        <f>0.5*(DataUK3!BE88+DataUK3!BE89)/DataUK1!$B88</f>
        <v>0.18416979880610215</v>
      </c>
      <c r="F84" s="1790">
        <f t="shared" si="14"/>
        <v>-1.1263195052668653</v>
      </c>
      <c r="G84" s="1253">
        <f>TableUK6g!H11</f>
        <v>-8.5927057475653997E-4</v>
      </c>
      <c r="H84" s="902">
        <f t="shared" si="15"/>
        <v>-1.1254602346921088</v>
      </c>
      <c r="I84" s="1253">
        <f>TableUK5c!E84</f>
        <v>0.52228787874267668</v>
      </c>
      <c r="J84" s="2449">
        <f>TableUK5c!I84-TableUK5c!L84</f>
        <v>-1.6477481134347853</v>
      </c>
      <c r="K84" s="2450"/>
      <c r="L84" s="1314">
        <f t="shared" si="16"/>
        <v>3.2514165106517732</v>
      </c>
      <c r="M84" s="902">
        <f t="shared" si="17"/>
        <v>3.2522757812265297</v>
      </c>
      <c r="N84" s="1253">
        <f t="shared" si="22"/>
        <v>1.578887480776725</v>
      </c>
      <c r="O84" s="894"/>
      <c r="P84" s="895"/>
      <c r="Q84" s="894"/>
      <c r="R84" s="894"/>
      <c r="S84" s="1288">
        <f t="shared" si="18"/>
        <v>1.3460531364494754</v>
      </c>
      <c r="T84" s="902">
        <f t="shared" si="19"/>
        <v>-0.3464088656673166</v>
      </c>
      <c r="U84" s="1349">
        <f t="shared" si="20"/>
        <v>-0.3460531364494755</v>
      </c>
      <c r="X84" s="903">
        <f>B84-TableUK1!N85</f>
        <v>0</v>
      </c>
      <c r="Y84" s="19">
        <f>F84-TableUK6g!K11</f>
        <v>0</v>
      </c>
    </row>
    <row r="85" spans="1:25" ht="12" customHeight="1">
      <c r="A85" s="10">
        <f t="shared" si="23"/>
        <v>1930</v>
      </c>
      <c r="B85" s="2193">
        <f t="shared" si="21"/>
        <v>4.3984683221165009</v>
      </c>
      <c r="C85" s="315">
        <f>0.5*(DataUK3!C89+DataUK3!C90)/DataUK1!$B89</f>
        <v>1.0994430262241819</v>
      </c>
      <c r="D85" s="315">
        <f>0.5*(DataUK3!AS89+DataUK3!AS90)/DataUK1!$B89</f>
        <v>3.5017405430494315</v>
      </c>
      <c r="E85" s="2194">
        <f>0.5*(DataUK3!BE89+DataUK3!BE90)/DataUK1!$B89</f>
        <v>0.20271524715711303</v>
      </c>
      <c r="F85" s="1789">
        <f t="shared" si="14"/>
        <v>-1.0565579921874921</v>
      </c>
      <c r="G85" s="1252">
        <f>TableUK6g!H12</f>
        <v>-8.4947577838357898E-4</v>
      </c>
      <c r="H85" s="901">
        <f t="shared" si="15"/>
        <v>-1.0557085164091085</v>
      </c>
      <c r="I85" s="1252">
        <f>TableUK5c!E85</f>
        <v>0.54934009488407987</v>
      </c>
      <c r="J85" s="2445">
        <f>TableUK5c!I85-TableUK5c!L85</f>
        <v>-1.6050486112931883</v>
      </c>
      <c r="K85" s="2446"/>
      <c r="L85" s="1252">
        <f t="shared" si="16"/>
        <v>3.3419103299290089</v>
      </c>
      <c r="M85" s="901">
        <f t="shared" si="17"/>
        <v>3.3427598057073924</v>
      </c>
      <c r="N85" s="1252">
        <f t="shared" si="22"/>
        <v>1.6487831211082618</v>
      </c>
      <c r="O85" s="15"/>
      <c r="P85" s="16"/>
      <c r="Q85" s="15"/>
      <c r="R85" s="15"/>
      <c r="S85" s="1287">
        <f t="shared" si="18"/>
        <v>1.3158194359662345</v>
      </c>
      <c r="T85" s="901">
        <f t="shared" si="19"/>
        <v>-0.31615390237293894</v>
      </c>
      <c r="U85" s="1348">
        <f t="shared" si="20"/>
        <v>-0.31581943596623457</v>
      </c>
      <c r="X85" s="903">
        <f>B85-TableUK1!N86</f>
        <v>0</v>
      </c>
      <c r="Y85" s="19">
        <f>F85-TableUK6g!K12</f>
        <v>0</v>
      </c>
    </row>
    <row r="86" spans="1:25" ht="12" customHeight="1">
      <c r="A86" s="10">
        <f t="shared" si="23"/>
        <v>1931</v>
      </c>
      <c r="B86" s="2193">
        <f t="shared" si="21"/>
        <v>4.7972372964972871</v>
      </c>
      <c r="C86" s="315">
        <f>0.5*(DataUK3!C90+DataUK3!C91)/DataUK1!$B90</f>
        <v>1.1381351751356685</v>
      </c>
      <c r="D86" s="315">
        <f>0.5*(DataUK3!AS90+DataUK3!AS91)/DataUK1!$B90</f>
        <v>3.8776517020226939</v>
      </c>
      <c r="E86" s="2194">
        <f>0.5*(DataUK3!BE90+DataUK3!BE91)/DataUK1!$B90</f>
        <v>0.21854958066107549</v>
      </c>
      <c r="F86" s="1789">
        <f t="shared" si="14"/>
        <v>-1.1700749987124006</v>
      </c>
      <c r="G86" s="1252">
        <f>TableUK6g!H13</f>
        <v>-8.1990475536730483E-4</v>
      </c>
      <c r="H86" s="901">
        <f t="shared" si="15"/>
        <v>-1.1692550939570334</v>
      </c>
      <c r="I86" s="1252">
        <f>TableUK5c!E86</f>
        <v>0.57484902469276078</v>
      </c>
      <c r="J86" s="2447">
        <f>TableUK5c!I86-TableUK5c!L86</f>
        <v>-1.7441041186497943</v>
      </c>
      <c r="K86" s="2448"/>
      <c r="L86" s="1252">
        <f t="shared" si="16"/>
        <v>3.6271622977848867</v>
      </c>
      <c r="M86" s="901">
        <f t="shared" si="17"/>
        <v>3.6279822025402537</v>
      </c>
      <c r="N86" s="1252">
        <f t="shared" si="22"/>
        <v>1.7129841998284294</v>
      </c>
      <c r="O86" s="15"/>
      <c r="P86" s="16"/>
      <c r="Q86" s="15"/>
      <c r="R86" s="15"/>
      <c r="S86" s="1287">
        <f t="shared" si="18"/>
        <v>1.3222879905911171</v>
      </c>
      <c r="T86" s="901">
        <f t="shared" si="19"/>
        <v>-0.32258688822029474</v>
      </c>
      <c r="U86" s="1348">
        <f t="shared" si="20"/>
        <v>-0.32228799059111707</v>
      </c>
      <c r="X86" s="903">
        <f>B86-TableUK1!N87</f>
        <v>0</v>
      </c>
      <c r="Y86" s="19">
        <f>F86-TableUK6g!K13</f>
        <v>0</v>
      </c>
    </row>
    <row r="87" spans="1:25" ht="12" customHeight="1">
      <c r="A87" s="10">
        <f t="shared" si="23"/>
        <v>1932</v>
      </c>
      <c r="B87" s="2193">
        <f t="shared" si="21"/>
        <v>5.4161258112830755</v>
      </c>
      <c r="C87" s="315">
        <f>0.5*(DataUK3!C91+DataUK3!C92)/DataUK1!$B91</f>
        <v>1.1481527708437345</v>
      </c>
      <c r="D87" s="315">
        <f>0.5*(DataUK3!AS91+DataUK3!AS92)/DataUK1!$B91</f>
        <v>4.4900149775336997</v>
      </c>
      <c r="E87" s="2194">
        <f>0.5*(DataUK3!BE91+DataUK3!BE92)/DataUK1!$B91</f>
        <v>0.22204193709435849</v>
      </c>
      <c r="F87" s="1789">
        <f t="shared" si="14"/>
        <v>-1.4368722568774193</v>
      </c>
      <c r="G87" s="1252">
        <f>TableUK6g!H14</f>
        <v>-7.7298312287668017E-4</v>
      </c>
      <c r="H87" s="901">
        <f t="shared" si="15"/>
        <v>-1.4360992737545426</v>
      </c>
      <c r="I87" s="1252">
        <f>TableUK5c!E87</f>
        <v>0.58299919989659899</v>
      </c>
      <c r="J87" s="2447">
        <f>TableUK5c!I87-TableUK5c!L87</f>
        <v>-2.0190984736511415</v>
      </c>
      <c r="K87" s="2448"/>
      <c r="L87" s="1252">
        <f t="shared" si="16"/>
        <v>3.9792535544056564</v>
      </c>
      <c r="M87" s="901">
        <f t="shared" si="17"/>
        <v>3.9800265375285329</v>
      </c>
      <c r="N87" s="1252">
        <f t="shared" si="22"/>
        <v>1.7311519707403336</v>
      </c>
      <c r="O87" s="15"/>
      <c r="P87" s="16"/>
      <c r="Q87" s="15"/>
      <c r="R87" s="15"/>
      <c r="S87" s="1287">
        <f t="shared" si="18"/>
        <v>1.3608265573641913</v>
      </c>
      <c r="T87" s="901">
        <f t="shared" si="19"/>
        <v>-0.36109090240971875</v>
      </c>
      <c r="U87" s="1348">
        <f t="shared" si="20"/>
        <v>-0.36082655736419122</v>
      </c>
      <c r="X87" s="903">
        <f>B87-TableUK1!N88</f>
        <v>0</v>
      </c>
      <c r="Y87" s="19">
        <f>F87-TableUK6g!K14</f>
        <v>0</v>
      </c>
    </row>
    <row r="88" spans="1:25" ht="12" customHeight="1">
      <c r="A88" s="10">
        <f t="shared" si="23"/>
        <v>1933</v>
      </c>
      <c r="B88" s="2193">
        <f t="shared" si="21"/>
        <v>5.6609662760105239</v>
      </c>
      <c r="C88" s="315">
        <f>0.5*(DataUK3!C92+DataUK3!C93)/DataUK1!$B92</f>
        <v>1.1303515905285817</v>
      </c>
      <c r="D88" s="315">
        <f>0.5*(DataUK3!AS92+DataUK3!AS93)/DataUK1!$B92</f>
        <v>4.7555608706051187</v>
      </c>
      <c r="E88" s="2194">
        <f>0.5*(DataUK3!BE92+DataUK3!BE93)/DataUK1!$B92</f>
        <v>0.22494618512317627</v>
      </c>
      <c r="F88" s="1789">
        <f t="shared" si="14"/>
        <v>-1.597632936134207</v>
      </c>
      <c r="G88" s="1252">
        <f>TableUK6g!H15</f>
        <v>-7.248038022963357E-4</v>
      </c>
      <c r="H88" s="901">
        <f t="shared" si="15"/>
        <v>-1.5969081323319108</v>
      </c>
      <c r="I88" s="1252">
        <f>TableUK5c!E88</f>
        <v>0.56287888828521415</v>
      </c>
      <c r="J88" s="2447">
        <f>TableUK5c!I88-TableUK5c!L88</f>
        <v>-2.159787020617125</v>
      </c>
      <c r="K88" s="2448"/>
      <c r="L88" s="1252">
        <f t="shared" si="16"/>
        <v>4.0633333398763174</v>
      </c>
      <c r="M88" s="901">
        <f t="shared" si="17"/>
        <v>4.0640581436786132</v>
      </c>
      <c r="N88" s="1252">
        <f t="shared" si="22"/>
        <v>1.693230478813796</v>
      </c>
      <c r="O88" s="15"/>
      <c r="P88" s="16"/>
      <c r="Q88" s="15"/>
      <c r="R88" s="15"/>
      <c r="S88" s="1287">
        <f t="shared" si="18"/>
        <v>1.3929343714768945</v>
      </c>
      <c r="T88" s="901">
        <f t="shared" si="19"/>
        <v>-0.39318283844830632</v>
      </c>
      <c r="U88" s="1348">
        <f t="shared" si="20"/>
        <v>-0.39293437147689458</v>
      </c>
      <c r="X88" s="903">
        <f>B88-TableUK1!N89</f>
        <v>0</v>
      </c>
      <c r="Y88" s="19">
        <f>F88-TableUK6g!K15</f>
        <v>0</v>
      </c>
    </row>
    <row r="89" spans="1:25" ht="12" customHeight="1">
      <c r="A89" s="10">
        <f t="shared" si="23"/>
        <v>1934</v>
      </c>
      <c r="B89" s="2193">
        <f t="shared" si="21"/>
        <v>5.6843057440072364</v>
      </c>
      <c r="C89" s="315">
        <f>0.5*(DataUK3!C93+DataUK3!C94)/DataUK1!$B93</f>
        <v>1.1032338308457712</v>
      </c>
      <c r="D89" s="315">
        <f>0.5*(DataUK3!AS93+DataUK3!AS94)/DataUK1!$B93</f>
        <v>4.8115106286748075</v>
      </c>
      <c r="E89" s="2194">
        <f>0.5*(DataUK3!BE93+DataUK3!BE94)/DataUK1!$B93</f>
        <v>0.23043871551334238</v>
      </c>
      <c r="F89" s="1789">
        <f t="shared" si="14"/>
        <v>-1.5709688805272373</v>
      </c>
      <c r="G89" s="1252">
        <f>TableUK6g!H16</f>
        <v>-6.8674326800635753E-4</v>
      </c>
      <c r="H89" s="901">
        <f t="shared" si="15"/>
        <v>-1.5702821372592308</v>
      </c>
      <c r="I89" s="1252">
        <f>TableUK5c!E89</f>
        <v>0.54359015832618063</v>
      </c>
      <c r="J89" s="2447">
        <f>TableUK5c!I89-TableUK5c!L89</f>
        <v>-2.1138722955854115</v>
      </c>
      <c r="K89" s="2448"/>
      <c r="L89" s="1252">
        <f t="shared" si="16"/>
        <v>4.1133368634799989</v>
      </c>
      <c r="M89" s="901">
        <f t="shared" si="17"/>
        <v>4.114023606748006</v>
      </c>
      <c r="N89" s="1252">
        <f t="shared" si="22"/>
        <v>1.6468239891719518</v>
      </c>
      <c r="O89" s="15"/>
      <c r="P89" s="16"/>
      <c r="Q89" s="15"/>
      <c r="R89" s="15"/>
      <c r="S89" s="1287">
        <f t="shared" si="18"/>
        <v>1.3816901134654607</v>
      </c>
      <c r="T89" s="901">
        <f t="shared" si="19"/>
        <v>-0.38192079391186873</v>
      </c>
      <c r="U89" s="1348">
        <f t="shared" si="20"/>
        <v>-0.38169011346546083</v>
      </c>
      <c r="X89" s="903">
        <f>B89-TableUK1!N90</f>
        <v>0</v>
      </c>
      <c r="Y89" s="19">
        <f>F89-TableUK6g!K16</f>
        <v>0</v>
      </c>
    </row>
    <row r="90" spans="1:25" ht="12" customHeight="1">
      <c r="A90" s="10">
        <f t="shared" si="23"/>
        <v>1935</v>
      </c>
      <c r="B90" s="2193">
        <f t="shared" si="21"/>
        <v>5.718331171638563</v>
      </c>
      <c r="C90" s="315">
        <f>0.5*(DataUK3!C94+DataUK3!C95)/DataUK1!$B94</f>
        <v>1.1129485516645048</v>
      </c>
      <c r="D90" s="315">
        <f>0.5*(DataUK3!AS94+DataUK3!AS95)/DataUK1!$B94</f>
        <v>4.8463035019455241</v>
      </c>
      <c r="E90" s="2194">
        <f>0.5*(DataUK3!BE94+DataUK3!BE95)/DataUK1!$B94</f>
        <v>0.24092088197146558</v>
      </c>
      <c r="F90" s="1789">
        <f t="shared" si="14"/>
        <v>-1.4431285128135312</v>
      </c>
      <c r="G90" s="1252">
        <f>TableUK6g!H17</f>
        <v>-6.5636466766386841E-4</v>
      </c>
      <c r="H90" s="901">
        <f t="shared" si="15"/>
        <v>-1.4424721481458673</v>
      </c>
      <c r="I90" s="1252">
        <f>TableUK5c!E90</f>
        <v>0.52748749532995021</v>
      </c>
      <c r="J90" s="2447">
        <f>TableUK5c!I90-TableUK5c!L90</f>
        <v>-1.9699596434758175</v>
      </c>
      <c r="K90" s="2448"/>
      <c r="L90" s="1252">
        <f t="shared" si="16"/>
        <v>4.275202658825032</v>
      </c>
      <c r="M90" s="901">
        <f t="shared" si="17"/>
        <v>4.2758590234926954</v>
      </c>
      <c r="N90" s="1252">
        <f t="shared" si="22"/>
        <v>1.640436046994455</v>
      </c>
      <c r="O90" s="15"/>
      <c r="P90" s="16"/>
      <c r="Q90" s="15"/>
      <c r="R90" s="15"/>
      <c r="S90" s="1287">
        <f t="shared" si="18"/>
        <v>1.3373525975062661</v>
      </c>
      <c r="T90" s="901">
        <f t="shared" si="19"/>
        <v>-0.33755791899936527</v>
      </c>
      <c r="U90" s="1348">
        <f t="shared" si="20"/>
        <v>-0.33735259750626612</v>
      </c>
      <c r="X90" s="903">
        <f>B90-TableUK1!N91</f>
        <v>0</v>
      </c>
      <c r="Y90" s="19">
        <f>F90-TableUK6g!K17</f>
        <v>0</v>
      </c>
    </row>
    <row r="91" spans="1:25" ht="12" customHeight="1">
      <c r="A91" s="10">
        <f t="shared" si="23"/>
        <v>1936</v>
      </c>
      <c r="B91" s="2193">
        <f t="shared" si="21"/>
        <v>5.2920612532742295</v>
      </c>
      <c r="C91" s="315">
        <f>0.5*(DataUK3!C95+DataUK3!C96)/DataUK1!$B95</f>
        <v>1.0890590368728592</v>
      </c>
      <c r="D91" s="315">
        <f>0.5*(DataUK3!AS95+DataUK3!AS96)/DataUK1!$B95</f>
        <v>4.4481160588353816</v>
      </c>
      <c r="E91" s="2194">
        <f>0.5*(DataUK3!BE95+DataUK3!BE96)/DataUK1!$B95</f>
        <v>0.24511384243401169</v>
      </c>
      <c r="F91" s="1789">
        <f t="shared" si="14"/>
        <v>-1.3469004264957658</v>
      </c>
      <c r="G91" s="1252">
        <f>TableUK6g!H18</f>
        <v>-6.3743406621948225E-4</v>
      </c>
      <c r="H91" s="901">
        <f t="shared" si="15"/>
        <v>-1.3462629924295464</v>
      </c>
      <c r="I91" s="1252">
        <f>TableUK5c!E91</f>
        <v>0.4997526378040037</v>
      </c>
      <c r="J91" s="2447">
        <f>TableUK5c!I91-TableUK5c!L91</f>
        <v>-1.8460156302335502</v>
      </c>
      <c r="K91" s="2448"/>
      <c r="L91" s="1252">
        <f t="shared" si="16"/>
        <v>3.9451608267784639</v>
      </c>
      <c r="M91" s="901">
        <f t="shared" si="17"/>
        <v>3.9457982608446831</v>
      </c>
      <c r="N91" s="1252">
        <f t="shared" si="22"/>
        <v>1.588811674676863</v>
      </c>
      <c r="O91" s="15"/>
      <c r="P91" s="16"/>
      <c r="Q91" s="15"/>
      <c r="R91" s="15"/>
      <c r="S91" s="1287">
        <f t="shared" si="18"/>
        <v>1.3411890075042381</v>
      </c>
      <c r="T91" s="901">
        <f t="shared" si="19"/>
        <v>-0.34140570831826306</v>
      </c>
      <c r="U91" s="1348">
        <f t="shared" si="20"/>
        <v>-0.34118900750423814</v>
      </c>
      <c r="X91" s="903">
        <f>B91-TableUK1!N92</f>
        <v>0</v>
      </c>
      <c r="Y91" s="19">
        <f>F91-TableUK6g!K18</f>
        <v>0</v>
      </c>
    </row>
    <row r="92" spans="1:25" ht="12" customHeight="1">
      <c r="A92" s="10">
        <f t="shared" si="23"/>
        <v>1937</v>
      </c>
      <c r="B92" s="2193">
        <f t="shared" si="21"/>
        <v>4.7740634005763685</v>
      </c>
      <c r="C92" s="315">
        <f>0.5*(DataUK3!C96+DataUK3!C97)/DataUK1!$B96</f>
        <v>1.0713736791546591</v>
      </c>
      <c r="D92" s="315">
        <f>0.5*(DataUK3!AS96+DataUK3!AS97)/DataUK1!$B96</f>
        <v>3.9487992315081653</v>
      </c>
      <c r="E92" s="2194">
        <f>0.5*(DataUK3!BE96+DataUK3!BE97)/DataUK1!$B96</f>
        <v>0.24610951008645532</v>
      </c>
      <c r="F92" s="1789">
        <f t="shared" si="14"/>
        <v>-1.1777383741587142</v>
      </c>
      <c r="G92" s="1252">
        <f>TableUK6g!H19</f>
        <v>-6.0182409895134488E-4</v>
      </c>
      <c r="H92" s="901">
        <f t="shared" si="15"/>
        <v>-1.1771365500597628</v>
      </c>
      <c r="I92" s="1252">
        <f>TableUK5c!E92</f>
        <v>0.5046406956991023</v>
      </c>
      <c r="J92" s="2447">
        <f>TableUK5c!I92-TableUK5c!L92</f>
        <v>-1.6817772457588651</v>
      </c>
      <c r="K92" s="2448"/>
      <c r="L92" s="1252">
        <f t="shared" si="16"/>
        <v>3.5963250264176541</v>
      </c>
      <c r="M92" s="901">
        <f t="shared" si="17"/>
        <v>3.5969268505166054</v>
      </c>
      <c r="N92" s="1252">
        <f t="shared" si="22"/>
        <v>1.5760143748537614</v>
      </c>
      <c r="O92" s="15"/>
      <c r="P92" s="16"/>
      <c r="Q92" s="15"/>
      <c r="R92" s="15"/>
      <c r="S92" s="1287">
        <f t="shared" si="18"/>
        <v>1.3272617428654958</v>
      </c>
      <c r="T92" s="901">
        <f t="shared" si="19"/>
        <v>-0.32748385240693184</v>
      </c>
      <c r="U92" s="1348">
        <f t="shared" si="20"/>
        <v>-0.32726174286549575</v>
      </c>
      <c r="X92" s="903">
        <f>B92-TableUK1!N93</f>
        <v>0</v>
      </c>
      <c r="Y92" s="19">
        <f>F92-TableUK6g!K19</f>
        <v>0</v>
      </c>
    </row>
    <row r="93" spans="1:25" ht="12" customHeight="1">
      <c r="A93" s="10">
        <f t="shared" si="23"/>
        <v>1938</v>
      </c>
      <c r="B93" s="2193">
        <f t="shared" si="21"/>
        <v>4.6400993883792054</v>
      </c>
      <c r="C93" s="315">
        <f>0.5*(DataUK3!C97+DataUK3!C98)/DataUK1!$B97</f>
        <v>1.120795107033639</v>
      </c>
      <c r="D93" s="315">
        <f>0.5*(DataUK3!AS97+DataUK3!AS98)/DataUK1!$B97</f>
        <v>3.7700688073394497</v>
      </c>
      <c r="E93" s="2194">
        <f>0.5*(DataUK3!BE97+DataUK3!BE98)/DataUK1!$B97</f>
        <v>0.25076452599388377</v>
      </c>
      <c r="F93" s="1789">
        <f t="shared" si="14"/>
        <v>-1.0840191393227547</v>
      </c>
      <c r="G93" s="1252">
        <f>TableUK6g!H20</f>
        <v>-5.5656724043507745E-4</v>
      </c>
      <c r="H93" s="901">
        <f t="shared" si="15"/>
        <v>-1.0834625720823197</v>
      </c>
      <c r="I93" s="1252">
        <f>TableUK5c!E93</f>
        <v>0.52431805522557962</v>
      </c>
      <c r="J93" s="2447">
        <f>TableUK5c!I93-TableUK5c!L93</f>
        <v>-1.6077806273078992</v>
      </c>
      <c r="K93" s="2448"/>
      <c r="L93" s="1252">
        <f t="shared" si="16"/>
        <v>3.5560802490564507</v>
      </c>
      <c r="M93" s="901">
        <f t="shared" si="17"/>
        <v>3.5566368162968858</v>
      </c>
      <c r="N93" s="1252">
        <f t="shared" si="22"/>
        <v>1.6451131622592188</v>
      </c>
      <c r="O93" s="15"/>
      <c r="P93" s="16"/>
      <c r="Q93" s="15"/>
      <c r="R93" s="15"/>
      <c r="S93" s="1287">
        <f t="shared" si="18"/>
        <v>1.3046312086513248</v>
      </c>
      <c r="T93" s="901">
        <f t="shared" si="19"/>
        <v>-0.30483539836042284</v>
      </c>
      <c r="U93" s="1348">
        <f t="shared" si="20"/>
        <v>-0.30463120865132465</v>
      </c>
      <c r="X93" s="903">
        <f>B93-TableUK1!N94</f>
        <v>0</v>
      </c>
      <c r="Y93" s="19">
        <f>F93-TableUK6g!K20</f>
        <v>0</v>
      </c>
    </row>
    <row r="94" spans="1:25" ht="12" customHeight="1">
      <c r="A94" s="893">
        <f t="shared" si="23"/>
        <v>1939</v>
      </c>
      <c r="B94" s="2195">
        <f t="shared" si="21"/>
        <v>4.4148380355276915</v>
      </c>
      <c r="C94" s="896">
        <f>0.5*(DataUK3!C98+DataUK3!C99)/DataUK1!$B98</f>
        <v>1.1136363636363638</v>
      </c>
      <c r="D94" s="896">
        <f>0.5*(DataUK3!AS98+DataUK3!AS99)/DataUK1!$B98</f>
        <v>3.5260362243120871</v>
      </c>
      <c r="E94" s="2196">
        <f>0.5*(DataUK3!BE98+DataUK3!BE99)/DataUK1!$B98</f>
        <v>0.22483455242075936</v>
      </c>
      <c r="F94" s="1790">
        <f t="shared" si="14"/>
        <v>-1.2047659896014049</v>
      </c>
      <c r="G94" s="1253">
        <f>TableUK6g!H21</f>
        <v>-5.30200923202742E-4</v>
      </c>
      <c r="H94" s="902">
        <f t="shared" si="15"/>
        <v>-1.2042357886782022</v>
      </c>
      <c r="I94" s="1253">
        <f>TableUK5c!E94</f>
        <v>0.51272286780117549</v>
      </c>
      <c r="J94" s="2449">
        <f>TableUK5c!I94-TableUK5c!L94</f>
        <v>-1.7169586564793777</v>
      </c>
      <c r="K94" s="2450"/>
      <c r="L94" s="1314">
        <f t="shared" si="16"/>
        <v>3.2100720459262866</v>
      </c>
      <c r="M94" s="902">
        <f t="shared" si="17"/>
        <v>3.210602246849489</v>
      </c>
      <c r="N94" s="1253">
        <f t="shared" si="22"/>
        <v>1.6263592314375392</v>
      </c>
      <c r="O94" s="894"/>
      <c r="P94" s="895"/>
      <c r="Q94" s="894"/>
      <c r="R94" s="894"/>
      <c r="S94" s="1288">
        <f t="shared" si="18"/>
        <v>1.3750809649061633</v>
      </c>
      <c r="T94" s="902">
        <f t="shared" si="19"/>
        <v>-0.37530808416910844</v>
      </c>
      <c r="U94" s="1349">
        <f t="shared" si="20"/>
        <v>-0.37508096490616333</v>
      </c>
      <c r="X94" s="903">
        <f>B94-TableUK1!N95</f>
        <v>0</v>
      </c>
      <c r="Y94" s="19">
        <f>F94-TableUK6g!K21</f>
        <v>0</v>
      </c>
    </row>
    <row r="95" spans="1:25" ht="12" customHeight="1">
      <c r="A95" s="10">
        <f t="shared" si="23"/>
        <v>1940</v>
      </c>
      <c r="B95" s="2193">
        <f t="shared" si="21"/>
        <v>4.1230776023860738</v>
      </c>
      <c r="C95" s="315">
        <f>0.5*(DataUK3!C99+DataUK3!C100)/DataUK1!$B99</f>
        <v>1.0293114363068556</v>
      </c>
      <c r="D95" s="315">
        <f>0.5*(DataUK3!AS99+DataUK3!AS100)/DataUK1!$B99</f>
        <v>3.2766549502050379</v>
      </c>
      <c r="E95" s="2194">
        <f>0.5*(DataUK3!BE99+DataUK3!BE100)/DataUK1!$B99</f>
        <v>0.18288878412581969</v>
      </c>
      <c r="F95" s="1789">
        <f t="shared" si="14"/>
        <v>-1.2731453499194503</v>
      </c>
      <c r="G95" s="1252">
        <f>TableUK6g!H22</f>
        <v>5.7209249626729852E-2</v>
      </c>
      <c r="H95" s="901">
        <f t="shared" si="15"/>
        <v>-1.3303545995461801</v>
      </c>
      <c r="I95" s="1252">
        <f>TableUK5c!E95</f>
        <v>0.52936264134341426</v>
      </c>
      <c r="J95" s="2445">
        <f>TableUK5c!I95-TableUK5c!L95</f>
        <v>-1.8597172408895943</v>
      </c>
      <c r="K95" s="2446"/>
      <c r="L95" s="1252">
        <f t="shared" si="16"/>
        <v>2.8499322524666235</v>
      </c>
      <c r="M95" s="901">
        <f t="shared" si="17"/>
        <v>2.7927230028398937</v>
      </c>
      <c r="N95" s="1252">
        <f t="shared" si="22"/>
        <v>1.5586740776502699</v>
      </c>
      <c r="O95" s="15"/>
      <c r="P95" s="16"/>
      <c r="Q95" s="15"/>
      <c r="R95" s="15"/>
      <c r="S95" s="1287">
        <f t="shared" si="18"/>
        <v>1.4763646799891557</v>
      </c>
      <c r="T95" s="901">
        <f t="shared" si="19"/>
        <v>-0.44672828584523011</v>
      </c>
      <c r="U95" s="1348">
        <f t="shared" si="20"/>
        <v>-0.47636467998915577</v>
      </c>
      <c r="X95" s="903">
        <f>B95-TableUK1!N96</f>
        <v>0</v>
      </c>
      <c r="Y95" s="19">
        <f>F95-TableUK6g!K22</f>
        <v>0</v>
      </c>
    </row>
    <row r="96" spans="1:25" ht="12" customHeight="1">
      <c r="A96" s="10">
        <f t="shared" si="23"/>
        <v>1941</v>
      </c>
      <c r="B96" s="2193">
        <f t="shared" si="21"/>
        <v>3.9515701825288732</v>
      </c>
      <c r="C96" s="315">
        <f>0.5*(DataUK3!C100+DataUK3!C101)/DataUK1!$B100</f>
        <v>0.97023477194825314</v>
      </c>
      <c r="D96" s="315">
        <f>0.5*(DataUK3!AS100+DataUK3!AS101)/DataUK1!$B100</f>
        <v>3.1385732323232323</v>
      </c>
      <c r="E96" s="2194">
        <f>0.5*(DataUK3!BE100+DataUK3!BE101)/DataUK1!$B100</f>
        <v>0.15723782174261194</v>
      </c>
      <c r="F96" s="1789">
        <f t="shared" si="14"/>
        <v>-1.2799263810811063</v>
      </c>
      <c r="G96" s="1252">
        <f>TableUK6g!H23</f>
        <v>0.11494870017666244</v>
      </c>
      <c r="H96" s="901">
        <f t="shared" si="15"/>
        <v>-1.3948750812577688</v>
      </c>
      <c r="I96" s="1252">
        <f>TableUK5c!E96</f>
        <v>0.52216364223965417</v>
      </c>
      <c r="J96" s="2447">
        <f>TableUK5c!I96-TableUK5c!L96</f>
        <v>-1.9170387234974231</v>
      </c>
      <c r="K96" s="2448"/>
      <c r="L96" s="1252">
        <f t="shared" si="16"/>
        <v>2.6716438014477668</v>
      </c>
      <c r="M96" s="901">
        <f t="shared" si="17"/>
        <v>2.5566951012711043</v>
      </c>
      <c r="N96" s="1252">
        <f t="shared" si="22"/>
        <v>1.4923984141879072</v>
      </c>
      <c r="O96" s="15"/>
      <c r="P96" s="16"/>
      <c r="Q96" s="15"/>
      <c r="R96" s="15"/>
      <c r="S96" s="1287">
        <f t="shared" si="18"/>
        <v>1.5455774059895853</v>
      </c>
      <c r="T96" s="901">
        <f t="shared" si="19"/>
        <v>-0.47907822906164094</v>
      </c>
      <c r="U96" s="1348">
        <f t="shared" si="20"/>
        <v>-0.54557740598958515</v>
      </c>
      <c r="X96" s="903">
        <f>B96-TableUK1!N97</f>
        <v>0</v>
      </c>
      <c r="Y96" s="19">
        <f>F96-TableUK6g!K23</f>
        <v>0</v>
      </c>
    </row>
    <row r="97" spans="1:25" ht="12" customHeight="1">
      <c r="A97" s="10">
        <f t="shared" si="23"/>
        <v>1942</v>
      </c>
      <c r="B97" s="2193">
        <f t="shared" si="21"/>
        <v>3.8990997623824204</v>
      </c>
      <c r="C97" s="315">
        <f>0.5*(DataUK3!C101+DataUK3!C102)/DataUK1!$B101</f>
        <v>0.96888631741560949</v>
      </c>
      <c r="D97" s="315">
        <f>0.5*(DataUK3!AS101+DataUK3!AS102)/DataUK1!$B101</f>
        <v>3.0749425287356322</v>
      </c>
      <c r="E97" s="2194">
        <f>0.5*(DataUK3!BE101+DataUK3!BE102)/DataUK1!$B101</f>
        <v>0.14472908376882143</v>
      </c>
      <c r="F97" s="1789">
        <f t="shared" si="14"/>
        <v>-1.2916653990871518</v>
      </c>
      <c r="G97" s="1252">
        <f>TableUK6g!H24</f>
        <v>0.17268815072659502</v>
      </c>
      <c r="H97" s="901">
        <f t="shared" si="15"/>
        <v>-1.4643535498137468</v>
      </c>
      <c r="I97" s="1252">
        <f>TableUK5c!E97</f>
        <v>0.51721493677629127</v>
      </c>
      <c r="J97" s="2447">
        <f>TableUK5c!I97-TableUK5c!L97</f>
        <v>-1.981568486590038</v>
      </c>
      <c r="K97" s="2448"/>
      <c r="L97" s="1252">
        <f t="shared" si="16"/>
        <v>2.6074343632952686</v>
      </c>
      <c r="M97" s="901">
        <f t="shared" si="17"/>
        <v>2.4347462125686734</v>
      </c>
      <c r="N97" s="1252">
        <f t="shared" si="22"/>
        <v>1.4861012541919008</v>
      </c>
      <c r="O97" s="15"/>
      <c r="P97" s="16"/>
      <c r="Q97" s="15"/>
      <c r="R97" s="15"/>
      <c r="S97" s="1287">
        <f t="shared" si="18"/>
        <v>1.6014399128149148</v>
      </c>
      <c r="T97" s="901">
        <f t="shared" si="19"/>
        <v>-0.49537791526792208</v>
      </c>
      <c r="U97" s="1348">
        <f t="shared" si="20"/>
        <v>-0.60143991281491471</v>
      </c>
      <c r="X97" s="903">
        <f>B97-TableUK1!N98</f>
        <v>0</v>
      </c>
      <c r="Y97" s="19">
        <f>F97-TableUK6g!K24</f>
        <v>0</v>
      </c>
    </row>
    <row r="98" spans="1:25" ht="12" customHeight="1">
      <c r="A98" s="10">
        <f t="shared" si="23"/>
        <v>1943</v>
      </c>
      <c r="B98" s="2193">
        <f t="shared" si="21"/>
        <v>3.9529362295623356</v>
      </c>
      <c r="C98" s="315">
        <f>0.5*(DataUK3!C102+DataUK3!C103)/DataUK1!$B102</f>
        <v>1.013140113942794</v>
      </c>
      <c r="D98" s="315">
        <f>0.5*(DataUK3!AS102+DataUK3!AS103)/DataUK1!$B102</f>
        <v>3.0812780943672458</v>
      </c>
      <c r="E98" s="2194">
        <f>0.5*(DataUK3!BE102+DataUK3!BE103)/DataUK1!$B102</f>
        <v>0.14148197874770413</v>
      </c>
      <c r="F98" s="1789">
        <f t="shared" si="14"/>
        <v>-1.3586208367433683</v>
      </c>
      <c r="G98" s="1252">
        <f>TableUK6g!H25</f>
        <v>0.23042760127652762</v>
      </c>
      <c r="H98" s="901">
        <f t="shared" si="15"/>
        <v>-1.5890484380198959</v>
      </c>
      <c r="I98" s="1252">
        <f>TableUK5c!E98</f>
        <v>0.5064662144622667</v>
      </c>
      <c r="J98" s="2447">
        <f>TableUK5c!I98-TableUK5c!L98</f>
        <v>-2.0955146524821626</v>
      </c>
      <c r="K98" s="2448"/>
      <c r="L98" s="1252">
        <f t="shared" si="16"/>
        <v>2.5943153928189675</v>
      </c>
      <c r="M98" s="901">
        <f t="shared" si="17"/>
        <v>2.3638877915424397</v>
      </c>
      <c r="N98" s="1252">
        <f t="shared" si="22"/>
        <v>1.5196063284050607</v>
      </c>
      <c r="O98" s="15"/>
      <c r="P98" s="16"/>
      <c r="Q98" s="15"/>
      <c r="R98" s="15"/>
      <c r="S98" s="1287">
        <f t="shared" si="18"/>
        <v>1.6722182176773457</v>
      </c>
      <c r="T98" s="901">
        <f t="shared" si="19"/>
        <v>-0.52369146808595968</v>
      </c>
      <c r="U98" s="1348">
        <f t="shared" si="20"/>
        <v>-0.6722182176773458</v>
      </c>
      <c r="X98" s="903">
        <f>B98-TableUK1!N99</f>
        <v>0</v>
      </c>
      <c r="Y98" s="19">
        <f>F98-TableUK6g!K25</f>
        <v>0</v>
      </c>
    </row>
    <row r="99" spans="1:25" ht="12" customHeight="1">
      <c r="A99" s="10">
        <f t="shared" si="23"/>
        <v>1944</v>
      </c>
      <c r="B99" s="2193">
        <f t="shared" si="21"/>
        <v>4.0831526994823708</v>
      </c>
      <c r="C99" s="315">
        <f>0.5*(DataUK3!C103+DataUK3!C104)/DataUK1!$B103</f>
        <v>1.0971719729277911</v>
      </c>
      <c r="D99" s="315">
        <f>0.5*(DataUK3!AS103+DataUK3!AS104)/DataUK1!$B103</f>
        <v>3.1353609373891884</v>
      </c>
      <c r="E99" s="2194">
        <f>0.5*(DataUK3!BE103+DataUK3!BE104)/DataUK1!$B103</f>
        <v>0.1493802108346092</v>
      </c>
      <c r="F99" s="1789">
        <f t="shared" si="14"/>
        <v>-1.4759506390375883</v>
      </c>
      <c r="G99" s="1252">
        <f>TableUK6g!H26</f>
        <v>0.28816705182646019</v>
      </c>
      <c r="H99" s="901">
        <f t="shared" si="15"/>
        <v>-1.7641176908640483</v>
      </c>
      <c r="I99" s="1252">
        <f>TableUK5c!E99</f>
        <v>0.50176135678896872</v>
      </c>
      <c r="J99" s="2447">
        <f>TableUK5c!I99-TableUK5c!L99</f>
        <v>-2.2658790476530171</v>
      </c>
      <c r="K99" s="2448"/>
      <c r="L99" s="1252">
        <f t="shared" si="16"/>
        <v>2.6072020604447825</v>
      </c>
      <c r="M99" s="901">
        <f t="shared" si="17"/>
        <v>2.3190350086183225</v>
      </c>
      <c r="N99" s="1252">
        <f t="shared" si="22"/>
        <v>1.5989333297167598</v>
      </c>
      <c r="O99" s="15"/>
      <c r="P99" s="16"/>
      <c r="Q99" s="15"/>
      <c r="R99" s="15"/>
      <c r="S99" s="1287">
        <f t="shared" si="18"/>
        <v>1.7607119704135501</v>
      </c>
      <c r="T99" s="901">
        <f t="shared" si="19"/>
        <v>-0.56610519814708748</v>
      </c>
      <c r="U99" s="1348">
        <f t="shared" si="20"/>
        <v>-0.76071197041355021</v>
      </c>
      <c r="X99" s="903">
        <f>B99-TableUK1!N100</f>
        <v>0</v>
      </c>
      <c r="Y99" s="19">
        <f>F99-TableUK6g!K26</f>
        <v>0</v>
      </c>
    </row>
    <row r="100" spans="1:25" ht="12" customHeight="1">
      <c r="A100" s="10">
        <f t="shared" si="23"/>
        <v>1945</v>
      </c>
      <c r="B100" s="2193">
        <f t="shared" si="21"/>
        <v>4.2873971245971969</v>
      </c>
      <c r="C100" s="315">
        <f>0.5*(DataUK3!C104+DataUK3!C105)/DataUK1!$B104</f>
        <v>1.1979834273079286</v>
      </c>
      <c r="D100" s="315">
        <f>0.5*(DataUK3!AS104+DataUK3!AS105)/DataUK1!$B104</f>
        <v>3.2638835222333857</v>
      </c>
      <c r="E100" s="2194">
        <f>0.5*(DataUK3!BE104+DataUK3!BE105)/DataUK1!$B104</f>
        <v>0.17446982494411728</v>
      </c>
      <c r="F100" s="1789">
        <f t="shared" si="14"/>
        <v>-1.6097208430703784</v>
      </c>
      <c r="G100" s="1252">
        <f>TableUK6g!H27</f>
        <v>0.34590650237639281</v>
      </c>
      <c r="H100" s="901">
        <f t="shared" si="15"/>
        <v>-1.9556273454467712</v>
      </c>
      <c r="I100" s="1252">
        <f>TableUK5c!E100</f>
        <v>0.49655076495341549</v>
      </c>
      <c r="J100" s="2447">
        <f>TableUK5c!I100-TableUK5c!L100</f>
        <v>-2.4521781104001867</v>
      </c>
      <c r="K100" s="2448"/>
      <c r="L100" s="1252">
        <f t="shared" si="16"/>
        <v>2.6776762815268187</v>
      </c>
      <c r="M100" s="901">
        <f t="shared" si="17"/>
        <v>2.3317697791504255</v>
      </c>
      <c r="N100" s="1252">
        <f t="shared" si="22"/>
        <v>1.6945341922613442</v>
      </c>
      <c r="O100" s="15"/>
      <c r="P100" s="16"/>
      <c r="Q100" s="15"/>
      <c r="R100" s="15"/>
      <c r="S100" s="1287">
        <f t="shared" si="18"/>
        <v>1.83868800553685</v>
      </c>
      <c r="T100" s="901">
        <f t="shared" si="19"/>
        <v>-0.60116334979540953</v>
      </c>
      <c r="U100" s="1348">
        <f t="shared" si="20"/>
        <v>-0.83868800553684986</v>
      </c>
      <c r="X100" s="903">
        <f>B100-TableUK1!N101</f>
        <v>0</v>
      </c>
      <c r="Y100" s="19">
        <f>F100-TableUK6g!K27</f>
        <v>0</v>
      </c>
    </row>
    <row r="101" spans="1:25" ht="12" customHeight="1">
      <c r="A101" s="10">
        <f t="shared" si="23"/>
        <v>1946</v>
      </c>
      <c r="B101" s="2193">
        <f t="shared" si="21"/>
        <v>4.4500511276395844</v>
      </c>
      <c r="C101" s="315">
        <f>0.5*(DataUK3!C105+DataUK3!C106)/DataUK1!$B105</f>
        <v>1.3645483921937105</v>
      </c>
      <c r="D101" s="315">
        <f>0.5*(DataUK3!AS105+DataUK3!AS106)/DataUK1!$B105</f>
        <v>3.3151296105786656</v>
      </c>
      <c r="E101" s="2194">
        <f>0.5*(DataUK3!BE105+DataUK3!BE106)/DataUK1!$B105</f>
        <v>0.22962687513279156</v>
      </c>
      <c r="F101" s="1789">
        <f t="shared" si="14"/>
        <v>-1.6942538843448025</v>
      </c>
      <c r="G101" s="1252">
        <f>TableUK6g!H28</f>
        <v>0.3639779970651506</v>
      </c>
      <c r="H101" s="901">
        <f t="shared" si="15"/>
        <v>-2.0582318814099532</v>
      </c>
      <c r="I101" s="1252">
        <f>TableUK5c!E101</f>
        <v>0.50220684221270451</v>
      </c>
      <c r="J101" s="2447">
        <f>TableUK5c!I101-TableUK5c!L101</f>
        <v>-2.5604387236226578</v>
      </c>
      <c r="K101" s="2448"/>
      <c r="L101" s="1252">
        <f t="shared" si="16"/>
        <v>2.7557972432947819</v>
      </c>
      <c r="M101" s="901">
        <f t="shared" si="17"/>
        <v>2.3918192462296313</v>
      </c>
      <c r="N101" s="1252">
        <f t="shared" si="22"/>
        <v>1.8667552344064151</v>
      </c>
      <c r="O101" s="15"/>
      <c r="P101" s="16"/>
      <c r="Q101" s="15"/>
      <c r="R101" s="15"/>
      <c r="S101" s="1287">
        <f t="shared" si="18"/>
        <v>1.8605298601282132</v>
      </c>
      <c r="T101" s="901">
        <f t="shared" si="19"/>
        <v>-0.61479627663724012</v>
      </c>
      <c r="U101" s="1348">
        <f t="shared" si="20"/>
        <v>-0.86052986012821331</v>
      </c>
      <c r="X101" s="903">
        <f>B101-TableUK1!N102</f>
        <v>0</v>
      </c>
      <c r="Y101" s="19">
        <f>F101-TableUK6g!K28</f>
        <v>0</v>
      </c>
    </row>
    <row r="102" spans="1:25" ht="12" customHeight="1">
      <c r="A102" s="10">
        <f t="shared" ref="A102:A112" si="24">A103-1</f>
        <v>1947</v>
      </c>
      <c r="B102" s="2193">
        <f t="shared" si="21"/>
        <v>3.969969401936897</v>
      </c>
      <c r="C102" s="315">
        <f>0.5*(DataUK3!C106+DataUK3!C107)/DataUK1!$B106</f>
        <v>1.3952918521379538</v>
      </c>
      <c r="D102" s="315">
        <f>0.5*(DataUK3!AS106+DataUK3!AS107)/DataUK1!$B106</f>
        <v>2.8447495585113285</v>
      </c>
      <c r="E102" s="2194">
        <f>0.5*(DataUK3!BE106+DataUK3!BE107)/DataUK1!$B106</f>
        <v>0.27007200871238557</v>
      </c>
      <c r="F102" s="1789">
        <f t="shared" si="14"/>
        <v>-1.9002082621542145</v>
      </c>
      <c r="G102" s="1252">
        <f>TableUK6g!H29</f>
        <v>0.3529460362413247</v>
      </c>
      <c r="H102" s="901">
        <f t="shared" si="15"/>
        <v>-2.2531542983955393</v>
      </c>
      <c r="I102" s="1252">
        <f>TableUK5c!E102</f>
        <v>0.46986390941182343</v>
      </c>
      <c r="J102" s="2447">
        <f>TableUK5c!I102-TableUK5c!L102</f>
        <v>-2.7230182078073626</v>
      </c>
      <c r="K102" s="2448"/>
      <c r="L102" s="1252">
        <f t="shared" si="16"/>
        <v>2.0697611397826825</v>
      </c>
      <c r="M102" s="901">
        <f t="shared" si="17"/>
        <v>1.7168151035413577</v>
      </c>
      <c r="N102" s="1252">
        <f t="shared" si="22"/>
        <v>1.8651557615497771</v>
      </c>
      <c r="O102" s="15"/>
      <c r="P102" s="16"/>
      <c r="Q102" s="15"/>
      <c r="R102" s="15"/>
      <c r="S102" s="1287">
        <f t="shared" si="18"/>
        <v>2.3124035860051841</v>
      </c>
      <c r="T102" s="901">
        <f t="shared" si="19"/>
        <v>-0.91808094452567102</v>
      </c>
      <c r="U102" s="1348">
        <f t="shared" si="20"/>
        <v>-1.3124035860051841</v>
      </c>
      <c r="X102" s="903">
        <f>B102-TableUK1!N103</f>
        <v>0</v>
      </c>
      <c r="Y102" s="19">
        <f>F102-TableUK6g!K29</f>
        <v>0</v>
      </c>
    </row>
    <row r="103" spans="1:25" ht="12" customHeight="1">
      <c r="A103" s="10">
        <f t="shared" si="24"/>
        <v>1948</v>
      </c>
      <c r="B103" s="2193">
        <f t="shared" si="21"/>
        <v>3.644295742463775</v>
      </c>
      <c r="C103" s="315">
        <f>0.5*(DataUK3!C107+DataUK3!C108)/DataUK1!$B107</f>
        <v>1.3359217947455653</v>
      </c>
      <c r="D103" s="315">
        <f>0.5*(DataUK3!AS107+DataUK3!AS108)/DataUK1!$B107</f>
        <v>2.5919361984935754</v>
      </c>
      <c r="E103" s="2194">
        <f>0.5*(DataUK3!BE107+DataUK3!BE108)/DataUK1!$B107</f>
        <v>0.28356225077536551</v>
      </c>
      <c r="F103" s="1789">
        <f t="shared" si="14"/>
        <v>-1.6822605253947482</v>
      </c>
      <c r="G103" s="1252">
        <f>TableUK6g!H30</f>
        <v>0.3452852546584062</v>
      </c>
      <c r="H103" s="901">
        <f t="shared" si="15"/>
        <v>-2.0275457800531544</v>
      </c>
      <c r="I103" s="1252">
        <f>TableUK5c!E103</f>
        <v>0.47319531786677294</v>
      </c>
      <c r="J103" s="2447">
        <f>TableUK5c!I103-TableUK5c!L103</f>
        <v>-2.5007410979199274</v>
      </c>
      <c r="K103" s="2448"/>
      <c r="L103" s="1252">
        <f t="shared" si="16"/>
        <v>1.9620352170690267</v>
      </c>
      <c r="M103" s="901">
        <f t="shared" si="17"/>
        <v>1.6167499624106205</v>
      </c>
      <c r="N103" s="1252">
        <f t="shared" si="22"/>
        <v>1.8091171126123382</v>
      </c>
      <c r="O103" s="15"/>
      <c r="P103" s="16"/>
      <c r="Q103" s="15"/>
      <c r="R103" s="15"/>
      <c r="S103" s="1287">
        <f t="shared" si="18"/>
        <v>2.2540874143766954</v>
      </c>
      <c r="T103" s="901">
        <f t="shared" si="19"/>
        <v>-0.85740587669358048</v>
      </c>
      <c r="U103" s="1348">
        <f t="shared" si="20"/>
        <v>-1.2540874143766954</v>
      </c>
      <c r="X103" s="903">
        <f>B103-TableUK1!N104</f>
        <v>0</v>
      </c>
      <c r="Y103" s="19">
        <f>F103-TableUK6g!K30</f>
        <v>0</v>
      </c>
    </row>
    <row r="104" spans="1:25" ht="12" customHeight="1">
      <c r="A104" s="893">
        <f t="shared" si="24"/>
        <v>1949</v>
      </c>
      <c r="B104" s="2195">
        <f t="shared" si="21"/>
        <v>3.5411054720887676</v>
      </c>
      <c r="C104" s="896">
        <f>0.5*(DataUK3!C108+DataUK3!C109)/DataUK1!$B108</f>
        <v>1.2875022062385637</v>
      </c>
      <c r="D104" s="896">
        <f>0.5*(DataUK3!AS108+DataUK3!AS109)/DataUK1!$B108</f>
        <v>2.5368657835541115</v>
      </c>
      <c r="E104" s="2196">
        <f>0.5*(DataUK3!BE108+DataUK3!BE109)/DataUK1!$B108</f>
        <v>0.28326251770390737</v>
      </c>
      <c r="F104" s="1790">
        <f t="shared" si="14"/>
        <v>-1.3716417416697433</v>
      </c>
      <c r="G104" s="1253">
        <f>TableUK6g!H31</f>
        <v>0.3339774130160138</v>
      </c>
      <c r="H104" s="902">
        <f t="shared" si="15"/>
        <v>-1.7056191546857571</v>
      </c>
      <c r="I104" s="1253">
        <f>TableUK5c!E104</f>
        <v>0.47841357956163655</v>
      </c>
      <c r="J104" s="2449">
        <f>TableUK5c!I104-TableUK5c!L104</f>
        <v>-2.1840327342473937</v>
      </c>
      <c r="K104" s="2450"/>
      <c r="L104" s="1314">
        <f t="shared" si="16"/>
        <v>2.1694637304190243</v>
      </c>
      <c r="M104" s="902">
        <f t="shared" si="17"/>
        <v>1.8354863174030105</v>
      </c>
      <c r="N104" s="1253">
        <f t="shared" si="22"/>
        <v>1.7659157858002001</v>
      </c>
      <c r="O104" s="894"/>
      <c r="P104" s="895"/>
      <c r="Q104" s="894"/>
      <c r="R104" s="894"/>
      <c r="S104" s="1288">
        <f t="shared" si="18"/>
        <v>1.9292464555655202</v>
      </c>
      <c r="T104" s="902">
        <f t="shared" si="19"/>
        <v>-0.63224921552609481</v>
      </c>
      <c r="U104" s="1349">
        <f t="shared" si="20"/>
        <v>-0.92924645556552032</v>
      </c>
      <c r="X104" s="903">
        <f>B104-TableUK1!N105</f>
        <v>0</v>
      </c>
      <c r="Y104" s="19">
        <f>F104-TableUK6g!K31</f>
        <v>0</v>
      </c>
    </row>
    <row r="105" spans="1:25" ht="12" customHeight="1">
      <c r="A105" s="10">
        <f t="shared" si="24"/>
        <v>1950</v>
      </c>
      <c r="B105" s="2193">
        <f t="shared" si="21"/>
        <v>3.545523112617325</v>
      </c>
      <c r="C105" s="315">
        <f>0.5*(DataUK3!C109+DataUK3!C110)/DataUK1!$B109</f>
        <v>1.3103779270804945</v>
      </c>
      <c r="D105" s="315">
        <f>0.5*(DataUK3!AS109+DataUK3!AS110)/DataUK1!$B109</f>
        <v>2.5199778463486036</v>
      </c>
      <c r="E105" s="2194">
        <f>0.5*(DataUK3!BE109+DataUK3!BE110)/DataUK1!$B109</f>
        <v>0.28483266081177311</v>
      </c>
      <c r="F105" s="1789">
        <f t="shared" si="14"/>
        <v>-1.1368286493263657</v>
      </c>
      <c r="G105" s="1252">
        <f>TableUK6g!H32</f>
        <v>0.3294856395847145</v>
      </c>
      <c r="H105" s="901">
        <f t="shared" si="15"/>
        <v>-1.4663142889110803</v>
      </c>
      <c r="I105" s="1252">
        <f>TableUK5c!E105</f>
        <v>0.48304510159970659</v>
      </c>
      <c r="J105" s="2445">
        <f>TableUK5c!I105-TableUK5c!L105</f>
        <v>-1.9493593905107869</v>
      </c>
      <c r="K105" s="2446"/>
      <c r="L105" s="1252">
        <f t="shared" si="16"/>
        <v>2.408694463290959</v>
      </c>
      <c r="M105" s="901">
        <f t="shared" si="17"/>
        <v>2.0792088237062449</v>
      </c>
      <c r="N105" s="1252">
        <f t="shared" si="22"/>
        <v>1.7934230286802011</v>
      </c>
      <c r="O105" s="15"/>
      <c r="P105" s="16"/>
      <c r="Q105" s="15"/>
      <c r="R105" s="15"/>
      <c r="S105" s="1287">
        <f t="shared" si="18"/>
        <v>1.7052270422252902</v>
      </c>
      <c r="T105" s="901">
        <f t="shared" si="19"/>
        <v>-0.47196880577918371</v>
      </c>
      <c r="U105" s="1348">
        <f t="shared" si="20"/>
        <v>-0.70522704222529031</v>
      </c>
      <c r="X105" s="903">
        <f>B105-TableUK1!N106</f>
        <v>0</v>
      </c>
      <c r="Y105" s="19">
        <f>F105-TableUK6g!K32</f>
        <v>0</v>
      </c>
    </row>
    <row r="106" spans="1:25" ht="12" customHeight="1">
      <c r="A106" s="10">
        <f t="shared" si="24"/>
        <v>1951</v>
      </c>
      <c r="B106" s="2193">
        <f t="shared" si="21"/>
        <v>3.3668851411728613</v>
      </c>
      <c r="C106" s="315">
        <f>0.5*(DataUK3!C110+DataUK3!C111)/DataUK1!$B110</f>
        <v>1.2458912628869416</v>
      </c>
      <c r="D106" s="315">
        <f>0.5*(DataUK3!AS110+DataUK3!AS111)/DataUK1!$B110</f>
        <v>2.3946705077421675</v>
      </c>
      <c r="E106" s="2194">
        <f>0.5*(DataUK3!BE110+DataUK3!BE111)/DataUK1!$B110</f>
        <v>0.27367662945624771</v>
      </c>
      <c r="F106" s="1789">
        <f t="shared" ref="F106:F137" si="25">H106+G106</f>
        <v>-0.9586171305333584</v>
      </c>
      <c r="G106" s="1252">
        <f>TableUK6g!H33</f>
        <v>0.32682939936076999</v>
      </c>
      <c r="H106" s="901">
        <f t="shared" ref="H106:H121" si="26">I106+J106</f>
        <v>-1.2854465298941284</v>
      </c>
      <c r="I106" s="1252">
        <f>TableUK5c!E106</f>
        <v>0.48853504419180915</v>
      </c>
      <c r="J106" s="2447">
        <f>TableUK5c!I106-TableUK5c!L106</f>
        <v>-1.7739815740859375</v>
      </c>
      <c r="K106" s="2448"/>
      <c r="L106" s="1252">
        <f t="shared" ref="L106:L137" si="27">F106+B106</f>
        <v>2.4082680106395031</v>
      </c>
      <c r="M106" s="901">
        <f t="shared" ref="M106:M137" si="28">H106+B106</f>
        <v>2.0814386112787329</v>
      </c>
      <c r="N106" s="1252">
        <f t="shared" si="22"/>
        <v>1.7344263070787509</v>
      </c>
      <c r="O106" s="15"/>
      <c r="P106" s="16"/>
      <c r="Q106" s="15"/>
      <c r="R106" s="15"/>
      <c r="S106" s="1287">
        <f t="shared" ref="S106:S137" si="29">B106/M106</f>
        <v>1.6175759990847933</v>
      </c>
      <c r="T106" s="901">
        <f t="shared" ref="T106:T137" si="30">F106/L106</f>
        <v>-0.39805251172140205</v>
      </c>
      <c r="U106" s="1348">
        <f t="shared" ref="U106:U137" si="31">H106/M106</f>
        <v>-0.61757599908479344</v>
      </c>
      <c r="X106" s="903">
        <f>B106-TableUK1!N107</f>
        <v>0</v>
      </c>
      <c r="Y106" s="19">
        <f>F106-TableUK6g!K33</f>
        <v>0</v>
      </c>
    </row>
    <row r="107" spans="1:25" ht="12" customHeight="1">
      <c r="A107" s="10">
        <f t="shared" si="24"/>
        <v>1952</v>
      </c>
      <c r="B107" s="2193">
        <f t="shared" ref="B107:B138" si="32">C107+D107-E107</f>
        <v>3.2084561984940492</v>
      </c>
      <c r="C107" s="315">
        <f>0.5*(DataUK3!C111+DataUK3!C112)/DataUK1!$B111</f>
        <v>1.1572946569336895</v>
      </c>
      <c r="D107" s="315">
        <f>0.5*(DataUK3!AS111+DataUK3!AS112)/DataUK1!$B111</f>
        <v>2.3197260641869208</v>
      </c>
      <c r="E107" s="2194">
        <f>0.5*(DataUK3!BE111+DataUK3!BE112)/DataUK1!$B111</f>
        <v>0.26856452262656105</v>
      </c>
      <c r="F107" s="1789">
        <f t="shared" si="25"/>
        <v>-0.75373774103762359</v>
      </c>
      <c r="G107" s="1252">
        <f>TableUK6g!H34</f>
        <v>0.33150256721682569</v>
      </c>
      <c r="H107" s="901">
        <f t="shared" si="26"/>
        <v>-1.0852403082544493</v>
      </c>
      <c r="I107" s="1252">
        <f>TableUK5c!E107</f>
        <v>0.50421498979970514</v>
      </c>
      <c r="J107" s="2447">
        <f>TableUK5c!I107-TableUK5c!L107</f>
        <v>-1.5894552980541545</v>
      </c>
      <c r="K107" s="2448"/>
      <c r="L107" s="1252">
        <f t="shared" si="27"/>
        <v>2.4547184574564254</v>
      </c>
      <c r="M107" s="901">
        <f t="shared" si="28"/>
        <v>2.1232158902395999</v>
      </c>
      <c r="N107" s="1252">
        <f t="shared" ref="N107:N138" si="33">I107+C107</f>
        <v>1.6615096467333945</v>
      </c>
      <c r="O107" s="15"/>
      <c r="P107" s="16"/>
      <c r="Q107" s="15"/>
      <c r="R107" s="15"/>
      <c r="S107" s="1287">
        <f t="shared" si="29"/>
        <v>1.5111304569842789</v>
      </c>
      <c r="T107" s="901">
        <f t="shared" si="30"/>
        <v>-0.30705669676621294</v>
      </c>
      <c r="U107" s="1348">
        <f t="shared" si="31"/>
        <v>-0.51113045698427895</v>
      </c>
      <c r="X107" s="903">
        <f>B107-TableUK1!N108</f>
        <v>0</v>
      </c>
      <c r="Y107" s="19">
        <f>F107-TableUK6g!K34</f>
        <v>0</v>
      </c>
    </row>
    <row r="108" spans="1:25" ht="12" customHeight="1">
      <c r="A108" s="10">
        <f t="shared" si="24"/>
        <v>1953</v>
      </c>
      <c r="B108" s="2193">
        <f t="shared" si="32"/>
        <v>3.0995944633742778</v>
      </c>
      <c r="C108" s="315">
        <f>0.5*(DataUK3!C112+DataUK3!C113)/DataUK1!$B112</f>
        <v>1.0835672044141567</v>
      </c>
      <c r="D108" s="315">
        <f>0.5*(DataUK3!AS112+DataUK3!AS113)/DataUK1!$B112</f>
        <v>2.2810449268046442</v>
      </c>
      <c r="E108" s="2194">
        <f>0.5*(DataUK3!BE112+DataUK3!BE113)/DataUK1!$B112</f>
        <v>0.26501766784452296</v>
      </c>
      <c r="F108" s="1789">
        <f t="shared" si="25"/>
        <v>-0.69019506874533487</v>
      </c>
      <c r="G108" s="1252">
        <f>TableUK6g!H35</f>
        <v>0.33117558622665172</v>
      </c>
      <c r="H108" s="901">
        <f t="shared" si="26"/>
        <v>-1.0213706549719865</v>
      </c>
      <c r="I108" s="1252">
        <f>TableUK5c!E108</f>
        <v>0.51411116177956617</v>
      </c>
      <c r="J108" s="2447">
        <f>TableUK5c!I108-TableUK5c!L108</f>
        <v>-1.5354818167515527</v>
      </c>
      <c r="K108" s="2448"/>
      <c r="L108" s="1252">
        <f t="shared" si="27"/>
        <v>2.4093993946289429</v>
      </c>
      <c r="M108" s="901">
        <f t="shared" si="28"/>
        <v>2.0782238084022913</v>
      </c>
      <c r="N108" s="1252">
        <f t="shared" si="33"/>
        <v>1.5976783661937228</v>
      </c>
      <c r="O108" s="15"/>
      <c r="P108" s="16"/>
      <c r="Q108" s="15"/>
      <c r="R108" s="15"/>
      <c r="S108" s="1287">
        <f t="shared" si="29"/>
        <v>1.491463263409152</v>
      </c>
      <c r="T108" s="901">
        <f t="shared" si="30"/>
        <v>-0.28645938497532814</v>
      </c>
      <c r="U108" s="1348">
        <f t="shared" si="31"/>
        <v>-0.49146326340915208</v>
      </c>
      <c r="X108" s="903">
        <f>B108-TableUK1!N109</f>
        <v>0</v>
      </c>
      <c r="Y108" s="19">
        <f>F108-TableUK6g!K35</f>
        <v>0</v>
      </c>
    </row>
    <row r="109" spans="1:25" ht="12" customHeight="1">
      <c r="A109" s="10">
        <f t="shared" si="24"/>
        <v>1954</v>
      </c>
      <c r="B109" s="2193">
        <f t="shared" si="32"/>
        <v>3.0559124726537163</v>
      </c>
      <c r="C109" s="315">
        <f>0.5*(DataUK3!C113+DataUK3!C114)/DataUK1!$B113</f>
        <v>1.0553188246869607</v>
      </c>
      <c r="D109" s="315">
        <f>0.5*(DataUK3!AS113+DataUK3!AS114)/DataUK1!$B113</f>
        <v>2.2647669931730485</v>
      </c>
      <c r="E109" s="2194">
        <f>0.5*(DataUK3!BE113+DataUK3!BE114)/DataUK1!$B113</f>
        <v>0.26417334520629265</v>
      </c>
      <c r="F109" s="1789">
        <f t="shared" si="25"/>
        <v>-0.6210483088766291</v>
      </c>
      <c r="G109" s="1252">
        <f>TableUK6g!H36</f>
        <v>0.32586153542969654</v>
      </c>
      <c r="H109" s="901">
        <f t="shared" si="26"/>
        <v>-0.94690984430632563</v>
      </c>
      <c r="I109" s="1252">
        <f>TableUK5c!E109</f>
        <v>0.51809029466603407</v>
      </c>
      <c r="J109" s="2447">
        <f>TableUK5c!I109-TableUK5c!L109</f>
        <v>-1.4650001389723597</v>
      </c>
      <c r="K109" s="2448"/>
      <c r="L109" s="1252">
        <f t="shared" si="27"/>
        <v>2.4348641637770871</v>
      </c>
      <c r="M109" s="901">
        <f t="shared" si="28"/>
        <v>2.1090026283473908</v>
      </c>
      <c r="N109" s="1252">
        <f t="shared" si="33"/>
        <v>1.5734091193529949</v>
      </c>
      <c r="O109" s="15"/>
      <c r="P109" s="16"/>
      <c r="Q109" s="15"/>
      <c r="R109" s="15"/>
      <c r="S109" s="1287">
        <f t="shared" si="29"/>
        <v>1.448984667718656</v>
      </c>
      <c r="T109" s="901">
        <f t="shared" si="30"/>
        <v>-0.25506486896305003</v>
      </c>
      <c r="U109" s="1348">
        <f t="shared" si="31"/>
        <v>-0.44898466771865608</v>
      </c>
      <c r="X109" s="903">
        <f>B109-TableUK1!N110</f>
        <v>0</v>
      </c>
      <c r="Y109" s="19">
        <f>F109-TableUK6g!K36</f>
        <v>0</v>
      </c>
    </row>
    <row r="110" spans="1:25" ht="12" customHeight="1">
      <c r="A110" s="10">
        <f t="shared" si="24"/>
        <v>1955</v>
      </c>
      <c r="B110" s="2193">
        <f t="shared" si="32"/>
        <v>3.0296635682073827</v>
      </c>
      <c r="C110" s="315">
        <f>0.5*(DataUK3!C114+DataUK3!C115)/DataUK1!$B114</f>
        <v>1.0539043037883244</v>
      </c>
      <c r="D110" s="315">
        <f>0.5*(DataUK3!AS114+DataUK3!AS115)/DataUK1!$B114</f>
        <v>2.240456951797158</v>
      </c>
      <c r="E110" s="2194">
        <f>0.5*(DataUK3!BE114+DataUK3!BE115)/DataUK1!$B114</f>
        <v>0.26469768737809973</v>
      </c>
      <c r="F110" s="1789">
        <f t="shared" si="25"/>
        <v>-0.45973624137966551</v>
      </c>
      <c r="G110" s="1252">
        <f>TableUK6g!H37</f>
        <v>0.32701260576047053</v>
      </c>
      <c r="H110" s="901">
        <f t="shared" si="26"/>
        <v>-0.78674884714013604</v>
      </c>
      <c r="I110" s="1252">
        <f>TableUK5c!E110</f>
        <v>0.53327625181290816</v>
      </c>
      <c r="J110" s="2447">
        <f>TableUK5c!I110-TableUK5c!L110</f>
        <v>-1.3200250989530442</v>
      </c>
      <c r="K110" s="2448"/>
      <c r="L110" s="1252">
        <f t="shared" si="27"/>
        <v>2.5699273268277172</v>
      </c>
      <c r="M110" s="901">
        <f t="shared" si="28"/>
        <v>2.2429147210672467</v>
      </c>
      <c r="N110" s="1252">
        <f t="shared" si="33"/>
        <v>1.5871805556012326</v>
      </c>
      <c r="O110" s="15"/>
      <c r="P110" s="16"/>
      <c r="Q110" s="15"/>
      <c r="R110" s="15"/>
      <c r="S110" s="1287">
        <f t="shared" si="29"/>
        <v>1.3507707358422336</v>
      </c>
      <c r="T110" s="901">
        <f t="shared" si="30"/>
        <v>-0.17889075561804216</v>
      </c>
      <c r="U110" s="1348">
        <f t="shared" si="31"/>
        <v>-0.35077073584223351</v>
      </c>
      <c r="X110" s="903">
        <f>B110-TableUK1!N111</f>
        <v>0</v>
      </c>
      <c r="Y110" s="19">
        <f>F110-TableUK6g!K37</f>
        <v>0</v>
      </c>
    </row>
    <row r="111" spans="1:25" ht="12" customHeight="1">
      <c r="A111" s="10">
        <f t="shared" si="24"/>
        <v>1956</v>
      </c>
      <c r="B111" s="2193">
        <f t="shared" si="32"/>
        <v>2.9647219815344323</v>
      </c>
      <c r="C111" s="315">
        <f>0.5*(DataUK3!C115+DataUK3!C116)/DataUK1!$B115</f>
        <v>1.0271082565539282</v>
      </c>
      <c r="D111" s="315">
        <f>0.5*(DataUK3!AS115+DataUK3!AS116)/DataUK1!$B115</f>
        <v>2.1975565375617361</v>
      </c>
      <c r="E111" s="2194">
        <f>0.5*(DataUK3!BE115+DataUK3!BE116)/DataUK1!$B115</f>
        <v>0.25994281258123209</v>
      </c>
      <c r="F111" s="1789">
        <f t="shared" si="25"/>
        <v>-0.31782060719263311</v>
      </c>
      <c r="G111" s="1252">
        <f>TableUK6g!H38</f>
        <v>0.33123633216337084</v>
      </c>
      <c r="H111" s="901">
        <f t="shared" si="26"/>
        <v>-0.64905693935600395</v>
      </c>
      <c r="I111" s="1252">
        <f>TableUK5c!E111</f>
        <v>0.5476461543111184</v>
      </c>
      <c r="J111" s="2447">
        <f>TableUK5c!I111-TableUK5c!L111</f>
        <v>-1.1967030936671224</v>
      </c>
      <c r="K111" s="2448"/>
      <c r="L111" s="1252">
        <f t="shared" si="27"/>
        <v>2.6469013743417991</v>
      </c>
      <c r="M111" s="901">
        <f t="shared" si="28"/>
        <v>2.3156650421784284</v>
      </c>
      <c r="N111" s="1252">
        <f t="shared" si="33"/>
        <v>1.5747544108650466</v>
      </c>
      <c r="O111" s="15"/>
      <c r="P111" s="16"/>
      <c r="Q111" s="15"/>
      <c r="R111" s="15"/>
      <c r="S111" s="1287">
        <f t="shared" si="29"/>
        <v>1.2802896479127279</v>
      </c>
      <c r="T111" s="901">
        <f t="shared" si="30"/>
        <v>-0.12007270473825836</v>
      </c>
      <c r="U111" s="1348">
        <f t="shared" si="31"/>
        <v>-0.28028964791272792</v>
      </c>
      <c r="X111" s="903">
        <f>B111-TableUK1!N112</f>
        <v>0</v>
      </c>
      <c r="Y111" s="19">
        <f>F111-TableUK6g!K38</f>
        <v>0</v>
      </c>
    </row>
    <row r="112" spans="1:25" ht="12" customHeight="1">
      <c r="A112" s="10">
        <f t="shared" si="24"/>
        <v>1957</v>
      </c>
      <c r="B112" s="2193">
        <f t="shared" si="32"/>
        <v>2.9639861283045859</v>
      </c>
      <c r="C112" s="315">
        <f>0.5*(DataUK3!C116+DataUK3!C117)/DataUK1!$B116</f>
        <v>1.0060757544496712</v>
      </c>
      <c r="D112" s="315">
        <f>0.5*(DataUK3!AS116+DataUK3!AS117)/DataUK1!$B116</f>
        <v>2.217875711809854</v>
      </c>
      <c r="E112" s="2194">
        <f>0.5*(DataUK3!BE116+DataUK3!BE117)/DataUK1!$B116</f>
        <v>0.25996533795493937</v>
      </c>
      <c r="F112" s="1789">
        <f t="shared" si="25"/>
        <v>-0.21110781894807851</v>
      </c>
      <c r="G112" s="1252">
        <f>TableUK6g!H39</f>
        <v>0.33430037719659844</v>
      </c>
      <c r="H112" s="901">
        <f t="shared" si="26"/>
        <v>-0.54540819614467695</v>
      </c>
      <c r="I112" s="1252">
        <f>TableUK5c!E112</f>
        <v>0.55753589594213959</v>
      </c>
      <c r="J112" s="2447">
        <f>TableUK5c!I112-TableUK5c!L112</f>
        <v>-1.1029440920868165</v>
      </c>
      <c r="K112" s="2448"/>
      <c r="L112" s="1252">
        <f t="shared" si="27"/>
        <v>2.7528783093565075</v>
      </c>
      <c r="M112" s="901">
        <f t="shared" si="28"/>
        <v>2.4185779321599088</v>
      </c>
      <c r="N112" s="1252">
        <f t="shared" si="33"/>
        <v>1.5636116503918109</v>
      </c>
      <c r="O112" s="15"/>
      <c r="P112" s="16"/>
      <c r="Q112" s="15"/>
      <c r="R112" s="15"/>
      <c r="S112" s="1287">
        <f t="shared" si="29"/>
        <v>1.2255078031153623</v>
      </c>
      <c r="T112" s="901">
        <f t="shared" si="30"/>
        <v>-7.6686215380666611E-2</v>
      </c>
      <c r="U112" s="1348">
        <f t="shared" si="31"/>
        <v>-0.22550780311536237</v>
      </c>
      <c r="X112" s="903">
        <f>B112-TableUK1!N113</f>
        <v>0</v>
      </c>
      <c r="Y112" s="19">
        <f>F112-TableUK6g!K39</f>
        <v>0</v>
      </c>
    </row>
    <row r="113" spans="1:25" ht="12" customHeight="1">
      <c r="A113" s="10">
        <f t="shared" ref="A113:A125" si="34">A114-1</f>
        <v>1958</v>
      </c>
      <c r="B113" s="2193">
        <f t="shared" si="32"/>
        <v>3.0078247532857136</v>
      </c>
      <c r="C113" s="315">
        <f>0.5*(DataUK3!C117+DataUK3!C118)/DataUK1!$B117</f>
        <v>1.0061155138972415</v>
      </c>
      <c r="D113" s="315">
        <f>0.5*(DataUK3!AS117+DataUK3!AS118)/DataUK1!$B117</f>
        <v>2.2652169784445921</v>
      </c>
      <c r="E113" s="2194">
        <f>0.5*(DataUK3!BE117+DataUK3!BE118)/DataUK1!$B117</f>
        <v>0.26350773905612002</v>
      </c>
      <c r="F113" s="1789">
        <f t="shared" si="25"/>
        <v>-0.14890626599030776</v>
      </c>
      <c r="G113" s="62">
        <f>TableUK6g!H40</f>
        <v>0.33995302066897082</v>
      </c>
      <c r="H113" s="317">
        <f t="shared" si="26"/>
        <v>-0.48885928665927858</v>
      </c>
      <c r="I113" s="62">
        <f>TableUK5c!E113</f>
        <v>0.56860696989839521</v>
      </c>
      <c r="J113" s="2447">
        <f>TableUK5c!I113-TableUK5c!L113</f>
        <v>-1.0574662565576738</v>
      </c>
      <c r="K113" s="2448"/>
      <c r="L113" s="1252">
        <f t="shared" si="27"/>
        <v>2.8589184872954059</v>
      </c>
      <c r="M113" s="317">
        <f t="shared" si="28"/>
        <v>2.5189654666264349</v>
      </c>
      <c r="N113" s="62">
        <f t="shared" si="33"/>
        <v>1.5747224837956368</v>
      </c>
      <c r="O113" s="21"/>
      <c r="P113" s="22"/>
      <c r="Q113" s="21"/>
      <c r="R113" s="21"/>
      <c r="S113" s="945">
        <f t="shared" si="29"/>
        <v>1.19407145240224</v>
      </c>
      <c r="T113" s="317">
        <f t="shared" si="30"/>
        <v>-5.2084823912267632E-2</v>
      </c>
      <c r="U113" s="1345">
        <f t="shared" si="31"/>
        <v>-0.19407145240224005</v>
      </c>
      <c r="X113" s="903">
        <f>B113-TableUK1!N114</f>
        <v>0</v>
      </c>
      <c r="Y113" s="19">
        <f>F113-TableUK6g!K40</f>
        <v>0</v>
      </c>
    </row>
    <row r="114" spans="1:25" ht="12" customHeight="1">
      <c r="A114" s="893">
        <f t="shared" si="34"/>
        <v>1959</v>
      </c>
      <c r="B114" s="2195">
        <f t="shared" si="32"/>
        <v>3.03631873618796</v>
      </c>
      <c r="C114" s="896">
        <f>0.5*(DataUK3!C118+DataUK3!C119)/DataUK1!$B118</f>
        <v>1.0183734692521142</v>
      </c>
      <c r="D114" s="896">
        <f>0.5*(DataUK3!AS118+DataUK3!AS119)/DataUK1!$B118</f>
        <v>2.2826379542395694</v>
      </c>
      <c r="E114" s="2196">
        <f>0.5*(DataUK3!BE118+DataUK3!BE119)/DataUK1!$B118</f>
        <v>0.26469268730372364</v>
      </c>
      <c r="F114" s="1790">
        <f t="shared" si="25"/>
        <v>-0.11543475634960865</v>
      </c>
      <c r="G114" s="898">
        <f>TableUK6g!H41</f>
        <v>0.33960563392032828</v>
      </c>
      <c r="H114" s="1786">
        <f t="shared" si="26"/>
        <v>-0.45504039026993692</v>
      </c>
      <c r="I114" s="898">
        <f>TableUK5c!E114</f>
        <v>0.57462987886944816</v>
      </c>
      <c r="J114" s="2449">
        <f>TableUK5c!I114-TableUK5c!L114</f>
        <v>-1.0296702691393851</v>
      </c>
      <c r="K114" s="2450"/>
      <c r="L114" s="1314">
        <f t="shared" si="27"/>
        <v>2.9208839798383512</v>
      </c>
      <c r="M114" s="1786">
        <f t="shared" si="28"/>
        <v>2.5812783459180233</v>
      </c>
      <c r="N114" s="1314">
        <f t="shared" si="33"/>
        <v>1.5930033481215624</v>
      </c>
      <c r="O114" s="898"/>
      <c r="P114" s="899"/>
      <c r="Q114" s="898"/>
      <c r="R114" s="898"/>
      <c r="S114" s="1344">
        <f t="shared" si="29"/>
        <v>1.1762848981356573</v>
      </c>
      <c r="T114" s="1786">
        <f t="shared" si="30"/>
        <v>-3.9520486656233804E-2</v>
      </c>
      <c r="U114" s="1346">
        <f t="shared" si="31"/>
        <v>-0.1762848981356574</v>
      </c>
      <c r="X114" s="903">
        <f>B114-TableUK1!N115</f>
        <v>0</v>
      </c>
      <c r="Y114" s="19">
        <f>F114-TableUK6g!K41</f>
        <v>0</v>
      </c>
    </row>
    <row r="115" spans="1:25" ht="12" customHeight="1">
      <c r="A115" s="10">
        <f t="shared" si="34"/>
        <v>1960</v>
      </c>
      <c r="B115" s="2193">
        <f t="shared" si="32"/>
        <v>3.0332533980836134</v>
      </c>
      <c r="C115" s="315">
        <f>0.5*(DataUK3!C119+DataUK3!C120)/DataUK1!$B119</f>
        <v>1.0296440386411969</v>
      </c>
      <c r="D115" s="315">
        <f>0.5*(DataUK3!AS119+DataUK3!AS120)/DataUK1!$B119</f>
        <v>2.26497676734152</v>
      </c>
      <c r="E115" s="2194">
        <f>0.5*(DataUK3!BE119+DataUK3!BE120)/DataUK1!$B119</f>
        <v>0.2613674078991039</v>
      </c>
      <c r="F115" s="1789">
        <f t="shared" si="25"/>
        <v>-7.0563478671486046E-2</v>
      </c>
      <c r="G115" s="21">
        <f>TableUK6g!H42</f>
        <v>0.33355338697590975</v>
      </c>
      <c r="H115" s="317">
        <f t="shared" si="26"/>
        <v>-0.4041168656473958</v>
      </c>
      <c r="I115" s="21">
        <f>TableUK5c!E115</f>
        <v>0.56733322270162634</v>
      </c>
      <c r="J115" s="2456">
        <f>TableUK5c!I115-TableUK5c!L115</f>
        <v>-0.97145008834902213</v>
      </c>
      <c r="K115" s="2457"/>
      <c r="L115" s="21">
        <f t="shared" si="27"/>
        <v>2.9626899194121274</v>
      </c>
      <c r="M115" s="317">
        <f t="shared" si="28"/>
        <v>2.6291365324362177</v>
      </c>
      <c r="N115" s="62">
        <f t="shared" si="33"/>
        <v>1.5969772613428233</v>
      </c>
      <c r="O115" s="21"/>
      <c r="P115" s="22"/>
      <c r="Q115" s="21"/>
      <c r="R115" s="21"/>
      <c r="S115" s="945">
        <f t="shared" si="29"/>
        <v>1.1537070671917262</v>
      </c>
      <c r="T115" s="317">
        <f t="shared" si="30"/>
        <v>-2.3817368874528597E-2</v>
      </c>
      <c r="U115" s="1345">
        <f t="shared" si="31"/>
        <v>-0.15370706719172622</v>
      </c>
      <c r="X115" s="903">
        <f>B115-TableUK1!N116</f>
        <v>0</v>
      </c>
      <c r="Y115" s="19">
        <f>F115-TableUK6g!K42</f>
        <v>0</v>
      </c>
    </row>
    <row r="116" spans="1:25" ht="12" customHeight="1">
      <c r="A116" s="10">
        <f t="shared" si="34"/>
        <v>1961</v>
      </c>
      <c r="B116" s="2193">
        <f t="shared" si="32"/>
        <v>3.0870985413280239</v>
      </c>
      <c r="C116" s="315">
        <f>0.5*(DataUK3!C120+DataUK3!C121)/DataUK1!$B120</f>
        <v>1.0468596227489606</v>
      </c>
      <c r="D116" s="315">
        <f>0.5*(DataUK3!AS120+DataUK3!AS121)/DataUK1!$B120</f>
        <v>2.2976265325369383</v>
      </c>
      <c r="E116" s="2194">
        <f>0.5*(DataUK3!BE120+DataUK3!BE121)/DataUK1!$B120</f>
        <v>0.25738761395787491</v>
      </c>
      <c r="F116" s="1789">
        <f t="shared" si="25"/>
        <v>-1.0809854796827723E-2</v>
      </c>
      <c r="G116" s="21">
        <f>TableUK6g!H43</f>
        <v>0.35504867655108896</v>
      </c>
      <c r="H116" s="317">
        <f t="shared" si="26"/>
        <v>-0.36585853134791668</v>
      </c>
      <c r="I116" s="21">
        <f>TableUK5c!E116</f>
        <v>0.53729173215969828</v>
      </c>
      <c r="J116" s="2451">
        <f>TableUK5c!I116-TableUK5c!L116</f>
        <v>-0.90315026350761496</v>
      </c>
      <c r="K116" s="2452"/>
      <c r="L116" s="21">
        <f t="shared" si="27"/>
        <v>3.0762886865311962</v>
      </c>
      <c r="M116" s="317">
        <f t="shared" si="28"/>
        <v>2.7212400099801073</v>
      </c>
      <c r="N116" s="62">
        <f t="shared" si="33"/>
        <v>1.5841513549086588</v>
      </c>
      <c r="O116" s="21"/>
      <c r="P116" s="22"/>
      <c r="Q116" s="21"/>
      <c r="R116" s="21"/>
      <c r="S116" s="945">
        <f t="shared" si="29"/>
        <v>1.1344455211617261</v>
      </c>
      <c r="T116" s="317">
        <f t="shared" si="30"/>
        <v>-3.5139272995269007E-3</v>
      </c>
      <c r="U116" s="1345">
        <f t="shared" si="31"/>
        <v>-0.13444552116172626</v>
      </c>
      <c r="X116" s="903">
        <f>B116-TableUK1!N117</f>
        <v>0</v>
      </c>
      <c r="Y116" s="19">
        <f>F116-TableUK6g!K43</f>
        <v>0</v>
      </c>
    </row>
    <row r="117" spans="1:25" ht="12" customHeight="1">
      <c r="A117" s="10">
        <f t="shared" si="34"/>
        <v>1962</v>
      </c>
      <c r="B117" s="2193">
        <f t="shared" si="32"/>
        <v>3.1546384768490006</v>
      </c>
      <c r="C117" s="315">
        <f>0.5*(DataUK3!C121+DataUK3!C122)/DataUK1!$B121</f>
        <v>1.0579303514300689</v>
      </c>
      <c r="D117" s="315">
        <f>0.5*(DataUK3!AS121+DataUK3!AS122)/DataUK1!$B121</f>
        <v>2.3555150070752959</v>
      </c>
      <c r="E117" s="2194">
        <f>0.5*(DataUK3!BE121+DataUK3!BE122)/DataUK1!$B121</f>
        <v>0.25880688165636406</v>
      </c>
      <c r="F117" s="1789">
        <f t="shared" si="25"/>
        <v>-2.2572834951533061E-3</v>
      </c>
      <c r="G117" s="21">
        <f>TableUK6g!H44</f>
        <v>0.37776502006154167</v>
      </c>
      <c r="H117" s="317">
        <f t="shared" si="26"/>
        <v>-0.38002230355669497</v>
      </c>
      <c r="I117" s="21">
        <f>TableUK5c!E117</f>
        <v>0.51692485290831902</v>
      </c>
      <c r="J117" s="2451">
        <f>TableUK5c!I117-TableUK5c!L117</f>
        <v>-0.89694715646501399</v>
      </c>
      <c r="K117" s="2452"/>
      <c r="L117" s="21">
        <f t="shared" si="27"/>
        <v>3.1523811933538473</v>
      </c>
      <c r="M117" s="317">
        <f t="shared" si="28"/>
        <v>2.7746161732923058</v>
      </c>
      <c r="N117" s="62">
        <f t="shared" si="33"/>
        <v>1.5748552043383879</v>
      </c>
      <c r="O117" s="21"/>
      <c r="P117" s="22"/>
      <c r="Q117" s="21"/>
      <c r="R117" s="21"/>
      <c r="S117" s="945">
        <f t="shared" si="29"/>
        <v>1.136963918546531</v>
      </c>
      <c r="T117" s="317">
        <f t="shared" si="30"/>
        <v>-7.1605664312181781E-4</v>
      </c>
      <c r="U117" s="1345">
        <f t="shared" si="31"/>
        <v>-0.13696391854653103</v>
      </c>
      <c r="X117" s="903">
        <f>B117-TableUK1!N118</f>
        <v>0</v>
      </c>
      <c r="Y117" s="19">
        <f>F117-TableUK6g!K44</f>
        <v>0</v>
      </c>
    </row>
    <row r="118" spans="1:25" ht="12" customHeight="1">
      <c r="A118" s="10">
        <f t="shared" si="34"/>
        <v>1963</v>
      </c>
      <c r="B118" s="2193">
        <f t="shared" si="32"/>
        <v>3.3190771640003986</v>
      </c>
      <c r="C118" s="315">
        <f>0.5*(DataUK3!C122+DataUK3!C123)/DataUK1!$B122</f>
        <v>1.1253052905627865</v>
      </c>
      <c r="D118" s="315">
        <f>0.5*(DataUK3!AS122+DataUK3!AS123)/DataUK1!$B122</f>
        <v>2.4669666452396259</v>
      </c>
      <c r="E118" s="2194">
        <f>0.5*(DataUK3!BE122+DataUK3!BE123)/DataUK1!$B122</f>
        <v>0.27319477180201412</v>
      </c>
      <c r="F118" s="1789">
        <f t="shared" si="25"/>
        <v>3.8962868303264842E-2</v>
      </c>
      <c r="G118" s="21">
        <f>TableUK6g!H45</f>
        <v>0.38992733143274577</v>
      </c>
      <c r="H118" s="317">
        <f t="shared" si="26"/>
        <v>-0.35096446312948093</v>
      </c>
      <c r="I118" s="21">
        <f>TableUK5c!E118</f>
        <v>0.53715806013856149</v>
      </c>
      <c r="J118" s="2451">
        <f>TableUK5c!I118-TableUK5c!L118</f>
        <v>-0.88812252326804242</v>
      </c>
      <c r="K118" s="2452"/>
      <c r="L118" s="21">
        <f t="shared" si="27"/>
        <v>3.3580400323036637</v>
      </c>
      <c r="M118" s="317">
        <f t="shared" si="28"/>
        <v>2.9681127008709178</v>
      </c>
      <c r="N118" s="62">
        <f t="shared" si="33"/>
        <v>1.662463350701348</v>
      </c>
      <c r="O118" s="21"/>
      <c r="P118" s="22"/>
      <c r="Q118" s="21"/>
      <c r="R118" s="21"/>
      <c r="S118" s="945">
        <f t="shared" si="29"/>
        <v>1.1182449921886386</v>
      </c>
      <c r="T118" s="317">
        <f t="shared" si="30"/>
        <v>1.1602859980360555E-2</v>
      </c>
      <c r="U118" s="1345">
        <f t="shared" si="31"/>
        <v>-0.11824499218863868</v>
      </c>
      <c r="X118" s="903">
        <f>B118-TableUK1!N119</f>
        <v>0</v>
      </c>
      <c r="Y118" s="19">
        <f>F118-TableUK6g!K45</f>
        <v>0</v>
      </c>
    </row>
    <row r="119" spans="1:25" ht="12" customHeight="1">
      <c r="A119" s="10">
        <f t="shared" si="34"/>
        <v>1964</v>
      </c>
      <c r="B119" s="2193">
        <f t="shared" si="32"/>
        <v>3.2131100782161606</v>
      </c>
      <c r="C119" s="315">
        <f>0.5*(DataUK3!C123+DataUK3!C124)/DataUK1!$B123</f>
        <v>1.1523114409442372</v>
      </c>
      <c r="D119" s="315">
        <f>0.5*(DataUK3!AS123+DataUK3!AS124)/DataUK1!$B123</f>
        <v>2.3687227700068791</v>
      </c>
      <c r="E119" s="2194">
        <f>0.5*(DataUK3!BE123+DataUK3!BE124)/DataUK1!$B123</f>
        <v>0.30792413273495595</v>
      </c>
      <c r="F119" s="1789">
        <f t="shared" si="25"/>
        <v>7.6895451959266115E-2</v>
      </c>
      <c r="G119" s="21">
        <f>TableUK6g!H46</f>
        <v>0.38699173426858008</v>
      </c>
      <c r="H119" s="317">
        <f t="shared" si="26"/>
        <v>-0.31009628230931396</v>
      </c>
      <c r="I119" s="21">
        <f>TableUK5c!E119</f>
        <v>0.53473973859206603</v>
      </c>
      <c r="J119" s="2451">
        <f>TableUK5c!I119-TableUK5c!L119</f>
        <v>-0.84483602090137999</v>
      </c>
      <c r="K119" s="2452"/>
      <c r="L119" s="21">
        <f t="shared" si="27"/>
        <v>3.2900055301754265</v>
      </c>
      <c r="M119" s="317">
        <f t="shared" si="28"/>
        <v>2.9030137959068467</v>
      </c>
      <c r="N119" s="62">
        <f t="shared" si="33"/>
        <v>1.6870511795363032</v>
      </c>
      <c r="O119" s="21"/>
      <c r="P119" s="22"/>
      <c r="Q119" s="21"/>
      <c r="R119" s="21"/>
      <c r="S119" s="945">
        <f t="shared" si="29"/>
        <v>1.1068187422142255</v>
      </c>
      <c r="T119" s="317">
        <f t="shared" si="30"/>
        <v>2.3372438512334649E-2</v>
      </c>
      <c r="U119" s="1345">
        <f t="shared" si="31"/>
        <v>-0.10681874221422559</v>
      </c>
      <c r="X119" s="903">
        <f>B119-TableUK1!N120</f>
        <v>0</v>
      </c>
      <c r="Y119" s="19">
        <f>F119-TableUK6g!K46</f>
        <v>0</v>
      </c>
    </row>
    <row r="120" spans="1:25" ht="12" customHeight="1">
      <c r="A120" s="10">
        <f t="shared" si="34"/>
        <v>1965</v>
      </c>
      <c r="B120" s="2193">
        <f t="shared" si="32"/>
        <v>3.0810522225867496</v>
      </c>
      <c r="C120" s="315">
        <f>0.5*(DataUK3!C124+DataUK3!C125)/DataUK1!$B124</f>
        <v>1.1497367041961541</v>
      </c>
      <c r="D120" s="315">
        <f>0.5*(DataUK3!AS124+DataUK3!AS125)/DataUK1!$B124</f>
        <v>2.2585287523480577</v>
      </c>
      <c r="E120" s="2194">
        <f>0.5*(DataUK3!BE124+DataUK3!BE125)/DataUK1!$B124</f>
        <v>0.32721323395746227</v>
      </c>
      <c r="F120" s="1789">
        <f t="shared" si="25"/>
        <v>0.15255465361217635</v>
      </c>
      <c r="G120" s="21">
        <f>TableUK6g!H47</f>
        <v>0.39058125600975202</v>
      </c>
      <c r="H120" s="317">
        <f t="shared" si="26"/>
        <v>-0.23802660239757567</v>
      </c>
      <c r="I120" s="21">
        <f>TableUK5c!E120</f>
        <v>0.5373265466884809</v>
      </c>
      <c r="J120" s="2451">
        <f>TableUK5c!I120-TableUK5c!L120</f>
        <v>-0.77535314908605657</v>
      </c>
      <c r="K120" s="2452"/>
      <c r="L120" s="21">
        <f t="shared" si="27"/>
        <v>3.2336068761989258</v>
      </c>
      <c r="M120" s="317">
        <f t="shared" si="28"/>
        <v>2.8430256201891737</v>
      </c>
      <c r="N120" s="62">
        <f t="shared" si="33"/>
        <v>1.687063250884635</v>
      </c>
      <c r="O120" s="21"/>
      <c r="P120" s="22"/>
      <c r="Q120" s="21"/>
      <c r="R120" s="21"/>
      <c r="S120" s="945">
        <f t="shared" si="29"/>
        <v>1.0837229888845454</v>
      </c>
      <c r="T120" s="317">
        <f t="shared" si="30"/>
        <v>4.717786034383465E-2</v>
      </c>
      <c r="U120" s="1345">
        <f t="shared" si="31"/>
        <v>-8.3722988884545296E-2</v>
      </c>
      <c r="X120" s="903">
        <f>B120-TableUK1!N121</f>
        <v>0</v>
      </c>
      <c r="Y120" s="19">
        <f>F120-TableUK6g!K47</f>
        <v>0</v>
      </c>
    </row>
    <row r="121" spans="1:25" ht="12" customHeight="1">
      <c r="A121" s="10">
        <f t="shared" si="34"/>
        <v>1966</v>
      </c>
      <c r="B121" s="2193">
        <f t="shared" si="32"/>
        <v>3.1110184202495486</v>
      </c>
      <c r="C121" s="315">
        <f>0.5*(DataUK3!C125+DataUK3!C126)/DataUK1!$B125</f>
        <v>1.1648951996726864</v>
      </c>
      <c r="D121" s="315">
        <f>0.5*(DataUK3!AS125+DataUK3!AS126)/DataUK1!$B125</f>
        <v>2.296995388537221</v>
      </c>
      <c r="E121" s="2194">
        <f>0.5*(DataUK3!BE125+DataUK3!BE126)/DataUK1!$B125</f>
        <v>0.35087216796035858</v>
      </c>
      <c r="F121" s="1789">
        <f t="shared" si="25"/>
        <v>0.20510478806817073</v>
      </c>
      <c r="G121" s="21">
        <f>TableUK6g!H48</f>
        <v>0.39982754845258389</v>
      </c>
      <c r="H121" s="317">
        <f t="shared" si="26"/>
        <v>-0.19472276038441316</v>
      </c>
      <c r="I121" s="21">
        <f>TableUK5c!E121</f>
        <v>0.53680577435339272</v>
      </c>
      <c r="J121" s="2451">
        <f>TableUK5c!I121-TableUK5c!L121</f>
        <v>-0.73152853473780588</v>
      </c>
      <c r="K121" s="2452"/>
      <c r="L121" s="21">
        <f t="shared" si="27"/>
        <v>3.3161232083177192</v>
      </c>
      <c r="M121" s="317">
        <f t="shared" si="28"/>
        <v>2.9162956598651353</v>
      </c>
      <c r="N121" s="62">
        <f t="shared" si="33"/>
        <v>1.7017009740260791</v>
      </c>
      <c r="O121" s="21"/>
      <c r="P121" s="22"/>
      <c r="Q121" s="21"/>
      <c r="R121" s="21"/>
      <c r="S121" s="945">
        <f t="shared" si="29"/>
        <v>1.0667705826484748</v>
      </c>
      <c r="T121" s="317">
        <f t="shared" si="30"/>
        <v>6.1850774287792849E-2</v>
      </c>
      <c r="U121" s="1345">
        <f t="shared" si="31"/>
        <v>-6.6770582648474727E-2</v>
      </c>
      <c r="X121" s="903">
        <f>B121-TableUK1!N122</f>
        <v>0</v>
      </c>
      <c r="Y121" s="19">
        <f>F121-TableUK6g!K48</f>
        <v>0</v>
      </c>
    </row>
    <row r="122" spans="1:25" ht="12" customHeight="1">
      <c r="A122" s="10">
        <f t="shared" si="34"/>
        <v>1967</v>
      </c>
      <c r="B122" s="2193">
        <f t="shared" si="32"/>
        <v>3.1521706575669901</v>
      </c>
      <c r="C122" s="315">
        <f>0.5*(DataUK3!C126+DataUK3!C127)/DataUK1!$B126</f>
        <v>1.2081732762963611</v>
      </c>
      <c r="D122" s="315">
        <f>0.5*(DataUK3!AS126+DataUK3!AS127)/DataUK1!$B126</f>
        <v>2.327259336042991</v>
      </c>
      <c r="E122" s="2194">
        <f>0.5*(DataUK3!BE126+DataUK3!BE127)/DataUK1!$B126</f>
        <v>0.38326195477236147</v>
      </c>
      <c r="F122" s="1789">
        <f t="shared" si="25"/>
        <v>0.29863062276657848</v>
      </c>
      <c r="G122" s="21">
        <f>TableUK6g!H49</f>
        <v>0.42191549142093354</v>
      </c>
      <c r="H122" s="31">
        <f t="shared" ref="H122:H165" si="35">I122+J122-K122</f>
        <v>-0.12328486865435506</v>
      </c>
      <c r="I122" s="21">
        <f>TableUK5c!E122</f>
        <v>0.5527155678005401</v>
      </c>
      <c r="J122" s="21">
        <f>TableUK5c!I122</f>
        <v>0.38889495076243213</v>
      </c>
      <c r="K122" s="22">
        <f>TableUK5c!L122</f>
        <v>1.0648953872173272</v>
      </c>
      <c r="L122" s="21">
        <f t="shared" si="27"/>
        <v>3.4508012803335686</v>
      </c>
      <c r="M122" s="317">
        <f t="shared" si="28"/>
        <v>3.028885788912635</v>
      </c>
      <c r="N122" s="62">
        <f t="shared" si="33"/>
        <v>1.7608888440969013</v>
      </c>
      <c r="O122" s="21">
        <f t="shared" ref="O122:O165" si="36">J122+D122</f>
        <v>2.7161542868054229</v>
      </c>
      <c r="P122" s="22">
        <f t="shared" ref="P122:P165" si="37">K122+E122</f>
        <v>1.4481573419896887</v>
      </c>
      <c r="Q122" s="21"/>
      <c r="R122" s="21"/>
      <c r="S122" s="945">
        <f t="shared" si="29"/>
        <v>1.0407030430482538</v>
      </c>
      <c r="T122" s="317">
        <f t="shared" si="30"/>
        <v>8.6539501555334894E-2</v>
      </c>
      <c r="U122" s="1345">
        <f t="shared" si="31"/>
        <v>-4.070304304825377E-2</v>
      </c>
      <c r="X122" s="903">
        <f>B122-TableUK1!N123</f>
        <v>0</v>
      </c>
      <c r="Y122" s="19">
        <f>F122-TableUK6g!K49</f>
        <v>0</v>
      </c>
    </row>
    <row r="123" spans="1:25" ht="12" customHeight="1">
      <c r="A123" s="10">
        <f t="shared" si="34"/>
        <v>1968</v>
      </c>
      <c r="B123" s="2193">
        <f t="shared" si="32"/>
        <v>3.1012056588485031</v>
      </c>
      <c r="C123" s="315">
        <f>0.5*(DataUK3!C127+DataUK3!C128)/DataUK1!$B127</f>
        <v>1.2397802623438057</v>
      </c>
      <c r="D123" s="315">
        <f>0.5*(DataUK3!AS127+DataUK3!AS128)/DataUK1!$B127</f>
        <v>2.223835740983938</v>
      </c>
      <c r="E123" s="2194">
        <f>0.5*(DataUK3!BE127+DataUK3!BE128)/DataUK1!$B127</f>
        <v>0.36241034447924031</v>
      </c>
      <c r="F123" s="1789">
        <f t="shared" si="25"/>
        <v>0.3789019092837661</v>
      </c>
      <c r="G123" s="21">
        <f>TableUK6g!H50</f>
        <v>0.44056217799777764</v>
      </c>
      <c r="H123" s="31">
        <f t="shared" si="35"/>
        <v>-6.1660268714011535E-2</v>
      </c>
      <c r="I123" s="21">
        <f>TableUK5c!E123</f>
        <v>0.56333973128598847</v>
      </c>
      <c r="J123" s="21">
        <f>TableUK5c!I123</f>
        <v>0.41457470451560763</v>
      </c>
      <c r="K123" s="22">
        <f>TableUK5c!L123</f>
        <v>1.0395747045156076</v>
      </c>
      <c r="L123" s="21">
        <f t="shared" si="27"/>
        <v>3.4801075681322691</v>
      </c>
      <c r="M123" s="31">
        <f t="shared" si="28"/>
        <v>3.0395453901344913</v>
      </c>
      <c r="N123" s="21">
        <f t="shared" si="33"/>
        <v>1.8031199936297941</v>
      </c>
      <c r="O123" s="21">
        <f t="shared" si="36"/>
        <v>2.6384104454995456</v>
      </c>
      <c r="P123" s="22">
        <f t="shared" si="37"/>
        <v>1.401985048994848</v>
      </c>
      <c r="Q123" s="21"/>
      <c r="R123" s="21"/>
      <c r="S123" s="20">
        <f t="shared" si="29"/>
        <v>1.0202860167557108</v>
      </c>
      <c r="T123" s="31">
        <f t="shared" si="30"/>
        <v>0.1088764935754897</v>
      </c>
      <c r="U123" s="23">
        <f t="shared" si="31"/>
        <v>-2.028601675571071E-2</v>
      </c>
      <c r="X123" s="903">
        <f>B123-TableUK1!N124</f>
        <v>0</v>
      </c>
      <c r="Y123" s="19">
        <f>F123-TableUK6g!K50</f>
        <v>0</v>
      </c>
    </row>
    <row r="124" spans="1:25" ht="12" customHeight="1">
      <c r="A124" s="893">
        <f t="shared" si="34"/>
        <v>1969</v>
      </c>
      <c r="B124" s="2195">
        <f t="shared" si="32"/>
        <v>3.0307594027920799</v>
      </c>
      <c r="C124" s="896">
        <f>0.5*(DataUK3!C128+DataUK3!C129)/DataUK1!$B128</f>
        <v>1.249747301072849</v>
      </c>
      <c r="D124" s="896">
        <f>0.5*(DataUK3!AS128+DataUK3!AS129)/DataUK1!$B128</f>
        <v>2.1304116435661893</v>
      </c>
      <c r="E124" s="2196">
        <f>0.5*(DataUK3!BE128+DataUK3!BE129)/DataUK1!$B128</f>
        <v>0.34939954184695837</v>
      </c>
      <c r="F124" s="1790">
        <f t="shared" si="25"/>
        <v>0.47762454589629066</v>
      </c>
      <c r="G124" s="898">
        <f>TableUK6g!H51</f>
        <v>0.47031260846426171</v>
      </c>
      <c r="H124" s="1080">
        <f t="shared" si="35"/>
        <v>7.3119374320289587E-3</v>
      </c>
      <c r="I124" s="898">
        <f>TableUK5c!E124</f>
        <v>0.57891570446814911</v>
      </c>
      <c r="J124" s="898">
        <f>TableUK5c!I124</f>
        <v>0.40009718397852695</v>
      </c>
      <c r="K124" s="899">
        <f>TableUK5c!L124</f>
        <v>0.97170095101464704</v>
      </c>
      <c r="L124" s="898">
        <f t="shared" si="27"/>
        <v>3.5083839486883708</v>
      </c>
      <c r="M124" s="1080">
        <f t="shared" si="28"/>
        <v>3.0380713402241089</v>
      </c>
      <c r="N124" s="898">
        <f t="shared" si="33"/>
        <v>1.828663005540998</v>
      </c>
      <c r="O124" s="898">
        <f t="shared" si="36"/>
        <v>2.5305088275447161</v>
      </c>
      <c r="P124" s="899">
        <f t="shared" si="37"/>
        <v>1.3211004928616055</v>
      </c>
      <c r="Q124" s="898"/>
      <c r="R124" s="898"/>
      <c r="S124" s="897">
        <f t="shared" si="29"/>
        <v>0.99759323050278026</v>
      </c>
      <c r="T124" s="1080">
        <f t="shared" si="30"/>
        <v>0.13613804899399717</v>
      </c>
      <c r="U124" s="900">
        <f t="shared" si="31"/>
        <v>2.4067694972197658E-3</v>
      </c>
      <c r="X124" s="903">
        <f>B124-TableUK1!N125</f>
        <v>0</v>
      </c>
      <c r="Y124" s="19">
        <f>F124-TableUK6g!K51</f>
        <v>0</v>
      </c>
    </row>
    <row r="125" spans="1:25" ht="12" customHeight="1">
      <c r="A125" s="10">
        <f t="shared" si="34"/>
        <v>1970</v>
      </c>
      <c r="B125" s="2193">
        <f t="shared" si="32"/>
        <v>3.0560606608405614</v>
      </c>
      <c r="C125" s="315">
        <f>0.5*(DataUK3!C129+DataUK3!C130)/DataUK1!$B129</f>
        <v>1.2748686973085672</v>
      </c>
      <c r="D125" s="315">
        <f>0.5*(DataUK3!AS129+DataUK3!AS130)/DataUK1!$B129</f>
        <v>2.142073273678879</v>
      </c>
      <c r="E125" s="2194">
        <f>0.5*(DataUK3!BE129+DataUK3!BE130)/DataUK1!$B129</f>
        <v>0.36088131014688501</v>
      </c>
      <c r="F125" s="1789">
        <f t="shared" si="25"/>
        <v>0.59121222353537051</v>
      </c>
      <c r="G125" s="21">
        <f>TableUK6g!H52</f>
        <v>0.50510720918453478</v>
      </c>
      <c r="H125" s="31">
        <f t="shared" si="35"/>
        <v>8.6105014350835729E-2</v>
      </c>
      <c r="I125" s="21">
        <f>TableUK5c!E125</f>
        <v>0.60562637177106193</v>
      </c>
      <c r="J125" s="21">
        <f>TableUK5c!I125</f>
        <v>0.37247805166300862</v>
      </c>
      <c r="K125" s="22">
        <f>TableUK5c!L125</f>
        <v>0.89199940908323483</v>
      </c>
      <c r="L125" s="21">
        <f t="shared" si="27"/>
        <v>3.6472728843759317</v>
      </c>
      <c r="M125" s="31">
        <f t="shared" si="28"/>
        <v>3.1421656751913973</v>
      </c>
      <c r="N125" s="21">
        <f t="shared" si="33"/>
        <v>1.8804950690796292</v>
      </c>
      <c r="O125" s="21">
        <f t="shared" si="36"/>
        <v>2.5145513253418876</v>
      </c>
      <c r="P125" s="22">
        <f t="shared" si="37"/>
        <v>1.2528807192301199</v>
      </c>
      <c r="Q125" s="21"/>
      <c r="R125" s="21"/>
      <c r="S125" s="20">
        <f t="shared" si="29"/>
        <v>0.97259692096102124</v>
      </c>
      <c r="T125" s="31">
        <f t="shared" si="30"/>
        <v>0.16209706327924792</v>
      </c>
      <c r="U125" s="23">
        <f t="shared" si="31"/>
        <v>2.7403079038978699E-2</v>
      </c>
      <c r="X125" s="903">
        <f>B125-TableUK1!N126</f>
        <v>0</v>
      </c>
      <c r="Y125" s="19">
        <f>F125-TableUK6g!K52</f>
        <v>0</v>
      </c>
    </row>
    <row r="126" spans="1:25" ht="12" customHeight="1">
      <c r="A126" s="10">
        <f t="shared" ref="A126:A141" si="38">A127-1</f>
        <v>1971</v>
      </c>
      <c r="B126" s="2193">
        <f t="shared" si="32"/>
        <v>3.2813621164065081</v>
      </c>
      <c r="C126" s="315">
        <f>0.5*(DataUK3!C130+DataUK3!C131)/DataUK1!$B130</f>
        <v>1.4425040275484198</v>
      </c>
      <c r="D126" s="315">
        <f>0.5*(DataUK3!AS130+DataUK3!AS131)/DataUK1!$B130</f>
        <v>2.2074959574959574</v>
      </c>
      <c r="E126" s="2194">
        <f>0.5*(DataUK3!BE130+DataUK3!BE131)/DataUK1!$B130</f>
        <v>0.36863786863786863</v>
      </c>
      <c r="F126" s="1789">
        <f t="shared" si="25"/>
        <v>0.69059444059444064</v>
      </c>
      <c r="G126" s="21">
        <f>TableUK6g!H53</f>
        <v>0.54543004543004536</v>
      </c>
      <c r="H126" s="31">
        <f t="shared" si="35"/>
        <v>0.14516439516439528</v>
      </c>
      <c r="I126" s="21">
        <f>TableUK5c!E126</f>
        <v>0.63614576114576116</v>
      </c>
      <c r="J126" s="21">
        <f>TableUK5c!I126</f>
        <v>0.38914876414876415</v>
      </c>
      <c r="K126" s="22">
        <f>TableUK5c!L126</f>
        <v>0.88013013013013008</v>
      </c>
      <c r="L126" s="21">
        <f t="shared" si="27"/>
        <v>3.971956557000949</v>
      </c>
      <c r="M126" s="31">
        <f t="shared" si="28"/>
        <v>3.4265265115709034</v>
      </c>
      <c r="N126" s="21">
        <f t="shared" si="33"/>
        <v>2.078649788694181</v>
      </c>
      <c r="O126" s="21">
        <f t="shared" si="36"/>
        <v>2.5966447216447217</v>
      </c>
      <c r="P126" s="22">
        <f t="shared" si="37"/>
        <v>1.2487679987679987</v>
      </c>
      <c r="Q126" s="21"/>
      <c r="R126" s="21"/>
      <c r="S126" s="20">
        <f t="shared" si="29"/>
        <v>0.95763511688171821</v>
      </c>
      <c r="T126" s="31">
        <f t="shared" si="30"/>
        <v>0.17386757148116402</v>
      </c>
      <c r="U126" s="23">
        <f t="shared" si="31"/>
        <v>4.2364883118281828E-2</v>
      </c>
      <c r="X126" s="903">
        <f>B126-TableUK1!N127</f>
        <v>0</v>
      </c>
      <c r="Y126" s="19">
        <f>F126-TableUK6g!K53</f>
        <v>0</v>
      </c>
    </row>
    <row r="127" spans="1:25" ht="12" customHeight="1">
      <c r="A127" s="10">
        <f t="shared" si="38"/>
        <v>1972</v>
      </c>
      <c r="B127" s="2193">
        <f t="shared" si="32"/>
        <v>3.5351728572091243</v>
      </c>
      <c r="C127" s="315">
        <f>0.5*(DataUK3!C131+DataUK3!C132)/DataUK1!$B131</f>
        <v>1.7056945319417425</v>
      </c>
      <c r="D127" s="315">
        <f>0.5*(DataUK3!AS131+DataUK3!AS132)/DataUK1!$B131</f>
        <v>2.2057937068356783</v>
      </c>
      <c r="E127" s="2194">
        <f>0.5*(DataUK3!BE131+DataUK3!BE132)/DataUK1!$B131</f>
        <v>0.37631538156829653</v>
      </c>
      <c r="F127" s="1789">
        <f t="shared" si="25"/>
        <v>0.79238930127619989</v>
      </c>
      <c r="G127" s="21">
        <f>TableUK6g!H54</f>
        <v>0.59322632313177059</v>
      </c>
      <c r="H127" s="31">
        <f t="shared" si="35"/>
        <v>0.19916297814442929</v>
      </c>
      <c r="I127" s="21">
        <f>TableUK5c!E127</f>
        <v>0.65894803919880129</v>
      </c>
      <c r="J127" s="21">
        <f>TableUK5c!I127</f>
        <v>0.3883109725642836</v>
      </c>
      <c r="K127" s="22">
        <f>TableUK5c!L127</f>
        <v>0.8480960336186556</v>
      </c>
      <c r="L127" s="21">
        <f t="shared" si="27"/>
        <v>4.3275621584853239</v>
      </c>
      <c r="M127" s="31">
        <f t="shared" si="28"/>
        <v>3.7343358353535536</v>
      </c>
      <c r="N127" s="21">
        <f t="shared" si="33"/>
        <v>2.3646425711405437</v>
      </c>
      <c r="O127" s="21">
        <f t="shared" si="36"/>
        <v>2.5941046793999618</v>
      </c>
      <c r="P127" s="22">
        <f t="shared" si="37"/>
        <v>1.2244114151869521</v>
      </c>
      <c r="Q127" s="21"/>
      <c r="R127" s="21"/>
      <c r="S127" s="20">
        <f t="shared" si="29"/>
        <v>0.94666709505371172</v>
      </c>
      <c r="T127" s="31">
        <f t="shared" si="30"/>
        <v>0.18310292775864864</v>
      </c>
      <c r="U127" s="23">
        <f t="shared" si="31"/>
        <v>5.3332904946288326E-2</v>
      </c>
      <c r="X127" s="903">
        <f>B127-TableUK1!N128</f>
        <v>0</v>
      </c>
      <c r="Y127" s="19">
        <f>F127-TableUK6g!K54</f>
        <v>0</v>
      </c>
    </row>
    <row r="128" spans="1:25" ht="12" customHeight="1">
      <c r="A128" s="10">
        <f t="shared" si="38"/>
        <v>1973</v>
      </c>
      <c r="B128" s="2193">
        <f t="shared" si="32"/>
        <v>3.4015466274181003</v>
      </c>
      <c r="C128" s="315">
        <f>0.5*(DataUK3!C132+DataUK3!C133)/DataUK1!$B132</f>
        <v>1.781930187427645</v>
      </c>
      <c r="D128" s="315">
        <f>0.5*(DataUK3!AS132+DataUK3!AS133)/DataUK1!$B132</f>
        <v>2.0028781913624432</v>
      </c>
      <c r="E128" s="2194">
        <f>0.5*(DataUK3!BE132+DataUK3!BE133)/DataUK1!$B132</f>
        <v>0.38326175137198759</v>
      </c>
      <c r="F128" s="1789">
        <f t="shared" si="25"/>
        <v>0.92736667859699373</v>
      </c>
      <c r="G128" s="21">
        <f>TableUK6g!H55</f>
        <v>0.6510826771653544</v>
      </c>
      <c r="H128" s="31">
        <f t="shared" si="35"/>
        <v>0.27628400143163934</v>
      </c>
      <c r="I128" s="21">
        <f>TableUK5c!E128</f>
        <v>0.68647846575996185</v>
      </c>
      <c r="J128" s="21">
        <f>TableUK5c!I128</f>
        <v>0.35792471963731809</v>
      </c>
      <c r="K128" s="22">
        <f>TableUK5c!L128</f>
        <v>0.76811918396564061</v>
      </c>
      <c r="L128" s="21">
        <f t="shared" si="27"/>
        <v>4.3289133060150942</v>
      </c>
      <c r="M128" s="31">
        <f t="shared" si="28"/>
        <v>3.6778306288497395</v>
      </c>
      <c r="N128" s="21">
        <f t="shared" si="33"/>
        <v>2.4684086531876068</v>
      </c>
      <c r="O128" s="21">
        <f t="shared" si="36"/>
        <v>2.3608029109997615</v>
      </c>
      <c r="P128" s="22">
        <f t="shared" si="37"/>
        <v>1.1513809353376283</v>
      </c>
      <c r="Q128" s="21"/>
      <c r="R128" s="21"/>
      <c r="S128" s="20">
        <f t="shared" si="29"/>
        <v>0.92487854137044678</v>
      </c>
      <c r="T128" s="31">
        <f t="shared" si="30"/>
        <v>0.214226207142657</v>
      </c>
      <c r="U128" s="23">
        <f t="shared" si="31"/>
        <v>7.5121458629553203E-2</v>
      </c>
      <c r="X128" s="903">
        <f>B128-TableUK1!N129</f>
        <v>0</v>
      </c>
      <c r="Y128" s="19">
        <f>F128-TableUK6g!K55</f>
        <v>0</v>
      </c>
    </row>
    <row r="129" spans="1:25" ht="12" customHeight="1">
      <c r="A129" s="10">
        <f t="shared" si="38"/>
        <v>1974</v>
      </c>
      <c r="B129" s="2193">
        <f t="shared" si="32"/>
        <v>3.3735529856295461</v>
      </c>
      <c r="C129" s="315">
        <f>0.5*(DataUK3!C133+DataUK3!C134)/DataUK1!$B133</f>
        <v>1.8004981103705098</v>
      </c>
      <c r="D129" s="315">
        <f>0.5*(DataUK3!AS133+DataUK3!AS134)/DataUK1!$B133</f>
        <v>1.9599267971041796</v>
      </c>
      <c r="E129" s="2194">
        <f>0.5*(DataUK3!BE133+DataUK3!BE134)/DataUK1!$B133</f>
        <v>0.38687192184514357</v>
      </c>
      <c r="F129" s="1789">
        <f t="shared" si="25"/>
        <v>1.1143391554754154</v>
      </c>
      <c r="G129" s="21">
        <f>TableUK6g!H56</f>
        <v>0.78695804289905003</v>
      </c>
      <c r="H129" s="31">
        <f t="shared" si="35"/>
        <v>0.32738111257636526</v>
      </c>
      <c r="I129" s="21">
        <f>TableUK5c!E129</f>
        <v>0.71456253195898489</v>
      </c>
      <c r="J129" s="21">
        <f>TableUK5c!I129</f>
        <v>0.36193045724897061</v>
      </c>
      <c r="K129" s="22">
        <f>TableUK5c!L129</f>
        <v>0.74911187663159029</v>
      </c>
      <c r="L129" s="21">
        <f t="shared" si="27"/>
        <v>4.487892141104961</v>
      </c>
      <c r="M129" s="31">
        <f t="shared" si="28"/>
        <v>3.7009340982059111</v>
      </c>
      <c r="N129" s="21">
        <f t="shared" si="33"/>
        <v>2.5150606423294946</v>
      </c>
      <c r="O129" s="21">
        <f t="shared" si="36"/>
        <v>2.3218572543531502</v>
      </c>
      <c r="P129" s="22">
        <f t="shared" si="37"/>
        <v>1.1359837984767338</v>
      </c>
      <c r="Q129" s="21"/>
      <c r="R129" s="21"/>
      <c r="S129" s="20">
        <f t="shared" si="29"/>
        <v>0.91154095050353146</v>
      </c>
      <c r="T129" s="31">
        <f t="shared" si="30"/>
        <v>0.24829900551064818</v>
      </c>
      <c r="U129" s="23">
        <f t="shared" si="31"/>
        <v>8.8459049496468656E-2</v>
      </c>
      <c r="X129" s="903">
        <f>B129-TableUK1!N130</f>
        <v>0</v>
      </c>
      <c r="Y129" s="19">
        <f>F129-TableUK6g!K56</f>
        <v>0</v>
      </c>
    </row>
    <row r="130" spans="1:25" ht="12" customHeight="1">
      <c r="A130" s="10">
        <f t="shared" si="38"/>
        <v>1975</v>
      </c>
      <c r="B130" s="2193">
        <f t="shared" si="32"/>
        <v>3.0118957799855384</v>
      </c>
      <c r="C130" s="315">
        <f>0.5*(DataUK3!C134+DataUK3!C135)/DataUK1!$B134</f>
        <v>1.616043656619184</v>
      </c>
      <c r="D130" s="315">
        <f>0.5*(DataUK3!AS134+DataUK3!AS135)/DataUK1!$B134</f>
        <v>1.7417353609193915</v>
      </c>
      <c r="E130" s="2194">
        <f>0.5*(DataUK3!BE134+DataUK3!BE135)/DataUK1!$B134</f>
        <v>0.34588323755303724</v>
      </c>
      <c r="F130" s="1789">
        <f t="shared" si="25"/>
        <v>1.0161233148933886</v>
      </c>
      <c r="G130" s="21">
        <f>TableUK6g!H57</f>
        <v>0.71619850690155218</v>
      </c>
      <c r="H130" s="31">
        <f t="shared" si="35"/>
        <v>0.2999248079918363</v>
      </c>
      <c r="I130" s="21">
        <f>TableUK5c!E130</f>
        <v>0.64477147000375956</v>
      </c>
      <c r="J130" s="21">
        <f>TableUK5c!I130</f>
        <v>0.3491916859122402</v>
      </c>
      <c r="K130" s="22">
        <f>TableUK5c!L130</f>
        <v>0.69403834792416352</v>
      </c>
      <c r="L130" s="21">
        <f t="shared" si="27"/>
        <v>4.0280190948789265</v>
      </c>
      <c r="M130" s="31">
        <f t="shared" si="28"/>
        <v>3.3118205879773748</v>
      </c>
      <c r="N130" s="21">
        <f t="shared" si="33"/>
        <v>2.2608151266229437</v>
      </c>
      <c r="O130" s="21">
        <f t="shared" si="36"/>
        <v>2.0909270468316317</v>
      </c>
      <c r="P130" s="22">
        <f t="shared" si="37"/>
        <v>1.0399215854772008</v>
      </c>
      <c r="Q130" s="21"/>
      <c r="R130" s="21"/>
      <c r="S130" s="20">
        <f t="shared" si="29"/>
        <v>0.90943808699039186</v>
      </c>
      <c r="T130" s="31">
        <f t="shared" si="30"/>
        <v>0.25226377804048894</v>
      </c>
      <c r="U130" s="23">
        <f t="shared" si="31"/>
        <v>9.0561913009608142E-2</v>
      </c>
      <c r="X130" s="903">
        <f>B130-TableUK1!N131</f>
        <v>0</v>
      </c>
      <c r="Y130" s="19">
        <f>F130-TableUK6g!K57</f>
        <v>0</v>
      </c>
    </row>
    <row r="131" spans="1:25" ht="12" customHeight="1">
      <c r="A131" s="10">
        <f t="shared" si="38"/>
        <v>1976</v>
      </c>
      <c r="B131" s="2193">
        <f t="shared" si="32"/>
        <v>2.8277830036556884</v>
      </c>
      <c r="C131" s="315">
        <f>0.5*(DataUK3!C135+DataUK3!C136)/DataUK1!$B135</f>
        <v>1.4883600075656223</v>
      </c>
      <c r="D131" s="315">
        <f>0.5*(DataUK3!AS135+DataUK3!AS136)/DataUK1!$B135</f>
        <v>1.6788101806838063</v>
      </c>
      <c r="E131" s="2194">
        <f>0.5*(DataUK3!BE135+DataUK3!BE136)/DataUK1!$B135</f>
        <v>0.33938718459374029</v>
      </c>
      <c r="F131" s="1789">
        <f t="shared" si="25"/>
        <v>0.93091666514406823</v>
      </c>
      <c r="G131" s="21">
        <f>TableUK6g!H58</f>
        <v>0.64905629350824945</v>
      </c>
      <c r="H131" s="31">
        <f t="shared" si="35"/>
        <v>0.28186037163581878</v>
      </c>
      <c r="I131" s="21">
        <f>TableUK5c!E131</f>
        <v>0.62639089364345613</v>
      </c>
      <c r="J131" s="21">
        <f>TableUK5c!I131</f>
        <v>0.3491714019477079</v>
      </c>
      <c r="K131" s="22">
        <f>TableUK5c!L131</f>
        <v>0.69370192395534525</v>
      </c>
      <c r="L131" s="21">
        <f t="shared" si="27"/>
        <v>3.7586996687997565</v>
      </c>
      <c r="M131" s="31">
        <f t="shared" si="28"/>
        <v>3.1096433752915074</v>
      </c>
      <c r="N131" s="21">
        <f t="shared" si="33"/>
        <v>2.1147509012090784</v>
      </c>
      <c r="O131" s="21">
        <f t="shared" si="36"/>
        <v>2.0279815826315142</v>
      </c>
      <c r="P131" s="22">
        <f t="shared" si="37"/>
        <v>1.0330891085490856</v>
      </c>
      <c r="Q131" s="21"/>
      <c r="R131" s="21"/>
      <c r="S131" s="20">
        <f t="shared" si="29"/>
        <v>0.90935926161970371</v>
      </c>
      <c r="T131" s="31">
        <f t="shared" si="30"/>
        <v>0.24766987181003808</v>
      </c>
      <c r="U131" s="23">
        <f t="shared" si="31"/>
        <v>9.064073838029621E-2</v>
      </c>
      <c r="X131" s="903">
        <f>B131-TableUK1!N132</f>
        <v>0</v>
      </c>
      <c r="Y131" s="19">
        <f>F131-TableUK6g!K58</f>
        <v>0</v>
      </c>
    </row>
    <row r="132" spans="1:25" ht="12" customHeight="1">
      <c r="A132" s="10">
        <f t="shared" si="38"/>
        <v>1977</v>
      </c>
      <c r="B132" s="2193">
        <f t="shared" si="32"/>
        <v>2.8426428530536172</v>
      </c>
      <c r="C132" s="315">
        <f>0.5*(DataUK3!C136+DataUK3!C137)/DataUK1!$B136</f>
        <v>1.4814201549836672</v>
      </c>
      <c r="D132" s="315">
        <f>0.5*(DataUK3!AS136+DataUK3!AS137)/DataUK1!$B136</f>
        <v>1.6984069333250489</v>
      </c>
      <c r="E132" s="2194">
        <f>0.5*(DataUK3!BE136+DataUK3!BE137)/DataUK1!$B136</f>
        <v>0.33718423525509922</v>
      </c>
      <c r="F132" s="1789">
        <f t="shared" si="25"/>
        <v>0.88938461902919363</v>
      </c>
      <c r="G132" s="21">
        <f>TableUK6g!H59</f>
        <v>0.65232514983772527</v>
      </c>
      <c r="H132" s="31">
        <f t="shared" si="35"/>
        <v>0.23705946919146836</v>
      </c>
      <c r="I132" s="21">
        <f>TableUK5c!E132</f>
        <v>0.60991653308274829</v>
      </c>
      <c r="J132" s="21">
        <f>TableUK5c!I132</f>
        <v>0.3509440368928512</v>
      </c>
      <c r="K132" s="22">
        <f>TableUK5c!L132</f>
        <v>0.72380110078413107</v>
      </c>
      <c r="L132" s="21">
        <f t="shared" si="27"/>
        <v>3.7320274720828106</v>
      </c>
      <c r="M132" s="31">
        <f t="shared" si="28"/>
        <v>3.0797023222450854</v>
      </c>
      <c r="N132" s="21">
        <f t="shared" si="33"/>
        <v>2.0913366880664155</v>
      </c>
      <c r="O132" s="21">
        <f t="shared" si="36"/>
        <v>2.0493509702179002</v>
      </c>
      <c r="P132" s="22">
        <f t="shared" si="37"/>
        <v>1.0609853360392303</v>
      </c>
      <c r="Q132" s="21"/>
      <c r="R132" s="21"/>
      <c r="S132" s="20">
        <f t="shared" si="29"/>
        <v>0.92302520036460756</v>
      </c>
      <c r="T132" s="31">
        <f t="shared" si="30"/>
        <v>0.23831138052497672</v>
      </c>
      <c r="U132" s="23">
        <f t="shared" si="31"/>
        <v>7.6974799635392471E-2</v>
      </c>
      <c r="X132" s="903">
        <f>B132-TableUK1!N133</f>
        <v>0</v>
      </c>
      <c r="Y132" s="19">
        <f>F132-TableUK6g!K59</f>
        <v>0</v>
      </c>
    </row>
    <row r="133" spans="1:25" ht="12" customHeight="1">
      <c r="A133" s="10">
        <f t="shared" si="38"/>
        <v>1978</v>
      </c>
      <c r="B133" s="2193">
        <f t="shared" si="32"/>
        <v>2.98206660971185</v>
      </c>
      <c r="C133" s="315">
        <f>0.5*(DataUK3!C137+DataUK3!C138)/DataUK1!$B137</f>
        <v>1.6083988446668598</v>
      </c>
      <c r="D133" s="315">
        <f>0.5*(DataUK3!AS137+DataUK3!AS138)/DataUK1!$B137</f>
        <v>1.718076052952356</v>
      </c>
      <c r="E133" s="2194">
        <f>0.5*(DataUK3!BE137+DataUK3!BE138)/DataUK1!$B137</f>
        <v>0.34440828790736555</v>
      </c>
      <c r="F133" s="1789">
        <f t="shared" si="25"/>
        <v>0.90886479988393065</v>
      </c>
      <c r="G133" s="21">
        <f>TableUK6g!H60</f>
        <v>0.66593777851472624</v>
      </c>
      <c r="H133" s="31">
        <f t="shared" si="35"/>
        <v>0.24292702136920441</v>
      </c>
      <c r="I133" s="21">
        <f>TableUK5c!E133</f>
        <v>0.62009727720549124</v>
      </c>
      <c r="J133" s="21">
        <f>TableUK5c!I133</f>
        <v>0.34501281599546779</v>
      </c>
      <c r="K133" s="22">
        <f>TableUK5c!L133</f>
        <v>0.72218307183175467</v>
      </c>
      <c r="L133" s="21">
        <f t="shared" si="27"/>
        <v>3.8909314095957805</v>
      </c>
      <c r="M133" s="31">
        <f t="shared" si="28"/>
        <v>3.2249936310810545</v>
      </c>
      <c r="N133" s="21">
        <f t="shared" si="33"/>
        <v>2.2284961218723511</v>
      </c>
      <c r="O133" s="21">
        <f t="shared" si="36"/>
        <v>2.063088868947824</v>
      </c>
      <c r="P133" s="22">
        <f t="shared" si="37"/>
        <v>1.0665913597391201</v>
      </c>
      <c r="Q133" s="21"/>
      <c r="R133" s="21"/>
      <c r="S133" s="20">
        <f t="shared" si="29"/>
        <v>0.92467364306459965</v>
      </c>
      <c r="T133" s="31">
        <f t="shared" si="30"/>
        <v>0.23358540776187839</v>
      </c>
      <c r="U133" s="23">
        <f t="shared" si="31"/>
        <v>7.5326356935400365E-2</v>
      </c>
      <c r="X133" s="903">
        <f>B133-TableUK1!N134</f>
        <v>0</v>
      </c>
      <c r="Y133" s="19">
        <f>F133-TableUK6g!K60</f>
        <v>0</v>
      </c>
    </row>
    <row r="134" spans="1:25" ht="12" customHeight="1">
      <c r="A134" s="893">
        <f t="shared" si="38"/>
        <v>1979</v>
      </c>
      <c r="B134" s="2195">
        <f t="shared" si="32"/>
        <v>3.1287144009124104</v>
      </c>
      <c r="C134" s="896">
        <f>0.5*(DataUK3!C138+DataUK3!C139)/DataUK1!$B138</f>
        <v>1.7504900210813419</v>
      </c>
      <c r="D134" s="896">
        <f>0.5*(DataUK3!AS138+DataUK3!AS139)/DataUK1!$B138</f>
        <v>1.731269393070257</v>
      </c>
      <c r="E134" s="2196">
        <f>0.5*(DataUK3!BE138+DataUK3!BE139)/DataUK1!$B138</f>
        <v>0.35304501323918802</v>
      </c>
      <c r="F134" s="1790">
        <f t="shared" si="25"/>
        <v>0.99888340629202022</v>
      </c>
      <c r="G134" s="898">
        <f>TableUK6g!H61</f>
        <v>0.68224467914961162</v>
      </c>
      <c r="H134" s="1080">
        <f t="shared" si="35"/>
        <v>0.31663872714240859</v>
      </c>
      <c r="I134" s="898">
        <f>TableUK5c!E134</f>
        <v>0.65237209522737638</v>
      </c>
      <c r="J134" s="898">
        <f>TableUK5c!I134</f>
        <v>0.3295136153349485</v>
      </c>
      <c r="K134" s="899">
        <f>TableUK5c!L134</f>
        <v>0.66524698341991628</v>
      </c>
      <c r="L134" s="898">
        <f t="shared" si="27"/>
        <v>4.127597807204431</v>
      </c>
      <c r="M134" s="1080">
        <f t="shared" si="28"/>
        <v>3.4453531280548191</v>
      </c>
      <c r="N134" s="898">
        <f t="shared" si="33"/>
        <v>2.402862116308718</v>
      </c>
      <c r="O134" s="898">
        <f t="shared" si="36"/>
        <v>2.0607830084052052</v>
      </c>
      <c r="P134" s="899">
        <f t="shared" si="37"/>
        <v>1.0182919966591042</v>
      </c>
      <c r="Q134" s="898"/>
      <c r="R134" s="898"/>
      <c r="S134" s="897">
        <f t="shared" si="29"/>
        <v>0.90809687269380801</v>
      </c>
      <c r="T134" s="1080">
        <f t="shared" si="30"/>
        <v>0.24200114762841951</v>
      </c>
      <c r="U134" s="900">
        <f t="shared" si="31"/>
        <v>9.190312730619192E-2</v>
      </c>
      <c r="X134" s="903">
        <f>B134-TableUK1!N135</f>
        <v>0</v>
      </c>
      <c r="Y134" s="19">
        <f>F134-TableUK6g!K61</f>
        <v>0</v>
      </c>
    </row>
    <row r="135" spans="1:25" ht="12" customHeight="1">
      <c r="A135" s="10">
        <f t="shared" si="38"/>
        <v>1980</v>
      </c>
      <c r="B135" s="2193">
        <f t="shared" si="32"/>
        <v>3.091386727634629</v>
      </c>
      <c r="C135" s="315">
        <f>0.5*(DataUK3!C139+DataUK3!C140)/DataUK1!$B139</f>
        <v>1.7578432470629348</v>
      </c>
      <c r="D135" s="315">
        <f>0.5*(DataUK3!AS139+DataUK3!AS140)/DataUK1!$B139</f>
        <v>1.6928270432853114</v>
      </c>
      <c r="E135" s="2194">
        <f>0.5*(DataUK3!BE139+DataUK3!BE140)/DataUK1!$B139</f>
        <v>0.35928356271361772</v>
      </c>
      <c r="F135" s="1789">
        <f t="shared" si="25"/>
        <v>1.0651553261189259</v>
      </c>
      <c r="G135" s="21">
        <f>TableUK6g!H62</f>
        <v>0.70064351565431682</v>
      </c>
      <c r="H135" s="31">
        <f t="shared" si="35"/>
        <v>0.36451181046460912</v>
      </c>
      <c r="I135" s="21">
        <f>TableUK5c!E135</f>
        <v>0.68779602227203107</v>
      </c>
      <c r="J135" s="21">
        <f>TableUK5c!I135</f>
        <v>0.32170711670503754</v>
      </c>
      <c r="K135" s="22">
        <f>TableUK5c!L135</f>
        <v>0.64499132851245944</v>
      </c>
      <c r="L135" s="21">
        <f t="shared" si="27"/>
        <v>4.1565420537535545</v>
      </c>
      <c r="M135" s="31">
        <f t="shared" si="28"/>
        <v>3.455898538099238</v>
      </c>
      <c r="N135" s="21">
        <f t="shared" si="33"/>
        <v>2.4456392693349658</v>
      </c>
      <c r="O135" s="21">
        <f t="shared" si="36"/>
        <v>2.0145341599903488</v>
      </c>
      <c r="P135" s="22">
        <f t="shared" si="37"/>
        <v>1.004274891226077</v>
      </c>
      <c r="Q135" s="21"/>
      <c r="R135" s="21"/>
      <c r="S135" s="20">
        <f t="shared" si="29"/>
        <v>0.8945247360574734</v>
      </c>
      <c r="T135" s="31">
        <f t="shared" si="30"/>
        <v>0.25625996617958918</v>
      </c>
      <c r="U135" s="23">
        <f t="shared" si="31"/>
        <v>0.10547526394252665</v>
      </c>
      <c r="X135" s="903">
        <f>B135-TableUK1!N136</f>
        <v>0</v>
      </c>
      <c r="Y135" s="19">
        <f>F135-TableUK6g!K62</f>
        <v>0</v>
      </c>
    </row>
    <row r="136" spans="1:25" ht="12" customHeight="1">
      <c r="A136" s="10">
        <f t="shared" si="38"/>
        <v>1981</v>
      </c>
      <c r="B136" s="2193">
        <f t="shared" si="32"/>
        <v>3.0984842454713206</v>
      </c>
      <c r="C136" s="315">
        <f>0.5*(DataUK3!C140+DataUK3!C141)/DataUK1!$B140</f>
        <v>1.7185691452014382</v>
      </c>
      <c r="D136" s="315">
        <f>0.5*(DataUK3!AS140+DataUK3!AS141)/DataUK1!$B140</f>
        <v>1.768957084384001</v>
      </c>
      <c r="E136" s="2194">
        <f>0.5*(DataUK3!BE140+DataUK3!BE141)/DataUK1!$B140</f>
        <v>0.38904198411411905</v>
      </c>
      <c r="F136" s="1789">
        <f t="shared" si="25"/>
        <v>1.1184285482713108</v>
      </c>
      <c r="G136" s="21">
        <f>TableUK6g!H63</f>
        <v>0.71545052451196089</v>
      </c>
      <c r="H136" s="31">
        <f t="shared" si="35"/>
        <v>0.40297802375934977</v>
      </c>
      <c r="I136" s="21">
        <f>TableUK5c!E136</f>
        <v>0.70555542690410589</v>
      </c>
      <c r="J136" s="21">
        <f>TableUK5c!I136</f>
        <v>0.34234305166384926</v>
      </c>
      <c r="K136" s="22">
        <f>TableUK5c!L136</f>
        <v>0.64492045480860527</v>
      </c>
      <c r="L136" s="21">
        <f t="shared" si="27"/>
        <v>4.2169127937426314</v>
      </c>
      <c r="M136" s="31">
        <f t="shared" si="28"/>
        <v>3.5014622692306703</v>
      </c>
      <c r="N136" s="21">
        <f t="shared" si="33"/>
        <v>2.4241245721055442</v>
      </c>
      <c r="O136" s="21">
        <f t="shared" si="36"/>
        <v>2.1113001360478503</v>
      </c>
      <c r="P136" s="22">
        <f t="shared" si="37"/>
        <v>1.0339624389227242</v>
      </c>
      <c r="Q136" s="21"/>
      <c r="R136" s="21"/>
      <c r="S136" s="20">
        <f t="shared" si="29"/>
        <v>0.88491150474459046</v>
      </c>
      <c r="T136" s="31">
        <f t="shared" si="30"/>
        <v>0.26522449075326343</v>
      </c>
      <c r="U136" s="23">
        <f t="shared" si="31"/>
        <v>0.11508849525540961</v>
      </c>
      <c r="X136" s="903">
        <f>B136-TableUK1!N137</f>
        <v>0</v>
      </c>
      <c r="Y136" s="19">
        <f>F136-TableUK6g!K63</f>
        <v>0</v>
      </c>
    </row>
    <row r="137" spans="1:25" ht="12" customHeight="1">
      <c r="A137" s="10">
        <f t="shared" si="38"/>
        <v>1982</v>
      </c>
      <c r="B137" s="2193">
        <f t="shared" si="32"/>
        <v>3.1436939188295252</v>
      </c>
      <c r="C137" s="315">
        <f>0.5*(DataUK3!C141+DataUK3!C142)/DataUK1!$B141</f>
        <v>1.7225879381881419</v>
      </c>
      <c r="D137" s="315">
        <f>0.5*(DataUK3!AS141+DataUK3!AS142)/DataUK1!$B141</f>
        <v>1.8434273642786312</v>
      </c>
      <c r="E137" s="2194">
        <f>0.5*(DataUK3!BE141+DataUK3!BE142)/DataUK1!$B141</f>
        <v>0.42232138363724814</v>
      </c>
      <c r="F137" s="1789">
        <f t="shared" si="25"/>
        <v>1.0519639831574712</v>
      </c>
      <c r="G137" s="21">
        <f>TableUK6g!H64</f>
        <v>0.68312266192481264</v>
      </c>
      <c r="H137" s="31">
        <f t="shared" si="35"/>
        <v>0.36884132123265845</v>
      </c>
      <c r="I137" s="21">
        <f>TableUK5c!E137</f>
        <v>0.67093531395212291</v>
      </c>
      <c r="J137" s="21">
        <f>TableUK5c!I137</f>
        <v>0.34911970944959825</v>
      </c>
      <c r="K137" s="22">
        <f>TableUK5c!L137</f>
        <v>0.65121370216906271</v>
      </c>
      <c r="L137" s="21">
        <f t="shared" si="27"/>
        <v>4.195657901986996</v>
      </c>
      <c r="M137" s="31">
        <f t="shared" si="28"/>
        <v>3.5125352400621837</v>
      </c>
      <c r="N137" s="21">
        <f t="shared" si="33"/>
        <v>2.3935232521402647</v>
      </c>
      <c r="O137" s="21">
        <f t="shared" si="36"/>
        <v>2.1925470737282295</v>
      </c>
      <c r="P137" s="22">
        <f t="shared" si="37"/>
        <v>1.0735350858063109</v>
      </c>
      <c r="Q137" s="21"/>
      <c r="R137" s="21"/>
      <c r="S137" s="20">
        <f t="shared" si="29"/>
        <v>0.89499284817819258</v>
      </c>
      <c r="T137" s="31">
        <f t="shared" si="30"/>
        <v>0.25072682466777807</v>
      </c>
      <c r="U137" s="23">
        <f t="shared" si="31"/>
        <v>0.10500715182180741</v>
      </c>
      <c r="X137" s="903">
        <f>B137-TableUK1!N138</f>
        <v>0</v>
      </c>
      <c r="Y137" s="19">
        <f>F137-TableUK6g!K64</f>
        <v>0</v>
      </c>
    </row>
    <row r="138" spans="1:25" ht="12" customHeight="1">
      <c r="A138" s="10">
        <f t="shared" si="38"/>
        <v>1983</v>
      </c>
      <c r="B138" s="2193">
        <f t="shared" si="32"/>
        <v>3.2209356606021586</v>
      </c>
      <c r="C138" s="315">
        <f>0.5*(DataUK3!C142+DataUK3!C143)/DataUK1!$B142</f>
        <v>1.7814792142366567</v>
      </c>
      <c r="D138" s="315">
        <f>0.5*(DataUK3!AS142+DataUK3!AS143)/DataUK1!$B142</f>
        <v>1.8951211439232758</v>
      </c>
      <c r="E138" s="2194">
        <f>0.5*(DataUK3!BE142+DataUK3!BE143)/DataUK1!$B142</f>
        <v>0.45566469755777378</v>
      </c>
      <c r="F138" s="1789">
        <f t="shared" ref="F138:F165" si="39">H138+G138</f>
        <v>0.96566390080851072</v>
      </c>
      <c r="G138" s="21">
        <f>TableUK6g!H65</f>
        <v>0.655320577757037</v>
      </c>
      <c r="H138" s="31">
        <f t="shared" si="35"/>
        <v>0.31034332305147372</v>
      </c>
      <c r="I138" s="21">
        <f>TableUK5c!E138</f>
        <v>0.64209453999112198</v>
      </c>
      <c r="J138" s="21">
        <f>TableUK5c!I138</f>
        <v>0.33903198758588765</v>
      </c>
      <c r="K138" s="22">
        <f>TableUK5c!L138</f>
        <v>0.67078320452553586</v>
      </c>
      <c r="L138" s="21">
        <f t="shared" ref="L138:L165" si="40">F138+B138</f>
        <v>4.1865995614106692</v>
      </c>
      <c r="M138" s="31">
        <f t="shared" ref="M138:M165" si="41">H138+B138</f>
        <v>3.5312789836536322</v>
      </c>
      <c r="N138" s="21">
        <f t="shared" si="33"/>
        <v>2.4235737542277787</v>
      </c>
      <c r="O138" s="21">
        <f t="shared" si="36"/>
        <v>2.2341531315091636</v>
      </c>
      <c r="P138" s="22">
        <f t="shared" si="37"/>
        <v>1.1264479020833096</v>
      </c>
      <c r="Q138" s="21"/>
      <c r="R138" s="21"/>
      <c r="S138" s="20">
        <f t="shared" ref="S138:S165" si="42">B138/M138</f>
        <v>0.91211588648530473</v>
      </c>
      <c r="T138" s="31">
        <f t="shared" ref="T138:T165" si="43">F138/L138</f>
        <v>0.23065590263500901</v>
      </c>
      <c r="U138" s="23">
        <f t="shared" ref="U138:U165" si="44">H138/M138</f>
        <v>8.7884113514695314E-2</v>
      </c>
      <c r="X138" s="903">
        <f>B138-TableUK1!N139</f>
        <v>0</v>
      </c>
      <c r="Y138" s="19">
        <f>F138-TableUK6g!K65</f>
        <v>0</v>
      </c>
    </row>
    <row r="139" spans="1:25" ht="12" customHeight="1">
      <c r="A139" s="10">
        <f t="shared" si="38"/>
        <v>1984</v>
      </c>
      <c r="B139" s="2193">
        <f t="shared" ref="B139:B165" si="45">C139+D139-E139</f>
        <v>3.3245364993920927</v>
      </c>
      <c r="C139" s="315">
        <f>0.5*(DataUK3!C143+DataUK3!C144)/DataUK1!$B143</f>
        <v>1.8784747915507602</v>
      </c>
      <c r="D139" s="315">
        <f>0.5*(DataUK3!AS143+DataUK3!AS144)/DataUK1!$B143</f>
        <v>1.953575943211171</v>
      </c>
      <c r="E139" s="2194">
        <f>0.5*(DataUK3!BE143+DataUK3!BE144)/DataUK1!$B143</f>
        <v>0.5075142353698382</v>
      </c>
      <c r="F139" s="1789">
        <f t="shared" si="39"/>
        <v>0.93453312559130863</v>
      </c>
      <c r="G139" s="21">
        <f>TableUK6g!H66</f>
        <v>0.60716182423758569</v>
      </c>
      <c r="H139" s="31">
        <f t="shared" si="35"/>
        <v>0.32737130135372294</v>
      </c>
      <c r="I139" s="21">
        <f>TableUK5c!E139</f>
        <v>0.63622167433975674</v>
      </c>
      <c r="J139" s="21">
        <f>TableUK5c!I139</f>
        <v>0.3695938127578457</v>
      </c>
      <c r="K139" s="22">
        <f>TableUK5c!L139</f>
        <v>0.67844418574387944</v>
      </c>
      <c r="L139" s="21">
        <f t="shared" si="40"/>
        <v>4.2590696249834012</v>
      </c>
      <c r="M139" s="31">
        <f t="shared" si="41"/>
        <v>3.6519078007458159</v>
      </c>
      <c r="N139" s="21">
        <f t="shared" ref="N139:N165" si="46">I139+C139</f>
        <v>2.5146964658905171</v>
      </c>
      <c r="O139" s="21">
        <f t="shared" si="36"/>
        <v>2.3231697559690168</v>
      </c>
      <c r="P139" s="22">
        <f t="shared" si="37"/>
        <v>1.1859584211137175</v>
      </c>
      <c r="Q139" s="21"/>
      <c r="R139" s="21"/>
      <c r="S139" s="20">
        <f t="shared" si="42"/>
        <v>0.91035608804612611</v>
      </c>
      <c r="T139" s="31">
        <f t="shared" si="43"/>
        <v>0.21942189442252913</v>
      </c>
      <c r="U139" s="23">
        <f t="shared" si="44"/>
        <v>8.9643911953873834E-2</v>
      </c>
      <c r="X139" s="903">
        <f>B139-TableUK1!N140</f>
        <v>0</v>
      </c>
      <c r="Y139" s="19">
        <f>F139-TableUK6g!K66</f>
        <v>0</v>
      </c>
    </row>
    <row r="140" spans="1:25" ht="12" customHeight="1">
      <c r="A140" s="10">
        <f t="shared" si="38"/>
        <v>1985</v>
      </c>
      <c r="B140" s="2193">
        <f t="shared" si="45"/>
        <v>3.3820364052372875</v>
      </c>
      <c r="C140" s="315">
        <f>0.5*(DataUK3!C144+DataUK3!C145)/DataUK1!$B144</f>
        <v>1.964718732884251</v>
      </c>
      <c r="D140" s="315">
        <f>0.5*(DataUK3!AS144+DataUK3!AS145)/DataUK1!$B144</f>
        <v>1.9701881229247438</v>
      </c>
      <c r="E140" s="2194">
        <f>0.5*(DataUK3!BE144+DataUK3!BE145)/DataUK1!$B144</f>
        <v>0.55287045057170736</v>
      </c>
      <c r="F140" s="1789">
        <f t="shared" si="39"/>
        <v>0.91037992536087919</v>
      </c>
      <c r="G140" s="21">
        <f>TableUK6g!H67</f>
        <v>0.55644462762549074</v>
      </c>
      <c r="H140" s="31">
        <f t="shared" si="35"/>
        <v>0.35393529773538845</v>
      </c>
      <c r="I140" s="21">
        <f>TableUK5c!E140</f>
        <v>0.63971490303032252</v>
      </c>
      <c r="J140" s="21">
        <f>TableUK5c!I140</f>
        <v>0.38592096238742146</v>
      </c>
      <c r="K140" s="22">
        <f>TableUK5c!L140</f>
        <v>0.67170056768235553</v>
      </c>
      <c r="L140" s="21">
        <f t="shared" si="40"/>
        <v>4.2924163305981669</v>
      </c>
      <c r="M140" s="31">
        <f t="shared" si="41"/>
        <v>3.7359717029726758</v>
      </c>
      <c r="N140" s="21">
        <f t="shared" si="46"/>
        <v>2.6044336359145737</v>
      </c>
      <c r="O140" s="21">
        <f t="shared" si="36"/>
        <v>2.3561090853121653</v>
      </c>
      <c r="P140" s="22">
        <f t="shared" si="37"/>
        <v>1.2245710182540628</v>
      </c>
      <c r="Q140" s="21"/>
      <c r="R140" s="21"/>
      <c r="S140" s="20">
        <f t="shared" si="42"/>
        <v>0.90526285371654036</v>
      </c>
      <c r="T140" s="31">
        <f t="shared" si="43"/>
        <v>0.21209031353070401</v>
      </c>
      <c r="U140" s="23">
        <f t="shared" si="44"/>
        <v>9.4737146283459708E-2</v>
      </c>
      <c r="X140" s="903">
        <f>B140-TableUK1!N141</f>
        <v>0</v>
      </c>
      <c r="Y140" s="19">
        <f>F140-TableUK6g!K67</f>
        <v>0</v>
      </c>
    </row>
    <row r="141" spans="1:25" ht="12" customHeight="1">
      <c r="A141" s="10">
        <f t="shared" si="38"/>
        <v>1986</v>
      </c>
      <c r="B141" s="2193">
        <f t="shared" si="45"/>
        <v>3.6097570683270481</v>
      </c>
      <c r="C141" s="315">
        <f>0.5*(DataUK3!C145+DataUK3!C146)/DataUK1!$B145</f>
        <v>2.0962617779661752</v>
      </c>
      <c r="D141" s="315">
        <f>0.5*(DataUK3!AS145+DataUK3!AS146)/DataUK1!$B145</f>
        <v>2.1098784846853023</v>
      </c>
      <c r="E141" s="2194">
        <f>0.5*(DataUK3!BE145+DataUK3!BE146)/DataUK1!$B145</f>
        <v>0.59638319432442899</v>
      </c>
      <c r="F141" s="1789">
        <f t="shared" si="39"/>
        <v>0.88671871852773276</v>
      </c>
      <c r="G141" s="21">
        <f>TableUK6g!H68</f>
        <v>0.52975459145439452</v>
      </c>
      <c r="H141" s="31">
        <f t="shared" si="35"/>
        <v>0.35696412707333824</v>
      </c>
      <c r="I141" s="21">
        <f>TableUK5c!E141</f>
        <v>0.64720146895979147</v>
      </c>
      <c r="J141" s="21">
        <f>TableUK5c!I141</f>
        <v>0.3817804514627624</v>
      </c>
      <c r="K141" s="22">
        <f>TableUK5c!L141</f>
        <v>0.67201779334921563</v>
      </c>
      <c r="L141" s="21">
        <f t="shared" si="40"/>
        <v>4.4964757868547807</v>
      </c>
      <c r="M141" s="31">
        <f t="shared" si="41"/>
        <v>3.9667211954003863</v>
      </c>
      <c r="N141" s="21">
        <f t="shared" si="46"/>
        <v>2.7434632469259665</v>
      </c>
      <c r="O141" s="21">
        <f t="shared" si="36"/>
        <v>2.4916589361480646</v>
      </c>
      <c r="P141" s="22">
        <f t="shared" si="37"/>
        <v>1.2684009876736446</v>
      </c>
      <c r="Q141" s="21"/>
      <c r="R141" s="21"/>
      <c r="S141" s="20">
        <f t="shared" si="42"/>
        <v>0.91001028066019463</v>
      </c>
      <c r="T141" s="31">
        <f t="shared" si="43"/>
        <v>0.19720304535387692</v>
      </c>
      <c r="U141" s="23">
        <f t="shared" si="44"/>
        <v>8.998971933980543E-2</v>
      </c>
      <c r="X141" s="903">
        <f>B141-TableUK1!N142</f>
        <v>0</v>
      </c>
      <c r="Y141" s="19">
        <f>F141-TableUK6g!K68</f>
        <v>0</v>
      </c>
    </row>
    <row r="142" spans="1:25" ht="12" customHeight="1">
      <c r="A142" s="10">
        <f>A143-1</f>
        <v>1987</v>
      </c>
      <c r="B142" s="2193">
        <f t="shared" si="45"/>
        <v>3.7917582072117519</v>
      </c>
      <c r="C142" s="315">
        <f>0.5*(DataUK3!C146+DataUK3!C147)/DataUK1!$B146</f>
        <v>2.2587897543175082</v>
      </c>
      <c r="D142" s="315">
        <f>0.5*(DataUK3!AS146+DataUK3!AS147)/DataUK1!$B146</f>
        <v>2.1939139139683741</v>
      </c>
      <c r="E142" s="2194">
        <f>0.5*(DataUK3!BE146+DataUK3!BE147)/DataUK1!$B146</f>
        <v>0.66094546107413044</v>
      </c>
      <c r="F142" s="1789">
        <f t="shared" si="39"/>
        <v>0.86537734386263665</v>
      </c>
      <c r="G142" s="21">
        <f>TableUK6g!H69</f>
        <v>0.40905554543006295</v>
      </c>
      <c r="H142" s="31">
        <f t="shared" si="35"/>
        <v>0.4563217984325737</v>
      </c>
      <c r="I142" s="21">
        <f>TableUK5c!E142</f>
        <v>0.63239746578565814</v>
      </c>
      <c r="J142" s="21">
        <f>TableUK5c!I142</f>
        <v>0.48542881159057588</v>
      </c>
      <c r="K142" s="22">
        <f>TableUK5c!L142</f>
        <v>0.66150447894366027</v>
      </c>
      <c r="L142" s="21">
        <f t="shared" si="40"/>
        <v>4.6571355510743881</v>
      </c>
      <c r="M142" s="31">
        <f t="shared" si="41"/>
        <v>4.2480800056443258</v>
      </c>
      <c r="N142" s="21">
        <f t="shared" si="46"/>
        <v>2.8911872201031663</v>
      </c>
      <c r="O142" s="21">
        <f t="shared" si="36"/>
        <v>2.6793427255589499</v>
      </c>
      <c r="P142" s="22">
        <f t="shared" si="37"/>
        <v>1.3224499400177907</v>
      </c>
      <c r="Q142" s="21"/>
      <c r="R142" s="21"/>
      <c r="S142" s="20">
        <f t="shared" si="42"/>
        <v>0.89258163739235852</v>
      </c>
      <c r="T142" s="31">
        <f t="shared" si="43"/>
        <v>0.18581751258302898</v>
      </c>
      <c r="U142" s="23">
        <f t="shared" si="44"/>
        <v>0.10741836260764144</v>
      </c>
      <c r="X142" s="903">
        <f>B142-TableUK1!N143</f>
        <v>0</v>
      </c>
      <c r="Y142" s="19">
        <f>F142-TableUK6g!K69</f>
        <v>0</v>
      </c>
    </row>
    <row r="143" spans="1:25" ht="12" customHeight="1">
      <c r="A143" s="10">
        <v>1988</v>
      </c>
      <c r="B143" s="2193">
        <f t="shared" si="45"/>
        <v>4.0199662037665584</v>
      </c>
      <c r="C143" s="315">
        <f>0.5*(DataUK3!C147+DataUK3!C148)/DataUK1!$B147</f>
        <v>2.5692592466882602</v>
      </c>
      <c r="D143" s="315">
        <f>0.5*(DataUK3!AS147+DataUK3!AS148)/DataUK1!$B147</f>
        <v>2.1700891212009541</v>
      </c>
      <c r="E143" s="2194">
        <f>0.5*(DataUK3!BE147+DataUK3!BE148)/DataUK1!$B147</f>
        <v>0.71938216412265554</v>
      </c>
      <c r="F143" s="1789">
        <f t="shared" si="39"/>
        <v>0.88849182489962963</v>
      </c>
      <c r="G143" s="21">
        <f>TableUK6g!H70</f>
        <v>0.29709289357823082</v>
      </c>
      <c r="H143" s="31">
        <f t="shared" si="35"/>
        <v>0.59139893132139876</v>
      </c>
      <c r="I143" s="21">
        <f>TableUK5c!E143</f>
        <v>0.62525941154793541</v>
      </c>
      <c r="J143" s="21">
        <f>TableUK5c!I143</f>
        <v>0.57679187920634611</v>
      </c>
      <c r="K143" s="22">
        <f>TableUK5c!L143</f>
        <v>0.61065235943288276</v>
      </c>
      <c r="L143" s="21">
        <f t="shared" si="40"/>
        <v>4.9084580286661881</v>
      </c>
      <c r="M143" s="31">
        <f t="shared" si="41"/>
        <v>4.611365135087957</v>
      </c>
      <c r="N143" s="21">
        <f t="shared" si="46"/>
        <v>3.1945186582361957</v>
      </c>
      <c r="O143" s="21">
        <f t="shared" si="36"/>
        <v>2.7468810004073001</v>
      </c>
      <c r="P143" s="22">
        <f t="shared" si="37"/>
        <v>1.3300345235555384</v>
      </c>
      <c r="Q143" s="21"/>
      <c r="R143" s="21"/>
      <c r="S143" s="20">
        <f t="shared" si="42"/>
        <v>0.87175187520471242</v>
      </c>
      <c r="T143" s="31">
        <f t="shared" si="43"/>
        <v>0.18101241157827852</v>
      </c>
      <c r="U143" s="23">
        <f t="shared" si="44"/>
        <v>0.12824812479528763</v>
      </c>
      <c r="X143" s="903">
        <f>B143-TableUK1!N144</f>
        <v>0</v>
      </c>
      <c r="Y143" s="19">
        <f>F143-TableUK6g!K70</f>
        <v>0</v>
      </c>
    </row>
    <row r="144" spans="1:25" ht="12" customHeight="1">
      <c r="A144" s="10">
        <v>1989</v>
      </c>
      <c r="B144" s="2193">
        <f t="shared" si="45"/>
        <v>4.3522248554785268</v>
      </c>
      <c r="C144" s="315">
        <f>0.5*(DataUK3!C148+DataUK3!C149)/DataUK1!$B148</f>
        <v>2.8025526589736205</v>
      </c>
      <c r="D144" s="315">
        <f>0.5*(DataUK3!AS148+DataUK3!AS149)/DataUK1!$B148</f>
        <v>2.3191554630224367</v>
      </c>
      <c r="E144" s="2194">
        <f>0.5*(DataUK3!BE148+DataUK3!BE149)/DataUK1!$B148</f>
        <v>0.76948326651753085</v>
      </c>
      <c r="F144" s="1789">
        <f t="shared" si="39"/>
        <v>0.87250326696050851</v>
      </c>
      <c r="G144" s="21">
        <f>TableUK6g!H71</f>
        <v>0.21284303085339651</v>
      </c>
      <c r="H144" s="31">
        <f t="shared" si="35"/>
        <v>0.659660236107112</v>
      </c>
      <c r="I144" s="21">
        <f>TableUK5c!E144</f>
        <v>0.63007486323063633</v>
      </c>
      <c r="J144" s="21">
        <f>TableUK5c!I144</f>
        <v>0.57978360539546836</v>
      </c>
      <c r="K144" s="22">
        <f>TableUK5c!L144</f>
        <v>0.55019823251899269</v>
      </c>
      <c r="L144" s="21">
        <f t="shared" si="40"/>
        <v>5.2247281224390356</v>
      </c>
      <c r="M144" s="31">
        <f t="shared" si="41"/>
        <v>5.011885091585639</v>
      </c>
      <c r="N144" s="21">
        <f t="shared" si="46"/>
        <v>3.4326275222042568</v>
      </c>
      <c r="O144" s="21">
        <f t="shared" si="36"/>
        <v>2.8989390684179051</v>
      </c>
      <c r="P144" s="22">
        <f t="shared" si="37"/>
        <v>1.3196814990365235</v>
      </c>
      <c r="Q144" s="21"/>
      <c r="R144" s="21"/>
      <c r="S144" s="20">
        <f t="shared" si="42"/>
        <v>0.86838081399459788</v>
      </c>
      <c r="T144" s="31">
        <f t="shared" si="43"/>
        <v>0.16699496060154836</v>
      </c>
      <c r="U144" s="23">
        <f t="shared" si="44"/>
        <v>0.13161918600540209</v>
      </c>
      <c r="X144" s="903">
        <f>B144-TableUK1!N145</f>
        <v>0</v>
      </c>
      <c r="Y144" s="19">
        <f>F144-TableUK6g!K71</f>
        <v>0</v>
      </c>
    </row>
    <row r="145" spans="1:25" ht="12" customHeight="1">
      <c r="A145" s="24">
        <v>1990</v>
      </c>
      <c r="B145" s="2199">
        <f t="shared" si="45"/>
        <v>4.2907495651636935</v>
      </c>
      <c r="C145" s="316">
        <f>0.5*(DataUK3!C149+DataUK3!C150)/DataUK1!$B149</f>
        <v>2.6983666622068072</v>
      </c>
      <c r="D145" s="316">
        <f>0.5*(DataUK3!AS149+DataUK3!AS150)/DataUK1!$B149</f>
        <v>2.4050543931331885</v>
      </c>
      <c r="E145" s="2197">
        <f>0.5*(DataUK3!BE149+DataUK3!BE150)/DataUK1!$B149</f>
        <v>0.81267149017630169</v>
      </c>
      <c r="F145" s="1791">
        <f t="shared" si="39"/>
        <v>0.76344596194024472</v>
      </c>
      <c r="G145" s="26">
        <f>TableUK6g!H72</f>
        <v>0.11308111112254662</v>
      </c>
      <c r="H145" s="333">
        <f t="shared" si="35"/>
        <v>0.65036485081769813</v>
      </c>
      <c r="I145" s="26">
        <f>TableUK5c!E145</f>
        <v>0.60200384920185668</v>
      </c>
      <c r="J145" s="26">
        <f>TableUK5c!I145</f>
        <v>0.54766835112131163</v>
      </c>
      <c r="K145" s="27">
        <f>TableUK5c!L145</f>
        <v>0.49930734950547018</v>
      </c>
      <c r="L145" s="26">
        <f t="shared" si="40"/>
        <v>5.0541955271039383</v>
      </c>
      <c r="M145" s="333">
        <f t="shared" si="41"/>
        <v>4.9411144159813913</v>
      </c>
      <c r="N145" s="26">
        <f t="shared" si="46"/>
        <v>3.3003705114086639</v>
      </c>
      <c r="O145" s="26">
        <f t="shared" si="36"/>
        <v>2.9527227442545003</v>
      </c>
      <c r="P145" s="27">
        <f t="shared" si="37"/>
        <v>1.311978839681772</v>
      </c>
      <c r="Q145" s="26"/>
      <c r="R145" s="26"/>
      <c r="S145" s="25">
        <f t="shared" si="42"/>
        <v>0.86837688908514699</v>
      </c>
      <c r="T145" s="333">
        <f t="shared" si="43"/>
        <v>0.15105192465272518</v>
      </c>
      <c r="U145" s="28">
        <f t="shared" si="44"/>
        <v>0.13162311091485307</v>
      </c>
      <c r="X145" s="903">
        <f>B145-TableUK1!N146</f>
        <v>0</v>
      </c>
      <c r="Y145" s="19">
        <f>F145-TableUK6g!K72</f>
        <v>0</v>
      </c>
    </row>
    <row r="146" spans="1:25" ht="12" customHeight="1">
      <c r="A146" s="10">
        <v>1991</v>
      </c>
      <c r="B146" s="2193">
        <f t="shared" si="45"/>
        <v>4.1785826555070926</v>
      </c>
      <c r="C146" s="315">
        <f>0.5*(DataUK3!C150+DataUK3!C151)/DataUK1!$B150</f>
        <v>2.5590033007190853</v>
      </c>
      <c r="D146" s="315">
        <f>0.5*(DataUK3!AS150+DataUK3!AS151)/DataUK1!$B150</f>
        <v>2.4721767063538844</v>
      </c>
      <c r="E146" s="2194">
        <f>0.5*(DataUK3!BE150+DataUK3!BE151)/DataUK1!$B150</f>
        <v>0.8525973515658769</v>
      </c>
      <c r="F146" s="1789">
        <f t="shared" si="39"/>
        <v>0.66360171323038231</v>
      </c>
      <c r="G146" s="21">
        <f>TableUK6g!H73</f>
        <v>6.7514440645997903E-2</v>
      </c>
      <c r="H146" s="31">
        <f t="shared" si="35"/>
        <v>0.59608727258438443</v>
      </c>
      <c r="I146" s="21">
        <f>TableUK5c!E146</f>
        <v>0.56768831781209472</v>
      </c>
      <c r="J146" s="21">
        <f>TableUK5c!I146</f>
        <v>0.51391901449958743</v>
      </c>
      <c r="K146" s="22">
        <f>TableUK5c!L146</f>
        <v>0.48552005972729773</v>
      </c>
      <c r="L146" s="21">
        <f t="shared" si="40"/>
        <v>4.8421843687374748</v>
      </c>
      <c r="M146" s="31">
        <f t="shared" si="41"/>
        <v>4.7746699280914768</v>
      </c>
      <c r="N146" s="21">
        <f t="shared" si="46"/>
        <v>3.1266916185311802</v>
      </c>
      <c r="O146" s="21">
        <f t="shared" si="36"/>
        <v>2.9860957208534717</v>
      </c>
      <c r="P146" s="22">
        <f t="shared" si="37"/>
        <v>1.3381174112931746</v>
      </c>
      <c r="Q146" s="21"/>
      <c r="R146" s="21"/>
      <c r="S146" s="20">
        <f t="shared" si="42"/>
        <v>0.87515633927335135</v>
      </c>
      <c r="T146" s="31">
        <f t="shared" si="43"/>
        <v>0.13704594098373959</v>
      </c>
      <c r="U146" s="23">
        <f t="shared" si="44"/>
        <v>0.12484366072664869</v>
      </c>
      <c r="X146" s="903">
        <f>B146-TableUK1!N147</f>
        <v>0</v>
      </c>
      <c r="Y146" s="19">
        <f>F146-TableUK6g!K73</f>
        <v>0</v>
      </c>
    </row>
    <row r="147" spans="1:25" ht="12" customHeight="1">
      <c r="A147" s="10">
        <v>1992</v>
      </c>
      <c r="B147" s="2193">
        <f t="shared" si="45"/>
        <v>4.1060182959788873</v>
      </c>
      <c r="C147" s="315">
        <f>0.5*(DataUK3!C151+DataUK3!C152)/DataUK1!$B151</f>
        <v>2.3493265725620169</v>
      </c>
      <c r="D147" s="315">
        <f>0.5*(DataUK3!AS151+DataUK3!AS152)/DataUK1!$B151</f>
        <v>2.615565609844142</v>
      </c>
      <c r="E147" s="2194">
        <f>0.5*(DataUK3!BE151+DataUK3!BE152)/DataUK1!$B151</f>
        <v>0.85887388642727147</v>
      </c>
      <c r="F147" s="1789">
        <f t="shared" si="39"/>
        <v>0.54215350891138736</v>
      </c>
      <c r="G147" s="21">
        <f>TableUK6g!H74</f>
        <v>6.1804572311387002E-2</v>
      </c>
      <c r="H147" s="31">
        <f t="shared" si="35"/>
        <v>0.48034893660000033</v>
      </c>
      <c r="I147" s="21">
        <f>TableUK5c!E147</f>
        <v>0.51181046398318164</v>
      </c>
      <c r="J147" s="21">
        <f>TableUK5c!I147</f>
        <v>0.48197054912251497</v>
      </c>
      <c r="K147" s="22">
        <f>TableUK5c!L147</f>
        <v>0.51343207650569622</v>
      </c>
      <c r="L147" s="21">
        <f t="shared" si="40"/>
        <v>4.6481718048902749</v>
      </c>
      <c r="M147" s="31">
        <f t="shared" si="41"/>
        <v>4.5863672325788878</v>
      </c>
      <c r="N147" s="21">
        <f t="shared" si="46"/>
        <v>2.8611370365451987</v>
      </c>
      <c r="O147" s="21">
        <f t="shared" si="36"/>
        <v>3.097536158966657</v>
      </c>
      <c r="P147" s="22">
        <f t="shared" si="37"/>
        <v>1.3723059629329677</v>
      </c>
      <c r="Q147" s="21"/>
      <c r="R147" s="21"/>
      <c r="S147" s="20">
        <f t="shared" si="42"/>
        <v>0.89526592349869394</v>
      </c>
      <c r="T147" s="31">
        <f t="shared" si="43"/>
        <v>0.11663800988186268</v>
      </c>
      <c r="U147" s="23">
        <f t="shared" si="44"/>
        <v>0.10473407650130601</v>
      </c>
      <c r="X147" s="903">
        <f>B147-TableUK1!N148</f>
        <v>0</v>
      </c>
      <c r="Y147" s="19">
        <f>F147-TableUK6g!K74</f>
        <v>0</v>
      </c>
    </row>
    <row r="148" spans="1:25" ht="12" customHeight="1">
      <c r="A148" s="10">
        <v>1993</v>
      </c>
      <c r="B148" s="2193">
        <f t="shared" si="45"/>
        <v>4.2037419969160146</v>
      </c>
      <c r="C148" s="315">
        <f>0.5*(DataUK3!C152+DataUK3!C153)/DataUK1!$B152</f>
        <v>2.1816851066248835</v>
      </c>
      <c r="D148" s="315">
        <f>0.5*(DataUK3!AS152+DataUK3!AS153)/DataUK1!$B152</f>
        <v>2.8695301896579903</v>
      </c>
      <c r="E148" s="2194">
        <f>0.5*(DataUK3!BE152+DataUK3!BE153)/DataUK1!$B152</f>
        <v>0.84747329936685922</v>
      </c>
      <c r="F148" s="1789">
        <f t="shared" si="39"/>
        <v>0.40534954202107626</v>
      </c>
      <c r="G148" s="21">
        <f>TableUK6g!H75</f>
        <v>6.7574985610437233E-2</v>
      </c>
      <c r="H148" s="31">
        <f t="shared" si="35"/>
        <v>0.33777455641063903</v>
      </c>
      <c r="I148" s="21">
        <f>TableUK5c!E148</f>
        <v>0.4756976273209832</v>
      </c>
      <c r="J148" s="21">
        <f>TableUK5c!I148</f>
        <v>0.4541532541729732</v>
      </c>
      <c r="K148" s="22">
        <f>TableUK5c!L148</f>
        <v>0.59207632508331731</v>
      </c>
      <c r="L148" s="21">
        <f t="shared" si="40"/>
        <v>4.6090915389370908</v>
      </c>
      <c r="M148" s="31">
        <f t="shared" si="41"/>
        <v>4.5415165533266535</v>
      </c>
      <c r="N148" s="21">
        <f t="shared" si="46"/>
        <v>2.6573827339458669</v>
      </c>
      <c r="O148" s="21">
        <f t="shared" si="36"/>
        <v>3.3236834438309635</v>
      </c>
      <c r="P148" s="22">
        <f t="shared" si="37"/>
        <v>1.4395496244501764</v>
      </c>
      <c r="Q148" s="21"/>
      <c r="R148" s="21"/>
      <c r="S148" s="20">
        <f t="shared" si="42"/>
        <v>0.9256251623341063</v>
      </c>
      <c r="T148" s="31">
        <f t="shared" si="43"/>
        <v>8.7945647986534564E-2</v>
      </c>
      <c r="U148" s="23">
        <f t="shared" si="44"/>
        <v>7.4374837665893728E-2</v>
      </c>
      <c r="X148" s="903">
        <f>B148-TableUK1!N149</f>
        <v>0</v>
      </c>
      <c r="Y148" s="19">
        <f>F148-TableUK6g!K75</f>
        <v>0</v>
      </c>
    </row>
    <row r="149" spans="1:25" ht="12" customHeight="1">
      <c r="A149" s="10">
        <v>1994</v>
      </c>
      <c r="B149" s="2193">
        <f t="shared" si="45"/>
        <v>4.1150815702774572</v>
      </c>
      <c r="C149" s="315">
        <f>0.5*(DataUK3!C153+DataUK3!C154)/DataUK1!$B153</f>
        <v>2.054346280051337</v>
      </c>
      <c r="D149" s="315">
        <f>0.5*(DataUK3!AS153+DataUK3!AS154)/DataUK1!$B153</f>
        <v>2.8825698937535558</v>
      </c>
      <c r="E149" s="2194">
        <f>0.5*(DataUK3!BE153+DataUK3!BE154)/DataUK1!$B153</f>
        <v>0.82183460352743487</v>
      </c>
      <c r="F149" s="1789">
        <f t="shared" si="39"/>
        <v>0.33724397650140908</v>
      </c>
      <c r="G149" s="21">
        <f>TableUK6g!H76</f>
        <v>7.2284463938395549E-2</v>
      </c>
      <c r="H149" s="31">
        <f t="shared" si="35"/>
        <v>0.26495951256301353</v>
      </c>
      <c r="I149" s="21">
        <f>TableUK5c!E149</f>
        <v>0.47127508964130249</v>
      </c>
      <c r="J149" s="21">
        <f>TableUK5c!I149</f>
        <v>0.412766773839294</v>
      </c>
      <c r="K149" s="22">
        <f>TableUK5c!L149</f>
        <v>0.6190823509175829</v>
      </c>
      <c r="L149" s="21">
        <f t="shared" si="40"/>
        <v>4.4523255467788667</v>
      </c>
      <c r="M149" s="31">
        <f t="shared" si="41"/>
        <v>4.3800410828404708</v>
      </c>
      <c r="N149" s="21">
        <f t="shared" si="46"/>
        <v>2.5256213696926393</v>
      </c>
      <c r="O149" s="21">
        <f t="shared" si="36"/>
        <v>3.2953366675928497</v>
      </c>
      <c r="P149" s="22">
        <f t="shared" si="37"/>
        <v>1.4409169544450178</v>
      </c>
      <c r="Q149" s="21"/>
      <c r="R149" s="21"/>
      <c r="S149" s="20">
        <f t="shared" si="42"/>
        <v>0.93950752799990034</v>
      </c>
      <c r="T149" s="31">
        <f t="shared" si="43"/>
        <v>7.5745579014408704E-2</v>
      </c>
      <c r="U149" s="23">
        <f t="shared" si="44"/>
        <v>6.0492472000099697E-2</v>
      </c>
      <c r="X149" s="903">
        <f>B149-TableUK1!N150</f>
        <v>0</v>
      </c>
      <c r="Y149" s="19">
        <f>F149-TableUK6g!K76</f>
        <v>0</v>
      </c>
    </row>
    <row r="150" spans="1:25" ht="12" customHeight="1">
      <c r="A150" s="10">
        <v>1995</v>
      </c>
      <c r="B150" s="2193">
        <f t="shared" si="45"/>
        <v>4.0338887070017497</v>
      </c>
      <c r="C150" s="315">
        <f>0.5*(DataUK3!C154+DataUK3!C155)/DataUK1!$B154</f>
        <v>1.9512217855190337</v>
      </c>
      <c r="D150" s="315">
        <f>0.5*(DataUK3!AS154+DataUK3!AS155)/DataUK1!$B154</f>
        <v>2.8976963167071084</v>
      </c>
      <c r="E150" s="2194">
        <f>0.5*(DataUK3!BE154+DataUK3!BE155)/DataUK1!$B154</f>
        <v>0.81502939522439222</v>
      </c>
      <c r="F150" s="1789">
        <f t="shared" si="39"/>
        <v>0.28971566601761672</v>
      </c>
      <c r="G150" s="21">
        <f>TableUK6g!H77</f>
        <v>6.5927386824861489E-2</v>
      </c>
      <c r="H150" s="31">
        <f t="shared" si="35"/>
        <v>0.22378827919275524</v>
      </c>
      <c r="I150" s="21">
        <f>TableUK5c!E150</f>
        <v>0.48137675858320189</v>
      </c>
      <c r="J150" s="21">
        <f>TableUK5c!I150</f>
        <v>0.37817939154313573</v>
      </c>
      <c r="K150" s="22">
        <f>TableUK5c!L150</f>
        <v>0.63576787093358234</v>
      </c>
      <c r="L150" s="21">
        <f t="shared" si="40"/>
        <v>4.3236043730193661</v>
      </c>
      <c r="M150" s="31">
        <f t="shared" si="41"/>
        <v>4.2576769861945047</v>
      </c>
      <c r="N150" s="21">
        <f t="shared" si="46"/>
        <v>2.4325985441022357</v>
      </c>
      <c r="O150" s="21">
        <f t="shared" si="36"/>
        <v>3.2758757082502443</v>
      </c>
      <c r="P150" s="22">
        <f t="shared" si="37"/>
        <v>1.4507972661579744</v>
      </c>
      <c r="Q150" s="21">
        <v>8.2018876380411443E-2</v>
      </c>
      <c r="R150" s="21">
        <f>R160</f>
        <v>6.0469171264627723E-3</v>
      </c>
      <c r="S150" s="20">
        <f t="shared" si="42"/>
        <v>0.9474388780740326</v>
      </c>
      <c r="T150" s="31">
        <f t="shared" si="43"/>
        <v>6.7007903828003423E-2</v>
      </c>
      <c r="U150" s="23">
        <f t="shared" si="44"/>
        <v>5.2561121925967506E-2</v>
      </c>
      <c r="X150" s="903">
        <f>B150-TableUK1!N151</f>
        <v>0</v>
      </c>
      <c r="Y150" s="19">
        <f>F150-TableUK6g!K77</f>
        <v>0</v>
      </c>
    </row>
    <row r="151" spans="1:25" ht="12" customHeight="1">
      <c r="A151" s="10">
        <v>1996</v>
      </c>
      <c r="B151" s="2193">
        <f t="shared" si="45"/>
        <v>4.1042967640695496</v>
      </c>
      <c r="C151" s="315">
        <f>0.5*(DataUK3!C155+DataUK3!C156)/DataUK1!$B155</f>
        <v>1.9190219602952241</v>
      </c>
      <c r="D151" s="315">
        <f>0.5*(DataUK3!AS155+DataUK3!AS156)/DataUK1!$B155</f>
        <v>2.978789182922438</v>
      </c>
      <c r="E151" s="2194">
        <f>0.5*(DataUK3!BE155+DataUK3!BE156)/DataUK1!$B155</f>
        <v>0.79351437914811274</v>
      </c>
      <c r="F151" s="1789">
        <f t="shared" si="39"/>
        <v>0.2241100678921806</v>
      </c>
      <c r="G151" s="21">
        <f>TableUK6g!H78</f>
        <v>5.0425094636254247E-2</v>
      </c>
      <c r="H151" s="31">
        <f t="shared" si="35"/>
        <v>0.17368497325592636</v>
      </c>
      <c r="I151" s="21">
        <f>TableUK5c!E151</f>
        <v>0.4743625776192944</v>
      </c>
      <c r="J151" s="21">
        <f>TableUK5c!I151</f>
        <v>0.35168969262613042</v>
      </c>
      <c r="K151" s="22">
        <f>TableUK5c!L151</f>
        <v>0.65236729698949847</v>
      </c>
      <c r="L151" s="21">
        <f t="shared" si="40"/>
        <v>4.3284068319617299</v>
      </c>
      <c r="M151" s="31">
        <f t="shared" si="41"/>
        <v>4.2779817373254758</v>
      </c>
      <c r="N151" s="21">
        <f t="shared" si="46"/>
        <v>2.3933845379145184</v>
      </c>
      <c r="O151" s="21">
        <f t="shared" si="36"/>
        <v>3.3304788755485686</v>
      </c>
      <c r="P151" s="22">
        <f t="shared" si="37"/>
        <v>1.4458816761376112</v>
      </c>
      <c r="Q151" s="21"/>
      <c r="R151" s="21"/>
      <c r="S151" s="20">
        <f t="shared" si="42"/>
        <v>0.95940025368960291</v>
      </c>
      <c r="T151" s="31">
        <f t="shared" si="43"/>
        <v>5.1776571979628115E-2</v>
      </c>
      <c r="U151" s="23">
        <f t="shared" si="44"/>
        <v>4.0599746310397145E-2</v>
      </c>
      <c r="X151" s="903">
        <f>B151-TableUK1!N152</f>
        <v>0</v>
      </c>
      <c r="Y151" s="19">
        <f>F151-TableUK6g!K78</f>
        <v>0</v>
      </c>
    </row>
    <row r="152" spans="1:25" ht="12" customHeight="1">
      <c r="A152" s="10">
        <v>1997</v>
      </c>
      <c r="B152" s="2193">
        <f t="shared" si="45"/>
        <v>4.3155495089111398</v>
      </c>
      <c r="C152" s="315">
        <f>0.5*(DataUK3!C156+DataUK3!C157)/DataUK1!$B156</f>
        <v>1.9533062827153651</v>
      </c>
      <c r="D152" s="315">
        <f>0.5*(DataUK3!AS156+DataUK3!AS157)/DataUK1!$B156</f>
        <v>3.1408361480720974</v>
      </c>
      <c r="E152" s="2194">
        <f>0.5*(DataUK3!BE156+DataUK3!BE157)/DataUK1!$B156</f>
        <v>0.77859292187632256</v>
      </c>
      <c r="F152" s="1789">
        <f t="shared" si="39"/>
        <v>0.18773602164777584</v>
      </c>
      <c r="G152" s="21">
        <f>TableUK6g!H79</f>
        <v>4.9379210162003334E-2</v>
      </c>
      <c r="H152" s="31">
        <f t="shared" si="35"/>
        <v>0.1383568114857725</v>
      </c>
      <c r="I152" s="21">
        <f>TableUK5c!E152</f>
        <v>0.46018453035958573</v>
      </c>
      <c r="J152" s="21">
        <f>TableUK5c!I152</f>
        <v>0.32874897263172842</v>
      </c>
      <c r="K152" s="22">
        <f>TableUK5c!L152</f>
        <v>0.65057669150554165</v>
      </c>
      <c r="L152" s="21">
        <f t="shared" si="40"/>
        <v>4.5032855305589159</v>
      </c>
      <c r="M152" s="31">
        <f t="shared" si="41"/>
        <v>4.4539063203969125</v>
      </c>
      <c r="N152" s="21">
        <f t="shared" si="46"/>
        <v>2.4134908130749508</v>
      </c>
      <c r="O152" s="21">
        <f t="shared" si="36"/>
        <v>3.469585120703826</v>
      </c>
      <c r="P152" s="22">
        <f t="shared" si="37"/>
        <v>1.4291696133818643</v>
      </c>
      <c r="Q152" s="21"/>
      <c r="R152" s="21"/>
      <c r="S152" s="20">
        <f t="shared" si="42"/>
        <v>0.96893585056960896</v>
      </c>
      <c r="T152" s="31">
        <f t="shared" si="43"/>
        <v>4.1688678271412066E-2</v>
      </c>
      <c r="U152" s="23">
        <f t="shared" si="44"/>
        <v>3.1064149430390972E-2</v>
      </c>
      <c r="X152" s="903">
        <f>B152-TableUK1!N153</f>
        <v>0</v>
      </c>
      <c r="Y152" s="19">
        <f>F152-TableUK6g!K79</f>
        <v>0</v>
      </c>
    </row>
    <row r="153" spans="1:25" ht="12" customHeight="1">
      <c r="A153" s="10">
        <v>1998</v>
      </c>
      <c r="B153" s="2193">
        <f t="shared" si="45"/>
        <v>4.5334498290606957</v>
      </c>
      <c r="C153" s="315">
        <f>0.5*(DataUK3!C157+DataUK3!C158)/DataUK1!$B157</f>
        <v>2.0112137705051079</v>
      </c>
      <c r="D153" s="315">
        <f>0.5*(DataUK3!AS157+DataUK3!AS158)/DataUK1!$B157</f>
        <v>3.2936757529952421</v>
      </c>
      <c r="E153" s="2194">
        <f>0.5*(DataUK3!BE157+DataUK3!BE158)/DataUK1!$B157</f>
        <v>0.77143969443965388</v>
      </c>
      <c r="F153" s="1789">
        <f t="shared" si="39"/>
        <v>0.16675585606606272</v>
      </c>
      <c r="G153" s="21">
        <f>TableUK6g!H80</f>
        <v>5.4271326833920025E-2</v>
      </c>
      <c r="H153" s="31">
        <f t="shared" si="35"/>
        <v>0.11248452923214269</v>
      </c>
      <c r="I153" s="21">
        <f>TableUK5c!E153</f>
        <v>0.45397636776805006</v>
      </c>
      <c r="J153" s="21">
        <f>TableUK5c!I153</f>
        <v>0.3076444614651071</v>
      </c>
      <c r="K153" s="22">
        <f>TableUK5c!L153</f>
        <v>0.64913630000101452</v>
      </c>
      <c r="L153" s="21">
        <f t="shared" si="40"/>
        <v>4.7002056851267584</v>
      </c>
      <c r="M153" s="31">
        <f t="shared" si="41"/>
        <v>4.6459343582928385</v>
      </c>
      <c r="N153" s="21">
        <f t="shared" si="46"/>
        <v>2.465190138273158</v>
      </c>
      <c r="O153" s="21">
        <f t="shared" si="36"/>
        <v>3.6013202144603493</v>
      </c>
      <c r="P153" s="22">
        <f t="shared" si="37"/>
        <v>1.4205759944406684</v>
      </c>
      <c r="Q153" s="21"/>
      <c r="R153" s="21"/>
      <c r="S153" s="20">
        <f t="shared" si="42"/>
        <v>0.97578860987750249</v>
      </c>
      <c r="T153" s="31">
        <f t="shared" si="43"/>
        <v>3.5478416741152791E-2</v>
      </c>
      <c r="U153" s="23">
        <f t="shared" si="44"/>
        <v>2.4211390122497435E-2</v>
      </c>
      <c r="X153" s="903">
        <f>B153-TableUK1!N154</f>
        <v>0</v>
      </c>
      <c r="Y153" s="19">
        <f>F153-TableUK6g!K80</f>
        <v>0</v>
      </c>
    </row>
    <row r="154" spans="1:25" ht="12" customHeight="1">
      <c r="A154" s="10">
        <v>1999</v>
      </c>
      <c r="B154" s="2193">
        <f t="shared" si="45"/>
        <v>4.9396859730307403</v>
      </c>
      <c r="C154" s="315">
        <f>0.5*(DataUK3!C158+DataUK3!C159)/DataUK1!$B158</f>
        <v>2.1877893726906641</v>
      </c>
      <c r="D154" s="315">
        <f>0.5*(DataUK3!AS158+DataUK3!AS159)/DataUK1!$B158</f>
        <v>3.5485212315481998</v>
      </c>
      <c r="E154" s="2194">
        <f>0.5*(DataUK3!BE158+DataUK3!BE159)/DataUK1!$B158</f>
        <v>0.79662463120812377</v>
      </c>
      <c r="F154" s="1789">
        <f t="shared" si="39"/>
        <v>0.18228907912195483</v>
      </c>
      <c r="G154" s="21">
        <f>TableUK6g!H81</f>
        <v>5.7872707142935603E-2</v>
      </c>
      <c r="H154" s="31">
        <f t="shared" si="35"/>
        <v>0.12441637197901922</v>
      </c>
      <c r="I154" s="21">
        <f>TableUK5c!E154</f>
        <v>0.46224193723610857</v>
      </c>
      <c r="J154" s="21">
        <f>TableUK5c!I154</f>
        <v>0.29391049389120749</v>
      </c>
      <c r="K154" s="22">
        <f>TableUK5c!L154</f>
        <v>0.63173605914829678</v>
      </c>
      <c r="L154" s="21">
        <f t="shared" si="40"/>
        <v>5.1219750521526954</v>
      </c>
      <c r="M154" s="31">
        <f t="shared" si="41"/>
        <v>5.0641023450097595</v>
      </c>
      <c r="N154" s="21">
        <f t="shared" si="46"/>
        <v>2.6500313099267725</v>
      </c>
      <c r="O154" s="21">
        <f t="shared" si="36"/>
        <v>3.8424317254394071</v>
      </c>
      <c r="P154" s="22">
        <f t="shared" si="37"/>
        <v>1.4283606903564205</v>
      </c>
      <c r="Q154" s="21"/>
      <c r="R154" s="21"/>
      <c r="S154" s="20">
        <f t="shared" si="42"/>
        <v>0.9754317026981848</v>
      </c>
      <c r="T154" s="31">
        <f t="shared" si="43"/>
        <v>3.5589606990635625E-2</v>
      </c>
      <c r="U154" s="23">
        <f t="shared" si="44"/>
        <v>2.4568297301815183E-2</v>
      </c>
      <c r="X154" s="903">
        <f>B154-TableUK1!N155</f>
        <v>0</v>
      </c>
      <c r="Y154" s="19">
        <f>F154-TableUK6g!K81</f>
        <v>0</v>
      </c>
    </row>
    <row r="155" spans="1:25" ht="12" customHeight="1">
      <c r="A155" s="24">
        <v>2000</v>
      </c>
      <c r="B155" s="2199">
        <f t="shared" si="45"/>
        <v>5.1455500736180824</v>
      </c>
      <c r="C155" s="316">
        <f>0.5*(DataUK3!C159+DataUK3!C160)/DataUK1!$B159</f>
        <v>2.3491078368794738</v>
      </c>
      <c r="D155" s="316">
        <f>0.5*(DataUK3!AS159+DataUK3!AS160)/DataUK1!$B159</f>
        <v>3.6138253716525783</v>
      </c>
      <c r="E155" s="2197">
        <f>0.5*(DataUK3!BE159+DataUK3!BE160)/DataUK1!$B159</f>
        <v>0.81738313491396941</v>
      </c>
      <c r="F155" s="1791">
        <f t="shared" si="39"/>
        <v>0.23069219532481741</v>
      </c>
      <c r="G155" s="26">
        <f>TableUK6g!H82</f>
        <v>5.7059516541768857E-2</v>
      </c>
      <c r="H155" s="333">
        <f t="shared" si="35"/>
        <v>0.17363267878304856</v>
      </c>
      <c r="I155" s="26">
        <f>TableUK5c!E155</f>
        <v>0.48015034075151841</v>
      </c>
      <c r="J155" s="26">
        <f>TableUK5c!I155</f>
        <v>0.29548595464292043</v>
      </c>
      <c r="K155" s="27">
        <f>TableUK5c!L155</f>
        <v>0.60200361661139035</v>
      </c>
      <c r="L155" s="26">
        <f t="shared" si="40"/>
        <v>5.3762422689428995</v>
      </c>
      <c r="M155" s="333">
        <f t="shared" si="41"/>
        <v>5.3191827524011313</v>
      </c>
      <c r="N155" s="26">
        <f t="shared" si="46"/>
        <v>2.829258177630992</v>
      </c>
      <c r="O155" s="26">
        <f t="shared" si="36"/>
        <v>3.9093113262954988</v>
      </c>
      <c r="P155" s="27">
        <f t="shared" si="37"/>
        <v>1.4193867515253598</v>
      </c>
      <c r="Q155" s="26">
        <v>0.1084901318590997</v>
      </c>
      <c r="R155" s="26">
        <f>R160</f>
        <v>6.0469171264627723E-3</v>
      </c>
      <c r="S155" s="25">
        <f t="shared" si="42"/>
        <v>0.96735726391339549</v>
      </c>
      <c r="T155" s="333">
        <f t="shared" si="43"/>
        <v>4.2909560950678126E-2</v>
      </c>
      <c r="U155" s="28">
        <f t="shared" si="44"/>
        <v>3.2642736086604479E-2</v>
      </c>
      <c r="X155" s="903">
        <f>B155-TableUK1!N156</f>
        <v>0</v>
      </c>
      <c r="Y155" s="19">
        <f>F155-TableUK6g!K82</f>
        <v>0</v>
      </c>
    </row>
    <row r="156" spans="1:25" ht="12" customHeight="1">
      <c r="A156" s="10">
        <v>2001</v>
      </c>
      <c r="B156" s="2193">
        <f t="shared" si="45"/>
        <v>4.9364069115484535</v>
      </c>
      <c r="C156" s="29">
        <f>0.5*(DataUK3!C160+DataUK3!C161)/DataUK1!$B160</f>
        <v>2.4461089368290962</v>
      </c>
      <c r="D156" s="29">
        <f>0.5*(DataUK3!AS160+DataUK3!AS161)/DataUK1!$B160</f>
        <v>3.3370010406580382</v>
      </c>
      <c r="E156" s="30">
        <f>0.5*(DataUK3!BE160+DataUK3!BE161)/DataUK1!$B160</f>
        <v>0.84670306593868128</v>
      </c>
      <c r="F156" s="1792">
        <f t="shared" si="39"/>
        <v>0.29693296473496128</v>
      </c>
      <c r="G156" s="29">
        <f>TableUK6g!H83</f>
        <v>5.7324467087681727E-2</v>
      </c>
      <c r="H156" s="311">
        <f t="shared" si="35"/>
        <v>0.23960849764727954</v>
      </c>
      <c r="I156" s="29">
        <f>TableUK5c!E156</f>
        <v>0.51219127053490265</v>
      </c>
      <c r="J156" s="29">
        <f>TableUK5c!I156</f>
        <v>0.29513018094729487</v>
      </c>
      <c r="K156" s="30">
        <f>TableUK5c!L156</f>
        <v>0.56771295383491804</v>
      </c>
      <c r="L156" s="29">
        <f t="shared" si="40"/>
        <v>5.2333398762834147</v>
      </c>
      <c r="M156" s="311">
        <f t="shared" si="41"/>
        <v>5.1760154091957329</v>
      </c>
      <c r="N156" s="29">
        <f t="shared" si="46"/>
        <v>2.9583002073639988</v>
      </c>
      <c r="O156" s="29">
        <f t="shared" si="36"/>
        <v>3.632131221605333</v>
      </c>
      <c r="P156" s="30">
        <f t="shared" si="37"/>
        <v>1.4144160197735993</v>
      </c>
      <c r="Q156" s="29"/>
      <c r="R156" s="30"/>
      <c r="S156" s="311">
        <f t="shared" si="42"/>
        <v>0.95370792420331862</v>
      </c>
      <c r="T156" s="311">
        <f t="shared" si="43"/>
        <v>5.6738712133070086E-2</v>
      </c>
      <c r="U156" s="314">
        <f t="shared" si="44"/>
        <v>4.6292075796681355E-2</v>
      </c>
      <c r="X156" s="903">
        <f>B156-TableUK1!N157</f>
        <v>0</v>
      </c>
      <c r="Y156" s="19">
        <f>F156-TableUK6g!K83</f>
        <v>0</v>
      </c>
    </row>
    <row r="157" spans="1:25" ht="12" customHeight="1">
      <c r="A157" s="10">
        <v>2002</v>
      </c>
      <c r="B157" s="2193">
        <f t="shared" si="45"/>
        <v>4.6585470248550154</v>
      </c>
      <c r="C157" s="315">
        <f>0.5*(DataUK3!C161+DataUK3!C162)/DataUK1!$B161</f>
        <v>2.6181879220242106</v>
      </c>
      <c r="D157" s="315">
        <f>0.5*(DataUK3!AS161+DataUK3!AS162)/DataUK1!$B161</f>
        <v>2.9339164362411472</v>
      </c>
      <c r="E157" s="2194">
        <f>0.5*(DataUK3!BE161+DataUK3!BE162)/DataUK1!$B161</f>
        <v>0.89355733341034238</v>
      </c>
      <c r="F157" s="1789">
        <f t="shared" si="39"/>
        <v>0.32152688320649198</v>
      </c>
      <c r="G157" s="21">
        <f>TableUK6g!H84</f>
        <v>5.9413170404184076E-2</v>
      </c>
      <c r="H157" s="31">
        <f t="shared" si="35"/>
        <v>0.26211371280230789</v>
      </c>
      <c r="I157" s="21">
        <f>TableUK5c!E157</f>
        <v>0.51501573356793595</v>
      </c>
      <c r="J157" s="21">
        <f>TableUK5c!I157</f>
        <v>0.27749558315275741</v>
      </c>
      <c r="K157" s="21">
        <f>TableUK5c!L157</f>
        <v>0.53039760391838553</v>
      </c>
      <c r="L157" s="1078">
        <f t="shared" si="40"/>
        <v>4.9800739080615077</v>
      </c>
      <c r="M157" s="31">
        <f t="shared" si="41"/>
        <v>4.9206607376573235</v>
      </c>
      <c r="N157" s="21">
        <f t="shared" si="46"/>
        <v>3.1332036555921468</v>
      </c>
      <c r="O157" s="21">
        <f t="shared" si="36"/>
        <v>3.2114120193939044</v>
      </c>
      <c r="P157" s="21">
        <f t="shared" si="37"/>
        <v>1.4239549373287279</v>
      </c>
      <c r="Q157" s="1078"/>
      <c r="R157" s="22"/>
      <c r="S157" s="31">
        <f t="shared" si="42"/>
        <v>0.94673200881410535</v>
      </c>
      <c r="T157" s="31">
        <f t="shared" si="43"/>
        <v>6.4562672992868539E-2</v>
      </c>
      <c r="U157" s="23">
        <f t="shared" si="44"/>
        <v>5.3267991185894592E-2</v>
      </c>
      <c r="X157" s="903">
        <f>B157-TableUK1!N158</f>
        <v>0</v>
      </c>
      <c r="Y157" s="19">
        <f>F157-TableUK6g!K84</f>
        <v>0</v>
      </c>
    </row>
    <row r="158" spans="1:25" ht="12" customHeight="1">
      <c r="A158" s="10">
        <v>2003</v>
      </c>
      <c r="B158" s="2193">
        <f t="shared" si="45"/>
        <v>4.6480218685169508</v>
      </c>
      <c r="C158" s="315">
        <f>0.5*(DataUK3!C162+DataUK3!C163)/DataUK1!$B162</f>
        <v>2.8396389693941773</v>
      </c>
      <c r="D158" s="315">
        <f>0.5*(DataUK3!AS162+DataUK3!AS163)/DataUK1!$B162</f>
        <v>2.7658011592761516</v>
      </c>
      <c r="E158" s="2194">
        <f>0.5*(DataUK3!BE162+DataUK3!BE163)/DataUK1!$B162</f>
        <v>0.95741826015337872</v>
      </c>
      <c r="F158" s="1789">
        <f t="shared" si="39"/>
        <v>0.31459788579731318</v>
      </c>
      <c r="G158" s="21">
        <f>TableUK6g!H85</f>
        <v>5.8257608720988979E-2</v>
      </c>
      <c r="H158" s="31">
        <f t="shared" si="35"/>
        <v>0.25634027707632423</v>
      </c>
      <c r="I158" s="21">
        <f>TableUK5c!E158</f>
        <v>0.51187102275817598</v>
      </c>
      <c r="J158" s="21">
        <f>TableUK5c!I158</f>
        <v>0.26815642458100558</v>
      </c>
      <c r="K158" s="21">
        <f>TableUK5c!L158</f>
        <v>0.52368717026285727</v>
      </c>
      <c r="L158" s="1078">
        <f t="shared" si="40"/>
        <v>4.9626197543142636</v>
      </c>
      <c r="M158" s="31">
        <f t="shared" si="41"/>
        <v>4.9043621455932751</v>
      </c>
      <c r="N158" s="21">
        <f t="shared" si="46"/>
        <v>3.3515099921523532</v>
      </c>
      <c r="O158" s="21">
        <f t="shared" si="36"/>
        <v>3.0339575838571573</v>
      </c>
      <c r="P158" s="22">
        <f t="shared" si="37"/>
        <v>1.4811054304162359</v>
      </c>
      <c r="Q158" s="21"/>
      <c r="R158" s="21"/>
      <c r="S158" s="20">
        <f t="shared" si="42"/>
        <v>0.94773218831185735</v>
      </c>
      <c r="T158" s="31">
        <f t="shared" si="43"/>
        <v>6.3393510156367891E-2</v>
      </c>
      <c r="U158" s="23">
        <f t="shared" si="44"/>
        <v>5.2267811688142582E-2</v>
      </c>
      <c r="X158" s="903">
        <f>B158-TableUK1!N159</f>
        <v>0</v>
      </c>
      <c r="Y158" s="19">
        <f>F158-TableUK6g!K85</f>
        <v>0</v>
      </c>
    </row>
    <row r="159" spans="1:25" ht="12" customHeight="1">
      <c r="A159" s="10">
        <v>2004</v>
      </c>
      <c r="B159" s="2193">
        <f t="shared" si="45"/>
        <v>4.8119584918254041</v>
      </c>
      <c r="C159" s="315">
        <f>0.5*(DataUK3!C163+DataUK3!C164)/DataUK1!$B163</f>
        <v>3.0025062182977447</v>
      </c>
      <c r="D159" s="315">
        <f>0.5*(DataUK3!AS163+DataUK3!AS164)/DataUK1!$B163</f>
        <v>2.8381011558935079</v>
      </c>
      <c r="E159" s="2194">
        <f>0.5*(DataUK3!BE163+DataUK3!BE164)/DataUK1!$B163</f>
        <v>1.0286488823658479</v>
      </c>
      <c r="F159" s="1789">
        <f t="shared" si="39"/>
        <v>0.31698106945502091</v>
      </c>
      <c r="G159" s="21">
        <f>TableUK6g!H86</f>
        <v>5.6013080090199896E-2</v>
      </c>
      <c r="H159" s="31">
        <f t="shared" si="35"/>
        <v>0.26096798936482102</v>
      </c>
      <c r="I159" s="21">
        <f>TableUK5c!E159</f>
        <v>0.52991835545615296</v>
      </c>
      <c r="J159" s="21">
        <f>TableUK5c!I159</f>
        <v>0.26733425401631045</v>
      </c>
      <c r="K159" s="21">
        <f>TableUK5c!L159</f>
        <v>0.53628462010764244</v>
      </c>
      <c r="L159" s="1078">
        <f t="shared" si="40"/>
        <v>5.1289395612804247</v>
      </c>
      <c r="M159" s="31">
        <f t="shared" si="41"/>
        <v>5.0729264811902253</v>
      </c>
      <c r="N159" s="21">
        <f t="shared" si="46"/>
        <v>3.5324245737538975</v>
      </c>
      <c r="O159" s="21">
        <f t="shared" si="36"/>
        <v>3.1054354099098185</v>
      </c>
      <c r="P159" s="22">
        <f t="shared" si="37"/>
        <v>1.5649335024734903</v>
      </c>
      <c r="Q159" s="21"/>
      <c r="R159" s="21"/>
      <c r="S159" s="20">
        <f t="shared" si="42"/>
        <v>0.94855671763971794</v>
      </c>
      <c r="T159" s="31">
        <f t="shared" si="43"/>
        <v>6.1802457538783613E-2</v>
      </c>
      <c r="U159" s="23">
        <f t="shared" si="44"/>
        <v>5.1443282360282089E-2</v>
      </c>
      <c r="X159" s="903">
        <f>B159-TableUK1!N160</f>
        <v>0</v>
      </c>
      <c r="Y159" s="19">
        <f>F159-TableUK6g!K86</f>
        <v>0</v>
      </c>
    </row>
    <row r="160" spans="1:25" ht="12" customHeight="1">
      <c r="A160" s="10">
        <v>2005</v>
      </c>
      <c r="B160" s="2193">
        <f t="shared" si="45"/>
        <v>4.9921472046264617</v>
      </c>
      <c r="C160" s="315">
        <f>0.5*(DataUK3!C164+DataUK3!C165)/DataUK1!$B164</f>
        <v>3.0763395130290712</v>
      </c>
      <c r="D160" s="315">
        <f>0.5*(DataUK3!AS164+DataUK3!AS165)/DataUK1!$B164</f>
        <v>2.9878842083138761</v>
      </c>
      <c r="E160" s="2194">
        <f>0.5*(DataUK3!BE164+DataUK3!BE165)/DataUK1!$B164</f>
        <v>1.0720765167164859</v>
      </c>
      <c r="F160" s="1789">
        <f t="shared" si="39"/>
        <v>0.31736215725641559</v>
      </c>
      <c r="G160" s="21">
        <f>TableUK6g!H87</f>
        <v>4.9545734761162294E-2</v>
      </c>
      <c r="H160" s="31">
        <f t="shared" si="35"/>
        <v>0.26781642249525328</v>
      </c>
      <c r="I160" s="21">
        <f>TableUK5c!E160</f>
        <v>0.55392877212514868</v>
      </c>
      <c r="J160" s="21">
        <f>TableUK5c!I160</f>
        <v>0.27654248353942579</v>
      </c>
      <c r="K160" s="21">
        <f>TableUK5c!L160</f>
        <v>0.56265483316932119</v>
      </c>
      <c r="L160" s="1078">
        <f t="shared" si="40"/>
        <v>5.3095093618828777</v>
      </c>
      <c r="M160" s="31">
        <f t="shared" si="41"/>
        <v>5.2599636271217154</v>
      </c>
      <c r="N160" s="21">
        <f t="shared" si="46"/>
        <v>3.6302682851542198</v>
      </c>
      <c r="O160" s="21">
        <f t="shared" si="36"/>
        <v>3.264426691853302</v>
      </c>
      <c r="P160" s="22">
        <f t="shared" si="37"/>
        <v>1.6347313498858069</v>
      </c>
      <c r="Q160" s="21">
        <v>8.9862360947035105E-2</v>
      </c>
      <c r="R160" s="21">
        <v>6.0469171264627723E-3</v>
      </c>
      <c r="S160" s="20">
        <f t="shared" si="42"/>
        <v>0.949083978240016</v>
      </c>
      <c r="T160" s="31">
        <f t="shared" si="43"/>
        <v>5.9772407509960858E-2</v>
      </c>
      <c r="U160" s="23">
        <f t="shared" si="44"/>
        <v>5.0916021759983936E-2</v>
      </c>
      <c r="X160" s="903">
        <f>B160-TableUK1!N161</f>
        <v>0</v>
      </c>
      <c r="Y160" s="19">
        <f>F160-TableUK6g!K87</f>
        <v>0</v>
      </c>
    </row>
    <row r="161" spans="1:31" ht="12" customHeight="1">
      <c r="A161" s="10">
        <v>2006</v>
      </c>
      <c r="B161" s="2193">
        <f t="shared" si="45"/>
        <v>5.1893986650077348</v>
      </c>
      <c r="C161" s="315">
        <f>0.5*(DataUK3!C165+DataUK3!C166)/DataUK1!$B165</f>
        <v>3.146849149236667</v>
      </c>
      <c r="D161" s="315">
        <f>0.5*(DataUK3!AS165+DataUK3!AS166)/DataUK1!$B165</f>
        <v>3.1642305299616651</v>
      </c>
      <c r="E161" s="2194">
        <f>0.5*(DataUK3!BE165+DataUK3!BE166)/DataUK1!$B165</f>
        <v>1.121681014190598</v>
      </c>
      <c r="F161" s="1789">
        <f t="shared" si="39"/>
        <v>0.321206032685453</v>
      </c>
      <c r="G161" s="21">
        <f>TableUK6g!H88</f>
        <v>4.4222879817069072E-2</v>
      </c>
      <c r="H161" s="31">
        <f t="shared" si="35"/>
        <v>0.27698315286838393</v>
      </c>
      <c r="I161" s="21">
        <f>TableUK5c!E161</f>
        <v>0.57286300356446296</v>
      </c>
      <c r="J161" s="21">
        <f>TableUK5c!I161</f>
        <v>0.28154717869392698</v>
      </c>
      <c r="K161" s="21">
        <f>TableUK5c!L161</f>
        <v>0.57742702939000601</v>
      </c>
      <c r="L161" s="1078">
        <f t="shared" si="40"/>
        <v>5.5106046976931875</v>
      </c>
      <c r="M161" s="31">
        <f t="shared" si="41"/>
        <v>5.466381817876119</v>
      </c>
      <c r="N161" s="21">
        <f t="shared" si="46"/>
        <v>3.7197121528011299</v>
      </c>
      <c r="O161" s="21">
        <f t="shared" si="36"/>
        <v>3.4457777086555921</v>
      </c>
      <c r="P161" s="22">
        <f t="shared" si="37"/>
        <v>1.6991080435806039</v>
      </c>
      <c r="Q161" s="21"/>
      <c r="R161" s="21"/>
      <c r="S161" s="20">
        <f t="shared" si="42"/>
        <v>0.94932970983428266</v>
      </c>
      <c r="T161" s="31">
        <f t="shared" si="43"/>
        <v>5.8288708827166302E-2</v>
      </c>
      <c r="U161" s="23">
        <f t="shared" si="44"/>
        <v>5.0670290165717259E-2</v>
      </c>
      <c r="X161" s="903">
        <f>B161-TableUK1!N162</f>
        <v>0</v>
      </c>
      <c r="Y161" s="19">
        <f>F161-TableUK6g!K88</f>
        <v>0</v>
      </c>
    </row>
    <row r="162" spans="1:31" ht="12" customHeight="1">
      <c r="A162" s="10">
        <v>2007</v>
      </c>
      <c r="B162" s="2193">
        <f t="shared" si="45"/>
        <v>5.2271083062510675</v>
      </c>
      <c r="C162" s="315">
        <f>0.5*(DataUK3!C166+DataUK3!C167)/DataUK1!$B166</f>
        <v>3.2382031850475994</v>
      </c>
      <c r="D162" s="315">
        <f>0.5*(DataUK3!AS166+DataUK3!AS167)/DataUK1!$B166</f>
        <v>3.1427831365394647</v>
      </c>
      <c r="E162" s="2194">
        <f>0.5*(DataUK3!BE166+DataUK3!BE167)/DataUK1!$B166</f>
        <v>1.1538780153359971</v>
      </c>
      <c r="F162" s="1789">
        <f t="shared" si="39"/>
        <v>0.32077164594883123</v>
      </c>
      <c r="G162" s="21">
        <f>TableUK6g!H89</f>
        <v>4.5560750420689647E-2</v>
      </c>
      <c r="H162" s="31">
        <f t="shared" si="35"/>
        <v>0.2752108955281416</v>
      </c>
      <c r="I162" s="21">
        <f>TableUK5c!E162</f>
        <v>0.5758677142409846</v>
      </c>
      <c r="J162" s="21">
        <f>TableUK5c!I162</f>
        <v>0.27231897363520718</v>
      </c>
      <c r="K162" s="21">
        <f>TableUK5c!L162</f>
        <v>0.57297579234805018</v>
      </c>
      <c r="L162" s="1078">
        <f t="shared" si="40"/>
        <v>5.5478799521998985</v>
      </c>
      <c r="M162" s="31">
        <f t="shared" si="41"/>
        <v>5.5023192017792093</v>
      </c>
      <c r="N162" s="21">
        <f t="shared" si="46"/>
        <v>3.8140708992885841</v>
      </c>
      <c r="O162" s="21">
        <f t="shared" si="36"/>
        <v>3.4151021101746721</v>
      </c>
      <c r="P162" s="22">
        <f t="shared" si="37"/>
        <v>1.7268538076840474</v>
      </c>
      <c r="Q162" s="21"/>
      <c r="R162" s="21"/>
      <c r="S162" s="20">
        <f t="shared" si="42"/>
        <v>0.94998274628648394</v>
      </c>
      <c r="T162" s="31">
        <f t="shared" si="43"/>
        <v>5.7818779193597326E-2</v>
      </c>
      <c r="U162" s="23">
        <f t="shared" si="44"/>
        <v>5.0017253713516008E-2</v>
      </c>
      <c r="X162" s="903">
        <f>B162-TableUK1!N163</f>
        <v>0</v>
      </c>
      <c r="Y162" s="19">
        <f>F162-TableUK6g!K89</f>
        <v>0</v>
      </c>
    </row>
    <row r="163" spans="1:31" ht="12" customHeight="1">
      <c r="A163" s="10">
        <v>2008</v>
      </c>
      <c r="B163" s="2193">
        <f t="shared" si="45"/>
        <v>4.9052220595040925</v>
      </c>
      <c r="C163" s="315">
        <f>0.5*(DataUK3!C167+DataUK3!C168)/DataUK1!$B167</f>
        <v>3.1239473219505065</v>
      </c>
      <c r="D163" s="315">
        <f>0.5*(DataUK3!AS167+DataUK3!AS168)/DataUK1!$B167</f>
        <v>2.9499136849668743</v>
      </c>
      <c r="E163" s="2194">
        <f>0.5*(DataUK3!BE167+DataUK3!BE168)/DataUK1!$B167</f>
        <v>1.1686389474132892</v>
      </c>
      <c r="F163" s="1789">
        <f t="shared" si="39"/>
        <v>0.28152211308943886</v>
      </c>
      <c r="G163" s="21">
        <f>TableUK6g!H90</f>
        <v>4.596618033904909E-2</v>
      </c>
      <c r="H163" s="31">
        <f t="shared" si="35"/>
        <v>0.23555593275038977</v>
      </c>
      <c r="I163" s="21">
        <f>TableUK5c!E163</f>
        <v>0.56908056983144972</v>
      </c>
      <c r="J163" s="21">
        <f>TableUK5c!I163</f>
        <v>0.30165467593043649</v>
      </c>
      <c r="K163" s="21">
        <f>TableUK5c!L163</f>
        <v>0.63517931301149644</v>
      </c>
      <c r="L163" s="1078">
        <f t="shared" si="40"/>
        <v>5.1867441725935315</v>
      </c>
      <c r="M163" s="31">
        <f t="shared" si="41"/>
        <v>5.1407779922544821</v>
      </c>
      <c r="N163" s="21">
        <f t="shared" si="46"/>
        <v>3.6930278917819561</v>
      </c>
      <c r="O163" s="21">
        <f t="shared" si="36"/>
        <v>3.2515683608973109</v>
      </c>
      <c r="P163" s="22">
        <f t="shared" si="37"/>
        <v>1.8038182604247857</v>
      </c>
      <c r="Q163" s="21"/>
      <c r="R163" s="21"/>
      <c r="S163" s="20">
        <f t="shared" si="42"/>
        <v>0.9541789330126107</v>
      </c>
      <c r="T163" s="31">
        <f t="shared" si="43"/>
        <v>5.4277231288365077E-2</v>
      </c>
      <c r="U163" s="23">
        <f t="shared" si="44"/>
        <v>4.5821066987389393E-2</v>
      </c>
      <c r="X163" s="903">
        <f>B163-TableUK1!N164</f>
        <v>0</v>
      </c>
      <c r="Y163" s="19">
        <f>F163-TableUK6g!K90</f>
        <v>0</v>
      </c>
    </row>
    <row r="164" spans="1:31" ht="12" customHeight="1">
      <c r="A164" s="10">
        <v>2009</v>
      </c>
      <c r="B164" s="2193">
        <f t="shared" si="45"/>
        <v>5.0440527633202112</v>
      </c>
      <c r="C164" s="315">
        <f>0.5*(DataUK3!C168+DataUK3!C169)/DataUK1!$B168</f>
        <v>3.169414689809761</v>
      </c>
      <c r="D164" s="315">
        <f>0.5*(DataUK3!AS168+DataUK3!AS169)/DataUK1!$B168</f>
        <v>3.1033373390119876</v>
      </c>
      <c r="E164" s="2194">
        <f>0.5*(DataUK3!BE168+DataUK3!BE169)/DataUK1!$B168</f>
        <v>1.2286992655015379</v>
      </c>
      <c r="F164" s="1789">
        <f t="shared" si="39"/>
        <v>0.18522343154555665</v>
      </c>
      <c r="G164" s="21">
        <f>TableUK6g!H91</f>
        <v>4.8857982876321815E-2</v>
      </c>
      <c r="H164" s="31">
        <f t="shared" si="35"/>
        <v>0.13636544866923483</v>
      </c>
      <c r="I164" s="21">
        <f>TableUK5c!E164</f>
        <v>0.57122705340204916</v>
      </c>
      <c r="J164" s="21">
        <f>TableUK5c!I164</f>
        <v>0.37242803932529167</v>
      </c>
      <c r="K164" s="21">
        <f>TableUK5c!L164</f>
        <v>0.80728964405810599</v>
      </c>
      <c r="L164" s="1078">
        <f t="shared" si="40"/>
        <v>5.2292761948657676</v>
      </c>
      <c r="M164" s="31">
        <f t="shared" si="41"/>
        <v>5.180418211989446</v>
      </c>
      <c r="N164" s="21">
        <f t="shared" si="46"/>
        <v>3.7406417432118104</v>
      </c>
      <c r="O164" s="21">
        <f t="shared" si="36"/>
        <v>3.4757653783372793</v>
      </c>
      <c r="P164" s="22">
        <f t="shared" si="37"/>
        <v>2.0359889095596437</v>
      </c>
      <c r="Q164" s="21"/>
      <c r="R164" s="21"/>
      <c r="S164" s="20">
        <f t="shared" si="42"/>
        <v>0.9736767490405247</v>
      </c>
      <c r="T164" s="31">
        <f t="shared" si="43"/>
        <v>3.5420472096580703E-2</v>
      </c>
      <c r="U164" s="23">
        <f t="shared" si="44"/>
        <v>2.6323250959475363E-2</v>
      </c>
      <c r="X164" s="903">
        <f>B164-TableUK1!N165</f>
        <v>0</v>
      </c>
      <c r="Y164" s="19">
        <f>F164-TableUK6g!K91</f>
        <v>0</v>
      </c>
    </row>
    <row r="165" spans="1:31" ht="12" customHeight="1" thickBot="1">
      <c r="A165" s="336">
        <v>2010</v>
      </c>
      <c r="B165" s="2200">
        <f t="shared" si="45"/>
        <v>5.2187601920292614</v>
      </c>
      <c r="C165" s="337">
        <f>0.5*(DataUK3!C169+DataUK3!C170)/DataUK1!$B169</f>
        <v>3.1692886535091063</v>
      </c>
      <c r="D165" s="337">
        <f>0.5*(DataUK3!AS169+DataUK3!AS170)/DataUK1!$B169</f>
        <v>3.2211365541415833</v>
      </c>
      <c r="E165" s="2198">
        <f>0.5*(DataUK3!BE169+DataUK3!BE170)/DataUK1!$B169</f>
        <v>1.1716650156214281</v>
      </c>
      <c r="F165" s="1793">
        <f t="shared" si="39"/>
        <v>5.5308618456145694E-2</v>
      </c>
      <c r="G165" s="339">
        <f>TableUK6g!H92</f>
        <v>4.852053646269909E-2</v>
      </c>
      <c r="H165" s="347">
        <f t="shared" si="35"/>
        <v>6.7880819934466041E-3</v>
      </c>
      <c r="I165" s="339">
        <f>TableUK5c!E165</f>
        <v>0.54001295435494934</v>
      </c>
      <c r="J165" s="339">
        <f>TableUK5c!I165</f>
        <v>0.38461136935152024</v>
      </c>
      <c r="K165" s="339">
        <f>TableUK5c!L165</f>
        <v>0.91783624171302292</v>
      </c>
      <c r="L165" s="1082">
        <f t="shared" si="40"/>
        <v>5.2740688104854074</v>
      </c>
      <c r="M165" s="347">
        <f t="shared" si="41"/>
        <v>5.2255482740227084</v>
      </c>
      <c r="N165" s="339">
        <f t="shared" si="46"/>
        <v>3.7093016078640555</v>
      </c>
      <c r="O165" s="339">
        <f t="shared" si="36"/>
        <v>3.6057479234931034</v>
      </c>
      <c r="P165" s="340">
        <f t="shared" si="37"/>
        <v>2.0895012573344509</v>
      </c>
      <c r="Q165" s="339"/>
      <c r="R165" s="339"/>
      <c r="S165" s="338">
        <f t="shared" si="42"/>
        <v>0.99870098186113943</v>
      </c>
      <c r="T165" s="347">
        <f t="shared" si="43"/>
        <v>1.0486897392424289E-2</v>
      </c>
      <c r="U165" s="341">
        <f t="shared" si="44"/>
        <v>1.2990181388604861E-3</v>
      </c>
      <c r="X165" s="903">
        <f>B165-TableUK1!N166</f>
        <v>0</v>
      </c>
      <c r="Y165" s="19">
        <f>F165-TableUK6g!K92</f>
        <v>0</v>
      </c>
    </row>
    <row r="166" spans="1:31" ht="13" customHeight="1" thickTop="1"/>
    <row r="167" spans="1:31" ht="12" customHeight="1">
      <c r="C167" s="19"/>
    </row>
    <row r="168" spans="1:31" ht="12" customHeight="1">
      <c r="C168" s="19"/>
    </row>
    <row r="169" spans="1:31" ht="12" customHeight="1">
      <c r="C169" s="19"/>
      <c r="J169" s="19"/>
    </row>
    <row r="170" spans="1:31" ht="12" customHeight="1">
      <c r="C170" s="19"/>
    </row>
    <row r="172" spans="1:31" ht="12" customHeight="1">
      <c r="AE172" s="32"/>
    </row>
  </sheetData>
  <mergeCells count="127">
    <mergeCell ref="L7:R7"/>
    <mergeCell ref="F6:K6"/>
    <mergeCell ref="L6:U6"/>
    <mergeCell ref="F7:K7"/>
    <mergeCell ref="J121:K121"/>
    <mergeCell ref="J115:K115"/>
    <mergeCell ref="J116:K116"/>
    <mergeCell ref="J117:K117"/>
    <mergeCell ref="J118:K118"/>
    <mergeCell ref="J119:K119"/>
    <mergeCell ref="J120:K120"/>
    <mergeCell ref="J21:K21"/>
    <mergeCell ref="J22:K22"/>
    <mergeCell ref="J23:K23"/>
    <mergeCell ref="J24:K24"/>
    <mergeCell ref="J10:K10"/>
    <mergeCell ref="J11:K11"/>
    <mergeCell ref="J12:K12"/>
    <mergeCell ref="J13:K13"/>
    <mergeCell ref="J14:K14"/>
    <mergeCell ref="J34:K34"/>
    <mergeCell ref="J15:K15"/>
    <mergeCell ref="J16:K16"/>
    <mergeCell ref="J17:K17"/>
    <mergeCell ref="J18:K18"/>
    <mergeCell ref="J19:K19"/>
    <mergeCell ref="J20:K20"/>
    <mergeCell ref="J44:K44"/>
    <mergeCell ref="J25:K25"/>
    <mergeCell ref="J26:K26"/>
    <mergeCell ref="J27:K27"/>
    <mergeCell ref="J28:K28"/>
    <mergeCell ref="J29:K29"/>
    <mergeCell ref="J30:K30"/>
    <mergeCell ref="J31:K31"/>
    <mergeCell ref="J32:K32"/>
    <mergeCell ref="J33:K33"/>
    <mergeCell ref="J54:K54"/>
    <mergeCell ref="J35:K35"/>
    <mergeCell ref="J36:K36"/>
    <mergeCell ref="J37:K37"/>
    <mergeCell ref="J38:K38"/>
    <mergeCell ref="J39:K39"/>
    <mergeCell ref="J40:K40"/>
    <mergeCell ref="J41:K41"/>
    <mergeCell ref="J42:K42"/>
    <mergeCell ref="J43:K43"/>
    <mergeCell ref="J64:K64"/>
    <mergeCell ref="J45:K45"/>
    <mergeCell ref="J46:K46"/>
    <mergeCell ref="J47:K47"/>
    <mergeCell ref="J48:K48"/>
    <mergeCell ref="J49:K49"/>
    <mergeCell ref="J50:K50"/>
    <mergeCell ref="J51:K51"/>
    <mergeCell ref="J52:K52"/>
    <mergeCell ref="J53:K53"/>
    <mergeCell ref="J74:K74"/>
    <mergeCell ref="J55:K55"/>
    <mergeCell ref="J56:K56"/>
    <mergeCell ref="J57:K57"/>
    <mergeCell ref="J58:K58"/>
    <mergeCell ref="J59:K59"/>
    <mergeCell ref="J60:K60"/>
    <mergeCell ref="J61:K61"/>
    <mergeCell ref="J62:K62"/>
    <mergeCell ref="J63:K63"/>
    <mergeCell ref="J84:K84"/>
    <mergeCell ref="J65:K65"/>
    <mergeCell ref="J66:K66"/>
    <mergeCell ref="J67:K67"/>
    <mergeCell ref="J68:K68"/>
    <mergeCell ref="J69:K69"/>
    <mergeCell ref="J70:K70"/>
    <mergeCell ref="J71:K71"/>
    <mergeCell ref="J72:K72"/>
    <mergeCell ref="J73:K73"/>
    <mergeCell ref="J94:K94"/>
    <mergeCell ref="J75:K75"/>
    <mergeCell ref="J76:K76"/>
    <mergeCell ref="J77:K77"/>
    <mergeCell ref="J78:K78"/>
    <mergeCell ref="J79:K79"/>
    <mergeCell ref="J80:K80"/>
    <mergeCell ref="J81:K81"/>
    <mergeCell ref="J82:K82"/>
    <mergeCell ref="J83:K83"/>
    <mergeCell ref="J104:K104"/>
    <mergeCell ref="J85:K85"/>
    <mergeCell ref="J86:K86"/>
    <mergeCell ref="J87:K87"/>
    <mergeCell ref="J88:K88"/>
    <mergeCell ref="J89:K89"/>
    <mergeCell ref="J90:K90"/>
    <mergeCell ref="J91:K91"/>
    <mergeCell ref="J92:K92"/>
    <mergeCell ref="J93:K93"/>
    <mergeCell ref="J110:K110"/>
    <mergeCell ref="J111:K111"/>
    <mergeCell ref="J112:K112"/>
    <mergeCell ref="J113:K113"/>
    <mergeCell ref="J114:K114"/>
    <mergeCell ref="J95:K95"/>
    <mergeCell ref="J96:K96"/>
    <mergeCell ref="J97:K97"/>
    <mergeCell ref="J98:K98"/>
    <mergeCell ref="J99:K99"/>
    <mergeCell ref="L8:L9"/>
    <mergeCell ref="J105:K105"/>
    <mergeCell ref="J106:K106"/>
    <mergeCell ref="J107:K107"/>
    <mergeCell ref="J108:K108"/>
    <mergeCell ref="J109:K109"/>
    <mergeCell ref="J100:K100"/>
    <mergeCell ref="J101:K101"/>
    <mergeCell ref="J102:K102"/>
    <mergeCell ref="J103:K103"/>
    <mergeCell ref="B1:C1"/>
    <mergeCell ref="A3:U3"/>
    <mergeCell ref="A6:A9"/>
    <mergeCell ref="B6:E6"/>
    <mergeCell ref="S7:S9"/>
    <mergeCell ref="U7:U9"/>
    <mergeCell ref="B7:E7"/>
    <mergeCell ref="T7:T9"/>
    <mergeCell ref="F8:F9"/>
    <mergeCell ref="G8:G9"/>
  </mergeCells>
  <phoneticPr fontId="24" type="noConversion"/>
  <hyperlinks>
    <hyperlink ref="B1" location="Index!A1" display="Back to Index"/>
  </hyperlinks>
  <printOptions horizontalCentered="1" verticalCentered="1"/>
  <pageMargins left="0.79000000000000015" right="0" top="0.98" bottom="0.98" header="0.51" footer="0.51"/>
  <pageSetup paperSize="9" scale="51" fitToHeight="3" orientation="landscape" horizontalDpi="4294967292" verticalDpi="4294967292"/>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enableFormatConditionsCalculation="0">
    <tabColor theme="7" tint="0.59999389629810485"/>
    <pageSetUpPr fitToPage="1"/>
  </sheetPr>
  <dimension ref="A1:AM266"/>
  <sheetViews>
    <sheetView workbookViewId="0">
      <pane xSplit="1" ySplit="9" topLeftCell="B10" activePane="bottomRight" state="frozen"/>
      <selection activeCell="A3" sqref="A3:M3"/>
      <selection pane="topRight" activeCell="A3" sqref="A3:M3"/>
      <selection pane="bottomLeft" activeCell="A3" sqref="A3:M3"/>
      <selection pane="bottomRight" activeCell="A3" sqref="A3:P3"/>
    </sheetView>
  </sheetViews>
  <sheetFormatPr baseColWidth="10" defaultRowHeight="12" customHeight="1" x14ac:dyDescent="0"/>
  <cols>
    <col min="1" max="7" width="8.6640625" style="33" customWidth="1"/>
    <col min="8" max="10" width="9.6640625" style="33" customWidth="1"/>
    <col min="11" max="14" width="8.6640625" style="33" customWidth="1"/>
    <col min="15" max="15" width="9.33203125" style="33" customWidth="1"/>
    <col min="16" max="17" width="9.6640625" style="33" customWidth="1"/>
    <col min="18" max="23" width="11.6640625" style="33" customWidth="1"/>
    <col min="24" max="27" width="11.6640625" style="65" customWidth="1"/>
    <col min="28" max="39" width="9.6640625" style="65" customWidth="1"/>
    <col min="40" max="91" width="9.6640625" style="33" customWidth="1"/>
    <col min="92" max="16384" width="10.83203125" style="33"/>
  </cols>
  <sheetData>
    <row r="1" spans="1:19" ht="12" customHeight="1">
      <c r="B1" s="2252" t="s">
        <v>1416</v>
      </c>
      <c r="C1" s="2252"/>
    </row>
    <row r="2" spans="1:19" ht="13" customHeight="1" thickBot="1"/>
    <row r="3" spans="1:19" ht="19" customHeight="1" thickTop="1">
      <c r="A3" s="2386" t="s">
        <v>1140</v>
      </c>
      <c r="B3" s="2387"/>
      <c r="C3" s="2387"/>
      <c r="D3" s="2387"/>
      <c r="E3" s="2387"/>
      <c r="F3" s="2387"/>
      <c r="G3" s="2387"/>
      <c r="H3" s="2387"/>
      <c r="I3" s="2387"/>
      <c r="J3" s="2387"/>
      <c r="K3" s="2387"/>
      <c r="L3" s="2387"/>
      <c r="M3" s="2387"/>
      <c r="N3" s="2387"/>
      <c r="O3" s="2387"/>
      <c r="P3" s="2388"/>
      <c r="Q3" s="34"/>
    </row>
    <row r="4" spans="1:19" ht="12" customHeight="1">
      <c r="A4" s="35"/>
      <c r="B4" s="36"/>
      <c r="C4" s="36"/>
      <c r="D4" s="36"/>
      <c r="E4" s="36"/>
      <c r="F4" s="36"/>
      <c r="G4" s="36"/>
      <c r="H4" s="36"/>
      <c r="I4" s="36"/>
      <c r="J4" s="36"/>
      <c r="K4" s="36"/>
      <c r="L4" s="36"/>
      <c r="M4" s="36"/>
      <c r="N4" s="36"/>
      <c r="O4" s="36"/>
      <c r="P4" s="37"/>
    </row>
    <row r="5" spans="1:19" ht="12" customHeight="1">
      <c r="A5" s="35"/>
      <c r="B5" s="38" t="s">
        <v>952</v>
      </c>
      <c r="C5" s="38" t="s">
        <v>953</v>
      </c>
      <c r="D5" s="38" t="s">
        <v>954</v>
      </c>
      <c r="E5" s="38" t="s">
        <v>955</v>
      </c>
      <c r="F5" s="38" t="s">
        <v>956</v>
      </c>
      <c r="G5" s="38" t="s">
        <v>957</v>
      </c>
      <c r="H5" s="38" t="s">
        <v>958</v>
      </c>
      <c r="I5" s="38" t="s">
        <v>959</v>
      </c>
      <c r="J5" s="38" t="s">
        <v>960</v>
      </c>
      <c r="K5" s="38" t="s">
        <v>961</v>
      </c>
      <c r="L5" s="38" t="s">
        <v>962</v>
      </c>
      <c r="M5" s="38" t="s">
        <v>963</v>
      </c>
      <c r="N5" s="38" t="s">
        <v>964</v>
      </c>
      <c r="O5" s="1083" t="s">
        <v>965</v>
      </c>
      <c r="P5" s="39" t="s">
        <v>120</v>
      </c>
      <c r="Q5" s="40"/>
    </row>
    <row r="6" spans="1:19" ht="39" customHeight="1">
      <c r="A6" s="2472"/>
      <c r="B6" s="2380" t="s">
        <v>889</v>
      </c>
      <c r="C6" s="2381"/>
      <c r="D6" s="2381"/>
      <c r="E6" s="2381"/>
      <c r="F6" s="2381"/>
      <c r="G6" s="2381"/>
      <c r="H6" s="2381"/>
      <c r="I6" s="2381"/>
      <c r="J6" s="2389"/>
      <c r="K6" s="2380" t="s">
        <v>391</v>
      </c>
      <c r="L6" s="2381"/>
      <c r="M6" s="2381"/>
      <c r="N6" s="2381"/>
      <c r="O6" s="2381"/>
      <c r="P6" s="2382"/>
      <c r="Q6" s="41"/>
    </row>
    <row r="7" spans="1:19" ht="15" customHeight="1">
      <c r="A7" s="2472"/>
      <c r="B7" s="2439" t="s">
        <v>25</v>
      </c>
      <c r="C7" s="2440"/>
      <c r="D7" s="2440"/>
      <c r="E7" s="2440"/>
      <c r="F7" s="2440"/>
      <c r="G7" s="2441"/>
      <c r="H7" s="2473" t="s">
        <v>760</v>
      </c>
      <c r="I7" s="2470" t="s">
        <v>9</v>
      </c>
      <c r="J7" s="2467" t="s">
        <v>1483</v>
      </c>
      <c r="K7" s="2439" t="s">
        <v>25</v>
      </c>
      <c r="L7" s="2440"/>
      <c r="M7" s="2440"/>
      <c r="N7" s="2440"/>
      <c r="O7" s="2441"/>
      <c r="P7" s="2477" t="s">
        <v>18</v>
      </c>
      <c r="Q7" s="42"/>
    </row>
    <row r="8" spans="1:19" ht="79" customHeight="1">
      <c r="A8" s="2472"/>
      <c r="B8" s="11" t="s">
        <v>757</v>
      </c>
      <c r="C8" s="12" t="s">
        <v>390</v>
      </c>
      <c r="D8" s="43" t="s">
        <v>971</v>
      </c>
      <c r="E8" s="44" t="s">
        <v>19</v>
      </c>
      <c r="F8" s="2396" t="s">
        <v>759</v>
      </c>
      <c r="G8" s="2470" t="s">
        <v>10</v>
      </c>
      <c r="H8" s="2474"/>
      <c r="I8" s="2476"/>
      <c r="J8" s="2468"/>
      <c r="K8" s="11" t="s">
        <v>20</v>
      </c>
      <c r="L8" s="43" t="s">
        <v>21</v>
      </c>
      <c r="M8" s="13" t="s">
        <v>22</v>
      </c>
      <c r="N8" s="43" t="s">
        <v>23</v>
      </c>
      <c r="O8" s="45" t="s">
        <v>24</v>
      </c>
      <c r="P8" s="2478"/>
      <c r="Q8" s="46"/>
      <c r="R8" s="41"/>
    </row>
    <row r="9" spans="1:19" ht="19" customHeight="1">
      <c r="A9" s="2472"/>
      <c r="B9" s="2149" t="s">
        <v>26</v>
      </c>
      <c r="C9" s="2154" t="s">
        <v>27</v>
      </c>
      <c r="D9" s="2154" t="s">
        <v>28</v>
      </c>
      <c r="E9" s="2151" t="s">
        <v>29</v>
      </c>
      <c r="F9" s="2397"/>
      <c r="G9" s="2471"/>
      <c r="H9" s="2475"/>
      <c r="I9" s="2471"/>
      <c r="J9" s="2469"/>
      <c r="K9" s="2149" t="s">
        <v>30</v>
      </c>
      <c r="L9" s="2154" t="s">
        <v>31</v>
      </c>
      <c r="M9" s="2201" t="s">
        <v>32</v>
      </c>
      <c r="N9" s="2154" t="s">
        <v>33</v>
      </c>
      <c r="O9" s="2202" t="s">
        <v>34</v>
      </c>
      <c r="P9" s="2479"/>
      <c r="Q9" s="46"/>
    </row>
    <row r="10" spans="1:19" ht="12" customHeight="1">
      <c r="A10" s="50">
        <f t="shared" ref="A10:A15" si="0">A11-1</f>
        <v>1970</v>
      </c>
      <c r="B10" s="20">
        <f t="shared" ref="B10:B27" si="1">C10+D10-E10</f>
        <v>2.5362317876361073</v>
      </c>
      <c r="C10" s="584">
        <f>J10-K10-TableUK6a!C125-TableUK6a!I125</f>
        <v>2.5362317876361073</v>
      </c>
      <c r="D10" s="21">
        <f t="shared" ref="D10:D26" si="2">E10</f>
        <v>5.3141921844055195</v>
      </c>
      <c r="E10" s="22">
        <f t="shared" ref="E10:E26" si="3">0.9*C10*E$28/C$28</f>
        <v>5.3141921844055195</v>
      </c>
      <c r="F10" s="20">
        <f t="shared" ref="F10:F26" si="4">B10-G10</f>
        <v>1.7057686214478016</v>
      </c>
      <c r="G10" s="61">
        <f>0.5*(DataUK3!BH129+DataUK3!BH130)/DataUK1!B129</f>
        <v>0.83046316618830562</v>
      </c>
      <c r="H10" s="1078">
        <f t="shared" ref="H10:H27" si="5">F10/B10</f>
        <v>0.67256022488294009</v>
      </c>
      <c r="I10" s="61">
        <f>G10/TableUK6a!M125</f>
        <v>0.26429642865273806</v>
      </c>
      <c r="J10" s="31">
        <f>G10+TableUK6a!L125</f>
        <v>4.4777360505642374</v>
      </c>
      <c r="K10" s="20">
        <f>0.5*(DataUK3!BR129+DataUK3!BR130)/DataUK1!B129</f>
        <v>6.1009193848501529E-2</v>
      </c>
      <c r="L10" s="21">
        <f>N10+K10</f>
        <v>0.96174887411574084</v>
      </c>
      <c r="M10" s="21"/>
      <c r="N10" s="21">
        <f>N11</f>
        <v>0.90073968026723927</v>
      </c>
      <c r="O10" s="22"/>
      <c r="P10" s="23">
        <f>K10/TableUK6a!M125</f>
        <v>1.941628804941525E-2</v>
      </c>
      <c r="Q10" s="48"/>
      <c r="R10" s="49"/>
      <c r="S10" s="49"/>
    </row>
    <row r="11" spans="1:19" ht="12" customHeight="1">
      <c r="A11" s="50">
        <f t="shared" si="0"/>
        <v>1971</v>
      </c>
      <c r="B11" s="20">
        <f t="shared" si="1"/>
        <v>2.6804159869902566</v>
      </c>
      <c r="C11" s="584">
        <f>J11-K11-TableUK6a!C126-TableUK6a!I126</f>
        <v>2.6804159869902571</v>
      </c>
      <c r="D11" s="21">
        <f t="shared" si="2"/>
        <v>5.6163027994754238</v>
      </c>
      <c r="E11" s="22">
        <f t="shared" si="3"/>
        <v>5.6163027994754238</v>
      </c>
      <c r="F11" s="20">
        <f t="shared" si="4"/>
        <v>1.8144731210473908</v>
      </c>
      <c r="G11" s="61">
        <f>0.5*(DataUK3!BH130+DataUK3!BH131)/DataUK1!B130</f>
        <v>0.86594286594286596</v>
      </c>
      <c r="H11" s="1078">
        <f t="shared" si="5"/>
        <v>0.67693713582300996</v>
      </c>
      <c r="I11" s="61">
        <f>G11/TableUK6a!M126</f>
        <v>0.25271739851382946</v>
      </c>
      <c r="J11" s="31">
        <f>G11+TableUK6a!L126</f>
        <v>4.8378994229438153</v>
      </c>
      <c r="K11" s="20">
        <f>0.5*(DataUK3!BR130+DataUK3!BR131)/DataUK1!B130</f>
        <v>7.8833647259377221E-2</v>
      </c>
      <c r="L11" s="21">
        <f>N11+K11</f>
        <v>0.97957332752661652</v>
      </c>
      <c r="M11" s="21"/>
      <c r="N11" s="21">
        <f>N12</f>
        <v>0.90073968026723927</v>
      </c>
      <c r="O11" s="22"/>
      <c r="P11" s="23">
        <f>K11/TableUK6a!M126</f>
        <v>2.3006869199221708E-2</v>
      </c>
      <c r="Q11" s="48"/>
      <c r="R11" s="49"/>
      <c r="S11" s="49"/>
    </row>
    <row r="12" spans="1:19" ht="12" customHeight="1">
      <c r="A12" s="50">
        <f t="shared" si="0"/>
        <v>1972</v>
      </c>
      <c r="B12" s="20">
        <f t="shared" si="1"/>
        <v>2.7592731778787076</v>
      </c>
      <c r="C12" s="584">
        <f>J12-K12-TableUK6a!C127-TableUK6a!I127</f>
        <v>2.7592731778787067</v>
      </c>
      <c r="D12" s="21">
        <f t="shared" si="2"/>
        <v>5.7815330712299478</v>
      </c>
      <c r="E12" s="22">
        <f t="shared" si="3"/>
        <v>5.7815330712299478</v>
      </c>
      <c r="F12" s="20">
        <f t="shared" si="4"/>
        <v>1.858048071815753</v>
      </c>
      <c r="G12" s="61">
        <f>0.5*(DataUK3!BH131+DataUK3!BH132)/DataUK1!B131</f>
        <v>0.9012251060629547</v>
      </c>
      <c r="H12" s="1078">
        <f t="shared" si="5"/>
        <v>0.67338315274901328</v>
      </c>
      <c r="I12" s="61">
        <f>G12/TableUK6a!M127</f>
        <v>0.24133477699860648</v>
      </c>
      <c r="J12" s="31">
        <f>G12+TableUK6a!L127</f>
        <v>5.2287872645482789</v>
      </c>
      <c r="K12" s="20">
        <f>0.5*(DataUK3!BR131+DataUK3!BR132)/DataUK1!B131</f>
        <v>0.10487151552902867</v>
      </c>
      <c r="L12" s="21">
        <f>N12+K12</f>
        <v>1.0056111957962679</v>
      </c>
      <c r="M12" s="21"/>
      <c r="N12" s="21">
        <f>N13</f>
        <v>0.90073968026723927</v>
      </c>
      <c r="O12" s="22"/>
      <c r="P12" s="23">
        <f>K12/TableUK6a!M127</f>
        <v>2.8083043452116246E-2</v>
      </c>
      <c r="Q12" s="48"/>
      <c r="R12" s="49"/>
      <c r="S12" s="49"/>
    </row>
    <row r="13" spans="1:19" ht="12" customHeight="1">
      <c r="A13" s="50">
        <f t="shared" si="0"/>
        <v>1973</v>
      </c>
      <c r="B13" s="20">
        <f t="shared" si="1"/>
        <v>2.8226171723976892</v>
      </c>
      <c r="C13" s="584">
        <f>J13-K13-TableUK6a!C128-TableUK6a!I128</f>
        <v>2.8226171723976896</v>
      </c>
      <c r="D13" s="21">
        <f t="shared" si="2"/>
        <v>5.9142583853131496</v>
      </c>
      <c r="E13" s="22">
        <f t="shared" si="3"/>
        <v>5.9142583853131496</v>
      </c>
      <c r="F13" s="20">
        <f t="shared" si="4"/>
        <v>1.7494991814647376</v>
      </c>
      <c r="G13" s="61">
        <f>0.5*(DataUK3!BH132+DataUK3!BH133)/DataUK1!B132</f>
        <v>1.0731179909329516</v>
      </c>
      <c r="H13" s="1078">
        <f t="shared" si="5"/>
        <v>0.61981454607909681</v>
      </c>
      <c r="I13" s="61">
        <f>G13/TableUK6a!M128</f>
        <v>0.29178015499549381</v>
      </c>
      <c r="J13" s="31">
        <f>G13+TableUK6a!L128</f>
        <v>5.4020312969480457</v>
      </c>
      <c r="K13" s="20">
        <f>0.5*(DataUK3!BR132+DataUK3!BR133)/DataUK1!B132</f>
        <v>0.11100547136274956</v>
      </c>
      <c r="L13" s="21">
        <f>N13+K13</f>
        <v>1.0117451516299889</v>
      </c>
      <c r="M13" s="21"/>
      <c r="N13" s="21">
        <f>DataUK3!BV132/DataUK1!$B132</f>
        <v>0.90073968026723927</v>
      </c>
      <c r="O13" s="22"/>
      <c r="P13" s="23">
        <f>K13/TableUK6a!M128</f>
        <v>3.0182322832377709E-2</v>
      </c>
      <c r="Q13" s="48"/>
      <c r="R13" s="49"/>
      <c r="S13" s="49"/>
    </row>
    <row r="14" spans="1:19" ht="12" customHeight="1">
      <c r="A14" s="50">
        <f t="shared" si="0"/>
        <v>1974</v>
      </c>
      <c r="B14" s="20">
        <f t="shared" si="1"/>
        <v>3.3138157484975581</v>
      </c>
      <c r="C14" s="584">
        <f>J14-K14-TableUK6a!C129-TableUK6a!I129</f>
        <v>3.3138157484975586</v>
      </c>
      <c r="D14" s="21">
        <f t="shared" si="2"/>
        <v>6.943471743029952</v>
      </c>
      <c r="E14" s="22">
        <f t="shared" si="3"/>
        <v>6.943471743029952</v>
      </c>
      <c r="F14" s="20">
        <f t="shared" si="4"/>
        <v>1.8822954427678167</v>
      </c>
      <c r="G14" s="61">
        <f>0.5*(DataUK3!BH133+DataUK3!BH134)/DataUK1!B133</f>
        <v>1.4315203057297414</v>
      </c>
      <c r="H14" s="1078">
        <f t="shared" si="5"/>
        <v>0.56801451427141825</v>
      </c>
      <c r="I14" s="61">
        <f>G14/TableUK6a!M129</f>
        <v>0.38679972886404396</v>
      </c>
      <c r="J14" s="31">
        <f>G14+TableUK6a!L129</f>
        <v>5.919412446834702</v>
      </c>
      <c r="K14" s="20">
        <f>0.5*(DataUK3!BR133+DataUK3!BR134)/DataUK1!B133</f>
        <v>9.053605600764919E-2</v>
      </c>
      <c r="L14" s="21">
        <f t="shared" ref="L14:L27" si="6">N14+K14</f>
        <v>1.0451921399096906</v>
      </c>
      <c r="M14" s="21"/>
      <c r="N14" s="21">
        <f>N13+(N$28-N$13)/15</f>
        <v>0.95465608390204137</v>
      </c>
      <c r="O14" s="22"/>
      <c r="P14" s="23">
        <f>K14/TableUK6a!M129</f>
        <v>2.4463028415323052E-2</v>
      </c>
      <c r="Q14" s="48"/>
      <c r="R14" s="49"/>
      <c r="S14" s="49"/>
    </row>
    <row r="15" spans="1:19" ht="12" customHeight="1">
      <c r="A15" s="50">
        <f t="shared" si="0"/>
        <v>1975</v>
      </c>
      <c r="B15" s="20">
        <f t="shared" si="1"/>
        <v>3.1481507856442619</v>
      </c>
      <c r="C15" s="584">
        <f>J15-K15-TableUK6a!C130-TableUK6a!I130</f>
        <v>3.1481507856442614</v>
      </c>
      <c r="D15" s="21">
        <f t="shared" si="2"/>
        <v>6.596352266365173</v>
      </c>
      <c r="E15" s="22">
        <f t="shared" si="3"/>
        <v>6.596352266365173</v>
      </c>
      <c r="F15" s="20">
        <f t="shared" si="4"/>
        <v>1.7068864857355666</v>
      </c>
      <c r="G15" s="61">
        <f>0.5*(DataUK3!BH134+DataUK3!BH135)/DataUK1!B134</f>
        <v>1.4412642999086953</v>
      </c>
      <c r="H15" s="1078">
        <f t="shared" si="5"/>
        <v>0.54218701769910815</v>
      </c>
      <c r="I15" s="61">
        <f>G15/TableUK6a!M130</f>
        <v>0.43518791601839679</v>
      </c>
      <c r="J15" s="31">
        <f>G15+TableUK6a!L130</f>
        <v>5.469283394787622</v>
      </c>
      <c r="K15" s="20">
        <f>0.5*(DataUK3!BR134+DataUK3!BR135)/DataUK1!B134</f>
        <v>6.0317482520416979E-2</v>
      </c>
      <c r="L15" s="21">
        <f t="shared" si="6"/>
        <v>1.0688899700572603</v>
      </c>
      <c r="M15" s="21"/>
      <c r="N15" s="21">
        <f t="shared" ref="N15:N27" si="7">N14+(N$28-N$13)/15</f>
        <v>1.0085724875368434</v>
      </c>
      <c r="O15" s="22"/>
      <c r="P15" s="23">
        <f>K15/TableUK6a!M130</f>
        <v>1.8212786869971909E-2</v>
      </c>
      <c r="Q15" s="48"/>
      <c r="R15" s="49"/>
      <c r="S15" s="49"/>
    </row>
    <row r="16" spans="1:19" ht="12" customHeight="1">
      <c r="A16" s="50">
        <f t="shared" ref="A16:A26" si="8">A17-1</f>
        <v>1976</v>
      </c>
      <c r="B16" s="20">
        <f t="shared" si="1"/>
        <v>3.0659449696334526</v>
      </c>
      <c r="C16" s="584">
        <f>J16-K16-TableUK6a!C131-TableUK6a!I131</f>
        <v>3.0659449696334526</v>
      </c>
      <c r="D16" s="21">
        <f t="shared" si="2"/>
        <v>6.4241055864335674</v>
      </c>
      <c r="E16" s="22">
        <f t="shared" si="3"/>
        <v>6.4241055864335674</v>
      </c>
      <c r="F16" s="20">
        <f t="shared" si="4"/>
        <v>1.5965126552229723</v>
      </c>
      <c r="G16" s="61">
        <f>0.5*(DataUK3!BH135+DataUK3!BH136)/DataUK1!B135</f>
        <v>1.4694323144104804</v>
      </c>
      <c r="H16" s="1078">
        <f t="shared" si="5"/>
        <v>0.52072449800488185</v>
      </c>
      <c r="I16" s="61">
        <f>G16/TableUK6a!M131</f>
        <v>0.47254046109796477</v>
      </c>
      <c r="J16" s="31">
        <f>G16+TableUK6a!L131</f>
        <v>5.2281319832102371</v>
      </c>
      <c r="K16" s="20">
        <f>0.5*(DataUK3!BR135+DataUK3!BR136)/DataUK1!B135</f>
        <v>4.7436112367706389E-2</v>
      </c>
      <c r="L16" s="21">
        <f t="shared" si="6"/>
        <v>1.1099250035393518</v>
      </c>
      <c r="M16" s="21"/>
      <c r="N16" s="21">
        <f t="shared" si="7"/>
        <v>1.0624888911716455</v>
      </c>
      <c r="O16" s="22"/>
      <c r="P16" s="23">
        <f>K16/TableUK6a!M131</f>
        <v>1.5254518490648331E-2</v>
      </c>
      <c r="Q16" s="48"/>
      <c r="R16" s="49"/>
      <c r="S16" s="49"/>
    </row>
    <row r="17" spans="1:19" ht="12" customHeight="1">
      <c r="A17" s="50">
        <f t="shared" si="8"/>
        <v>1977</v>
      </c>
      <c r="B17" s="20">
        <f t="shared" si="1"/>
        <v>3.1087889230412991</v>
      </c>
      <c r="C17" s="584">
        <f>J17-K17-TableUK6a!C132-TableUK6a!I132</f>
        <v>3.1087889230412982</v>
      </c>
      <c r="D17" s="21">
        <f t="shared" si="2"/>
        <v>6.5138769564869392</v>
      </c>
      <c r="E17" s="22">
        <f t="shared" si="3"/>
        <v>6.5138769564869392</v>
      </c>
      <c r="F17" s="20">
        <f t="shared" si="4"/>
        <v>1.5996841590307809</v>
      </c>
      <c r="G17" s="61">
        <f>0.5*(DataUK3!BH136+DataUK3!BH137)/DataUK1!B136</f>
        <v>1.5091047640105182</v>
      </c>
      <c r="H17" s="1078">
        <f t="shared" si="5"/>
        <v>0.51456827678922146</v>
      </c>
      <c r="I17" s="61">
        <f>G17/TableUK6a!M132</f>
        <v>0.49001643863761141</v>
      </c>
      <c r="J17" s="31">
        <f>G17+TableUK6a!L132</f>
        <v>5.2411322360933283</v>
      </c>
      <c r="K17" s="20">
        <f>0.5*(DataUK3!BR136+DataUK3!BR137)/DataUK1!B136</f>
        <v>4.1006624985614255E-2</v>
      </c>
      <c r="L17" s="21">
        <f t="shared" si="6"/>
        <v>1.1574119197920618</v>
      </c>
      <c r="M17" s="21"/>
      <c r="N17" s="21">
        <f t="shared" si="7"/>
        <v>1.1164052948064476</v>
      </c>
      <c r="O17" s="22"/>
      <c r="P17" s="23">
        <f>K17/TableUK6a!M132</f>
        <v>1.3315126169635986E-2</v>
      </c>
      <c r="Q17" s="48"/>
      <c r="R17" s="49"/>
      <c r="S17" s="49"/>
    </row>
    <row r="18" spans="1:19" ht="12" customHeight="1">
      <c r="A18" s="50">
        <f t="shared" si="8"/>
        <v>1978</v>
      </c>
      <c r="B18" s="20">
        <f t="shared" si="1"/>
        <v>3.1956088304288004</v>
      </c>
      <c r="C18" s="584">
        <f>J18-K18-TableUK6a!C133-TableUK6a!I133</f>
        <v>3.1956088304288013</v>
      </c>
      <c r="D18" s="21">
        <f t="shared" si="2"/>
        <v>6.6957915888713506</v>
      </c>
      <c r="E18" s="22">
        <f t="shared" si="3"/>
        <v>6.6957915888713506</v>
      </c>
      <c r="F18" s="20">
        <f t="shared" si="4"/>
        <v>1.6208062520301434</v>
      </c>
      <c r="G18" s="61">
        <f>0.5*(DataUK3!BH137+DataUK3!BH138)/DataUK1!B137</f>
        <v>1.574802578398657</v>
      </c>
      <c r="H18" s="1078">
        <f t="shared" si="5"/>
        <v>0.50719795132518042</v>
      </c>
      <c r="I18" s="61">
        <f>G18/TableUK6a!M133</f>
        <v>0.48831184136967282</v>
      </c>
      <c r="J18" s="31">
        <f>G18+TableUK6a!L133</f>
        <v>5.4657339879944375</v>
      </c>
      <c r="K18" s="20">
        <f>0.5*(DataUK3!BR137+DataUK3!BR138)/DataUK1!B137</f>
        <v>4.1629035693285049E-2</v>
      </c>
      <c r="L18" s="21">
        <f t="shared" si="6"/>
        <v>1.2119507341345348</v>
      </c>
      <c r="M18" s="21"/>
      <c r="N18" s="21">
        <f t="shared" si="7"/>
        <v>1.1703216984412497</v>
      </c>
      <c r="O18" s="22"/>
      <c r="P18" s="23">
        <f>K18/TableUK6a!M133</f>
        <v>1.2908253613924356E-2</v>
      </c>
      <c r="Q18" s="48"/>
      <c r="R18" s="49"/>
      <c r="S18" s="49"/>
    </row>
    <row r="19" spans="1:19" ht="12" customHeight="1">
      <c r="A19" s="1073">
        <f t="shared" si="8"/>
        <v>1979</v>
      </c>
      <c r="B19" s="897">
        <f t="shared" si="1"/>
        <v>3.3417330299627181</v>
      </c>
      <c r="C19" s="1074">
        <f>J19-K19-TableUK6a!C134-TableUK6a!I134</f>
        <v>3.3417330299627186</v>
      </c>
      <c r="D19" s="898">
        <f t="shared" si="2"/>
        <v>7.001967105991346</v>
      </c>
      <c r="E19" s="899">
        <f t="shared" si="3"/>
        <v>7.001967105991346</v>
      </c>
      <c r="F19" s="897">
        <f t="shared" si="4"/>
        <v>1.6838757051672295</v>
      </c>
      <c r="G19" s="1077">
        <f>0.5*(DataUK3!BH138+DataUK3!BH139)/DataUK1!B138</f>
        <v>1.6578573247954886</v>
      </c>
      <c r="H19" s="1079">
        <f t="shared" si="5"/>
        <v>0.50389294718316124</v>
      </c>
      <c r="I19" s="1077">
        <f>G19/TableUK6a!M134</f>
        <v>0.48118647441270657</v>
      </c>
      <c r="J19" s="1080">
        <f>G19+TableUK6a!L134</f>
        <v>5.7854551319999192</v>
      </c>
      <c r="K19" s="897">
        <f>0.5*(DataUK3!BR138+DataUK3!BR139)/DataUK1!B138</f>
        <v>4.0859985728482012E-2</v>
      </c>
      <c r="L19" s="898">
        <f t="shared" si="6"/>
        <v>1.2650980878045337</v>
      </c>
      <c r="M19" s="898"/>
      <c r="N19" s="898">
        <f t="shared" si="7"/>
        <v>1.2242381020760518</v>
      </c>
      <c r="O19" s="899"/>
      <c r="P19" s="900">
        <f>K19/TableUK6a!M134</f>
        <v>1.1859447844625084E-2</v>
      </c>
      <c r="Q19" s="48"/>
      <c r="R19" s="49"/>
      <c r="S19" s="49"/>
    </row>
    <row r="20" spans="1:19" ht="12" customHeight="1">
      <c r="A20" s="50">
        <f t="shared" si="8"/>
        <v>1980</v>
      </c>
      <c r="B20" s="20">
        <f t="shared" si="1"/>
        <v>3.3099163233916213</v>
      </c>
      <c r="C20" s="584">
        <f>J20-K20-TableUK6a!C135-TableUK6a!I135</f>
        <v>3.3099163233916222</v>
      </c>
      <c r="D20" s="21">
        <f t="shared" si="2"/>
        <v>6.9353012380616521</v>
      </c>
      <c r="E20" s="22">
        <f t="shared" si="3"/>
        <v>6.9353012380616521</v>
      </c>
      <c r="F20" s="20">
        <f t="shared" si="4"/>
        <v>1.6688474484537419</v>
      </c>
      <c r="G20" s="61">
        <f>0.5*(DataUK3!BH139+DataUK3!BH140)/DataUK1!B139</f>
        <v>1.6410688749378795</v>
      </c>
      <c r="H20" s="1078">
        <f t="shared" si="5"/>
        <v>0.50419626522271088</v>
      </c>
      <c r="I20" s="61">
        <f>G20/TableUK6a!M135</f>
        <v>0.47486025901688533</v>
      </c>
      <c r="J20" s="31">
        <f>G20+TableUK6a!L135</f>
        <v>5.7976109286914337</v>
      </c>
      <c r="K20" s="20">
        <f>0.5*(DataUK3!BR139+DataUK3!BR140)/DataUK1!B139</f>
        <v>4.2055335964845543E-2</v>
      </c>
      <c r="L20" s="21">
        <f t="shared" si="6"/>
        <v>1.3202098416756993</v>
      </c>
      <c r="M20" s="21"/>
      <c r="N20" s="21">
        <f t="shared" si="7"/>
        <v>1.2781545057108539</v>
      </c>
      <c r="O20" s="22"/>
      <c r="P20" s="23">
        <f>K20/TableUK6a!M135</f>
        <v>1.216914660578438E-2</v>
      </c>
      <c r="Q20" s="48"/>
      <c r="R20" s="49"/>
      <c r="S20" s="49"/>
    </row>
    <row r="21" spans="1:19" ht="12" customHeight="1">
      <c r="A21" s="50">
        <f t="shared" si="8"/>
        <v>1981</v>
      </c>
      <c r="B21" s="20">
        <f t="shared" si="1"/>
        <v>3.3902317187755644</v>
      </c>
      <c r="C21" s="584">
        <f>J21-K21-TableUK6a!C136-TableUK6a!I136</f>
        <v>3.390231718775564</v>
      </c>
      <c r="D21" s="21">
        <f t="shared" si="2"/>
        <v>7.1035869004831413</v>
      </c>
      <c r="E21" s="22">
        <f t="shared" si="3"/>
        <v>7.1035869004831413</v>
      </c>
      <c r="F21" s="20">
        <f t="shared" si="4"/>
        <v>1.7352911171499243</v>
      </c>
      <c r="G21" s="61">
        <f>0.5*(DataUK3!BH140+DataUK3!BH141)/DataUK1!B140</f>
        <v>1.6549406016256401</v>
      </c>
      <c r="H21" s="1078">
        <f t="shared" si="5"/>
        <v>0.51185029847359576</v>
      </c>
      <c r="I21" s="61">
        <f>G21/TableUK6a!M136</f>
        <v>0.47264270592561836</v>
      </c>
      <c r="J21" s="31">
        <f>G21+TableUK6a!L136</f>
        <v>5.8718533953682712</v>
      </c>
      <c r="K21" s="20">
        <f>0.5*(DataUK3!BR140+DataUK3!BR141)/DataUK1!B140</f>
        <v>5.749710448716306E-2</v>
      </c>
      <c r="L21" s="21">
        <f t="shared" si="6"/>
        <v>1.389568013832819</v>
      </c>
      <c r="M21" s="21"/>
      <c r="N21" s="21">
        <f t="shared" si="7"/>
        <v>1.332070909345656</v>
      </c>
      <c r="O21" s="22"/>
      <c r="P21" s="23">
        <f>K21/TableUK6a!M136</f>
        <v>1.6420883638365219E-2</v>
      </c>
      <c r="Q21" s="48"/>
      <c r="R21" s="49"/>
      <c r="S21" s="49"/>
    </row>
    <row r="22" spans="1:19" ht="12" customHeight="1">
      <c r="A22" s="50">
        <f t="shared" si="8"/>
        <v>1982</v>
      </c>
      <c r="B22" s="20">
        <f t="shared" si="1"/>
        <v>3.3411555145605512</v>
      </c>
      <c r="C22" s="584">
        <f>J22-K22-TableUK6a!C137-TableUK6a!I137</f>
        <v>3.3411555145605512</v>
      </c>
      <c r="D22" s="21">
        <f t="shared" si="2"/>
        <v>7.0007570321126362</v>
      </c>
      <c r="E22" s="22">
        <f t="shared" si="3"/>
        <v>7.0007570321126362</v>
      </c>
      <c r="F22" s="20">
        <f t="shared" si="4"/>
        <v>1.7320292626942848</v>
      </c>
      <c r="G22" s="61">
        <f>0.5*(DataUK3!BH141+DataUK3!BH142)/DataUK1!B141</f>
        <v>1.6091262518662663</v>
      </c>
      <c r="H22" s="1078">
        <f t="shared" si="5"/>
        <v>0.51839229127354514</v>
      </c>
      <c r="I22" s="61">
        <f>G22/TableUK6a!M137</f>
        <v>0.45810963930365561</v>
      </c>
      <c r="J22" s="31">
        <f>G22+TableUK6a!L137</f>
        <v>5.8047841538532623</v>
      </c>
      <c r="K22" s="20">
        <f>0.5*(DataUK3!BR141+DataUK3!BR142)/DataUK1!B141</f>
        <v>7.0105387152446227E-2</v>
      </c>
      <c r="L22" s="21">
        <f t="shared" si="6"/>
        <v>1.4560927001329043</v>
      </c>
      <c r="M22" s="21"/>
      <c r="N22" s="21">
        <f t="shared" si="7"/>
        <v>1.3859873129804581</v>
      </c>
      <c r="O22" s="22"/>
      <c r="P22" s="23">
        <f>K22/TableUK6a!M137</f>
        <v>1.9958628842455434E-2</v>
      </c>
      <c r="Q22" s="48"/>
      <c r="R22" s="49"/>
      <c r="S22" s="49"/>
    </row>
    <row r="23" spans="1:19" ht="12" customHeight="1">
      <c r="A23" s="50">
        <f t="shared" si="8"/>
        <v>1983</v>
      </c>
      <c r="B23" s="20">
        <f t="shared" si="1"/>
        <v>3.2006228355811572</v>
      </c>
      <c r="C23" s="584">
        <f>J23-K23-TableUK6a!C138-TableUK6a!I138</f>
        <v>3.2006228355811572</v>
      </c>
      <c r="D23" s="21">
        <f t="shared" si="2"/>
        <v>6.7062974847138026</v>
      </c>
      <c r="E23" s="22">
        <f t="shared" si="3"/>
        <v>6.7062974847138026</v>
      </c>
      <c r="F23" s="20">
        <f t="shared" si="4"/>
        <v>1.6899350133245357</v>
      </c>
      <c r="G23" s="61">
        <f>0.5*(DataUK3!BH142+DataUK3!BH143)/DataUK1!B142</f>
        <v>1.5106878222566216</v>
      </c>
      <c r="H23" s="1078">
        <f t="shared" si="5"/>
        <v>0.5280019234186597</v>
      </c>
      <c r="I23" s="61">
        <f>G23/TableUK6a!M138</f>
        <v>0.42780188969765021</v>
      </c>
      <c r="J23" s="31">
        <f>G23+TableUK6a!L138</f>
        <v>5.697287383667291</v>
      </c>
      <c r="K23" s="20">
        <f>0.5*(DataUK3!BR142+DataUK3!BR143)/DataUK1!B142</f>
        <v>7.3090793858354403E-2</v>
      </c>
      <c r="L23" s="21">
        <f t="shared" si="6"/>
        <v>1.5129945104736147</v>
      </c>
      <c r="M23" s="21"/>
      <c r="N23" s="21">
        <f t="shared" si="7"/>
        <v>1.4399037166152602</v>
      </c>
      <c r="O23" s="22"/>
      <c r="P23" s="23">
        <f>K23/TableUK6a!M138</f>
        <v>2.0698108021680893E-2</v>
      </c>
      <c r="Q23" s="48"/>
      <c r="R23" s="49"/>
      <c r="S23" s="49"/>
    </row>
    <row r="24" spans="1:19" ht="12" customHeight="1">
      <c r="A24" s="50">
        <f t="shared" si="8"/>
        <v>1984</v>
      </c>
      <c r="B24" s="20">
        <f t="shared" si="1"/>
        <v>3.1155548279774123</v>
      </c>
      <c r="C24" s="584">
        <f>J24-K24-TableUK6a!C139-TableUK6a!I139</f>
        <v>3.1155548279774123</v>
      </c>
      <c r="D24" s="21">
        <f t="shared" si="2"/>
        <v>6.528053625712209</v>
      </c>
      <c r="E24" s="22">
        <f t="shared" si="3"/>
        <v>6.528053625712209</v>
      </c>
      <c r="F24" s="20">
        <f t="shared" si="4"/>
        <v>1.6729113224362573</v>
      </c>
      <c r="G24" s="61">
        <f>0.5*(DataUK3!BH143+DataUK3!BH144)/DataUK1!B143</f>
        <v>1.4426435055411551</v>
      </c>
      <c r="H24" s="1078">
        <f t="shared" si="5"/>
        <v>0.53695454415170574</v>
      </c>
      <c r="I24" s="61">
        <f>G24/TableUK6a!M139</f>
        <v>0.39503831538313461</v>
      </c>
      <c r="J24" s="31">
        <f>G24+TableUK6a!L139</f>
        <v>5.7017131305245563</v>
      </c>
      <c r="K24" s="20">
        <f>0.5*(DataUK3!BR143+DataUK3!BR144)/DataUK1!B143</f>
        <v>7.1461836656626671E-2</v>
      </c>
      <c r="L24" s="21">
        <f t="shared" si="6"/>
        <v>1.5652819569066889</v>
      </c>
      <c r="M24" s="21"/>
      <c r="N24" s="21">
        <f t="shared" si="7"/>
        <v>1.4938201202500623</v>
      </c>
      <c r="O24" s="22"/>
      <c r="P24" s="23">
        <f>K24/TableUK6a!M139</f>
        <v>1.9568357295885803E-2</v>
      </c>
      <c r="Q24" s="48"/>
      <c r="R24" s="49"/>
      <c r="S24" s="49"/>
    </row>
    <row r="25" spans="1:19" ht="12" customHeight="1">
      <c r="A25" s="50">
        <f t="shared" si="8"/>
        <v>1985</v>
      </c>
      <c r="B25" s="20">
        <f t="shared" si="1"/>
        <v>2.9729456647407089</v>
      </c>
      <c r="C25" s="584">
        <f>J25-K25-TableUK6a!C140-TableUK6a!I140</f>
        <v>2.9729456647407089</v>
      </c>
      <c r="D25" s="21">
        <f t="shared" si="2"/>
        <v>6.2292431997915338</v>
      </c>
      <c r="E25" s="22">
        <f t="shared" si="3"/>
        <v>6.2292431997915338</v>
      </c>
      <c r="F25" s="20">
        <f t="shared" si="4"/>
        <v>1.6224541348963304</v>
      </c>
      <c r="G25" s="61">
        <f>0.5*(DataUK3!BH144+DataUK3!BH145)/DataUK1!B144</f>
        <v>1.3504915298443785</v>
      </c>
      <c r="H25" s="1078">
        <f t="shared" si="5"/>
        <v>0.54573958553589508</v>
      </c>
      <c r="I25" s="61">
        <f>G25/TableUK6a!M140</f>
        <v>0.36148334013606304</v>
      </c>
      <c r="J25" s="31">
        <f>G25+TableUK6a!L140</f>
        <v>5.6429078604425449</v>
      </c>
      <c r="K25" s="20">
        <f>0.5*(DataUK3!BR144+DataUK3!BR145)/DataUK1!B144</f>
        <v>6.5528559787262158E-2</v>
      </c>
      <c r="L25" s="21">
        <f t="shared" si="6"/>
        <v>1.6132650836721265</v>
      </c>
      <c r="M25" s="21"/>
      <c r="N25" s="21">
        <f t="shared" si="7"/>
        <v>1.5477365238848644</v>
      </c>
      <c r="O25" s="22"/>
      <c r="P25" s="23">
        <f>K25/TableUK6a!M140</f>
        <v>1.7539897246845241E-2</v>
      </c>
      <c r="Q25" s="48"/>
      <c r="R25" s="49"/>
      <c r="S25" s="49"/>
    </row>
    <row r="26" spans="1:19" ht="12" customHeight="1">
      <c r="A26" s="50">
        <f t="shared" si="8"/>
        <v>1986</v>
      </c>
      <c r="B26" s="20">
        <f t="shared" si="1"/>
        <v>2.8890291537323565</v>
      </c>
      <c r="C26" s="584">
        <f>J26-K26-TableUK6a!C141-TableUK6a!I141</f>
        <v>2.8890291537323569</v>
      </c>
      <c r="D26" s="21">
        <f t="shared" si="2"/>
        <v>6.053412083283523</v>
      </c>
      <c r="E26" s="22">
        <f t="shared" si="3"/>
        <v>6.053412083283523</v>
      </c>
      <c r="F26" s="20">
        <f t="shared" si="4"/>
        <v>1.6963951624501608</v>
      </c>
      <c r="G26" s="61">
        <f>0.5*(DataUK3!BH145+DataUK3!BH146)/DataUK1!B145</f>
        <v>1.1926339912821957</v>
      </c>
      <c r="H26" s="1078">
        <f t="shared" si="5"/>
        <v>0.58718520034959709</v>
      </c>
      <c r="I26" s="61">
        <f>G26/TableUK6a!M141</f>
        <v>0.30065989832235124</v>
      </c>
      <c r="J26" s="31">
        <f>G26+TableUK6a!L141</f>
        <v>5.6891097781369764</v>
      </c>
      <c r="K26" s="20">
        <f>0.5*(DataUK3!BR145+DataUK3!BR146)/DataUK1!B145</f>
        <v>5.6617377478653162E-2</v>
      </c>
      <c r="L26" s="21">
        <f t="shared" si="6"/>
        <v>1.6582703049983196</v>
      </c>
      <c r="M26" s="21"/>
      <c r="N26" s="21">
        <f t="shared" si="7"/>
        <v>1.6016529275196665</v>
      </c>
      <c r="O26" s="22"/>
      <c r="P26" s="23">
        <f>K26/TableUK6a!M141</f>
        <v>1.42730922315145E-2</v>
      </c>
      <c r="Q26" s="48"/>
      <c r="R26" s="49"/>
      <c r="S26" s="49"/>
    </row>
    <row r="27" spans="1:19" ht="12" customHeight="1">
      <c r="A27" s="50">
        <f>A28-1</f>
        <v>1987</v>
      </c>
      <c r="B27" s="20">
        <f t="shared" si="1"/>
        <v>2.6015665964129857</v>
      </c>
      <c r="C27" s="584">
        <f>$J27-$K27-TableUK6a!$C142-TableUK6a!$I142</f>
        <v>2.6015665964129866</v>
      </c>
      <c r="D27" s="21">
        <f>E27</f>
        <v>5.4510888717920176</v>
      </c>
      <c r="E27" s="22">
        <f>0.9*C27*E$28/C$28</f>
        <v>5.4510888717920176</v>
      </c>
      <c r="F27" s="20">
        <f>B27-G27</f>
        <v>1.678398230023697</v>
      </c>
      <c r="G27" s="61">
        <f>0.5*(DataUK3!BH146+DataUK3!BH147)/DataUK1!B146</f>
        <v>0.92316836638928856</v>
      </c>
      <c r="H27" s="1078">
        <f t="shared" si="5"/>
        <v>0.6451490545496148</v>
      </c>
      <c r="I27" s="61">
        <f>G27/TableUK6a!M142</f>
        <v>0.21731426083376398</v>
      </c>
      <c r="J27" s="31">
        <f>G27+TableUK6a!L142</f>
        <v>5.5803039174636764</v>
      </c>
      <c r="K27" s="20">
        <f>0.5*(DataUK3!BR146+DataUK3!BR147)/DataUK1!B146</f>
        <v>8.7550100947523662E-2</v>
      </c>
      <c r="L27" s="21">
        <f t="shared" si="6"/>
        <v>1.7431194321019923</v>
      </c>
      <c r="M27" s="21"/>
      <c r="N27" s="21">
        <f t="shared" si="7"/>
        <v>1.6555693311544686</v>
      </c>
      <c r="O27" s="22"/>
      <c r="P27" s="23">
        <f>K27/TableUK6a!M142</f>
        <v>2.0609334294833869E-2</v>
      </c>
      <c r="Q27" s="48"/>
      <c r="R27" s="49"/>
      <c r="S27" s="49"/>
    </row>
    <row r="28" spans="1:19" ht="12" customHeight="1">
      <c r="A28" s="50">
        <v>1988</v>
      </c>
      <c r="B28" s="20">
        <f t="shared" ref="B28:B50" si="9">C28+D28-E28</f>
        <v>2.3353864019860744</v>
      </c>
      <c r="C28" s="21">
        <f>0.5*(DataUK3!BJ147+DataUK3!BN147+DataUK3!BJ148+DataUK3!BN148)/DataUK1!$B147</f>
        <v>1.9943802245970637</v>
      </c>
      <c r="D28" s="21">
        <f>0.5*(DataUK3!BK147+DataUK3!BO147+DataUK3!BK148+DataUK3!BO148)/DataUK1!$B147</f>
        <v>4.9841674101514766</v>
      </c>
      <c r="E28" s="22">
        <f>0.5*(DataUK3!BL147+DataUK3!BP147-DataUK3!BM147-DataUK3!BQ147+DataUK3!BL148+DataUK3!BP148-DataUK3!BM148-DataUK3!BQ148)/DataUK1!$B147</f>
        <v>4.6431612327624663</v>
      </c>
      <c r="F28" s="20">
        <f>0.5*(DataUK3!BM147+DataUK3!BQ147+DataUK3!BM148+DataUK3!BQ148)/DataUK1!$B147</f>
        <v>1.6320028995907601</v>
      </c>
      <c r="G28" s="61">
        <f t="shared" ref="G28:G50" si="10">B28-F28</f>
        <v>0.70338350239531433</v>
      </c>
      <c r="H28" s="1078">
        <f t="shared" ref="H28:H50" si="11">F28/B28</f>
        <v>0.6988149362361884</v>
      </c>
      <c r="I28" s="61">
        <f>G28/TableUK6a!M143</f>
        <v>0.15253259756926579</v>
      </c>
      <c r="J28" s="31">
        <f>G28+TableUK6a!L143</f>
        <v>5.6118415310615024</v>
      </c>
      <c r="K28" s="20">
        <f t="shared" ref="K28:K49" si="12">L28-N28</f>
        <v>0.11290827013712446</v>
      </c>
      <c r="L28" s="21">
        <f>0.5*(DataUK3!BT147+DataUK3!BT148)/DataUK1!$B147</f>
        <v>1.8223940049263949</v>
      </c>
      <c r="M28" s="21">
        <f>0.5*(DataUK3!BU147+DataUK3!BU148)/DataUK1!$B147</f>
        <v>0.41142186621152466</v>
      </c>
      <c r="N28" s="21">
        <f>0.5*(DataUK3!BV147+DataUK3!BV148)/DataUK1!$B147</f>
        <v>1.7094857347892705</v>
      </c>
      <c r="O28" s="22">
        <f>0.5*(DataUK3!BW147+DataUK3!BW148)/DataUK1!$B147</f>
        <v>0.27087656859132259</v>
      </c>
      <c r="P28" s="23">
        <f>K28/TableUK6a!M143</f>
        <v>2.4484782017802815E-2</v>
      </c>
      <c r="Q28" s="48"/>
      <c r="R28" s="49"/>
      <c r="S28" s="49"/>
    </row>
    <row r="29" spans="1:19" ht="12" customHeight="1">
      <c r="A29" s="50">
        <v>1989</v>
      </c>
      <c r="B29" s="20">
        <f t="shared" si="9"/>
        <v>2.3181244324348267</v>
      </c>
      <c r="C29" s="21">
        <f>0.5*(DataUK3!BJ148+DataUK3!BN148+DataUK3!BJ149+DataUK3!BN149)/DataUK1!$B148</f>
        <v>1.9869797780681742</v>
      </c>
      <c r="D29" s="21">
        <f>0.5*(DataUK3!BK148+DataUK3!BO148+DataUK3!BK149+DataUK3!BO149)/DataUK1!$B148</f>
        <v>5.3343429533322997</v>
      </c>
      <c r="E29" s="22">
        <f>0.5*(DataUK3!BL148+DataUK3!BP148-DataUK3!BM148-DataUK3!BQ148+DataUK3!BL149+DataUK3!BP149-DataUK3!BM149-DataUK3!BQ149)/DataUK1!$B148</f>
        <v>5.0031982989656472</v>
      </c>
      <c r="F29" s="20">
        <f>0.5*(DataUK3!BM148+DataUK3!BQ148+DataUK3!BM149+DataUK3!BQ149)/DataUK1!$B148</f>
        <v>1.785036213426654</v>
      </c>
      <c r="G29" s="61">
        <f t="shared" si="10"/>
        <v>0.53308821900817271</v>
      </c>
      <c r="H29" s="1078">
        <f t="shared" si="11"/>
        <v>0.77003468340642656</v>
      </c>
      <c r="I29" s="61">
        <f>G29/TableUK6a!M144</f>
        <v>0.10636481269356407</v>
      </c>
      <c r="J29" s="31">
        <f>G29+TableUK6a!L144</f>
        <v>5.7578163414472083</v>
      </c>
      <c r="K29" s="20">
        <f t="shared" si="12"/>
        <v>0.11376774679394885</v>
      </c>
      <c r="L29" s="21">
        <f>0.5*(DataUK3!BT148+DataUK3!BT149)/DataUK1!$B148</f>
        <v>1.9794879177833395</v>
      </c>
      <c r="M29" s="21">
        <f>0.5*(DataUK3!BU148+DataUK3!BU149)/DataUK1!$B148</f>
        <v>0.48611597156083192</v>
      </c>
      <c r="N29" s="21">
        <f>0.5*(DataUK3!BV148+DataUK3!BV149)/DataUK1!$B148</f>
        <v>1.8657201709893907</v>
      </c>
      <c r="O29" s="22">
        <f>0.5*(DataUK3!BW148+DataUK3!BW149)/DataUK1!$B148</f>
        <v>0.322955104210503</v>
      </c>
      <c r="P29" s="23">
        <f>K29/TableUK6a!M144</f>
        <v>2.2699592012784056E-2</v>
      </c>
      <c r="Q29" s="48"/>
      <c r="R29" s="49"/>
      <c r="S29" s="49"/>
    </row>
    <row r="30" spans="1:19" ht="12" customHeight="1">
      <c r="A30" s="55">
        <v>1990</v>
      </c>
      <c r="B30" s="25">
        <f t="shared" si="9"/>
        <v>2.1080298055844313</v>
      </c>
      <c r="C30" s="26">
        <f>0.5*(DataUK3!BJ149+DataUK3!BN149+DataUK3!BJ150+DataUK3!BN150)/DataUK1!$B149</f>
        <v>1.9253121044018813</v>
      </c>
      <c r="D30" s="26">
        <f>0.5*(DataUK3!BK149+DataUK3!BO149+DataUK3!BK150+DataUK3!BO150)/DataUK1!$B149</f>
        <v>5.4191821989852107</v>
      </c>
      <c r="E30" s="26">
        <f>0.5*(DataUK3!BL149+DataUK3!BP149-DataUK3!BM149-DataUK3!BQ149+DataUK3!BL150+DataUK3!BP150-DataUK3!BM150-DataUK3!BQ150)/DataUK1!$B149</f>
        <v>5.2364644978026611</v>
      </c>
      <c r="F30" s="25">
        <f>0.5*(DataUK3!BM149+DataUK3!BQ149+DataUK3!BM150+DataUK3!BQ150)/DataUK1!$B149</f>
        <v>1.7667805646182189</v>
      </c>
      <c r="G30" s="330">
        <f t="shared" si="10"/>
        <v>0.34124924096621245</v>
      </c>
      <c r="H30" s="1081">
        <f t="shared" si="11"/>
        <v>0.83811934723968273</v>
      </c>
      <c r="I30" s="330">
        <f>G30/TableUK6a!M145</f>
        <v>6.906321372815942E-2</v>
      </c>
      <c r="J30" s="333">
        <f>G30+TableUK6a!L145</f>
        <v>5.3954447680701509</v>
      </c>
      <c r="K30" s="25">
        <f t="shared" si="12"/>
        <v>4.6467276638226584E-2</v>
      </c>
      <c r="L30" s="26">
        <f>0.5*(DataUK3!BT149+DataUK3!BT150)/DataUK1!$B149</f>
        <v>1.9879995471527228</v>
      </c>
      <c r="M30" s="26">
        <f>0.5*(DataUK3!BU149+DataUK3!BU150)/DataUK1!$B149</f>
        <v>0.4829245700523862</v>
      </c>
      <c r="N30" s="26">
        <f>0.5*(DataUK3!BV149+DataUK3!BV150)/DataUK1!$B149</f>
        <v>1.9415322705144962</v>
      </c>
      <c r="O30" s="27">
        <f>0.5*(DataUK3!BW149+DataUK3!BW150)/DataUK1!$B149</f>
        <v>0.31995924374504697</v>
      </c>
      <c r="P30" s="28">
        <f>K30/TableUK6a!M145</f>
        <v>9.4042098049650965E-3</v>
      </c>
      <c r="Q30" s="48"/>
      <c r="R30" s="49"/>
      <c r="S30" s="49"/>
    </row>
    <row r="31" spans="1:19" ht="12" customHeight="1">
      <c r="A31" s="50">
        <v>1991</v>
      </c>
      <c r="B31" s="20">
        <f t="shared" si="9"/>
        <v>1.9097823097174738</v>
      </c>
      <c r="C31" s="21">
        <f>0.5*(DataUK3!BJ150+DataUK3!BN150+DataUK3!BJ151+DataUK3!BN151)/DataUK1!$B150</f>
        <v>1.8506680026720106</v>
      </c>
      <c r="D31" s="21">
        <f>0.5*(DataUK3!BK150+DataUK3!BO150+DataUK3!BK151+DataUK3!BO151)/DataUK1!$B150</f>
        <v>5.2890005501198472</v>
      </c>
      <c r="E31" s="21">
        <f>0.5*(DataUK3!BL150+DataUK3!BP150-DataUK3!BM150-DataUK3!BQ150+DataUK3!BL151+DataUK3!BP151-DataUK3!BM151-DataUK3!BQ151)/DataUK1!$B150</f>
        <v>5.2298862430743842</v>
      </c>
      <c r="F31" s="20">
        <f>0.5*(DataUK3!BM150+DataUK3!BQ150+DataUK3!BM151+DataUK3!BQ151)/DataUK1!$B150</f>
        <v>1.7114975048135486</v>
      </c>
      <c r="G31" s="61">
        <f t="shared" si="10"/>
        <v>0.19828480490392519</v>
      </c>
      <c r="H31" s="1078">
        <f t="shared" si="11"/>
        <v>0.89617413257259737</v>
      </c>
      <c r="I31" s="61">
        <f>G31/TableUK6a!M146</f>
        <v>4.1528484249210344E-2</v>
      </c>
      <c r="J31" s="31">
        <f>G31+TableUK6a!L146</f>
        <v>5.0404691736413998</v>
      </c>
      <c r="K31" s="20">
        <f t="shared" si="12"/>
        <v>-1.3021140319855462E-2</v>
      </c>
      <c r="L31" s="21">
        <f>0.5*(DataUK3!BT150+DataUK3!BT151)/DataUK1!$B150</f>
        <v>1.8867912295178593</v>
      </c>
      <c r="M31" s="21">
        <f>0.5*(DataUK3!BU150+DataUK3!BU151)/DataUK1!$B150</f>
        <v>0.46173719988997602</v>
      </c>
      <c r="N31" s="21">
        <f>0.5*(DataUK3!BV150+DataUK3!BV151)/DataUK1!$B150</f>
        <v>1.8998123698377147</v>
      </c>
      <c r="O31" s="22">
        <f>0.5*(DataUK3!BW150+DataUK3!BW151)/DataUK1!$B150</f>
        <v>0.30223093245314159</v>
      </c>
      <c r="P31" s="23">
        <f>K31/TableUK6a!M146</f>
        <v>-2.7271288939255014E-3</v>
      </c>
      <c r="Q31" s="48"/>
      <c r="R31" s="49"/>
      <c r="S31" s="49"/>
    </row>
    <row r="32" spans="1:19" ht="12" customHeight="1">
      <c r="A32" s="50">
        <v>1992</v>
      </c>
      <c r="B32" s="20">
        <f t="shared" si="9"/>
        <v>1.9122131550744133</v>
      </c>
      <c r="C32" s="21">
        <f>0.5*(DataUK3!BJ151+DataUK3!BN151+DataUK3!BJ152+DataUK3!BN152)/DataUK1!$B151</f>
        <v>1.8015909384217428</v>
      </c>
      <c r="D32" s="21">
        <f>0.5*(DataUK3!BK151+DataUK3!BO151+DataUK3!BK152+DataUK3!BO152)/DataUK1!$B151</f>
        <v>5.4748275984610579</v>
      </c>
      <c r="E32" s="21">
        <f>0.5*(DataUK3!BL151+DataUK3!BP151-DataUK3!BM151-DataUK3!BQ151+DataUK3!BL152+DataUK3!BP152-DataUK3!BM152-DataUK3!BQ152)/DataUK1!$B151</f>
        <v>5.3642053818083877</v>
      </c>
      <c r="F32" s="20">
        <f>0.5*(DataUK3!BM151+DataUK3!BQ151+DataUK3!BM152+DataUK3!BQ152)/DataUK1!$B151</f>
        <v>1.8239961245892196</v>
      </c>
      <c r="G32" s="61">
        <f t="shared" si="10"/>
        <v>8.8217030485193693E-2</v>
      </c>
      <c r="H32" s="1078">
        <f t="shared" si="11"/>
        <v>0.95386652881709688</v>
      </c>
      <c r="I32" s="61">
        <f>G32/TableUK6a!M147</f>
        <v>1.9234619909751484E-2</v>
      </c>
      <c r="J32" s="31">
        <f>G32+TableUK6a!L147</f>
        <v>4.7363888353754682</v>
      </c>
      <c r="K32" s="20">
        <f t="shared" si="12"/>
        <v>3.6986606266120603E-3</v>
      </c>
      <c r="L32" s="21">
        <f>0.5*(DataUK3!BT151+DataUK3!BT152)/DataUK1!$B151</f>
        <v>2.0244018082756479</v>
      </c>
      <c r="M32" s="21">
        <f>0.5*(DataUK3!BU151+DataUK3!BU152)/DataUK1!$B151</f>
        <v>0.50446364277391131</v>
      </c>
      <c r="N32" s="21">
        <f>0.5*(DataUK3!BV151+DataUK3!BV152)/DataUK1!$B151</f>
        <v>2.0207031476490358</v>
      </c>
      <c r="O32" s="22">
        <f>0.5*(DataUK3!BW151+DataUK3!BW152)/DataUK1!$B151</f>
        <v>0.32619848761720216</v>
      </c>
      <c r="P32" s="23">
        <f>K32/TableUK6a!M147</f>
        <v>8.0644667970303913E-4</v>
      </c>
      <c r="Q32" s="48"/>
      <c r="R32" s="49"/>
      <c r="S32" s="49"/>
    </row>
    <row r="33" spans="1:19" ht="12" customHeight="1">
      <c r="A33" s="50">
        <v>1993</v>
      </c>
      <c r="B33" s="20">
        <f t="shared" si="9"/>
        <v>2.0241646947636207</v>
      </c>
      <c r="C33" s="21">
        <f>0.5*(DataUK3!BJ152+DataUK3!BN152+DataUK3!BJ153+DataUK3!BN153)/DataUK1!$B152</f>
        <v>1.8153419386471679</v>
      </c>
      <c r="D33" s="21">
        <f>0.5*(DataUK3!BK152+DataUK3!BO152+DataUK3!BK153+DataUK3!BO153)/DataUK1!$B152</f>
        <v>5.9191626340361125</v>
      </c>
      <c r="E33" s="21">
        <f>0.5*(DataUK3!BL152+DataUK3!BP152-DataUK3!BM152-DataUK3!BQ152+DataUK3!BL153+DataUK3!BP153-DataUK3!BM153-DataUK3!BQ153)/DataUK1!$B152</f>
        <v>5.7103398779196599</v>
      </c>
      <c r="F33" s="20">
        <f>0.5*(DataUK3!BM152+DataUK3!BQ152+DataUK3!BM153+DataUK3!BQ153)/DataUK1!$B152</f>
        <v>2.0583194767173323</v>
      </c>
      <c r="G33" s="61">
        <f t="shared" si="10"/>
        <v>-3.4154781953711577E-2</v>
      </c>
      <c r="H33" s="1078">
        <f t="shared" si="11"/>
        <v>1.0168735192556553</v>
      </c>
      <c r="I33" s="61">
        <f>G33/TableUK6a!M148</f>
        <v>-7.5205675356821624E-3</v>
      </c>
      <c r="J33" s="31">
        <f>G33+TableUK6a!L148</f>
        <v>4.5749367569833792</v>
      </c>
      <c r="K33" s="20">
        <f t="shared" si="12"/>
        <v>2.6180121796101297E-2</v>
      </c>
      <c r="L33" s="21">
        <f>0.5*(DataUK3!BT152+DataUK3!BT153)/DataUK1!$B152</f>
        <v>2.2894886908695558</v>
      </c>
      <c r="M33" s="21">
        <f>0.5*(DataUK3!BU152+DataUK3!BU153)/DataUK1!$B152</f>
        <v>0.57715559203280109</v>
      </c>
      <c r="N33" s="21">
        <f>0.5*(DataUK3!BV152+DataUK3!BV153)/DataUK1!$B152</f>
        <v>2.2633085690734545</v>
      </c>
      <c r="O33" s="22">
        <f>0.5*(DataUK3!BW152+DataUK3!BW153)/DataUK1!$B152</f>
        <v>0.3722908539228435</v>
      </c>
      <c r="P33" s="23">
        <f>K33/TableUK6a!M148</f>
        <v>5.7646210222275637E-3</v>
      </c>
      <c r="Q33" s="48"/>
      <c r="R33" s="49"/>
      <c r="S33" s="49"/>
    </row>
    <row r="34" spans="1:19" ht="12" customHeight="1">
      <c r="A34" s="50">
        <v>1994</v>
      </c>
      <c r="B34" s="20">
        <f t="shared" si="9"/>
        <v>2.0714021090514558</v>
      </c>
      <c r="C34" s="21">
        <f>0.5*(DataUK3!BJ153+DataUK3!BN153+DataUK3!BJ154+DataUK3!BN154)/DataUK1!$B153</f>
        <v>1.8106724420804721</v>
      </c>
      <c r="D34" s="21">
        <f>0.5*(DataUK3!BK153+DataUK3!BO153+DataUK3!BK154+DataUK3!BO154)/DataUK1!$B153</f>
        <v>5.9047528083197713</v>
      </c>
      <c r="E34" s="21">
        <f>0.5*(DataUK3!BL153+DataUK3!BP153-DataUK3!BM153-DataUK3!BQ153+DataUK3!BL154+DataUK3!BP154-DataUK3!BM154-DataUK3!BQ154)/DataUK1!$B153</f>
        <v>5.6440231413487876</v>
      </c>
      <c r="F34" s="20">
        <f>0.5*(DataUK3!BM153+DataUK3!BQ153+DataUK3!BM154+DataUK3!BQ154)/DataUK1!$B153</f>
        <v>2.0772684872782121</v>
      </c>
      <c r="G34" s="61">
        <f t="shared" si="10"/>
        <v>-5.8663782267562858E-3</v>
      </c>
      <c r="H34" s="1078">
        <f t="shared" si="11"/>
        <v>1.0028320808408575</v>
      </c>
      <c r="I34" s="61">
        <f>G34/TableUK6a!M149</f>
        <v>-1.3393431969710933E-3</v>
      </c>
      <c r="J34" s="31">
        <f>G34+TableUK6a!L149</f>
        <v>4.44645916855211</v>
      </c>
      <c r="K34" s="20">
        <f t="shared" si="12"/>
        <v>2.9695748819116297E-2</v>
      </c>
      <c r="L34" s="21">
        <f>0.5*(DataUK3!BT153+DataUK3!BT154)/DataUK1!$B153</f>
        <v>2.3027767303086835</v>
      </c>
      <c r="M34" s="21">
        <f>0.5*(DataUK3!BU153+DataUK3!BU154)/DataUK1!$B153</f>
        <v>0.59914708450760135</v>
      </c>
      <c r="N34" s="21">
        <f>0.5*(DataUK3!BV153+DataUK3!BV154)/DataUK1!$B153</f>
        <v>2.2730809814895672</v>
      </c>
      <c r="O34" s="22">
        <f>0.5*(DataUK3!BW153+DataUK3!BW154)/DataUK1!$B153</f>
        <v>0.3783516254515143</v>
      </c>
      <c r="P34" s="23">
        <f>K34/TableUK6a!M149</f>
        <v>6.7797877365703861E-3</v>
      </c>
      <c r="Q34" s="48"/>
      <c r="R34" s="49"/>
      <c r="S34" s="49"/>
    </row>
    <row r="35" spans="1:19" ht="12" customHeight="1">
      <c r="A35" s="50">
        <v>1995</v>
      </c>
      <c r="B35" s="20">
        <f t="shared" si="9"/>
        <v>2.0293482296289449</v>
      </c>
      <c r="C35" s="21">
        <f>0.5*(DataUK3!BJ154+DataUK3!BN154+DataUK3!BJ155+DataUK3!BN155)/DataUK1!$B154</f>
        <v>1.7722367470851499</v>
      </c>
      <c r="D35" s="21">
        <f>0.5*(DataUK3!BK154+DataUK3!BO154+DataUK3!BK155+DataUK3!BO155)/DataUK1!$B154</f>
        <v>5.9898671458043857</v>
      </c>
      <c r="E35" s="21">
        <f>0.5*(DataUK3!BL154+DataUK3!BP154-DataUK3!BM154-DataUK3!BQ154+DataUK3!BL155+DataUK3!BP155-DataUK3!BM155-DataUK3!BQ155)/DataUK1!$B154</f>
        <v>5.7327556632605905</v>
      </c>
      <c r="F35" s="20">
        <f>0.5*(DataUK3!BM154+DataUK3!BQ154+DataUK3!BM155+DataUK3!BQ155)/DataUK1!$B154</f>
        <v>2.0810597005806986</v>
      </c>
      <c r="G35" s="61">
        <f t="shared" si="10"/>
        <v>-5.1711470951753657E-2</v>
      </c>
      <c r="H35" s="1078">
        <f t="shared" si="11"/>
        <v>1.0254818124345317</v>
      </c>
      <c r="I35" s="61">
        <f>G35/TableUK6a!M150</f>
        <v>-1.2145465971098285E-2</v>
      </c>
      <c r="J35" s="31">
        <f>G35+TableUK6a!L150</f>
        <v>4.2718929020676129</v>
      </c>
      <c r="K35" s="20">
        <f t="shared" si="12"/>
        <v>-6.4680459107506749E-3</v>
      </c>
      <c r="L35" s="21">
        <f>0.5*(DataUK3!BT154+DataUK3!BT155)/DataUK1!$B154</f>
        <v>2.3462260855398682</v>
      </c>
      <c r="M35" s="21">
        <f>0.5*(DataUK3!BU154+DataUK3!BU155)/DataUK1!$B154</f>
        <v>0.61343204322265021</v>
      </c>
      <c r="N35" s="21">
        <f>0.5*(DataUK3!BV154+DataUK3!BV155)/DataUK1!$B154</f>
        <v>2.3526941314506189</v>
      </c>
      <c r="O35" s="22">
        <f>0.5*(DataUK3!BW154+DataUK3!BW155)/DataUK1!$B154</f>
        <v>0.40453170501700425</v>
      </c>
      <c r="P35" s="23">
        <f>K35/TableUK6a!M150</f>
        <v>-1.5191490410670608E-3</v>
      </c>
      <c r="Q35" s="48"/>
      <c r="R35" s="49"/>
      <c r="S35" s="49"/>
    </row>
    <row r="36" spans="1:19" ht="12" customHeight="1">
      <c r="A36" s="50">
        <v>1996</v>
      </c>
      <c r="B36" s="20">
        <f t="shared" si="9"/>
        <v>1.9708655008768305</v>
      </c>
      <c r="C36" s="21">
        <f>0.5*(DataUK3!BJ155+DataUK3!BN155+DataUK3!BJ156+DataUK3!BN156)/DataUK1!$B155</f>
        <v>1.7012414695626972</v>
      </c>
      <c r="D36" s="21">
        <f>0.5*(DataUK3!BK155+DataUK3!BO155+DataUK3!BK156+DataUK3!BO156)/DataUK1!$B155</f>
        <v>6.2153058954068117</v>
      </c>
      <c r="E36" s="21">
        <f>0.5*(DataUK3!BL155+DataUK3!BP155-DataUK3!BM155-DataUK3!BQ155+DataUK3!BL156+DataUK3!BP156-DataUK3!BM156-DataUK3!BQ156)/DataUK1!$B155</f>
        <v>5.9456818640926778</v>
      </c>
      <c r="F36" s="20">
        <f>0.5*(DataUK3!BM155+DataUK3!BQ155+DataUK3!BM156+DataUK3!BQ156)/DataUK1!$B155</f>
        <v>2.2091607601347891</v>
      </c>
      <c r="G36" s="61">
        <f t="shared" si="10"/>
        <v>-0.23829525925795858</v>
      </c>
      <c r="H36" s="1078">
        <f t="shared" si="11"/>
        <v>1.1209089403370964</v>
      </c>
      <c r="I36" s="61">
        <f>G36/TableUK6a!M151</f>
        <v>-5.570272943870417E-2</v>
      </c>
      <c r="J36" s="31">
        <f>G36+TableUK6a!L151</f>
        <v>4.0901115727037709</v>
      </c>
      <c r="K36" s="20">
        <f t="shared" si="12"/>
        <v>-6.1594075609463061E-2</v>
      </c>
      <c r="L36" s="21">
        <f>0.5*(DataUK3!BT155+DataUK3!BT156)/DataUK1!$B155</f>
        <v>2.4098584188938759</v>
      </c>
      <c r="M36" s="21">
        <f>0.5*(DataUK3!BU155+DataUK3!BU156)/DataUK1!$B155</f>
        <v>0.63313337490594923</v>
      </c>
      <c r="N36" s="21">
        <f>0.5*(DataUK3!BV155+DataUK3!BV156)/DataUK1!$B155</f>
        <v>2.4714524945033389</v>
      </c>
      <c r="O36" s="22">
        <f>0.5*(DataUK3!BW155+DataUK3!BW156)/DataUK1!$B155</f>
        <v>0.46715104619537373</v>
      </c>
      <c r="P36" s="23">
        <f>K36/TableUK6a!M151</f>
        <v>-1.4397928600782357E-2</v>
      </c>
      <c r="Q36" s="48"/>
      <c r="R36" s="49"/>
      <c r="S36" s="49"/>
    </row>
    <row r="37" spans="1:19" ht="12" customHeight="1">
      <c r="A37" s="50">
        <v>1997</v>
      </c>
      <c r="B37" s="20">
        <f t="shared" si="9"/>
        <v>1.947718901118705</v>
      </c>
      <c r="C37" s="21">
        <f>0.5*(DataUK3!BJ156+DataUK3!BN156+DataUK3!BJ157+DataUK3!BN157)/DataUK1!$B156</f>
        <v>1.6517644794075805</v>
      </c>
      <c r="D37" s="21">
        <f>0.5*(DataUK3!BK156+DataUK3!BO156+DataUK3!BK157+DataUK3!BO157)/DataUK1!$B156</f>
        <v>6.5541569846024457</v>
      </c>
      <c r="E37" s="21">
        <f>0.5*(DataUK3!BL156+DataUK3!BP156-DataUK3!BM156-DataUK3!BQ156+DataUK3!BL157+DataUK3!BP157-DataUK3!BM157-DataUK3!BQ157)/DataUK1!$B156</f>
        <v>6.2582025628913218</v>
      </c>
      <c r="F37" s="20">
        <f>0.5*(DataUK3!BM156+DataUK3!BQ156+DataUK3!BM157+DataUK3!BQ157)/DataUK1!$B156</f>
        <v>2.4130252548282898</v>
      </c>
      <c r="G37" s="61">
        <f t="shared" si="10"/>
        <v>-0.46530635370958473</v>
      </c>
      <c r="H37" s="1078">
        <f t="shared" si="11"/>
        <v>1.2388981045685434</v>
      </c>
      <c r="I37" s="61">
        <f>G37/TableUK6a!M152</f>
        <v>-0.10447151786257568</v>
      </c>
      <c r="J37" s="31">
        <f>G37+TableUK6a!L152</f>
        <v>4.0379791768493316</v>
      </c>
      <c r="K37" s="20">
        <f t="shared" si="12"/>
        <v>-8.1924598677868943E-2</v>
      </c>
      <c r="L37" s="21">
        <f>0.5*(DataUK3!BT156+DataUK3!BT157)/DataUK1!$B156</f>
        <v>2.54477619072324</v>
      </c>
      <c r="M37" s="21">
        <f>0.5*(DataUK3!BU156+DataUK3!BU157)/DataUK1!$B156</f>
        <v>0.65306968082637273</v>
      </c>
      <c r="N37" s="21">
        <f>0.5*(DataUK3!BV156+DataUK3!BV157)/DataUK1!$B156</f>
        <v>2.626700789401109</v>
      </c>
      <c r="O37" s="22">
        <f>0.5*(DataUK3!BW156+DataUK3!BW157)/DataUK1!$B156</f>
        <v>0.5343734896662452</v>
      </c>
      <c r="P37" s="23">
        <f>K37/TableUK6a!M152</f>
        <v>-1.8393875574502023E-2</v>
      </c>
      <c r="Q37" s="48"/>
      <c r="R37" s="49"/>
      <c r="S37" s="49"/>
    </row>
    <row r="38" spans="1:19" ht="12" customHeight="1">
      <c r="A38" s="50">
        <v>1998</v>
      </c>
      <c r="B38" s="20">
        <f t="shared" si="9"/>
        <v>1.8895697858439942</v>
      </c>
      <c r="C38" s="21">
        <f>0.5*(DataUK3!BJ157+DataUK3!BN157+DataUK3!BJ158+DataUK3!BN158)/DataUK1!$B157</f>
        <v>1.5934947957351404</v>
      </c>
      <c r="D38" s="21">
        <f>0.5*(DataUK3!BK157+DataUK3!BO157+DataUK3!BK158+DataUK3!BO158)/DataUK1!$B157</f>
        <v>6.7976943483509684</v>
      </c>
      <c r="E38" s="21">
        <f>0.5*(DataUK3!BL157+DataUK3!BP157-DataUK3!BM157-DataUK3!BQ157+DataUK3!BL158+DataUK3!BP158-DataUK3!BM158-DataUK3!BQ158)/DataUK1!$B157</f>
        <v>6.5016193582421149</v>
      </c>
      <c r="F38" s="20">
        <f>0.5*(DataUK3!BM157+DataUK3!BQ157+DataUK3!BM158+DataUK3!BQ158)/DataUK1!$B157</f>
        <v>2.6172481308269</v>
      </c>
      <c r="G38" s="61">
        <f t="shared" si="10"/>
        <v>-0.72767834498290584</v>
      </c>
      <c r="H38" s="1078">
        <f t="shared" si="11"/>
        <v>1.3851026569298586</v>
      </c>
      <c r="I38" s="61">
        <f>G38/TableUK6a!M153</f>
        <v>-0.15662691051241914</v>
      </c>
      <c r="J38" s="31">
        <f>G38+TableUK6a!L153</f>
        <v>3.9725273401438526</v>
      </c>
      <c r="K38" s="20">
        <f t="shared" si="12"/>
        <v>-0.14535800878536742</v>
      </c>
      <c r="L38" s="21">
        <f>0.5*(DataUK3!BT157+DataUK3!BT158)/DataUK1!$B157</f>
        <v>2.7048488176275449</v>
      </c>
      <c r="M38" s="21">
        <f>0.5*(DataUK3!BU157+DataUK3!BU158)/DataUK1!$B157</f>
        <v>0.70094942327006382</v>
      </c>
      <c r="N38" s="21">
        <f>0.5*(DataUK3!BV157+DataUK3!BV158)/DataUK1!$B157</f>
        <v>2.8502068264129123</v>
      </c>
      <c r="O38" s="22">
        <f>0.5*(DataUK3!BW157+DataUK3!BW158)/DataUK1!$B157</f>
        <v>0.66267258782830996</v>
      </c>
      <c r="P38" s="23">
        <f>K38/TableUK6a!M153</f>
        <v>-3.1287142171070113E-2</v>
      </c>
      <c r="Q38" s="48"/>
      <c r="R38" s="49"/>
      <c r="S38" s="49"/>
    </row>
    <row r="39" spans="1:19" ht="12" customHeight="1">
      <c r="A39" s="60">
        <f t="shared" ref="A39:A47" si="13">A38+1</f>
        <v>1999</v>
      </c>
      <c r="B39" s="20">
        <f t="shared" si="9"/>
        <v>2.0043260187322467</v>
      </c>
      <c r="C39" s="21">
        <f>0.5*(DataUK3!BJ158+DataUK3!BN158+DataUK3!BJ159+DataUK3!BN159)/DataUK1!$B158</f>
        <v>1.6072856307577001</v>
      </c>
      <c r="D39" s="21">
        <f>0.5*(DataUK3!BK158+DataUK3!BO158+DataUK3!BK159+DataUK3!BO159)/DataUK1!$B158</f>
        <v>7.1882288102594023</v>
      </c>
      <c r="E39" s="21">
        <f>0.5*(DataUK3!BL158+DataUK3!BP158-DataUK3!BM158-DataUK3!BQ158+DataUK3!BL159+DataUK3!BP159-DataUK3!BM159-DataUK3!BQ159)/DataUK1!$B158</f>
        <v>6.791188422284856</v>
      </c>
      <c r="F39" s="20">
        <f>0.5*(DataUK3!BM158+DataUK3!BQ158+DataUK3!BM159+DataUK3!BQ159)/DataUK1!$B158</f>
        <v>3.0287355550157526</v>
      </c>
      <c r="G39" s="61">
        <f t="shared" si="10"/>
        <v>-1.024409536283506</v>
      </c>
      <c r="H39" s="1078">
        <f t="shared" si="11"/>
        <v>1.5110992556647316</v>
      </c>
      <c r="I39" s="61">
        <f>G39/TableUK6a!M154</f>
        <v>-0.20228847414447973</v>
      </c>
      <c r="J39" s="31">
        <f>G39+TableUK6a!L154</f>
        <v>4.0975655158691895</v>
      </c>
      <c r="K39" s="20">
        <f t="shared" si="12"/>
        <v>-0.22267644333879799</v>
      </c>
      <c r="L39" s="21">
        <f>0.5*(DataUK3!BT158+DataUK3!BT159)/DataUK1!$B158</f>
        <v>2.8903963360672047</v>
      </c>
      <c r="M39" s="21">
        <f>0.5*(DataUK3!BU158+DataUK3!BU159)/DataUK1!$B158</f>
        <v>0.87435076150868685</v>
      </c>
      <c r="N39" s="21">
        <f>0.5*(DataUK3!BV158+DataUK3!BV159)/DataUK1!$B158</f>
        <v>3.1130727794060027</v>
      </c>
      <c r="O39" s="22">
        <f>0.5*(DataUK3!BW158+DataUK3!BW159)/DataUK1!$B158</f>
        <v>0.86391411925114958</v>
      </c>
      <c r="P39" s="23">
        <f>K39/TableUK6a!M154</f>
        <v>-4.3971552738902804E-2</v>
      </c>
      <c r="Q39" s="48"/>
      <c r="R39" s="49"/>
      <c r="S39" s="49"/>
    </row>
    <row r="40" spans="1:19" ht="12" customHeight="1">
      <c r="A40" s="55">
        <f t="shared" si="13"/>
        <v>2000</v>
      </c>
      <c r="B40" s="25">
        <f t="shared" si="9"/>
        <v>2.210751020285227</v>
      </c>
      <c r="C40" s="26">
        <f>0.5*(DataUK3!BJ159+DataUK3!BN159+DataUK3!BJ160+DataUK3!BN160)/DataUK1!$B159</f>
        <v>1.5821545365767766</v>
      </c>
      <c r="D40" s="26">
        <f>0.5*(DataUK3!BK159+DataUK3!BO159+DataUK3!BK160+DataUK3!BO160)/DataUK1!$B159</f>
        <v>7.7428006612305511</v>
      </c>
      <c r="E40" s="26">
        <f>0.5*(DataUK3!BL159+DataUK3!BP159-DataUK3!BM159-DataUK3!BQ159+DataUK3!BL160+DataUK3!BP160-DataUK3!BM160-DataUK3!BQ160)/DataUK1!$B159</f>
        <v>7.1142041775221001</v>
      </c>
      <c r="F40" s="25">
        <f>0.5*(DataUK3!BM159+DataUK3!BQ159+DataUK3!BM160+DataUK3!BQ160)/DataUK1!$B159</f>
        <v>3.283221680206756</v>
      </c>
      <c r="G40" s="330">
        <f t="shared" si="10"/>
        <v>-1.072470659921529</v>
      </c>
      <c r="H40" s="1081">
        <f t="shared" si="11"/>
        <v>1.4851159855093772</v>
      </c>
      <c r="I40" s="330">
        <f>G40/TableUK6a!M155</f>
        <v>-0.20162320225553546</v>
      </c>
      <c r="J40" s="333">
        <f>G40+TableUK6a!L155</f>
        <v>4.3037716090213705</v>
      </c>
      <c r="K40" s="25">
        <f t="shared" si="12"/>
        <v>-0.16880435198131671</v>
      </c>
      <c r="L40" s="26">
        <f>0.5*(DataUK3!BT159+DataUK3!BT160)/DataUK1!$B159</f>
        <v>3.229932266730303</v>
      </c>
      <c r="M40" s="26">
        <f>0.5*(DataUK3!BU159+DataUK3!BU160)/DataUK1!$B159</f>
        <v>1.0780496478958899</v>
      </c>
      <c r="N40" s="26">
        <f>0.5*(DataUK3!BV159+DataUK3!BV160)/DataUK1!$B159</f>
        <v>3.3987366187116197</v>
      </c>
      <c r="O40" s="27">
        <f>0.5*(DataUK3!BW159+DataUK3!BW160)/DataUK1!$B159</f>
        <v>0.99673381299964436</v>
      </c>
      <c r="P40" s="28">
        <f>K40/TableUK6a!M155</f>
        <v>-3.1735016418662582E-2</v>
      </c>
      <c r="Q40" s="48"/>
      <c r="R40" s="49"/>
      <c r="S40" s="49"/>
    </row>
    <row r="41" spans="1:19" ht="12" customHeight="1">
      <c r="A41" s="60">
        <f t="shared" si="13"/>
        <v>2001</v>
      </c>
      <c r="B41" s="20">
        <f t="shared" si="9"/>
        <v>2.1667366652666944</v>
      </c>
      <c r="C41" s="21">
        <f>0.5*(DataUK3!BJ160+DataUK3!BN160+DataUK3!BJ161+DataUK3!BN161)/DataUK1!$B160</f>
        <v>1.515268833004541</v>
      </c>
      <c r="D41" s="21">
        <f>0.5*(DataUK3!BK160+DataUK3!BO160+DataUK3!BK161+DataUK3!BO161)/DataUK1!$B160</f>
        <v>7.9944315474003833</v>
      </c>
      <c r="E41" s="22">
        <f>0.5*(DataUK3!BL160+DataUK3!BP160-DataUK3!BM160-DataUK3!BQ160+DataUK3!BL161+DataUK3!BP161-DataUK3!BM161-DataUK3!BQ161)/DataUK1!$B160</f>
        <v>7.3429637151382297</v>
      </c>
      <c r="F41" s="20">
        <f>0.5*(DataUK3!BM160+DataUK3!BQ160+DataUK3!BM161+DataUK3!BQ161)/DataUK1!$B160</f>
        <v>2.9967760435913999</v>
      </c>
      <c r="G41" s="61">
        <f t="shared" si="10"/>
        <v>-0.83003937832470553</v>
      </c>
      <c r="H41" s="1078">
        <f t="shared" si="11"/>
        <v>1.3830827214171593</v>
      </c>
      <c r="I41" s="61">
        <f>G41/TableUK6a!M156</f>
        <v>-0.16036261732336687</v>
      </c>
      <c r="J41" s="31">
        <f>G41+TableUK6a!L156</f>
        <v>4.4033004979587087</v>
      </c>
      <c r="K41" s="945">
        <f t="shared" si="12"/>
        <v>-0.13057626575927994</v>
      </c>
      <c r="L41" s="62">
        <f>0.5*(DataUK3!BT160+DataUK3!BT161)/DataUK1!$B160</f>
        <v>3.4659154336495517</v>
      </c>
      <c r="M41" s="62">
        <f>0.5*(DataUK3!BU160+DataUK3!BU161)/DataUK1!$B160</f>
        <v>1.1055779928787848</v>
      </c>
      <c r="N41" s="62">
        <f>0.5*(DataUK3!BV160+DataUK3!BV161)/DataUK1!$B160</f>
        <v>3.5964916994088316</v>
      </c>
      <c r="O41" s="63">
        <f>0.5*(DataUK3!BW160+DataUK3!BW161)/DataUK1!$B160</f>
        <v>0.96398380126392247</v>
      </c>
      <c r="P41" s="23">
        <f>K41/TableUK6a!M156</f>
        <v>-2.5227178714981712E-2</v>
      </c>
      <c r="Q41" s="48"/>
      <c r="R41" s="49"/>
      <c r="S41" s="49"/>
    </row>
    <row r="42" spans="1:19" ht="12" customHeight="1">
      <c r="A42" s="60">
        <f t="shared" si="13"/>
        <v>2002</v>
      </c>
      <c r="B42" s="20">
        <f t="shared" si="9"/>
        <v>1.9371353458136129</v>
      </c>
      <c r="C42" s="21">
        <f>0.5*(DataUK3!BJ161+DataUK3!BN161+DataUK3!BJ162+DataUK3!BN162)/DataUK1!$B161</f>
        <v>1.457396633398069</v>
      </c>
      <c r="D42" s="21">
        <f>0.5*(DataUK3!BK161+DataUK3!BO161+DataUK3!BK162+DataUK3!BO162)/DataUK1!$B161</f>
        <v>7.7220593801665256</v>
      </c>
      <c r="E42" s="21">
        <f>0.5*(DataUK3!BL161+DataUK3!BP161-DataUK3!BM161-DataUK3!BQ161+DataUK3!BL162+DataUK3!BP162-DataUK3!BM162-DataUK3!BQ162)/DataUK1!$B161</f>
        <v>7.2423206677509819</v>
      </c>
      <c r="F42" s="20">
        <f>0.5*(DataUK3!BM161+DataUK3!BQ161+DataUK3!BM162+DataUK3!BQ162)/DataUK1!$B161</f>
        <v>2.3953694526409808</v>
      </c>
      <c r="G42" s="61">
        <f t="shared" si="10"/>
        <v>-0.45823410682736787</v>
      </c>
      <c r="H42" s="1078">
        <f t="shared" si="11"/>
        <v>1.2365524473122995</v>
      </c>
      <c r="I42" s="61">
        <f>G42/TableUK6a!M157</f>
        <v>-9.3124507308652307E-2</v>
      </c>
      <c r="J42" s="31">
        <f>G42+TableUK6a!L157</f>
        <v>4.5218398012341403</v>
      </c>
      <c r="K42" s="20">
        <f t="shared" si="12"/>
        <v>-0.13061233540604578</v>
      </c>
      <c r="L42" s="21">
        <f>0.5*(DataUK3!BT161+DataUK3!BT162)/DataUK1!$B161</f>
        <v>3.3482455859890283</v>
      </c>
      <c r="M42" s="21">
        <f>0.5*(DataUK3!BU161+DataUK3!BU162)/DataUK1!$B161</f>
        <v>0.9935214416919439</v>
      </c>
      <c r="N42" s="21">
        <f>0.5*(DataUK3!BV161+DataUK3!BV162)/DataUK1!$B161</f>
        <v>3.4788579213950741</v>
      </c>
      <c r="O42" s="22">
        <f>0.5*(DataUK3!BW161+DataUK3!BW162)/DataUK1!$B161</f>
        <v>0.78163808565125414</v>
      </c>
      <c r="P42" s="23">
        <f>K42/TableUK6a!M157</f>
        <v>-2.6543657929205048E-2</v>
      </c>
      <c r="Q42" s="48"/>
      <c r="R42" s="49"/>
      <c r="S42" s="49"/>
    </row>
    <row r="43" spans="1:19" ht="12" customHeight="1">
      <c r="A43" s="60">
        <f t="shared" si="13"/>
        <v>2003</v>
      </c>
      <c r="B43" s="20">
        <f t="shared" si="9"/>
        <v>1.9234198840723851</v>
      </c>
      <c r="C43" s="21">
        <f>0.5*(DataUK3!BJ162+DataUK3!BN162+DataUK3!BJ163+DataUK3!BN163)/DataUK1!$B162</f>
        <v>1.4192988982214589</v>
      </c>
      <c r="D43" s="21">
        <f>0.5*(DataUK3!BK162+DataUK3!BO162+DataUK3!BK163+DataUK3!BO163)/DataUK1!$B162</f>
        <v>7.83870609008477</v>
      </c>
      <c r="E43" s="21">
        <f>0.5*(DataUK3!BL162+DataUK3!BP162-DataUK3!BM162-DataUK3!BQ162+DataUK3!BL163+DataUK3!BP163-DataUK3!BM163-DataUK3!BQ163)/DataUK1!$B162</f>
        <v>7.3345851042338444</v>
      </c>
      <c r="F43" s="20">
        <f>0.5*(DataUK3!BM162+DataUK3!BQ162+DataUK3!BM163+DataUK3!BQ163)/DataUK1!$B162</f>
        <v>2.1643708090846223</v>
      </c>
      <c r="G43" s="61">
        <f t="shared" si="10"/>
        <v>-0.24095092501223725</v>
      </c>
      <c r="H43" s="1078">
        <f t="shared" si="11"/>
        <v>1.1252721400082861</v>
      </c>
      <c r="I43" s="61">
        <f>G43/TableUK6a!M158</f>
        <v>-4.9129921049720866E-2</v>
      </c>
      <c r="J43" s="31">
        <f>G43+TableUK6a!L158</f>
        <v>4.7216688293020264</v>
      </c>
      <c r="K43" s="20">
        <f t="shared" si="12"/>
        <v>-0.10978887110434243</v>
      </c>
      <c r="L43" s="21">
        <f>0.5*(DataUK3!BT162+DataUK3!BT163)/DataUK1!$B162</f>
        <v>3.3450512233782179</v>
      </c>
      <c r="M43" s="21">
        <f>0.5*(DataUK3!BU162+DataUK3!BU163)/DataUK1!$B162</f>
        <v>0.96302816217434206</v>
      </c>
      <c r="N43" s="21">
        <f>0.5*(DataUK3!BV162+DataUK3!BV163)/DataUK1!$B162</f>
        <v>3.4548400944825604</v>
      </c>
      <c r="O43" s="22">
        <f>0.5*(DataUK3!BW162+DataUK3!BW163)/DataUK1!$B162</f>
        <v>0.70156117668083384</v>
      </c>
      <c r="P43" s="23">
        <f>K43/TableUK6a!M158</f>
        <v>-2.2385963321038847E-2</v>
      </c>
      <c r="Q43" s="48"/>
      <c r="R43" s="49"/>
      <c r="S43" s="49"/>
    </row>
    <row r="44" spans="1:19" ht="12" customHeight="1">
      <c r="A44" s="60">
        <f t="shared" si="13"/>
        <v>2004</v>
      </c>
      <c r="B44" s="20">
        <f t="shared" si="9"/>
        <v>2.0236046397996876</v>
      </c>
      <c r="C44" s="21">
        <f>0.5*(DataUK3!BJ163+DataUK3!BN163+DataUK3!BJ164+DataUK3!BN164)/DataUK1!$B163</f>
        <v>1.4099609846759755</v>
      </c>
      <c r="D44" s="21">
        <f>0.5*(DataUK3!BK163+DataUK3!BO163+DataUK3!BK164+DataUK3!BO164)/DataUK1!$B163</f>
        <v>9.0425471696373751</v>
      </c>
      <c r="E44" s="21">
        <f>0.5*(DataUK3!BL163+DataUK3!BP163-DataUK3!BM163-DataUK3!BQ163+DataUK3!BL164+DataUK3!BP164-DataUK3!BM164-DataUK3!BQ164)/DataUK1!$B163</f>
        <v>8.4289035145136637</v>
      </c>
      <c r="F44" s="20">
        <f>0.5*(DataUK3!BM163+DataUK3!BQ163+DataUK3!BM164+DataUK3!BQ164)/DataUK1!$B163</f>
        <v>2.3046389699659446</v>
      </c>
      <c r="G44" s="61">
        <f t="shared" si="10"/>
        <v>-0.28103433016625701</v>
      </c>
      <c r="H44" s="1078">
        <f t="shared" si="11"/>
        <v>1.1388780815377435</v>
      </c>
      <c r="I44" s="61">
        <f>G44/TableUK6a!M159</f>
        <v>-5.5398857288450176E-2</v>
      </c>
      <c r="J44" s="31">
        <f>G44+TableUK6a!L159</f>
        <v>4.8479052311141677</v>
      </c>
      <c r="K44" s="20">
        <f t="shared" si="12"/>
        <v>-0.15280740701132656</v>
      </c>
      <c r="L44" s="21">
        <f>0.5*(DataUK3!BT163+DataUK3!BT164)/DataUK1!$B163</f>
        <v>3.9075220659683487</v>
      </c>
      <c r="M44" s="21">
        <f>0.5*(DataUK3!BU163+DataUK3!BU164)/DataUK1!$B163</f>
        <v>1.0052963855510546</v>
      </c>
      <c r="N44" s="21">
        <f>0.5*(DataUK3!BV163+DataUK3!BV164)/DataUK1!$B163</f>
        <v>4.0603294729796753</v>
      </c>
      <c r="O44" s="22">
        <f>0.5*(DataUK3!BW163+DataUK3!BW164)/DataUK1!$B163</f>
        <v>0.74461557183447624</v>
      </c>
      <c r="P44" s="23">
        <f>K44/TableUK6a!M159</f>
        <v>-3.0122141051702057E-2</v>
      </c>
      <c r="Q44" s="48"/>
      <c r="R44" s="49"/>
      <c r="S44" s="49"/>
    </row>
    <row r="45" spans="1:19" ht="12" customHeight="1">
      <c r="A45" s="60">
        <f t="shared" si="13"/>
        <v>2005</v>
      </c>
      <c r="B45" s="20">
        <f t="shared" si="9"/>
        <v>2.0290217929472156</v>
      </c>
      <c r="C45" s="21">
        <f>0.5*(DataUK3!BJ164+DataUK3!BN164+DataUK3!BJ165+DataUK3!BN165)/DataUK1!$B164</f>
        <v>1.3930152817095254</v>
      </c>
      <c r="D45" s="21">
        <f>0.5*(DataUK3!BK164+DataUK3!BO164+DataUK3!BK165+DataUK3!BO165)/DataUK1!$B164</f>
        <v>10.549591904396317</v>
      </c>
      <c r="E45" s="21">
        <f>0.5*(DataUK3!BL164+DataUK3!BP164-DataUK3!BM164-DataUK3!BQ164+DataUK3!BL165+DataUK3!BP165-DataUK3!BM165-DataUK3!BQ165)/DataUK1!$B164</f>
        <v>9.9135853931586269</v>
      </c>
      <c r="F45" s="20">
        <f>0.5*(DataUK3!BM164+DataUK3!BQ164+DataUK3!BM165+DataUK3!BQ165)/DataUK1!$B164</f>
        <v>2.4798168340645725</v>
      </c>
      <c r="G45" s="61">
        <f t="shared" si="10"/>
        <v>-0.45079504111735691</v>
      </c>
      <c r="H45" s="1078">
        <f t="shared" si="11"/>
        <v>1.2221735827009346</v>
      </c>
      <c r="I45" s="61">
        <f>G45/TableUK6a!M160</f>
        <v>-8.5703071936266362E-2</v>
      </c>
      <c r="J45" s="31">
        <f>G45+TableUK6a!L160</f>
        <v>4.8587143207655208</v>
      </c>
      <c r="K45" s="20">
        <f t="shared" si="12"/>
        <v>-0.21658351735230763</v>
      </c>
      <c r="L45" s="21">
        <f>0.5*(DataUK3!BT164+DataUK3!BT165)/DataUK1!$B164</f>
        <v>4.710654017066056</v>
      </c>
      <c r="M45" s="21">
        <f>0.5*(DataUK3!BU164+DataUK3!BU165)/DataUK1!$B164</f>
        <v>1.0917830361327963</v>
      </c>
      <c r="N45" s="21">
        <f>0.5*(DataUK3!BV164+DataUK3!BV165)/DataUK1!$B164</f>
        <v>4.9272375344183637</v>
      </c>
      <c r="O45" s="22">
        <f>0.5*(DataUK3!BW164+DataUK3!BW165)/DataUK1!$B164</f>
        <v>0.82254107118830089</v>
      </c>
      <c r="P45" s="23">
        <f>K45/TableUK6a!M160</f>
        <v>-4.1175858372013777E-2</v>
      </c>
      <c r="Q45" s="48"/>
      <c r="R45" s="49"/>
      <c r="S45" s="49"/>
    </row>
    <row r="46" spans="1:19" ht="12" customHeight="1">
      <c r="A46" s="60">
        <f t="shared" si="13"/>
        <v>2006</v>
      </c>
      <c r="B46" s="20">
        <f t="shared" si="9"/>
        <v>2.0652094962674017</v>
      </c>
      <c r="C46" s="21">
        <f>0.5*(DataUK3!BJ165+DataUK3!BN165+DataUK3!BJ166+DataUK3!BN166)/DataUK1!$B165</f>
        <v>1.3823016847131615</v>
      </c>
      <c r="D46" s="21">
        <f>0.5*(DataUK3!BK165+DataUK3!BO165+DataUK3!BK166+DataUK3!BO166)/DataUK1!$B165</f>
        <v>11.541926155087767</v>
      </c>
      <c r="E46" s="21">
        <f>0.5*(DataUK3!BL165+DataUK3!BP165-DataUK3!BM165-DataUK3!BQ165+DataUK3!BL166+DataUK3!BP166-DataUK3!BM166-DataUK3!BQ166)/DataUK1!$B165</f>
        <v>10.859018343533526</v>
      </c>
      <c r="F46" s="20">
        <f>0.5*(DataUK3!BM165+DataUK3!BQ165+DataUK3!BM166+DataUK3!BQ166)/DataUK1!$B165</f>
        <v>2.7042378438361694</v>
      </c>
      <c r="G46" s="61">
        <f t="shared" si="10"/>
        <v>-0.6390283475687677</v>
      </c>
      <c r="H46" s="1078">
        <f t="shared" si="11"/>
        <v>1.3094254353971007</v>
      </c>
      <c r="I46" s="61">
        <f>G46/TableUK6a!M161</f>
        <v>-0.11690152076077492</v>
      </c>
      <c r="J46" s="31">
        <f>G46+TableUK6a!L161</f>
        <v>4.8715763501244194</v>
      </c>
      <c r="K46" s="20">
        <f t="shared" si="12"/>
        <v>-0.27742997175331219</v>
      </c>
      <c r="L46" s="21">
        <f>0.5*(DataUK3!BT165+DataUK3!BT166)/DataUK1!$B165</f>
        <v>5.1322604916268748</v>
      </c>
      <c r="M46" s="21">
        <f>0.5*(DataUK3!BU165+DataUK3!BU166)/DataUK1!$B165</f>
        <v>1.1842898816329275</v>
      </c>
      <c r="N46" s="21">
        <f>0.5*(DataUK3!BV165+DataUK3!BV166)/DataUK1!$B165</f>
        <v>5.409690463380187</v>
      </c>
      <c r="O46" s="22">
        <f>0.5*(DataUK3!BW165+DataUK3!BW166)/DataUK1!$B165</f>
        <v>0.9423839027506894</v>
      </c>
      <c r="P46" s="23">
        <f>K46/TableUK6a!M161</f>
        <v>-5.0752029586748383E-2</v>
      </c>
      <c r="Q46" s="48"/>
      <c r="R46" s="49"/>
      <c r="S46" s="49"/>
    </row>
    <row r="47" spans="1:19" ht="12" customHeight="1">
      <c r="A47" s="60">
        <f t="shared" si="13"/>
        <v>2007</v>
      </c>
      <c r="B47" s="20">
        <f t="shared" si="9"/>
        <v>2.091239506359317</v>
      </c>
      <c r="C47" s="21">
        <f>0.5*(DataUK3!BJ166+DataUK3!BN166+DataUK3!BJ167+DataUK3!BN167)/DataUK1!$B166</f>
        <v>1.3420342735226298</v>
      </c>
      <c r="D47" s="21">
        <f>0.5*(DataUK3!BK166+DataUK3!BO166+DataUK3!BK167+DataUK3!BO167)/DataUK1!$B166</f>
        <v>12.335596679167384</v>
      </c>
      <c r="E47" s="21">
        <f>0.5*(DataUK3!BL166+DataUK3!BP166-DataUK3!BM166-DataUK3!BQ166+DataUK3!BL167+DataUK3!BP167-DataUK3!BM167-DataUK3!BQ167)/DataUK1!$B166</f>
        <v>11.586391446330698</v>
      </c>
      <c r="F47" s="20">
        <f>0.5*(DataUK3!BM166+DataUK3!BQ166+DataUK3!BM167+DataUK3!BQ167)/DataUK1!$B166</f>
        <v>2.7176183024984915</v>
      </c>
      <c r="G47" s="61">
        <f t="shared" si="10"/>
        <v>-0.62637879613917447</v>
      </c>
      <c r="H47" s="1078">
        <f t="shared" si="11"/>
        <v>1.2995251353249588</v>
      </c>
      <c r="I47" s="61">
        <f>G47/TableUK6a!M162</f>
        <v>-0.1138390509835618</v>
      </c>
      <c r="J47" s="31">
        <f>G47+TableUK6a!L162</f>
        <v>4.9215011560607245</v>
      </c>
      <c r="K47" s="20">
        <f t="shared" si="12"/>
        <v>-0.28322504360303835</v>
      </c>
      <c r="L47" s="21">
        <f>0.5*(DataUK3!BT166+DataUK3!BT167)/DataUK1!$B166</f>
        <v>5.6301419921062177</v>
      </c>
      <c r="M47" s="21">
        <f>0.5*(DataUK3!BU166+DataUK3!BU167)/DataUK1!$B166</f>
        <v>1.2153211284159646</v>
      </c>
      <c r="N47" s="21">
        <f>0.5*(DataUK3!BV166+DataUK3!BV167)/DataUK1!$B166</f>
        <v>5.913367035709256</v>
      </c>
      <c r="O47" s="22">
        <f>0.5*(DataUK3!BW166+DataUK3!BW167)/DataUK1!$B166</f>
        <v>1.0013208750974529</v>
      </c>
      <c r="P47" s="23">
        <f>K47/TableUK6a!M162</f>
        <v>-5.1473757376972198E-2</v>
      </c>
      <c r="Q47" s="48"/>
      <c r="R47" s="49"/>
      <c r="S47" s="49"/>
    </row>
    <row r="48" spans="1:19" ht="12" customHeight="1">
      <c r="A48" s="60">
        <v>2008</v>
      </c>
      <c r="B48" s="20">
        <f t="shared" si="9"/>
        <v>2.0790406700604045</v>
      </c>
      <c r="C48" s="21">
        <f>0.5*(DataUK3!BJ167+DataUK3!BN167+DataUK3!BJ168+DataUK3!BN168)/DataUK1!$B167</f>
        <v>1.2892661090948947</v>
      </c>
      <c r="D48" s="21">
        <f>0.5*(DataUK3!BK167+DataUK3!BO167+DataUK3!BK168+DataUK3!BO168)/DataUK1!$B167</f>
        <v>15.844895539019875</v>
      </c>
      <c r="E48" s="21">
        <f>0.5*(DataUK3!BL167+DataUK3!BP167-DataUK3!BM167-DataUK3!BQ167+DataUK3!BL168+DataUK3!BP168-DataUK3!BM168-DataUK3!BQ168)/DataUK1!$B167</f>
        <v>15.055120978054365</v>
      </c>
      <c r="F48" s="20">
        <f>0.5*(DataUK3!BM167+DataUK3!BQ167+DataUK3!BM168+DataUK3!BQ168)/DataUK1!$B167</f>
        <v>2.3944125097427902</v>
      </c>
      <c r="G48" s="61">
        <f t="shared" si="10"/>
        <v>-0.31537183968238569</v>
      </c>
      <c r="H48" s="1078">
        <f t="shared" si="11"/>
        <v>1.1516910391527948</v>
      </c>
      <c r="I48" s="61">
        <f>G48/TableUK6a!M163</f>
        <v>-6.1347103523542695E-2</v>
      </c>
      <c r="J48" s="31">
        <f>G48+TableUK6a!L163</f>
        <v>4.8713723329111458</v>
      </c>
      <c r="K48" s="20">
        <f t="shared" si="12"/>
        <v>-0.16092958398285262</v>
      </c>
      <c r="L48" s="21">
        <f>0.5*(DataUK3!BT167+DataUK3!BT168)/DataUK1!$B167</f>
        <v>7.353916373368083</v>
      </c>
      <c r="M48" s="21">
        <f>0.5*(DataUK3!BU167+DataUK3!BU168)/DataUK1!$B167</f>
        <v>1.2265697309772019</v>
      </c>
      <c r="N48" s="21">
        <f>0.5*(DataUK3!BV167+DataUK3!BV168)/DataUK1!$B167</f>
        <v>7.5148459573509356</v>
      </c>
      <c r="O48" s="22">
        <f>0.5*(DataUK3!BW167+DataUK3!BW168)/DataUK1!$B167</f>
        <v>0.94494067554072492</v>
      </c>
      <c r="P48" s="23">
        <f>K48/TableUK6a!M163</f>
        <v>-3.1304519320873678E-2</v>
      </c>
      <c r="Q48" s="48"/>
      <c r="R48" s="49"/>
      <c r="S48" s="49"/>
    </row>
    <row r="49" spans="1:36" ht="12" customHeight="1">
      <c r="A49" s="64">
        <v>2009</v>
      </c>
      <c r="B49" s="20">
        <f t="shared" si="9"/>
        <v>2.2143099215104947</v>
      </c>
      <c r="C49" s="21">
        <f>0.5*(DataUK3!BJ168+DataUK3!BN168+DataUK3!BJ169+DataUK3!BN169)/DataUK1!$B168</f>
        <v>1.3135421708651867</v>
      </c>
      <c r="D49" s="21">
        <f>0.5*(DataUK3!BK168+DataUK3!BO168+DataUK3!BK169+DataUK3!BO169)/DataUK1!$B168</f>
        <v>18.036721334744225</v>
      </c>
      <c r="E49" s="21">
        <f>0.5*(DataUK3!BL168+DataUK3!BP168-DataUK3!BM168-DataUK3!BQ168+DataUK3!BL169+DataUK3!BP169-DataUK3!BM169-DataUK3!BQ169)/DataUK1!$B168</f>
        <v>17.135953584098917</v>
      </c>
      <c r="F49" s="20">
        <f>0.5*(DataUK3!BM168+DataUK3!BQ168+DataUK3!BM169+DataUK3!BQ169)/DataUK1!$B168</f>
        <v>2.4951852114703286</v>
      </c>
      <c r="G49" s="61">
        <f t="shared" si="10"/>
        <v>-0.28087528995983391</v>
      </c>
      <c r="H49" s="1078">
        <f t="shared" si="11"/>
        <v>1.1268455184305159</v>
      </c>
      <c r="I49" s="61">
        <f>G49/TableUK6a!M164</f>
        <v>-5.4218651557857302E-2</v>
      </c>
      <c r="J49" s="31">
        <f>G49+TableUK6a!L164</f>
        <v>4.9484009049059337</v>
      </c>
      <c r="K49" s="20">
        <f t="shared" si="12"/>
        <v>-0.16340298217060933</v>
      </c>
      <c r="L49" s="21">
        <f>0.5*(DataUK3!BT168+DataUK3!BT169)/DataUK1!$B168</f>
        <v>8.0936184515327501</v>
      </c>
      <c r="M49" s="21">
        <f>0.5*(DataUK3!BU168+DataUK3!BU169)/DataUK1!$B168</f>
        <v>1.2949193534882497</v>
      </c>
      <c r="N49" s="21">
        <f>0.5*(DataUK3!BV168+DataUK3!BV169)/DataUK1!$B168</f>
        <v>8.2570214337033594</v>
      </c>
      <c r="O49" s="22">
        <f>0.5*(DataUK3!BW168+DataUK3!BW169)/DataUK1!$B168</f>
        <v>1.0085462895108899</v>
      </c>
      <c r="P49" s="23">
        <f>K49/TableUK6a!M164</f>
        <v>-3.1542430646319841E-2</v>
      </c>
      <c r="Q49" s="48"/>
      <c r="R49" s="49"/>
      <c r="S49" s="49"/>
    </row>
    <row r="50" spans="1:36" ht="12" customHeight="1" thickBot="1">
      <c r="A50" s="342">
        <v>2010</v>
      </c>
      <c r="B50" s="338">
        <f t="shared" si="9"/>
        <v>2.4344444867789381</v>
      </c>
      <c r="C50" s="339">
        <f>0.5*(DataUK3!BJ169+DataUK3!BN169+DataUK3!BJ170+DataUK3!BN170)/DataUK1!$B169</f>
        <v>1.3534008991846376</v>
      </c>
      <c r="D50" s="339">
        <f>0.5*(DataUK3!BK169+DataUK3!BO169+DataUK3!BK170+DataUK3!BO170)/DataUK1!$B169</f>
        <v>16.287321496609007</v>
      </c>
      <c r="E50" s="339">
        <f>0.5*(DataUK3!BL169+DataUK3!BP169-DataUK3!BM169-DataUK3!BQ169+DataUK3!BL170+DataUK3!BP170-DataUK3!BM170-DataUK3!BQ170)/DataUK1!$B169</f>
        <v>15.206277909014707</v>
      </c>
      <c r="F50" s="338">
        <f>0.5*(DataUK3!BM169+DataUK3!BQ169+DataUK3!BM170+DataUK3!BQ170)/DataUK1!$B169</f>
        <v>2.7883025984911987</v>
      </c>
      <c r="G50" s="344">
        <f t="shared" si="10"/>
        <v>-0.35385811171226056</v>
      </c>
      <c r="H50" s="1082">
        <f t="shared" si="11"/>
        <v>1.1453547672308837</v>
      </c>
      <c r="I50" s="344">
        <f>G50/TableUK6a!M165</f>
        <v>-6.7716934789668504E-2</v>
      </c>
      <c r="J50" s="347">
        <f>G50+TableUK6a!L165</f>
        <v>4.9202106987731469</v>
      </c>
      <c r="K50" s="338">
        <f>L50-N50</f>
        <v>-0.203912977215575</v>
      </c>
      <c r="L50" s="339">
        <f>0.5*(DataUK3!BT169+DataUK3!BT170)/DataUK1!$B169</f>
        <v>7.3409803398613125</v>
      </c>
      <c r="M50" s="339">
        <f>0.5*(DataUK3!BU169+DataUK3!BU170)/DataUK1!$B169</f>
        <v>1.3142806522898727</v>
      </c>
      <c r="N50" s="339">
        <f>0.5*(DataUK3!BV169+DataUK3!BV170)/DataUK1!$B169</f>
        <v>7.5448933170768875</v>
      </c>
      <c r="O50" s="340">
        <f>0.5*(DataUK3!BW169+DataUK3!BW170)/DataUK1!$B169</f>
        <v>1.1024750438162005</v>
      </c>
      <c r="P50" s="341">
        <f>K50/TableUK6a!M165</f>
        <v>-3.9022312401029567E-2</v>
      </c>
      <c r="Q50" s="59"/>
      <c r="R50" s="49"/>
      <c r="S50" s="49"/>
      <c r="T50" s="59"/>
      <c r="U50" s="59"/>
      <c r="V50" s="59"/>
      <c r="W50" s="59"/>
      <c r="X50" s="59"/>
      <c r="Y50" s="59"/>
      <c r="Z50" s="59"/>
      <c r="AA50" s="59"/>
      <c r="AB50" s="59"/>
      <c r="AC50" s="66"/>
      <c r="AD50" s="59"/>
      <c r="AE50" s="59"/>
      <c r="AF50" s="59"/>
      <c r="AG50" s="59"/>
      <c r="AH50" s="59"/>
      <c r="AI50" s="59"/>
      <c r="AJ50" s="59"/>
    </row>
    <row r="51" spans="1:36" ht="13" customHeight="1" thickTop="1">
      <c r="B51" s="66"/>
      <c r="C51" s="66"/>
      <c r="D51" s="66"/>
      <c r="E51" s="66"/>
      <c r="F51" s="66"/>
      <c r="G51" s="67"/>
      <c r="H51" s="66"/>
      <c r="I51" s="66"/>
      <c r="J51" s="66"/>
      <c r="K51" s="66"/>
      <c r="L51" s="66"/>
      <c r="M51" s="66"/>
      <c r="N51" s="66"/>
      <c r="O51" s="66"/>
      <c r="P51" s="66"/>
      <c r="Q51" s="66"/>
      <c r="R51" s="59"/>
      <c r="S51" s="59"/>
      <c r="T51" s="59"/>
      <c r="U51" s="59"/>
      <c r="V51" s="59"/>
      <c r="W51" s="59"/>
      <c r="X51" s="59"/>
      <c r="Y51" s="59"/>
      <c r="Z51" s="59"/>
      <c r="AA51" s="59"/>
      <c r="AB51" s="59"/>
      <c r="AC51" s="66"/>
      <c r="AD51" s="66"/>
      <c r="AE51" s="66"/>
      <c r="AF51" s="66"/>
      <c r="AG51" s="66"/>
      <c r="AH51" s="66"/>
      <c r="AI51" s="66"/>
      <c r="AJ51" s="66"/>
    </row>
    <row r="52" spans="1:36" ht="12" customHeight="1">
      <c r="A52" s="2458" t="s">
        <v>1143</v>
      </c>
      <c r="B52" s="2459"/>
      <c r="C52" s="2459"/>
      <c r="D52" s="2459"/>
      <c r="E52" s="2459"/>
      <c r="F52" s="2459"/>
      <c r="G52" s="2459"/>
      <c r="H52" s="2459"/>
      <c r="I52" s="2459"/>
      <c r="J52" s="2459"/>
      <c r="K52" s="2459"/>
      <c r="L52" s="2459"/>
      <c r="M52" s="2459"/>
      <c r="N52" s="2459"/>
      <c r="O52" s="2459"/>
      <c r="P52" s="2460"/>
      <c r="Q52" s="66"/>
      <c r="R52" s="69"/>
      <c r="S52" s="69"/>
      <c r="T52" s="59"/>
      <c r="U52" s="59"/>
      <c r="V52" s="59"/>
      <c r="W52" s="59"/>
      <c r="X52" s="59"/>
      <c r="Y52" s="59"/>
      <c r="Z52" s="59"/>
      <c r="AA52" s="59"/>
      <c r="AB52" s="59"/>
      <c r="AC52" s="66"/>
      <c r="AD52" s="66"/>
      <c r="AE52" s="66"/>
      <c r="AF52" s="66"/>
      <c r="AG52" s="66"/>
      <c r="AH52" s="66"/>
      <c r="AI52" s="66"/>
      <c r="AJ52" s="66"/>
    </row>
    <row r="53" spans="1:36" ht="12" customHeight="1">
      <c r="A53" s="2461"/>
      <c r="B53" s="2462"/>
      <c r="C53" s="2462"/>
      <c r="D53" s="2462"/>
      <c r="E53" s="2462"/>
      <c r="F53" s="2462"/>
      <c r="G53" s="2462"/>
      <c r="H53" s="2462"/>
      <c r="I53" s="2462"/>
      <c r="J53" s="2462"/>
      <c r="K53" s="2462"/>
      <c r="L53" s="2462"/>
      <c r="M53" s="2462"/>
      <c r="N53" s="2462"/>
      <c r="O53" s="2462"/>
      <c r="P53" s="2463"/>
      <c r="Q53" s="65"/>
      <c r="R53" s="69"/>
      <c r="S53" s="69"/>
      <c r="T53" s="59"/>
      <c r="U53" s="59"/>
      <c r="V53" s="59"/>
      <c r="W53" s="59"/>
      <c r="X53" s="59"/>
      <c r="Y53" s="59"/>
      <c r="Z53" s="59"/>
      <c r="AA53" s="59"/>
      <c r="AB53" s="59"/>
      <c r="AC53" s="66"/>
      <c r="AD53" s="66"/>
      <c r="AE53" s="66"/>
      <c r="AF53" s="66"/>
      <c r="AG53" s="66"/>
      <c r="AH53" s="66"/>
      <c r="AI53" s="66"/>
      <c r="AJ53" s="66"/>
    </row>
    <row r="54" spans="1:36" ht="12" customHeight="1">
      <c r="A54" s="2461"/>
      <c r="B54" s="2462"/>
      <c r="C54" s="2462"/>
      <c r="D54" s="2462"/>
      <c r="E54" s="2462"/>
      <c r="F54" s="2462"/>
      <c r="G54" s="2462"/>
      <c r="H54" s="2462"/>
      <c r="I54" s="2462"/>
      <c r="J54" s="2462"/>
      <c r="K54" s="2462"/>
      <c r="L54" s="2462"/>
      <c r="M54" s="2462"/>
      <c r="N54" s="2462"/>
      <c r="O54" s="2462"/>
      <c r="P54" s="2463"/>
      <c r="Q54" s="66"/>
      <c r="R54" s="59"/>
      <c r="S54" s="59"/>
      <c r="T54" s="59"/>
      <c r="U54" s="59"/>
      <c r="V54" s="59"/>
      <c r="W54" s="59"/>
      <c r="X54" s="59"/>
      <c r="Y54" s="59"/>
      <c r="Z54" s="59"/>
      <c r="AA54" s="59"/>
      <c r="AB54" s="59"/>
      <c r="AC54" s="66"/>
      <c r="AD54" s="66"/>
      <c r="AE54" s="66"/>
      <c r="AF54" s="66"/>
      <c r="AG54" s="66"/>
      <c r="AH54" s="66"/>
      <c r="AI54" s="66"/>
      <c r="AJ54" s="66"/>
    </row>
    <row r="55" spans="1:36" ht="12" customHeight="1">
      <c r="A55" s="2461"/>
      <c r="B55" s="2462"/>
      <c r="C55" s="2462"/>
      <c r="D55" s="2462"/>
      <c r="E55" s="2462"/>
      <c r="F55" s="2462"/>
      <c r="G55" s="2462"/>
      <c r="H55" s="2462"/>
      <c r="I55" s="2462"/>
      <c r="J55" s="2462"/>
      <c r="K55" s="2462"/>
      <c r="L55" s="2462"/>
      <c r="M55" s="2462"/>
      <c r="N55" s="2462"/>
      <c r="O55" s="2462"/>
      <c r="P55" s="2463"/>
      <c r="Q55" s="65"/>
      <c r="R55" s="59"/>
      <c r="S55" s="59"/>
      <c r="T55" s="59"/>
      <c r="U55" s="59"/>
      <c r="V55" s="59"/>
      <c r="W55" s="59"/>
      <c r="X55" s="59"/>
      <c r="Y55" s="59"/>
      <c r="Z55" s="59"/>
      <c r="AA55" s="59"/>
      <c r="AB55" s="59"/>
      <c r="AC55" s="66"/>
      <c r="AD55" s="66"/>
      <c r="AE55" s="66"/>
      <c r="AF55" s="66"/>
      <c r="AG55" s="66"/>
      <c r="AH55" s="66"/>
      <c r="AI55" s="66"/>
      <c r="AJ55" s="66"/>
    </row>
    <row r="56" spans="1:36" ht="12" customHeight="1">
      <c r="A56" s="2464"/>
      <c r="B56" s="2465"/>
      <c r="C56" s="2465"/>
      <c r="D56" s="2465"/>
      <c r="E56" s="2465"/>
      <c r="F56" s="2465"/>
      <c r="G56" s="2465"/>
      <c r="H56" s="2465"/>
      <c r="I56" s="2465"/>
      <c r="J56" s="2465"/>
      <c r="K56" s="2465"/>
      <c r="L56" s="2465"/>
      <c r="M56" s="2465"/>
      <c r="N56" s="2465"/>
      <c r="O56" s="2465"/>
      <c r="P56" s="2466"/>
      <c r="Q56" s="65"/>
      <c r="R56" s="59"/>
      <c r="S56" s="59"/>
      <c r="T56" s="59"/>
      <c r="U56" s="59"/>
      <c r="V56" s="59"/>
      <c r="W56" s="59"/>
      <c r="X56" s="59"/>
      <c r="Y56" s="59"/>
      <c r="Z56" s="59"/>
      <c r="AA56" s="59"/>
      <c r="AB56" s="59"/>
      <c r="AC56" s="66"/>
      <c r="AD56" s="66"/>
      <c r="AE56" s="66"/>
      <c r="AF56" s="66"/>
      <c r="AG56" s="66"/>
      <c r="AH56" s="66"/>
      <c r="AI56" s="66"/>
      <c r="AJ56" s="66"/>
    </row>
    <row r="57" spans="1:36" ht="12" customHeight="1">
      <c r="B57" s="66"/>
      <c r="C57" s="66"/>
      <c r="D57" s="66"/>
      <c r="E57" s="66"/>
      <c r="F57" s="66"/>
      <c r="G57" s="66"/>
      <c r="H57" s="66"/>
      <c r="I57" s="66"/>
      <c r="J57" s="66"/>
      <c r="K57" s="66"/>
      <c r="L57" s="66"/>
      <c r="M57" s="66"/>
      <c r="N57" s="66"/>
      <c r="O57" s="66"/>
      <c r="P57" s="66"/>
      <c r="Q57" s="65"/>
      <c r="R57" s="59"/>
      <c r="S57" s="59"/>
      <c r="T57" s="59"/>
      <c r="U57" s="59"/>
      <c r="V57" s="59"/>
      <c r="W57" s="59"/>
      <c r="X57" s="59"/>
      <c r="Y57" s="59"/>
      <c r="Z57" s="59"/>
      <c r="AA57" s="59"/>
      <c r="AB57" s="59"/>
      <c r="AC57" s="66"/>
      <c r="AD57" s="66"/>
      <c r="AE57" s="66"/>
      <c r="AF57" s="66"/>
      <c r="AG57" s="66"/>
      <c r="AH57" s="66"/>
      <c r="AI57" s="66"/>
      <c r="AJ57" s="66"/>
    </row>
    <row r="58" spans="1:36" ht="12" customHeight="1">
      <c r="B58" s="66"/>
      <c r="C58" s="66"/>
      <c r="D58" s="66"/>
      <c r="E58" s="66"/>
      <c r="F58" s="66"/>
      <c r="G58" s="66"/>
      <c r="H58" s="66"/>
      <c r="I58" s="66"/>
      <c r="J58" s="66"/>
      <c r="K58" s="66"/>
      <c r="L58" s="66"/>
      <c r="M58" s="66"/>
      <c r="N58" s="66"/>
      <c r="O58" s="66"/>
      <c r="P58" s="66"/>
      <c r="Q58" s="65"/>
      <c r="R58" s="59"/>
      <c r="S58" s="59"/>
      <c r="T58" s="59"/>
      <c r="U58" s="59"/>
      <c r="V58" s="59"/>
      <c r="W58" s="59"/>
      <c r="X58" s="59"/>
      <c r="Y58" s="59"/>
      <c r="Z58" s="59"/>
      <c r="AA58" s="59"/>
      <c r="AB58" s="59"/>
      <c r="AC58" s="66"/>
      <c r="AD58" s="66"/>
      <c r="AE58" s="66"/>
      <c r="AF58" s="66"/>
      <c r="AG58" s="66"/>
      <c r="AH58" s="66"/>
      <c r="AI58" s="66"/>
      <c r="AJ58" s="66"/>
    </row>
    <row r="59" spans="1:36" ht="12" customHeight="1">
      <c r="B59" s="66"/>
      <c r="C59" s="66"/>
      <c r="D59" s="66"/>
      <c r="E59" s="66"/>
      <c r="F59" s="66"/>
      <c r="G59" s="66"/>
      <c r="H59" s="66"/>
      <c r="I59" s="66"/>
      <c r="J59" s="66"/>
      <c r="K59" s="66"/>
      <c r="L59" s="66"/>
      <c r="M59" s="66"/>
      <c r="N59" s="66"/>
      <c r="O59" s="66"/>
      <c r="P59" s="66"/>
      <c r="Q59" s="65"/>
      <c r="R59" s="59"/>
      <c r="S59" s="59"/>
      <c r="T59" s="59"/>
      <c r="U59" s="59"/>
      <c r="V59" s="59"/>
      <c r="W59" s="59"/>
      <c r="X59" s="59"/>
      <c r="Y59" s="59"/>
      <c r="Z59" s="59"/>
      <c r="AA59" s="59"/>
      <c r="AB59" s="59"/>
      <c r="AC59" s="66"/>
      <c r="AD59" s="66"/>
      <c r="AE59" s="66"/>
      <c r="AF59" s="66"/>
      <c r="AG59" s="66"/>
      <c r="AH59" s="66"/>
      <c r="AI59" s="66"/>
      <c r="AJ59" s="66"/>
    </row>
    <row r="60" spans="1:36" ht="12" customHeight="1">
      <c r="B60" s="66"/>
      <c r="C60" s="66"/>
      <c r="D60" s="66"/>
      <c r="E60" s="66"/>
      <c r="F60" s="66"/>
      <c r="G60" s="66"/>
      <c r="H60" s="66"/>
      <c r="I60" s="66"/>
      <c r="J60" s="66"/>
      <c r="K60" s="66"/>
      <c r="L60" s="66"/>
      <c r="M60" s="66"/>
      <c r="N60" s="66"/>
      <c r="O60" s="66"/>
      <c r="P60" s="66"/>
      <c r="Q60" s="65"/>
      <c r="R60" s="59"/>
      <c r="S60" s="59"/>
      <c r="T60" s="59"/>
      <c r="U60" s="59"/>
      <c r="V60" s="59"/>
      <c r="W60" s="59"/>
      <c r="X60" s="59"/>
      <c r="Y60" s="59"/>
      <c r="Z60" s="59"/>
      <c r="AA60" s="59"/>
      <c r="AB60" s="59"/>
      <c r="AC60" s="59"/>
      <c r="AD60" s="66"/>
      <c r="AE60" s="66"/>
      <c r="AF60" s="66"/>
      <c r="AG60" s="66"/>
      <c r="AH60" s="66"/>
      <c r="AI60" s="66"/>
      <c r="AJ60" s="66"/>
    </row>
    <row r="61" spans="1:36" ht="12" customHeight="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row>
    <row r="62" spans="1:36" ht="15" customHeight="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row>
    <row r="63" spans="1:36" ht="12" customHeight="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row>
    <row r="64" spans="1:36" ht="15" customHeight="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row>
    <row r="65" spans="2:36" ht="12" customHeight="1">
      <c r="B65" s="66"/>
      <c r="C65" s="66"/>
      <c r="D65" s="66"/>
      <c r="E65" s="66"/>
      <c r="F65" s="66"/>
      <c r="G65" s="66"/>
      <c r="H65" s="66"/>
      <c r="I65" s="66"/>
      <c r="J65" s="66"/>
      <c r="K65" s="66"/>
      <c r="L65" s="66"/>
      <c r="M65" s="66"/>
      <c r="N65" s="66"/>
      <c r="O65" s="66"/>
      <c r="P65" s="66"/>
      <c r="Q65" s="74"/>
      <c r="R65" s="66"/>
      <c r="S65" s="66"/>
      <c r="T65" s="66"/>
      <c r="U65" s="66"/>
      <c r="V65" s="66"/>
      <c r="W65" s="66"/>
      <c r="X65" s="66"/>
      <c r="Y65" s="66"/>
      <c r="Z65" s="66"/>
      <c r="AA65" s="66"/>
      <c r="AB65" s="66"/>
      <c r="AC65" s="66"/>
      <c r="AD65" s="66"/>
      <c r="AE65" s="66"/>
      <c r="AF65" s="66"/>
      <c r="AG65" s="66"/>
      <c r="AH65" s="66"/>
      <c r="AI65" s="66"/>
      <c r="AJ65" s="66"/>
    </row>
    <row r="66" spans="2:36" ht="12" customHeight="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row>
    <row r="67" spans="2:36" ht="12" customHeight="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row>
    <row r="68" spans="2:36" ht="12" customHeight="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row>
    <row r="69" spans="2:36" ht="12" customHeight="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row>
    <row r="70" spans="2:36" ht="12" customHeight="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row>
    <row r="71" spans="2:36" ht="12" customHeight="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row>
    <row r="72" spans="2:36" ht="12" customHeight="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row>
    <row r="73" spans="2:36" ht="12" customHeight="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row>
    <row r="74" spans="2:36" ht="12" customHeight="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row>
    <row r="75" spans="2:36" ht="12" customHeight="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row>
    <row r="76" spans="2:36" ht="12" customHeight="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row>
    <row r="77" spans="2:36" ht="12" customHeight="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row>
    <row r="78" spans="2:36" ht="12" customHeight="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row>
    <row r="79" spans="2:36" ht="12" customHeight="1">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row>
    <row r="80" spans="2:36" ht="12" customHeight="1">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row>
    <row r="81" spans="2:36" ht="12" customHeight="1">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row>
    <row r="82" spans="2:36" ht="12" customHeight="1">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row>
    <row r="83" spans="2:36" ht="12" customHeight="1">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row>
    <row r="84" spans="2:36" ht="12" customHeight="1">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row>
    <row r="85" spans="2:36" ht="12" customHeight="1">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row>
    <row r="86" spans="2:36" ht="12" customHeight="1">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row>
    <row r="87" spans="2:36" ht="12" customHeight="1">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row>
    <row r="88" spans="2:36" ht="12" customHeight="1">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row>
    <row r="89" spans="2:36" ht="12" customHeight="1">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row>
    <row r="90" spans="2:36" ht="12" customHeight="1">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row>
    <row r="91" spans="2:36" ht="12" customHeight="1">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row>
    <row r="92" spans="2:36" ht="12" customHeight="1">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row>
    <row r="93" spans="2:36" ht="12" customHeight="1">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row>
    <row r="94" spans="2:36" ht="12" customHeight="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row>
    <row r="95" spans="2:36" ht="12" customHeight="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row>
    <row r="96" spans="2:36" ht="12" customHeight="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row>
    <row r="97" spans="2:36" ht="12" customHeight="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row>
    <row r="98" spans="2:36" ht="12" customHeight="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row>
    <row r="99" spans="2:36" ht="12" customHeight="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row>
    <row r="100" spans="2:36" ht="12" customHeight="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row>
    <row r="101" spans="2:36" ht="12" customHeight="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row>
    <row r="102" spans="2:36" ht="12" customHeight="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row>
    <row r="103" spans="2:36" ht="12" customHeight="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row>
    <row r="104" spans="2:36" ht="12" customHeight="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row>
    <row r="105" spans="2:36" ht="12" customHeight="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row>
    <row r="106" spans="2:36" ht="12" customHeight="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row>
    <row r="107" spans="2:36" ht="12" customHeight="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row>
    <row r="108" spans="2:36" ht="12" customHeight="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row>
    <row r="109" spans="2:36" ht="12" customHeight="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row>
    <row r="110" spans="2:36" ht="12" customHeight="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row>
    <row r="111" spans="2:36" ht="12" customHeight="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row>
    <row r="112" spans="2:36" ht="12" customHeight="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row>
    <row r="113" spans="2:36" ht="12" customHeight="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row>
    <row r="114" spans="2:36" ht="12" customHeight="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row>
    <row r="115" spans="2:36" ht="12" customHeight="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row>
    <row r="116" spans="2:36" ht="12" customHeight="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row>
    <row r="117" spans="2:36" ht="12" customHeight="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row>
    <row r="118" spans="2:36" ht="12" customHeight="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row>
    <row r="119" spans="2:36" ht="12" customHeight="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row>
    <row r="120" spans="2:36" ht="12" customHeight="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row>
    <row r="121" spans="2:36" ht="12" customHeight="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row>
    <row r="122" spans="2:36" ht="12" customHeight="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row>
    <row r="123" spans="2:36" ht="12" customHeight="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row>
    <row r="124" spans="2:36" ht="12" customHeight="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row>
    <row r="125" spans="2:36" ht="12" customHeight="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row>
    <row r="126" spans="2:36" ht="12" customHeight="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row>
    <row r="127" spans="2:36" ht="12" customHeight="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row>
    <row r="128" spans="2:36" ht="12" customHeight="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row>
    <row r="129" spans="2:36" ht="12" customHeight="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row>
    <row r="130" spans="2:36" ht="12" customHeight="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row>
    <row r="131" spans="2:36" ht="12" customHeight="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row>
    <row r="132" spans="2:36" ht="12" customHeight="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row>
    <row r="133" spans="2:36" ht="12" customHeight="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row>
    <row r="134" spans="2:36" ht="12" customHeight="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row>
    <row r="135" spans="2:36" ht="12" customHeight="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row>
    <row r="136" spans="2:36" ht="12" customHeight="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row>
    <row r="137" spans="2:36" ht="12" customHeight="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row>
    <row r="138" spans="2:36" ht="12" customHeight="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row>
    <row r="139" spans="2:36" ht="12" customHeight="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row>
    <row r="140" spans="2:36" ht="12" customHeight="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row>
    <row r="141" spans="2:36" ht="12" customHeight="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row>
    <row r="142" spans="2:36" ht="12" customHeight="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row>
    <row r="143" spans="2:36" ht="12" customHeight="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row>
    <row r="144" spans="2:36" ht="12" customHeight="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row>
    <row r="145" spans="2:36" ht="12" customHeight="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row>
    <row r="146" spans="2:36" ht="12" customHeight="1">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row>
    <row r="147" spans="2:36" ht="12" customHeight="1">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row>
    <row r="148" spans="2:36" ht="12" customHeight="1">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row>
    <row r="149" spans="2:36" ht="12" customHeight="1">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row>
    <row r="150" spans="2:36" ht="12" customHeight="1">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row>
    <row r="151" spans="2:36" ht="12" customHeight="1">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row>
    <row r="152" spans="2:36" ht="12" customHeight="1">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row>
    <row r="153" spans="2:36" ht="12" customHeight="1">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row>
    <row r="154" spans="2:36" ht="12" customHeight="1">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row>
    <row r="155" spans="2:36" ht="12" customHeight="1">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row>
    <row r="156" spans="2:36" ht="12" customHeight="1">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row>
    <row r="157" spans="2:36" ht="12" customHeight="1">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row>
    <row r="158" spans="2:36" ht="12" customHeight="1">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row>
    <row r="159" spans="2:36" ht="12" customHeight="1">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row>
    <row r="160" spans="2:36" ht="12" customHeight="1">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row>
    <row r="161" spans="2:36" ht="12" customHeight="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row>
    <row r="162" spans="2:36" ht="12" customHeight="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row>
    <row r="163" spans="2:36" ht="12" customHeight="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row>
    <row r="164" spans="2:36" ht="12" customHeight="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row>
    <row r="165" spans="2:36" ht="12" customHeight="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row>
    <row r="166" spans="2:36" ht="12" customHeight="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row>
    <row r="167" spans="2:36" ht="12" customHeight="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row>
    <row r="168" spans="2:36" ht="12" customHeight="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row>
    <row r="169" spans="2:36" ht="12" customHeight="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row>
    <row r="170" spans="2:36" ht="12" customHeight="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row>
    <row r="171" spans="2:36" ht="12" customHeight="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row>
    <row r="172" spans="2:36" ht="12" customHeight="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row>
    <row r="173" spans="2:36" ht="12" customHeight="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row>
    <row r="174" spans="2:36" ht="12" customHeight="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row>
    <row r="175" spans="2:36" ht="12" customHeight="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row>
    <row r="176" spans="2:36" ht="12" customHeight="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row>
    <row r="177" spans="2:36" ht="12" customHeight="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row>
    <row r="178" spans="2:36" ht="12" customHeight="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row>
    <row r="179" spans="2:36" ht="12" customHeight="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row>
    <row r="180" spans="2:36" ht="12" customHeight="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row>
    <row r="181" spans="2:36" ht="12" customHeight="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row>
    <row r="182" spans="2:36" ht="12" customHeight="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row>
    <row r="183" spans="2:36" ht="12" customHeight="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row>
    <row r="184" spans="2:36" ht="12" customHeight="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row>
    <row r="185" spans="2:36" ht="12" customHeight="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row>
    <row r="186" spans="2:36" ht="12" customHeight="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row>
    <row r="187" spans="2:36" ht="12" customHeight="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row>
    <row r="188" spans="2:36" ht="12" customHeight="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row>
    <row r="189" spans="2:36" ht="12" customHeight="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row>
    <row r="190" spans="2:36" ht="12" customHeight="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row>
    <row r="191" spans="2:36" ht="12" customHeight="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row>
    <row r="192" spans="2:36" ht="12" customHeight="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row>
    <row r="193" spans="2:36" ht="12" customHeight="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row>
    <row r="194" spans="2:36" ht="12" customHeight="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row>
    <row r="195" spans="2:36" ht="12" customHeight="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row>
    <row r="196" spans="2:36" ht="12" customHeight="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row>
    <row r="197" spans="2:36" ht="12" customHeight="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row>
    <row r="198" spans="2:36" ht="12" customHeight="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row>
    <row r="199" spans="2:36" ht="12" customHeight="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row>
    <row r="200" spans="2:36" ht="12" customHeight="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row>
    <row r="201" spans="2:36" ht="12" customHeight="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row>
    <row r="202" spans="2:36" ht="12" customHeight="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row>
    <row r="203" spans="2:36" ht="12" customHeight="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row>
    <row r="204" spans="2:36" ht="12" customHeight="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row>
    <row r="205" spans="2:36" ht="12" customHeight="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row>
    <row r="206" spans="2:36" ht="12" customHeight="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row>
    <row r="207" spans="2:36" ht="12" customHeight="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row>
    <row r="208" spans="2:36" ht="12" customHeight="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row>
    <row r="209" spans="2:36" ht="12" customHeight="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row>
    <row r="210" spans="2:36" ht="12" customHeight="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row>
    <row r="211" spans="2:36" ht="12" customHeight="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row>
    <row r="212" spans="2:36" ht="12" customHeight="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row>
    <row r="213" spans="2:36" ht="12" customHeight="1">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row>
    <row r="214" spans="2:36" ht="12" customHeight="1">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row>
    <row r="215" spans="2:36" ht="12" customHeight="1">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row>
    <row r="216" spans="2:36" ht="12" customHeight="1">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row>
    <row r="217" spans="2:36" ht="12" customHeight="1">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row>
    <row r="218" spans="2:36" ht="12" customHeight="1">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row>
    <row r="219" spans="2:36" ht="12" customHeight="1">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row>
    <row r="220" spans="2:36" ht="12" customHeight="1">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row>
    <row r="221" spans="2:36" ht="12" customHeight="1">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row>
    <row r="222" spans="2:36" ht="12" customHeight="1">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row>
    <row r="223" spans="2:36" ht="12" customHeight="1">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row>
    <row r="224" spans="2:36" ht="12" customHeight="1">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row>
    <row r="225" spans="2:36" ht="12" customHeight="1">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row>
    <row r="226" spans="2:36" ht="12" customHeight="1">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row>
    <row r="227" spans="2:36" ht="12" customHeight="1">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row>
    <row r="228" spans="2:36" ht="12" customHeight="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row>
    <row r="229" spans="2:36" ht="12" customHeight="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row>
    <row r="230" spans="2:36" ht="12" customHeight="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row>
    <row r="231" spans="2:36" ht="12" customHeight="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row>
    <row r="232" spans="2:36" ht="12" customHeight="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row>
    <row r="233" spans="2:36" ht="12" customHeight="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row>
    <row r="234" spans="2:36" ht="12" customHeight="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row>
    <row r="235" spans="2:36" ht="12" customHeight="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row>
    <row r="236" spans="2:36" ht="12" customHeight="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row>
    <row r="237" spans="2:36" ht="12" customHeight="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row>
    <row r="238" spans="2:36" ht="12" customHeight="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row>
    <row r="239" spans="2:36" ht="12" customHeight="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row>
    <row r="240" spans="2:36" ht="12" customHeight="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row>
    <row r="241" spans="2:36" ht="12" customHeight="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row>
    <row r="242" spans="2:36" ht="12" customHeight="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row>
    <row r="243" spans="2:36" ht="12" customHeight="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row>
    <row r="244" spans="2:36" ht="12" customHeight="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row>
    <row r="245" spans="2:36" ht="12" customHeight="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row>
    <row r="246" spans="2:36" ht="12" customHeight="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row>
    <row r="247" spans="2:36" ht="12" customHeight="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row>
    <row r="248" spans="2:36" ht="12" customHeight="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row>
    <row r="249" spans="2:36" ht="12" customHeight="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row>
    <row r="250" spans="2:36" ht="12" customHeight="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row>
    <row r="251" spans="2:36" ht="12" customHeight="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row>
    <row r="252" spans="2:36" ht="12" customHeight="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row>
    <row r="253" spans="2:36" ht="12" customHeight="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row>
    <row r="254" spans="2:36" ht="12" customHeight="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row>
    <row r="255" spans="2:36" ht="12" customHeight="1">
      <c r="R255" s="66"/>
      <c r="S255" s="66"/>
      <c r="T255" s="66"/>
      <c r="U255" s="66"/>
      <c r="V255" s="66"/>
      <c r="W255" s="66"/>
      <c r="X255" s="66"/>
      <c r="Y255" s="66"/>
      <c r="Z255" s="66"/>
      <c r="AA255" s="66"/>
      <c r="AB255" s="66"/>
      <c r="AC255" s="66"/>
    </row>
    <row r="256" spans="2:36" ht="12" customHeight="1">
      <c r="R256" s="66"/>
      <c r="S256" s="66"/>
      <c r="T256" s="66"/>
      <c r="U256" s="66"/>
      <c r="V256" s="66"/>
      <c r="W256" s="66"/>
      <c r="X256" s="66"/>
      <c r="Y256" s="66"/>
      <c r="Z256" s="66"/>
      <c r="AA256" s="66"/>
      <c r="AB256" s="66"/>
      <c r="AC256" s="66"/>
    </row>
    <row r="257" spans="18:29" ht="12" customHeight="1">
      <c r="R257" s="66"/>
      <c r="S257" s="66"/>
      <c r="T257" s="66"/>
      <c r="U257" s="66"/>
      <c r="V257" s="66"/>
      <c r="W257" s="66"/>
      <c r="X257" s="66"/>
      <c r="Y257" s="66"/>
      <c r="Z257" s="66"/>
      <c r="AA257" s="66"/>
      <c r="AB257" s="66"/>
      <c r="AC257" s="66"/>
    </row>
    <row r="258" spans="18:29" ht="12" customHeight="1">
      <c r="R258" s="66"/>
      <c r="S258" s="66"/>
      <c r="T258" s="66"/>
      <c r="U258" s="66"/>
      <c r="V258" s="66"/>
      <c r="W258" s="66"/>
      <c r="X258" s="66"/>
      <c r="Y258" s="66"/>
      <c r="Z258" s="66"/>
      <c r="AA258" s="66"/>
      <c r="AB258" s="66"/>
      <c r="AC258" s="66"/>
    </row>
    <row r="259" spans="18:29" ht="12" customHeight="1">
      <c r="R259" s="66"/>
      <c r="S259" s="66"/>
      <c r="T259" s="66"/>
      <c r="U259" s="66"/>
      <c r="V259" s="66"/>
      <c r="W259" s="66"/>
      <c r="X259" s="66"/>
      <c r="Y259" s="66"/>
      <c r="Z259" s="66"/>
      <c r="AA259" s="66"/>
      <c r="AB259" s="66"/>
      <c r="AC259" s="66"/>
    </row>
    <row r="260" spans="18:29" ht="12" customHeight="1">
      <c r="R260" s="66"/>
      <c r="S260" s="66"/>
      <c r="T260" s="66"/>
      <c r="U260" s="66"/>
      <c r="V260" s="66"/>
      <c r="W260" s="66"/>
      <c r="X260" s="66"/>
      <c r="Y260" s="66"/>
      <c r="Z260" s="66"/>
      <c r="AA260" s="66"/>
      <c r="AB260" s="66"/>
      <c r="AC260" s="66"/>
    </row>
    <row r="261" spans="18:29" ht="12" customHeight="1">
      <c r="R261" s="66"/>
      <c r="S261" s="66"/>
      <c r="T261" s="66"/>
      <c r="U261" s="66"/>
      <c r="V261" s="66"/>
      <c r="W261" s="66"/>
      <c r="X261" s="66"/>
      <c r="Y261" s="66"/>
      <c r="Z261" s="66"/>
      <c r="AA261" s="66"/>
      <c r="AB261" s="66"/>
      <c r="AC261" s="66"/>
    </row>
    <row r="262" spans="18:29" ht="12" customHeight="1">
      <c r="R262" s="66"/>
      <c r="S262" s="66"/>
      <c r="T262" s="66"/>
      <c r="U262" s="66"/>
      <c r="V262" s="66"/>
      <c r="W262" s="66"/>
      <c r="X262" s="66"/>
      <c r="Y262" s="66"/>
      <c r="Z262" s="66"/>
      <c r="AA262" s="66"/>
      <c r="AB262" s="66"/>
      <c r="AC262" s="66"/>
    </row>
    <row r="263" spans="18:29" ht="12" customHeight="1">
      <c r="R263" s="66"/>
      <c r="S263" s="66"/>
      <c r="T263" s="66"/>
      <c r="U263" s="66"/>
      <c r="V263" s="66"/>
      <c r="W263" s="66"/>
      <c r="X263" s="66"/>
      <c r="Y263" s="66"/>
      <c r="Z263" s="66"/>
      <c r="AA263" s="66"/>
      <c r="AB263" s="66"/>
      <c r="AC263" s="66"/>
    </row>
    <row r="264" spans="18:29" ht="12" customHeight="1">
      <c r="R264" s="66"/>
      <c r="S264" s="66"/>
      <c r="T264" s="66"/>
      <c r="U264" s="66"/>
      <c r="V264" s="66"/>
      <c r="W264" s="66"/>
      <c r="X264" s="66"/>
      <c r="Y264" s="66"/>
      <c r="Z264" s="66"/>
      <c r="AA264" s="66"/>
      <c r="AB264" s="66"/>
      <c r="AC264" s="66"/>
    </row>
    <row r="265" spans="18:29" ht="12" customHeight="1">
      <c r="R265" s="66"/>
      <c r="S265" s="66"/>
      <c r="T265" s="66"/>
      <c r="U265" s="66"/>
      <c r="V265" s="66"/>
      <c r="W265" s="66"/>
      <c r="X265" s="66"/>
      <c r="Y265" s="66"/>
      <c r="Z265" s="66"/>
      <c r="AA265" s="66"/>
      <c r="AB265" s="66"/>
      <c r="AC265" s="66"/>
    </row>
    <row r="266" spans="18:29" ht="12" customHeight="1">
      <c r="R266" s="66"/>
      <c r="S266" s="66"/>
      <c r="T266" s="66"/>
      <c r="U266" s="66"/>
      <c r="V266" s="66"/>
      <c r="W266" s="66"/>
      <c r="X266" s="66"/>
      <c r="Y266" s="66"/>
      <c r="Z266" s="66"/>
      <c r="AA266" s="66"/>
      <c r="AB266" s="66"/>
      <c r="AC266" s="66"/>
    </row>
  </sheetData>
  <mergeCells count="14">
    <mergeCell ref="B1:C1"/>
    <mergeCell ref="I7:I9"/>
    <mergeCell ref="K7:O7"/>
    <mergeCell ref="P7:P9"/>
    <mergeCell ref="A52:P56"/>
    <mergeCell ref="F8:F9"/>
    <mergeCell ref="B6:J6"/>
    <mergeCell ref="J7:J9"/>
    <mergeCell ref="G8:G9"/>
    <mergeCell ref="A3:P3"/>
    <mergeCell ref="A6:A9"/>
    <mergeCell ref="K6:P6"/>
    <mergeCell ref="B7:G7"/>
    <mergeCell ref="H7:H9"/>
  </mergeCells>
  <phoneticPr fontId="24" type="noConversion"/>
  <hyperlinks>
    <hyperlink ref="B1" location="Index!A1" display="Back to Index"/>
  </hyperlinks>
  <printOptions horizontalCentered="1" verticalCentered="1"/>
  <pageMargins left="0.79000000000000015" right="0" top="0.98" bottom="0.98" header="0.51" footer="0.51"/>
  <pageSetup paperSize="9" scale="57" orientation="landscape"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enableFormatConditionsCalculation="0">
    <tabColor theme="7" tint="0.59999389629810485"/>
    <pageSetUpPr fitToPage="1"/>
  </sheetPr>
  <dimension ref="A1:O255"/>
  <sheetViews>
    <sheetView workbookViewId="0">
      <pane xSplit="1" ySplit="8" topLeftCell="B9" activePane="bottomRight" state="frozen"/>
      <selection activeCell="A3" sqref="A3:M3"/>
      <selection pane="topRight" activeCell="A3" sqref="A3:M3"/>
      <selection pane="bottomLeft" activeCell="A3" sqref="A3:M3"/>
      <selection pane="bottomRight" activeCell="A3" sqref="A3:L3"/>
    </sheetView>
  </sheetViews>
  <sheetFormatPr baseColWidth="10" defaultRowHeight="12" x14ac:dyDescent="0"/>
  <cols>
    <col min="1" max="5" width="9.6640625" style="689" customWidth="1"/>
    <col min="6" max="7" width="12.6640625" style="689" customWidth="1"/>
    <col min="8" max="12" width="9.6640625" style="689" customWidth="1"/>
    <col min="13" max="14" width="12.6640625" style="689" customWidth="1"/>
    <col min="15" max="50" width="9.6640625" style="689" customWidth="1"/>
    <col min="51" max="16384" width="10.83203125" style="689"/>
  </cols>
  <sheetData>
    <row r="1" spans="1:15">
      <c r="B1" s="2252" t="s">
        <v>1416</v>
      </c>
      <c r="C1" s="2252"/>
      <c r="D1" s="690"/>
      <c r="E1" s="690"/>
      <c r="F1" s="690"/>
      <c r="G1" s="690"/>
      <c r="H1" s="690"/>
      <c r="I1" s="690"/>
      <c r="J1" s="690"/>
      <c r="K1" s="690"/>
      <c r="L1" s="690"/>
      <c r="M1" s="690"/>
      <c r="N1" s="690"/>
    </row>
    <row r="2" spans="1:15" ht="13" thickBot="1"/>
    <row r="3" spans="1:15" ht="19.75" customHeight="1" thickTop="1">
      <c r="A3" s="2386" t="s">
        <v>1153</v>
      </c>
      <c r="B3" s="2387"/>
      <c r="C3" s="2387"/>
      <c r="D3" s="2387"/>
      <c r="E3" s="2387"/>
      <c r="F3" s="2387"/>
      <c r="G3" s="2387"/>
      <c r="H3" s="2387"/>
      <c r="I3" s="2387"/>
      <c r="J3" s="2387"/>
      <c r="K3" s="2387"/>
      <c r="L3" s="2388"/>
      <c r="M3" s="906"/>
      <c r="N3" s="906"/>
    </row>
    <row r="4" spans="1:15">
      <c r="A4" s="35"/>
      <c r="B4" s="36"/>
      <c r="C4" s="36"/>
      <c r="D4" s="36"/>
      <c r="E4" s="36"/>
      <c r="F4" s="36"/>
      <c r="G4" s="36"/>
      <c r="H4" s="36"/>
      <c r="I4" s="36"/>
      <c r="J4" s="36"/>
      <c r="K4" s="36"/>
      <c r="L4" s="695"/>
    </row>
    <row r="5" spans="1:15">
      <c r="A5" s="35"/>
      <c r="B5" s="40" t="s">
        <v>952</v>
      </c>
      <c r="C5" s="40" t="s">
        <v>953</v>
      </c>
      <c r="D5" s="40" t="s">
        <v>954</v>
      </c>
      <c r="E5" s="40" t="s">
        <v>955</v>
      </c>
      <c r="F5" s="40" t="s">
        <v>956</v>
      </c>
      <c r="G5" s="40" t="s">
        <v>957</v>
      </c>
      <c r="H5" s="40" t="s">
        <v>958</v>
      </c>
      <c r="I5" s="40" t="s">
        <v>959</v>
      </c>
      <c r="J5" s="40" t="s">
        <v>960</v>
      </c>
      <c r="K5" s="698" t="s">
        <v>961</v>
      </c>
      <c r="L5" s="1575" t="s">
        <v>962</v>
      </c>
      <c r="M5" s="697"/>
      <c r="N5" s="697"/>
    </row>
    <row r="6" spans="1:15" ht="15" customHeight="1">
      <c r="A6" s="35"/>
      <c r="B6" s="2480" t="s">
        <v>1149</v>
      </c>
      <c r="C6" s="2480"/>
      <c r="D6" s="2480"/>
      <c r="E6" s="2480"/>
      <c r="F6" s="2480"/>
      <c r="G6" s="2480"/>
      <c r="H6" s="2480"/>
      <c r="I6" s="2480"/>
      <c r="J6" s="2480"/>
      <c r="K6" s="2480"/>
      <c r="L6" s="2481"/>
      <c r="M6" s="697"/>
      <c r="N6" s="697"/>
    </row>
    <row r="7" spans="1:15" ht="45" customHeight="1">
      <c r="A7" s="2472"/>
      <c r="B7" s="2467" t="s">
        <v>1150</v>
      </c>
      <c r="C7" s="2396" t="s">
        <v>1162</v>
      </c>
      <c r="D7" s="2431" t="s">
        <v>1151</v>
      </c>
      <c r="E7" s="2378" t="s">
        <v>1161</v>
      </c>
      <c r="F7" s="2396" t="s">
        <v>1152</v>
      </c>
      <c r="G7" s="2378" t="s">
        <v>1520</v>
      </c>
      <c r="H7" s="2396" t="s">
        <v>1159</v>
      </c>
      <c r="I7" s="2431" t="s">
        <v>1160</v>
      </c>
      <c r="J7" s="2431" t="s">
        <v>1155</v>
      </c>
      <c r="K7" s="2431" t="s">
        <v>1156</v>
      </c>
      <c r="L7" s="2436" t="s">
        <v>1158</v>
      </c>
      <c r="M7" s="711"/>
      <c r="N7" s="711"/>
    </row>
    <row r="8" spans="1:15" ht="39.75" customHeight="1">
      <c r="A8" s="2482"/>
      <c r="B8" s="2469"/>
      <c r="C8" s="2397"/>
      <c r="D8" s="2430"/>
      <c r="E8" s="2379"/>
      <c r="F8" s="2397"/>
      <c r="G8" s="2379"/>
      <c r="H8" s="2397"/>
      <c r="I8" s="2430"/>
      <c r="J8" s="2430"/>
      <c r="K8" s="2430"/>
      <c r="L8" s="2438"/>
      <c r="M8" s="711"/>
      <c r="N8" s="711"/>
      <c r="O8" s="698" t="s">
        <v>1157</v>
      </c>
    </row>
    <row r="9" spans="1:15">
      <c r="A9" s="1084">
        <v>1970</v>
      </c>
      <c r="B9" s="1085">
        <f>C9+F9+H9</f>
        <v>3.0560606608405614</v>
      </c>
      <c r="C9" s="18">
        <f t="shared" ref="C9:C48" si="0">D9-E9</f>
        <v>0.74851044617342311</v>
      </c>
      <c r="D9" s="1086">
        <f>AVERAGE(DataUK3!D129:D130)/DataUK1!B129</f>
        <v>0.97854590117933227</v>
      </c>
      <c r="E9" s="1102">
        <f>AVERAGE(DataUK3!BF129:BF130)/DataUK1!B129</f>
        <v>0.23003545500590916</v>
      </c>
      <c r="F9" s="18">
        <f>AVERAGE(DataUK3!E129:E130)/DataUK1!B129</f>
        <v>0.29632279612923473</v>
      </c>
      <c r="G9" s="2140">
        <f>DataUK3!I129</f>
        <v>0.1181995022910982</v>
      </c>
      <c r="H9" s="18">
        <f>AVERAGE(DataUK3!AS129:AS130)/DataUK1!B129-L9</f>
        <v>2.0112274185379033</v>
      </c>
      <c r="I9" s="1086"/>
      <c r="J9" s="1086">
        <f>0.5*(DataUK3!AT129+DataUK3!AT130)/DataUK1!B129</f>
        <v>0.40097923349653891</v>
      </c>
      <c r="K9" s="1086"/>
      <c r="L9" s="1095">
        <f>AVERAGE(DataUK3!BE129:BE130)/DataUK1!B129-E9</f>
        <v>0.13084585514097585</v>
      </c>
      <c r="M9" s="1087"/>
      <c r="N9" s="1087"/>
      <c r="O9" s="720">
        <f>TableUK6a!B125-B9</f>
        <v>0</v>
      </c>
    </row>
    <row r="10" spans="1:15">
      <c r="A10" s="50">
        <v>1971</v>
      </c>
      <c r="B10" s="1088">
        <f t="shared" ref="B10:B49" si="1">C10+F10+H10</f>
        <v>3.2813621164065085</v>
      </c>
      <c r="C10" s="20">
        <f t="shared" si="0"/>
        <v>0.90445680723458499</v>
      </c>
      <c r="D10" s="51">
        <f>AVERAGE(DataUK3!D130:D131)/DataUK1!B130</f>
        <v>1.1431570459348237</v>
      </c>
      <c r="E10" s="52">
        <f>AVERAGE(DataUK3!BF130:BF131)/DataUK1!B130</f>
        <v>0.23870023870023871</v>
      </c>
      <c r="F10" s="20">
        <f>AVERAGE(DataUK3!E130:E131)/DataUK1!B130</f>
        <v>0.29934698161359607</v>
      </c>
      <c r="G10" s="22">
        <f>DataUK3!I130</f>
        <v>0.11560027062486605</v>
      </c>
      <c r="H10" s="20">
        <f>AVERAGE(DataUK3!AS130:AS131)/DataUK1!B130-L10</f>
        <v>2.0775583275583274</v>
      </c>
      <c r="I10" s="51"/>
      <c r="J10" s="51">
        <f>0.5*(DataUK3!AT130+DataUK3!AT131)/DataUK1!B130</f>
        <v>0.42494417494417497</v>
      </c>
      <c r="K10" s="51"/>
      <c r="L10" s="1096">
        <f>AVERAGE(DataUK3!BE130:BE131)/DataUK1!B130-E10</f>
        <v>0.12993762993762992</v>
      </c>
      <c r="M10" s="1087"/>
      <c r="N10" s="1087"/>
      <c r="O10" s="720">
        <f>TableUK6a!B126-B10</f>
        <v>0</v>
      </c>
    </row>
    <row r="11" spans="1:15">
      <c r="A11" s="50">
        <v>1972</v>
      </c>
      <c r="B11" s="1088">
        <f t="shared" si="1"/>
        <v>3.5351728572091243</v>
      </c>
      <c r="C11" s="20">
        <f t="shared" si="0"/>
        <v>1.1725813986531872</v>
      </c>
      <c r="D11" s="51">
        <f>AVERAGE(DataUK3!D131:D132)/DataUK1!B131</f>
        <v>1.4257546759554278</v>
      </c>
      <c r="E11" s="52">
        <f>AVERAGE(DataUK3!BF131:BF132)/DataUK1!B131</f>
        <v>0.25317327730224065</v>
      </c>
      <c r="F11" s="20">
        <f>AVERAGE(DataUK3!E131:E132)/DataUK1!B131</f>
        <v>0.27993985598631488</v>
      </c>
      <c r="G11" s="22">
        <f>DataUK3!I131</f>
        <v>0.11300103895863391</v>
      </c>
      <c r="H11" s="20">
        <f>AVERAGE(DataUK3!AS131:AS132)/DataUK1!B131-L11</f>
        <v>2.0826516025696225</v>
      </c>
      <c r="I11" s="51"/>
      <c r="J11" s="51">
        <f>0.5*(DataUK3!AT131+DataUK3!AT132)/DataUK1!B131</f>
        <v>0.43185849852746155</v>
      </c>
      <c r="K11" s="51"/>
      <c r="L11" s="1096">
        <f>AVERAGE(DataUK3!BE131:BE132)/DataUK1!B131-E11</f>
        <v>0.12314210426605587</v>
      </c>
      <c r="M11" s="1087"/>
      <c r="N11" s="1087"/>
      <c r="O11" s="720">
        <f>TableUK6a!B127-B11</f>
        <v>0</v>
      </c>
    </row>
    <row r="12" spans="1:15">
      <c r="A12" s="50">
        <v>1973</v>
      </c>
      <c r="B12" s="1088">
        <f t="shared" si="1"/>
        <v>3.4015466274181003</v>
      </c>
      <c r="C12" s="20">
        <f t="shared" si="0"/>
        <v>1.267220094371095</v>
      </c>
      <c r="D12" s="51">
        <f>AVERAGE(DataUK3!D132:D133)/DataUK1!B132</f>
        <v>1.52894164054146</v>
      </c>
      <c r="E12" s="52">
        <f>AVERAGE(DataUK3!BF132:BF133)/DataUK1!B132</f>
        <v>0.26172154617036508</v>
      </c>
      <c r="F12" s="20">
        <f>AVERAGE(DataUK3!E132:E133)/DataUK1!B132</f>
        <v>0.25298854688618472</v>
      </c>
      <c r="G12" s="22">
        <f>DataUK3!I132</f>
        <v>0.11040180729240176</v>
      </c>
      <c r="H12" s="20">
        <f>AVERAGE(DataUK3!AS132:AS133)/DataUK1!B132-L12</f>
        <v>1.8813379861608206</v>
      </c>
      <c r="I12" s="51"/>
      <c r="J12" s="51">
        <f>0.5*(DataUK3!AT132+DataUK3!AT133)/DataUK1!B132</f>
        <v>0.44820746838463371</v>
      </c>
      <c r="K12" s="51"/>
      <c r="L12" s="1096">
        <f>AVERAGE(DataUK3!BE132:BE133)/DataUK1!B132-E12</f>
        <v>0.12154020520162251</v>
      </c>
      <c r="M12" s="1087"/>
      <c r="N12" s="1087"/>
      <c r="O12" s="720">
        <f>TableUK6a!B128-B12</f>
        <v>0</v>
      </c>
    </row>
    <row r="13" spans="1:15">
      <c r="A13" s="50">
        <v>1974</v>
      </c>
      <c r="B13" s="1088">
        <f t="shared" si="1"/>
        <v>3.3735529856295461</v>
      </c>
      <c r="C13" s="20">
        <f t="shared" si="0"/>
        <v>1.258351543101893</v>
      </c>
      <c r="D13" s="51">
        <f>AVERAGE(DataUK3!D133:D134)/DataUK1!B133</f>
        <v>1.5301711194939591</v>
      </c>
      <c r="E13" s="52">
        <f>AVERAGE(DataUK3!BF133:BF134)/DataUK1!B133</f>
        <v>0.27181957639206611</v>
      </c>
      <c r="F13" s="20">
        <f>AVERAGE(DataUK3!E133:E134)/DataUK1!B133</f>
        <v>0.27032699087655088</v>
      </c>
      <c r="G13" s="22">
        <f>DataUK3!I133</f>
        <v>0.10780257562616961</v>
      </c>
      <c r="H13" s="20">
        <f>AVERAGE(DataUK3!AS133:AS134)/DataUK1!B133-L13</f>
        <v>1.8448744516511022</v>
      </c>
      <c r="I13" s="51"/>
      <c r="J13" s="51">
        <f>0.5*(DataUK3!AT133+DataUK3!AT134)/DataUK1!B133</f>
        <v>0.51470786123745194</v>
      </c>
      <c r="K13" s="51"/>
      <c r="L13" s="1096">
        <f>AVERAGE(DataUK3!BE133:BE134)/DataUK1!B133-E13</f>
        <v>0.11505234545307746</v>
      </c>
      <c r="M13" s="1087"/>
      <c r="N13" s="1087"/>
      <c r="O13" s="720">
        <f>TableUK6a!B129-B13</f>
        <v>0</v>
      </c>
    </row>
    <row r="14" spans="1:15">
      <c r="A14" s="50">
        <v>1975</v>
      </c>
      <c r="B14" s="1088">
        <f t="shared" si="1"/>
        <v>3.0118957799855384</v>
      </c>
      <c r="C14" s="20">
        <f t="shared" si="0"/>
        <v>1.1057386993175031</v>
      </c>
      <c r="D14" s="51">
        <f>AVERAGE(DataUK3!D134:D135)/DataUK1!B134</f>
        <v>1.3549464978029213</v>
      </c>
      <c r="E14" s="52">
        <f>AVERAGE(DataUK3!BF134:BF135)/DataUK1!B134</f>
        <v>0.24920779848541813</v>
      </c>
      <c r="F14" s="20">
        <f>AVERAGE(DataUK3!E134:E135)/DataUK1!B134</f>
        <v>0.26109715881626294</v>
      </c>
      <c r="G14" s="22">
        <f>DataUK3!I134</f>
        <v>0.10520334395993747</v>
      </c>
      <c r="H14" s="20">
        <f>AVERAGE(DataUK3!AS134:AS135)/DataUK1!B134-L14</f>
        <v>1.6450599218517725</v>
      </c>
      <c r="I14" s="51"/>
      <c r="J14" s="51">
        <f>0.5*(DataUK3!AT134+DataUK3!AT135)/DataUK1!B134</f>
        <v>0.49738407261295253</v>
      </c>
      <c r="K14" s="51"/>
      <c r="L14" s="1096">
        <f>AVERAGE(DataUK3!BE134:BE135)/DataUK1!B134-E14</f>
        <v>9.6675439067619107E-2</v>
      </c>
      <c r="M14" s="1087"/>
      <c r="N14" s="1087"/>
      <c r="O14" s="720">
        <f>TableUK6a!B130-B14</f>
        <v>0</v>
      </c>
    </row>
    <row r="15" spans="1:15">
      <c r="A15" s="50">
        <v>1976</v>
      </c>
      <c r="B15" s="1088">
        <f t="shared" si="1"/>
        <v>2.8277830036556884</v>
      </c>
      <c r="C15" s="20">
        <f t="shared" si="0"/>
        <v>1.0349312834421822</v>
      </c>
      <c r="D15" s="51">
        <f>AVERAGE(DataUK3!D135:D136)/DataUK1!B135</f>
        <v>1.2815922251388441</v>
      </c>
      <c r="E15" s="52">
        <f>AVERAGE(DataUK3!BF135:BF136)/DataUK1!B135</f>
        <v>0.24666094169666186</v>
      </c>
      <c r="F15" s="20">
        <f>AVERAGE(DataUK3!E135:E136)/DataUK1!B135</f>
        <v>0.20676778242677821</v>
      </c>
      <c r="G15" s="22">
        <f>DataUK3!I135</f>
        <v>0.10260411229370532</v>
      </c>
      <c r="H15" s="20">
        <f>AVERAGE(DataUK3!AS135:AS136)/DataUK1!B135-L15</f>
        <v>1.5860839377867277</v>
      </c>
      <c r="I15" s="51"/>
      <c r="J15" s="51">
        <f>0.5*(DataUK3!AT135+DataUK3!AT136)/DataUK1!B135</f>
        <v>0.5151975552567688</v>
      </c>
      <c r="K15" s="51"/>
      <c r="L15" s="1096">
        <f>AVERAGE(DataUK3!BE135:BE136)/DataUK1!B135-E15</f>
        <v>9.2726242897078426E-2</v>
      </c>
      <c r="M15" s="1087"/>
      <c r="N15" s="1087"/>
      <c r="O15" s="720">
        <f>TableUK6a!B131-B15</f>
        <v>0</v>
      </c>
    </row>
    <row r="16" spans="1:15">
      <c r="A16" s="50">
        <v>1977</v>
      </c>
      <c r="B16" s="1088">
        <f t="shared" si="1"/>
        <v>2.8426428530536167</v>
      </c>
      <c r="C16" s="20">
        <f t="shared" si="0"/>
        <v>1.0473299996578147</v>
      </c>
      <c r="D16" s="51">
        <f>AVERAGE(DataUK3!D136:D137)/DataUK1!B136</f>
        <v>1.2921241751357555</v>
      </c>
      <c r="E16" s="52">
        <f>AVERAGE(DataUK3!BF136:BF137)/DataUK1!B136</f>
        <v>0.24479417547794088</v>
      </c>
      <c r="F16" s="20">
        <f>AVERAGE(DataUK3!E136:E137)/DataUK1!B136</f>
        <v>0.18929597984791174</v>
      </c>
      <c r="G16" s="22">
        <f>DataUK3!I136</f>
        <v>0.10000488062747317</v>
      </c>
      <c r="H16" s="20">
        <f>AVERAGE(DataUK3!AS136:AS137)/DataUK1!B136-L16</f>
        <v>1.6060168735478906</v>
      </c>
      <c r="I16" s="51"/>
      <c r="J16" s="51">
        <f>0.5*(DataUK3!AT136+DataUK3!AT137)/DataUK1!B136</f>
        <v>0.58468935064903338</v>
      </c>
      <c r="K16" s="51"/>
      <c r="L16" s="1096">
        <f>AVERAGE(DataUK3!BE136:BE137)/DataUK1!B136-E16</f>
        <v>9.2390059777158334E-2</v>
      </c>
      <c r="M16" s="1087"/>
      <c r="N16" s="1087"/>
      <c r="O16" s="720">
        <f>TableUK6a!B132-B16</f>
        <v>0</v>
      </c>
    </row>
    <row r="17" spans="1:15">
      <c r="A17" s="50">
        <v>1978</v>
      </c>
      <c r="B17" s="1088">
        <f t="shared" si="1"/>
        <v>2.9820666097118504</v>
      </c>
      <c r="C17" s="20">
        <f t="shared" si="0"/>
        <v>1.1430448675629292</v>
      </c>
      <c r="D17" s="51">
        <f>AVERAGE(DataUK3!D137:D138)/DataUK1!B137</f>
        <v>1.3917649952392614</v>
      </c>
      <c r="E17" s="52">
        <f>AVERAGE(DataUK3!BF137:BF138)/DataUK1!B137</f>
        <v>0.2487201276763322</v>
      </c>
      <c r="F17" s="20">
        <f>AVERAGE(DataUK3!E137:E138)/DataUK1!B137</f>
        <v>0.21663384942759828</v>
      </c>
      <c r="G17" s="22">
        <f>DataUK3!I137</f>
        <v>9.7405648961241029E-2</v>
      </c>
      <c r="H17" s="20">
        <f>AVERAGE(DataUK3!AS137:AS138)/DataUK1!B137-L17</f>
        <v>1.6223878927213227</v>
      </c>
      <c r="I17" s="51"/>
      <c r="J17" s="51">
        <f>0.5*(DataUK3!AT137+DataUK3!AT138)/DataUK1!B137</f>
        <v>0.67424021228097664</v>
      </c>
      <c r="K17" s="51"/>
      <c r="L17" s="1096">
        <f>AVERAGE(DataUK3!BE137:BE138)/DataUK1!B137-E17</f>
        <v>9.5688160231033353E-2</v>
      </c>
      <c r="M17" s="1087"/>
      <c r="N17" s="1087"/>
      <c r="O17" s="720">
        <f>TableUK6a!B133-B17</f>
        <v>0</v>
      </c>
    </row>
    <row r="18" spans="1:15" ht="12.75" customHeight="1">
      <c r="A18" s="50">
        <v>1979</v>
      </c>
      <c r="B18" s="1088">
        <f t="shared" si="1"/>
        <v>3.1287144009124113</v>
      </c>
      <c r="C18" s="20">
        <f t="shared" si="0"/>
        <v>1.2615258764750523</v>
      </c>
      <c r="D18" s="51">
        <f>AVERAGE(DataUK3!D138:D139)/DataUK1!B138</f>
        <v>1.5103159864758224</v>
      </c>
      <c r="E18" s="52">
        <f>AVERAGE(DataUK3!BF138:BF139)/DataUK1!B138</f>
        <v>0.24879011000077006</v>
      </c>
      <c r="F18" s="20">
        <f>AVERAGE(DataUK3!E138:E139)/DataUK1!B138</f>
        <v>0.24017403460551962</v>
      </c>
      <c r="G18" s="22">
        <f>DataUK3!I138</f>
        <v>9.4806417295008882E-2</v>
      </c>
      <c r="H18" s="20">
        <f>AVERAGE(DataUK3!AS138:AS139)/DataUK1!B138-L18</f>
        <v>1.6270144898318391</v>
      </c>
      <c r="I18" s="51"/>
      <c r="J18" s="51">
        <f>0.5*(DataUK3!AT138+DataUK3!AT139)/DataUK1!B138</f>
        <v>0.72561663489417116</v>
      </c>
      <c r="K18" s="51"/>
      <c r="L18" s="1096">
        <f>AVERAGE(DataUK3!BE138:BE139)/DataUK1!B138-E18</f>
        <v>0.10425490323841796</v>
      </c>
      <c r="M18" s="1087"/>
      <c r="N18" s="1087"/>
      <c r="O18" s="720">
        <f>TableUK6a!B134-B18</f>
        <v>0</v>
      </c>
    </row>
    <row r="19" spans="1:15">
      <c r="A19" s="55">
        <v>1980</v>
      </c>
      <c r="B19" s="1089">
        <f t="shared" si="1"/>
        <v>3.0913867276346281</v>
      </c>
      <c r="C19" s="25">
        <f t="shared" si="0"/>
        <v>1.2345916228490783</v>
      </c>
      <c r="D19" s="56">
        <f>AVERAGE(DataUK3!D139:D140)/DataUK1!B139</f>
        <v>1.4830728447681647</v>
      </c>
      <c r="E19" s="57">
        <f>AVERAGE(DataUK3!BF139:BF140)/DataUK1!B139</f>
        <v>0.24848122191908636</v>
      </c>
      <c r="F19" s="25">
        <f>AVERAGE(DataUK3!E139:E140)/DataUK1!B139</f>
        <v>0.2747704022947699</v>
      </c>
      <c r="G19" s="27">
        <f>DataUK3!I139</f>
        <v>9.2207185628776736E-2</v>
      </c>
      <c r="H19" s="25">
        <f>AVERAGE(DataUK3!AS139:AS140)/DataUK1!B139-L19</f>
        <v>1.5820247024907801</v>
      </c>
      <c r="I19" s="56"/>
      <c r="J19" s="56">
        <f>0.5*(DataUK3!AT139+DataUK3!AT140)/DataUK1!B139</f>
        <v>0.74230024317320287</v>
      </c>
      <c r="K19" s="56"/>
      <c r="L19" s="1097">
        <f>AVERAGE(DataUK3!BE139:BE140)/DataUK1!B139-E19</f>
        <v>0.11080234079453136</v>
      </c>
      <c r="M19" s="1087"/>
      <c r="N19" s="1087"/>
      <c r="O19" s="720">
        <f>TableUK6a!B135-B19</f>
        <v>0</v>
      </c>
    </row>
    <row r="20" spans="1:15">
      <c r="A20" s="50">
        <v>1981</v>
      </c>
      <c r="B20" s="1088">
        <f t="shared" si="1"/>
        <v>3.0984842454713202</v>
      </c>
      <c r="C20" s="20">
        <f t="shared" si="0"/>
        <v>1.1783857684479748</v>
      </c>
      <c r="D20" s="51">
        <f>AVERAGE(DataUK3!D140:D141)/DataUK1!B140</f>
        <v>1.444694269478473</v>
      </c>
      <c r="E20" s="52">
        <f>AVERAGE(DataUK3!BF140:BF141)/DataUK1!B140</f>
        <v>0.26630850103049813</v>
      </c>
      <c r="F20" s="20">
        <f>AVERAGE(DataUK3!E140:E141)/DataUK1!B140</f>
        <v>0.27387487572296532</v>
      </c>
      <c r="G20" s="22">
        <f>DataUK3!I140</f>
        <v>8.960795396254459E-2</v>
      </c>
      <c r="H20" s="20">
        <f>AVERAGE(DataUK3!AS140:AS141)/DataUK1!B140-L20</f>
        <v>1.6462236013003801</v>
      </c>
      <c r="I20" s="51"/>
      <c r="J20" s="51">
        <f>0.5*(DataUK3!AT140+DataUK3!AT141)/DataUK1!B140</f>
        <v>0.79553623288054143</v>
      </c>
      <c r="K20" s="51"/>
      <c r="L20" s="1096">
        <f>AVERAGE(DataUK3!BE140:BE141)/DataUK1!B140-E20</f>
        <v>0.12273348308362092</v>
      </c>
      <c r="M20" s="1087"/>
      <c r="N20" s="1087"/>
      <c r="O20" s="720">
        <f>TableUK6a!B136-B20</f>
        <v>0</v>
      </c>
    </row>
    <row r="21" spans="1:15">
      <c r="A21" s="50">
        <v>1982</v>
      </c>
      <c r="B21" s="1088">
        <f t="shared" si="1"/>
        <v>3.1436939188295252</v>
      </c>
      <c r="C21" s="20">
        <f t="shared" si="0"/>
        <v>1.1805663314377099</v>
      </c>
      <c r="D21" s="51">
        <f>AVERAGE(DataUK3!D141:D142)/DataUK1!B141</f>
        <v>1.4699424532944143</v>
      </c>
      <c r="E21" s="52">
        <f>AVERAGE(DataUK3!BF141:BF142)/DataUK1!B141</f>
        <v>0.2893761218567043</v>
      </c>
      <c r="F21" s="20">
        <f>AVERAGE(DataUK3!E141:E142)/DataUK1!B141</f>
        <v>0.25264548489372768</v>
      </c>
      <c r="G21" s="22">
        <f>DataUK3!I141</f>
        <v>8.7008722296312443E-2</v>
      </c>
      <c r="H21" s="20">
        <f>AVERAGE(DataUK3!AS141:AS142)/DataUK1!B141-L21</f>
        <v>1.7104821024980874</v>
      </c>
      <c r="I21" s="51"/>
      <c r="J21" s="51">
        <f>0.5*(DataUK3!AT141+DataUK3!AT142)/DataUK1!B141</f>
        <v>0.84150094591874114</v>
      </c>
      <c r="K21" s="51"/>
      <c r="L21" s="1096">
        <f>AVERAGE(DataUK3!BE141:BE142)/DataUK1!B141-E21</f>
        <v>0.13294526178054383</v>
      </c>
      <c r="M21" s="1087"/>
      <c r="N21" s="1087"/>
      <c r="O21" s="720">
        <f>TableUK6a!B137-B21</f>
        <v>0</v>
      </c>
    </row>
    <row r="22" spans="1:15">
      <c r="A22" s="50">
        <v>1983</v>
      </c>
      <c r="B22" s="1088">
        <f t="shared" si="1"/>
        <v>3.2209356606021586</v>
      </c>
      <c r="C22" s="20">
        <f t="shared" si="0"/>
        <v>1.1902941729665362</v>
      </c>
      <c r="D22" s="51">
        <f>AVERAGE(DataUK3!D142:D143)/DataUK1!B142</f>
        <v>1.5089938781693089</v>
      </c>
      <c r="E22" s="52">
        <f>AVERAGE(DataUK3!BF142:BF143)/DataUK1!B142</f>
        <v>0.31869970520277269</v>
      </c>
      <c r="F22" s="20">
        <f>AVERAGE(DataUK3!E142:E143)/DataUK1!B142</f>
        <v>0.27248533606734776</v>
      </c>
      <c r="G22" s="22">
        <f>DataUK3!I142</f>
        <v>8.4409490630080297E-2</v>
      </c>
      <c r="H22" s="20">
        <f>AVERAGE(DataUK3!AS142:AS143)/DataUK1!B142-L22</f>
        <v>1.7581561515682746</v>
      </c>
      <c r="I22" s="51"/>
      <c r="J22" s="51">
        <f>0.5*(DataUK3!AT142+DataUK3!AT143)/DataUK1!B142</f>
        <v>0.87522002852153558</v>
      </c>
      <c r="K22" s="51"/>
      <c r="L22" s="1096">
        <f>AVERAGE(DataUK3!BE142:BE143)/DataUK1!B142-E22</f>
        <v>0.13696499235500109</v>
      </c>
      <c r="M22" s="1087"/>
      <c r="N22" s="1087"/>
      <c r="O22" s="720">
        <f>TableUK6a!B138-B22</f>
        <v>0</v>
      </c>
    </row>
    <row r="23" spans="1:15">
      <c r="A23" s="50">
        <v>1984</v>
      </c>
      <c r="B23" s="1088">
        <f t="shared" si="1"/>
        <v>3.3245364993920927</v>
      </c>
      <c r="C23" s="20">
        <f t="shared" si="0"/>
        <v>1.2292585665904501</v>
      </c>
      <c r="D23" s="51">
        <f>AVERAGE(DataUK3!D143:D144)/DataUK1!B143</f>
        <v>1.5827248219935599</v>
      </c>
      <c r="E23" s="52">
        <f>AVERAGE(DataUK3!BF143:BF144)/DataUK1!B143</f>
        <v>0.35346625540310977</v>
      </c>
      <c r="F23" s="20">
        <f>AVERAGE(DataUK3!E143:E144)/DataUK1!B143</f>
        <v>0.29574996955720012</v>
      </c>
      <c r="G23" s="22">
        <f>DataUK3!I143</f>
        <v>8.1810258963848151E-2</v>
      </c>
      <c r="H23" s="20">
        <f>AVERAGE(DataUK3!AS143:AS144)/DataUK1!B143-L23</f>
        <v>1.7995279632444425</v>
      </c>
      <c r="I23" s="51"/>
      <c r="J23" s="51">
        <f>0.5*(DataUK3!AT143+DataUK3!AT144)/DataUK1!B143</f>
        <v>0.90690056403910679</v>
      </c>
      <c r="K23" s="51"/>
      <c r="L23" s="1096">
        <f>AVERAGE(DataUK3!BE143:BE144)/DataUK1!B143-E23</f>
        <v>0.15404797996672842</v>
      </c>
      <c r="M23" s="1087"/>
      <c r="N23" s="1087"/>
      <c r="O23" s="720">
        <f>TableUK6a!B139-B23</f>
        <v>0</v>
      </c>
    </row>
    <row r="24" spans="1:15">
      <c r="A24" s="50">
        <v>1985</v>
      </c>
      <c r="B24" s="1088">
        <f t="shared" si="1"/>
        <v>3.382036405237288</v>
      </c>
      <c r="C24" s="20">
        <f t="shared" si="0"/>
        <v>1.2888149873818553</v>
      </c>
      <c r="D24" s="51">
        <f>AVERAGE(DataUK3!D144:D145)/DataUK1!B144</f>
        <v>1.670382537718182</v>
      </c>
      <c r="E24" s="52">
        <f>AVERAGE(DataUK3!BF144:BF145)/DataUK1!B144</f>
        <v>0.38156755033632683</v>
      </c>
      <c r="F24" s="20">
        <f>AVERAGE(DataUK3!E144:E145)/DataUK1!B144</f>
        <v>0.2943361951660694</v>
      </c>
      <c r="G24" s="22">
        <f>DataUK3!I144</f>
        <v>7.9211027297616005E-2</v>
      </c>
      <c r="H24" s="20">
        <f>AVERAGE(DataUK3!AS144:AS145)/DataUK1!B144-L24</f>
        <v>1.7988852226893632</v>
      </c>
      <c r="I24" s="51"/>
      <c r="J24" s="51">
        <f>0.5*(DataUK3!AT144+DataUK3!AT145)/DataUK1!B144</f>
        <v>0.90306743629082986</v>
      </c>
      <c r="K24" s="51"/>
      <c r="L24" s="1096">
        <f>AVERAGE(DataUK3!BE144:BE145)/DataUK1!B144-E24</f>
        <v>0.17130290023538053</v>
      </c>
      <c r="M24" s="1087"/>
      <c r="N24" s="1087"/>
      <c r="O24" s="720">
        <f>TableUK6a!B140-B24</f>
        <v>0</v>
      </c>
    </row>
    <row r="25" spans="1:15">
      <c r="A25" s="50">
        <v>1986</v>
      </c>
      <c r="B25" s="1088">
        <f t="shared" si="1"/>
        <v>3.6097570683270481</v>
      </c>
      <c r="C25" s="20">
        <f t="shared" si="0"/>
        <v>1.380800401526403</v>
      </c>
      <c r="D25" s="51">
        <f>AVERAGE(DataUK3!D145:D146)/DataUK1!B145</f>
        <v>1.8003066644335843</v>
      </c>
      <c r="E25" s="52">
        <f>AVERAGE(DataUK3!BF145:BF146)/DataUK1!B145</f>
        <v>0.41950626290718129</v>
      </c>
      <c r="F25" s="20">
        <f>AVERAGE(DataUK3!E145:E146)/DataUK1!B145</f>
        <v>0.29595511353259085</v>
      </c>
      <c r="G25" s="22">
        <f>DataUK3!I145</f>
        <v>7.6611795631383858E-2</v>
      </c>
      <c r="H25" s="20">
        <f>AVERAGE(DataUK3!AS145:AS146)/DataUK1!B145-L25</f>
        <v>1.9330015532680545</v>
      </c>
      <c r="I25" s="51"/>
      <c r="J25" s="51">
        <f>0.5*(DataUK3!AT145+DataUK3!AT146)/DataUK1!B145</f>
        <v>0.96545944903106617</v>
      </c>
      <c r="K25" s="51"/>
      <c r="L25" s="1096">
        <f>AVERAGE(DataUK3!BE145:BE146)/DataUK1!B145-E25</f>
        <v>0.1768769314172477</v>
      </c>
      <c r="M25" s="1087"/>
      <c r="N25" s="1087"/>
      <c r="O25" s="720">
        <f>TableUK6a!B141-B25</f>
        <v>0</v>
      </c>
    </row>
    <row r="26" spans="1:15">
      <c r="A26" s="50">
        <v>1987</v>
      </c>
      <c r="B26" s="1088">
        <f t="shared" si="1"/>
        <v>3.7917582072117519</v>
      </c>
      <c r="C26" s="20">
        <f t="shared" si="0"/>
        <v>1.5007208746249412</v>
      </c>
      <c r="D26" s="51">
        <f>AVERAGE(DataUK3!D146:D147)/DataUK1!B146</f>
        <v>1.9588312582118501</v>
      </c>
      <c r="E26" s="52">
        <f>AVERAGE(DataUK3!BF146:BF147)/DataUK1!B146</f>
        <v>0.45811038358690892</v>
      </c>
      <c r="F26" s="20">
        <f>AVERAGE(DataUK3!E146:E147)/DataUK1!B146</f>
        <v>0.29995849610565811</v>
      </c>
      <c r="G26" s="22">
        <f>DataUK3!I146</f>
        <v>7.4012563965151712E-2</v>
      </c>
      <c r="H26" s="20">
        <f>AVERAGE(DataUK3!AS146:AS147)/DataUK1!B146-L26</f>
        <v>1.9910788364811527</v>
      </c>
      <c r="I26" s="51"/>
      <c r="J26" s="51">
        <f>0.5*(DataUK3!AT146+DataUK3!AT147)/DataUK1!B146</f>
        <v>1.0167732563674992</v>
      </c>
      <c r="K26" s="51"/>
      <c r="L26" s="1096">
        <f>AVERAGE(DataUK3!BE146:BE147)/DataUK1!B146-E26</f>
        <v>0.20283507748722152</v>
      </c>
      <c r="M26" s="1087"/>
      <c r="N26" s="1087"/>
      <c r="O26" s="720">
        <f>TableUK6a!B142-B26</f>
        <v>0</v>
      </c>
    </row>
    <row r="27" spans="1:15">
      <c r="A27" s="50">
        <v>1988</v>
      </c>
      <c r="B27" s="1088">
        <f t="shared" si="1"/>
        <v>4.0199662037665584</v>
      </c>
      <c r="C27" s="20">
        <f t="shared" si="0"/>
        <v>1.7658883512092942</v>
      </c>
      <c r="D27" s="51">
        <f>AVERAGE(DataUK3!D147:D148)/DataUK1!B147</f>
        <v>2.2575580887914817</v>
      </c>
      <c r="E27" s="52">
        <f>AVERAGE(DataUK3!BF147:BF148)/DataUK1!B147</f>
        <v>0.4916697375821874</v>
      </c>
      <c r="F27" s="20">
        <f>AVERAGE(DataUK3!E147:E148)/DataUK1!B147</f>
        <v>0.31170115789677844</v>
      </c>
      <c r="G27" s="22">
        <f>DataUK3!I147</f>
        <v>7.1413332298919691E-2</v>
      </c>
      <c r="H27" s="20">
        <f>AVERAGE(DataUK3!AS147:AS148)/DataUK1!B147-L27</f>
        <v>1.9423766946604859</v>
      </c>
      <c r="I27" s="51">
        <f>AVERAGE(DataUK3!AY147:AY148)/DataUK1!B147</f>
        <v>0.33560338641168369</v>
      </c>
      <c r="J27" s="51">
        <f>0.5*(DataUK3!AT147+DataUK3!AT148)/DataUK1!B147</f>
        <v>1.0214608506759246</v>
      </c>
      <c r="K27" s="51">
        <f>H27-I27-J27</f>
        <v>0.58531245757287764</v>
      </c>
      <c r="L27" s="1096">
        <f>AVERAGE(DataUK3!BE147:BE148)/DataUK1!B147-E27</f>
        <v>0.22771242654046814</v>
      </c>
      <c r="M27" s="1087"/>
      <c r="N27" s="1087"/>
      <c r="O27" s="720">
        <f>TableUK6a!B143-B27</f>
        <v>0</v>
      </c>
    </row>
    <row r="28" spans="1:15">
      <c r="A28" s="1073">
        <v>1989</v>
      </c>
      <c r="B28" s="1090">
        <f t="shared" si="1"/>
        <v>4.3522248554785268</v>
      </c>
      <c r="C28" s="897">
        <f t="shared" si="0"/>
        <v>1.9448138386232254</v>
      </c>
      <c r="D28" s="1075">
        <f>AVERAGE(DataUK3!D148:D149)/DataUK1!B148</f>
        <v>2.4757901614653703</v>
      </c>
      <c r="E28" s="1076">
        <f>AVERAGE(DataUK3!BF148:BF149)/DataUK1!B148</f>
        <v>0.53097632284214491</v>
      </c>
      <c r="F28" s="897">
        <f>AVERAGE(DataUK3!E148:E149)/DataUK1!B148</f>
        <v>0.32676249750825048</v>
      </c>
      <c r="G28" s="899">
        <f>DataUK3!I148</f>
        <v>7.5786839132649678E-2</v>
      </c>
      <c r="H28" s="897">
        <f>AVERAGE(DataUK3!AS148:AS149)/DataUK1!B148-L28</f>
        <v>2.0806485193470508</v>
      </c>
      <c r="I28" s="1075">
        <f>AVERAGE(DataUK3!AY148:AY149)/DataUK1!B148</f>
        <v>0.35350838335289819</v>
      </c>
      <c r="J28" s="1075">
        <f>0.5*(DataUK3!AT148+DataUK3!AT149)/DataUK1!B148</f>
        <v>1.1289330882190081</v>
      </c>
      <c r="K28" s="1075">
        <f t="shared" ref="K28:K49" si="2">H28-I28-J28</f>
        <v>0.59820704777514444</v>
      </c>
      <c r="L28" s="1098">
        <f>AVERAGE(DataUK3!BE148:BE149)/DataUK1!B148-E28</f>
        <v>0.23850694367538594</v>
      </c>
      <c r="M28" s="1087"/>
      <c r="N28" s="1087"/>
      <c r="O28" s="720">
        <f>TableUK6a!B144-B28</f>
        <v>0</v>
      </c>
    </row>
    <row r="29" spans="1:15">
      <c r="A29" s="50">
        <v>1990</v>
      </c>
      <c r="B29" s="1088">
        <f t="shared" si="1"/>
        <v>4.2907495651636935</v>
      </c>
      <c r="C29" s="20">
        <f t="shared" si="0"/>
        <v>1.8070541255416157</v>
      </c>
      <c r="D29" s="51">
        <f>AVERAGE(DataUK3!D149:D150)/DataUK1!B149</f>
        <v>2.373196587178247</v>
      </c>
      <c r="E29" s="52">
        <f>AVERAGE(DataUK3!BF149:BF150)/DataUK1!B149</f>
        <v>0.56614246163663118</v>
      </c>
      <c r="F29" s="20">
        <f>AVERAGE(DataUK3!E149:E150)/DataUK1!B149</f>
        <v>0.32517007502856027</v>
      </c>
      <c r="G29" s="22">
        <f>DataUK3!I149</f>
        <v>8.2449080411267667E-2</v>
      </c>
      <c r="H29" s="20">
        <f>AVERAGE(DataUK3!AS149:AS150)/DataUK1!B149-L29</f>
        <v>2.1585253645935181</v>
      </c>
      <c r="I29" s="51">
        <f>AVERAGE(DataUK3!AY149:AY150)/DataUK1!B149</f>
        <v>0.41122752488087028</v>
      </c>
      <c r="J29" s="51">
        <f>0.5*(DataUK3!AT149+DataUK3!AT150)/DataUK1!B149</f>
        <v>1.1280703559997118</v>
      </c>
      <c r="K29" s="51">
        <f t="shared" si="2"/>
        <v>0.6192274837129359</v>
      </c>
      <c r="L29" s="1096">
        <f>AVERAGE(DataUK3!BE149:BE150)/DataUK1!B149-E29</f>
        <v>0.24652902853967051</v>
      </c>
      <c r="M29" s="1087"/>
      <c r="N29" s="1087"/>
      <c r="O29" s="720">
        <f>TableUK6a!B145-B29</f>
        <v>0</v>
      </c>
    </row>
    <row r="30" spans="1:15">
      <c r="A30" s="50">
        <v>1991</v>
      </c>
      <c r="B30" s="1088">
        <f t="shared" si="1"/>
        <v>4.1785826555070926</v>
      </c>
      <c r="C30" s="20">
        <f t="shared" si="0"/>
        <v>1.6446333844158905</v>
      </c>
      <c r="D30" s="51">
        <f>AVERAGE(DataUK3!D150:D151)/DataUK1!B150</f>
        <v>2.2468829816495735</v>
      </c>
      <c r="E30" s="52">
        <f>AVERAGE(DataUK3!BF150:BF151)/DataUK1!B150</f>
        <v>0.6022495972336831</v>
      </c>
      <c r="F30" s="20">
        <f>AVERAGE(DataUK3!E150:E151)/DataUK1!B150</f>
        <v>0.3121203190695116</v>
      </c>
      <c r="G30" s="22">
        <f>DataUK3!I150</f>
        <v>6.820110809855004E-2</v>
      </c>
      <c r="H30" s="20">
        <f>AVERAGE(DataUK3!AS150:AS151)/DataUK1!B150-L30</f>
        <v>2.2218289520216907</v>
      </c>
      <c r="I30" s="51">
        <f>AVERAGE(DataUK3!AY150:AY151)/DataUK1!B150</f>
        <v>0.44933101497111871</v>
      </c>
      <c r="J30" s="51">
        <f>0.5*(DataUK3!AT150+DataUK3!AT151)/DataUK1!B150</f>
        <v>1.1258163385594719</v>
      </c>
      <c r="K30" s="51">
        <f t="shared" si="2"/>
        <v>0.64668159849110007</v>
      </c>
      <c r="L30" s="1096">
        <f>AVERAGE(DataUK3!BE150:BE151)/DataUK1!B150-E30</f>
        <v>0.25034775433219381</v>
      </c>
      <c r="M30" s="1087"/>
      <c r="N30" s="1087"/>
      <c r="O30" s="720">
        <f>TableUK6a!B146-B30</f>
        <v>0</v>
      </c>
    </row>
    <row r="31" spans="1:15">
      <c r="A31" s="50">
        <v>1992</v>
      </c>
      <c r="B31" s="1088">
        <f t="shared" si="1"/>
        <v>4.1060182959788873</v>
      </c>
      <c r="C31" s="20">
        <f t="shared" si="0"/>
        <v>1.4578025373466528</v>
      </c>
      <c r="D31" s="51">
        <f>AVERAGE(DataUK3!D151:D152)/DataUK1!B151</f>
        <v>2.0730258691151082</v>
      </c>
      <c r="E31" s="52">
        <f>AVERAGE(DataUK3!BF151:BF152)/DataUK1!B151</f>
        <v>0.61522333176845545</v>
      </c>
      <c r="F31" s="20">
        <f>AVERAGE(DataUK3!E151:E152)/DataUK1!B151</f>
        <v>0.27630070344690855</v>
      </c>
      <c r="G31" s="22">
        <f>DataUK3!I151</f>
        <v>6.0366256244704507E-2</v>
      </c>
      <c r="H31" s="20">
        <f>AVERAGE(DataUK3!AS151:AS152)/DataUK1!B151-L31</f>
        <v>2.3719150551853261</v>
      </c>
      <c r="I31" s="51">
        <f>AVERAGE(DataUK3!AY151:AY152)/DataUK1!B151</f>
        <v>0.46604713711510082</v>
      </c>
      <c r="J31" s="51">
        <f>0.5*(DataUK3!AT151+DataUK3!AT152)/DataUK1!B151</f>
        <v>1.2339171387797319</v>
      </c>
      <c r="K31" s="51">
        <f t="shared" si="2"/>
        <v>0.67195077929049352</v>
      </c>
      <c r="L31" s="1096">
        <f>AVERAGE(DataUK3!BE151:BE152)/DataUK1!B151-E31</f>
        <v>0.24365055465881602</v>
      </c>
      <c r="M31" s="1087"/>
      <c r="N31" s="1087"/>
      <c r="O31" s="720">
        <f>TableUK6a!B147-B31</f>
        <v>0</v>
      </c>
    </row>
    <row r="32" spans="1:15">
      <c r="A32" s="50">
        <v>1993</v>
      </c>
      <c r="B32" s="1088">
        <f t="shared" si="1"/>
        <v>4.2037419969160146</v>
      </c>
      <c r="C32" s="20">
        <f t="shared" si="0"/>
        <v>1.3119248616114887</v>
      </c>
      <c r="D32" s="51">
        <f>AVERAGE(DataUK3!D152:D153)/DataUK1!B152</f>
        <v>1.9289839547492662</v>
      </c>
      <c r="E32" s="52">
        <f>AVERAGE(DataUK3!BF152:BF153)/DataUK1!B152</f>
        <v>0.6170590931377774</v>
      </c>
      <c r="F32" s="20">
        <f>AVERAGE(DataUK3!E152:E153)/DataUK1!B152</f>
        <v>0.25270115187561731</v>
      </c>
      <c r="G32" s="22">
        <f>DataUK3!I152</f>
        <v>5.0901745933616148E-2</v>
      </c>
      <c r="H32" s="20">
        <f>AVERAGE(DataUK3!AS152:AS153)/DataUK1!B152-L32</f>
        <v>2.6391159834289084</v>
      </c>
      <c r="I32" s="51">
        <f>AVERAGE(DataUK3!AY152:AY153)/DataUK1!B152</f>
        <v>0.53309066490438939</v>
      </c>
      <c r="J32" s="51">
        <f>0.5*(DataUK3!AT152+DataUK3!AT153)/DataUK1!B152</f>
        <v>1.4204115059654507</v>
      </c>
      <c r="K32" s="51">
        <f t="shared" si="2"/>
        <v>0.68561381255906828</v>
      </c>
      <c r="L32" s="1096">
        <f>AVERAGE(DataUK3!BE152:BE153)/DataUK1!B152-E32</f>
        <v>0.23041420622908182</v>
      </c>
      <c r="M32" s="1087"/>
      <c r="N32" s="1087"/>
      <c r="O32" s="720">
        <f>TableUK6a!B148-B32</f>
        <v>0</v>
      </c>
    </row>
    <row r="33" spans="1:15">
      <c r="A33" s="50">
        <v>1994</v>
      </c>
      <c r="B33" s="1088">
        <f t="shared" si="1"/>
        <v>4.1150815702774572</v>
      </c>
      <c r="C33" s="20">
        <f t="shared" si="0"/>
        <v>1.2056945381653632</v>
      </c>
      <c r="D33" s="51">
        <f>AVERAGE(DataUK3!D153:D154)/DataUK1!B153</f>
        <v>1.8106459797033567</v>
      </c>
      <c r="E33" s="52">
        <f>AVERAGE(DataUK3!BF153:BF154)/DataUK1!B153</f>
        <v>0.60495144153799341</v>
      </c>
      <c r="F33" s="20">
        <f>AVERAGE(DataUK3!E153:E154)/DataUK1!B153</f>
        <v>0.24370030034798026</v>
      </c>
      <c r="G33" s="22">
        <f>DataUK3!I153</f>
        <v>5.4919355905741013E-2</v>
      </c>
      <c r="H33" s="20">
        <f>AVERAGE(DataUK3!AS153:AS154)/DataUK1!B153-L33</f>
        <v>2.6656867317641142</v>
      </c>
      <c r="I33" s="51">
        <f>AVERAGE(DataUK3!AY153:AY154)/DataUK1!B153</f>
        <v>0.56026227523518435</v>
      </c>
      <c r="J33" s="51">
        <f>0.5*(DataUK3!AT153+DataUK3!AT154)/DataUK1!B153</f>
        <v>1.4424253099405919</v>
      </c>
      <c r="K33" s="51">
        <f t="shared" si="2"/>
        <v>0.66299914658833803</v>
      </c>
      <c r="L33" s="1096">
        <f>AVERAGE(DataUK3!BE153:BE154)/DataUK1!B153-E33</f>
        <v>0.21688316198944146</v>
      </c>
      <c r="M33" s="1087"/>
      <c r="N33" s="1087"/>
      <c r="O33" s="720">
        <f>TableUK6a!B149-B33</f>
        <v>0</v>
      </c>
    </row>
    <row r="34" spans="1:15">
      <c r="A34" s="50">
        <v>1995</v>
      </c>
      <c r="B34" s="1088">
        <f t="shared" si="1"/>
        <v>4.0338887070017506</v>
      </c>
      <c r="C34" s="20">
        <f t="shared" si="0"/>
        <v>1.1091069585145896</v>
      </c>
      <c r="D34" s="51">
        <f>AVERAGE(DataUK3!D154:D155)/DataUK1!B154</f>
        <v>1.7080943780164763</v>
      </c>
      <c r="E34" s="52">
        <f>AVERAGE(DataUK3!BF154:BF155)/DataUK1!B154</f>
        <v>0.59898741950188683</v>
      </c>
      <c r="F34" s="20">
        <f>AVERAGE(DataUK3!E154:E155)/DataUK1!B154</f>
        <v>0.24312740750255729</v>
      </c>
      <c r="G34" s="22">
        <f>DataUK3!I154</f>
        <v>5.5964497022881747E-2</v>
      </c>
      <c r="H34" s="20">
        <f>AVERAGE(DataUK3!AS154:AS155)/DataUK1!B154-L34</f>
        <v>2.6816543409846032</v>
      </c>
      <c r="I34" s="51">
        <f>AVERAGE(DataUK3!AY154:AY155)/DataUK1!B154</f>
        <v>0.57457520650282201</v>
      </c>
      <c r="J34" s="51">
        <f>0.5*(DataUK3!AT154+DataUK3!AT155)/DataUK1!B154</f>
        <v>1.4438302925110711</v>
      </c>
      <c r="K34" s="51">
        <f t="shared" si="2"/>
        <v>0.66324884197070988</v>
      </c>
      <c r="L34" s="1096">
        <f>AVERAGE(DataUK3!BE154:BE155)/DataUK1!B154-E34</f>
        <v>0.21604197572250539</v>
      </c>
      <c r="M34" s="1087"/>
      <c r="N34" s="1087"/>
      <c r="O34" s="720">
        <f>TableUK6a!B150-B34</f>
        <v>0</v>
      </c>
    </row>
    <row r="35" spans="1:15">
      <c r="A35" s="50">
        <v>1996</v>
      </c>
      <c r="B35" s="1088">
        <f t="shared" si="1"/>
        <v>4.1042967640695487</v>
      </c>
      <c r="C35" s="20">
        <f t="shared" si="0"/>
        <v>1.088172737146889</v>
      </c>
      <c r="D35" s="51">
        <f>AVERAGE(DataUK3!D155:D156)/DataUK1!B155</f>
        <v>1.6722409103817362</v>
      </c>
      <c r="E35" s="52">
        <f>AVERAGE(DataUK3!BF155:BF156)/DataUK1!B155</f>
        <v>0.58406817323484717</v>
      </c>
      <c r="F35" s="20">
        <f>AVERAGE(DataUK3!E155:E156)/DataUK1!B155</f>
        <v>0.24678104991348798</v>
      </c>
      <c r="G35" s="22">
        <f>DataUK3!I155</f>
        <v>6.1326927637299418E-2</v>
      </c>
      <c r="H35" s="20">
        <f>AVERAGE(DataUK3!AS155:AS156)/DataUK1!B155-L35</f>
        <v>2.7693429770091722</v>
      </c>
      <c r="I35" s="51">
        <f>AVERAGE(DataUK3!AY155:AY156)/DataUK1!B155</f>
        <v>0.59136021500654334</v>
      </c>
      <c r="J35" s="51">
        <f>0.5*(DataUK3!AT155+DataUK3!AT156)/DataUK1!B155</f>
        <v>1.5105095280337031</v>
      </c>
      <c r="K35" s="51">
        <f t="shared" si="2"/>
        <v>0.66747323396892599</v>
      </c>
      <c r="L35" s="1096">
        <f>AVERAGE(DataUK3!BE155:BE156)/DataUK1!B155-E35</f>
        <v>0.20944620591326557</v>
      </c>
      <c r="M35" s="1087"/>
      <c r="N35" s="1087"/>
      <c r="O35" s="720">
        <f>TableUK6a!B151-B35</f>
        <v>0</v>
      </c>
    </row>
    <row r="36" spans="1:15">
      <c r="A36" s="50">
        <v>1997</v>
      </c>
      <c r="B36" s="1088">
        <f t="shared" si="1"/>
        <v>4.3155495089111398</v>
      </c>
      <c r="C36" s="20">
        <f t="shared" si="0"/>
        <v>1.1342446078525068</v>
      </c>
      <c r="D36" s="51">
        <f>AVERAGE(DataUK3!D156:D157)/DataUK1!B156</f>
        <v>1.706285992021342</v>
      </c>
      <c r="E36" s="52">
        <f>AVERAGE(DataUK3!BF156:BF157)/DataUK1!B156</f>
        <v>0.57204138416883521</v>
      </c>
      <c r="F36" s="20">
        <f>AVERAGE(DataUK3!E156:E157)/DataUK1!B156</f>
        <v>0.24702029069402309</v>
      </c>
      <c r="G36" s="22">
        <f>DataUK3!I156</f>
        <v>5.877502204916623E-2</v>
      </c>
      <c r="H36" s="20">
        <f>AVERAGE(DataUK3!AS156:AS157)/DataUK1!B156-L36</f>
        <v>2.9342846103646103</v>
      </c>
      <c r="I36" s="51">
        <f>AVERAGE(DataUK3!AY156:AY157)/DataUK1!B156</f>
        <v>0.64520092729372769</v>
      </c>
      <c r="J36" s="51">
        <f>0.5*(DataUK3!AT156+DataUK3!AT157)/DataUK1!B156</f>
        <v>1.6180920576582283</v>
      </c>
      <c r="K36" s="51">
        <f t="shared" si="2"/>
        <v>0.67099162541265445</v>
      </c>
      <c r="L36" s="1096">
        <f>AVERAGE(DataUK3!BE156:BE157)/DataUK1!B156-E36</f>
        <v>0.20655153770748735</v>
      </c>
      <c r="M36" s="1087"/>
      <c r="N36" s="1087"/>
      <c r="O36" s="720">
        <f>TableUK6a!B152-B36</f>
        <v>0</v>
      </c>
    </row>
    <row r="37" spans="1:15">
      <c r="A37" s="50">
        <v>1998</v>
      </c>
      <c r="B37" s="1088">
        <f t="shared" si="1"/>
        <v>4.5334498290606966</v>
      </c>
      <c r="C37" s="20">
        <f t="shared" si="0"/>
        <v>1.2172419171578426</v>
      </c>
      <c r="D37" s="51">
        <f>AVERAGE(DataUK3!D157:D158)/DataUK1!B157</f>
        <v>1.7787420236778835</v>
      </c>
      <c r="E37" s="52">
        <f>AVERAGE(DataUK3!BF157:BF158)/DataUK1!B157</f>
        <v>0.56150010652004101</v>
      </c>
      <c r="F37" s="20">
        <f>AVERAGE(DataUK3!E157:E158)/DataUK1!B157</f>
        <v>0.23247174682722449</v>
      </c>
      <c r="G37" s="22">
        <f>DataUK3!I157</f>
        <v>5.6482251732218762E-2</v>
      </c>
      <c r="H37" s="20">
        <f>AVERAGE(DataUK3!AS157:AS158)/DataUK1!B157-L37</f>
        <v>3.0837361650756292</v>
      </c>
      <c r="I37" s="51">
        <f>AVERAGE(DataUK3!AY157:AY158)/DataUK1!B157</f>
        <v>0.68945413551378165</v>
      </c>
      <c r="J37" s="51">
        <f>0.5*(DataUK3!AT157+DataUK3!AT158)/DataUK1!B157</f>
        <v>1.7288285078063972</v>
      </c>
      <c r="K37" s="51">
        <f t="shared" si="2"/>
        <v>0.66545352175545047</v>
      </c>
      <c r="L37" s="1096">
        <f>AVERAGE(DataUK3!BE157:BE158)/DataUK1!B157-E37</f>
        <v>0.20993958791961287</v>
      </c>
      <c r="M37" s="1087"/>
      <c r="N37" s="1087"/>
      <c r="O37" s="720">
        <f>TableUK6a!B153-B37</f>
        <v>0</v>
      </c>
    </row>
    <row r="38" spans="1:15">
      <c r="A38" s="1091">
        <f t="shared" ref="A38:A46" si="3">A37+1</f>
        <v>1999</v>
      </c>
      <c r="B38" s="1090">
        <f t="shared" si="1"/>
        <v>4.9396859730307403</v>
      </c>
      <c r="C38" s="897">
        <f t="shared" si="0"/>
        <v>1.3877298044869018</v>
      </c>
      <c r="D38" s="1075">
        <f>AVERAGE(DataUK3!D158:D159)/DataUK1!B158</f>
        <v>1.9667834024430288</v>
      </c>
      <c r="E38" s="1076">
        <f>AVERAGE(DataUK3!BF158:BF159)/DataUK1!B158</f>
        <v>0.57905359795612699</v>
      </c>
      <c r="F38" s="897">
        <f>AVERAGE(DataUK3!E158:E159)/DataUK1!B158</f>
        <v>0.22100597024763527</v>
      </c>
      <c r="G38" s="899">
        <f>DataUK3!I158</f>
        <v>5.3838426129934364E-2</v>
      </c>
      <c r="H38" s="897">
        <f>AVERAGE(DataUK3!AS158:AS159)/DataUK1!B158-L38</f>
        <v>3.3309501982962031</v>
      </c>
      <c r="I38" s="1075">
        <f>AVERAGE(DataUK3!AY158:AY159)/DataUK1!B158</f>
        <v>0.78150980983339213</v>
      </c>
      <c r="J38" s="1075">
        <f>0.5*(DataUK3!AT158+DataUK3!AT159)/DataUK1!B158</f>
        <v>1.8846232250079038</v>
      </c>
      <c r="K38" s="1075">
        <f t="shared" si="2"/>
        <v>0.66481716345490716</v>
      </c>
      <c r="L38" s="1098">
        <f>AVERAGE(DataUK3!BE158:BE159)/DataUK1!B158-E38</f>
        <v>0.21757103325199678</v>
      </c>
      <c r="M38" s="1087"/>
      <c r="N38" s="1087"/>
      <c r="O38" s="720">
        <f>TableUK6a!B154-B38</f>
        <v>0</v>
      </c>
    </row>
    <row r="39" spans="1:15">
      <c r="A39" s="60">
        <f t="shared" si="3"/>
        <v>2000</v>
      </c>
      <c r="B39" s="1088">
        <f t="shared" si="1"/>
        <v>5.1455500736180824</v>
      </c>
      <c r="C39" s="20">
        <f t="shared" si="0"/>
        <v>1.5409475243820077</v>
      </c>
      <c r="D39" s="51">
        <f>AVERAGE(DataUK3!D159:D160)/DataUK1!B159</f>
        <v>2.1363330433402568</v>
      </c>
      <c r="E39" s="52">
        <f>AVERAGE(DataUK3!BF159:BF160)/DataUK1!B159</f>
        <v>0.59538551895824909</v>
      </c>
      <c r="F39" s="20">
        <f>AVERAGE(DataUK3!E159:E160)/DataUK1!B159</f>
        <v>0.21277479353921683</v>
      </c>
      <c r="G39" s="22">
        <f>DataUK3!I159</f>
        <v>5.3950296499578915E-2</v>
      </c>
      <c r="H39" s="20">
        <f>AVERAGE(DataUK3!AS159:AS160)/DataUK1!B159-L39</f>
        <v>3.3918277556968581</v>
      </c>
      <c r="I39" s="51">
        <f>AVERAGE(DataUK3!AY159:AY160)/DataUK1!B159</f>
        <v>0.83137346667608858</v>
      </c>
      <c r="J39" s="51">
        <f>0.5*(DataUK3!AT159+DataUK3!AT160)/DataUK1!B159</f>
        <v>1.9093182768619119</v>
      </c>
      <c r="K39" s="51">
        <f t="shared" si="2"/>
        <v>0.65113601215885764</v>
      </c>
      <c r="L39" s="1096">
        <f>AVERAGE(DataUK3!BE159:BE160)/DataUK1!B159-E39</f>
        <v>0.22199761595572032</v>
      </c>
      <c r="M39" s="1087"/>
      <c r="N39" s="1087"/>
      <c r="O39" s="720">
        <f>TableUK6a!B155-B39</f>
        <v>0</v>
      </c>
    </row>
    <row r="40" spans="1:15">
      <c r="A40" s="60">
        <f t="shared" si="3"/>
        <v>2001</v>
      </c>
      <c r="B40" s="1088">
        <f t="shared" si="1"/>
        <v>4.9364069115484535</v>
      </c>
      <c r="C40" s="20">
        <f t="shared" si="0"/>
        <v>1.6224549660442824</v>
      </c>
      <c r="D40" s="51">
        <f>AVERAGE(DataUK3!D160:D161)/DataUK1!B160</f>
        <v>2.2394500412863807</v>
      </c>
      <c r="E40" s="52">
        <f>AVERAGE(DataUK3!BF160:BF161)/DataUK1!B160</f>
        <v>0.61699507524209829</v>
      </c>
      <c r="F40" s="20">
        <f>AVERAGE(DataUK3!E160:E161)/DataUK1!B160</f>
        <v>0.20665889554271577</v>
      </c>
      <c r="G40" s="22">
        <f>DataUK3!I160</f>
        <v>5.165567706922624E-2</v>
      </c>
      <c r="H40" s="20">
        <f>AVERAGE(DataUK3!AS160:AS161)/DataUK1!B160-L40</f>
        <v>3.1072930499614553</v>
      </c>
      <c r="I40" s="51">
        <f>AVERAGE(DataUK3!AY160:AY161)/DataUK1!B160</f>
        <v>0.70476948163386599</v>
      </c>
      <c r="J40" s="51">
        <f>0.5*(DataUK3!AT160+DataUK3!AT161)/DataUK1!B160</f>
        <v>1.7538010336399017</v>
      </c>
      <c r="K40" s="51">
        <f t="shared" si="2"/>
        <v>0.6487225346876877</v>
      </c>
      <c r="L40" s="1096">
        <f>AVERAGE(DataUK3!BE160:BE161)/DataUK1!B160-E40</f>
        <v>0.22970799069658299</v>
      </c>
      <c r="M40" s="1087"/>
      <c r="N40" s="1087"/>
      <c r="O40" s="720">
        <f>TableUK6a!B156-B40</f>
        <v>0</v>
      </c>
    </row>
    <row r="41" spans="1:15">
      <c r="A41" s="60">
        <f t="shared" si="3"/>
        <v>2002</v>
      </c>
      <c r="B41" s="1088">
        <f t="shared" si="1"/>
        <v>4.6585470248550154</v>
      </c>
      <c r="C41" s="20">
        <f t="shared" si="0"/>
        <v>1.7662170231945074</v>
      </c>
      <c r="D41" s="51">
        <f>AVERAGE(DataUK3!D161:D162)/DataUK1!B161</f>
        <v>2.4157890557074535</v>
      </c>
      <c r="E41" s="52">
        <f>AVERAGE(DataUK3!BF161:BF162)/DataUK1!B161</f>
        <v>0.64957203251294626</v>
      </c>
      <c r="F41" s="20">
        <f>AVERAGE(DataUK3!E161:E162)/DataUK1!B161</f>
        <v>0.2023988663167568</v>
      </c>
      <c r="G41" s="22">
        <f>DataUK3!I161</f>
        <v>4.7801993228016579E-2</v>
      </c>
      <c r="H41" s="20">
        <f>AVERAGE(DataUK3!AS161:AS162)/DataUK1!B161-L41</f>
        <v>2.6899311353437509</v>
      </c>
      <c r="I41" s="51">
        <f>AVERAGE(DataUK3!AY161:AY162)/DataUK1!B161</f>
        <v>0.51398951920567915</v>
      </c>
      <c r="J41" s="51">
        <f>0.5*(DataUK3!AT161+DataUK3!AT162)/DataUK1!B161</f>
        <v>1.5387811048667315</v>
      </c>
      <c r="K41" s="51">
        <f t="shared" si="2"/>
        <v>0.63716051127134055</v>
      </c>
      <c r="L41" s="1096">
        <f>AVERAGE(DataUK3!BE161:BE162)/DataUK1!B161-E41</f>
        <v>0.24398530089739612</v>
      </c>
      <c r="M41" s="1087"/>
      <c r="N41" s="1087"/>
      <c r="O41" s="720">
        <f>TableUK6a!B157-B41</f>
        <v>0</v>
      </c>
    </row>
    <row r="42" spans="1:15">
      <c r="A42" s="60">
        <f t="shared" si="3"/>
        <v>2003</v>
      </c>
      <c r="B42" s="1088">
        <f t="shared" si="1"/>
        <v>4.648021868516949</v>
      </c>
      <c r="C42" s="20">
        <f t="shared" si="0"/>
        <v>1.9399849263020488</v>
      </c>
      <c r="D42" s="51">
        <f>AVERAGE(DataUK3!D162:D163)/DataUK1!B162</f>
        <v>2.6404073200674429</v>
      </c>
      <c r="E42" s="52">
        <f>AVERAGE(DataUK3!BF162:BF163)/DataUK1!B162</f>
        <v>0.70042239376539417</v>
      </c>
      <c r="F42" s="20">
        <f>AVERAGE(DataUK3!E162:E163)/DataUK1!B162</f>
        <v>0.19923164932673407</v>
      </c>
      <c r="G42" s="22">
        <f>DataUK3!I162</f>
        <v>4.5556172834709911E-2</v>
      </c>
      <c r="H42" s="20">
        <f>AVERAGE(DataUK3!AS162:AS163)/DataUK1!B162-L42</f>
        <v>2.5088052928881668</v>
      </c>
      <c r="I42" s="51">
        <f>AVERAGE(DataUK3!AY162:AY163)/DataUK1!B162</f>
        <v>0.44233824912005348</v>
      </c>
      <c r="J42" s="51">
        <f>0.5*(DataUK3!AT162+DataUK3!AT163)/DataUK1!B162</f>
        <v>1.439053503857779</v>
      </c>
      <c r="K42" s="51">
        <f t="shared" si="2"/>
        <v>0.62741353991033444</v>
      </c>
      <c r="L42" s="1096">
        <f>AVERAGE(DataUK3!BE162:BE163)/DataUK1!B162-E42</f>
        <v>0.25699586638798455</v>
      </c>
      <c r="M42" s="1087"/>
      <c r="N42" s="1087"/>
      <c r="O42" s="720">
        <f>TableUK6a!B158-B42</f>
        <v>0</v>
      </c>
    </row>
    <row r="43" spans="1:15">
      <c r="A43" s="60">
        <f t="shared" si="3"/>
        <v>2004</v>
      </c>
      <c r="B43" s="1088">
        <f t="shared" si="1"/>
        <v>4.8119584918254041</v>
      </c>
      <c r="C43" s="20">
        <f t="shared" si="0"/>
        <v>2.0449515166377497</v>
      </c>
      <c r="D43" s="51">
        <f>AVERAGE(DataUK3!D163:D164)/DataUK1!B163</f>
        <v>2.8073890340388421</v>
      </c>
      <c r="E43" s="52">
        <f>AVERAGE(DataUK3!BF163:BF164)/DataUK1!B163</f>
        <v>0.76243751740109267</v>
      </c>
      <c r="F43" s="20">
        <f>AVERAGE(DataUK3!E163:E164)/DataUK1!B163</f>
        <v>0.19511718425890245</v>
      </c>
      <c r="G43" s="22">
        <f>DataUK3!I163</f>
        <v>4.3212790241006285E-2</v>
      </c>
      <c r="H43" s="20">
        <f>AVERAGE(DataUK3!AS163:AS164)/DataUK1!B163-L43</f>
        <v>2.5718897909287524</v>
      </c>
      <c r="I43" s="51">
        <f>AVERAGE(DataUK3!AY163:AY164)/DataUK1!B163</f>
        <v>0.46820785801077164</v>
      </c>
      <c r="J43" s="51">
        <f>0.5*(DataUK3!AT163+DataUK3!AT164)/DataUK1!B163</f>
        <v>1.4682756185569861</v>
      </c>
      <c r="K43" s="51">
        <f t="shared" si="2"/>
        <v>0.63540631436099448</v>
      </c>
      <c r="L43" s="1096">
        <f>AVERAGE(DataUK3!BE163:BE164)/DataUK1!B163-E43</f>
        <v>0.26621136496475528</v>
      </c>
      <c r="M43" s="1087"/>
      <c r="N43" s="1087"/>
      <c r="O43" s="720">
        <f>TableUK6a!B159-B43</f>
        <v>0</v>
      </c>
    </row>
    <row r="44" spans="1:15">
      <c r="A44" s="60">
        <f t="shared" si="3"/>
        <v>2005</v>
      </c>
      <c r="B44" s="1088">
        <f t="shared" si="1"/>
        <v>4.9921472046264617</v>
      </c>
      <c r="C44" s="20">
        <f t="shared" si="0"/>
        <v>2.0833713683184847</v>
      </c>
      <c r="D44" s="51">
        <f>AVERAGE(DataUK3!D164:D165)/DataUK1!B164</f>
        <v>2.8833944091649806</v>
      </c>
      <c r="E44" s="52">
        <f>AVERAGE(DataUK3!BF164:BF165)/DataUK1!B164</f>
        <v>0.80002304084649611</v>
      </c>
      <c r="F44" s="20">
        <f>AVERAGE(DataUK3!E164:E165)/DataUK1!B164</f>
        <v>0.19294510386409067</v>
      </c>
      <c r="G44" s="22">
        <f>DataUK3!I164</f>
        <v>4.1320504330711778E-2</v>
      </c>
      <c r="H44" s="20">
        <f>AVERAGE(DataUK3!AS164:AS165)/DataUK1!B164-L44</f>
        <v>2.7158307324438864</v>
      </c>
      <c r="I44" s="51">
        <f>AVERAGE(DataUK3!AY164:AY165)/DataUK1!B164</f>
        <v>0.49103385685302492</v>
      </c>
      <c r="J44" s="51">
        <f>0.5*(DataUK3!AT164+DataUK3!AT165)/DataUK1!B164</f>
        <v>1.5707696961862123</v>
      </c>
      <c r="K44" s="51">
        <f t="shared" si="2"/>
        <v>0.65402717940464927</v>
      </c>
      <c r="L44" s="1096">
        <f>AVERAGE(DataUK3!BE164:BE165)/DataUK1!B164-E44</f>
        <v>0.27205347586998974</v>
      </c>
      <c r="M44" s="1087"/>
      <c r="N44" s="1087"/>
      <c r="O44" s="720">
        <f>TableUK6a!B160-B44</f>
        <v>0</v>
      </c>
    </row>
    <row r="45" spans="1:15">
      <c r="A45" s="60">
        <f t="shared" si="3"/>
        <v>2006</v>
      </c>
      <c r="B45" s="1088">
        <f t="shared" si="1"/>
        <v>5.1893986650077348</v>
      </c>
      <c r="C45" s="20">
        <f t="shared" si="0"/>
        <v>2.1218058544623042</v>
      </c>
      <c r="D45" s="51">
        <f>AVERAGE(DataUK3!D165:D166)/DataUK1!B165</f>
        <v>2.9560125092474276</v>
      </c>
      <c r="E45" s="52">
        <f>AVERAGE(DataUK3!BF165:BF166)/DataUK1!B165</f>
        <v>0.83420665478512346</v>
      </c>
      <c r="F45" s="20">
        <f>AVERAGE(DataUK3!E165:E166)/DataUK1!B165</f>
        <v>0.19083663998923936</v>
      </c>
      <c r="G45" s="22">
        <f>DataUK3!I165</f>
        <v>3.961850158046943E-2</v>
      </c>
      <c r="H45" s="20">
        <f>AVERAGE(DataUK3!AS165:AS166)/DataUK1!B165-L45</f>
        <v>2.8767561705561908</v>
      </c>
      <c r="I45" s="51">
        <f>AVERAGE(DataUK3!AY165:AY166)/DataUK1!B165</f>
        <v>0.50830250857488735</v>
      </c>
      <c r="J45" s="51">
        <f>0.5*(DataUK3!AT165+DataUK3!AT166)/DataUK1!B165</f>
        <v>1.6992471753312259</v>
      </c>
      <c r="K45" s="51">
        <f t="shared" si="2"/>
        <v>0.66920648665007731</v>
      </c>
      <c r="L45" s="1096">
        <f>AVERAGE(DataUK3!BE165:BE166)/DataUK1!B165-E45</f>
        <v>0.2874743594054745</v>
      </c>
      <c r="M45" s="1087"/>
      <c r="N45" s="1087"/>
      <c r="O45" s="720">
        <f>TableUK6a!B161-B45</f>
        <v>0</v>
      </c>
    </row>
    <row r="46" spans="1:15">
      <c r="A46" s="60">
        <f t="shared" si="3"/>
        <v>2007</v>
      </c>
      <c r="B46" s="1088">
        <f t="shared" si="1"/>
        <v>5.2271083062510666</v>
      </c>
      <c r="C46" s="20">
        <f t="shared" si="0"/>
        <v>2.1951067831931823</v>
      </c>
      <c r="D46" s="51">
        <f>AVERAGE(DataUK3!D166:D167)/DataUK1!B166</f>
        <v>3.0577601608651221</v>
      </c>
      <c r="E46" s="52">
        <f>AVERAGE(DataUK3!BF166:BF167)/DataUK1!B166</f>
        <v>0.86265337767193995</v>
      </c>
      <c r="F46" s="20">
        <f>AVERAGE(DataUK3!E166:E167)/DataUK1!B166</f>
        <v>0.18044302418247743</v>
      </c>
      <c r="G46" s="22">
        <f>DataUK3!I166</f>
        <v>3.7196125957516438E-2</v>
      </c>
      <c r="H46" s="20">
        <f>AVERAGE(DataUK3!AS166:AS167)/DataUK1!B166-L46</f>
        <v>2.8515584988754075</v>
      </c>
      <c r="I46" s="51">
        <f>AVERAGE(DataUK3!AY166:AY167)/DataUK1!B166</f>
        <v>0.48202303939732222</v>
      </c>
      <c r="J46" s="51">
        <f>0.5*(DataUK3!AT166+DataUK3!AT167)/DataUK1!B166</f>
        <v>1.6999041008490889</v>
      </c>
      <c r="K46" s="51">
        <f t="shared" si="2"/>
        <v>0.66963135862899636</v>
      </c>
      <c r="L46" s="1096">
        <f>AVERAGE(DataUK3!BE166:BE167)/DataUK1!B166-E46</f>
        <v>0.29122463766405715</v>
      </c>
      <c r="M46" s="1087"/>
      <c r="N46" s="1087"/>
      <c r="O46" s="720">
        <f>TableUK6a!B162-B46</f>
        <v>0</v>
      </c>
    </row>
    <row r="47" spans="1:15">
      <c r="A47" s="60">
        <v>2008</v>
      </c>
      <c r="B47" s="1088">
        <f t="shared" si="1"/>
        <v>4.9052220595040916</v>
      </c>
      <c r="C47" s="20">
        <f t="shared" si="0"/>
        <v>2.0679213300126658</v>
      </c>
      <c r="D47" s="51">
        <f>AVERAGE(DataUK3!D167:D168)/DataUK1!B167</f>
        <v>2.9555995165140296</v>
      </c>
      <c r="E47" s="52">
        <f>AVERAGE(DataUK3!BF167:BF168)/DataUK1!B167</f>
        <v>0.88767818650136399</v>
      </c>
      <c r="F47" s="20">
        <f>AVERAGE(DataUK3!E167:E168)/DataUK1!B167</f>
        <v>0.16834780543647701</v>
      </c>
      <c r="G47" s="22">
        <f>DataUK3!I167</f>
        <v>3.5854990744349183E-2</v>
      </c>
      <c r="H47" s="20">
        <f>AVERAGE(DataUK3!AS167:AS168)/DataUK1!B167-L47</f>
        <v>2.668952924054949</v>
      </c>
      <c r="I47" s="51">
        <f>AVERAGE(DataUK3!AY167:AY168)/DataUK1!B167</f>
        <v>0.38522346003020264</v>
      </c>
      <c r="J47" s="51">
        <f>0.5*(DataUK3!AT167+DataUK3!AT168)/DataUK1!B167</f>
        <v>1.5697420139565472</v>
      </c>
      <c r="K47" s="51">
        <f t="shared" si="2"/>
        <v>0.71398745006819908</v>
      </c>
      <c r="L47" s="1096">
        <f>AVERAGE(DataUK3!BE167:BE168)/DataUK1!B167-E47</f>
        <v>0.28096076091192523</v>
      </c>
      <c r="M47" s="1087"/>
      <c r="N47" s="1087"/>
      <c r="O47" s="720">
        <f>TableUK6a!B163-B47</f>
        <v>0</v>
      </c>
    </row>
    <row r="48" spans="1:15">
      <c r="A48" s="1091">
        <v>2009</v>
      </c>
      <c r="B48" s="1090">
        <f t="shared" si="1"/>
        <v>5.0440527633202112</v>
      </c>
      <c r="C48" s="897">
        <f t="shared" si="0"/>
        <v>2.0486558383098643</v>
      </c>
      <c r="D48" s="1075">
        <f>AVERAGE(DataUK3!D168:D169)/DataUK1!B168</f>
        <v>2.996415223280037</v>
      </c>
      <c r="E48" s="1076">
        <f>AVERAGE(DataUK3!BF168:BF169)/DataUK1!B168</f>
        <v>0.94775938497017276</v>
      </c>
      <c r="F48" s="897">
        <f>AVERAGE(DataUK3!E168:E169)/DataUK1!B168</f>
        <v>0.17299946652972403</v>
      </c>
      <c r="G48" s="899">
        <f>DataUK3!I168</f>
        <v>3.6944212086729988E-2</v>
      </c>
      <c r="H48" s="897">
        <f>AVERAGE(DataUK3!AS168:AS169)/DataUK1!B168-L48</f>
        <v>2.8223974584806224</v>
      </c>
      <c r="I48" s="1075">
        <f>AVERAGE(DataUK3!AY168:AY169)/DataUK1!B168</f>
        <v>0.38836994927646601</v>
      </c>
      <c r="J48" s="1075">
        <f>0.5*(DataUK3!AT168+DataUK3!AT169)/DataUK1!B168</f>
        <v>1.6354041655336735</v>
      </c>
      <c r="K48" s="1075">
        <f t="shared" si="2"/>
        <v>0.79862334367048304</v>
      </c>
      <c r="L48" s="1098">
        <f>AVERAGE(DataUK3!BE168:BE169)/DataUK1!B168-E48</f>
        <v>0.28093988053136509</v>
      </c>
      <c r="M48" s="1087"/>
      <c r="N48" s="1087"/>
      <c r="O48" s="720">
        <f>TableUK6a!B164-B48</f>
        <v>0</v>
      </c>
    </row>
    <row r="49" spans="1:15" ht="13" thickBot="1">
      <c r="A49" s="1092">
        <v>2010</v>
      </c>
      <c r="B49" s="1093">
        <f t="shared" si="1"/>
        <v>5.2187601920292614</v>
      </c>
      <c r="C49" s="1101">
        <f>D49-E49</f>
        <v>2.0854617846528996</v>
      </c>
      <c r="D49" s="1094">
        <f>AVERAGE(DataUK3!D169:D170)/DataUK1!B169</f>
        <v>2.9959704335898802</v>
      </c>
      <c r="E49" s="1103">
        <f>AVERAGE(DataUK3!BF169:BF170)/DataUK1!B169</f>
        <v>0.91050864893698091</v>
      </c>
      <c r="F49" s="1101">
        <f>AVERAGE(DataUK3!E169:E170)/DataUK1!B169</f>
        <v>0.17331821991922577</v>
      </c>
      <c r="G49" s="1856">
        <f>DataUK3!I169</f>
        <v>3.4958469862074223E-2</v>
      </c>
      <c r="H49" s="1101">
        <f>AVERAGE(DataUK3!AS169:AS170)/DataUK1!B169-L49</f>
        <v>2.9599801874571359</v>
      </c>
      <c r="I49" s="1094">
        <f>AVERAGE(DataUK3!AY169:AY170)/DataUK1!B169</f>
        <v>0.45737483807056312</v>
      </c>
      <c r="J49" s="1094">
        <f>0.5*(DataUK3!AT169+DataUK3!AT170)/DataUK1!B169</f>
        <v>1.716134649089385</v>
      </c>
      <c r="K49" s="1094">
        <f t="shared" si="2"/>
        <v>0.78647070029718802</v>
      </c>
      <c r="L49" s="1099">
        <f>AVERAGE(DataUK3!BE169:BE170)/DataUK1!B169-E49</f>
        <v>0.26115636668444719</v>
      </c>
      <c r="M49" s="1087"/>
      <c r="N49" s="1087"/>
      <c r="O49" s="720">
        <f>TableUK6a!B165-B49</f>
        <v>0</v>
      </c>
    </row>
    <row r="50" spans="1:15" ht="13" thickTop="1">
      <c r="B50" s="691"/>
      <c r="C50" s="691"/>
      <c r="D50" s="691"/>
      <c r="E50" s="691"/>
      <c r="F50" s="691"/>
      <c r="G50" s="691"/>
      <c r="H50" s="691"/>
      <c r="I50" s="691"/>
      <c r="J50" s="691"/>
      <c r="K50" s="691"/>
      <c r="L50" s="1087"/>
      <c r="M50" s="1087"/>
      <c r="N50" s="1087"/>
    </row>
    <row r="51" spans="1:15">
      <c r="B51" s="691"/>
      <c r="C51" s="691"/>
      <c r="D51" s="691"/>
      <c r="E51" s="691"/>
      <c r="F51" s="691"/>
      <c r="G51" s="691"/>
      <c r="H51" s="691"/>
      <c r="I51" s="691"/>
      <c r="J51" s="691"/>
      <c r="K51" s="691"/>
      <c r="L51" s="1087"/>
      <c r="M51" s="1087"/>
      <c r="N51" s="1087"/>
    </row>
    <row r="52" spans="1:15">
      <c r="B52" s="691"/>
      <c r="C52" s="691"/>
      <c r="D52" s="691"/>
      <c r="E52" s="691"/>
      <c r="F52" s="691"/>
      <c r="G52" s="691"/>
      <c r="H52" s="691"/>
      <c r="I52" s="691"/>
      <c r="J52" s="691"/>
      <c r="K52" s="691"/>
      <c r="L52" s="691"/>
      <c r="M52" s="691"/>
      <c r="N52" s="691"/>
    </row>
    <row r="53" spans="1:15">
      <c r="B53" s="691"/>
      <c r="C53" s="691"/>
      <c r="D53" s="691"/>
      <c r="E53" s="691"/>
      <c r="F53" s="691"/>
      <c r="G53" s="691"/>
      <c r="H53" s="691"/>
      <c r="I53" s="691"/>
      <c r="J53" s="691"/>
      <c r="K53" s="691"/>
      <c r="L53" s="691"/>
      <c r="M53" s="691"/>
      <c r="N53" s="691"/>
    </row>
    <row r="54" spans="1:15">
      <c r="B54" s="691"/>
      <c r="C54" s="691"/>
      <c r="D54" s="691"/>
      <c r="E54" s="691"/>
      <c r="F54" s="691"/>
      <c r="G54" s="691"/>
      <c r="H54" s="691"/>
      <c r="I54" s="691"/>
      <c r="J54" s="691"/>
      <c r="K54" s="691"/>
      <c r="L54" s="691"/>
      <c r="M54" s="691"/>
      <c r="N54" s="691"/>
    </row>
    <row r="55" spans="1:15">
      <c r="B55" s="691"/>
      <c r="C55" s="691"/>
      <c r="D55" s="691"/>
      <c r="E55" s="691"/>
      <c r="F55" s="691"/>
      <c r="G55" s="691"/>
      <c r="H55" s="691"/>
      <c r="I55" s="691"/>
      <c r="J55" s="691"/>
      <c r="K55" s="691"/>
      <c r="L55" s="691"/>
      <c r="M55" s="691"/>
      <c r="N55" s="691"/>
    </row>
    <row r="56" spans="1:15">
      <c r="B56" s="691"/>
      <c r="C56" s="691"/>
      <c r="D56" s="691"/>
      <c r="E56" s="691"/>
      <c r="F56" s="691"/>
      <c r="G56" s="691"/>
      <c r="H56" s="691"/>
      <c r="I56" s="691"/>
      <c r="J56" s="691"/>
      <c r="K56" s="691"/>
      <c r="L56" s="691"/>
      <c r="M56" s="691"/>
      <c r="N56" s="691"/>
    </row>
    <row r="57" spans="1:15">
      <c r="B57" s="691"/>
      <c r="C57" s="691"/>
      <c r="D57" s="691"/>
      <c r="E57" s="691"/>
      <c r="F57" s="691"/>
      <c r="G57" s="691"/>
      <c r="H57" s="691"/>
      <c r="I57" s="691"/>
      <c r="J57" s="691"/>
      <c r="K57" s="691"/>
      <c r="L57" s="691"/>
      <c r="M57" s="691"/>
      <c r="N57" s="691"/>
    </row>
    <row r="58" spans="1:15">
      <c r="B58" s="691"/>
      <c r="C58" s="691"/>
      <c r="D58" s="691"/>
      <c r="E58" s="691"/>
      <c r="F58" s="691"/>
      <c r="G58" s="691"/>
      <c r="H58" s="691"/>
      <c r="I58" s="691"/>
      <c r="J58" s="691"/>
      <c r="K58" s="691"/>
      <c r="L58" s="691"/>
      <c r="M58" s="691"/>
      <c r="N58" s="691"/>
    </row>
    <row r="59" spans="1:15">
      <c r="B59" s="691"/>
      <c r="C59" s="691"/>
      <c r="D59" s="691"/>
      <c r="E59" s="691"/>
      <c r="F59" s="691"/>
      <c r="G59" s="691"/>
      <c r="H59" s="691"/>
      <c r="I59" s="691"/>
      <c r="J59" s="691"/>
      <c r="K59" s="691"/>
      <c r="L59" s="691"/>
      <c r="M59" s="691"/>
      <c r="N59" s="691"/>
    </row>
    <row r="60" spans="1:15">
      <c r="B60" s="691"/>
      <c r="C60" s="691"/>
      <c r="D60" s="691"/>
      <c r="E60" s="691"/>
      <c r="F60" s="691"/>
      <c r="G60" s="691"/>
      <c r="H60" s="691"/>
      <c r="I60" s="691"/>
      <c r="J60" s="691"/>
      <c r="K60" s="691"/>
      <c r="L60" s="691"/>
      <c r="M60" s="691"/>
      <c r="N60" s="691"/>
    </row>
    <row r="61" spans="1:15">
      <c r="B61" s="691"/>
      <c r="C61" s="691"/>
      <c r="D61" s="691"/>
      <c r="E61" s="691"/>
      <c r="F61" s="691"/>
      <c r="G61" s="691"/>
      <c r="H61" s="691"/>
      <c r="I61" s="691"/>
      <c r="J61" s="691"/>
      <c r="K61" s="691"/>
      <c r="L61" s="691"/>
      <c r="M61" s="691"/>
      <c r="N61" s="691"/>
    </row>
    <row r="62" spans="1:15">
      <c r="B62" s="691"/>
      <c r="C62" s="691"/>
      <c r="D62" s="691"/>
      <c r="E62" s="691"/>
      <c r="F62" s="691"/>
      <c r="G62" s="691"/>
      <c r="H62" s="691"/>
      <c r="I62" s="691"/>
      <c r="J62" s="691"/>
      <c r="K62" s="691"/>
      <c r="L62" s="691"/>
      <c r="M62" s="691"/>
      <c r="N62" s="691"/>
    </row>
    <row r="63" spans="1:15">
      <c r="B63" s="691"/>
      <c r="C63" s="691"/>
      <c r="D63" s="691"/>
      <c r="E63" s="691"/>
      <c r="F63" s="691"/>
      <c r="G63" s="691"/>
      <c r="H63" s="691"/>
      <c r="I63" s="691"/>
      <c r="J63" s="691"/>
      <c r="K63" s="691"/>
      <c r="L63" s="691"/>
      <c r="M63" s="691"/>
      <c r="N63" s="691"/>
    </row>
    <row r="64" spans="1:15">
      <c r="B64" s="691"/>
      <c r="C64" s="691"/>
      <c r="D64" s="691"/>
      <c r="E64" s="691"/>
      <c r="F64" s="691"/>
      <c r="G64" s="691"/>
      <c r="H64" s="691"/>
      <c r="I64" s="691"/>
      <c r="J64" s="691"/>
      <c r="K64" s="691"/>
      <c r="L64" s="691"/>
      <c r="M64" s="691"/>
      <c r="N64" s="691"/>
    </row>
    <row r="65" spans="2:14">
      <c r="B65" s="691"/>
      <c r="C65" s="691"/>
      <c r="D65" s="691"/>
      <c r="E65" s="691"/>
      <c r="F65" s="691"/>
      <c r="G65" s="691"/>
      <c r="H65" s="691"/>
      <c r="I65" s="691"/>
      <c r="J65" s="691"/>
      <c r="K65" s="691"/>
      <c r="L65" s="691"/>
      <c r="M65" s="691"/>
      <c r="N65" s="691"/>
    </row>
    <row r="66" spans="2:14">
      <c r="B66" s="691"/>
      <c r="C66" s="691"/>
      <c r="D66" s="691"/>
      <c r="E66" s="691"/>
      <c r="F66" s="691"/>
      <c r="G66" s="691"/>
      <c r="H66" s="691"/>
      <c r="I66" s="691"/>
      <c r="J66" s="691"/>
      <c r="K66" s="691"/>
      <c r="L66" s="691"/>
      <c r="M66" s="691"/>
      <c r="N66" s="691"/>
    </row>
    <row r="67" spans="2:14">
      <c r="B67" s="691"/>
      <c r="C67" s="691"/>
      <c r="D67" s="691"/>
      <c r="E67" s="691"/>
      <c r="F67" s="691"/>
      <c r="G67" s="691"/>
      <c r="H67" s="691"/>
      <c r="I67" s="691"/>
      <c r="J67" s="691"/>
      <c r="K67" s="691"/>
      <c r="L67" s="691"/>
      <c r="M67" s="691"/>
      <c r="N67" s="691"/>
    </row>
    <row r="68" spans="2:14">
      <c r="B68" s="691"/>
      <c r="C68" s="691"/>
      <c r="D68" s="691"/>
      <c r="E68" s="691"/>
      <c r="F68" s="691"/>
      <c r="G68" s="691"/>
      <c r="H68" s="691"/>
      <c r="I68" s="691"/>
      <c r="J68" s="691"/>
      <c r="K68" s="691"/>
      <c r="L68" s="691"/>
      <c r="M68" s="691"/>
      <c r="N68" s="691"/>
    </row>
    <row r="69" spans="2:14">
      <c r="B69" s="691"/>
      <c r="C69" s="691"/>
      <c r="D69" s="691"/>
      <c r="E69" s="691"/>
      <c r="F69" s="691"/>
      <c r="G69" s="691"/>
      <c r="H69" s="691"/>
      <c r="I69" s="691"/>
      <c r="J69" s="691"/>
      <c r="K69" s="691"/>
      <c r="L69" s="691"/>
      <c r="M69" s="691"/>
      <c r="N69" s="691"/>
    </row>
    <row r="70" spans="2:14">
      <c r="B70" s="691"/>
      <c r="C70" s="691"/>
      <c r="D70" s="691"/>
      <c r="E70" s="691"/>
      <c r="F70" s="691"/>
      <c r="G70" s="691"/>
      <c r="H70" s="691"/>
      <c r="I70" s="691"/>
      <c r="J70" s="691"/>
      <c r="K70" s="691"/>
      <c r="L70" s="691"/>
      <c r="M70" s="691"/>
      <c r="N70" s="691"/>
    </row>
    <row r="71" spans="2:14">
      <c r="B71" s="691"/>
      <c r="C71" s="691"/>
      <c r="D71" s="691"/>
      <c r="E71" s="691"/>
      <c r="F71" s="691"/>
      <c r="G71" s="691"/>
      <c r="H71" s="691"/>
      <c r="I71" s="691"/>
      <c r="J71" s="691"/>
      <c r="K71" s="691"/>
      <c r="L71" s="691"/>
      <c r="M71" s="691"/>
      <c r="N71" s="691"/>
    </row>
    <row r="72" spans="2:14">
      <c r="B72" s="691"/>
      <c r="C72" s="691"/>
      <c r="D72" s="691"/>
      <c r="E72" s="691"/>
      <c r="F72" s="691"/>
      <c r="G72" s="691"/>
      <c r="H72" s="691"/>
      <c r="I72" s="691"/>
      <c r="J72" s="691"/>
      <c r="K72" s="691"/>
      <c r="L72" s="691"/>
      <c r="M72" s="691"/>
      <c r="N72" s="691"/>
    </row>
    <row r="73" spans="2:14">
      <c r="B73" s="691"/>
      <c r="C73" s="691"/>
      <c r="D73" s="691"/>
      <c r="E73" s="691"/>
      <c r="F73" s="691"/>
      <c r="G73" s="691"/>
      <c r="H73" s="691"/>
      <c r="I73" s="691"/>
      <c r="J73" s="691"/>
      <c r="K73" s="691"/>
      <c r="L73" s="691"/>
      <c r="M73" s="691"/>
      <c r="N73" s="691"/>
    </row>
    <row r="74" spans="2:14">
      <c r="B74" s="691"/>
      <c r="C74" s="691"/>
      <c r="D74" s="691"/>
      <c r="E74" s="691"/>
      <c r="F74" s="691"/>
      <c r="G74" s="691"/>
      <c r="H74" s="691"/>
      <c r="I74" s="691"/>
      <c r="J74" s="691"/>
      <c r="K74" s="691"/>
      <c r="L74" s="691"/>
      <c r="M74" s="691"/>
      <c r="N74" s="691"/>
    </row>
    <row r="75" spans="2:14">
      <c r="B75" s="691"/>
      <c r="C75" s="691"/>
      <c r="D75" s="691"/>
      <c r="E75" s="691"/>
      <c r="F75" s="691"/>
      <c r="G75" s="691"/>
      <c r="H75" s="691"/>
      <c r="I75" s="691"/>
      <c r="J75" s="691"/>
      <c r="K75" s="691"/>
      <c r="L75" s="691"/>
      <c r="M75" s="691"/>
      <c r="N75" s="691"/>
    </row>
    <row r="76" spans="2:14">
      <c r="B76" s="691"/>
      <c r="C76" s="691"/>
      <c r="D76" s="691"/>
      <c r="E76" s="691"/>
      <c r="F76" s="691"/>
      <c r="G76" s="691"/>
      <c r="H76" s="691"/>
      <c r="I76" s="691"/>
      <c r="J76" s="691"/>
      <c r="K76" s="691"/>
      <c r="L76" s="691"/>
      <c r="M76" s="691"/>
      <c r="N76" s="691"/>
    </row>
    <row r="77" spans="2:14">
      <c r="B77" s="691"/>
      <c r="C77" s="691"/>
      <c r="D77" s="691"/>
      <c r="E77" s="691"/>
      <c r="F77" s="691"/>
      <c r="G77" s="691"/>
      <c r="H77" s="691"/>
      <c r="I77" s="691"/>
      <c r="J77" s="691"/>
      <c r="K77" s="691"/>
      <c r="L77" s="691"/>
      <c r="M77" s="691"/>
      <c r="N77" s="691"/>
    </row>
    <row r="78" spans="2:14">
      <c r="B78" s="691"/>
      <c r="C78" s="691"/>
      <c r="D78" s="691"/>
      <c r="E78" s="691"/>
      <c r="F78" s="691"/>
      <c r="G78" s="691"/>
      <c r="H78" s="691"/>
      <c r="I78" s="691"/>
      <c r="J78" s="691"/>
      <c r="K78" s="691"/>
      <c r="L78" s="691"/>
      <c r="M78" s="691"/>
      <c r="N78" s="691"/>
    </row>
    <row r="79" spans="2:14">
      <c r="B79" s="691"/>
      <c r="C79" s="691"/>
      <c r="D79" s="691"/>
      <c r="E79" s="691"/>
      <c r="F79" s="691"/>
      <c r="G79" s="691"/>
      <c r="H79" s="691"/>
      <c r="I79" s="691"/>
      <c r="J79" s="691"/>
      <c r="K79" s="691"/>
      <c r="L79" s="691"/>
      <c r="M79" s="691"/>
      <c r="N79" s="691"/>
    </row>
    <row r="80" spans="2:14">
      <c r="B80" s="691"/>
      <c r="C80" s="691"/>
      <c r="D80" s="691"/>
      <c r="E80" s="691"/>
      <c r="F80" s="691"/>
      <c r="G80" s="691"/>
      <c r="H80" s="691"/>
      <c r="I80" s="691"/>
      <c r="J80" s="691"/>
      <c r="K80" s="691"/>
      <c r="L80" s="691"/>
      <c r="M80" s="691"/>
      <c r="N80" s="691"/>
    </row>
    <row r="81" spans="2:14">
      <c r="B81" s="691"/>
      <c r="C81" s="691"/>
      <c r="D81" s="691"/>
      <c r="E81" s="691"/>
      <c r="F81" s="691"/>
      <c r="G81" s="691"/>
      <c r="H81" s="691"/>
      <c r="I81" s="691"/>
      <c r="J81" s="691"/>
      <c r="K81" s="691"/>
      <c r="L81" s="691"/>
      <c r="M81" s="691"/>
      <c r="N81" s="691"/>
    </row>
    <row r="82" spans="2:14">
      <c r="B82" s="691"/>
      <c r="C82" s="691"/>
      <c r="D82" s="691"/>
      <c r="E82" s="691"/>
      <c r="F82" s="691"/>
      <c r="G82" s="691"/>
      <c r="H82" s="691"/>
      <c r="I82" s="691"/>
      <c r="J82" s="691"/>
      <c r="K82" s="691"/>
      <c r="L82" s="691"/>
      <c r="M82" s="691"/>
      <c r="N82" s="691"/>
    </row>
    <row r="83" spans="2:14">
      <c r="B83" s="691"/>
      <c r="C83" s="691"/>
      <c r="D83" s="691"/>
      <c r="E83" s="691"/>
      <c r="F83" s="691"/>
      <c r="G83" s="691"/>
      <c r="H83" s="691"/>
      <c r="I83" s="691"/>
      <c r="J83" s="691"/>
      <c r="K83" s="691"/>
      <c r="L83" s="691"/>
      <c r="M83" s="691"/>
      <c r="N83" s="691"/>
    </row>
    <row r="84" spans="2:14">
      <c r="B84" s="691"/>
      <c r="C84" s="691"/>
      <c r="D84" s="691"/>
      <c r="E84" s="691"/>
      <c r="F84" s="691"/>
      <c r="G84" s="691"/>
      <c r="H84" s="691"/>
      <c r="I84" s="691"/>
      <c r="J84" s="691"/>
      <c r="K84" s="691"/>
      <c r="L84" s="691"/>
      <c r="M84" s="691"/>
      <c r="N84" s="691"/>
    </row>
    <row r="85" spans="2:14">
      <c r="B85" s="691"/>
      <c r="C85" s="691"/>
      <c r="D85" s="691"/>
      <c r="E85" s="691"/>
      <c r="F85" s="691"/>
      <c r="G85" s="691"/>
      <c r="H85" s="691"/>
      <c r="I85" s="691"/>
      <c r="J85" s="691"/>
      <c r="K85" s="691"/>
      <c r="L85" s="691"/>
      <c r="M85" s="691"/>
      <c r="N85" s="691"/>
    </row>
    <row r="86" spans="2:14">
      <c r="B86" s="691"/>
      <c r="C86" s="691"/>
      <c r="D86" s="691"/>
      <c r="E86" s="691"/>
      <c r="F86" s="691"/>
      <c r="G86" s="691"/>
      <c r="H86" s="691"/>
      <c r="I86" s="691"/>
      <c r="J86" s="691"/>
      <c r="K86" s="691"/>
      <c r="L86" s="691"/>
      <c r="M86" s="691"/>
      <c r="N86" s="691"/>
    </row>
    <row r="87" spans="2:14">
      <c r="B87" s="691"/>
      <c r="C87" s="691"/>
      <c r="D87" s="691"/>
      <c r="E87" s="691"/>
      <c r="F87" s="691"/>
      <c r="G87" s="691"/>
      <c r="H87" s="691"/>
      <c r="I87" s="691"/>
      <c r="J87" s="691"/>
      <c r="K87" s="691"/>
      <c r="L87" s="691"/>
      <c r="M87" s="691"/>
      <c r="N87" s="691"/>
    </row>
    <row r="88" spans="2:14">
      <c r="B88" s="691"/>
      <c r="C88" s="691"/>
      <c r="D88" s="691"/>
      <c r="E88" s="691"/>
      <c r="F88" s="691"/>
      <c r="G88" s="691"/>
      <c r="H88" s="691"/>
      <c r="I88" s="691"/>
      <c r="J88" s="691"/>
      <c r="K88" s="691"/>
      <c r="L88" s="691"/>
      <c r="M88" s="691"/>
      <c r="N88" s="691"/>
    </row>
    <row r="89" spans="2:14">
      <c r="B89" s="691"/>
      <c r="C89" s="691"/>
      <c r="D89" s="691"/>
      <c r="E89" s="691"/>
      <c r="F89" s="691"/>
      <c r="G89" s="691"/>
      <c r="H89" s="691"/>
      <c r="I89" s="691"/>
      <c r="J89" s="691"/>
      <c r="K89" s="691"/>
      <c r="L89" s="691"/>
      <c r="M89" s="691"/>
      <c r="N89" s="691"/>
    </row>
    <row r="90" spans="2:14">
      <c r="B90" s="691"/>
      <c r="C90" s="691"/>
      <c r="D90" s="691"/>
      <c r="E90" s="691"/>
      <c r="F90" s="691"/>
      <c r="G90" s="691"/>
      <c r="H90" s="691"/>
      <c r="I90" s="691"/>
      <c r="J90" s="691"/>
      <c r="K90" s="691"/>
      <c r="L90" s="691"/>
      <c r="M90" s="691"/>
      <c r="N90" s="691"/>
    </row>
    <row r="91" spans="2:14">
      <c r="B91" s="691"/>
      <c r="C91" s="691"/>
      <c r="D91" s="691"/>
      <c r="E91" s="691"/>
      <c r="F91" s="691"/>
      <c r="G91" s="691"/>
      <c r="H91" s="691"/>
      <c r="I91" s="691"/>
      <c r="J91" s="691"/>
      <c r="K91" s="691"/>
      <c r="L91" s="691"/>
      <c r="M91" s="691"/>
      <c r="N91" s="691"/>
    </row>
    <row r="92" spans="2:14">
      <c r="B92" s="691"/>
      <c r="C92" s="691"/>
      <c r="D92" s="691"/>
      <c r="E92" s="691"/>
      <c r="F92" s="691"/>
      <c r="G92" s="691"/>
      <c r="H92" s="691"/>
      <c r="I92" s="691"/>
      <c r="J92" s="691"/>
      <c r="K92" s="691"/>
      <c r="L92" s="691"/>
      <c r="M92" s="691"/>
      <c r="N92" s="691"/>
    </row>
    <row r="93" spans="2:14">
      <c r="B93" s="691"/>
      <c r="C93" s="691"/>
      <c r="D93" s="691"/>
      <c r="E93" s="691"/>
      <c r="F93" s="691"/>
      <c r="G93" s="691"/>
      <c r="H93" s="691"/>
      <c r="I93" s="691"/>
      <c r="J93" s="691"/>
      <c r="K93" s="691"/>
      <c r="L93" s="691"/>
      <c r="M93" s="691"/>
      <c r="N93" s="691"/>
    </row>
    <row r="94" spans="2:14">
      <c r="B94" s="691"/>
      <c r="C94" s="691"/>
      <c r="D94" s="691"/>
      <c r="E94" s="691"/>
      <c r="F94" s="691"/>
      <c r="G94" s="691"/>
      <c r="H94" s="691"/>
      <c r="I94" s="691"/>
      <c r="J94" s="691"/>
      <c r="K94" s="691"/>
      <c r="L94" s="691"/>
      <c r="M94" s="691"/>
      <c r="N94" s="691"/>
    </row>
    <row r="95" spans="2:14">
      <c r="B95" s="691"/>
      <c r="C95" s="691"/>
      <c r="D95" s="691"/>
      <c r="E95" s="691"/>
      <c r="F95" s="691"/>
      <c r="G95" s="691"/>
      <c r="H95" s="691"/>
      <c r="I95" s="691"/>
      <c r="J95" s="691"/>
      <c r="K95" s="691"/>
      <c r="L95" s="691"/>
      <c r="M95" s="691"/>
      <c r="N95" s="691"/>
    </row>
    <row r="96" spans="2:14">
      <c r="B96" s="691"/>
      <c r="C96" s="691"/>
      <c r="D96" s="691"/>
      <c r="E96" s="691"/>
      <c r="F96" s="691"/>
      <c r="G96" s="691"/>
      <c r="H96" s="691"/>
      <c r="I96" s="691"/>
      <c r="J96" s="691"/>
      <c r="K96" s="691"/>
      <c r="L96" s="691"/>
      <c r="M96" s="691"/>
      <c r="N96" s="691"/>
    </row>
    <row r="97" spans="2:14">
      <c r="B97" s="691"/>
      <c r="C97" s="691"/>
      <c r="D97" s="691"/>
      <c r="E97" s="691"/>
      <c r="F97" s="691"/>
      <c r="G97" s="691"/>
      <c r="H97" s="691"/>
      <c r="I97" s="691"/>
      <c r="J97" s="691"/>
      <c r="K97" s="691"/>
      <c r="L97" s="691"/>
      <c r="M97" s="691"/>
      <c r="N97" s="691"/>
    </row>
    <row r="98" spans="2:14">
      <c r="B98" s="691"/>
      <c r="C98" s="691"/>
      <c r="D98" s="691"/>
      <c r="E98" s="691"/>
      <c r="F98" s="691"/>
      <c r="G98" s="691"/>
      <c r="H98" s="691"/>
      <c r="I98" s="691"/>
      <c r="J98" s="691"/>
      <c r="K98" s="691"/>
      <c r="L98" s="691"/>
      <c r="M98" s="691"/>
      <c r="N98" s="691"/>
    </row>
    <row r="99" spans="2:14">
      <c r="B99" s="691"/>
      <c r="C99" s="691"/>
      <c r="D99" s="691"/>
      <c r="E99" s="691"/>
      <c r="F99" s="691"/>
      <c r="G99" s="691"/>
      <c r="H99" s="691"/>
      <c r="I99" s="691"/>
      <c r="J99" s="691"/>
      <c r="K99" s="691"/>
      <c r="L99" s="691"/>
      <c r="M99" s="691"/>
      <c r="N99" s="691"/>
    </row>
    <row r="100" spans="2:14">
      <c r="B100" s="691"/>
      <c r="C100" s="691"/>
      <c r="D100" s="691"/>
      <c r="E100" s="691"/>
      <c r="F100" s="691"/>
      <c r="G100" s="691"/>
      <c r="H100" s="691"/>
      <c r="I100" s="691"/>
      <c r="J100" s="691"/>
      <c r="K100" s="691"/>
      <c r="L100" s="691"/>
      <c r="M100" s="691"/>
      <c r="N100" s="691"/>
    </row>
    <row r="101" spans="2:14">
      <c r="B101" s="691"/>
      <c r="C101" s="691"/>
      <c r="D101" s="691"/>
      <c r="E101" s="691"/>
      <c r="F101" s="691"/>
      <c r="G101" s="691"/>
      <c r="H101" s="691"/>
      <c r="I101" s="691"/>
      <c r="J101" s="691"/>
      <c r="K101" s="691"/>
      <c r="L101" s="691"/>
      <c r="M101" s="691"/>
      <c r="N101" s="691"/>
    </row>
    <row r="102" spans="2:14">
      <c r="B102" s="691"/>
      <c r="C102" s="691"/>
      <c r="D102" s="691"/>
      <c r="E102" s="691"/>
      <c r="F102" s="691"/>
      <c r="G102" s="691"/>
      <c r="H102" s="691"/>
      <c r="I102" s="691"/>
      <c r="J102" s="691"/>
      <c r="K102" s="691"/>
      <c r="L102" s="691"/>
      <c r="M102" s="691"/>
      <c r="N102" s="691"/>
    </row>
    <row r="103" spans="2:14">
      <c r="B103" s="691"/>
      <c r="C103" s="691"/>
      <c r="D103" s="691"/>
      <c r="E103" s="691"/>
      <c r="F103" s="691"/>
      <c r="G103" s="691"/>
      <c r="H103" s="691"/>
      <c r="I103" s="691"/>
      <c r="J103" s="691"/>
      <c r="K103" s="691"/>
      <c r="L103" s="691"/>
      <c r="M103" s="691"/>
      <c r="N103" s="691"/>
    </row>
    <row r="104" spans="2:14">
      <c r="B104" s="691"/>
      <c r="C104" s="691"/>
      <c r="D104" s="691"/>
      <c r="E104" s="691"/>
      <c r="F104" s="691"/>
      <c r="G104" s="691"/>
      <c r="H104" s="691"/>
      <c r="I104" s="691"/>
      <c r="J104" s="691"/>
      <c r="K104" s="691"/>
      <c r="L104" s="691"/>
      <c r="M104" s="691"/>
      <c r="N104" s="691"/>
    </row>
    <row r="105" spans="2:14">
      <c r="B105" s="691"/>
      <c r="C105" s="691"/>
      <c r="D105" s="691"/>
      <c r="E105" s="691"/>
      <c r="F105" s="691"/>
      <c r="G105" s="691"/>
      <c r="H105" s="691"/>
      <c r="I105" s="691"/>
      <c r="J105" s="691"/>
      <c r="K105" s="691"/>
      <c r="L105" s="691"/>
      <c r="M105" s="691"/>
      <c r="N105" s="691"/>
    </row>
    <row r="106" spans="2:14">
      <c r="B106" s="691"/>
      <c r="C106" s="691"/>
      <c r="D106" s="691"/>
      <c r="E106" s="691"/>
      <c r="F106" s="691"/>
      <c r="G106" s="691"/>
      <c r="H106" s="691"/>
      <c r="I106" s="691"/>
      <c r="J106" s="691"/>
      <c r="K106" s="691"/>
      <c r="L106" s="691"/>
      <c r="M106" s="691"/>
      <c r="N106" s="691"/>
    </row>
    <row r="107" spans="2:14">
      <c r="B107" s="691"/>
      <c r="C107" s="691"/>
      <c r="D107" s="691"/>
      <c r="E107" s="691"/>
      <c r="F107" s="691"/>
      <c r="G107" s="691"/>
      <c r="H107" s="691"/>
      <c r="I107" s="691"/>
      <c r="J107" s="691"/>
      <c r="K107" s="691"/>
      <c r="L107" s="691"/>
      <c r="M107" s="691"/>
      <c r="N107" s="691"/>
    </row>
    <row r="108" spans="2:14">
      <c r="B108" s="691"/>
      <c r="C108" s="691"/>
      <c r="D108" s="691"/>
      <c r="E108" s="691"/>
      <c r="F108" s="691"/>
      <c r="G108" s="691"/>
      <c r="H108" s="691"/>
      <c r="I108" s="691"/>
      <c r="J108" s="691"/>
      <c r="K108" s="691"/>
      <c r="L108" s="691"/>
      <c r="M108" s="691"/>
      <c r="N108" s="691"/>
    </row>
    <row r="109" spans="2:14">
      <c r="B109" s="691"/>
      <c r="C109" s="691"/>
      <c r="D109" s="691"/>
      <c r="E109" s="691"/>
      <c r="F109" s="691"/>
      <c r="G109" s="691"/>
      <c r="H109" s="691"/>
      <c r="I109" s="691"/>
      <c r="J109" s="691"/>
      <c r="K109" s="691"/>
      <c r="L109" s="691"/>
      <c r="M109" s="691"/>
      <c r="N109" s="691"/>
    </row>
    <row r="110" spans="2:14">
      <c r="B110" s="691"/>
      <c r="C110" s="691"/>
      <c r="D110" s="691"/>
      <c r="E110" s="691"/>
      <c r="F110" s="691"/>
      <c r="G110" s="691"/>
      <c r="H110" s="691"/>
      <c r="I110" s="691"/>
      <c r="J110" s="691"/>
      <c r="K110" s="691"/>
      <c r="L110" s="691"/>
      <c r="M110" s="691"/>
      <c r="N110" s="691"/>
    </row>
    <row r="111" spans="2:14">
      <c r="B111" s="691"/>
      <c r="C111" s="691"/>
      <c r="D111" s="691"/>
      <c r="E111" s="691"/>
      <c r="F111" s="691"/>
      <c r="G111" s="691"/>
      <c r="H111" s="691"/>
      <c r="I111" s="691"/>
      <c r="J111" s="691"/>
      <c r="K111" s="691"/>
      <c r="L111" s="691"/>
      <c r="M111" s="691"/>
      <c r="N111" s="691"/>
    </row>
    <row r="112" spans="2:14">
      <c r="B112" s="691"/>
      <c r="C112" s="691"/>
      <c r="D112" s="691"/>
      <c r="E112" s="691"/>
      <c r="F112" s="691"/>
      <c r="G112" s="691"/>
      <c r="H112" s="691"/>
      <c r="I112" s="691"/>
      <c r="J112" s="691"/>
      <c r="K112" s="691"/>
      <c r="L112" s="691"/>
      <c r="M112" s="691"/>
      <c r="N112" s="691"/>
    </row>
    <row r="113" spans="2:14">
      <c r="B113" s="691"/>
      <c r="C113" s="691"/>
      <c r="D113" s="691"/>
      <c r="E113" s="691"/>
      <c r="F113" s="691"/>
      <c r="G113" s="691"/>
      <c r="H113" s="691"/>
      <c r="I113" s="691"/>
      <c r="J113" s="691"/>
      <c r="K113" s="691"/>
      <c r="L113" s="691"/>
      <c r="M113" s="691"/>
      <c r="N113" s="691"/>
    </row>
    <row r="114" spans="2:14">
      <c r="B114" s="691"/>
      <c r="C114" s="691"/>
      <c r="D114" s="691"/>
      <c r="E114" s="691"/>
      <c r="F114" s="691"/>
      <c r="G114" s="691"/>
      <c r="H114" s="691"/>
      <c r="I114" s="691"/>
      <c r="J114" s="691"/>
      <c r="K114" s="691"/>
      <c r="L114" s="691"/>
      <c r="M114" s="691"/>
      <c r="N114" s="691"/>
    </row>
    <row r="115" spans="2:14">
      <c r="B115" s="691"/>
      <c r="C115" s="691"/>
      <c r="D115" s="691"/>
      <c r="E115" s="691"/>
      <c r="F115" s="691"/>
      <c r="G115" s="691"/>
      <c r="H115" s="691"/>
      <c r="I115" s="691"/>
      <c r="J115" s="691"/>
      <c r="K115" s="691"/>
      <c r="L115" s="691"/>
      <c r="M115" s="691"/>
      <c r="N115" s="691"/>
    </row>
    <row r="116" spans="2:14">
      <c r="B116" s="691"/>
      <c r="C116" s="691"/>
      <c r="D116" s="691"/>
      <c r="E116" s="691"/>
      <c r="F116" s="691"/>
      <c r="G116" s="691"/>
      <c r="H116" s="691"/>
      <c r="I116" s="691"/>
      <c r="J116" s="691"/>
      <c r="K116" s="691"/>
      <c r="L116" s="691"/>
      <c r="M116" s="691"/>
      <c r="N116" s="691"/>
    </row>
    <row r="117" spans="2:14">
      <c r="B117" s="691"/>
      <c r="C117" s="691"/>
      <c r="D117" s="691"/>
      <c r="E117" s="691"/>
      <c r="F117" s="691"/>
      <c r="G117" s="691"/>
      <c r="H117" s="691"/>
      <c r="I117" s="691"/>
      <c r="J117" s="691"/>
      <c r="K117" s="691"/>
      <c r="L117" s="691"/>
      <c r="M117" s="691"/>
      <c r="N117" s="691"/>
    </row>
    <row r="118" spans="2:14">
      <c r="B118" s="691"/>
      <c r="C118" s="691"/>
      <c r="D118" s="691"/>
      <c r="E118" s="691"/>
      <c r="F118" s="691"/>
      <c r="G118" s="691"/>
      <c r="H118" s="691"/>
      <c r="I118" s="691"/>
      <c r="J118" s="691"/>
      <c r="K118" s="691"/>
      <c r="L118" s="691"/>
      <c r="M118" s="691"/>
      <c r="N118" s="691"/>
    </row>
    <row r="119" spans="2:14">
      <c r="B119" s="691"/>
      <c r="C119" s="691"/>
      <c r="D119" s="691"/>
      <c r="E119" s="691"/>
      <c r="F119" s="691"/>
      <c r="G119" s="691"/>
      <c r="H119" s="691"/>
      <c r="I119" s="691"/>
      <c r="J119" s="691"/>
      <c r="K119" s="691"/>
      <c r="L119" s="691"/>
      <c r="M119" s="691"/>
      <c r="N119" s="691"/>
    </row>
    <row r="120" spans="2:14">
      <c r="B120" s="691"/>
      <c r="C120" s="691"/>
      <c r="D120" s="691"/>
      <c r="E120" s="691"/>
      <c r="F120" s="691"/>
      <c r="G120" s="691"/>
      <c r="H120" s="691"/>
      <c r="I120" s="691"/>
      <c r="J120" s="691"/>
      <c r="K120" s="691"/>
      <c r="L120" s="691"/>
      <c r="M120" s="691"/>
      <c r="N120" s="691"/>
    </row>
    <row r="121" spans="2:14">
      <c r="B121" s="691"/>
      <c r="C121" s="691"/>
      <c r="D121" s="691"/>
      <c r="E121" s="691"/>
      <c r="F121" s="691"/>
      <c r="G121" s="691"/>
      <c r="H121" s="691"/>
      <c r="I121" s="691"/>
      <c r="J121" s="691"/>
      <c r="K121" s="691"/>
      <c r="L121" s="691"/>
      <c r="M121" s="691"/>
      <c r="N121" s="691"/>
    </row>
    <row r="122" spans="2:14">
      <c r="B122" s="691"/>
      <c r="C122" s="691"/>
      <c r="D122" s="691"/>
      <c r="E122" s="691"/>
      <c r="F122" s="691"/>
      <c r="G122" s="691"/>
      <c r="H122" s="691"/>
      <c r="I122" s="691"/>
      <c r="J122" s="691"/>
      <c r="K122" s="691"/>
      <c r="L122" s="691"/>
      <c r="M122" s="691"/>
      <c r="N122" s="691"/>
    </row>
    <row r="123" spans="2:14">
      <c r="B123" s="691"/>
      <c r="C123" s="691"/>
      <c r="D123" s="691"/>
      <c r="E123" s="691"/>
      <c r="F123" s="691"/>
      <c r="G123" s="691"/>
      <c r="H123" s="691"/>
      <c r="I123" s="691"/>
      <c r="J123" s="691"/>
      <c r="K123" s="691"/>
      <c r="L123" s="691"/>
      <c r="M123" s="691"/>
      <c r="N123" s="691"/>
    </row>
    <row r="124" spans="2:14">
      <c r="B124" s="691"/>
      <c r="C124" s="691"/>
      <c r="D124" s="691"/>
      <c r="E124" s="691"/>
      <c r="F124" s="691"/>
      <c r="G124" s="691"/>
      <c r="H124" s="691"/>
      <c r="I124" s="691"/>
      <c r="J124" s="691"/>
      <c r="K124" s="691"/>
      <c r="L124" s="691"/>
      <c r="M124" s="691"/>
      <c r="N124" s="691"/>
    </row>
    <row r="125" spans="2:14">
      <c r="B125" s="691"/>
      <c r="C125" s="691"/>
      <c r="D125" s="691"/>
      <c r="E125" s="691"/>
      <c r="F125" s="691"/>
      <c r="G125" s="691"/>
      <c r="H125" s="691"/>
      <c r="I125" s="691"/>
      <c r="J125" s="691"/>
      <c r="K125" s="691"/>
      <c r="L125" s="691"/>
      <c r="M125" s="691"/>
      <c r="N125" s="691"/>
    </row>
    <row r="126" spans="2:14">
      <c r="B126" s="691"/>
      <c r="C126" s="691"/>
      <c r="D126" s="691"/>
      <c r="E126" s="691"/>
      <c r="F126" s="691"/>
      <c r="G126" s="691"/>
      <c r="H126" s="691"/>
      <c r="I126" s="691"/>
      <c r="J126" s="691"/>
      <c r="K126" s="691"/>
      <c r="L126" s="691"/>
      <c r="M126" s="691"/>
      <c r="N126" s="691"/>
    </row>
    <row r="127" spans="2:14">
      <c r="B127" s="691"/>
      <c r="C127" s="691"/>
      <c r="D127" s="691"/>
      <c r="E127" s="691"/>
      <c r="F127" s="691"/>
      <c r="G127" s="691"/>
      <c r="H127" s="691"/>
      <c r="I127" s="691"/>
      <c r="J127" s="691"/>
      <c r="K127" s="691"/>
      <c r="L127" s="691"/>
      <c r="M127" s="691"/>
      <c r="N127" s="691"/>
    </row>
    <row r="128" spans="2:14">
      <c r="B128" s="691"/>
      <c r="C128" s="691"/>
      <c r="D128" s="691"/>
      <c r="E128" s="691"/>
      <c r="F128" s="691"/>
      <c r="G128" s="691"/>
      <c r="H128" s="691"/>
      <c r="I128" s="691"/>
      <c r="J128" s="691"/>
      <c r="K128" s="691"/>
      <c r="L128" s="691"/>
      <c r="M128" s="691"/>
      <c r="N128" s="691"/>
    </row>
    <row r="129" spans="2:14">
      <c r="B129" s="691"/>
      <c r="C129" s="691"/>
      <c r="D129" s="691"/>
      <c r="E129" s="691"/>
      <c r="F129" s="691"/>
      <c r="G129" s="691"/>
      <c r="H129" s="691"/>
      <c r="I129" s="691"/>
      <c r="J129" s="691"/>
      <c r="K129" s="691"/>
      <c r="L129" s="691"/>
      <c r="M129" s="691"/>
      <c r="N129" s="691"/>
    </row>
    <row r="130" spans="2:14">
      <c r="B130" s="691"/>
      <c r="C130" s="691"/>
      <c r="D130" s="691"/>
      <c r="E130" s="691"/>
      <c r="F130" s="691"/>
      <c r="G130" s="691"/>
      <c r="H130" s="691"/>
      <c r="I130" s="691"/>
      <c r="J130" s="691"/>
      <c r="K130" s="691"/>
      <c r="L130" s="691"/>
      <c r="M130" s="691"/>
      <c r="N130" s="691"/>
    </row>
    <row r="131" spans="2:14">
      <c r="B131" s="691"/>
      <c r="C131" s="691"/>
      <c r="D131" s="691"/>
      <c r="E131" s="691"/>
      <c r="F131" s="691"/>
      <c r="G131" s="691"/>
      <c r="H131" s="691"/>
      <c r="I131" s="691"/>
      <c r="J131" s="691"/>
      <c r="K131" s="691"/>
      <c r="L131" s="691"/>
      <c r="M131" s="691"/>
      <c r="N131" s="691"/>
    </row>
    <row r="132" spans="2:14">
      <c r="B132" s="691"/>
      <c r="C132" s="691"/>
      <c r="D132" s="691"/>
      <c r="E132" s="691"/>
      <c r="F132" s="691"/>
      <c r="G132" s="691"/>
      <c r="H132" s="691"/>
      <c r="I132" s="691"/>
      <c r="J132" s="691"/>
      <c r="K132" s="691"/>
      <c r="L132" s="691"/>
      <c r="M132" s="691"/>
      <c r="N132" s="691"/>
    </row>
    <row r="133" spans="2:14">
      <c r="B133" s="691"/>
      <c r="C133" s="691"/>
      <c r="D133" s="691"/>
      <c r="E133" s="691"/>
      <c r="F133" s="691"/>
      <c r="G133" s="691"/>
      <c r="H133" s="691"/>
      <c r="I133" s="691"/>
      <c r="J133" s="691"/>
      <c r="K133" s="691"/>
      <c r="L133" s="691"/>
      <c r="M133" s="691"/>
      <c r="N133" s="691"/>
    </row>
    <row r="134" spans="2:14">
      <c r="B134" s="691"/>
      <c r="C134" s="691"/>
      <c r="D134" s="691"/>
      <c r="E134" s="691"/>
      <c r="F134" s="691"/>
      <c r="G134" s="691"/>
      <c r="H134" s="691"/>
      <c r="I134" s="691"/>
      <c r="J134" s="691"/>
      <c r="K134" s="691"/>
      <c r="L134" s="691"/>
      <c r="M134" s="691"/>
      <c r="N134" s="691"/>
    </row>
    <row r="135" spans="2:14">
      <c r="B135" s="691"/>
      <c r="C135" s="691"/>
      <c r="D135" s="691"/>
      <c r="E135" s="691"/>
      <c r="F135" s="691"/>
      <c r="G135" s="691"/>
      <c r="H135" s="691"/>
      <c r="I135" s="691"/>
      <c r="J135" s="691"/>
      <c r="K135" s="691"/>
      <c r="L135" s="691"/>
      <c r="M135" s="691"/>
      <c r="N135" s="691"/>
    </row>
    <row r="136" spans="2:14">
      <c r="B136" s="691"/>
      <c r="C136" s="691"/>
      <c r="D136" s="691"/>
      <c r="E136" s="691"/>
      <c r="F136" s="691"/>
      <c r="G136" s="691"/>
      <c r="H136" s="691"/>
      <c r="I136" s="691"/>
      <c r="J136" s="691"/>
      <c r="K136" s="691"/>
      <c r="L136" s="691"/>
      <c r="M136" s="691"/>
      <c r="N136" s="691"/>
    </row>
    <row r="137" spans="2:14">
      <c r="B137" s="691"/>
      <c r="C137" s="691"/>
      <c r="D137" s="691"/>
      <c r="E137" s="691"/>
      <c r="F137" s="691"/>
      <c r="G137" s="691"/>
      <c r="H137" s="691"/>
      <c r="I137" s="691"/>
      <c r="J137" s="691"/>
      <c r="K137" s="691"/>
      <c r="L137" s="691"/>
      <c r="M137" s="691"/>
      <c r="N137" s="691"/>
    </row>
    <row r="138" spans="2:14">
      <c r="B138" s="691"/>
      <c r="C138" s="691"/>
      <c r="D138" s="691"/>
      <c r="E138" s="691"/>
      <c r="F138" s="691"/>
      <c r="G138" s="691"/>
      <c r="H138" s="691"/>
      <c r="I138" s="691"/>
      <c r="J138" s="691"/>
      <c r="K138" s="691"/>
      <c r="L138" s="691"/>
      <c r="M138" s="691"/>
      <c r="N138" s="691"/>
    </row>
    <row r="139" spans="2:14">
      <c r="B139" s="691"/>
      <c r="C139" s="691"/>
      <c r="D139" s="691"/>
      <c r="E139" s="691"/>
      <c r="F139" s="691"/>
      <c r="G139" s="691"/>
      <c r="H139" s="691"/>
      <c r="I139" s="691"/>
      <c r="J139" s="691"/>
      <c r="K139" s="691"/>
      <c r="L139" s="691"/>
      <c r="M139" s="691"/>
      <c r="N139" s="691"/>
    </row>
    <row r="140" spans="2:14">
      <c r="B140" s="691"/>
      <c r="C140" s="691"/>
      <c r="D140" s="691"/>
      <c r="E140" s="691"/>
      <c r="F140" s="691"/>
      <c r="G140" s="691"/>
      <c r="H140" s="691"/>
      <c r="I140" s="691"/>
      <c r="J140" s="691"/>
      <c r="K140" s="691"/>
      <c r="L140" s="691"/>
      <c r="M140" s="691"/>
      <c r="N140" s="691"/>
    </row>
    <row r="141" spans="2:14">
      <c r="B141" s="691"/>
      <c r="C141" s="691"/>
      <c r="D141" s="691"/>
      <c r="E141" s="691"/>
      <c r="F141" s="691"/>
      <c r="G141" s="691"/>
      <c r="H141" s="691"/>
      <c r="I141" s="691"/>
      <c r="J141" s="691"/>
      <c r="K141" s="691"/>
      <c r="L141" s="691"/>
      <c r="M141" s="691"/>
      <c r="N141" s="691"/>
    </row>
    <row r="142" spans="2:14">
      <c r="B142" s="691"/>
      <c r="C142" s="691"/>
      <c r="D142" s="691"/>
      <c r="E142" s="691"/>
      <c r="F142" s="691"/>
      <c r="G142" s="691"/>
      <c r="H142" s="691"/>
      <c r="I142" s="691"/>
      <c r="J142" s="691"/>
      <c r="K142" s="691"/>
      <c r="L142" s="691"/>
      <c r="M142" s="691"/>
      <c r="N142" s="691"/>
    </row>
    <row r="143" spans="2:14">
      <c r="B143" s="691"/>
      <c r="C143" s="691"/>
      <c r="D143" s="691"/>
      <c r="E143" s="691"/>
      <c r="F143" s="691"/>
      <c r="G143" s="691"/>
      <c r="H143" s="691"/>
      <c r="I143" s="691"/>
      <c r="J143" s="691"/>
      <c r="K143" s="691"/>
      <c r="L143" s="691"/>
      <c r="M143" s="691"/>
      <c r="N143" s="691"/>
    </row>
    <row r="144" spans="2:14">
      <c r="B144" s="691"/>
      <c r="C144" s="691"/>
      <c r="D144" s="691"/>
      <c r="E144" s="691"/>
      <c r="F144" s="691"/>
      <c r="G144" s="691"/>
      <c r="H144" s="691"/>
      <c r="I144" s="691"/>
      <c r="J144" s="691"/>
      <c r="K144" s="691"/>
      <c r="L144" s="691"/>
      <c r="M144" s="691"/>
      <c r="N144" s="691"/>
    </row>
    <row r="145" spans="2:14">
      <c r="B145" s="691"/>
      <c r="C145" s="691"/>
      <c r="D145" s="691"/>
      <c r="E145" s="691"/>
      <c r="F145" s="691"/>
      <c r="G145" s="691"/>
      <c r="H145" s="691"/>
      <c r="I145" s="691"/>
      <c r="J145" s="691"/>
      <c r="K145" s="691"/>
      <c r="L145" s="691"/>
      <c r="M145" s="691"/>
      <c r="N145" s="691"/>
    </row>
    <row r="146" spans="2:14">
      <c r="B146" s="691"/>
      <c r="C146" s="691"/>
      <c r="D146" s="691"/>
      <c r="E146" s="691"/>
      <c r="F146" s="691"/>
      <c r="G146" s="691"/>
      <c r="H146" s="691"/>
      <c r="I146" s="691"/>
      <c r="J146" s="691"/>
      <c r="K146" s="691"/>
      <c r="L146" s="691"/>
      <c r="M146" s="691"/>
      <c r="N146" s="691"/>
    </row>
    <row r="147" spans="2:14">
      <c r="B147" s="691"/>
      <c r="C147" s="691"/>
      <c r="D147" s="691"/>
      <c r="E147" s="691"/>
      <c r="F147" s="691"/>
      <c r="G147" s="691"/>
      <c r="H147" s="691"/>
      <c r="I147" s="691"/>
      <c r="J147" s="691"/>
      <c r="K147" s="691"/>
      <c r="L147" s="691"/>
      <c r="M147" s="691"/>
      <c r="N147" s="691"/>
    </row>
    <row r="148" spans="2:14">
      <c r="B148" s="691"/>
      <c r="C148" s="691"/>
      <c r="D148" s="691"/>
      <c r="E148" s="691"/>
      <c r="F148" s="691"/>
      <c r="G148" s="691"/>
      <c r="H148" s="691"/>
      <c r="I148" s="691"/>
      <c r="J148" s="691"/>
      <c r="K148" s="691"/>
      <c r="L148" s="691"/>
      <c r="M148" s="691"/>
      <c r="N148" s="691"/>
    </row>
    <row r="149" spans="2:14">
      <c r="B149" s="691"/>
      <c r="C149" s="691"/>
      <c r="D149" s="691"/>
      <c r="E149" s="691"/>
      <c r="F149" s="691"/>
      <c r="G149" s="691"/>
      <c r="H149" s="691"/>
      <c r="I149" s="691"/>
      <c r="J149" s="691"/>
      <c r="K149" s="691"/>
      <c r="L149" s="691"/>
      <c r="M149" s="691"/>
      <c r="N149" s="691"/>
    </row>
    <row r="150" spans="2:14">
      <c r="B150" s="691"/>
      <c r="C150" s="691"/>
      <c r="D150" s="691"/>
      <c r="E150" s="691"/>
      <c r="F150" s="691"/>
      <c r="G150" s="691"/>
      <c r="H150" s="691"/>
      <c r="I150" s="691"/>
      <c r="J150" s="691"/>
      <c r="K150" s="691"/>
      <c r="L150" s="691"/>
      <c r="M150" s="691"/>
      <c r="N150" s="691"/>
    </row>
    <row r="151" spans="2:14">
      <c r="B151" s="691"/>
      <c r="C151" s="691"/>
      <c r="D151" s="691"/>
      <c r="E151" s="691"/>
      <c r="F151" s="691"/>
      <c r="G151" s="691"/>
      <c r="H151" s="691"/>
      <c r="I151" s="691"/>
      <c r="J151" s="691"/>
      <c r="K151" s="691"/>
      <c r="L151" s="691"/>
      <c r="M151" s="691"/>
      <c r="N151" s="691"/>
    </row>
    <row r="152" spans="2:14">
      <c r="B152" s="691"/>
      <c r="C152" s="691"/>
      <c r="D152" s="691"/>
      <c r="E152" s="691"/>
      <c r="F152" s="691"/>
      <c r="G152" s="691"/>
      <c r="H152" s="691"/>
      <c r="I152" s="691"/>
      <c r="J152" s="691"/>
      <c r="K152" s="691"/>
      <c r="L152" s="691"/>
      <c r="M152" s="691"/>
      <c r="N152" s="691"/>
    </row>
    <row r="153" spans="2:14">
      <c r="B153" s="691"/>
      <c r="C153" s="691"/>
      <c r="D153" s="691"/>
      <c r="E153" s="691"/>
      <c r="F153" s="691"/>
      <c r="G153" s="691"/>
      <c r="H153" s="691"/>
      <c r="I153" s="691"/>
      <c r="J153" s="691"/>
      <c r="K153" s="691"/>
      <c r="L153" s="691"/>
      <c r="M153" s="691"/>
      <c r="N153" s="691"/>
    </row>
    <row r="154" spans="2:14">
      <c r="B154" s="691"/>
      <c r="C154" s="691"/>
      <c r="D154" s="691"/>
      <c r="E154" s="691"/>
      <c r="F154" s="691"/>
      <c r="G154" s="691"/>
      <c r="H154" s="691"/>
      <c r="I154" s="691"/>
      <c r="J154" s="691"/>
      <c r="K154" s="691"/>
      <c r="L154" s="691"/>
      <c r="M154" s="691"/>
      <c r="N154" s="691"/>
    </row>
    <row r="155" spans="2:14">
      <c r="B155" s="691"/>
      <c r="C155" s="691"/>
      <c r="D155" s="691"/>
      <c r="E155" s="691"/>
      <c r="F155" s="691"/>
      <c r="G155" s="691"/>
      <c r="H155" s="691"/>
      <c r="I155" s="691"/>
      <c r="J155" s="691"/>
      <c r="K155" s="691"/>
      <c r="L155" s="691"/>
      <c r="M155" s="691"/>
      <c r="N155" s="691"/>
    </row>
    <row r="156" spans="2:14">
      <c r="B156" s="691"/>
      <c r="C156" s="691"/>
      <c r="D156" s="691"/>
      <c r="E156" s="691"/>
      <c r="F156" s="691"/>
      <c r="G156" s="691"/>
      <c r="H156" s="691"/>
      <c r="I156" s="691"/>
      <c r="J156" s="691"/>
      <c r="K156" s="691"/>
      <c r="L156" s="691"/>
      <c r="M156" s="691"/>
      <c r="N156" s="691"/>
    </row>
    <row r="157" spans="2:14">
      <c r="B157" s="691"/>
      <c r="C157" s="691"/>
      <c r="D157" s="691"/>
      <c r="E157" s="691"/>
      <c r="F157" s="691"/>
      <c r="G157" s="691"/>
      <c r="H157" s="691"/>
      <c r="I157" s="691"/>
      <c r="J157" s="691"/>
      <c r="K157" s="691"/>
      <c r="L157" s="691"/>
      <c r="M157" s="691"/>
      <c r="N157" s="691"/>
    </row>
    <row r="158" spans="2:14">
      <c r="B158" s="691"/>
      <c r="C158" s="691"/>
      <c r="D158" s="691"/>
      <c r="E158" s="691"/>
      <c r="F158" s="691"/>
      <c r="G158" s="691"/>
      <c r="H158" s="691"/>
      <c r="I158" s="691"/>
      <c r="J158" s="691"/>
      <c r="K158" s="691"/>
      <c r="L158" s="691"/>
      <c r="M158" s="691"/>
      <c r="N158" s="691"/>
    </row>
    <row r="159" spans="2:14">
      <c r="B159" s="691"/>
      <c r="C159" s="691"/>
      <c r="D159" s="691"/>
      <c r="E159" s="691"/>
      <c r="F159" s="691"/>
      <c r="G159" s="691"/>
      <c r="H159" s="691"/>
      <c r="I159" s="691"/>
      <c r="J159" s="691"/>
      <c r="K159" s="691"/>
      <c r="L159" s="691"/>
      <c r="M159" s="691"/>
      <c r="N159" s="691"/>
    </row>
    <row r="160" spans="2:14">
      <c r="B160" s="691"/>
      <c r="C160" s="691"/>
      <c r="D160" s="691"/>
      <c r="E160" s="691"/>
      <c r="F160" s="691"/>
      <c r="G160" s="691"/>
      <c r="H160" s="691"/>
      <c r="I160" s="691"/>
      <c r="J160" s="691"/>
      <c r="K160" s="691"/>
      <c r="L160" s="691"/>
      <c r="M160" s="691"/>
      <c r="N160" s="691"/>
    </row>
    <row r="161" spans="2:14">
      <c r="B161" s="691"/>
      <c r="C161" s="691"/>
      <c r="D161" s="691"/>
      <c r="E161" s="691"/>
      <c r="F161" s="691"/>
      <c r="G161" s="691"/>
      <c r="H161" s="691"/>
      <c r="I161" s="691"/>
      <c r="J161" s="691"/>
      <c r="K161" s="691"/>
      <c r="L161" s="691"/>
      <c r="M161" s="691"/>
      <c r="N161" s="691"/>
    </row>
    <row r="162" spans="2:14">
      <c r="B162" s="691"/>
      <c r="C162" s="691"/>
      <c r="D162" s="691"/>
      <c r="E162" s="691"/>
      <c r="F162" s="691"/>
      <c r="G162" s="691"/>
      <c r="H162" s="691"/>
      <c r="I162" s="691"/>
      <c r="J162" s="691"/>
      <c r="K162" s="691"/>
      <c r="L162" s="691"/>
      <c r="M162" s="691"/>
      <c r="N162" s="691"/>
    </row>
    <row r="163" spans="2:14">
      <c r="B163" s="691"/>
      <c r="C163" s="691"/>
      <c r="D163" s="691"/>
      <c r="E163" s="691"/>
      <c r="F163" s="691"/>
      <c r="G163" s="691"/>
      <c r="H163" s="691"/>
      <c r="I163" s="691"/>
      <c r="J163" s="691"/>
      <c r="K163" s="691"/>
      <c r="L163" s="691"/>
      <c r="M163" s="691"/>
      <c r="N163" s="691"/>
    </row>
    <row r="164" spans="2:14">
      <c r="B164" s="691"/>
      <c r="C164" s="691"/>
      <c r="D164" s="691"/>
      <c r="E164" s="691"/>
      <c r="F164" s="691"/>
      <c r="G164" s="691"/>
      <c r="H164" s="691"/>
      <c r="I164" s="691"/>
      <c r="J164" s="691"/>
      <c r="K164" s="691"/>
      <c r="L164" s="691"/>
      <c r="M164" s="691"/>
      <c r="N164" s="691"/>
    </row>
    <row r="165" spans="2:14">
      <c r="B165" s="691"/>
      <c r="C165" s="691"/>
      <c r="D165" s="691"/>
      <c r="E165" s="691"/>
      <c r="F165" s="691"/>
      <c r="G165" s="691"/>
      <c r="H165" s="691"/>
      <c r="I165" s="691"/>
      <c r="J165" s="691"/>
      <c r="K165" s="691"/>
      <c r="L165" s="691"/>
      <c r="M165" s="691"/>
      <c r="N165" s="691"/>
    </row>
    <row r="166" spans="2:14">
      <c r="B166" s="691"/>
      <c r="C166" s="691"/>
      <c r="D166" s="691"/>
      <c r="E166" s="691"/>
      <c r="F166" s="691"/>
      <c r="G166" s="691"/>
      <c r="H166" s="691"/>
      <c r="I166" s="691"/>
      <c r="J166" s="691"/>
      <c r="K166" s="691"/>
      <c r="L166" s="691"/>
      <c r="M166" s="691"/>
      <c r="N166" s="691"/>
    </row>
    <row r="167" spans="2:14">
      <c r="B167" s="691"/>
      <c r="C167" s="691"/>
      <c r="D167" s="691"/>
      <c r="E167" s="691"/>
      <c r="F167" s="691"/>
      <c r="G167" s="691"/>
      <c r="H167" s="691"/>
      <c r="I167" s="691"/>
      <c r="J167" s="691"/>
      <c r="K167" s="691"/>
      <c r="L167" s="691"/>
      <c r="M167" s="691"/>
      <c r="N167" s="691"/>
    </row>
    <row r="168" spans="2:14">
      <c r="B168" s="691"/>
      <c r="C168" s="691"/>
      <c r="D168" s="691"/>
      <c r="E168" s="691"/>
      <c r="F168" s="691"/>
      <c r="G168" s="691"/>
      <c r="H168" s="691"/>
      <c r="I168" s="691"/>
      <c r="J168" s="691"/>
      <c r="K168" s="691"/>
      <c r="L168" s="691"/>
      <c r="M168" s="691"/>
      <c r="N168" s="691"/>
    </row>
    <row r="169" spans="2:14">
      <c r="B169" s="691"/>
      <c r="C169" s="691"/>
      <c r="D169" s="691"/>
      <c r="E169" s="691"/>
      <c r="F169" s="691"/>
      <c r="G169" s="691"/>
      <c r="H169" s="691"/>
      <c r="I169" s="691"/>
      <c r="J169" s="691"/>
      <c r="K169" s="691"/>
      <c r="L169" s="691"/>
      <c r="M169" s="691"/>
      <c r="N169" s="691"/>
    </row>
    <row r="170" spans="2:14">
      <c r="B170" s="691"/>
      <c r="C170" s="691"/>
      <c r="D170" s="691"/>
      <c r="E170" s="691"/>
      <c r="F170" s="691"/>
      <c r="G170" s="691"/>
      <c r="H170" s="691"/>
      <c r="I170" s="691"/>
      <c r="J170" s="691"/>
      <c r="K170" s="691"/>
      <c r="L170" s="691"/>
      <c r="M170" s="691"/>
      <c r="N170" s="691"/>
    </row>
    <row r="171" spans="2:14">
      <c r="B171" s="691"/>
      <c r="C171" s="691"/>
      <c r="D171" s="691"/>
      <c r="E171" s="691"/>
      <c r="F171" s="691"/>
      <c r="G171" s="691"/>
      <c r="H171" s="691"/>
      <c r="I171" s="691"/>
      <c r="J171" s="691"/>
      <c r="K171" s="691"/>
      <c r="L171" s="691"/>
      <c r="M171" s="691"/>
      <c r="N171" s="691"/>
    </row>
    <row r="172" spans="2:14">
      <c r="B172" s="691"/>
      <c r="C172" s="691"/>
      <c r="D172" s="691"/>
      <c r="E172" s="691"/>
      <c r="F172" s="691"/>
      <c r="G172" s="691"/>
      <c r="H172" s="691"/>
      <c r="I172" s="691"/>
      <c r="J172" s="691"/>
      <c r="K172" s="691"/>
      <c r="L172" s="691"/>
      <c r="M172" s="691"/>
      <c r="N172" s="691"/>
    </row>
    <row r="173" spans="2:14">
      <c r="B173" s="691"/>
      <c r="C173" s="691"/>
      <c r="D173" s="691"/>
      <c r="E173" s="691"/>
      <c r="F173" s="691"/>
      <c r="G173" s="691"/>
      <c r="H173" s="691"/>
      <c r="I173" s="691"/>
      <c r="J173" s="691"/>
      <c r="K173" s="691"/>
      <c r="L173" s="691"/>
      <c r="M173" s="691"/>
      <c r="N173" s="691"/>
    </row>
    <row r="174" spans="2:14">
      <c r="B174" s="691"/>
      <c r="C174" s="691"/>
      <c r="D174" s="691"/>
      <c r="E174" s="691"/>
      <c r="F174" s="691"/>
      <c r="G174" s="691"/>
      <c r="H174" s="691"/>
      <c r="I174" s="691"/>
      <c r="J174" s="691"/>
      <c r="K174" s="691"/>
      <c r="L174" s="691"/>
      <c r="M174" s="691"/>
      <c r="N174" s="691"/>
    </row>
    <row r="175" spans="2:14">
      <c r="B175" s="691"/>
      <c r="C175" s="691"/>
      <c r="D175" s="691"/>
      <c r="E175" s="691"/>
      <c r="F175" s="691"/>
      <c r="G175" s="691"/>
      <c r="H175" s="691"/>
      <c r="I175" s="691"/>
      <c r="J175" s="691"/>
      <c r="K175" s="691"/>
      <c r="L175" s="691"/>
      <c r="M175" s="691"/>
      <c r="N175" s="691"/>
    </row>
    <row r="176" spans="2:14">
      <c r="B176" s="691"/>
      <c r="C176" s="691"/>
      <c r="D176" s="691"/>
      <c r="E176" s="691"/>
      <c r="F176" s="691"/>
      <c r="G176" s="691"/>
      <c r="H176" s="691"/>
      <c r="I176" s="691"/>
      <c r="J176" s="691"/>
      <c r="K176" s="691"/>
      <c r="L176" s="691"/>
      <c r="M176" s="691"/>
      <c r="N176" s="691"/>
    </row>
    <row r="177" spans="2:14">
      <c r="B177" s="691"/>
      <c r="C177" s="691"/>
      <c r="D177" s="691"/>
      <c r="E177" s="691"/>
      <c r="F177" s="691"/>
      <c r="G177" s="691"/>
      <c r="H177" s="691"/>
      <c r="I177" s="691"/>
      <c r="J177" s="691"/>
      <c r="K177" s="691"/>
      <c r="L177" s="691"/>
      <c r="M177" s="691"/>
      <c r="N177" s="691"/>
    </row>
    <row r="178" spans="2:14">
      <c r="B178" s="691"/>
      <c r="C178" s="691"/>
      <c r="D178" s="691"/>
      <c r="E178" s="691"/>
      <c r="F178" s="691"/>
      <c r="G178" s="691"/>
      <c r="H178" s="691"/>
      <c r="I178" s="691"/>
      <c r="J178" s="691"/>
      <c r="K178" s="691"/>
      <c r="L178" s="691"/>
      <c r="M178" s="691"/>
      <c r="N178" s="691"/>
    </row>
    <row r="179" spans="2:14">
      <c r="B179" s="691"/>
      <c r="C179" s="691"/>
      <c r="D179" s="691"/>
      <c r="E179" s="691"/>
      <c r="F179" s="691"/>
      <c r="G179" s="691"/>
      <c r="H179" s="691"/>
      <c r="I179" s="691"/>
      <c r="J179" s="691"/>
      <c r="K179" s="691"/>
      <c r="L179" s="691"/>
      <c r="M179" s="691"/>
      <c r="N179" s="691"/>
    </row>
    <row r="180" spans="2:14">
      <c r="B180" s="691"/>
      <c r="C180" s="691"/>
      <c r="D180" s="691"/>
      <c r="E180" s="691"/>
      <c r="F180" s="691"/>
      <c r="G180" s="691"/>
      <c r="H180" s="691"/>
      <c r="I180" s="691"/>
      <c r="J180" s="691"/>
      <c r="K180" s="691"/>
      <c r="L180" s="691"/>
      <c r="M180" s="691"/>
      <c r="N180" s="691"/>
    </row>
    <row r="181" spans="2:14">
      <c r="B181" s="691"/>
      <c r="C181" s="691"/>
      <c r="D181" s="691"/>
      <c r="E181" s="691"/>
      <c r="F181" s="691"/>
      <c r="G181" s="691"/>
      <c r="H181" s="691"/>
      <c r="I181" s="691"/>
      <c r="J181" s="691"/>
      <c r="K181" s="691"/>
      <c r="L181" s="691"/>
      <c r="M181" s="691"/>
      <c r="N181" s="691"/>
    </row>
    <row r="182" spans="2:14">
      <c r="B182" s="691"/>
      <c r="C182" s="691"/>
      <c r="D182" s="691"/>
      <c r="E182" s="691"/>
      <c r="F182" s="691"/>
      <c r="G182" s="691"/>
      <c r="H182" s="691"/>
      <c r="I182" s="691"/>
      <c r="J182" s="691"/>
      <c r="K182" s="691"/>
      <c r="L182" s="691"/>
      <c r="M182" s="691"/>
      <c r="N182" s="691"/>
    </row>
    <row r="183" spans="2:14">
      <c r="B183" s="691"/>
      <c r="C183" s="691"/>
      <c r="D183" s="691"/>
      <c r="E183" s="691"/>
      <c r="F183" s="691"/>
      <c r="G183" s="691"/>
      <c r="H183" s="691"/>
      <c r="I183" s="691"/>
      <c r="J183" s="691"/>
      <c r="K183" s="691"/>
      <c r="L183" s="691"/>
      <c r="M183" s="691"/>
      <c r="N183" s="691"/>
    </row>
    <row r="184" spans="2:14">
      <c r="B184" s="691"/>
      <c r="C184" s="691"/>
      <c r="D184" s="691"/>
      <c r="E184" s="691"/>
      <c r="F184" s="691"/>
      <c r="G184" s="691"/>
      <c r="H184" s="691"/>
      <c r="I184" s="691"/>
      <c r="J184" s="691"/>
      <c r="K184" s="691"/>
      <c r="L184" s="691"/>
      <c r="M184" s="691"/>
      <c r="N184" s="691"/>
    </row>
    <row r="185" spans="2:14">
      <c r="B185" s="691"/>
      <c r="C185" s="691"/>
      <c r="D185" s="691"/>
      <c r="E185" s="691"/>
      <c r="F185" s="691"/>
      <c r="G185" s="691"/>
      <c r="H185" s="691"/>
      <c r="I185" s="691"/>
      <c r="J185" s="691"/>
      <c r="K185" s="691"/>
      <c r="L185" s="691"/>
      <c r="M185" s="691"/>
      <c r="N185" s="691"/>
    </row>
    <row r="186" spans="2:14">
      <c r="B186" s="691"/>
      <c r="C186" s="691"/>
      <c r="D186" s="691"/>
      <c r="E186" s="691"/>
      <c r="F186" s="691"/>
      <c r="G186" s="691"/>
      <c r="H186" s="691"/>
      <c r="I186" s="691"/>
      <c r="J186" s="691"/>
      <c r="K186" s="691"/>
      <c r="L186" s="691"/>
      <c r="M186" s="691"/>
      <c r="N186" s="691"/>
    </row>
    <row r="187" spans="2:14">
      <c r="B187" s="691"/>
      <c r="C187" s="691"/>
      <c r="D187" s="691"/>
      <c r="E187" s="691"/>
      <c r="F187" s="691"/>
      <c r="G187" s="691"/>
      <c r="H187" s="691"/>
      <c r="I187" s="691"/>
      <c r="J187" s="691"/>
      <c r="K187" s="691"/>
      <c r="L187" s="691"/>
      <c r="M187" s="691"/>
      <c r="N187" s="691"/>
    </row>
    <row r="188" spans="2:14">
      <c r="B188" s="691"/>
      <c r="C188" s="691"/>
      <c r="D188" s="691"/>
      <c r="E188" s="691"/>
      <c r="F188" s="691"/>
      <c r="G188" s="691"/>
      <c r="H188" s="691"/>
      <c r="I188" s="691"/>
      <c r="J188" s="691"/>
      <c r="K188" s="691"/>
      <c r="L188" s="691"/>
      <c r="M188" s="691"/>
      <c r="N188" s="691"/>
    </row>
    <row r="189" spans="2:14">
      <c r="B189" s="691"/>
      <c r="C189" s="691"/>
      <c r="D189" s="691"/>
      <c r="E189" s="691"/>
      <c r="F189" s="691"/>
      <c r="G189" s="691"/>
      <c r="H189" s="691"/>
      <c r="I189" s="691"/>
      <c r="J189" s="691"/>
      <c r="K189" s="691"/>
      <c r="L189" s="691"/>
      <c r="M189" s="691"/>
      <c r="N189" s="691"/>
    </row>
    <row r="190" spans="2:14">
      <c r="B190" s="691"/>
      <c r="C190" s="691"/>
      <c r="D190" s="691"/>
      <c r="E190" s="691"/>
      <c r="F190" s="691"/>
      <c r="G190" s="691"/>
      <c r="H190" s="691"/>
      <c r="I190" s="691"/>
      <c r="J190" s="691"/>
      <c r="K190" s="691"/>
      <c r="L190" s="691"/>
      <c r="M190" s="691"/>
      <c r="N190" s="691"/>
    </row>
    <row r="191" spans="2:14">
      <c r="B191" s="691"/>
      <c r="C191" s="691"/>
      <c r="D191" s="691"/>
      <c r="E191" s="691"/>
      <c r="F191" s="691"/>
      <c r="G191" s="691"/>
      <c r="H191" s="691"/>
      <c r="I191" s="691"/>
      <c r="J191" s="691"/>
      <c r="K191" s="691"/>
      <c r="L191" s="691"/>
      <c r="M191" s="691"/>
      <c r="N191" s="691"/>
    </row>
    <row r="192" spans="2:14">
      <c r="B192" s="691"/>
      <c r="C192" s="691"/>
      <c r="D192" s="691"/>
      <c r="E192" s="691"/>
      <c r="F192" s="691"/>
      <c r="G192" s="691"/>
      <c r="H192" s="691"/>
      <c r="I192" s="691"/>
      <c r="J192" s="691"/>
      <c r="K192" s="691"/>
      <c r="L192" s="691"/>
      <c r="M192" s="691"/>
      <c r="N192" s="691"/>
    </row>
    <row r="193" spans="2:14">
      <c r="B193" s="691"/>
      <c r="C193" s="691"/>
      <c r="D193" s="691"/>
      <c r="E193" s="691"/>
      <c r="F193" s="691"/>
      <c r="G193" s="691"/>
      <c r="H193" s="691"/>
      <c r="I193" s="691"/>
      <c r="J193" s="691"/>
      <c r="K193" s="691"/>
      <c r="L193" s="691"/>
      <c r="M193" s="691"/>
      <c r="N193" s="691"/>
    </row>
    <row r="194" spans="2:14">
      <c r="B194" s="691"/>
      <c r="C194" s="691"/>
      <c r="D194" s="691"/>
      <c r="E194" s="691"/>
      <c r="F194" s="691"/>
      <c r="G194" s="691"/>
      <c r="H194" s="691"/>
      <c r="I194" s="691"/>
      <c r="J194" s="691"/>
      <c r="K194" s="691"/>
      <c r="L194" s="691"/>
      <c r="M194" s="691"/>
      <c r="N194" s="691"/>
    </row>
    <row r="195" spans="2:14">
      <c r="B195" s="691"/>
      <c r="C195" s="691"/>
      <c r="D195" s="691"/>
      <c r="E195" s="691"/>
      <c r="F195" s="691"/>
      <c r="G195" s="691"/>
      <c r="H195" s="691"/>
      <c r="I195" s="691"/>
      <c r="J195" s="691"/>
      <c r="K195" s="691"/>
      <c r="L195" s="691"/>
      <c r="M195" s="691"/>
      <c r="N195" s="691"/>
    </row>
    <row r="196" spans="2:14">
      <c r="B196" s="691"/>
      <c r="C196" s="691"/>
      <c r="D196" s="691"/>
      <c r="E196" s="691"/>
      <c r="F196" s="691"/>
      <c r="G196" s="691"/>
      <c r="H196" s="691"/>
      <c r="I196" s="691"/>
      <c r="J196" s="691"/>
      <c r="K196" s="691"/>
      <c r="L196" s="691"/>
      <c r="M196" s="691"/>
      <c r="N196" s="691"/>
    </row>
    <row r="197" spans="2:14">
      <c r="B197" s="691"/>
      <c r="C197" s="691"/>
      <c r="D197" s="691"/>
      <c r="E197" s="691"/>
      <c r="F197" s="691"/>
      <c r="G197" s="691"/>
      <c r="H197" s="691"/>
      <c r="I197" s="691"/>
      <c r="J197" s="691"/>
      <c r="K197" s="691"/>
      <c r="L197" s="691"/>
      <c r="M197" s="691"/>
      <c r="N197" s="691"/>
    </row>
    <row r="198" spans="2:14">
      <c r="B198" s="691"/>
      <c r="C198" s="691"/>
      <c r="D198" s="691"/>
      <c r="E198" s="691"/>
      <c r="F198" s="691"/>
      <c r="G198" s="691"/>
      <c r="H198" s="691"/>
      <c r="I198" s="691"/>
      <c r="J198" s="691"/>
      <c r="K198" s="691"/>
      <c r="L198" s="691"/>
      <c r="M198" s="691"/>
      <c r="N198" s="691"/>
    </row>
    <row r="199" spans="2:14">
      <c r="B199" s="691"/>
      <c r="C199" s="691"/>
      <c r="D199" s="691"/>
      <c r="E199" s="691"/>
      <c r="F199" s="691"/>
      <c r="G199" s="691"/>
      <c r="H199" s="691"/>
      <c r="I199" s="691"/>
      <c r="J199" s="691"/>
      <c r="K199" s="691"/>
      <c r="L199" s="691"/>
      <c r="M199" s="691"/>
      <c r="N199" s="691"/>
    </row>
    <row r="200" spans="2:14">
      <c r="B200" s="691"/>
      <c r="C200" s="691"/>
      <c r="D200" s="691"/>
      <c r="E200" s="691"/>
      <c r="F200" s="691"/>
      <c r="G200" s="691"/>
      <c r="H200" s="691"/>
      <c r="I200" s="691"/>
      <c r="J200" s="691"/>
      <c r="K200" s="691"/>
      <c r="L200" s="691"/>
      <c r="M200" s="691"/>
      <c r="N200" s="691"/>
    </row>
    <row r="201" spans="2:14">
      <c r="B201" s="691"/>
      <c r="C201" s="691"/>
      <c r="D201" s="691"/>
      <c r="E201" s="691"/>
      <c r="F201" s="691"/>
      <c r="G201" s="691"/>
      <c r="H201" s="691"/>
      <c r="I201" s="691"/>
      <c r="J201" s="691"/>
      <c r="K201" s="691"/>
      <c r="L201" s="691"/>
      <c r="M201" s="691"/>
      <c r="N201" s="691"/>
    </row>
    <row r="202" spans="2:14">
      <c r="B202" s="691"/>
      <c r="C202" s="691"/>
      <c r="D202" s="691"/>
      <c r="E202" s="691"/>
      <c r="F202" s="691"/>
      <c r="G202" s="691"/>
      <c r="H202" s="691"/>
      <c r="I202" s="691"/>
      <c r="J202" s="691"/>
      <c r="K202" s="691"/>
      <c r="L202" s="691"/>
      <c r="M202" s="691"/>
      <c r="N202" s="691"/>
    </row>
    <row r="203" spans="2:14">
      <c r="B203" s="691"/>
      <c r="C203" s="691"/>
      <c r="D203" s="691"/>
      <c r="E203" s="691"/>
      <c r="F203" s="691"/>
      <c r="G203" s="691"/>
      <c r="H203" s="691"/>
      <c r="I203" s="691"/>
      <c r="J203" s="691"/>
      <c r="K203" s="691"/>
      <c r="L203" s="691"/>
      <c r="M203" s="691"/>
      <c r="N203" s="691"/>
    </row>
    <row r="204" spans="2:14">
      <c r="B204" s="691"/>
      <c r="C204" s="691"/>
      <c r="D204" s="691"/>
      <c r="E204" s="691"/>
      <c r="F204" s="691"/>
      <c r="G204" s="691"/>
      <c r="H204" s="691"/>
      <c r="I204" s="691"/>
      <c r="J204" s="691"/>
      <c r="K204" s="691"/>
      <c r="L204" s="691"/>
      <c r="M204" s="691"/>
      <c r="N204" s="691"/>
    </row>
    <row r="205" spans="2:14">
      <c r="B205" s="691"/>
      <c r="C205" s="691"/>
      <c r="D205" s="691"/>
      <c r="E205" s="691"/>
      <c r="F205" s="691"/>
      <c r="G205" s="691"/>
      <c r="H205" s="691"/>
      <c r="I205" s="691"/>
      <c r="J205" s="691"/>
      <c r="K205" s="691"/>
      <c r="L205" s="691"/>
      <c r="M205" s="691"/>
      <c r="N205" s="691"/>
    </row>
    <row r="206" spans="2:14">
      <c r="B206" s="691"/>
      <c r="C206" s="691"/>
      <c r="D206" s="691"/>
      <c r="E206" s="691"/>
      <c r="F206" s="691"/>
      <c r="G206" s="691"/>
      <c r="H206" s="691"/>
      <c r="I206" s="691"/>
      <c r="J206" s="691"/>
      <c r="K206" s="691"/>
      <c r="L206" s="691"/>
      <c r="M206" s="691"/>
      <c r="N206" s="691"/>
    </row>
    <row r="207" spans="2:14">
      <c r="B207" s="691"/>
      <c r="C207" s="691"/>
      <c r="D207" s="691"/>
      <c r="E207" s="691"/>
      <c r="F207" s="691"/>
      <c r="G207" s="691"/>
      <c r="H207" s="691"/>
      <c r="I207" s="691"/>
      <c r="J207" s="691"/>
      <c r="K207" s="691"/>
      <c r="L207" s="691"/>
      <c r="M207" s="691"/>
      <c r="N207" s="691"/>
    </row>
    <row r="208" spans="2:14">
      <c r="B208" s="691"/>
      <c r="C208" s="691"/>
      <c r="D208" s="691"/>
      <c r="E208" s="691"/>
      <c r="F208" s="691"/>
      <c r="G208" s="691"/>
      <c r="H208" s="691"/>
      <c r="I208" s="691"/>
      <c r="J208" s="691"/>
      <c r="K208" s="691"/>
      <c r="L208" s="691"/>
      <c r="M208" s="691"/>
      <c r="N208" s="691"/>
    </row>
    <row r="209" spans="2:14">
      <c r="B209" s="691"/>
      <c r="C209" s="691"/>
      <c r="D209" s="691"/>
      <c r="E209" s="691"/>
      <c r="F209" s="691"/>
      <c r="G209" s="691"/>
      <c r="H209" s="691"/>
      <c r="I209" s="691"/>
      <c r="J209" s="691"/>
      <c r="K209" s="691"/>
      <c r="L209" s="691"/>
      <c r="M209" s="691"/>
      <c r="N209" s="691"/>
    </row>
    <row r="210" spans="2:14">
      <c r="B210" s="691"/>
      <c r="C210" s="691"/>
      <c r="D210" s="691"/>
      <c r="E210" s="691"/>
      <c r="F210" s="691"/>
      <c r="G210" s="691"/>
      <c r="H210" s="691"/>
      <c r="I210" s="691"/>
      <c r="J210" s="691"/>
      <c r="K210" s="691"/>
      <c r="L210" s="691"/>
      <c r="M210" s="691"/>
      <c r="N210" s="691"/>
    </row>
    <row r="211" spans="2:14">
      <c r="B211" s="691"/>
      <c r="C211" s="691"/>
      <c r="D211" s="691"/>
      <c r="E211" s="691"/>
      <c r="F211" s="691"/>
      <c r="G211" s="691"/>
      <c r="H211" s="691"/>
      <c r="I211" s="691"/>
      <c r="J211" s="691"/>
      <c r="K211" s="691"/>
      <c r="L211" s="691"/>
      <c r="M211" s="691"/>
      <c r="N211" s="691"/>
    </row>
    <row r="212" spans="2:14">
      <c r="B212" s="691"/>
      <c r="C212" s="691"/>
      <c r="D212" s="691"/>
      <c r="E212" s="691"/>
      <c r="F212" s="691"/>
      <c r="G212" s="691"/>
      <c r="H212" s="691"/>
      <c r="I212" s="691"/>
      <c r="J212" s="691"/>
      <c r="K212" s="691"/>
      <c r="L212" s="691"/>
      <c r="M212" s="691"/>
      <c r="N212" s="691"/>
    </row>
    <row r="213" spans="2:14">
      <c r="B213" s="691"/>
      <c r="C213" s="691"/>
      <c r="D213" s="691"/>
      <c r="E213" s="691"/>
      <c r="F213" s="691"/>
      <c r="G213" s="691"/>
      <c r="H213" s="691"/>
      <c r="I213" s="691"/>
      <c r="J213" s="691"/>
      <c r="K213" s="691"/>
      <c r="L213" s="691"/>
      <c r="M213" s="691"/>
      <c r="N213" s="691"/>
    </row>
    <row r="214" spans="2:14">
      <c r="B214" s="691"/>
      <c r="C214" s="691"/>
      <c r="D214" s="691"/>
      <c r="E214" s="691"/>
      <c r="F214" s="691"/>
      <c r="G214" s="691"/>
      <c r="H214" s="691"/>
      <c r="I214" s="691"/>
      <c r="J214" s="691"/>
      <c r="K214" s="691"/>
      <c r="L214" s="691"/>
      <c r="M214" s="691"/>
      <c r="N214" s="691"/>
    </row>
    <row r="215" spans="2:14">
      <c r="B215" s="691"/>
      <c r="C215" s="691"/>
      <c r="D215" s="691"/>
      <c r="E215" s="691"/>
      <c r="F215" s="691"/>
      <c r="G215" s="691"/>
      <c r="H215" s="691"/>
      <c r="I215" s="691"/>
      <c r="J215" s="691"/>
      <c r="K215" s="691"/>
      <c r="L215" s="691"/>
      <c r="M215" s="691"/>
      <c r="N215" s="691"/>
    </row>
    <row r="216" spans="2:14">
      <c r="B216" s="691"/>
      <c r="C216" s="691"/>
      <c r="D216" s="691"/>
      <c r="E216" s="691"/>
      <c r="F216" s="691"/>
      <c r="G216" s="691"/>
      <c r="H216" s="691"/>
      <c r="I216" s="691"/>
      <c r="J216" s="691"/>
      <c r="K216" s="691"/>
      <c r="L216" s="691"/>
      <c r="M216" s="691"/>
      <c r="N216" s="691"/>
    </row>
    <row r="217" spans="2:14">
      <c r="B217" s="691"/>
      <c r="C217" s="691"/>
      <c r="D217" s="691"/>
      <c r="E217" s="691"/>
      <c r="F217" s="691"/>
      <c r="G217" s="691"/>
      <c r="H217" s="691"/>
      <c r="I217" s="691"/>
      <c r="J217" s="691"/>
      <c r="K217" s="691"/>
      <c r="L217" s="691"/>
      <c r="M217" s="691"/>
      <c r="N217" s="691"/>
    </row>
    <row r="218" spans="2:14">
      <c r="B218" s="691"/>
      <c r="C218" s="691"/>
      <c r="D218" s="691"/>
      <c r="E218" s="691"/>
      <c r="F218" s="691"/>
      <c r="G218" s="691"/>
      <c r="H218" s="691"/>
      <c r="I218" s="691"/>
      <c r="J218" s="691"/>
      <c r="K218" s="691"/>
      <c r="L218" s="691"/>
      <c r="M218" s="691"/>
      <c r="N218" s="691"/>
    </row>
    <row r="219" spans="2:14">
      <c r="B219" s="691"/>
      <c r="C219" s="691"/>
      <c r="D219" s="691"/>
      <c r="E219" s="691"/>
      <c r="F219" s="691"/>
      <c r="G219" s="691"/>
      <c r="H219" s="691"/>
      <c r="I219" s="691"/>
      <c r="J219" s="691"/>
      <c r="K219" s="691"/>
      <c r="L219" s="691"/>
      <c r="M219" s="691"/>
      <c r="N219" s="691"/>
    </row>
    <row r="220" spans="2:14">
      <c r="B220" s="691"/>
      <c r="C220" s="691"/>
      <c r="D220" s="691"/>
      <c r="E220" s="691"/>
      <c r="F220" s="691"/>
      <c r="G220" s="691"/>
      <c r="H220" s="691"/>
      <c r="I220" s="691"/>
      <c r="J220" s="691"/>
      <c r="K220" s="691"/>
      <c r="L220" s="691"/>
      <c r="M220" s="691"/>
      <c r="N220" s="691"/>
    </row>
    <row r="221" spans="2:14">
      <c r="B221" s="691"/>
      <c r="C221" s="691"/>
      <c r="D221" s="691"/>
      <c r="E221" s="691"/>
      <c r="F221" s="691"/>
      <c r="G221" s="691"/>
      <c r="H221" s="691"/>
      <c r="I221" s="691"/>
      <c r="J221" s="691"/>
      <c r="K221" s="691"/>
      <c r="L221" s="691"/>
      <c r="M221" s="691"/>
      <c r="N221" s="691"/>
    </row>
    <row r="222" spans="2:14">
      <c r="B222" s="691"/>
      <c r="C222" s="691"/>
      <c r="D222" s="691"/>
      <c r="E222" s="691"/>
      <c r="F222" s="691"/>
      <c r="G222" s="691"/>
      <c r="H222" s="691"/>
      <c r="I222" s="691"/>
      <c r="J222" s="691"/>
      <c r="K222" s="691"/>
      <c r="L222" s="691"/>
      <c r="M222" s="691"/>
      <c r="N222" s="691"/>
    </row>
    <row r="223" spans="2:14">
      <c r="B223" s="691"/>
      <c r="C223" s="691"/>
      <c r="D223" s="691"/>
      <c r="E223" s="691"/>
      <c r="F223" s="691"/>
      <c r="G223" s="691"/>
      <c r="H223" s="691"/>
      <c r="I223" s="691"/>
      <c r="J223" s="691"/>
      <c r="K223" s="691"/>
      <c r="L223" s="691"/>
      <c r="M223" s="691"/>
      <c r="N223" s="691"/>
    </row>
    <row r="224" spans="2:14">
      <c r="B224" s="691"/>
      <c r="C224" s="691"/>
      <c r="D224" s="691"/>
      <c r="E224" s="691"/>
      <c r="F224" s="691"/>
      <c r="G224" s="691"/>
      <c r="H224" s="691"/>
      <c r="I224" s="691"/>
      <c r="J224" s="691"/>
      <c r="K224" s="691"/>
      <c r="L224" s="691"/>
      <c r="M224" s="691"/>
      <c r="N224" s="691"/>
    </row>
    <row r="225" spans="2:14">
      <c r="B225" s="691"/>
      <c r="C225" s="691"/>
      <c r="D225" s="691"/>
      <c r="E225" s="691"/>
      <c r="F225" s="691"/>
      <c r="G225" s="691"/>
      <c r="H225" s="691"/>
      <c r="I225" s="691"/>
      <c r="J225" s="691"/>
      <c r="K225" s="691"/>
      <c r="L225" s="691"/>
      <c r="M225" s="691"/>
      <c r="N225" s="691"/>
    </row>
    <row r="226" spans="2:14">
      <c r="B226" s="691"/>
      <c r="C226" s="691"/>
      <c r="D226" s="691"/>
      <c r="E226" s="691"/>
      <c r="F226" s="691"/>
      <c r="G226" s="691"/>
      <c r="H226" s="691"/>
      <c r="I226" s="691"/>
      <c r="J226" s="691"/>
      <c r="K226" s="691"/>
      <c r="L226" s="691"/>
      <c r="M226" s="691"/>
      <c r="N226" s="691"/>
    </row>
    <row r="227" spans="2:14">
      <c r="B227" s="691"/>
      <c r="C227" s="691"/>
      <c r="D227" s="691"/>
      <c r="E227" s="691"/>
      <c r="F227" s="691"/>
      <c r="G227" s="691"/>
      <c r="H227" s="691"/>
      <c r="I227" s="691"/>
      <c r="J227" s="691"/>
      <c r="K227" s="691"/>
      <c r="L227" s="691"/>
      <c r="M227" s="691"/>
      <c r="N227" s="691"/>
    </row>
    <row r="228" spans="2:14">
      <c r="B228" s="691"/>
      <c r="C228" s="691"/>
      <c r="D228" s="691"/>
      <c r="E228" s="691"/>
      <c r="F228" s="691"/>
      <c r="G228" s="691"/>
      <c r="H228" s="691"/>
      <c r="I228" s="691"/>
      <c r="J228" s="691"/>
      <c r="K228" s="691"/>
      <c r="L228" s="691"/>
      <c r="M228" s="691"/>
      <c r="N228" s="691"/>
    </row>
    <row r="229" spans="2:14">
      <c r="B229" s="691"/>
      <c r="C229" s="691"/>
      <c r="D229" s="691"/>
      <c r="E229" s="691"/>
      <c r="F229" s="691"/>
      <c r="G229" s="691"/>
      <c r="H229" s="691"/>
      <c r="I229" s="691"/>
      <c r="J229" s="691"/>
      <c r="K229" s="691"/>
      <c r="L229" s="691"/>
      <c r="M229" s="691"/>
      <c r="N229" s="691"/>
    </row>
    <row r="230" spans="2:14">
      <c r="B230" s="691"/>
      <c r="C230" s="691"/>
      <c r="D230" s="691"/>
      <c r="E230" s="691"/>
      <c r="F230" s="691"/>
      <c r="G230" s="691"/>
      <c r="H230" s="691"/>
      <c r="I230" s="691"/>
      <c r="J230" s="691"/>
      <c r="K230" s="691"/>
      <c r="L230" s="691"/>
      <c r="M230" s="691"/>
      <c r="N230" s="691"/>
    </row>
    <row r="231" spans="2:14">
      <c r="B231" s="691"/>
      <c r="C231" s="691"/>
      <c r="D231" s="691"/>
      <c r="E231" s="691"/>
      <c r="F231" s="691"/>
      <c r="G231" s="691"/>
      <c r="H231" s="691"/>
      <c r="I231" s="691"/>
      <c r="J231" s="691"/>
      <c r="K231" s="691"/>
      <c r="L231" s="691"/>
      <c r="M231" s="691"/>
      <c r="N231" s="691"/>
    </row>
    <row r="232" spans="2:14">
      <c r="B232" s="691"/>
      <c r="C232" s="691"/>
      <c r="D232" s="691"/>
      <c r="E232" s="691"/>
      <c r="F232" s="691"/>
      <c r="G232" s="691"/>
      <c r="H232" s="691"/>
      <c r="I232" s="691"/>
      <c r="J232" s="691"/>
      <c r="K232" s="691"/>
      <c r="L232" s="691"/>
      <c r="M232" s="691"/>
      <c r="N232" s="691"/>
    </row>
    <row r="233" spans="2:14">
      <c r="B233" s="691"/>
      <c r="C233" s="691"/>
      <c r="D233" s="691"/>
      <c r="E233" s="691"/>
      <c r="F233" s="691"/>
      <c r="G233" s="691"/>
      <c r="H233" s="691"/>
      <c r="I233" s="691"/>
      <c r="J233" s="691"/>
      <c r="K233" s="691"/>
      <c r="L233" s="691"/>
      <c r="M233" s="691"/>
      <c r="N233" s="691"/>
    </row>
    <row r="234" spans="2:14">
      <c r="B234" s="691"/>
      <c r="C234" s="691"/>
      <c r="D234" s="691"/>
      <c r="E234" s="691"/>
      <c r="F234" s="691"/>
      <c r="G234" s="691"/>
      <c r="H234" s="691"/>
      <c r="I234" s="691"/>
      <c r="J234" s="691"/>
      <c r="K234" s="691"/>
      <c r="L234" s="691"/>
      <c r="M234" s="691"/>
      <c r="N234" s="691"/>
    </row>
    <row r="235" spans="2:14">
      <c r="B235" s="691"/>
      <c r="C235" s="691"/>
      <c r="D235" s="691"/>
      <c r="E235" s="691"/>
      <c r="F235" s="691"/>
      <c r="G235" s="691"/>
      <c r="H235" s="691"/>
      <c r="I235" s="691"/>
      <c r="J235" s="691"/>
      <c r="K235" s="691"/>
      <c r="L235" s="691"/>
      <c r="M235" s="691"/>
      <c r="N235" s="691"/>
    </row>
    <row r="236" spans="2:14">
      <c r="B236" s="691"/>
      <c r="C236" s="691"/>
      <c r="D236" s="691"/>
      <c r="E236" s="691"/>
      <c r="F236" s="691"/>
      <c r="G236" s="691"/>
      <c r="H236" s="691"/>
      <c r="I236" s="691"/>
      <c r="J236" s="691"/>
      <c r="K236" s="691"/>
      <c r="L236" s="691"/>
      <c r="M236" s="691"/>
      <c r="N236" s="691"/>
    </row>
    <row r="237" spans="2:14">
      <c r="B237" s="691"/>
      <c r="C237" s="691"/>
      <c r="D237" s="691"/>
      <c r="E237" s="691"/>
      <c r="F237" s="691"/>
      <c r="G237" s="691"/>
      <c r="H237" s="691"/>
      <c r="I237" s="691"/>
      <c r="J237" s="691"/>
      <c r="K237" s="691"/>
      <c r="L237" s="691"/>
      <c r="M237" s="691"/>
      <c r="N237" s="691"/>
    </row>
    <row r="238" spans="2:14">
      <c r="B238" s="691"/>
      <c r="C238" s="691"/>
      <c r="D238" s="691"/>
      <c r="E238" s="691"/>
      <c r="F238" s="691"/>
      <c r="G238" s="691"/>
      <c r="H238" s="691"/>
      <c r="I238" s="691"/>
      <c r="J238" s="691"/>
      <c r="K238" s="691"/>
      <c r="L238" s="691"/>
      <c r="M238" s="691"/>
      <c r="N238" s="691"/>
    </row>
    <row r="239" spans="2:14">
      <c r="B239" s="691"/>
      <c r="C239" s="691"/>
      <c r="D239" s="691"/>
      <c r="E239" s="691"/>
      <c r="F239" s="691"/>
      <c r="G239" s="691"/>
      <c r="H239" s="691"/>
      <c r="I239" s="691"/>
      <c r="J239" s="691"/>
      <c r="K239" s="691"/>
      <c r="L239" s="691"/>
      <c r="M239" s="691"/>
      <c r="N239" s="691"/>
    </row>
    <row r="240" spans="2:14">
      <c r="B240" s="691"/>
      <c r="C240" s="691"/>
      <c r="D240" s="691"/>
      <c r="E240" s="691"/>
      <c r="F240" s="691"/>
      <c r="G240" s="691"/>
      <c r="H240" s="691"/>
      <c r="I240" s="691"/>
      <c r="J240" s="691"/>
      <c r="K240" s="691"/>
      <c r="L240" s="691"/>
      <c r="M240" s="691"/>
      <c r="N240" s="691"/>
    </row>
    <row r="241" spans="2:14">
      <c r="B241" s="691"/>
      <c r="C241" s="691"/>
      <c r="D241" s="691"/>
      <c r="E241" s="691"/>
      <c r="F241" s="691"/>
      <c r="G241" s="691"/>
      <c r="H241" s="691"/>
      <c r="I241" s="691"/>
      <c r="J241" s="691"/>
      <c r="K241" s="691"/>
      <c r="L241" s="691"/>
      <c r="M241" s="691"/>
      <c r="N241" s="691"/>
    </row>
    <row r="242" spans="2:14">
      <c r="B242" s="691"/>
      <c r="C242" s="691"/>
      <c r="D242" s="691"/>
      <c r="E242" s="691"/>
      <c r="F242" s="691"/>
      <c r="G242" s="691"/>
      <c r="H242" s="691"/>
      <c r="I242" s="691"/>
      <c r="J242" s="691"/>
      <c r="K242" s="691"/>
      <c r="L242" s="691"/>
      <c r="M242" s="691"/>
      <c r="N242" s="691"/>
    </row>
    <row r="243" spans="2:14">
      <c r="B243" s="691"/>
      <c r="C243" s="691"/>
      <c r="D243" s="691"/>
      <c r="E243" s="691"/>
      <c r="F243" s="691"/>
      <c r="G243" s="691"/>
      <c r="H243" s="691"/>
      <c r="I243" s="691"/>
      <c r="J243" s="691"/>
      <c r="K243" s="691"/>
      <c r="L243" s="691"/>
      <c r="M243" s="691"/>
      <c r="N243" s="691"/>
    </row>
    <row r="244" spans="2:14">
      <c r="B244" s="691"/>
      <c r="C244" s="691"/>
      <c r="D244" s="691"/>
      <c r="E244" s="691"/>
      <c r="F244" s="691"/>
      <c r="G244" s="691"/>
      <c r="H244" s="691"/>
      <c r="I244" s="691"/>
      <c r="J244" s="691"/>
      <c r="K244" s="691"/>
      <c r="L244" s="691"/>
      <c r="M244" s="691"/>
      <c r="N244" s="691"/>
    </row>
    <row r="245" spans="2:14">
      <c r="B245" s="691"/>
      <c r="C245" s="691"/>
      <c r="D245" s="691"/>
      <c r="E245" s="691"/>
      <c r="F245" s="691"/>
      <c r="G245" s="691"/>
      <c r="H245" s="691"/>
      <c r="I245" s="691"/>
      <c r="J245" s="691"/>
      <c r="K245" s="691"/>
      <c r="L245" s="691"/>
      <c r="M245" s="691"/>
      <c r="N245" s="691"/>
    </row>
    <row r="246" spans="2:14">
      <c r="B246" s="691"/>
      <c r="C246" s="691"/>
      <c r="D246" s="691"/>
      <c r="E246" s="691"/>
      <c r="F246" s="691"/>
      <c r="G246" s="691"/>
      <c r="H246" s="691"/>
      <c r="I246" s="691"/>
      <c r="J246" s="691"/>
      <c r="K246" s="691"/>
      <c r="L246" s="691"/>
      <c r="M246" s="691"/>
      <c r="N246" s="691"/>
    </row>
    <row r="247" spans="2:14">
      <c r="B247" s="691"/>
      <c r="C247" s="691"/>
      <c r="D247" s="691"/>
      <c r="E247" s="691"/>
      <c r="F247" s="691"/>
      <c r="G247" s="691"/>
      <c r="H247" s="691"/>
      <c r="I247" s="691"/>
      <c r="J247" s="691"/>
      <c r="K247" s="691"/>
      <c r="L247" s="691"/>
      <c r="M247" s="691"/>
      <c r="N247" s="691"/>
    </row>
    <row r="248" spans="2:14">
      <c r="B248" s="691"/>
      <c r="C248" s="691"/>
      <c r="D248" s="691"/>
      <c r="E248" s="691"/>
      <c r="F248" s="691"/>
      <c r="G248" s="691"/>
      <c r="H248" s="691"/>
      <c r="I248" s="691"/>
      <c r="J248" s="691"/>
      <c r="K248" s="691"/>
      <c r="L248" s="691"/>
      <c r="M248" s="691"/>
      <c r="N248" s="691"/>
    </row>
    <row r="249" spans="2:14">
      <c r="B249" s="691"/>
      <c r="C249" s="691"/>
      <c r="D249" s="691"/>
      <c r="E249" s="691"/>
      <c r="F249" s="691"/>
      <c r="G249" s="691"/>
      <c r="H249" s="691"/>
      <c r="I249" s="691"/>
      <c r="J249" s="691"/>
      <c r="K249" s="691"/>
      <c r="L249" s="691"/>
      <c r="M249" s="691"/>
      <c r="N249" s="691"/>
    </row>
    <row r="250" spans="2:14">
      <c r="B250" s="691"/>
      <c r="C250" s="691"/>
      <c r="D250" s="691"/>
      <c r="E250" s="691"/>
      <c r="F250" s="691"/>
      <c r="G250" s="691"/>
      <c r="H250" s="691"/>
      <c r="I250" s="691"/>
      <c r="J250" s="691"/>
      <c r="K250" s="691"/>
      <c r="L250" s="691"/>
      <c r="M250" s="691"/>
      <c r="N250" s="691"/>
    </row>
    <row r="251" spans="2:14">
      <c r="B251" s="691"/>
      <c r="C251" s="691"/>
      <c r="D251" s="691"/>
      <c r="E251" s="691"/>
      <c r="F251" s="691"/>
      <c r="G251" s="691"/>
      <c r="H251" s="691"/>
      <c r="I251" s="691"/>
      <c r="J251" s="691"/>
      <c r="K251" s="691"/>
      <c r="L251" s="691"/>
      <c r="M251" s="691"/>
      <c r="N251" s="691"/>
    </row>
    <row r="252" spans="2:14">
      <c r="B252" s="691"/>
      <c r="C252" s="691"/>
      <c r="D252" s="691"/>
      <c r="E252" s="691"/>
      <c r="F252" s="691"/>
      <c r="G252" s="691"/>
      <c r="H252" s="691"/>
      <c r="I252" s="691"/>
      <c r="J252" s="691"/>
      <c r="K252" s="691"/>
      <c r="L252" s="691"/>
      <c r="M252" s="691"/>
      <c r="N252" s="691"/>
    </row>
    <row r="253" spans="2:14">
      <c r="B253" s="691"/>
      <c r="C253" s="691"/>
      <c r="D253" s="691"/>
      <c r="E253" s="691"/>
      <c r="F253" s="691"/>
      <c r="G253" s="691"/>
      <c r="H253" s="691"/>
      <c r="I253" s="691"/>
      <c r="J253" s="691"/>
      <c r="K253" s="691"/>
      <c r="L253" s="691"/>
      <c r="M253" s="691"/>
      <c r="N253" s="691"/>
    </row>
    <row r="254" spans="2:14">
      <c r="B254" s="691"/>
      <c r="C254" s="691"/>
      <c r="D254" s="691"/>
      <c r="E254" s="691"/>
      <c r="F254" s="691"/>
      <c r="G254" s="691"/>
      <c r="H254" s="691"/>
      <c r="I254" s="691"/>
      <c r="J254" s="691"/>
      <c r="K254" s="691"/>
      <c r="L254" s="691"/>
      <c r="M254" s="691"/>
      <c r="N254" s="691"/>
    </row>
    <row r="255" spans="2:14">
      <c r="B255" s="691"/>
      <c r="C255" s="691"/>
      <c r="D255" s="691"/>
      <c r="E255" s="691"/>
      <c r="F255" s="691"/>
      <c r="G255" s="691"/>
      <c r="H255" s="691"/>
      <c r="I255" s="691"/>
      <c r="J255" s="691"/>
      <c r="K255" s="691"/>
      <c r="L255" s="691"/>
      <c r="M255" s="691"/>
      <c r="N255" s="691"/>
    </row>
  </sheetData>
  <mergeCells count="15">
    <mergeCell ref="K7:K8"/>
    <mergeCell ref="L7:L8"/>
    <mergeCell ref="B6:L6"/>
    <mergeCell ref="A3:L3"/>
    <mergeCell ref="A7:A8"/>
    <mergeCell ref="B7:B8"/>
    <mergeCell ref="C7:C8"/>
    <mergeCell ref="G7:G8"/>
    <mergeCell ref="D7:D8"/>
    <mergeCell ref="E7:E8"/>
    <mergeCell ref="F7:F8"/>
    <mergeCell ref="H7:H8"/>
    <mergeCell ref="I7:I8"/>
    <mergeCell ref="B1:C1"/>
    <mergeCell ref="J7:J8"/>
  </mergeCells>
  <phoneticPr fontId="24" type="noConversion"/>
  <hyperlinks>
    <hyperlink ref="B1" location="Index!A1" display="Back to Index"/>
  </hyperlinks>
  <printOptions horizontalCentered="1" verticalCentered="1"/>
  <pageMargins left="0.78740157480314965" right="0.78740157480314965" top="0.98425196850393704" bottom="0.98425196850393704" header="0.51181102362204722" footer="0.51181102362204722"/>
  <pageSetup paperSize="9" scale="51" orientation="portrait" horizontalDpi="4294967292" verticalDpi="4294967292"/>
  <ignoredErrors>
    <ignoredError sqref="D25:D49 I27:I49 E9:E49 L9:L49 H27:H49" formulaRange="1"/>
  </ignoredError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enableFormatConditionsCalculation="0">
    <tabColor theme="7" tint="0.59999389629810485"/>
    <pageSetUpPr fitToPage="1"/>
  </sheetPr>
  <dimension ref="A1:O255"/>
  <sheetViews>
    <sheetView workbookViewId="0">
      <pane xSplit="1" ySplit="8" topLeftCell="B9" activePane="bottomRight" state="frozen"/>
      <selection activeCell="A3" sqref="A3:M3"/>
      <selection pane="topRight" activeCell="A3" sqref="A3:M3"/>
      <selection pane="bottomLeft" activeCell="A3" sqref="A3:M3"/>
      <selection pane="bottomRight" activeCell="A3" sqref="A3:K3"/>
    </sheetView>
  </sheetViews>
  <sheetFormatPr baseColWidth="10" defaultRowHeight="12" x14ac:dyDescent="0"/>
  <cols>
    <col min="1" max="5" width="9.6640625" style="689" customWidth="1"/>
    <col min="6" max="6" width="12.6640625" style="689" customWidth="1"/>
    <col min="7" max="11" width="9.6640625" style="689" customWidth="1"/>
    <col min="12" max="13" width="12.6640625" style="689" customWidth="1"/>
    <col min="14" max="49" width="9.6640625" style="689" customWidth="1"/>
    <col min="50" max="16384" width="10.83203125" style="689"/>
  </cols>
  <sheetData>
    <row r="1" spans="1:15">
      <c r="B1" s="2252" t="s">
        <v>1416</v>
      </c>
      <c r="C1" s="2252"/>
      <c r="D1" s="690"/>
      <c r="E1" s="690"/>
      <c r="F1" s="690"/>
      <c r="G1" s="690"/>
      <c r="H1" s="690"/>
      <c r="I1" s="690"/>
      <c r="J1" s="690"/>
      <c r="K1" s="690"/>
      <c r="L1" s="690"/>
      <c r="M1" s="690"/>
    </row>
    <row r="2" spans="1:15" ht="13" thickBot="1"/>
    <row r="3" spans="1:15" ht="19.75" customHeight="1" thickTop="1">
      <c r="A3" s="2386" t="s">
        <v>1154</v>
      </c>
      <c r="B3" s="2387"/>
      <c r="C3" s="2387"/>
      <c r="D3" s="2387"/>
      <c r="E3" s="2387"/>
      <c r="F3" s="2387"/>
      <c r="G3" s="2387"/>
      <c r="H3" s="2387"/>
      <c r="I3" s="2387"/>
      <c r="J3" s="2387"/>
      <c r="K3" s="2388"/>
      <c r="L3" s="906"/>
      <c r="M3" s="906"/>
    </row>
    <row r="4" spans="1:15">
      <c r="A4" s="35"/>
      <c r="B4" s="36"/>
      <c r="C4" s="36"/>
      <c r="D4" s="36"/>
      <c r="E4" s="36"/>
      <c r="F4" s="36"/>
      <c r="G4" s="36"/>
      <c r="H4" s="36"/>
      <c r="I4" s="36"/>
      <c r="J4" s="36"/>
      <c r="K4" s="695"/>
    </row>
    <row r="5" spans="1:15">
      <c r="A5" s="35"/>
      <c r="B5" s="38" t="s">
        <v>952</v>
      </c>
      <c r="C5" s="38" t="s">
        <v>953</v>
      </c>
      <c r="D5" s="38" t="s">
        <v>954</v>
      </c>
      <c r="E5" s="38" t="s">
        <v>955</v>
      </c>
      <c r="F5" s="38" t="s">
        <v>956</v>
      </c>
      <c r="G5" s="38" t="s">
        <v>957</v>
      </c>
      <c r="H5" s="38" t="s">
        <v>958</v>
      </c>
      <c r="I5" s="38" t="s">
        <v>959</v>
      </c>
      <c r="J5" s="38" t="s">
        <v>960</v>
      </c>
      <c r="K5" s="1100" t="s">
        <v>961</v>
      </c>
      <c r="L5" s="697"/>
      <c r="M5" s="697"/>
    </row>
    <row r="6" spans="1:15" ht="15" customHeight="1">
      <c r="A6" s="35"/>
      <c r="B6" s="2483" t="s">
        <v>1149</v>
      </c>
      <c r="C6" s="2483"/>
      <c r="D6" s="2483"/>
      <c r="E6" s="2483"/>
      <c r="F6" s="2483"/>
      <c r="G6" s="2483"/>
      <c r="H6" s="2483"/>
      <c r="I6" s="2483"/>
      <c r="J6" s="2483"/>
      <c r="K6" s="2484"/>
      <c r="L6" s="697"/>
      <c r="M6" s="697"/>
    </row>
    <row r="7" spans="1:15" ht="45" customHeight="1">
      <c r="A7" s="2472"/>
      <c r="B7" s="2467" t="s">
        <v>1150</v>
      </c>
      <c r="C7" s="2396" t="s">
        <v>1162</v>
      </c>
      <c r="D7" s="2431" t="s">
        <v>1151</v>
      </c>
      <c r="E7" s="2378" t="s">
        <v>1161</v>
      </c>
      <c r="F7" s="2467" t="s">
        <v>1152</v>
      </c>
      <c r="G7" s="2396" t="s">
        <v>1159</v>
      </c>
      <c r="H7" s="2431" t="s">
        <v>1160</v>
      </c>
      <c r="I7" s="2431" t="s">
        <v>1155</v>
      </c>
      <c r="J7" s="2431" t="s">
        <v>1156</v>
      </c>
      <c r="K7" s="2436" t="s">
        <v>1158</v>
      </c>
      <c r="L7" s="711"/>
      <c r="M7" s="711"/>
    </row>
    <row r="8" spans="1:15" ht="39.75" customHeight="1">
      <c r="A8" s="2482"/>
      <c r="B8" s="2469"/>
      <c r="C8" s="2397"/>
      <c r="D8" s="2430"/>
      <c r="E8" s="2379"/>
      <c r="F8" s="2469"/>
      <c r="G8" s="2397"/>
      <c r="H8" s="2430"/>
      <c r="I8" s="2430"/>
      <c r="J8" s="2430"/>
      <c r="K8" s="2438"/>
      <c r="L8" s="711"/>
      <c r="M8" s="711"/>
      <c r="N8" s="698" t="s">
        <v>1157</v>
      </c>
    </row>
    <row r="9" spans="1:15">
      <c r="A9" s="1084">
        <v>1970</v>
      </c>
      <c r="B9" s="1085">
        <f>TableUK6c!B9/TableUK6c!$B9</f>
        <v>1</v>
      </c>
      <c r="C9" s="18">
        <f>TableUK6c!C9/TableUK6c!$B9</f>
        <v>0.24492656699018117</v>
      </c>
      <c r="D9" s="1086">
        <f>TableUK6c!D9/TableUK6c!$B9</f>
        <v>0.3201984547355764</v>
      </c>
      <c r="E9" s="1102">
        <f>TableUK6c!E9/TableUK6c!$B9</f>
        <v>7.5271887745395255E-2</v>
      </c>
      <c r="F9" s="1085">
        <f>TableUK6c!F9/TableUK6c!$B9</f>
        <v>9.6962341070720742E-2</v>
      </c>
      <c r="G9" s="18">
        <f>TableUK6c!H9/TableUK6c!$B9</f>
        <v>0.658111091939098</v>
      </c>
      <c r="H9" s="1086"/>
      <c r="I9" s="1086">
        <f>TableUK6c!J9/TableUK6c!$B9</f>
        <v>0.13120787772133116</v>
      </c>
      <c r="J9" s="1086"/>
      <c r="K9" s="1095">
        <f>TableUK6c!L9/TableUK6c!$B9</f>
        <v>4.2815202203802805E-2</v>
      </c>
      <c r="L9" s="1087"/>
      <c r="M9" s="1087"/>
      <c r="N9" s="720">
        <f>C9+F9+G9</f>
        <v>0.99999999999999989</v>
      </c>
      <c r="O9" s="720"/>
    </row>
    <row r="10" spans="1:15">
      <c r="A10" s="50">
        <v>1971</v>
      </c>
      <c r="B10" s="1088">
        <f>TableUK6c!B10/TableUK6c!$B10</f>
        <v>1</v>
      </c>
      <c r="C10" s="20">
        <f>TableUK6c!C10/TableUK6c!$B10</f>
        <v>0.27563456124284003</v>
      </c>
      <c r="D10" s="51">
        <f>TableUK6c!D10/TableUK6c!$B10</f>
        <v>0.34837881507168739</v>
      </c>
      <c r="E10" s="52">
        <f>TableUK6c!E10/TableUK6c!$B10</f>
        <v>7.2744253828847319E-2</v>
      </c>
      <c r="F10" s="1088">
        <f>TableUK6c!F10/TableUK6c!$B10</f>
        <v>9.1226439202454587E-2</v>
      </c>
      <c r="G10" s="20">
        <f>TableUK6c!H10/TableUK6c!$B10</f>
        <v>0.63313899955470532</v>
      </c>
      <c r="H10" s="51"/>
      <c r="I10" s="51">
        <f>TableUK6c!J10/TableUK6c!$B10</f>
        <v>0.12950237123159716</v>
      </c>
      <c r="J10" s="51"/>
      <c r="K10" s="1096">
        <f>TableUK6c!L10/TableUK6c!$B10</f>
        <v>3.9598686560058008E-2</v>
      </c>
      <c r="L10" s="1087"/>
      <c r="M10" s="1087"/>
      <c r="N10" s="720">
        <f t="shared" ref="N10:N49" si="0">C10+F10+G10</f>
        <v>1</v>
      </c>
      <c r="O10" s="720"/>
    </row>
    <row r="11" spans="1:15">
      <c r="A11" s="50">
        <v>1972</v>
      </c>
      <c r="B11" s="1088">
        <f>TableUK6c!B11/TableUK6c!$B11</f>
        <v>1</v>
      </c>
      <c r="C11" s="20">
        <f>TableUK6c!C11/TableUK6c!$B11</f>
        <v>0.33168997557276242</v>
      </c>
      <c r="D11" s="51">
        <f>TableUK6c!D11/TableUK6c!$B11</f>
        <v>0.40330550542894905</v>
      </c>
      <c r="E11" s="52">
        <f>TableUK6c!E11/TableUK6c!$B11</f>
        <v>7.1615529856186633E-2</v>
      </c>
      <c r="F11" s="1088">
        <f>TableUK6c!F11/TableUK6c!$B11</f>
        <v>7.918703477694046E-2</v>
      </c>
      <c r="G11" s="20">
        <f>TableUK6c!H11/TableUK6c!$B11</f>
        <v>0.58912298965029719</v>
      </c>
      <c r="H11" s="51"/>
      <c r="I11" s="51">
        <f>TableUK6c!J11/TableUK6c!$B11</f>
        <v>0.12216050415944762</v>
      </c>
      <c r="J11" s="51"/>
      <c r="K11" s="1096">
        <f>TableUK6c!L11/TableUK6c!$B11</f>
        <v>3.4833403977669021E-2</v>
      </c>
      <c r="L11" s="1087"/>
      <c r="M11" s="1087"/>
      <c r="N11" s="720">
        <f t="shared" si="0"/>
        <v>1</v>
      </c>
      <c r="O11" s="720"/>
    </row>
    <row r="12" spans="1:15">
      <c r="A12" s="50">
        <v>1973</v>
      </c>
      <c r="B12" s="1088">
        <f>TableUK6c!B12/TableUK6c!$B12</f>
        <v>1</v>
      </c>
      <c r="C12" s="20">
        <f>TableUK6c!C12/TableUK6c!$B12</f>
        <v>0.37254232652778946</v>
      </c>
      <c r="D12" s="51">
        <f>TableUK6c!D12/TableUK6c!$B12</f>
        <v>0.44948425172756878</v>
      </c>
      <c r="E12" s="52">
        <f>TableUK6c!E12/TableUK6c!$B12</f>
        <v>7.6941925199779312E-2</v>
      </c>
      <c r="F12" s="1088">
        <f>TableUK6c!F12/TableUK6c!$B12</f>
        <v>7.4374563866617463E-2</v>
      </c>
      <c r="G12" s="20">
        <f>TableUK6c!H12/TableUK6c!$B12</f>
        <v>0.55308310960559304</v>
      </c>
      <c r="H12" s="51"/>
      <c r="I12" s="51">
        <f>TableUK6c!J12/TableUK6c!$B12</f>
        <v>0.13176578700167335</v>
      </c>
      <c r="J12" s="51"/>
      <c r="K12" s="1096">
        <f>TableUK6c!L12/TableUK6c!$B12</f>
        <v>3.5730865548615459E-2</v>
      </c>
      <c r="L12" s="1087"/>
      <c r="M12" s="1087"/>
      <c r="N12" s="720">
        <f t="shared" si="0"/>
        <v>1</v>
      </c>
      <c r="O12" s="720"/>
    </row>
    <row r="13" spans="1:15">
      <c r="A13" s="50">
        <v>1974</v>
      </c>
      <c r="B13" s="1088">
        <f>TableUK6c!B13/TableUK6c!$B13</f>
        <v>1</v>
      </c>
      <c r="C13" s="20">
        <f>TableUK6c!C13/TableUK6c!$B13</f>
        <v>0.3730048256132753</v>
      </c>
      <c r="D13" s="51">
        <f>TableUK6c!D13/TableUK6c!$B13</f>
        <v>0.45357850492109897</v>
      </c>
      <c r="E13" s="52">
        <f>TableUK6c!E13/TableUK6c!$B13</f>
        <v>8.0573679307823665E-2</v>
      </c>
      <c r="F13" s="1088">
        <f>TableUK6c!F13/TableUK6c!$B13</f>
        <v>8.0131242054911608E-2</v>
      </c>
      <c r="G13" s="20">
        <f>TableUK6c!H13/TableUK6c!$B13</f>
        <v>0.54686393233181307</v>
      </c>
      <c r="H13" s="51"/>
      <c r="I13" s="51">
        <f>TableUK6c!J13/TableUK6c!$B13</f>
        <v>0.15257144720417107</v>
      </c>
      <c r="J13" s="51"/>
      <c r="K13" s="1096">
        <f>TableUK6c!L13/TableUK6c!$B13</f>
        <v>3.4104205845638232E-2</v>
      </c>
      <c r="L13" s="1087"/>
      <c r="M13" s="1087"/>
      <c r="N13" s="720">
        <f t="shared" si="0"/>
        <v>1</v>
      </c>
      <c r="O13" s="720"/>
    </row>
    <row r="14" spans="1:15">
      <c r="A14" s="50">
        <v>1975</v>
      </c>
      <c r="B14" s="1088">
        <f>TableUK6c!B14/TableUK6c!$B14</f>
        <v>1</v>
      </c>
      <c r="C14" s="20">
        <f>TableUK6c!C14/TableUK6c!$B14</f>
        <v>0.3671238250225286</v>
      </c>
      <c r="D14" s="51">
        <f>TableUK6c!D14/TableUK6c!$B14</f>
        <v>0.44986500090963544</v>
      </c>
      <c r="E14" s="52">
        <f>TableUK6c!E14/TableUK6c!$B14</f>
        <v>8.2741175887106791E-2</v>
      </c>
      <c r="F14" s="1088">
        <f>TableUK6c!F14/TableUK6c!$B14</f>
        <v>8.6688643262920806E-2</v>
      </c>
      <c r="G14" s="20">
        <f>TableUK6c!H14/TableUK6c!$B14</f>
        <v>0.5461875317145507</v>
      </c>
      <c r="H14" s="51"/>
      <c r="I14" s="51">
        <f>TableUK6c!J14/TableUK6c!$B14</f>
        <v>0.16513986835737746</v>
      </c>
      <c r="J14" s="51"/>
      <c r="K14" s="1096">
        <f>TableUK6c!L14/TableUK6c!$B14</f>
        <v>3.209786995620522E-2</v>
      </c>
      <c r="L14" s="1087"/>
      <c r="M14" s="1087"/>
      <c r="N14" s="720">
        <f t="shared" si="0"/>
        <v>1</v>
      </c>
      <c r="O14" s="720"/>
    </row>
    <row r="15" spans="1:15">
      <c r="A15" s="50">
        <v>1976</v>
      </c>
      <c r="B15" s="1088">
        <f>TableUK6c!B15/TableUK6c!$B15</f>
        <v>1</v>
      </c>
      <c r="C15" s="20">
        <f>TableUK6c!C15/TableUK6c!$B15</f>
        <v>0.36598681090601665</v>
      </c>
      <c r="D15" s="51">
        <f>TableUK6c!D15/TableUK6c!$B15</f>
        <v>0.45321448763290295</v>
      </c>
      <c r="E15" s="52">
        <f>TableUK6c!E15/TableUK6c!$B15</f>
        <v>8.7227676726886277E-2</v>
      </c>
      <c r="F15" s="1088">
        <f>TableUK6c!F15/TableUK6c!$B15</f>
        <v>7.3120102270744933E-2</v>
      </c>
      <c r="G15" s="20">
        <f>TableUK6c!H15/TableUK6c!$B15</f>
        <v>0.56089308682323835</v>
      </c>
      <c r="H15" s="51"/>
      <c r="I15" s="51">
        <f>TableUK6c!J15/TableUK6c!$B15</f>
        <v>0.18219133313650096</v>
      </c>
      <c r="J15" s="51"/>
      <c r="K15" s="1096">
        <f>TableUK6c!L15/TableUK6c!$B15</f>
        <v>3.2791145139922061E-2</v>
      </c>
      <c r="L15" s="1087"/>
      <c r="M15" s="1087"/>
      <c r="N15" s="720">
        <f t="shared" si="0"/>
        <v>1</v>
      </c>
      <c r="O15" s="720"/>
    </row>
    <row r="16" spans="1:15">
      <c r="A16" s="50">
        <v>1977</v>
      </c>
      <c r="B16" s="1088">
        <f>TableUK6c!B16/TableUK6c!$B16</f>
        <v>1</v>
      </c>
      <c r="C16" s="20">
        <f>TableUK6c!C16/TableUK6c!$B16</f>
        <v>0.36843530960379156</v>
      </c>
      <c r="D16" s="51">
        <f>TableUK6c!D16/TableUK6c!$B16</f>
        <v>0.45455030474466152</v>
      </c>
      <c r="E16" s="52">
        <f>TableUK6c!E16/TableUK6c!$B16</f>
        <v>8.611499514086994E-2</v>
      </c>
      <c r="F16" s="1088">
        <f>TableUK6c!F16/TableUK6c!$B16</f>
        <v>6.6591545133630373E-2</v>
      </c>
      <c r="G16" s="20">
        <f>TableUK6c!H16/TableUK6c!$B16</f>
        <v>0.56497314526257814</v>
      </c>
      <c r="H16" s="51"/>
      <c r="I16" s="51">
        <f>TableUK6c!J16/TableUK6c!$B16</f>
        <v>0.20568512503107797</v>
      </c>
      <c r="J16" s="51"/>
      <c r="K16" s="1096">
        <f>TableUK6c!L16/TableUK6c!$B16</f>
        <v>3.2501465908005754E-2</v>
      </c>
      <c r="L16" s="1087"/>
      <c r="M16" s="1087"/>
      <c r="N16" s="720">
        <f t="shared" si="0"/>
        <v>1</v>
      </c>
      <c r="O16" s="720"/>
    </row>
    <row r="17" spans="1:15">
      <c r="A17" s="50">
        <v>1978</v>
      </c>
      <c r="B17" s="1088">
        <f>TableUK6c!B17/TableUK6c!$B17</f>
        <v>1</v>
      </c>
      <c r="C17" s="20">
        <f>TableUK6c!C17/TableUK6c!$B17</f>
        <v>0.38330628291142654</v>
      </c>
      <c r="D17" s="51">
        <f>TableUK6c!D17/TableUK6c!$B17</f>
        <v>0.46671157200400165</v>
      </c>
      <c r="E17" s="52">
        <f>TableUK6c!E17/TableUK6c!$B17</f>
        <v>8.3405289092575094E-2</v>
      </c>
      <c r="F17" s="1088">
        <f>TableUK6c!F17/TableUK6c!$B17</f>
        <v>7.2645543436915733E-2</v>
      </c>
      <c r="G17" s="20">
        <f>TableUK6c!H17/TableUK6c!$B17</f>
        <v>0.54404817365165759</v>
      </c>
      <c r="H17" s="51"/>
      <c r="I17" s="51">
        <f>TableUK6c!J17/TableUK6c!$B17</f>
        <v>0.22609830715556242</v>
      </c>
      <c r="J17" s="51"/>
      <c r="K17" s="1096">
        <f>TableUK6c!L17/TableUK6c!$B17</f>
        <v>3.208786816478236E-2</v>
      </c>
      <c r="L17" s="1087"/>
      <c r="M17" s="1087"/>
      <c r="N17" s="720">
        <f t="shared" si="0"/>
        <v>0.99999999999999989</v>
      </c>
      <c r="O17" s="720"/>
    </row>
    <row r="18" spans="1:15" ht="12.75" customHeight="1">
      <c r="A18" s="50">
        <v>1979</v>
      </c>
      <c r="B18" s="1088">
        <f>TableUK6c!B18/TableUK6c!$B18</f>
        <v>1</v>
      </c>
      <c r="C18" s="20">
        <f>TableUK6c!C18/TableUK6c!$B18</f>
        <v>0.40320902288401905</v>
      </c>
      <c r="D18" s="51">
        <f>TableUK6c!D18/TableUK6c!$B18</f>
        <v>0.48272734195085898</v>
      </c>
      <c r="E18" s="52">
        <f>TableUK6c!E18/TableUK6c!$B18</f>
        <v>7.9518319066839926E-2</v>
      </c>
      <c r="F18" s="1088">
        <f>TableUK6c!F18/TableUK6c!$B18</f>
        <v>7.6764448214090383E-2</v>
      </c>
      <c r="G18" s="20">
        <f>TableUK6c!H18/TableUK6c!$B18</f>
        <v>0.52002652890189049</v>
      </c>
      <c r="H18" s="51"/>
      <c r="I18" s="51">
        <f>TableUK6c!J18/TableUK6c!$B18</f>
        <v>0.23192165915897062</v>
      </c>
      <c r="J18" s="51"/>
      <c r="K18" s="1096">
        <f>TableUK6c!L18/TableUK6c!$B18</f>
        <v>3.332196227562817E-2</v>
      </c>
      <c r="L18" s="1087"/>
      <c r="M18" s="1087"/>
      <c r="N18" s="720">
        <f t="shared" si="0"/>
        <v>1</v>
      </c>
      <c r="O18" s="720"/>
    </row>
    <row r="19" spans="1:15">
      <c r="A19" s="55">
        <v>1980</v>
      </c>
      <c r="B19" s="1089">
        <f>TableUK6c!B19/TableUK6c!$B19</f>
        <v>1</v>
      </c>
      <c r="C19" s="25">
        <f>TableUK6c!C19/TableUK6c!$B19</f>
        <v>0.3993649878265878</v>
      </c>
      <c r="D19" s="56">
        <f>TableUK6c!D19/TableUK6c!$B19</f>
        <v>0.47974355052722134</v>
      </c>
      <c r="E19" s="57">
        <f>TableUK6c!E19/TableUK6c!$B19</f>
        <v>8.0378562700633566E-2</v>
      </c>
      <c r="F19" s="1089">
        <f>TableUK6c!F19/TableUK6c!$B19</f>
        <v>8.8882571642859523E-2</v>
      </c>
      <c r="G19" s="25">
        <f>TableUK6c!H19/TableUK6c!$B19</f>
        <v>0.5117524405305528</v>
      </c>
      <c r="H19" s="56"/>
      <c r="I19" s="56">
        <f>TableUK6c!J19/TableUK6c!$B19</f>
        <v>0.24011885557300469</v>
      </c>
      <c r="J19" s="56"/>
      <c r="K19" s="1097">
        <f>TableUK6c!L19/TableUK6c!$B19</f>
        <v>3.5842277449160062E-2</v>
      </c>
      <c r="L19" s="1087"/>
      <c r="M19" s="1087"/>
      <c r="N19" s="720">
        <f t="shared" si="0"/>
        <v>1</v>
      </c>
      <c r="O19" s="720"/>
    </row>
    <row r="20" spans="1:15">
      <c r="A20" s="50">
        <v>1981</v>
      </c>
      <c r="B20" s="1088">
        <f>TableUK6c!B20/TableUK6c!$B20</f>
        <v>1</v>
      </c>
      <c r="C20" s="20">
        <f>TableUK6c!C20/TableUK6c!$B20</f>
        <v>0.38031039537163336</v>
      </c>
      <c r="D20" s="51">
        <f>TableUK6c!D20/TableUK6c!$B20</f>
        <v>0.46625838798115821</v>
      </c>
      <c r="E20" s="52">
        <f>TableUK6c!E20/TableUK6c!$B20</f>
        <v>8.594799260952482E-2</v>
      </c>
      <c r="F20" s="1088">
        <f>TableUK6c!F20/TableUK6c!$B20</f>
        <v>8.8389952643217445E-2</v>
      </c>
      <c r="G20" s="20">
        <f>TableUK6c!H20/TableUK6c!$B20</f>
        <v>0.53129965198514928</v>
      </c>
      <c r="H20" s="51"/>
      <c r="I20" s="51">
        <f>TableUK6c!J20/TableUK6c!$B20</f>
        <v>0.25675013001704966</v>
      </c>
      <c r="J20" s="51"/>
      <c r="K20" s="1096">
        <f>TableUK6c!L20/TableUK6c!$B20</f>
        <v>3.9610813985259279E-2</v>
      </c>
      <c r="L20" s="1087"/>
      <c r="M20" s="1087"/>
      <c r="N20" s="720">
        <f t="shared" si="0"/>
        <v>1</v>
      </c>
      <c r="O20" s="720"/>
    </row>
    <row r="21" spans="1:15">
      <c r="A21" s="50">
        <v>1982</v>
      </c>
      <c r="B21" s="1088">
        <f>TableUK6c!B21/TableUK6c!$B21</f>
        <v>1</v>
      </c>
      <c r="C21" s="20">
        <f>TableUK6c!C21/TableUK6c!$B21</f>
        <v>0.37553475685612037</v>
      </c>
      <c r="D21" s="51">
        <f>TableUK6c!D21/TableUK6c!$B21</f>
        <v>0.46758446949622567</v>
      </c>
      <c r="E21" s="52">
        <f>TableUK6c!E21/TableUK6c!$B21</f>
        <v>9.2049712640105294E-2</v>
      </c>
      <c r="F21" s="1088">
        <f>TableUK6c!F21/TableUK6c!$B21</f>
        <v>8.0365802593082541E-2</v>
      </c>
      <c r="G21" s="20">
        <f>TableUK6c!H21/TableUK6c!$B21</f>
        <v>0.54409944055079706</v>
      </c>
      <c r="H21" s="51"/>
      <c r="I21" s="51">
        <f>TableUK6c!J21/TableUK6c!$B21</f>
        <v>0.26767903226152906</v>
      </c>
      <c r="J21" s="51"/>
      <c r="K21" s="1096">
        <f>TableUK6c!L21/TableUK6c!$B21</f>
        <v>4.2289505662193291E-2</v>
      </c>
      <c r="L21" s="1087"/>
      <c r="M21" s="1087"/>
      <c r="N21" s="720">
        <f t="shared" si="0"/>
        <v>1</v>
      </c>
      <c r="O21" s="720"/>
    </row>
    <row r="22" spans="1:15">
      <c r="A22" s="50">
        <v>1983</v>
      </c>
      <c r="B22" s="1088">
        <f>TableUK6c!B22/TableUK6c!$B22</f>
        <v>1</v>
      </c>
      <c r="C22" s="20">
        <f>TableUK6c!C22/TableUK6c!$B22</f>
        <v>0.36954919265416464</v>
      </c>
      <c r="D22" s="51">
        <f>TableUK6c!D22/TableUK6c!$B22</f>
        <v>0.46849550477739138</v>
      </c>
      <c r="E22" s="52">
        <f>TableUK6c!E22/TableUK6c!$B22</f>
        <v>9.8946312123226743E-2</v>
      </c>
      <c r="F22" s="1088">
        <f>TableUK6c!F22/TableUK6c!$B22</f>
        <v>8.4598192817178536E-2</v>
      </c>
      <c r="G22" s="20">
        <f>TableUK6c!H22/TableUK6c!$B22</f>
        <v>0.54585261452865685</v>
      </c>
      <c r="H22" s="51"/>
      <c r="I22" s="51">
        <f>TableUK6c!J22/TableUK6c!$B22</f>
        <v>0.27172850399560977</v>
      </c>
      <c r="J22" s="51"/>
      <c r="K22" s="1096">
        <f>TableUK6c!L22/TableUK6c!$B22</f>
        <v>4.2523355567243862E-2</v>
      </c>
      <c r="L22" s="1087"/>
      <c r="M22" s="1087"/>
      <c r="N22" s="720">
        <f t="shared" si="0"/>
        <v>1</v>
      </c>
      <c r="O22" s="720"/>
    </row>
    <row r="23" spans="1:15">
      <c r="A23" s="50">
        <v>1984</v>
      </c>
      <c r="B23" s="1088">
        <f>TableUK6c!B23/TableUK6c!$B23</f>
        <v>1</v>
      </c>
      <c r="C23" s="20">
        <f>TableUK6c!C23/TableUK6c!$B23</f>
        <v>0.369753367669516</v>
      </c>
      <c r="D23" s="51">
        <f>TableUK6c!D23/TableUK6c!$B23</f>
        <v>0.47607382932416853</v>
      </c>
      <c r="E23" s="52">
        <f>TableUK6c!E23/TableUK6c!$B23</f>
        <v>0.10632046165465253</v>
      </c>
      <c r="F23" s="1088">
        <f>TableUK6c!F23/TableUK6c!$B23</f>
        <v>8.8959760138377003E-2</v>
      </c>
      <c r="G23" s="20">
        <f>TableUK6c!H23/TableUK6c!$B23</f>
        <v>0.54128687219210703</v>
      </c>
      <c r="H23" s="51"/>
      <c r="I23" s="51">
        <f>TableUK6c!J23/TableUK6c!$B23</f>
        <v>0.2727900759113151</v>
      </c>
      <c r="J23" s="51"/>
      <c r="K23" s="1096">
        <f>TableUK6c!L23/TableUK6c!$B23</f>
        <v>4.6336678810684387E-2</v>
      </c>
      <c r="L23" s="1087"/>
      <c r="M23" s="1087"/>
      <c r="N23" s="720">
        <f t="shared" si="0"/>
        <v>1</v>
      </c>
      <c r="O23" s="720"/>
    </row>
    <row r="24" spans="1:15">
      <c r="A24" s="50">
        <v>1985</v>
      </c>
      <c r="B24" s="1088">
        <f>TableUK6c!B24/TableUK6c!$B24</f>
        <v>1</v>
      </c>
      <c r="C24" s="20">
        <f>TableUK6c!C24/TableUK6c!$B24</f>
        <v>0.38107661567038348</v>
      </c>
      <c r="D24" s="51">
        <f>TableUK6c!D24/TableUK6c!$B24</f>
        <v>0.49389844980127762</v>
      </c>
      <c r="E24" s="52">
        <f>TableUK6c!E24/TableUK6c!$B24</f>
        <v>0.11282183413089415</v>
      </c>
      <c r="F24" s="1088">
        <f>TableUK6c!F24/TableUK6c!$B24</f>
        <v>8.7029280557202757E-2</v>
      </c>
      <c r="G24" s="20">
        <f>TableUK6c!H24/TableUK6c!$B24</f>
        <v>0.53189410377241375</v>
      </c>
      <c r="H24" s="51"/>
      <c r="I24" s="51">
        <f>TableUK6c!J24/TableUK6c!$B24</f>
        <v>0.26701883956434513</v>
      </c>
      <c r="J24" s="51"/>
      <c r="K24" s="1096">
        <f>TableUK6c!L24/TableUK6c!$B24</f>
        <v>5.0650814985346584E-2</v>
      </c>
      <c r="L24" s="1087"/>
      <c r="M24" s="1087"/>
      <c r="N24" s="720">
        <f t="shared" si="0"/>
        <v>1</v>
      </c>
      <c r="O24" s="720"/>
    </row>
    <row r="25" spans="1:15">
      <c r="A25" s="50">
        <v>1986</v>
      </c>
      <c r="B25" s="1088">
        <f>TableUK6c!B25/TableUK6c!$B25</f>
        <v>1</v>
      </c>
      <c r="C25" s="20">
        <f>TableUK6c!C25/TableUK6c!$B25</f>
        <v>0.38251892728236664</v>
      </c>
      <c r="D25" s="51">
        <f>TableUK6c!D25/TableUK6c!$B25</f>
        <v>0.49873346886136616</v>
      </c>
      <c r="E25" s="52">
        <f>TableUK6c!E25/TableUK6c!$B25</f>
        <v>0.11621454157899956</v>
      </c>
      <c r="F25" s="1088">
        <f>TableUK6c!F25/TableUK6c!$B25</f>
        <v>8.1987543186597886E-2</v>
      </c>
      <c r="G25" s="20">
        <f>TableUK6c!H25/TableUK6c!$B25</f>
        <v>0.53549352953103557</v>
      </c>
      <c r="H25" s="51"/>
      <c r="I25" s="51">
        <f>TableUK6c!J25/TableUK6c!$B25</f>
        <v>0.26745828895308765</v>
      </c>
      <c r="J25" s="51"/>
      <c r="K25" s="1096">
        <f>TableUK6c!L25/TableUK6c!$B25</f>
        <v>4.8999677282776759E-2</v>
      </c>
      <c r="L25" s="1087"/>
      <c r="M25" s="1087"/>
      <c r="N25" s="720">
        <f t="shared" si="0"/>
        <v>1</v>
      </c>
      <c r="O25" s="720"/>
    </row>
    <row r="26" spans="1:15">
      <c r="A26" s="50">
        <v>1987</v>
      </c>
      <c r="B26" s="1088">
        <f>TableUK6c!B26/TableUK6c!$B26</f>
        <v>1</v>
      </c>
      <c r="C26" s="20">
        <f>TableUK6c!C26/TableUK6c!$B26</f>
        <v>0.39578496112189809</v>
      </c>
      <c r="D26" s="51">
        <f>TableUK6c!D26/TableUK6c!$B26</f>
        <v>0.51660236522630631</v>
      </c>
      <c r="E26" s="52">
        <f>TableUK6c!E26/TableUK6c!$B26</f>
        <v>0.12081740410440829</v>
      </c>
      <c r="F26" s="1088">
        <f>TableUK6c!F26/TableUK6c!$B26</f>
        <v>7.9108023168552963E-2</v>
      </c>
      <c r="G26" s="20">
        <f>TableUK6c!H26/TableUK6c!$B26</f>
        <v>0.52510701570954899</v>
      </c>
      <c r="H26" s="51"/>
      <c r="I26" s="51">
        <f>TableUK6c!J26/TableUK6c!$B26</f>
        <v>0.26815350578885611</v>
      </c>
      <c r="J26" s="51"/>
      <c r="K26" s="1096">
        <f>TableUK6c!L26/TableUK6c!$B26</f>
        <v>5.3493674016829029E-2</v>
      </c>
      <c r="L26" s="1087"/>
      <c r="M26" s="1087"/>
      <c r="N26" s="720">
        <f t="shared" si="0"/>
        <v>1</v>
      </c>
      <c r="O26" s="720"/>
    </row>
    <row r="27" spans="1:15">
      <c r="A27" s="50">
        <v>1988</v>
      </c>
      <c r="B27" s="1088">
        <f>TableUK6c!B27/TableUK6c!$B27</f>
        <v>1</v>
      </c>
      <c r="C27" s="20">
        <f>TableUK6c!C27/TableUK6c!$B27</f>
        <v>0.43927940228818907</v>
      </c>
      <c r="D27" s="51">
        <f>TableUK6c!D27/TableUK6c!$B27</f>
        <v>0.56158633539660952</v>
      </c>
      <c r="E27" s="52">
        <f>TableUK6c!E27/TableUK6c!$B27</f>
        <v>0.12230693310842046</v>
      </c>
      <c r="F27" s="1088">
        <f>TableUK6c!F27/TableUK6c!$B27</f>
        <v>7.7538253332758392E-2</v>
      </c>
      <c r="G27" s="20">
        <f>TableUK6c!H27/TableUK6c!$B27</f>
        <v>0.48318234437905261</v>
      </c>
      <c r="H27" s="51">
        <f>TableUK6c!I27/TableUK6c!$B27</f>
        <v>8.3484131308675144E-2</v>
      </c>
      <c r="I27" s="51">
        <f>TableUK6c!J27/TableUK6c!$B27</f>
        <v>0.25409687517244645</v>
      </c>
      <c r="J27" s="51">
        <f>TableUK6c!K27/TableUK6c!$B27</f>
        <v>0.145601337897931</v>
      </c>
      <c r="K27" s="1096">
        <f>TableUK6c!L27/TableUK6c!$B27</f>
        <v>5.6645358442842152E-2</v>
      </c>
      <c r="L27" s="1087"/>
      <c r="M27" s="1087"/>
      <c r="N27" s="720">
        <f t="shared" si="0"/>
        <v>1</v>
      </c>
      <c r="O27" s="720"/>
    </row>
    <row r="28" spans="1:15">
      <c r="A28" s="1073">
        <v>1989</v>
      </c>
      <c r="B28" s="1090">
        <f>TableUK6c!B28/TableUK6c!$B28</f>
        <v>1</v>
      </c>
      <c r="C28" s="897">
        <f>TableUK6c!C28/TableUK6c!$B28</f>
        <v>0.44685509209734831</v>
      </c>
      <c r="D28" s="1075">
        <f>TableUK6c!D28/TableUK6c!$B28</f>
        <v>0.5688562157694762</v>
      </c>
      <c r="E28" s="1076">
        <f>TableUK6c!E28/TableUK6c!$B28</f>
        <v>0.12200112367212794</v>
      </c>
      <c r="F28" s="1090">
        <f>TableUK6c!F28/TableUK6c!$B28</f>
        <v>7.5079415324078649E-2</v>
      </c>
      <c r="G28" s="897">
        <f>TableUK6c!H28/TableUK6c!$B28</f>
        <v>0.47806549257857306</v>
      </c>
      <c r="H28" s="1075">
        <f>TableUK6c!I28/TableUK6c!$B28</f>
        <v>8.1224751728511041E-2</v>
      </c>
      <c r="I28" s="1075">
        <f>TableUK6c!J28/TableUK6c!$B28</f>
        <v>0.25939217887557464</v>
      </c>
      <c r="J28" s="1075">
        <f>TableUK6c!K28/TableUK6c!$B28</f>
        <v>0.13744856197448732</v>
      </c>
      <c r="K28" s="1098">
        <f>TableUK6c!L28/TableUK6c!$B28</f>
        <v>5.4801153799569055E-2</v>
      </c>
      <c r="L28" s="1087"/>
      <c r="M28" s="1087"/>
      <c r="N28" s="720">
        <f t="shared" si="0"/>
        <v>1</v>
      </c>
      <c r="O28" s="720"/>
    </row>
    <row r="29" spans="1:15">
      <c r="A29" s="50">
        <v>1990</v>
      </c>
      <c r="B29" s="1088">
        <f>TableUK6c!B29/TableUK6c!$B29</f>
        <v>1</v>
      </c>
      <c r="C29" s="20">
        <f>TableUK6c!C29/TableUK6c!$B29</f>
        <v>0.42115115275264869</v>
      </c>
      <c r="D29" s="51">
        <f>TableUK6c!D29/TableUK6c!$B29</f>
        <v>0.55309603861434142</v>
      </c>
      <c r="E29" s="52">
        <f>TableUK6c!E29/TableUK6c!$B29</f>
        <v>0.1319448858616927</v>
      </c>
      <c r="F29" s="1088">
        <f>TableUK6c!F29/TableUK6c!$B29</f>
        <v>7.5783979020494274E-2</v>
      </c>
      <c r="G29" s="20">
        <f>TableUK6c!H29/TableUK6c!$B29</f>
        <v>0.50306486822685714</v>
      </c>
      <c r="H29" s="51">
        <f>TableUK6c!I29/TableUK6c!$B29</f>
        <v>9.5840486291625782E-2</v>
      </c>
      <c r="I29" s="51">
        <f>TableUK6c!J29/TableUK6c!$B29</f>
        <v>0.26290752673109591</v>
      </c>
      <c r="J29" s="51">
        <f>TableUK6c!K29/TableUK6c!$B29</f>
        <v>0.14431685520413545</v>
      </c>
      <c r="K29" s="1096">
        <f>TableUK6c!L29/TableUK6c!$B29</f>
        <v>5.7455935098432005E-2</v>
      </c>
      <c r="L29" s="1087"/>
      <c r="M29" s="1087"/>
      <c r="N29" s="720">
        <f t="shared" si="0"/>
        <v>1</v>
      </c>
      <c r="O29" s="720"/>
    </row>
    <row r="30" spans="1:15">
      <c r="A30" s="50">
        <v>1991</v>
      </c>
      <c r="B30" s="1088">
        <f>TableUK6c!B30/TableUK6c!$B30</f>
        <v>1</v>
      </c>
      <c r="C30" s="20">
        <f>TableUK6c!C30/TableUK6c!$B30</f>
        <v>0.39358641912907327</v>
      </c>
      <c r="D30" s="51">
        <f>TableUK6c!D30/TableUK6c!$B30</f>
        <v>0.53771414062812228</v>
      </c>
      <c r="E30" s="52">
        <f>TableUK6c!E30/TableUK6c!$B30</f>
        <v>0.14412772149904907</v>
      </c>
      <c r="F30" s="1088">
        <f>TableUK6c!F30/TableUK6c!$B30</f>
        <v>7.469526028356957E-2</v>
      </c>
      <c r="G30" s="20">
        <f>TableUK6c!H30/TableUK6c!$B30</f>
        <v>0.53171832058735724</v>
      </c>
      <c r="H30" s="51">
        <f>TableUK6c!I30/TableUK6c!$B30</f>
        <v>0.10753191979556286</v>
      </c>
      <c r="I30" s="51">
        <f>TableUK6c!J30/TableUK6c!$B30</f>
        <v>0.2694254084158707</v>
      </c>
      <c r="J30" s="51">
        <f>TableUK6c!K30/TableUK6c!$B30</f>
        <v>0.15476099237592367</v>
      </c>
      <c r="K30" s="1096">
        <f>TableUK6c!L30/TableUK6c!$B30</f>
        <v>5.9912122116874293E-2</v>
      </c>
      <c r="L30" s="1087"/>
      <c r="M30" s="1087"/>
      <c r="N30" s="720">
        <f t="shared" si="0"/>
        <v>1</v>
      </c>
      <c r="O30" s="720"/>
    </row>
    <row r="31" spans="1:15">
      <c r="A31" s="50">
        <v>1992</v>
      </c>
      <c r="B31" s="1088">
        <f>TableUK6c!B31/TableUK6c!$B31</f>
        <v>1</v>
      </c>
      <c r="C31" s="20">
        <f>TableUK6c!C31/TableUK6c!$B31</f>
        <v>0.35504043875652241</v>
      </c>
      <c r="D31" s="51">
        <f>TableUK6c!D31/TableUK6c!$B31</f>
        <v>0.50487497124532232</v>
      </c>
      <c r="E31" s="52">
        <f>TableUK6c!E31/TableUK6c!$B31</f>
        <v>0.14983453248879991</v>
      </c>
      <c r="F31" s="1088">
        <f>TableUK6c!F31/TableUK6c!$B31</f>
        <v>6.7291639620187721E-2</v>
      </c>
      <c r="G31" s="20">
        <f>TableUK6c!H31/TableUK6c!$B31</f>
        <v>0.57766792162328984</v>
      </c>
      <c r="H31" s="51">
        <f>TableUK6c!I31/TableUK6c!$B31</f>
        <v>0.11350342436893447</v>
      </c>
      <c r="I31" s="51">
        <f>TableUK6c!J31/TableUK6c!$B31</f>
        <v>0.30051428167968314</v>
      </c>
      <c r="J31" s="51">
        <f>TableUK6c!K31/TableUK6c!$B31</f>
        <v>0.1636502155746723</v>
      </c>
      <c r="K31" s="1096">
        <f>TableUK6c!L31/TableUK6c!$B31</f>
        <v>5.9339860929852231E-2</v>
      </c>
      <c r="L31" s="1087"/>
      <c r="M31" s="1087"/>
      <c r="N31" s="720">
        <f t="shared" si="0"/>
        <v>1</v>
      </c>
      <c r="O31" s="720"/>
    </row>
    <row r="32" spans="1:15">
      <c r="A32" s="50">
        <v>1993</v>
      </c>
      <c r="B32" s="1088">
        <f>TableUK6c!B32/TableUK6c!$B32</f>
        <v>1</v>
      </c>
      <c r="C32" s="20">
        <f>TableUK6c!C32/TableUK6c!$B32</f>
        <v>0.31208500963521413</v>
      </c>
      <c r="D32" s="51">
        <f>TableUK6c!D32/TableUK6c!$B32</f>
        <v>0.45887306027925218</v>
      </c>
      <c r="E32" s="52">
        <f>TableUK6c!E32/TableUK6c!$B32</f>
        <v>0.14678805064403799</v>
      </c>
      <c r="F32" s="1088">
        <f>TableUK6c!F32/TableUK6c!$B32</f>
        <v>6.0113382805368674E-2</v>
      </c>
      <c r="G32" s="20">
        <f>TableUK6c!H32/TableUK6c!$B32</f>
        <v>0.62780160755941716</v>
      </c>
      <c r="H32" s="51">
        <f>TableUK6c!I32/TableUK6c!$B32</f>
        <v>0.12681336421109574</v>
      </c>
      <c r="I32" s="51">
        <f>TableUK6c!J32/TableUK6c!$B32</f>
        <v>0.33789217012069372</v>
      </c>
      <c r="J32" s="51">
        <f>TableUK6c!K32/TableUK6c!$B32</f>
        <v>0.16309607322762773</v>
      </c>
      <c r="K32" s="1096">
        <f>TableUK6c!L32/TableUK6c!$B32</f>
        <v>5.4811690726528951E-2</v>
      </c>
      <c r="L32" s="1087"/>
      <c r="M32" s="1087"/>
      <c r="N32" s="720">
        <f t="shared" si="0"/>
        <v>1</v>
      </c>
      <c r="O32" s="720"/>
    </row>
    <row r="33" spans="1:15">
      <c r="A33" s="50">
        <v>1994</v>
      </c>
      <c r="B33" s="1088">
        <f>TableUK6c!B33/TableUK6c!$B33</f>
        <v>1</v>
      </c>
      <c r="C33" s="20">
        <f>TableUK6c!C33/TableUK6c!$B33</f>
        <v>0.29299407984373682</v>
      </c>
      <c r="D33" s="51">
        <f>TableUK6c!D33/TableUK6c!$B33</f>
        <v>0.44000245166009549</v>
      </c>
      <c r="E33" s="52">
        <f>TableUK6c!E33/TableUK6c!$B33</f>
        <v>0.14700837181635865</v>
      </c>
      <c r="F33" s="1088">
        <f>TableUK6c!F33/TableUK6c!$B33</f>
        <v>5.922125629493874E-2</v>
      </c>
      <c r="G33" s="20">
        <f>TableUK6c!H33/TableUK6c!$B33</f>
        <v>0.64778466386132449</v>
      </c>
      <c r="H33" s="51">
        <f>TableUK6c!I33/TableUK6c!$B33</f>
        <v>0.13614852237240316</v>
      </c>
      <c r="I33" s="51">
        <f>TableUK6c!J33/TableUK6c!$B33</f>
        <v>0.35052168111538484</v>
      </c>
      <c r="J33" s="51">
        <f>TableUK6c!K33/TableUK6c!$B33</f>
        <v>0.16111446037353658</v>
      </c>
      <c r="K33" s="1096">
        <f>TableUK6c!L33/TableUK6c!$B33</f>
        <v>5.2704462423285144E-2</v>
      </c>
      <c r="L33" s="1087"/>
      <c r="M33" s="1087"/>
      <c r="N33" s="720">
        <f t="shared" si="0"/>
        <v>1</v>
      </c>
      <c r="O33" s="720"/>
    </row>
    <row r="34" spans="1:15">
      <c r="A34" s="50">
        <v>1995</v>
      </c>
      <c r="B34" s="1088">
        <f>TableUK6c!B34/TableUK6c!$B34</f>
        <v>1</v>
      </c>
      <c r="C34" s="20">
        <f>TableUK6c!C34/TableUK6c!$B34</f>
        <v>0.27494733719090386</v>
      </c>
      <c r="D34" s="51">
        <f>TableUK6c!D34/TableUK6c!$B34</f>
        <v>0.42343616844254572</v>
      </c>
      <c r="E34" s="52">
        <f>TableUK6c!E34/TableUK6c!$B34</f>
        <v>0.14848883125164189</v>
      </c>
      <c r="F34" s="1088">
        <f>TableUK6c!F34/TableUK6c!$B34</f>
        <v>6.0271223417877946E-2</v>
      </c>
      <c r="G34" s="20">
        <f>TableUK6c!H34/TableUK6c!$B34</f>
        <v>0.66478143939121803</v>
      </c>
      <c r="H34" s="51">
        <f>TableUK6c!I34/TableUK6c!$B34</f>
        <v>0.14243704976429153</v>
      </c>
      <c r="I34" s="51">
        <f>TableUK6c!J34/TableUK6c!$B34</f>
        <v>0.3579251678423771</v>
      </c>
      <c r="J34" s="51">
        <f>TableUK6c!K34/TableUK6c!$B34</f>
        <v>0.16441922178454935</v>
      </c>
      <c r="K34" s="1096">
        <f>TableUK6c!L34/TableUK6c!$B34</f>
        <v>5.3556751664346702E-2</v>
      </c>
      <c r="L34" s="1087"/>
      <c r="M34" s="1087"/>
      <c r="N34" s="720">
        <f t="shared" si="0"/>
        <v>0.99999999999999978</v>
      </c>
      <c r="O34" s="720"/>
    </row>
    <row r="35" spans="1:15">
      <c r="A35" s="50">
        <v>1996</v>
      </c>
      <c r="B35" s="1088">
        <f>TableUK6c!B35/TableUK6c!$B35</f>
        <v>1</v>
      </c>
      <c r="C35" s="20">
        <f>TableUK6c!C35/TableUK6c!$B35</f>
        <v>0.26513013061656121</v>
      </c>
      <c r="D35" s="51">
        <f>TableUK6c!D35/TableUK6c!$B35</f>
        <v>0.40743664664337109</v>
      </c>
      <c r="E35" s="52">
        <f>TableUK6c!E35/TableUK6c!$B35</f>
        <v>0.14230651602680988</v>
      </c>
      <c r="F35" s="1088">
        <f>TableUK6c!F35/TableUK6c!$B35</f>
        <v>6.0127486899557492E-2</v>
      </c>
      <c r="G35" s="20">
        <f>TableUK6c!H35/TableUK6c!$B35</f>
        <v>0.67474238248388141</v>
      </c>
      <c r="H35" s="51">
        <f>TableUK6c!I35/TableUK6c!$B35</f>
        <v>0.14408320085026935</v>
      </c>
      <c r="I35" s="51">
        <f>TableUK6c!J35/TableUK6c!$B35</f>
        <v>0.36803126451703799</v>
      </c>
      <c r="J35" s="51">
        <f>TableUK6c!K35/TableUK6c!$B35</f>
        <v>0.16262791711657412</v>
      </c>
      <c r="K35" s="1096">
        <f>TableUK6c!L35/TableUK6c!$B35</f>
        <v>5.1030960467291497E-2</v>
      </c>
      <c r="L35" s="1087"/>
      <c r="M35" s="1087"/>
      <c r="N35" s="720">
        <f t="shared" si="0"/>
        <v>1</v>
      </c>
      <c r="O35" s="720"/>
    </row>
    <row r="36" spans="1:15">
      <c r="A36" s="50">
        <v>1997</v>
      </c>
      <c r="B36" s="1088">
        <f>TableUK6c!B36/TableUK6c!$B36</f>
        <v>1</v>
      </c>
      <c r="C36" s="20">
        <f>TableUK6c!C36/TableUK6c!$B36</f>
        <v>0.26282738861190569</v>
      </c>
      <c r="D36" s="51">
        <f>TableUK6c!D36/TableUK6c!$B36</f>
        <v>0.39538093318082607</v>
      </c>
      <c r="E36" s="52">
        <f>TableUK6c!E36/TableUK6c!$B36</f>
        <v>0.13255354456892038</v>
      </c>
      <c r="F36" s="1088">
        <f>TableUK6c!F36/TableUK6c!$B36</f>
        <v>5.7239591431856612E-2</v>
      </c>
      <c r="G36" s="20">
        <f>TableUK6c!H36/TableUK6c!$B36</f>
        <v>0.67993301995623778</v>
      </c>
      <c r="H36" s="51">
        <f>TableUK6c!I36/TableUK6c!$B36</f>
        <v>0.14950608861315529</v>
      </c>
      <c r="I36" s="51">
        <f>TableUK6c!J36/TableUK6c!$B36</f>
        <v>0.37494461697567005</v>
      </c>
      <c r="J36" s="51">
        <f>TableUK6c!K36/TableUK6c!$B36</f>
        <v>0.1554823143674125</v>
      </c>
      <c r="K36" s="1096">
        <f>TableUK6c!L36/TableUK6c!$B36</f>
        <v>4.7862163852130747E-2</v>
      </c>
      <c r="L36" s="1087"/>
      <c r="M36" s="1087"/>
      <c r="N36" s="720">
        <f t="shared" si="0"/>
        <v>1</v>
      </c>
      <c r="O36" s="720"/>
    </row>
    <row r="37" spans="1:15">
      <c r="A37" s="50">
        <v>1998</v>
      </c>
      <c r="B37" s="1088">
        <f>TableUK6c!B37/TableUK6c!$B37</f>
        <v>1</v>
      </c>
      <c r="C37" s="20">
        <f>TableUK6c!C37/TableUK6c!$B37</f>
        <v>0.26850234656948829</v>
      </c>
      <c r="D37" s="51">
        <f>TableUK6c!D37/TableUK6c!$B37</f>
        <v>0.3923594813547166</v>
      </c>
      <c r="E37" s="52">
        <f>TableUK6c!E37/TableUK6c!$B37</f>
        <v>0.12385713478522832</v>
      </c>
      <c r="F37" s="1088">
        <f>TableUK6c!F37/TableUK6c!$B37</f>
        <v>5.127921463628312E-2</v>
      </c>
      <c r="G37" s="20">
        <f>TableUK6c!H37/TableUK6c!$B37</f>
        <v>0.6802184387942285</v>
      </c>
      <c r="H37" s="51">
        <f>TableUK6c!I37/TableUK6c!$B37</f>
        <v>0.15208156294003422</v>
      </c>
      <c r="I37" s="51">
        <f>TableUK6c!J37/TableUK6c!$B37</f>
        <v>0.38134942990305465</v>
      </c>
      <c r="J37" s="51">
        <f>TableUK6c!K37/TableUK6c!$B37</f>
        <v>0.14678744595113968</v>
      </c>
      <c r="K37" s="1096">
        <f>TableUK6c!L37/TableUK6c!$B37</f>
        <v>4.6309013187670167E-2</v>
      </c>
      <c r="L37" s="1087"/>
      <c r="M37" s="1087"/>
      <c r="N37" s="720">
        <f t="shared" si="0"/>
        <v>0.99999999999999989</v>
      </c>
      <c r="O37" s="720"/>
    </row>
    <row r="38" spans="1:15">
      <c r="A38" s="1091">
        <f t="shared" ref="A38:A46" si="1">A37+1</f>
        <v>1999</v>
      </c>
      <c r="B38" s="1090">
        <f>TableUK6c!B38/TableUK6c!$B38</f>
        <v>1</v>
      </c>
      <c r="C38" s="897">
        <f>TableUK6c!C38/TableUK6c!$B38</f>
        <v>0.28093482299553169</v>
      </c>
      <c r="D38" s="1075">
        <f>TableUK6c!D38/TableUK6c!$B38</f>
        <v>0.39815960228668351</v>
      </c>
      <c r="E38" s="1076">
        <f>TableUK6c!E38/TableUK6c!$B38</f>
        <v>0.11722477929115181</v>
      </c>
      <c r="F38" s="1090">
        <f>TableUK6c!F38/TableUK6c!$B38</f>
        <v>4.4740894756116902E-2</v>
      </c>
      <c r="G38" s="897">
        <f>TableUK6c!H38/TableUK6c!$B38</f>
        <v>0.67432428224835139</v>
      </c>
      <c r="H38" s="1075">
        <f>TableUK6c!I38/TableUK6c!$B38</f>
        <v>0.15821042351684098</v>
      </c>
      <c r="I38" s="1075">
        <f>TableUK6c!J38/TableUK6c!$B38</f>
        <v>0.38152693011203598</v>
      </c>
      <c r="J38" s="1075">
        <f>TableUK6c!K38/TableUK6c!$B38</f>
        <v>0.13458692861947438</v>
      </c>
      <c r="K38" s="1098">
        <f>TableUK6c!L38/TableUK6c!$B38</f>
        <v>4.4045519176699049E-2</v>
      </c>
      <c r="L38" s="1087"/>
      <c r="M38" s="1087"/>
      <c r="N38" s="720">
        <f t="shared" si="0"/>
        <v>1</v>
      </c>
      <c r="O38" s="720"/>
    </row>
    <row r="39" spans="1:15">
      <c r="A39" s="60">
        <f t="shared" si="1"/>
        <v>2000</v>
      </c>
      <c r="B39" s="1088">
        <f>TableUK6c!B39/TableUK6c!$B39</f>
        <v>1</v>
      </c>
      <c r="C39" s="20">
        <f>TableUK6c!C39/TableUK6c!$B39</f>
        <v>0.29947187420887222</v>
      </c>
      <c r="D39" s="51">
        <f>TableUK6c!D39/TableUK6c!$B39</f>
        <v>0.41518069259368784</v>
      </c>
      <c r="E39" s="52">
        <f>TableUK6c!E39/TableUK6c!$B39</f>
        <v>0.11570881838481557</v>
      </c>
      <c r="F39" s="1088">
        <f>TableUK6c!F39/TableUK6c!$B39</f>
        <v>4.135122396925868E-2</v>
      </c>
      <c r="G39" s="20">
        <f>TableUK6c!H39/TableUK6c!$B39</f>
        <v>0.65917690182186917</v>
      </c>
      <c r="H39" s="51">
        <f>TableUK6c!I39/TableUK6c!$B39</f>
        <v>0.16157134898728331</v>
      </c>
      <c r="I39" s="51">
        <f>TableUK6c!J39/TableUK6c!$B39</f>
        <v>0.37106203409645938</v>
      </c>
      <c r="J39" s="51">
        <f>TableUK6c!K39/TableUK6c!$B39</f>
        <v>0.12654351873812644</v>
      </c>
      <c r="K39" s="1096">
        <f>TableUK6c!L39/TableUK6c!$B39</f>
        <v>4.3143612010294395E-2</v>
      </c>
      <c r="L39" s="1087"/>
      <c r="M39" s="1087"/>
      <c r="N39" s="720">
        <f t="shared" si="0"/>
        <v>1</v>
      </c>
      <c r="O39" s="720"/>
    </row>
    <row r="40" spans="1:15">
      <c r="A40" s="60">
        <f t="shared" si="1"/>
        <v>2001</v>
      </c>
      <c r="B40" s="1088">
        <f>TableUK6c!B40/TableUK6c!$B40</f>
        <v>1</v>
      </c>
      <c r="C40" s="20">
        <f>TableUK6c!C40/TableUK6c!$B40</f>
        <v>0.32867123701829321</v>
      </c>
      <c r="D40" s="51">
        <f>TableUK6c!D40/TableUK6c!$B40</f>
        <v>0.45365993553880457</v>
      </c>
      <c r="E40" s="52">
        <f>TableUK6c!E40/TableUK6c!$B40</f>
        <v>0.12498869852051137</v>
      </c>
      <c r="F40" s="1088">
        <f>TableUK6c!F40/TableUK6c!$B40</f>
        <v>4.1864234299495977E-2</v>
      </c>
      <c r="G40" s="20">
        <f>TableUK6c!H40/TableUK6c!$B40</f>
        <v>0.62946452868221081</v>
      </c>
      <c r="H40" s="51">
        <f>TableUK6c!I40/TableUK6c!$B40</f>
        <v>0.14276972993962397</v>
      </c>
      <c r="I40" s="51">
        <f>TableUK6c!J40/TableUK6c!$B40</f>
        <v>0.35527886275683235</v>
      </c>
      <c r="J40" s="51">
        <f>TableUK6c!K40/TableUK6c!$B40</f>
        <v>0.13141593598575452</v>
      </c>
      <c r="K40" s="1096">
        <f>TableUK6c!L40/TableUK6c!$B40</f>
        <v>4.6533439161831197E-2</v>
      </c>
      <c r="L40" s="1087"/>
      <c r="M40" s="1087"/>
      <c r="N40" s="720">
        <f t="shared" si="0"/>
        <v>1</v>
      </c>
      <c r="O40" s="720"/>
    </row>
    <row r="41" spans="1:15">
      <c r="A41" s="60">
        <f t="shared" si="1"/>
        <v>2002</v>
      </c>
      <c r="B41" s="1088">
        <f>TableUK6c!B41/TableUK6c!$B41</f>
        <v>1</v>
      </c>
      <c r="C41" s="20">
        <f>TableUK6c!C41/TableUK6c!$B41</f>
        <v>0.37913474174911349</v>
      </c>
      <c r="D41" s="51">
        <f>TableUK6c!D41/TableUK6c!$B41</f>
        <v>0.51857135772556429</v>
      </c>
      <c r="E41" s="52">
        <f>TableUK6c!E41/TableUK6c!$B41</f>
        <v>0.13943661597645082</v>
      </c>
      <c r="F41" s="1088">
        <f>TableUK6c!F41/TableUK6c!$B41</f>
        <v>4.3446779701242985E-2</v>
      </c>
      <c r="G41" s="20">
        <f>TableUK6c!H41/TableUK6c!$B41</f>
        <v>0.57741847854964345</v>
      </c>
      <c r="H41" s="51">
        <f>TableUK6c!I41/TableUK6c!$B41</f>
        <v>0.11033258148159955</v>
      </c>
      <c r="I41" s="51">
        <f>TableUK6c!J41/TableUK6c!$B41</f>
        <v>0.33031352837199746</v>
      </c>
      <c r="J41" s="51">
        <f>TableUK6c!K41/TableUK6c!$B41</f>
        <v>0.13677236869604648</v>
      </c>
      <c r="K41" s="1096">
        <f>TableUK6c!L41/TableUK6c!$B41</f>
        <v>5.2373690679872333E-2</v>
      </c>
      <c r="L41" s="1087"/>
      <c r="M41" s="1087"/>
      <c r="N41" s="720">
        <f t="shared" si="0"/>
        <v>1</v>
      </c>
      <c r="O41" s="720"/>
    </row>
    <row r="42" spans="1:15">
      <c r="A42" s="60">
        <f t="shared" si="1"/>
        <v>2003</v>
      </c>
      <c r="B42" s="1088">
        <f>TableUK6c!B42/TableUK6c!$B42</f>
        <v>1</v>
      </c>
      <c r="C42" s="20">
        <f>TableUK6c!C42/TableUK6c!$B42</f>
        <v>0.41737861421057437</v>
      </c>
      <c r="D42" s="51">
        <f>TableUK6c!D42/TableUK6c!$B42</f>
        <v>0.56807119130657646</v>
      </c>
      <c r="E42" s="52">
        <f>TableUK6c!E42/TableUK6c!$B42</f>
        <v>0.15069257709600212</v>
      </c>
      <c r="F42" s="1088">
        <f>TableUK6c!F42/TableUK6c!$B42</f>
        <v>4.2863750421704275E-2</v>
      </c>
      <c r="G42" s="20">
        <f>TableUK6c!H42/TableUK6c!$B42</f>
        <v>0.53975763536772148</v>
      </c>
      <c r="H42" s="51">
        <f>TableUK6c!I42/TableUK6c!$B42</f>
        <v>9.5166989664183951E-2</v>
      </c>
      <c r="I42" s="51">
        <f>TableUK6c!J42/TableUK6c!$B42</f>
        <v>0.30960557944124728</v>
      </c>
      <c r="J42" s="51">
        <f>TableUK6c!K42/TableUK6c!$B42</f>
        <v>0.13498506626229023</v>
      </c>
      <c r="K42" s="1096">
        <f>TableUK6c!L42/TableUK6c!$B42</f>
        <v>5.5291449493542207E-2</v>
      </c>
      <c r="L42" s="1087"/>
      <c r="M42" s="1087"/>
      <c r="N42" s="720">
        <f t="shared" si="0"/>
        <v>1</v>
      </c>
      <c r="O42" s="720"/>
    </row>
    <row r="43" spans="1:15">
      <c r="A43" s="60">
        <f t="shared" si="1"/>
        <v>2004</v>
      </c>
      <c r="B43" s="1088">
        <f>TableUK6c!B43/TableUK6c!$B43</f>
        <v>1</v>
      </c>
      <c r="C43" s="20">
        <f>TableUK6c!C43/TableUK6c!$B43</f>
        <v>0.42497280891174155</v>
      </c>
      <c r="D43" s="51">
        <f>TableUK6c!D43/TableUK6c!$B43</f>
        <v>0.58341921253228979</v>
      </c>
      <c r="E43" s="52">
        <f>TableUK6c!E43/TableUK6c!$B43</f>
        <v>0.15844640362054827</v>
      </c>
      <c r="F43" s="1088">
        <f>TableUK6c!F43/TableUK6c!$B43</f>
        <v>4.054839304835426E-2</v>
      </c>
      <c r="G43" s="20">
        <f>TableUK6c!H43/TableUK6c!$B43</f>
        <v>0.53447879803990428</v>
      </c>
      <c r="H43" s="51">
        <f>TableUK6c!I43/TableUK6c!$B43</f>
        <v>9.7300892932922656E-2</v>
      </c>
      <c r="I43" s="51">
        <f>TableUK6c!J43/TableUK6c!$B43</f>
        <v>0.30513056607851152</v>
      </c>
      <c r="J43" s="51">
        <f>TableUK6c!K43/TableUK6c!$B43</f>
        <v>0.13204733902847005</v>
      </c>
      <c r="K43" s="1096">
        <f>TableUK6c!L43/TableUK6c!$B43</f>
        <v>5.532287226022365E-2</v>
      </c>
      <c r="L43" s="1087"/>
      <c r="M43" s="1087"/>
      <c r="N43" s="720">
        <f t="shared" si="0"/>
        <v>1</v>
      </c>
      <c r="O43" s="720"/>
    </row>
    <row r="44" spans="1:15">
      <c r="A44" s="60">
        <f t="shared" si="1"/>
        <v>2005</v>
      </c>
      <c r="B44" s="1088">
        <f>TableUK6c!B44/TableUK6c!$B44</f>
        <v>1</v>
      </c>
      <c r="C44" s="20">
        <f>TableUK6c!C44/TableUK6c!$B44</f>
        <v>0.4173297146341608</v>
      </c>
      <c r="D44" s="51">
        <f>TableUK6c!D44/TableUK6c!$B44</f>
        <v>0.57758601478994875</v>
      </c>
      <c r="E44" s="52">
        <f>TableUK6c!E44/TableUK6c!$B44</f>
        <v>0.16025630015578798</v>
      </c>
      <c r="F44" s="1088">
        <f>TableUK6c!F44/TableUK6c!$B44</f>
        <v>3.8649722445139277E-2</v>
      </c>
      <c r="G44" s="20">
        <f>TableUK6c!H44/TableUK6c!$B44</f>
        <v>0.5440205629207</v>
      </c>
      <c r="H44" s="51">
        <f>TableUK6c!I44/TableUK6c!$B44</f>
        <v>9.8361253529936049E-2</v>
      </c>
      <c r="I44" s="51">
        <f>TableUK6c!J44/TableUK6c!$B44</f>
        <v>0.31464811268596105</v>
      </c>
      <c r="J44" s="51">
        <f>TableUK6c!K44/TableUK6c!$B44</f>
        <v>0.13101119670480291</v>
      </c>
      <c r="K44" s="1096">
        <f>TableUK6c!L44/TableUK6c!$B44</f>
        <v>5.4496284808642013E-2</v>
      </c>
      <c r="L44" s="1087"/>
      <c r="M44" s="1087"/>
      <c r="N44" s="720">
        <f t="shared" si="0"/>
        <v>1</v>
      </c>
      <c r="O44" s="720"/>
    </row>
    <row r="45" spans="1:15">
      <c r="A45" s="60">
        <f t="shared" si="1"/>
        <v>2006</v>
      </c>
      <c r="B45" s="1088">
        <f>TableUK6c!B45/TableUK6c!$B45</f>
        <v>1</v>
      </c>
      <c r="C45" s="20">
        <f>TableUK6c!C45/TableUK6c!$B45</f>
        <v>0.40887316458642931</v>
      </c>
      <c r="D45" s="51">
        <f>TableUK6c!D45/TableUK6c!$B45</f>
        <v>0.56962524948794269</v>
      </c>
      <c r="E45" s="52">
        <f>TableUK6c!E45/TableUK6c!$B45</f>
        <v>0.16075208490151335</v>
      </c>
      <c r="F45" s="1088">
        <f>TableUK6c!F45/TableUK6c!$B45</f>
        <v>3.6774326334967543E-2</v>
      </c>
      <c r="G45" s="20">
        <f>TableUK6c!H45/TableUK6c!$B45</f>
        <v>0.55435250907860301</v>
      </c>
      <c r="H45" s="51">
        <f>TableUK6c!I45/TableUK6c!$B45</f>
        <v>9.7950175229817249E-2</v>
      </c>
      <c r="I45" s="51">
        <f>TableUK6c!J45/TableUK6c!$B45</f>
        <v>0.32744587283095028</v>
      </c>
      <c r="J45" s="51">
        <f>TableUK6c!K45/TableUK6c!$B45</f>
        <v>0.12895646101783545</v>
      </c>
      <c r="K45" s="1096">
        <f>TableUK6c!L45/TableUK6c!$B45</f>
        <v>5.5396468447090494E-2</v>
      </c>
      <c r="L45" s="1087"/>
      <c r="M45" s="1087"/>
      <c r="N45" s="720">
        <f t="shared" si="0"/>
        <v>0.99999999999999978</v>
      </c>
      <c r="O45" s="720"/>
    </row>
    <row r="46" spans="1:15">
      <c r="A46" s="60">
        <f t="shared" si="1"/>
        <v>2007</v>
      </c>
      <c r="B46" s="1088">
        <f>TableUK6c!B46/TableUK6c!$B46</f>
        <v>1</v>
      </c>
      <c r="C46" s="20">
        <f>TableUK6c!C46/TableUK6c!$B46</f>
        <v>0.41994668076191721</v>
      </c>
      <c r="D46" s="51">
        <f>TableUK6c!D46/TableUK6c!$B46</f>
        <v>0.5849812136489243</v>
      </c>
      <c r="E46" s="52">
        <f>TableUK6c!E46/TableUK6c!$B46</f>
        <v>0.16503453288700717</v>
      </c>
      <c r="F46" s="1088">
        <f>TableUK6c!F46/TableUK6c!$B46</f>
        <v>3.4520620888357473E-2</v>
      </c>
      <c r="G46" s="20">
        <f>TableUK6c!H46/TableUK6c!$B46</f>
        <v>0.54553269834972551</v>
      </c>
      <c r="H46" s="51">
        <f>TableUK6c!I46/TableUK6c!$B46</f>
        <v>9.2216003793316056E-2</v>
      </c>
      <c r="I46" s="51">
        <f>TableUK6c!J46/TableUK6c!$B46</f>
        <v>0.32520927466074961</v>
      </c>
      <c r="J46" s="51">
        <f>TableUK6c!K46/TableUK6c!$B46</f>
        <v>0.12810741989565977</v>
      </c>
      <c r="K46" s="1096">
        <f>TableUK6c!L46/TableUK6c!$B46</f>
        <v>5.5714291841969951E-2</v>
      </c>
      <c r="L46" s="1087"/>
      <c r="M46" s="1087"/>
      <c r="N46" s="720">
        <f t="shared" si="0"/>
        <v>1.0000000000000002</v>
      </c>
      <c r="O46" s="720"/>
    </row>
    <row r="47" spans="1:15">
      <c r="A47" s="60">
        <v>2008</v>
      </c>
      <c r="B47" s="1088">
        <f>TableUK6c!B47/TableUK6c!$B47</f>
        <v>1</v>
      </c>
      <c r="C47" s="20">
        <f>TableUK6c!C47/TableUK6c!$B47</f>
        <v>0.42157547709914045</v>
      </c>
      <c r="D47" s="51">
        <f>TableUK6c!D47/TableUK6c!$B47</f>
        <v>0.60254143047151565</v>
      </c>
      <c r="E47" s="52">
        <f>TableUK6c!E47/TableUK6c!$B47</f>
        <v>0.18096595337237525</v>
      </c>
      <c r="F47" s="1088">
        <f>TableUK6c!F47/TableUK6c!$B47</f>
        <v>3.4320119129019951E-2</v>
      </c>
      <c r="G47" s="20">
        <f>TableUK6c!H47/TableUK6c!$B47</f>
        <v>0.54410440377183966</v>
      </c>
      <c r="H47" s="51">
        <f>TableUK6c!I47/TableUK6c!$B47</f>
        <v>7.8533337605749085E-2</v>
      </c>
      <c r="I47" s="51">
        <f>TableUK6c!J47/TableUK6c!$B47</f>
        <v>0.32001446517902293</v>
      </c>
      <c r="J47" s="51">
        <f>TableUK6c!K47/TableUK6c!$B47</f>
        <v>0.1455566009870676</v>
      </c>
      <c r="K47" s="1096">
        <f>TableUK6c!L47/TableUK6c!$B47</f>
        <v>5.7277888239035159E-2</v>
      </c>
      <c r="L47" s="1087"/>
      <c r="M47" s="1087"/>
      <c r="N47" s="720">
        <f t="shared" si="0"/>
        <v>1</v>
      </c>
      <c r="O47" s="720"/>
    </row>
    <row r="48" spans="1:15">
      <c r="A48" s="1091">
        <v>2009</v>
      </c>
      <c r="B48" s="1090">
        <f>TableUK6c!B48/TableUK6c!$B48</f>
        <v>1</v>
      </c>
      <c r="C48" s="897">
        <f>TableUK6c!C48/TableUK6c!$B48</f>
        <v>0.40615273757789788</v>
      </c>
      <c r="D48" s="1075">
        <f>TableUK6c!D48/TableUK6c!$B48</f>
        <v>0.59404914339311321</v>
      </c>
      <c r="E48" s="1076">
        <f>TableUK6c!E48/TableUK6c!$B48</f>
        <v>0.18789640581521536</v>
      </c>
      <c r="F48" s="1090">
        <f>TableUK6c!F48/TableUK6c!$B48</f>
        <v>3.4297711512408603E-2</v>
      </c>
      <c r="G48" s="897">
        <f>TableUK6c!H48/TableUK6c!$B48</f>
        <v>0.55954955090969338</v>
      </c>
      <c r="H48" s="1075">
        <f>TableUK6c!I48/TableUK6c!$B48</f>
        <v>7.6995615926274394E-2</v>
      </c>
      <c r="I48" s="1075">
        <f>TableUK6c!J48/TableUK6c!$B48</f>
        <v>0.32422423837953285</v>
      </c>
      <c r="J48" s="1075">
        <f>TableUK6c!K48/TableUK6c!$B48</f>
        <v>0.15832969660388624</v>
      </c>
      <c r="K48" s="1098">
        <f>TableUK6c!L48/TableUK6c!$B48</f>
        <v>5.5697252529618359E-2</v>
      </c>
      <c r="L48" s="1087"/>
      <c r="M48" s="1087"/>
      <c r="N48" s="720">
        <f t="shared" si="0"/>
        <v>0.99999999999999989</v>
      </c>
      <c r="O48" s="720"/>
    </row>
    <row r="49" spans="1:15" ht="13" thickBot="1">
      <c r="A49" s="1092">
        <v>2010</v>
      </c>
      <c r="B49" s="1093">
        <f>TableUK6c!B49/TableUK6c!$B49</f>
        <v>1</v>
      </c>
      <c r="C49" s="1101">
        <f>TableUK6c!C49/TableUK6c!$B49</f>
        <v>0.39960866334461503</v>
      </c>
      <c r="D49" s="1094">
        <f>TableUK6c!D49/TableUK6c!$B49</f>
        <v>0.57407704576380003</v>
      </c>
      <c r="E49" s="1103">
        <f>TableUK6c!E49/TableUK6c!$B49</f>
        <v>0.17446838241918508</v>
      </c>
      <c r="F49" s="1093">
        <f>TableUK6c!F49/TableUK6c!$B49</f>
        <v>3.321061201163044E-2</v>
      </c>
      <c r="G49" s="1101">
        <f>TableUK6c!H49/TableUK6c!$B49</f>
        <v>0.56718072464375446</v>
      </c>
      <c r="H49" s="1094">
        <f>TableUK6c!I49/TableUK6c!$B49</f>
        <v>8.7640516375732835E-2</v>
      </c>
      <c r="I49" s="1094">
        <f>TableUK6c!J49/TableUK6c!$B49</f>
        <v>0.3288395300689384</v>
      </c>
      <c r="J49" s="1094">
        <f>TableUK6c!K49/TableUK6c!$B49</f>
        <v>0.15070067819908331</v>
      </c>
      <c r="K49" s="1099">
        <f>TableUK6c!L49/TableUK6c!$B49</f>
        <v>5.0041840796463039E-2</v>
      </c>
      <c r="L49" s="1087"/>
      <c r="M49" s="1087"/>
      <c r="N49" s="720">
        <f t="shared" si="0"/>
        <v>1</v>
      </c>
      <c r="O49" s="720"/>
    </row>
    <row r="50" spans="1:15" ht="13" thickTop="1">
      <c r="B50" s="691"/>
      <c r="C50" s="691"/>
      <c r="D50" s="691"/>
      <c r="E50" s="691"/>
      <c r="F50" s="691"/>
      <c r="G50" s="691"/>
      <c r="H50" s="691"/>
      <c r="I50" s="691"/>
      <c r="J50" s="691"/>
      <c r="K50" s="1087"/>
      <c r="L50" s="1087"/>
      <c r="M50" s="1087"/>
    </row>
    <row r="51" spans="1:15">
      <c r="B51" s="691"/>
      <c r="C51" s="691"/>
      <c r="D51" s="691"/>
      <c r="E51" s="691"/>
      <c r="F51" s="691"/>
      <c r="G51" s="691"/>
      <c r="H51" s="691"/>
      <c r="I51" s="691"/>
      <c r="J51" s="691"/>
      <c r="K51" s="1087"/>
      <c r="L51" s="1087"/>
      <c r="M51" s="1087"/>
    </row>
    <row r="52" spans="1:15">
      <c r="B52" s="691"/>
      <c r="C52" s="691"/>
      <c r="D52" s="691"/>
      <c r="E52" s="691"/>
      <c r="F52" s="691"/>
      <c r="G52" s="691"/>
      <c r="H52" s="691"/>
      <c r="I52" s="691"/>
      <c r="J52" s="691"/>
      <c r="K52" s="691"/>
      <c r="L52" s="691"/>
      <c r="M52" s="691"/>
    </row>
    <row r="53" spans="1:15">
      <c r="B53" s="691"/>
      <c r="C53" s="691"/>
      <c r="D53" s="691"/>
      <c r="E53" s="691"/>
      <c r="F53" s="691"/>
      <c r="G53" s="691"/>
      <c r="H53" s="691"/>
      <c r="I53" s="691"/>
      <c r="J53" s="691"/>
      <c r="K53" s="691"/>
      <c r="L53" s="691"/>
      <c r="M53" s="691"/>
    </row>
    <row r="54" spans="1:15">
      <c r="B54" s="691"/>
      <c r="C54" s="691"/>
      <c r="D54" s="691"/>
      <c r="E54" s="691"/>
      <c r="F54" s="691"/>
      <c r="G54" s="691"/>
      <c r="H54" s="691"/>
      <c r="I54" s="691"/>
      <c r="J54" s="691"/>
      <c r="K54" s="691"/>
      <c r="L54" s="691"/>
      <c r="M54" s="691"/>
    </row>
    <row r="55" spans="1:15">
      <c r="B55" s="691"/>
      <c r="C55" s="691"/>
      <c r="D55" s="691"/>
      <c r="E55" s="691"/>
      <c r="F55" s="691"/>
      <c r="G55" s="691"/>
      <c r="H55" s="691"/>
      <c r="I55" s="691"/>
      <c r="J55" s="691"/>
      <c r="K55" s="691"/>
      <c r="L55" s="691"/>
      <c r="M55" s="691"/>
    </row>
    <row r="56" spans="1:15">
      <c r="B56" s="691"/>
      <c r="C56" s="691"/>
      <c r="D56" s="691"/>
      <c r="E56" s="691"/>
      <c r="F56" s="691"/>
      <c r="G56" s="691"/>
      <c r="H56" s="691"/>
      <c r="I56" s="691"/>
      <c r="J56" s="691"/>
      <c r="K56" s="691"/>
      <c r="L56" s="691"/>
      <c r="M56" s="691"/>
    </row>
    <row r="57" spans="1:15">
      <c r="B57" s="691"/>
      <c r="C57" s="691"/>
      <c r="D57" s="691"/>
      <c r="E57" s="691"/>
      <c r="F57" s="691"/>
      <c r="G57" s="691"/>
      <c r="H57" s="691"/>
      <c r="I57" s="691"/>
      <c r="J57" s="691"/>
      <c r="K57" s="691"/>
      <c r="L57" s="691"/>
      <c r="M57" s="691"/>
    </row>
    <row r="58" spans="1:15">
      <c r="B58" s="691"/>
      <c r="C58" s="691"/>
      <c r="D58" s="691"/>
      <c r="E58" s="691"/>
      <c r="F58" s="691"/>
      <c r="G58" s="691"/>
      <c r="H58" s="691"/>
      <c r="I58" s="691"/>
      <c r="J58" s="691"/>
      <c r="K58" s="691"/>
      <c r="L58" s="691"/>
      <c r="M58" s="691"/>
    </row>
    <row r="59" spans="1:15">
      <c r="B59" s="691"/>
      <c r="C59" s="691"/>
      <c r="D59" s="691"/>
      <c r="E59" s="691"/>
      <c r="F59" s="691"/>
      <c r="G59" s="691"/>
      <c r="H59" s="691"/>
      <c r="I59" s="691"/>
      <c r="J59" s="691"/>
      <c r="K59" s="691"/>
      <c r="L59" s="691"/>
      <c r="M59" s="691"/>
    </row>
    <row r="60" spans="1:15">
      <c r="B60" s="691"/>
      <c r="C60" s="691"/>
      <c r="D60" s="691"/>
      <c r="E60" s="691"/>
      <c r="F60" s="691"/>
      <c r="G60" s="691"/>
      <c r="H60" s="691"/>
      <c r="I60" s="691"/>
      <c r="J60" s="691"/>
      <c r="K60" s="691"/>
      <c r="L60" s="691"/>
      <c r="M60" s="691"/>
    </row>
    <row r="61" spans="1:15">
      <c r="B61" s="691"/>
      <c r="C61" s="691"/>
      <c r="D61" s="691"/>
      <c r="E61" s="691"/>
      <c r="F61" s="691"/>
      <c r="G61" s="691"/>
      <c r="H61" s="691"/>
      <c r="I61" s="691"/>
      <c r="J61" s="691"/>
      <c r="K61" s="691"/>
      <c r="L61" s="691"/>
      <c r="M61" s="691"/>
    </row>
    <row r="62" spans="1:15">
      <c r="B62" s="691"/>
      <c r="C62" s="691"/>
      <c r="D62" s="691"/>
      <c r="E62" s="691"/>
      <c r="F62" s="691"/>
      <c r="G62" s="691"/>
      <c r="H62" s="691"/>
      <c r="I62" s="691"/>
      <c r="J62" s="691"/>
      <c r="K62" s="691"/>
      <c r="L62" s="691"/>
      <c r="M62" s="691"/>
    </row>
    <row r="63" spans="1:15">
      <c r="B63" s="691"/>
      <c r="C63" s="691"/>
      <c r="D63" s="691"/>
      <c r="E63" s="691"/>
      <c r="F63" s="691"/>
      <c r="G63" s="691"/>
      <c r="H63" s="691"/>
      <c r="I63" s="691"/>
      <c r="J63" s="691"/>
      <c r="K63" s="691"/>
      <c r="L63" s="691"/>
      <c r="M63" s="691"/>
    </row>
    <row r="64" spans="1:15">
      <c r="B64" s="691"/>
      <c r="C64" s="691"/>
      <c r="D64" s="691"/>
      <c r="E64" s="691"/>
      <c r="F64" s="691"/>
      <c r="G64" s="691"/>
      <c r="H64" s="691"/>
      <c r="I64" s="691"/>
      <c r="J64" s="691"/>
      <c r="K64" s="691"/>
      <c r="L64" s="691"/>
      <c r="M64" s="691"/>
    </row>
    <row r="65" spans="2:13">
      <c r="B65" s="691"/>
      <c r="C65" s="691"/>
      <c r="D65" s="691"/>
      <c r="E65" s="691"/>
      <c r="F65" s="691"/>
      <c r="G65" s="691"/>
      <c r="H65" s="691"/>
      <c r="I65" s="691"/>
      <c r="J65" s="691"/>
      <c r="K65" s="691"/>
      <c r="L65" s="691"/>
      <c r="M65" s="691"/>
    </row>
    <row r="66" spans="2:13">
      <c r="B66" s="691"/>
      <c r="C66" s="691"/>
      <c r="D66" s="691"/>
      <c r="E66" s="691"/>
      <c r="F66" s="691"/>
      <c r="G66" s="691"/>
      <c r="H66" s="691"/>
      <c r="I66" s="691"/>
      <c r="J66" s="691"/>
      <c r="K66" s="691"/>
      <c r="L66" s="691"/>
      <c r="M66" s="691"/>
    </row>
    <row r="67" spans="2:13">
      <c r="B67" s="691"/>
      <c r="C67" s="691"/>
      <c r="D67" s="691"/>
      <c r="E67" s="691"/>
      <c r="F67" s="691"/>
      <c r="G67" s="691"/>
      <c r="H67" s="691"/>
      <c r="I67" s="691"/>
      <c r="J67" s="691"/>
      <c r="K67" s="691"/>
      <c r="L67" s="691"/>
      <c r="M67" s="691"/>
    </row>
    <row r="68" spans="2:13">
      <c r="B68" s="691"/>
      <c r="C68" s="691"/>
      <c r="D68" s="691"/>
      <c r="E68" s="691"/>
      <c r="F68" s="691"/>
      <c r="G68" s="691"/>
      <c r="H68" s="691"/>
      <c r="I68" s="691"/>
      <c r="J68" s="691"/>
      <c r="K68" s="691"/>
      <c r="L68" s="691"/>
      <c r="M68" s="691"/>
    </row>
    <row r="69" spans="2:13">
      <c r="B69" s="691"/>
      <c r="C69" s="691"/>
      <c r="D69" s="691"/>
      <c r="E69" s="691"/>
      <c r="F69" s="691"/>
      <c r="G69" s="691"/>
      <c r="H69" s="691"/>
      <c r="I69" s="691"/>
      <c r="J69" s="691"/>
      <c r="K69" s="691"/>
      <c r="L69" s="691"/>
      <c r="M69" s="691"/>
    </row>
    <row r="70" spans="2:13">
      <c r="B70" s="691"/>
      <c r="C70" s="691"/>
      <c r="D70" s="691"/>
      <c r="E70" s="691"/>
      <c r="F70" s="691"/>
      <c r="G70" s="691"/>
      <c r="H70" s="691"/>
      <c r="I70" s="691"/>
      <c r="J70" s="691"/>
      <c r="K70" s="691"/>
      <c r="L70" s="691"/>
      <c r="M70" s="691"/>
    </row>
    <row r="71" spans="2:13">
      <c r="B71" s="691"/>
      <c r="C71" s="691"/>
      <c r="D71" s="691"/>
      <c r="E71" s="691"/>
      <c r="F71" s="691"/>
      <c r="G71" s="691"/>
      <c r="H71" s="691"/>
      <c r="I71" s="691"/>
      <c r="J71" s="691"/>
      <c r="K71" s="691"/>
      <c r="L71" s="691"/>
      <c r="M71" s="691"/>
    </row>
    <row r="72" spans="2:13">
      <c r="B72" s="691"/>
      <c r="C72" s="691"/>
      <c r="D72" s="691"/>
      <c r="E72" s="691"/>
      <c r="F72" s="691"/>
      <c r="G72" s="691"/>
      <c r="H72" s="691"/>
      <c r="I72" s="691"/>
      <c r="J72" s="691"/>
      <c r="K72" s="691"/>
      <c r="L72" s="691"/>
      <c r="M72" s="691"/>
    </row>
    <row r="73" spans="2:13">
      <c r="B73" s="691"/>
      <c r="C73" s="691"/>
      <c r="D73" s="691"/>
      <c r="E73" s="691"/>
      <c r="F73" s="691"/>
      <c r="G73" s="691"/>
      <c r="H73" s="691"/>
      <c r="I73" s="691"/>
      <c r="J73" s="691"/>
      <c r="K73" s="691"/>
      <c r="L73" s="691"/>
      <c r="M73" s="691"/>
    </row>
    <row r="74" spans="2:13">
      <c r="B74" s="691"/>
      <c r="C74" s="691"/>
      <c r="D74" s="691"/>
      <c r="E74" s="691"/>
      <c r="F74" s="691"/>
      <c r="G74" s="691"/>
      <c r="H74" s="691"/>
      <c r="I74" s="691"/>
      <c r="J74" s="691"/>
      <c r="K74" s="691"/>
      <c r="L74" s="691"/>
      <c r="M74" s="691"/>
    </row>
    <row r="75" spans="2:13">
      <c r="B75" s="691"/>
      <c r="C75" s="691"/>
      <c r="D75" s="691"/>
      <c r="E75" s="691"/>
      <c r="F75" s="691"/>
      <c r="G75" s="691"/>
      <c r="H75" s="691"/>
      <c r="I75" s="691"/>
      <c r="J75" s="691"/>
      <c r="K75" s="691"/>
      <c r="L75" s="691"/>
      <c r="M75" s="691"/>
    </row>
    <row r="76" spans="2:13">
      <c r="B76" s="691"/>
      <c r="C76" s="691"/>
      <c r="D76" s="691"/>
      <c r="E76" s="691"/>
      <c r="F76" s="691"/>
      <c r="G76" s="691"/>
      <c r="H76" s="691"/>
      <c r="I76" s="691"/>
      <c r="J76" s="691"/>
      <c r="K76" s="691"/>
      <c r="L76" s="691"/>
      <c r="M76" s="691"/>
    </row>
    <row r="77" spans="2:13">
      <c r="B77" s="691"/>
      <c r="C77" s="691"/>
      <c r="D77" s="691"/>
      <c r="E77" s="691"/>
      <c r="F77" s="691"/>
      <c r="G77" s="691"/>
      <c r="H77" s="691"/>
      <c r="I77" s="691"/>
      <c r="J77" s="691"/>
      <c r="K77" s="691"/>
      <c r="L77" s="691"/>
      <c r="M77" s="691"/>
    </row>
    <row r="78" spans="2:13">
      <c r="B78" s="691"/>
      <c r="C78" s="691"/>
      <c r="D78" s="691"/>
      <c r="E78" s="691"/>
      <c r="F78" s="691"/>
      <c r="G78" s="691"/>
      <c r="H78" s="691"/>
      <c r="I78" s="691"/>
      <c r="J78" s="691"/>
      <c r="K78" s="691"/>
      <c r="L78" s="691"/>
      <c r="M78" s="691"/>
    </row>
    <row r="79" spans="2:13">
      <c r="B79" s="691"/>
      <c r="C79" s="691"/>
      <c r="D79" s="691"/>
      <c r="E79" s="691"/>
      <c r="F79" s="691"/>
      <c r="G79" s="691"/>
      <c r="H79" s="691"/>
      <c r="I79" s="691"/>
      <c r="J79" s="691"/>
      <c r="K79" s="691"/>
      <c r="L79" s="691"/>
      <c r="M79" s="691"/>
    </row>
    <row r="80" spans="2:13">
      <c r="B80" s="691"/>
      <c r="C80" s="691"/>
      <c r="D80" s="691"/>
      <c r="E80" s="691"/>
      <c r="F80" s="691"/>
      <c r="G80" s="691"/>
      <c r="H80" s="691"/>
      <c r="I80" s="691"/>
      <c r="J80" s="691"/>
      <c r="K80" s="691"/>
      <c r="L80" s="691"/>
      <c r="M80" s="691"/>
    </row>
    <row r="81" spans="2:13">
      <c r="B81" s="691"/>
      <c r="C81" s="691"/>
      <c r="D81" s="691"/>
      <c r="E81" s="691"/>
      <c r="F81" s="691"/>
      <c r="G81" s="691"/>
      <c r="H81" s="691"/>
      <c r="I81" s="691"/>
      <c r="J81" s="691"/>
      <c r="K81" s="691"/>
      <c r="L81" s="691"/>
      <c r="M81" s="691"/>
    </row>
    <row r="82" spans="2:13">
      <c r="B82" s="691"/>
      <c r="C82" s="691"/>
      <c r="D82" s="691"/>
      <c r="E82" s="691"/>
      <c r="F82" s="691"/>
      <c r="G82" s="691"/>
      <c r="H82" s="691"/>
      <c r="I82" s="691"/>
      <c r="J82" s="691"/>
      <c r="K82" s="691"/>
      <c r="L82" s="691"/>
      <c r="M82" s="691"/>
    </row>
    <row r="83" spans="2:13">
      <c r="B83" s="691"/>
      <c r="C83" s="691"/>
      <c r="D83" s="691"/>
      <c r="E83" s="691"/>
      <c r="F83" s="691"/>
      <c r="G83" s="691"/>
      <c r="H83" s="691"/>
      <c r="I83" s="691"/>
      <c r="J83" s="691"/>
      <c r="K83" s="691"/>
      <c r="L83" s="691"/>
      <c r="M83" s="691"/>
    </row>
    <row r="84" spans="2:13">
      <c r="B84" s="691"/>
      <c r="C84" s="691"/>
      <c r="D84" s="691"/>
      <c r="E84" s="691"/>
      <c r="F84" s="691"/>
      <c r="G84" s="691"/>
      <c r="H84" s="691"/>
      <c r="I84" s="691"/>
      <c r="J84" s="691"/>
      <c r="K84" s="691"/>
      <c r="L84" s="691"/>
      <c r="M84" s="691"/>
    </row>
    <row r="85" spans="2:13">
      <c r="B85" s="691"/>
      <c r="C85" s="691"/>
      <c r="D85" s="691"/>
      <c r="E85" s="691"/>
      <c r="F85" s="691"/>
      <c r="G85" s="691"/>
      <c r="H85" s="691"/>
      <c r="I85" s="691"/>
      <c r="J85" s="691"/>
      <c r="K85" s="691"/>
      <c r="L85" s="691"/>
      <c r="M85" s="691"/>
    </row>
    <row r="86" spans="2:13">
      <c r="B86" s="691"/>
      <c r="C86" s="691"/>
      <c r="D86" s="691"/>
      <c r="E86" s="691"/>
      <c r="F86" s="691"/>
      <c r="G86" s="691"/>
      <c r="H86" s="691"/>
      <c r="I86" s="691"/>
      <c r="J86" s="691"/>
      <c r="K86" s="691"/>
      <c r="L86" s="691"/>
      <c r="M86" s="691"/>
    </row>
    <row r="87" spans="2:13">
      <c r="B87" s="691"/>
      <c r="C87" s="691"/>
      <c r="D87" s="691"/>
      <c r="E87" s="691"/>
      <c r="F87" s="691"/>
      <c r="G87" s="691"/>
      <c r="H87" s="691"/>
      <c r="I87" s="691"/>
      <c r="J87" s="691"/>
      <c r="K87" s="691"/>
      <c r="L87" s="691"/>
      <c r="M87" s="691"/>
    </row>
    <row r="88" spans="2:13">
      <c r="B88" s="691"/>
      <c r="C88" s="691"/>
      <c r="D88" s="691"/>
      <c r="E88" s="691"/>
      <c r="F88" s="691"/>
      <c r="G88" s="691"/>
      <c r="H88" s="691"/>
      <c r="I88" s="691"/>
      <c r="J88" s="691"/>
      <c r="K88" s="691"/>
      <c r="L88" s="691"/>
      <c r="M88" s="691"/>
    </row>
    <row r="89" spans="2:13">
      <c r="B89" s="691"/>
      <c r="C89" s="691"/>
      <c r="D89" s="691"/>
      <c r="E89" s="691"/>
      <c r="F89" s="691"/>
      <c r="G89" s="691"/>
      <c r="H89" s="691"/>
      <c r="I89" s="691"/>
      <c r="J89" s="691"/>
      <c r="K89" s="691"/>
      <c r="L89" s="691"/>
      <c r="M89" s="691"/>
    </row>
    <row r="90" spans="2:13">
      <c r="B90" s="691"/>
      <c r="C90" s="691"/>
      <c r="D90" s="691"/>
      <c r="E90" s="691"/>
      <c r="F90" s="691"/>
      <c r="G90" s="691"/>
      <c r="H90" s="691"/>
      <c r="I90" s="691"/>
      <c r="J90" s="691"/>
      <c r="K90" s="691"/>
      <c r="L90" s="691"/>
      <c r="M90" s="691"/>
    </row>
    <row r="91" spans="2:13">
      <c r="B91" s="691"/>
      <c r="C91" s="691"/>
      <c r="D91" s="691"/>
      <c r="E91" s="691"/>
      <c r="F91" s="691"/>
      <c r="G91" s="691"/>
      <c r="H91" s="691"/>
      <c r="I91" s="691"/>
      <c r="J91" s="691"/>
      <c r="K91" s="691"/>
      <c r="L91" s="691"/>
      <c r="M91" s="691"/>
    </row>
    <row r="92" spans="2:13">
      <c r="B92" s="691"/>
      <c r="C92" s="691"/>
      <c r="D92" s="691"/>
      <c r="E92" s="691"/>
      <c r="F92" s="691"/>
      <c r="G92" s="691"/>
      <c r="H92" s="691"/>
      <c r="I92" s="691"/>
      <c r="J92" s="691"/>
      <c r="K92" s="691"/>
      <c r="L92" s="691"/>
      <c r="M92" s="691"/>
    </row>
    <row r="93" spans="2:13">
      <c r="B93" s="691"/>
      <c r="C93" s="691"/>
      <c r="D93" s="691"/>
      <c r="E93" s="691"/>
      <c r="F93" s="691"/>
      <c r="G93" s="691"/>
      <c r="H93" s="691"/>
      <c r="I93" s="691"/>
      <c r="J93" s="691"/>
      <c r="K93" s="691"/>
      <c r="L93" s="691"/>
      <c r="M93" s="691"/>
    </row>
    <row r="94" spans="2:13">
      <c r="B94" s="691"/>
      <c r="C94" s="691"/>
      <c r="D94" s="691"/>
      <c r="E94" s="691"/>
      <c r="F94" s="691"/>
      <c r="G94" s="691"/>
      <c r="H94" s="691"/>
      <c r="I94" s="691"/>
      <c r="J94" s="691"/>
      <c r="K94" s="691"/>
      <c r="L94" s="691"/>
      <c r="M94" s="691"/>
    </row>
    <row r="95" spans="2:13">
      <c r="B95" s="691"/>
      <c r="C95" s="691"/>
      <c r="D95" s="691"/>
      <c r="E95" s="691"/>
      <c r="F95" s="691"/>
      <c r="G95" s="691"/>
      <c r="H95" s="691"/>
      <c r="I95" s="691"/>
      <c r="J95" s="691"/>
      <c r="K95" s="691"/>
      <c r="L95" s="691"/>
      <c r="M95" s="691"/>
    </row>
    <row r="96" spans="2:13">
      <c r="B96" s="691"/>
      <c r="C96" s="691"/>
      <c r="D96" s="691"/>
      <c r="E96" s="691"/>
      <c r="F96" s="691"/>
      <c r="G96" s="691"/>
      <c r="H96" s="691"/>
      <c r="I96" s="691"/>
      <c r="J96" s="691"/>
      <c r="K96" s="691"/>
      <c r="L96" s="691"/>
      <c r="M96" s="691"/>
    </row>
    <row r="97" spans="2:13">
      <c r="B97" s="691"/>
      <c r="C97" s="691"/>
      <c r="D97" s="691"/>
      <c r="E97" s="691"/>
      <c r="F97" s="691"/>
      <c r="G97" s="691"/>
      <c r="H97" s="691"/>
      <c r="I97" s="691"/>
      <c r="J97" s="691"/>
      <c r="K97" s="691"/>
      <c r="L97" s="691"/>
      <c r="M97" s="691"/>
    </row>
    <row r="98" spans="2:13">
      <c r="B98" s="691"/>
      <c r="C98" s="691"/>
      <c r="D98" s="691"/>
      <c r="E98" s="691"/>
      <c r="F98" s="691"/>
      <c r="G98" s="691"/>
      <c r="H98" s="691"/>
      <c r="I98" s="691"/>
      <c r="J98" s="691"/>
      <c r="K98" s="691"/>
      <c r="L98" s="691"/>
      <c r="M98" s="691"/>
    </row>
    <row r="99" spans="2:13">
      <c r="B99" s="691"/>
      <c r="C99" s="691"/>
      <c r="D99" s="691"/>
      <c r="E99" s="691"/>
      <c r="F99" s="691"/>
      <c r="G99" s="691"/>
      <c r="H99" s="691"/>
      <c r="I99" s="691"/>
      <c r="J99" s="691"/>
      <c r="K99" s="691"/>
      <c r="L99" s="691"/>
      <c r="M99" s="691"/>
    </row>
    <row r="100" spans="2:13">
      <c r="B100" s="691"/>
      <c r="C100" s="691"/>
      <c r="D100" s="691"/>
      <c r="E100" s="691"/>
      <c r="F100" s="691"/>
      <c r="G100" s="691"/>
      <c r="H100" s="691"/>
      <c r="I100" s="691"/>
      <c r="J100" s="691"/>
      <c r="K100" s="691"/>
      <c r="L100" s="691"/>
      <c r="M100" s="691"/>
    </row>
    <row r="101" spans="2:13">
      <c r="B101" s="691"/>
      <c r="C101" s="691"/>
      <c r="D101" s="691"/>
      <c r="E101" s="691"/>
      <c r="F101" s="691"/>
      <c r="G101" s="691"/>
      <c r="H101" s="691"/>
      <c r="I101" s="691"/>
      <c r="J101" s="691"/>
      <c r="K101" s="691"/>
      <c r="L101" s="691"/>
      <c r="M101" s="691"/>
    </row>
    <row r="102" spans="2:13">
      <c r="B102" s="691"/>
      <c r="C102" s="691"/>
      <c r="D102" s="691"/>
      <c r="E102" s="691"/>
      <c r="F102" s="691"/>
      <c r="G102" s="691"/>
      <c r="H102" s="691"/>
      <c r="I102" s="691"/>
      <c r="J102" s="691"/>
      <c r="K102" s="691"/>
      <c r="L102" s="691"/>
      <c r="M102" s="691"/>
    </row>
    <row r="103" spans="2:13">
      <c r="B103" s="691"/>
      <c r="C103" s="691"/>
      <c r="D103" s="691"/>
      <c r="E103" s="691"/>
      <c r="F103" s="691"/>
      <c r="G103" s="691"/>
      <c r="H103" s="691"/>
      <c r="I103" s="691"/>
      <c r="J103" s="691"/>
      <c r="K103" s="691"/>
      <c r="L103" s="691"/>
      <c r="M103" s="691"/>
    </row>
    <row r="104" spans="2:13">
      <c r="B104" s="691"/>
      <c r="C104" s="691"/>
      <c r="D104" s="691"/>
      <c r="E104" s="691"/>
      <c r="F104" s="691"/>
      <c r="G104" s="691"/>
      <c r="H104" s="691"/>
      <c r="I104" s="691"/>
      <c r="J104" s="691"/>
      <c r="K104" s="691"/>
      <c r="L104" s="691"/>
      <c r="M104" s="691"/>
    </row>
    <row r="105" spans="2:13">
      <c r="B105" s="691"/>
      <c r="C105" s="691"/>
      <c r="D105" s="691"/>
      <c r="E105" s="691"/>
      <c r="F105" s="691"/>
      <c r="G105" s="691"/>
      <c r="H105" s="691"/>
      <c r="I105" s="691"/>
      <c r="J105" s="691"/>
      <c r="K105" s="691"/>
      <c r="L105" s="691"/>
      <c r="M105" s="691"/>
    </row>
    <row r="106" spans="2:13">
      <c r="B106" s="691"/>
      <c r="C106" s="691"/>
      <c r="D106" s="691"/>
      <c r="E106" s="691"/>
      <c r="F106" s="691"/>
      <c r="G106" s="691"/>
      <c r="H106" s="691"/>
      <c r="I106" s="691"/>
      <c r="J106" s="691"/>
      <c r="K106" s="691"/>
      <c r="L106" s="691"/>
      <c r="M106" s="691"/>
    </row>
    <row r="107" spans="2:13">
      <c r="B107" s="691"/>
      <c r="C107" s="691"/>
      <c r="D107" s="691"/>
      <c r="E107" s="691"/>
      <c r="F107" s="691"/>
      <c r="G107" s="691"/>
      <c r="H107" s="691"/>
      <c r="I107" s="691"/>
      <c r="J107" s="691"/>
      <c r="K107" s="691"/>
      <c r="L107" s="691"/>
      <c r="M107" s="691"/>
    </row>
    <row r="108" spans="2:13">
      <c r="B108" s="691"/>
      <c r="C108" s="691"/>
      <c r="D108" s="691"/>
      <c r="E108" s="691"/>
      <c r="F108" s="691"/>
      <c r="G108" s="691"/>
      <c r="H108" s="691"/>
      <c r="I108" s="691"/>
      <c r="J108" s="691"/>
      <c r="K108" s="691"/>
      <c r="L108" s="691"/>
      <c r="M108" s="691"/>
    </row>
    <row r="109" spans="2:13">
      <c r="B109" s="691"/>
      <c r="C109" s="691"/>
      <c r="D109" s="691"/>
      <c r="E109" s="691"/>
      <c r="F109" s="691"/>
      <c r="G109" s="691"/>
      <c r="H109" s="691"/>
      <c r="I109" s="691"/>
      <c r="J109" s="691"/>
      <c r="K109" s="691"/>
      <c r="L109" s="691"/>
      <c r="M109" s="691"/>
    </row>
    <row r="110" spans="2:13">
      <c r="B110" s="691"/>
      <c r="C110" s="691"/>
      <c r="D110" s="691"/>
      <c r="E110" s="691"/>
      <c r="F110" s="691"/>
      <c r="G110" s="691"/>
      <c r="H110" s="691"/>
      <c r="I110" s="691"/>
      <c r="J110" s="691"/>
      <c r="K110" s="691"/>
      <c r="L110" s="691"/>
      <c r="M110" s="691"/>
    </row>
    <row r="111" spans="2:13">
      <c r="B111" s="691"/>
      <c r="C111" s="691"/>
      <c r="D111" s="691"/>
      <c r="E111" s="691"/>
      <c r="F111" s="691"/>
      <c r="G111" s="691"/>
      <c r="H111" s="691"/>
      <c r="I111" s="691"/>
      <c r="J111" s="691"/>
      <c r="K111" s="691"/>
      <c r="L111" s="691"/>
      <c r="M111" s="691"/>
    </row>
    <row r="112" spans="2:13">
      <c r="B112" s="691"/>
      <c r="C112" s="691"/>
      <c r="D112" s="691"/>
      <c r="E112" s="691"/>
      <c r="F112" s="691"/>
      <c r="G112" s="691"/>
      <c r="H112" s="691"/>
      <c r="I112" s="691"/>
      <c r="J112" s="691"/>
      <c r="K112" s="691"/>
      <c r="L112" s="691"/>
      <c r="M112" s="691"/>
    </row>
    <row r="113" spans="2:13">
      <c r="B113" s="691"/>
      <c r="C113" s="691"/>
      <c r="D113" s="691"/>
      <c r="E113" s="691"/>
      <c r="F113" s="691"/>
      <c r="G113" s="691"/>
      <c r="H113" s="691"/>
      <c r="I113" s="691"/>
      <c r="J113" s="691"/>
      <c r="K113" s="691"/>
      <c r="L113" s="691"/>
      <c r="M113" s="691"/>
    </row>
    <row r="114" spans="2:13">
      <c r="B114" s="691"/>
      <c r="C114" s="691"/>
      <c r="D114" s="691"/>
      <c r="E114" s="691"/>
      <c r="F114" s="691"/>
      <c r="G114" s="691"/>
      <c r="H114" s="691"/>
      <c r="I114" s="691"/>
      <c r="J114" s="691"/>
      <c r="K114" s="691"/>
      <c r="L114" s="691"/>
      <c r="M114" s="691"/>
    </row>
    <row r="115" spans="2:13">
      <c r="B115" s="691"/>
      <c r="C115" s="691"/>
      <c r="D115" s="691"/>
      <c r="E115" s="691"/>
      <c r="F115" s="691"/>
      <c r="G115" s="691"/>
      <c r="H115" s="691"/>
      <c r="I115" s="691"/>
      <c r="J115" s="691"/>
      <c r="K115" s="691"/>
      <c r="L115" s="691"/>
      <c r="M115" s="691"/>
    </row>
    <row r="116" spans="2:13">
      <c r="B116" s="691"/>
      <c r="C116" s="691"/>
      <c r="D116" s="691"/>
      <c r="E116" s="691"/>
      <c r="F116" s="691"/>
      <c r="G116" s="691"/>
      <c r="H116" s="691"/>
      <c r="I116" s="691"/>
      <c r="J116" s="691"/>
      <c r="K116" s="691"/>
      <c r="L116" s="691"/>
      <c r="M116" s="691"/>
    </row>
    <row r="117" spans="2:13">
      <c r="B117" s="691"/>
      <c r="C117" s="691"/>
      <c r="D117" s="691"/>
      <c r="E117" s="691"/>
      <c r="F117" s="691"/>
      <c r="G117" s="691"/>
      <c r="H117" s="691"/>
      <c r="I117" s="691"/>
      <c r="J117" s="691"/>
      <c r="K117" s="691"/>
      <c r="L117" s="691"/>
      <c r="M117" s="691"/>
    </row>
    <row r="118" spans="2:13">
      <c r="B118" s="691"/>
      <c r="C118" s="691"/>
      <c r="D118" s="691"/>
      <c r="E118" s="691"/>
      <c r="F118" s="691"/>
      <c r="G118" s="691"/>
      <c r="H118" s="691"/>
      <c r="I118" s="691"/>
      <c r="J118" s="691"/>
      <c r="K118" s="691"/>
      <c r="L118" s="691"/>
      <c r="M118" s="691"/>
    </row>
    <row r="119" spans="2:13">
      <c r="B119" s="691"/>
      <c r="C119" s="691"/>
      <c r="D119" s="691"/>
      <c r="E119" s="691"/>
      <c r="F119" s="691"/>
      <c r="G119" s="691"/>
      <c r="H119" s="691"/>
      <c r="I119" s="691"/>
      <c r="J119" s="691"/>
      <c r="K119" s="691"/>
      <c r="L119" s="691"/>
      <c r="M119" s="691"/>
    </row>
    <row r="120" spans="2:13">
      <c r="B120" s="691"/>
      <c r="C120" s="691"/>
      <c r="D120" s="691"/>
      <c r="E120" s="691"/>
      <c r="F120" s="691"/>
      <c r="G120" s="691"/>
      <c r="H120" s="691"/>
      <c r="I120" s="691"/>
      <c r="J120" s="691"/>
      <c r="K120" s="691"/>
      <c r="L120" s="691"/>
      <c r="M120" s="691"/>
    </row>
    <row r="121" spans="2:13">
      <c r="B121" s="691"/>
      <c r="C121" s="691"/>
      <c r="D121" s="691"/>
      <c r="E121" s="691"/>
      <c r="F121" s="691"/>
      <c r="G121" s="691"/>
      <c r="H121" s="691"/>
      <c r="I121" s="691"/>
      <c r="J121" s="691"/>
      <c r="K121" s="691"/>
      <c r="L121" s="691"/>
      <c r="M121" s="691"/>
    </row>
    <row r="122" spans="2:13">
      <c r="B122" s="691"/>
      <c r="C122" s="691"/>
      <c r="D122" s="691"/>
      <c r="E122" s="691"/>
      <c r="F122" s="691"/>
      <c r="G122" s="691"/>
      <c r="H122" s="691"/>
      <c r="I122" s="691"/>
      <c r="J122" s="691"/>
      <c r="K122" s="691"/>
      <c r="L122" s="691"/>
      <c r="M122" s="691"/>
    </row>
    <row r="123" spans="2:13">
      <c r="B123" s="691"/>
      <c r="C123" s="691"/>
      <c r="D123" s="691"/>
      <c r="E123" s="691"/>
      <c r="F123" s="691"/>
      <c r="G123" s="691"/>
      <c r="H123" s="691"/>
      <c r="I123" s="691"/>
      <c r="J123" s="691"/>
      <c r="K123" s="691"/>
      <c r="L123" s="691"/>
      <c r="M123" s="691"/>
    </row>
    <row r="124" spans="2:13">
      <c r="B124" s="691"/>
      <c r="C124" s="691"/>
      <c r="D124" s="691"/>
      <c r="E124" s="691"/>
      <c r="F124" s="691"/>
      <c r="G124" s="691"/>
      <c r="H124" s="691"/>
      <c r="I124" s="691"/>
      <c r="J124" s="691"/>
      <c r="K124" s="691"/>
      <c r="L124" s="691"/>
      <c r="M124" s="691"/>
    </row>
    <row r="125" spans="2:13">
      <c r="B125" s="691"/>
      <c r="C125" s="691"/>
      <c r="D125" s="691"/>
      <c r="E125" s="691"/>
      <c r="F125" s="691"/>
      <c r="G125" s="691"/>
      <c r="H125" s="691"/>
      <c r="I125" s="691"/>
      <c r="J125" s="691"/>
      <c r="K125" s="691"/>
      <c r="L125" s="691"/>
      <c r="M125" s="691"/>
    </row>
    <row r="126" spans="2:13">
      <c r="B126" s="691"/>
      <c r="C126" s="691"/>
      <c r="D126" s="691"/>
      <c r="E126" s="691"/>
      <c r="F126" s="691"/>
      <c r="G126" s="691"/>
      <c r="H126" s="691"/>
      <c r="I126" s="691"/>
      <c r="J126" s="691"/>
      <c r="K126" s="691"/>
      <c r="L126" s="691"/>
      <c r="M126" s="691"/>
    </row>
    <row r="127" spans="2:13">
      <c r="B127" s="691"/>
      <c r="C127" s="691"/>
      <c r="D127" s="691"/>
      <c r="E127" s="691"/>
      <c r="F127" s="691"/>
      <c r="G127" s="691"/>
      <c r="H127" s="691"/>
      <c r="I127" s="691"/>
      <c r="J127" s="691"/>
      <c r="K127" s="691"/>
      <c r="L127" s="691"/>
      <c r="M127" s="691"/>
    </row>
    <row r="128" spans="2:13">
      <c r="B128" s="691"/>
      <c r="C128" s="691"/>
      <c r="D128" s="691"/>
      <c r="E128" s="691"/>
      <c r="F128" s="691"/>
      <c r="G128" s="691"/>
      <c r="H128" s="691"/>
      <c r="I128" s="691"/>
      <c r="J128" s="691"/>
      <c r="K128" s="691"/>
      <c r="L128" s="691"/>
      <c r="M128" s="691"/>
    </row>
    <row r="129" spans="2:13">
      <c r="B129" s="691"/>
      <c r="C129" s="691"/>
      <c r="D129" s="691"/>
      <c r="E129" s="691"/>
      <c r="F129" s="691"/>
      <c r="G129" s="691"/>
      <c r="H129" s="691"/>
      <c r="I129" s="691"/>
      <c r="J129" s="691"/>
      <c r="K129" s="691"/>
      <c r="L129" s="691"/>
      <c r="M129" s="691"/>
    </row>
    <row r="130" spans="2:13">
      <c r="B130" s="691"/>
      <c r="C130" s="691"/>
      <c r="D130" s="691"/>
      <c r="E130" s="691"/>
      <c r="F130" s="691"/>
      <c r="G130" s="691"/>
      <c r="H130" s="691"/>
      <c r="I130" s="691"/>
      <c r="J130" s="691"/>
      <c r="K130" s="691"/>
      <c r="L130" s="691"/>
      <c r="M130" s="691"/>
    </row>
    <row r="131" spans="2:13">
      <c r="B131" s="691"/>
      <c r="C131" s="691"/>
      <c r="D131" s="691"/>
      <c r="E131" s="691"/>
      <c r="F131" s="691"/>
      <c r="G131" s="691"/>
      <c r="H131" s="691"/>
      <c r="I131" s="691"/>
      <c r="J131" s="691"/>
      <c r="K131" s="691"/>
      <c r="L131" s="691"/>
      <c r="M131" s="691"/>
    </row>
    <row r="132" spans="2:13">
      <c r="B132" s="691"/>
      <c r="C132" s="691"/>
      <c r="D132" s="691"/>
      <c r="E132" s="691"/>
      <c r="F132" s="691"/>
      <c r="G132" s="691"/>
      <c r="H132" s="691"/>
      <c r="I132" s="691"/>
      <c r="J132" s="691"/>
      <c r="K132" s="691"/>
      <c r="L132" s="691"/>
      <c r="M132" s="691"/>
    </row>
    <row r="133" spans="2:13">
      <c r="B133" s="691"/>
      <c r="C133" s="691"/>
      <c r="D133" s="691"/>
      <c r="E133" s="691"/>
      <c r="F133" s="691"/>
      <c r="G133" s="691"/>
      <c r="H133" s="691"/>
      <c r="I133" s="691"/>
      <c r="J133" s="691"/>
      <c r="K133" s="691"/>
      <c r="L133" s="691"/>
      <c r="M133" s="691"/>
    </row>
    <row r="134" spans="2:13">
      <c r="B134" s="691"/>
      <c r="C134" s="691"/>
      <c r="D134" s="691"/>
      <c r="E134" s="691"/>
      <c r="F134" s="691"/>
      <c r="G134" s="691"/>
      <c r="H134" s="691"/>
      <c r="I134" s="691"/>
      <c r="J134" s="691"/>
      <c r="K134" s="691"/>
      <c r="L134" s="691"/>
      <c r="M134" s="691"/>
    </row>
    <row r="135" spans="2:13">
      <c r="B135" s="691"/>
      <c r="C135" s="691"/>
      <c r="D135" s="691"/>
      <c r="E135" s="691"/>
      <c r="F135" s="691"/>
      <c r="G135" s="691"/>
      <c r="H135" s="691"/>
      <c r="I135" s="691"/>
      <c r="J135" s="691"/>
      <c r="K135" s="691"/>
      <c r="L135" s="691"/>
      <c r="M135" s="691"/>
    </row>
    <row r="136" spans="2:13">
      <c r="B136" s="691"/>
      <c r="C136" s="691"/>
      <c r="D136" s="691"/>
      <c r="E136" s="691"/>
      <c r="F136" s="691"/>
      <c r="G136" s="691"/>
      <c r="H136" s="691"/>
      <c r="I136" s="691"/>
      <c r="J136" s="691"/>
      <c r="K136" s="691"/>
      <c r="L136" s="691"/>
      <c r="M136" s="691"/>
    </row>
    <row r="137" spans="2:13">
      <c r="B137" s="691"/>
      <c r="C137" s="691"/>
      <c r="D137" s="691"/>
      <c r="E137" s="691"/>
      <c r="F137" s="691"/>
      <c r="G137" s="691"/>
      <c r="H137" s="691"/>
      <c r="I137" s="691"/>
      <c r="J137" s="691"/>
      <c r="K137" s="691"/>
      <c r="L137" s="691"/>
      <c r="M137" s="691"/>
    </row>
    <row r="138" spans="2:13">
      <c r="B138" s="691"/>
      <c r="C138" s="691"/>
      <c r="D138" s="691"/>
      <c r="E138" s="691"/>
      <c r="F138" s="691"/>
      <c r="G138" s="691"/>
      <c r="H138" s="691"/>
      <c r="I138" s="691"/>
      <c r="J138" s="691"/>
      <c r="K138" s="691"/>
      <c r="L138" s="691"/>
      <c r="M138" s="691"/>
    </row>
    <row r="139" spans="2:13">
      <c r="B139" s="691"/>
      <c r="C139" s="691"/>
      <c r="D139" s="691"/>
      <c r="E139" s="691"/>
      <c r="F139" s="691"/>
      <c r="G139" s="691"/>
      <c r="H139" s="691"/>
      <c r="I139" s="691"/>
      <c r="J139" s="691"/>
      <c r="K139" s="691"/>
      <c r="L139" s="691"/>
      <c r="M139" s="691"/>
    </row>
    <row r="140" spans="2:13">
      <c r="B140" s="691"/>
      <c r="C140" s="691"/>
      <c r="D140" s="691"/>
      <c r="E140" s="691"/>
      <c r="F140" s="691"/>
      <c r="G140" s="691"/>
      <c r="H140" s="691"/>
      <c r="I140" s="691"/>
      <c r="J140" s="691"/>
      <c r="K140" s="691"/>
      <c r="L140" s="691"/>
      <c r="M140" s="691"/>
    </row>
    <row r="141" spans="2:13">
      <c r="B141" s="691"/>
      <c r="C141" s="691"/>
      <c r="D141" s="691"/>
      <c r="E141" s="691"/>
      <c r="F141" s="691"/>
      <c r="G141" s="691"/>
      <c r="H141" s="691"/>
      <c r="I141" s="691"/>
      <c r="J141" s="691"/>
      <c r="K141" s="691"/>
      <c r="L141" s="691"/>
      <c r="M141" s="691"/>
    </row>
    <row r="142" spans="2:13">
      <c r="B142" s="691"/>
      <c r="C142" s="691"/>
      <c r="D142" s="691"/>
      <c r="E142" s="691"/>
      <c r="F142" s="691"/>
      <c r="G142" s="691"/>
      <c r="H142" s="691"/>
      <c r="I142" s="691"/>
      <c r="J142" s="691"/>
      <c r="K142" s="691"/>
      <c r="L142" s="691"/>
      <c r="M142" s="691"/>
    </row>
    <row r="143" spans="2:13">
      <c r="B143" s="691"/>
      <c r="C143" s="691"/>
      <c r="D143" s="691"/>
      <c r="E143" s="691"/>
      <c r="F143" s="691"/>
      <c r="G143" s="691"/>
      <c r="H143" s="691"/>
      <c r="I143" s="691"/>
      <c r="J143" s="691"/>
      <c r="K143" s="691"/>
      <c r="L143" s="691"/>
      <c r="M143" s="691"/>
    </row>
    <row r="144" spans="2:13">
      <c r="B144" s="691"/>
      <c r="C144" s="691"/>
      <c r="D144" s="691"/>
      <c r="E144" s="691"/>
      <c r="F144" s="691"/>
      <c r="G144" s="691"/>
      <c r="H144" s="691"/>
      <c r="I144" s="691"/>
      <c r="J144" s="691"/>
      <c r="K144" s="691"/>
      <c r="L144" s="691"/>
      <c r="M144" s="691"/>
    </row>
    <row r="145" spans="2:13">
      <c r="B145" s="691"/>
      <c r="C145" s="691"/>
      <c r="D145" s="691"/>
      <c r="E145" s="691"/>
      <c r="F145" s="691"/>
      <c r="G145" s="691"/>
      <c r="H145" s="691"/>
      <c r="I145" s="691"/>
      <c r="J145" s="691"/>
      <c r="K145" s="691"/>
      <c r="L145" s="691"/>
      <c r="M145" s="691"/>
    </row>
    <row r="146" spans="2:13">
      <c r="B146" s="691"/>
      <c r="C146" s="691"/>
      <c r="D146" s="691"/>
      <c r="E146" s="691"/>
      <c r="F146" s="691"/>
      <c r="G146" s="691"/>
      <c r="H146" s="691"/>
      <c r="I146" s="691"/>
      <c r="J146" s="691"/>
      <c r="K146" s="691"/>
      <c r="L146" s="691"/>
      <c r="M146" s="691"/>
    </row>
    <row r="147" spans="2:13">
      <c r="B147" s="691"/>
      <c r="C147" s="691"/>
      <c r="D147" s="691"/>
      <c r="E147" s="691"/>
      <c r="F147" s="691"/>
      <c r="G147" s="691"/>
      <c r="H147" s="691"/>
      <c r="I147" s="691"/>
      <c r="J147" s="691"/>
      <c r="K147" s="691"/>
      <c r="L147" s="691"/>
      <c r="M147" s="691"/>
    </row>
    <row r="148" spans="2:13">
      <c r="B148" s="691"/>
      <c r="C148" s="691"/>
      <c r="D148" s="691"/>
      <c r="E148" s="691"/>
      <c r="F148" s="691"/>
      <c r="G148" s="691"/>
      <c r="H148" s="691"/>
      <c r="I148" s="691"/>
      <c r="J148" s="691"/>
      <c r="K148" s="691"/>
      <c r="L148" s="691"/>
      <c r="M148" s="691"/>
    </row>
    <row r="149" spans="2:13">
      <c r="B149" s="691"/>
      <c r="C149" s="691"/>
      <c r="D149" s="691"/>
      <c r="E149" s="691"/>
      <c r="F149" s="691"/>
      <c r="G149" s="691"/>
      <c r="H149" s="691"/>
      <c r="I149" s="691"/>
      <c r="J149" s="691"/>
      <c r="K149" s="691"/>
      <c r="L149" s="691"/>
      <c r="M149" s="691"/>
    </row>
    <row r="150" spans="2:13">
      <c r="B150" s="691"/>
      <c r="C150" s="691"/>
      <c r="D150" s="691"/>
      <c r="E150" s="691"/>
      <c r="F150" s="691"/>
      <c r="G150" s="691"/>
      <c r="H150" s="691"/>
      <c r="I150" s="691"/>
      <c r="J150" s="691"/>
      <c r="K150" s="691"/>
      <c r="L150" s="691"/>
      <c r="M150" s="691"/>
    </row>
    <row r="151" spans="2:13">
      <c r="B151" s="691"/>
      <c r="C151" s="691"/>
      <c r="D151" s="691"/>
      <c r="E151" s="691"/>
      <c r="F151" s="691"/>
      <c r="G151" s="691"/>
      <c r="H151" s="691"/>
      <c r="I151" s="691"/>
      <c r="J151" s="691"/>
      <c r="K151" s="691"/>
      <c r="L151" s="691"/>
      <c r="M151" s="691"/>
    </row>
    <row r="152" spans="2:13">
      <c r="B152" s="691"/>
      <c r="C152" s="691"/>
      <c r="D152" s="691"/>
      <c r="E152" s="691"/>
      <c r="F152" s="691"/>
      <c r="G152" s="691"/>
      <c r="H152" s="691"/>
      <c r="I152" s="691"/>
      <c r="J152" s="691"/>
      <c r="K152" s="691"/>
      <c r="L152" s="691"/>
      <c r="M152" s="691"/>
    </row>
    <row r="153" spans="2:13">
      <c r="B153" s="691"/>
      <c r="C153" s="691"/>
      <c r="D153" s="691"/>
      <c r="E153" s="691"/>
      <c r="F153" s="691"/>
      <c r="G153" s="691"/>
      <c r="H153" s="691"/>
      <c r="I153" s="691"/>
      <c r="J153" s="691"/>
      <c r="K153" s="691"/>
      <c r="L153" s="691"/>
      <c r="M153" s="691"/>
    </row>
    <row r="154" spans="2:13">
      <c r="B154" s="691"/>
      <c r="C154" s="691"/>
      <c r="D154" s="691"/>
      <c r="E154" s="691"/>
      <c r="F154" s="691"/>
      <c r="G154" s="691"/>
      <c r="H154" s="691"/>
      <c r="I154" s="691"/>
      <c r="J154" s="691"/>
      <c r="K154" s="691"/>
      <c r="L154" s="691"/>
      <c r="M154" s="691"/>
    </row>
    <row r="155" spans="2:13">
      <c r="B155" s="691"/>
      <c r="C155" s="691"/>
      <c r="D155" s="691"/>
      <c r="E155" s="691"/>
      <c r="F155" s="691"/>
      <c r="G155" s="691"/>
      <c r="H155" s="691"/>
      <c r="I155" s="691"/>
      <c r="J155" s="691"/>
      <c r="K155" s="691"/>
      <c r="L155" s="691"/>
      <c r="M155" s="691"/>
    </row>
    <row r="156" spans="2:13">
      <c r="B156" s="691"/>
      <c r="C156" s="691"/>
      <c r="D156" s="691"/>
      <c r="E156" s="691"/>
      <c r="F156" s="691"/>
      <c r="G156" s="691"/>
      <c r="H156" s="691"/>
      <c r="I156" s="691"/>
      <c r="J156" s="691"/>
      <c r="K156" s="691"/>
      <c r="L156" s="691"/>
      <c r="M156" s="691"/>
    </row>
    <row r="157" spans="2:13">
      <c r="B157" s="691"/>
      <c r="C157" s="691"/>
      <c r="D157" s="691"/>
      <c r="E157" s="691"/>
      <c r="F157" s="691"/>
      <c r="G157" s="691"/>
      <c r="H157" s="691"/>
      <c r="I157" s="691"/>
      <c r="J157" s="691"/>
      <c r="K157" s="691"/>
      <c r="L157" s="691"/>
      <c r="M157" s="691"/>
    </row>
    <row r="158" spans="2:13">
      <c r="B158" s="691"/>
      <c r="C158" s="691"/>
      <c r="D158" s="691"/>
      <c r="E158" s="691"/>
      <c r="F158" s="691"/>
      <c r="G158" s="691"/>
      <c r="H158" s="691"/>
      <c r="I158" s="691"/>
      <c r="J158" s="691"/>
      <c r="K158" s="691"/>
      <c r="L158" s="691"/>
      <c r="M158" s="691"/>
    </row>
    <row r="159" spans="2:13">
      <c r="B159" s="691"/>
      <c r="C159" s="691"/>
      <c r="D159" s="691"/>
      <c r="E159" s="691"/>
      <c r="F159" s="691"/>
      <c r="G159" s="691"/>
      <c r="H159" s="691"/>
      <c r="I159" s="691"/>
      <c r="J159" s="691"/>
      <c r="K159" s="691"/>
      <c r="L159" s="691"/>
      <c r="M159" s="691"/>
    </row>
    <row r="160" spans="2:13">
      <c r="B160" s="691"/>
      <c r="C160" s="691"/>
      <c r="D160" s="691"/>
      <c r="E160" s="691"/>
      <c r="F160" s="691"/>
      <c r="G160" s="691"/>
      <c r="H160" s="691"/>
      <c r="I160" s="691"/>
      <c r="J160" s="691"/>
      <c r="K160" s="691"/>
      <c r="L160" s="691"/>
      <c r="M160" s="691"/>
    </row>
    <row r="161" spans="2:13">
      <c r="B161" s="691"/>
      <c r="C161" s="691"/>
      <c r="D161" s="691"/>
      <c r="E161" s="691"/>
      <c r="F161" s="691"/>
      <c r="G161" s="691"/>
      <c r="H161" s="691"/>
      <c r="I161" s="691"/>
      <c r="J161" s="691"/>
      <c r="K161" s="691"/>
      <c r="L161" s="691"/>
      <c r="M161" s="691"/>
    </row>
    <row r="162" spans="2:13">
      <c r="B162" s="691"/>
      <c r="C162" s="691"/>
      <c r="D162" s="691"/>
      <c r="E162" s="691"/>
      <c r="F162" s="691"/>
      <c r="G162" s="691"/>
      <c r="H162" s="691"/>
      <c r="I162" s="691"/>
      <c r="J162" s="691"/>
      <c r="K162" s="691"/>
      <c r="L162" s="691"/>
      <c r="M162" s="691"/>
    </row>
    <row r="163" spans="2:13">
      <c r="B163" s="691"/>
      <c r="C163" s="691"/>
      <c r="D163" s="691"/>
      <c r="E163" s="691"/>
      <c r="F163" s="691"/>
      <c r="G163" s="691"/>
      <c r="H163" s="691"/>
      <c r="I163" s="691"/>
      <c r="J163" s="691"/>
      <c r="K163" s="691"/>
      <c r="L163" s="691"/>
      <c r="M163" s="691"/>
    </row>
    <row r="164" spans="2:13">
      <c r="B164" s="691"/>
      <c r="C164" s="691"/>
      <c r="D164" s="691"/>
      <c r="E164" s="691"/>
      <c r="F164" s="691"/>
      <c r="G164" s="691"/>
      <c r="H164" s="691"/>
      <c r="I164" s="691"/>
      <c r="J164" s="691"/>
      <c r="K164" s="691"/>
      <c r="L164" s="691"/>
      <c r="M164" s="691"/>
    </row>
    <row r="165" spans="2:13">
      <c r="B165" s="691"/>
      <c r="C165" s="691"/>
      <c r="D165" s="691"/>
      <c r="E165" s="691"/>
      <c r="F165" s="691"/>
      <c r="G165" s="691"/>
      <c r="H165" s="691"/>
      <c r="I165" s="691"/>
      <c r="J165" s="691"/>
      <c r="K165" s="691"/>
      <c r="L165" s="691"/>
      <c r="M165" s="691"/>
    </row>
    <row r="166" spans="2:13">
      <c r="B166" s="691"/>
      <c r="C166" s="691"/>
      <c r="D166" s="691"/>
      <c r="E166" s="691"/>
      <c r="F166" s="691"/>
      <c r="G166" s="691"/>
      <c r="H166" s="691"/>
      <c r="I166" s="691"/>
      <c r="J166" s="691"/>
      <c r="K166" s="691"/>
      <c r="L166" s="691"/>
      <c r="M166" s="691"/>
    </row>
    <row r="167" spans="2:13">
      <c r="B167" s="691"/>
      <c r="C167" s="691"/>
      <c r="D167" s="691"/>
      <c r="E167" s="691"/>
      <c r="F167" s="691"/>
      <c r="G167" s="691"/>
      <c r="H167" s="691"/>
      <c r="I167" s="691"/>
      <c r="J167" s="691"/>
      <c r="K167" s="691"/>
      <c r="L167" s="691"/>
      <c r="M167" s="691"/>
    </row>
    <row r="168" spans="2:13">
      <c r="B168" s="691"/>
      <c r="C168" s="691"/>
      <c r="D168" s="691"/>
      <c r="E168" s="691"/>
      <c r="F168" s="691"/>
      <c r="G168" s="691"/>
      <c r="H168" s="691"/>
      <c r="I168" s="691"/>
      <c r="J168" s="691"/>
      <c r="K168" s="691"/>
      <c r="L168" s="691"/>
      <c r="M168" s="691"/>
    </row>
    <row r="169" spans="2:13">
      <c r="B169" s="691"/>
      <c r="C169" s="691"/>
      <c r="D169" s="691"/>
      <c r="E169" s="691"/>
      <c r="F169" s="691"/>
      <c r="G169" s="691"/>
      <c r="H169" s="691"/>
      <c r="I169" s="691"/>
      <c r="J169" s="691"/>
      <c r="K169" s="691"/>
      <c r="L169" s="691"/>
      <c r="M169" s="691"/>
    </row>
    <row r="170" spans="2:13">
      <c r="B170" s="691"/>
      <c r="C170" s="691"/>
      <c r="D170" s="691"/>
      <c r="E170" s="691"/>
      <c r="F170" s="691"/>
      <c r="G170" s="691"/>
      <c r="H170" s="691"/>
      <c r="I170" s="691"/>
      <c r="J170" s="691"/>
      <c r="K170" s="691"/>
      <c r="L170" s="691"/>
      <c r="M170" s="691"/>
    </row>
    <row r="171" spans="2:13">
      <c r="B171" s="691"/>
      <c r="C171" s="691"/>
      <c r="D171" s="691"/>
      <c r="E171" s="691"/>
      <c r="F171" s="691"/>
      <c r="G171" s="691"/>
      <c r="H171" s="691"/>
      <c r="I171" s="691"/>
      <c r="J171" s="691"/>
      <c r="K171" s="691"/>
      <c r="L171" s="691"/>
      <c r="M171" s="691"/>
    </row>
    <row r="172" spans="2:13">
      <c r="B172" s="691"/>
      <c r="C172" s="691"/>
      <c r="D172" s="691"/>
      <c r="E172" s="691"/>
      <c r="F172" s="691"/>
      <c r="G172" s="691"/>
      <c r="H172" s="691"/>
      <c r="I172" s="691"/>
      <c r="J172" s="691"/>
      <c r="K172" s="691"/>
      <c r="L172" s="691"/>
      <c r="M172" s="691"/>
    </row>
    <row r="173" spans="2:13">
      <c r="B173" s="691"/>
      <c r="C173" s="691"/>
      <c r="D173" s="691"/>
      <c r="E173" s="691"/>
      <c r="F173" s="691"/>
      <c r="G173" s="691"/>
      <c r="H173" s="691"/>
      <c r="I173" s="691"/>
      <c r="J173" s="691"/>
      <c r="K173" s="691"/>
      <c r="L173" s="691"/>
      <c r="M173" s="691"/>
    </row>
    <row r="174" spans="2:13">
      <c r="B174" s="691"/>
      <c r="C174" s="691"/>
      <c r="D174" s="691"/>
      <c r="E174" s="691"/>
      <c r="F174" s="691"/>
      <c r="G174" s="691"/>
      <c r="H174" s="691"/>
      <c r="I174" s="691"/>
      <c r="J174" s="691"/>
      <c r="K174" s="691"/>
      <c r="L174" s="691"/>
      <c r="M174" s="691"/>
    </row>
    <row r="175" spans="2:13">
      <c r="B175" s="691"/>
      <c r="C175" s="691"/>
      <c r="D175" s="691"/>
      <c r="E175" s="691"/>
      <c r="F175" s="691"/>
      <c r="G175" s="691"/>
      <c r="H175" s="691"/>
      <c r="I175" s="691"/>
      <c r="J175" s="691"/>
      <c r="K175" s="691"/>
      <c r="L175" s="691"/>
      <c r="M175" s="691"/>
    </row>
    <row r="176" spans="2:13">
      <c r="B176" s="691"/>
      <c r="C176" s="691"/>
      <c r="D176" s="691"/>
      <c r="E176" s="691"/>
      <c r="F176" s="691"/>
      <c r="G176" s="691"/>
      <c r="H176" s="691"/>
      <c r="I176" s="691"/>
      <c r="J176" s="691"/>
      <c r="K176" s="691"/>
      <c r="L176" s="691"/>
      <c r="M176" s="691"/>
    </row>
    <row r="177" spans="2:13">
      <c r="B177" s="691"/>
      <c r="C177" s="691"/>
      <c r="D177" s="691"/>
      <c r="E177" s="691"/>
      <c r="F177" s="691"/>
      <c r="G177" s="691"/>
      <c r="H177" s="691"/>
      <c r="I177" s="691"/>
      <c r="J177" s="691"/>
      <c r="K177" s="691"/>
      <c r="L177" s="691"/>
      <c r="M177" s="691"/>
    </row>
    <row r="178" spans="2:13">
      <c r="B178" s="691"/>
      <c r="C178" s="691"/>
      <c r="D178" s="691"/>
      <c r="E178" s="691"/>
      <c r="F178" s="691"/>
      <c r="G178" s="691"/>
      <c r="H178" s="691"/>
      <c r="I178" s="691"/>
      <c r="J178" s="691"/>
      <c r="K178" s="691"/>
      <c r="L178" s="691"/>
      <c r="M178" s="691"/>
    </row>
    <row r="179" spans="2:13">
      <c r="B179" s="691"/>
      <c r="C179" s="691"/>
      <c r="D179" s="691"/>
      <c r="E179" s="691"/>
      <c r="F179" s="691"/>
      <c r="G179" s="691"/>
      <c r="H179" s="691"/>
      <c r="I179" s="691"/>
      <c r="J179" s="691"/>
      <c r="K179" s="691"/>
      <c r="L179" s="691"/>
      <c r="M179" s="691"/>
    </row>
    <row r="180" spans="2:13">
      <c r="B180" s="691"/>
      <c r="C180" s="691"/>
      <c r="D180" s="691"/>
      <c r="E180" s="691"/>
      <c r="F180" s="691"/>
      <c r="G180" s="691"/>
      <c r="H180" s="691"/>
      <c r="I180" s="691"/>
      <c r="J180" s="691"/>
      <c r="K180" s="691"/>
      <c r="L180" s="691"/>
      <c r="M180" s="691"/>
    </row>
    <row r="181" spans="2:13">
      <c r="B181" s="691"/>
      <c r="C181" s="691"/>
      <c r="D181" s="691"/>
      <c r="E181" s="691"/>
      <c r="F181" s="691"/>
      <c r="G181" s="691"/>
      <c r="H181" s="691"/>
      <c r="I181" s="691"/>
      <c r="J181" s="691"/>
      <c r="K181" s="691"/>
      <c r="L181" s="691"/>
      <c r="M181" s="691"/>
    </row>
    <row r="182" spans="2:13">
      <c r="B182" s="691"/>
      <c r="C182" s="691"/>
      <c r="D182" s="691"/>
      <c r="E182" s="691"/>
      <c r="F182" s="691"/>
      <c r="G182" s="691"/>
      <c r="H182" s="691"/>
      <c r="I182" s="691"/>
      <c r="J182" s="691"/>
      <c r="K182" s="691"/>
      <c r="L182" s="691"/>
      <c r="M182" s="691"/>
    </row>
    <row r="183" spans="2:13">
      <c r="B183" s="691"/>
      <c r="C183" s="691"/>
      <c r="D183" s="691"/>
      <c r="E183" s="691"/>
      <c r="F183" s="691"/>
      <c r="G183" s="691"/>
      <c r="H183" s="691"/>
      <c r="I183" s="691"/>
      <c r="J183" s="691"/>
      <c r="K183" s="691"/>
      <c r="L183" s="691"/>
      <c r="M183" s="691"/>
    </row>
    <row r="184" spans="2:13">
      <c r="B184" s="691"/>
      <c r="C184" s="691"/>
      <c r="D184" s="691"/>
      <c r="E184" s="691"/>
      <c r="F184" s="691"/>
      <c r="G184" s="691"/>
      <c r="H184" s="691"/>
      <c r="I184" s="691"/>
      <c r="J184" s="691"/>
      <c r="K184" s="691"/>
      <c r="L184" s="691"/>
      <c r="M184" s="691"/>
    </row>
    <row r="185" spans="2:13">
      <c r="B185" s="691"/>
      <c r="C185" s="691"/>
      <c r="D185" s="691"/>
      <c r="E185" s="691"/>
      <c r="F185" s="691"/>
      <c r="G185" s="691"/>
      <c r="H185" s="691"/>
      <c r="I185" s="691"/>
      <c r="J185" s="691"/>
      <c r="K185" s="691"/>
      <c r="L185" s="691"/>
      <c r="M185" s="691"/>
    </row>
    <row r="186" spans="2:13">
      <c r="B186" s="691"/>
      <c r="C186" s="691"/>
      <c r="D186" s="691"/>
      <c r="E186" s="691"/>
      <c r="F186" s="691"/>
      <c r="G186" s="691"/>
      <c r="H186" s="691"/>
      <c r="I186" s="691"/>
      <c r="J186" s="691"/>
      <c r="K186" s="691"/>
      <c r="L186" s="691"/>
      <c r="M186" s="691"/>
    </row>
    <row r="187" spans="2:13">
      <c r="B187" s="691"/>
      <c r="C187" s="691"/>
      <c r="D187" s="691"/>
      <c r="E187" s="691"/>
      <c r="F187" s="691"/>
      <c r="G187" s="691"/>
      <c r="H187" s="691"/>
      <c r="I187" s="691"/>
      <c r="J187" s="691"/>
      <c r="K187" s="691"/>
      <c r="L187" s="691"/>
      <c r="M187" s="691"/>
    </row>
    <row r="188" spans="2:13">
      <c r="B188" s="691"/>
      <c r="C188" s="691"/>
      <c r="D188" s="691"/>
      <c r="E188" s="691"/>
      <c r="F188" s="691"/>
      <c r="G188" s="691"/>
      <c r="H188" s="691"/>
      <c r="I188" s="691"/>
      <c r="J188" s="691"/>
      <c r="K188" s="691"/>
      <c r="L188" s="691"/>
      <c r="M188" s="691"/>
    </row>
    <row r="189" spans="2:13">
      <c r="B189" s="691"/>
      <c r="C189" s="691"/>
      <c r="D189" s="691"/>
      <c r="E189" s="691"/>
      <c r="F189" s="691"/>
      <c r="G189" s="691"/>
      <c r="H189" s="691"/>
      <c r="I189" s="691"/>
      <c r="J189" s="691"/>
      <c r="K189" s="691"/>
      <c r="L189" s="691"/>
      <c r="M189" s="691"/>
    </row>
    <row r="190" spans="2:13">
      <c r="B190" s="691"/>
      <c r="C190" s="691"/>
      <c r="D190" s="691"/>
      <c r="E190" s="691"/>
      <c r="F190" s="691"/>
      <c r="G190" s="691"/>
      <c r="H190" s="691"/>
      <c r="I190" s="691"/>
      <c r="J190" s="691"/>
      <c r="K190" s="691"/>
      <c r="L190" s="691"/>
      <c r="M190" s="691"/>
    </row>
    <row r="191" spans="2:13">
      <c r="B191" s="691"/>
      <c r="C191" s="691"/>
      <c r="D191" s="691"/>
      <c r="E191" s="691"/>
      <c r="F191" s="691"/>
      <c r="G191" s="691"/>
      <c r="H191" s="691"/>
      <c r="I191" s="691"/>
      <c r="J191" s="691"/>
      <c r="K191" s="691"/>
      <c r="L191" s="691"/>
      <c r="M191" s="691"/>
    </row>
    <row r="192" spans="2:13">
      <c r="B192" s="691"/>
      <c r="C192" s="691"/>
      <c r="D192" s="691"/>
      <c r="E192" s="691"/>
      <c r="F192" s="691"/>
      <c r="G192" s="691"/>
      <c r="H192" s="691"/>
      <c r="I192" s="691"/>
      <c r="J192" s="691"/>
      <c r="K192" s="691"/>
      <c r="L192" s="691"/>
      <c r="M192" s="691"/>
    </row>
    <row r="193" spans="2:13">
      <c r="B193" s="691"/>
      <c r="C193" s="691"/>
      <c r="D193" s="691"/>
      <c r="E193" s="691"/>
      <c r="F193" s="691"/>
      <c r="G193" s="691"/>
      <c r="H193" s="691"/>
      <c r="I193" s="691"/>
      <c r="J193" s="691"/>
      <c r="K193" s="691"/>
      <c r="L193" s="691"/>
      <c r="M193" s="691"/>
    </row>
    <row r="194" spans="2:13">
      <c r="B194" s="691"/>
      <c r="C194" s="691"/>
      <c r="D194" s="691"/>
      <c r="E194" s="691"/>
      <c r="F194" s="691"/>
      <c r="G194" s="691"/>
      <c r="H194" s="691"/>
      <c r="I194" s="691"/>
      <c r="J194" s="691"/>
      <c r="K194" s="691"/>
      <c r="L194" s="691"/>
      <c r="M194" s="691"/>
    </row>
    <row r="195" spans="2:13">
      <c r="B195" s="691"/>
      <c r="C195" s="691"/>
      <c r="D195" s="691"/>
      <c r="E195" s="691"/>
      <c r="F195" s="691"/>
      <c r="G195" s="691"/>
      <c r="H195" s="691"/>
      <c r="I195" s="691"/>
      <c r="J195" s="691"/>
      <c r="K195" s="691"/>
      <c r="L195" s="691"/>
      <c r="M195" s="691"/>
    </row>
    <row r="196" spans="2:13">
      <c r="B196" s="691"/>
      <c r="C196" s="691"/>
      <c r="D196" s="691"/>
      <c r="E196" s="691"/>
      <c r="F196" s="691"/>
      <c r="G196" s="691"/>
      <c r="H196" s="691"/>
      <c r="I196" s="691"/>
      <c r="J196" s="691"/>
      <c r="K196" s="691"/>
      <c r="L196" s="691"/>
      <c r="M196" s="691"/>
    </row>
    <row r="197" spans="2:13">
      <c r="B197" s="691"/>
      <c r="C197" s="691"/>
      <c r="D197" s="691"/>
      <c r="E197" s="691"/>
      <c r="F197" s="691"/>
      <c r="G197" s="691"/>
      <c r="H197" s="691"/>
      <c r="I197" s="691"/>
      <c r="J197" s="691"/>
      <c r="K197" s="691"/>
      <c r="L197" s="691"/>
      <c r="M197" s="691"/>
    </row>
    <row r="198" spans="2:13">
      <c r="B198" s="691"/>
      <c r="C198" s="691"/>
      <c r="D198" s="691"/>
      <c r="E198" s="691"/>
      <c r="F198" s="691"/>
      <c r="G198" s="691"/>
      <c r="H198" s="691"/>
      <c r="I198" s="691"/>
      <c r="J198" s="691"/>
      <c r="K198" s="691"/>
      <c r="L198" s="691"/>
      <c r="M198" s="691"/>
    </row>
    <row r="199" spans="2:13">
      <c r="B199" s="691"/>
      <c r="C199" s="691"/>
      <c r="D199" s="691"/>
      <c r="E199" s="691"/>
      <c r="F199" s="691"/>
      <c r="G199" s="691"/>
      <c r="H199" s="691"/>
      <c r="I199" s="691"/>
      <c r="J199" s="691"/>
      <c r="K199" s="691"/>
      <c r="L199" s="691"/>
      <c r="M199" s="691"/>
    </row>
    <row r="200" spans="2:13">
      <c r="B200" s="691"/>
      <c r="C200" s="691"/>
      <c r="D200" s="691"/>
      <c r="E200" s="691"/>
      <c r="F200" s="691"/>
      <c r="G200" s="691"/>
      <c r="H200" s="691"/>
      <c r="I200" s="691"/>
      <c r="J200" s="691"/>
      <c r="K200" s="691"/>
      <c r="L200" s="691"/>
      <c r="M200" s="691"/>
    </row>
    <row r="201" spans="2:13">
      <c r="B201" s="691"/>
      <c r="C201" s="691"/>
      <c r="D201" s="691"/>
      <c r="E201" s="691"/>
      <c r="F201" s="691"/>
      <c r="G201" s="691"/>
      <c r="H201" s="691"/>
      <c r="I201" s="691"/>
      <c r="J201" s="691"/>
      <c r="K201" s="691"/>
      <c r="L201" s="691"/>
      <c r="M201" s="691"/>
    </row>
    <row r="202" spans="2:13">
      <c r="B202" s="691"/>
      <c r="C202" s="691"/>
      <c r="D202" s="691"/>
      <c r="E202" s="691"/>
      <c r="F202" s="691"/>
      <c r="G202" s="691"/>
      <c r="H202" s="691"/>
      <c r="I202" s="691"/>
      <c r="J202" s="691"/>
      <c r="K202" s="691"/>
      <c r="L202" s="691"/>
      <c r="M202" s="691"/>
    </row>
    <row r="203" spans="2:13">
      <c r="B203" s="691"/>
      <c r="C203" s="691"/>
      <c r="D203" s="691"/>
      <c r="E203" s="691"/>
      <c r="F203" s="691"/>
      <c r="G203" s="691"/>
      <c r="H203" s="691"/>
      <c r="I203" s="691"/>
      <c r="J203" s="691"/>
      <c r="K203" s="691"/>
      <c r="L203" s="691"/>
      <c r="M203" s="691"/>
    </row>
    <row r="204" spans="2:13">
      <c r="B204" s="691"/>
      <c r="C204" s="691"/>
      <c r="D204" s="691"/>
      <c r="E204" s="691"/>
      <c r="F204" s="691"/>
      <c r="G204" s="691"/>
      <c r="H204" s="691"/>
      <c r="I204" s="691"/>
      <c r="J204" s="691"/>
      <c r="K204" s="691"/>
      <c r="L204" s="691"/>
      <c r="M204" s="691"/>
    </row>
    <row r="205" spans="2:13">
      <c r="B205" s="691"/>
      <c r="C205" s="691"/>
      <c r="D205" s="691"/>
      <c r="E205" s="691"/>
      <c r="F205" s="691"/>
      <c r="G205" s="691"/>
      <c r="H205" s="691"/>
      <c r="I205" s="691"/>
      <c r="J205" s="691"/>
      <c r="K205" s="691"/>
      <c r="L205" s="691"/>
      <c r="M205" s="691"/>
    </row>
    <row r="206" spans="2:13">
      <c r="B206" s="691"/>
      <c r="C206" s="691"/>
      <c r="D206" s="691"/>
      <c r="E206" s="691"/>
      <c r="F206" s="691"/>
      <c r="G206" s="691"/>
      <c r="H206" s="691"/>
      <c r="I206" s="691"/>
      <c r="J206" s="691"/>
      <c r="K206" s="691"/>
      <c r="L206" s="691"/>
      <c r="M206" s="691"/>
    </row>
    <row r="207" spans="2:13">
      <c r="B207" s="691"/>
      <c r="C207" s="691"/>
      <c r="D207" s="691"/>
      <c r="E207" s="691"/>
      <c r="F207" s="691"/>
      <c r="G207" s="691"/>
      <c r="H207" s="691"/>
      <c r="I207" s="691"/>
      <c r="J207" s="691"/>
      <c r="K207" s="691"/>
      <c r="L207" s="691"/>
      <c r="M207" s="691"/>
    </row>
    <row r="208" spans="2:13">
      <c r="B208" s="691"/>
      <c r="C208" s="691"/>
      <c r="D208" s="691"/>
      <c r="E208" s="691"/>
      <c r="F208" s="691"/>
      <c r="G208" s="691"/>
      <c r="H208" s="691"/>
      <c r="I208" s="691"/>
      <c r="J208" s="691"/>
      <c r="K208" s="691"/>
      <c r="L208" s="691"/>
      <c r="M208" s="691"/>
    </row>
    <row r="209" spans="2:13">
      <c r="B209" s="691"/>
      <c r="C209" s="691"/>
      <c r="D209" s="691"/>
      <c r="E209" s="691"/>
      <c r="F209" s="691"/>
      <c r="G209" s="691"/>
      <c r="H209" s="691"/>
      <c r="I209" s="691"/>
      <c r="J209" s="691"/>
      <c r="K209" s="691"/>
      <c r="L209" s="691"/>
      <c r="M209" s="691"/>
    </row>
    <row r="210" spans="2:13">
      <c r="B210" s="691"/>
      <c r="C210" s="691"/>
      <c r="D210" s="691"/>
      <c r="E210" s="691"/>
      <c r="F210" s="691"/>
      <c r="G210" s="691"/>
      <c r="H210" s="691"/>
      <c r="I210" s="691"/>
      <c r="J210" s="691"/>
      <c r="K210" s="691"/>
      <c r="L210" s="691"/>
      <c r="M210" s="691"/>
    </row>
    <row r="211" spans="2:13">
      <c r="B211" s="691"/>
      <c r="C211" s="691"/>
      <c r="D211" s="691"/>
      <c r="E211" s="691"/>
      <c r="F211" s="691"/>
      <c r="G211" s="691"/>
      <c r="H211" s="691"/>
      <c r="I211" s="691"/>
      <c r="J211" s="691"/>
      <c r="K211" s="691"/>
      <c r="L211" s="691"/>
      <c r="M211" s="691"/>
    </row>
    <row r="212" spans="2:13">
      <c r="B212" s="691"/>
      <c r="C212" s="691"/>
      <c r="D212" s="691"/>
      <c r="E212" s="691"/>
      <c r="F212" s="691"/>
      <c r="G212" s="691"/>
      <c r="H212" s="691"/>
      <c r="I212" s="691"/>
      <c r="J212" s="691"/>
      <c r="K212" s="691"/>
      <c r="L212" s="691"/>
      <c r="M212" s="691"/>
    </row>
    <row r="213" spans="2:13">
      <c r="B213" s="691"/>
      <c r="C213" s="691"/>
      <c r="D213" s="691"/>
      <c r="E213" s="691"/>
      <c r="F213" s="691"/>
      <c r="G213" s="691"/>
      <c r="H213" s="691"/>
      <c r="I213" s="691"/>
      <c r="J213" s="691"/>
      <c r="K213" s="691"/>
      <c r="L213" s="691"/>
      <c r="M213" s="691"/>
    </row>
    <row r="214" spans="2:13">
      <c r="B214" s="691"/>
      <c r="C214" s="691"/>
      <c r="D214" s="691"/>
      <c r="E214" s="691"/>
      <c r="F214" s="691"/>
      <c r="G214" s="691"/>
      <c r="H214" s="691"/>
      <c r="I214" s="691"/>
      <c r="J214" s="691"/>
      <c r="K214" s="691"/>
      <c r="L214" s="691"/>
      <c r="M214" s="691"/>
    </row>
    <row r="215" spans="2:13">
      <c r="B215" s="691"/>
      <c r="C215" s="691"/>
      <c r="D215" s="691"/>
      <c r="E215" s="691"/>
      <c r="F215" s="691"/>
      <c r="G215" s="691"/>
      <c r="H215" s="691"/>
      <c r="I215" s="691"/>
      <c r="J215" s="691"/>
      <c r="K215" s="691"/>
      <c r="L215" s="691"/>
      <c r="M215" s="691"/>
    </row>
    <row r="216" spans="2:13">
      <c r="B216" s="691"/>
      <c r="C216" s="691"/>
      <c r="D216" s="691"/>
      <c r="E216" s="691"/>
      <c r="F216" s="691"/>
      <c r="G216" s="691"/>
      <c r="H216" s="691"/>
      <c r="I216" s="691"/>
      <c r="J216" s="691"/>
      <c r="K216" s="691"/>
      <c r="L216" s="691"/>
      <c r="M216" s="691"/>
    </row>
    <row r="217" spans="2:13">
      <c r="B217" s="691"/>
      <c r="C217" s="691"/>
      <c r="D217" s="691"/>
      <c r="E217" s="691"/>
      <c r="F217" s="691"/>
      <c r="G217" s="691"/>
      <c r="H217" s="691"/>
      <c r="I217" s="691"/>
      <c r="J217" s="691"/>
      <c r="K217" s="691"/>
      <c r="L217" s="691"/>
      <c r="M217" s="691"/>
    </row>
    <row r="218" spans="2:13">
      <c r="B218" s="691"/>
      <c r="C218" s="691"/>
      <c r="D218" s="691"/>
      <c r="E218" s="691"/>
      <c r="F218" s="691"/>
      <c r="G218" s="691"/>
      <c r="H218" s="691"/>
      <c r="I218" s="691"/>
      <c r="J218" s="691"/>
      <c r="K218" s="691"/>
      <c r="L218" s="691"/>
      <c r="M218" s="691"/>
    </row>
    <row r="219" spans="2:13">
      <c r="B219" s="691"/>
      <c r="C219" s="691"/>
      <c r="D219" s="691"/>
      <c r="E219" s="691"/>
      <c r="F219" s="691"/>
      <c r="G219" s="691"/>
      <c r="H219" s="691"/>
      <c r="I219" s="691"/>
      <c r="J219" s="691"/>
      <c r="K219" s="691"/>
      <c r="L219" s="691"/>
      <c r="M219" s="691"/>
    </row>
    <row r="220" spans="2:13">
      <c r="B220" s="691"/>
      <c r="C220" s="691"/>
      <c r="D220" s="691"/>
      <c r="E220" s="691"/>
      <c r="F220" s="691"/>
      <c r="G220" s="691"/>
      <c r="H220" s="691"/>
      <c r="I220" s="691"/>
      <c r="J220" s="691"/>
      <c r="K220" s="691"/>
      <c r="L220" s="691"/>
      <c r="M220" s="691"/>
    </row>
    <row r="221" spans="2:13">
      <c r="B221" s="691"/>
      <c r="C221" s="691"/>
      <c r="D221" s="691"/>
      <c r="E221" s="691"/>
      <c r="F221" s="691"/>
      <c r="G221" s="691"/>
      <c r="H221" s="691"/>
      <c r="I221" s="691"/>
      <c r="J221" s="691"/>
      <c r="K221" s="691"/>
      <c r="L221" s="691"/>
      <c r="M221" s="691"/>
    </row>
    <row r="222" spans="2:13">
      <c r="B222" s="691"/>
      <c r="C222" s="691"/>
      <c r="D222" s="691"/>
      <c r="E222" s="691"/>
      <c r="F222" s="691"/>
      <c r="G222" s="691"/>
      <c r="H222" s="691"/>
      <c r="I222" s="691"/>
      <c r="J222" s="691"/>
      <c r="K222" s="691"/>
      <c r="L222" s="691"/>
      <c r="M222" s="691"/>
    </row>
    <row r="223" spans="2:13">
      <c r="B223" s="691"/>
      <c r="C223" s="691"/>
      <c r="D223" s="691"/>
      <c r="E223" s="691"/>
      <c r="F223" s="691"/>
      <c r="G223" s="691"/>
      <c r="H223" s="691"/>
      <c r="I223" s="691"/>
      <c r="J223" s="691"/>
      <c r="K223" s="691"/>
      <c r="L223" s="691"/>
      <c r="M223" s="691"/>
    </row>
    <row r="224" spans="2:13">
      <c r="B224" s="691"/>
      <c r="C224" s="691"/>
      <c r="D224" s="691"/>
      <c r="E224" s="691"/>
      <c r="F224" s="691"/>
      <c r="G224" s="691"/>
      <c r="H224" s="691"/>
      <c r="I224" s="691"/>
      <c r="J224" s="691"/>
      <c r="K224" s="691"/>
      <c r="L224" s="691"/>
      <c r="M224" s="691"/>
    </row>
    <row r="225" spans="2:13">
      <c r="B225" s="691"/>
      <c r="C225" s="691"/>
      <c r="D225" s="691"/>
      <c r="E225" s="691"/>
      <c r="F225" s="691"/>
      <c r="G225" s="691"/>
      <c r="H225" s="691"/>
      <c r="I225" s="691"/>
      <c r="J225" s="691"/>
      <c r="K225" s="691"/>
      <c r="L225" s="691"/>
      <c r="M225" s="691"/>
    </row>
    <row r="226" spans="2:13">
      <c r="B226" s="691"/>
      <c r="C226" s="691"/>
      <c r="D226" s="691"/>
      <c r="E226" s="691"/>
      <c r="F226" s="691"/>
      <c r="G226" s="691"/>
      <c r="H226" s="691"/>
      <c r="I226" s="691"/>
      <c r="J226" s="691"/>
      <c r="K226" s="691"/>
      <c r="L226" s="691"/>
      <c r="M226" s="691"/>
    </row>
    <row r="227" spans="2:13">
      <c r="B227" s="691"/>
      <c r="C227" s="691"/>
      <c r="D227" s="691"/>
      <c r="E227" s="691"/>
      <c r="F227" s="691"/>
      <c r="G227" s="691"/>
      <c r="H227" s="691"/>
      <c r="I227" s="691"/>
      <c r="J227" s="691"/>
      <c r="K227" s="691"/>
      <c r="L227" s="691"/>
      <c r="M227" s="691"/>
    </row>
    <row r="228" spans="2:13">
      <c r="B228" s="691"/>
      <c r="C228" s="691"/>
      <c r="D228" s="691"/>
      <c r="E228" s="691"/>
      <c r="F228" s="691"/>
      <c r="G228" s="691"/>
      <c r="H228" s="691"/>
      <c r="I228" s="691"/>
      <c r="J228" s="691"/>
      <c r="K228" s="691"/>
      <c r="L228" s="691"/>
      <c r="M228" s="691"/>
    </row>
    <row r="229" spans="2:13">
      <c r="B229" s="691"/>
      <c r="C229" s="691"/>
      <c r="D229" s="691"/>
      <c r="E229" s="691"/>
      <c r="F229" s="691"/>
      <c r="G229" s="691"/>
      <c r="H229" s="691"/>
      <c r="I229" s="691"/>
      <c r="J229" s="691"/>
      <c r="K229" s="691"/>
      <c r="L229" s="691"/>
      <c r="M229" s="691"/>
    </row>
    <row r="230" spans="2:13">
      <c r="B230" s="691"/>
      <c r="C230" s="691"/>
      <c r="D230" s="691"/>
      <c r="E230" s="691"/>
      <c r="F230" s="691"/>
      <c r="G230" s="691"/>
      <c r="H230" s="691"/>
      <c r="I230" s="691"/>
      <c r="J230" s="691"/>
      <c r="K230" s="691"/>
      <c r="L230" s="691"/>
      <c r="M230" s="691"/>
    </row>
    <row r="231" spans="2:13">
      <c r="B231" s="691"/>
      <c r="C231" s="691"/>
      <c r="D231" s="691"/>
      <c r="E231" s="691"/>
      <c r="F231" s="691"/>
      <c r="G231" s="691"/>
      <c r="H231" s="691"/>
      <c r="I231" s="691"/>
      <c r="J231" s="691"/>
      <c r="K231" s="691"/>
      <c r="L231" s="691"/>
      <c r="M231" s="691"/>
    </row>
    <row r="232" spans="2:13">
      <c r="B232" s="691"/>
      <c r="C232" s="691"/>
      <c r="D232" s="691"/>
      <c r="E232" s="691"/>
      <c r="F232" s="691"/>
      <c r="G232" s="691"/>
      <c r="H232" s="691"/>
      <c r="I232" s="691"/>
      <c r="J232" s="691"/>
      <c r="K232" s="691"/>
      <c r="L232" s="691"/>
      <c r="M232" s="691"/>
    </row>
    <row r="233" spans="2:13">
      <c r="B233" s="691"/>
      <c r="C233" s="691"/>
      <c r="D233" s="691"/>
      <c r="E233" s="691"/>
      <c r="F233" s="691"/>
      <c r="G233" s="691"/>
      <c r="H233" s="691"/>
      <c r="I233" s="691"/>
      <c r="J233" s="691"/>
      <c r="K233" s="691"/>
      <c r="L233" s="691"/>
      <c r="M233" s="691"/>
    </row>
    <row r="234" spans="2:13">
      <c r="B234" s="691"/>
      <c r="C234" s="691"/>
      <c r="D234" s="691"/>
      <c r="E234" s="691"/>
      <c r="F234" s="691"/>
      <c r="G234" s="691"/>
      <c r="H234" s="691"/>
      <c r="I234" s="691"/>
      <c r="J234" s="691"/>
      <c r="K234" s="691"/>
      <c r="L234" s="691"/>
      <c r="M234" s="691"/>
    </row>
    <row r="235" spans="2:13">
      <c r="B235" s="691"/>
      <c r="C235" s="691"/>
      <c r="D235" s="691"/>
      <c r="E235" s="691"/>
      <c r="F235" s="691"/>
      <c r="G235" s="691"/>
      <c r="H235" s="691"/>
      <c r="I235" s="691"/>
      <c r="J235" s="691"/>
      <c r="K235" s="691"/>
      <c r="L235" s="691"/>
      <c r="M235" s="691"/>
    </row>
    <row r="236" spans="2:13">
      <c r="B236" s="691"/>
      <c r="C236" s="691"/>
      <c r="D236" s="691"/>
      <c r="E236" s="691"/>
      <c r="F236" s="691"/>
      <c r="G236" s="691"/>
      <c r="H236" s="691"/>
      <c r="I236" s="691"/>
      <c r="J236" s="691"/>
      <c r="K236" s="691"/>
      <c r="L236" s="691"/>
      <c r="M236" s="691"/>
    </row>
    <row r="237" spans="2:13">
      <c r="B237" s="691"/>
      <c r="C237" s="691"/>
      <c r="D237" s="691"/>
      <c r="E237" s="691"/>
      <c r="F237" s="691"/>
      <c r="G237" s="691"/>
      <c r="H237" s="691"/>
      <c r="I237" s="691"/>
      <c r="J237" s="691"/>
      <c r="K237" s="691"/>
      <c r="L237" s="691"/>
      <c r="M237" s="691"/>
    </row>
    <row r="238" spans="2:13">
      <c r="B238" s="691"/>
      <c r="C238" s="691"/>
      <c r="D238" s="691"/>
      <c r="E238" s="691"/>
      <c r="F238" s="691"/>
      <c r="G238" s="691"/>
      <c r="H238" s="691"/>
      <c r="I238" s="691"/>
      <c r="J238" s="691"/>
      <c r="K238" s="691"/>
      <c r="L238" s="691"/>
      <c r="M238" s="691"/>
    </row>
    <row r="239" spans="2:13">
      <c r="B239" s="691"/>
      <c r="C239" s="691"/>
      <c r="D239" s="691"/>
      <c r="E239" s="691"/>
      <c r="F239" s="691"/>
      <c r="G239" s="691"/>
      <c r="H239" s="691"/>
      <c r="I239" s="691"/>
      <c r="J239" s="691"/>
      <c r="K239" s="691"/>
      <c r="L239" s="691"/>
      <c r="M239" s="691"/>
    </row>
    <row r="240" spans="2:13">
      <c r="B240" s="691"/>
      <c r="C240" s="691"/>
      <c r="D240" s="691"/>
      <c r="E240" s="691"/>
      <c r="F240" s="691"/>
      <c r="G240" s="691"/>
      <c r="H240" s="691"/>
      <c r="I240" s="691"/>
      <c r="J240" s="691"/>
      <c r="K240" s="691"/>
      <c r="L240" s="691"/>
      <c r="M240" s="691"/>
    </row>
    <row r="241" spans="2:13">
      <c r="B241" s="691"/>
      <c r="C241" s="691"/>
      <c r="D241" s="691"/>
      <c r="E241" s="691"/>
      <c r="F241" s="691"/>
      <c r="G241" s="691"/>
      <c r="H241" s="691"/>
      <c r="I241" s="691"/>
      <c r="J241" s="691"/>
      <c r="K241" s="691"/>
      <c r="L241" s="691"/>
      <c r="M241" s="691"/>
    </row>
    <row r="242" spans="2:13">
      <c r="B242" s="691"/>
      <c r="C242" s="691"/>
      <c r="D242" s="691"/>
      <c r="E242" s="691"/>
      <c r="F242" s="691"/>
      <c r="G242" s="691"/>
      <c r="H242" s="691"/>
      <c r="I242" s="691"/>
      <c r="J242" s="691"/>
      <c r="K242" s="691"/>
      <c r="L242" s="691"/>
      <c r="M242" s="691"/>
    </row>
    <row r="243" spans="2:13">
      <c r="B243" s="691"/>
      <c r="C243" s="691"/>
      <c r="D243" s="691"/>
      <c r="E243" s="691"/>
      <c r="F243" s="691"/>
      <c r="G243" s="691"/>
      <c r="H243" s="691"/>
      <c r="I243" s="691"/>
      <c r="J243" s="691"/>
      <c r="K243" s="691"/>
      <c r="L243" s="691"/>
      <c r="M243" s="691"/>
    </row>
    <row r="244" spans="2:13">
      <c r="B244" s="691"/>
      <c r="C244" s="691"/>
      <c r="D244" s="691"/>
      <c r="E244" s="691"/>
      <c r="F244" s="691"/>
      <c r="G244" s="691"/>
      <c r="H244" s="691"/>
      <c r="I244" s="691"/>
      <c r="J244" s="691"/>
      <c r="K244" s="691"/>
      <c r="L244" s="691"/>
      <c r="M244" s="691"/>
    </row>
    <row r="245" spans="2:13">
      <c r="B245" s="691"/>
      <c r="C245" s="691"/>
      <c r="D245" s="691"/>
      <c r="E245" s="691"/>
      <c r="F245" s="691"/>
      <c r="G245" s="691"/>
      <c r="H245" s="691"/>
      <c r="I245" s="691"/>
      <c r="J245" s="691"/>
      <c r="K245" s="691"/>
      <c r="L245" s="691"/>
      <c r="M245" s="691"/>
    </row>
    <row r="246" spans="2:13">
      <c r="B246" s="691"/>
      <c r="C246" s="691"/>
      <c r="D246" s="691"/>
      <c r="E246" s="691"/>
      <c r="F246" s="691"/>
      <c r="G246" s="691"/>
      <c r="H246" s="691"/>
      <c r="I246" s="691"/>
      <c r="J246" s="691"/>
      <c r="K246" s="691"/>
      <c r="L246" s="691"/>
      <c r="M246" s="691"/>
    </row>
    <row r="247" spans="2:13">
      <c r="B247" s="691"/>
      <c r="C247" s="691"/>
      <c r="D247" s="691"/>
      <c r="E247" s="691"/>
      <c r="F247" s="691"/>
      <c r="G247" s="691"/>
      <c r="H247" s="691"/>
      <c r="I247" s="691"/>
      <c r="J247" s="691"/>
      <c r="K247" s="691"/>
      <c r="L247" s="691"/>
      <c r="M247" s="691"/>
    </row>
    <row r="248" spans="2:13">
      <c r="B248" s="691"/>
      <c r="C248" s="691"/>
      <c r="D248" s="691"/>
      <c r="E248" s="691"/>
      <c r="F248" s="691"/>
      <c r="G248" s="691"/>
      <c r="H248" s="691"/>
      <c r="I248" s="691"/>
      <c r="J248" s="691"/>
      <c r="K248" s="691"/>
      <c r="L248" s="691"/>
      <c r="M248" s="691"/>
    </row>
    <row r="249" spans="2:13">
      <c r="B249" s="691"/>
      <c r="C249" s="691"/>
      <c r="D249" s="691"/>
      <c r="E249" s="691"/>
      <c r="F249" s="691"/>
      <c r="G249" s="691"/>
      <c r="H249" s="691"/>
      <c r="I249" s="691"/>
      <c r="J249" s="691"/>
      <c r="K249" s="691"/>
      <c r="L249" s="691"/>
      <c r="M249" s="691"/>
    </row>
    <row r="250" spans="2:13">
      <c r="B250" s="691"/>
      <c r="C250" s="691"/>
      <c r="D250" s="691"/>
      <c r="E250" s="691"/>
      <c r="F250" s="691"/>
      <c r="G250" s="691"/>
      <c r="H250" s="691"/>
      <c r="I250" s="691"/>
      <c r="J250" s="691"/>
      <c r="K250" s="691"/>
      <c r="L250" s="691"/>
      <c r="M250" s="691"/>
    </row>
    <row r="251" spans="2:13">
      <c r="B251" s="691"/>
      <c r="C251" s="691"/>
      <c r="D251" s="691"/>
      <c r="E251" s="691"/>
      <c r="F251" s="691"/>
      <c r="G251" s="691"/>
      <c r="H251" s="691"/>
      <c r="I251" s="691"/>
      <c r="J251" s="691"/>
      <c r="K251" s="691"/>
      <c r="L251" s="691"/>
      <c r="M251" s="691"/>
    </row>
    <row r="252" spans="2:13">
      <c r="B252" s="691"/>
      <c r="C252" s="691"/>
      <c r="D252" s="691"/>
      <c r="E252" s="691"/>
      <c r="F252" s="691"/>
      <c r="G252" s="691"/>
      <c r="H252" s="691"/>
      <c r="I252" s="691"/>
      <c r="J252" s="691"/>
      <c r="K252" s="691"/>
      <c r="L252" s="691"/>
      <c r="M252" s="691"/>
    </row>
    <row r="253" spans="2:13">
      <c r="B253" s="691"/>
      <c r="C253" s="691"/>
      <c r="D253" s="691"/>
      <c r="E253" s="691"/>
      <c r="F253" s="691"/>
      <c r="G253" s="691"/>
      <c r="H253" s="691"/>
      <c r="I253" s="691"/>
      <c r="J253" s="691"/>
      <c r="K253" s="691"/>
      <c r="L253" s="691"/>
      <c r="M253" s="691"/>
    </row>
    <row r="254" spans="2:13">
      <c r="B254" s="691"/>
      <c r="C254" s="691"/>
      <c r="D254" s="691"/>
      <c r="E254" s="691"/>
      <c r="F254" s="691"/>
      <c r="G254" s="691"/>
      <c r="H254" s="691"/>
      <c r="I254" s="691"/>
      <c r="J254" s="691"/>
      <c r="K254" s="691"/>
      <c r="L254" s="691"/>
      <c r="M254" s="691"/>
    </row>
    <row r="255" spans="2:13">
      <c r="B255" s="691"/>
      <c r="C255" s="691"/>
      <c r="D255" s="691"/>
      <c r="E255" s="691"/>
      <c r="F255" s="691"/>
      <c r="G255" s="691"/>
      <c r="H255" s="691"/>
      <c r="I255" s="691"/>
      <c r="J255" s="691"/>
      <c r="K255" s="691"/>
      <c r="L255" s="691"/>
      <c r="M255" s="691"/>
    </row>
  </sheetData>
  <mergeCells count="14">
    <mergeCell ref="H7:H8"/>
    <mergeCell ref="B1:C1"/>
    <mergeCell ref="I7:I8"/>
    <mergeCell ref="J7:J8"/>
    <mergeCell ref="K7:K8"/>
    <mergeCell ref="A3:K3"/>
    <mergeCell ref="B6:K6"/>
    <mergeCell ref="A7:A8"/>
    <mergeCell ref="B7:B8"/>
    <mergeCell ref="C7:C8"/>
    <mergeCell ref="D7:D8"/>
    <mergeCell ref="E7:E8"/>
    <mergeCell ref="F7:F8"/>
    <mergeCell ref="G7:G8"/>
  </mergeCells>
  <phoneticPr fontId="24" type="noConversion"/>
  <hyperlinks>
    <hyperlink ref="B1" location="Index!A1" display="Back to Index"/>
  </hyperlinks>
  <printOptions horizontalCentered="1" verticalCentered="1"/>
  <pageMargins left="0.78740157480314965" right="0.78740157480314965" top="0.98425196850393704" bottom="0.98425196850393704" header="0.51181102362204722" footer="0.51181102362204722"/>
  <pageSetup paperSize="9" scale="55"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tabColor theme="3" tint="0.59999389629810485"/>
    <pageSetUpPr fitToPage="1"/>
  </sheetPr>
  <dimension ref="A1:T384"/>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T4"/>
    </sheetView>
  </sheetViews>
  <sheetFormatPr baseColWidth="10" defaultColWidth="10.33203125" defaultRowHeight="12" x14ac:dyDescent="0"/>
  <cols>
    <col min="1" max="1" width="7.83203125" style="76" customWidth="1"/>
    <col min="2" max="13" width="7.6640625" style="76" customWidth="1"/>
    <col min="14" max="14" width="9.33203125" style="76" customWidth="1"/>
    <col min="15" max="17" width="7.6640625" style="76" customWidth="1"/>
    <col min="18" max="20" width="8.6640625" style="76" customWidth="1"/>
    <col min="21" max="16384" width="10.33203125" style="76"/>
  </cols>
  <sheetData>
    <row r="1" spans="1:20">
      <c r="B1" s="2252" t="s">
        <v>1416</v>
      </c>
      <c r="C1" s="2252"/>
    </row>
    <row r="2" spans="1:20">
      <c r="B2" s="75"/>
      <c r="C2" s="75"/>
      <c r="D2" s="75"/>
      <c r="E2" s="75"/>
      <c r="F2" s="75"/>
      <c r="G2" s="75"/>
      <c r="H2" s="75"/>
      <c r="I2" s="75"/>
      <c r="J2" s="75"/>
      <c r="K2" s="75"/>
      <c r="L2" s="75"/>
      <c r="M2" s="75"/>
      <c r="N2" s="75"/>
      <c r="O2" s="75"/>
      <c r="P2" s="75"/>
      <c r="Q2" s="75"/>
    </row>
    <row r="3" spans="1:20" ht="13" thickBot="1"/>
    <row r="4" spans="1:20" ht="19.75" customHeight="1" thickTop="1">
      <c r="A4" s="2264" t="s">
        <v>493</v>
      </c>
      <c r="B4" s="2265"/>
      <c r="C4" s="2265"/>
      <c r="D4" s="2265"/>
      <c r="E4" s="2265"/>
      <c r="F4" s="2265"/>
      <c r="G4" s="2265"/>
      <c r="H4" s="2265"/>
      <c r="I4" s="2265"/>
      <c r="J4" s="2265"/>
      <c r="K4" s="2265"/>
      <c r="L4" s="2265"/>
      <c r="M4" s="2265"/>
      <c r="N4" s="2265"/>
      <c r="O4" s="2265"/>
      <c r="P4" s="2265"/>
      <c r="Q4" s="2265"/>
      <c r="R4" s="2265"/>
      <c r="S4" s="2265"/>
      <c r="T4" s="2266"/>
    </row>
    <row r="5" spans="1:20">
      <c r="A5" s="120"/>
      <c r="B5" s="83"/>
      <c r="C5" s="83"/>
      <c r="D5" s="83"/>
      <c r="E5" s="83"/>
      <c r="F5" s="83"/>
      <c r="G5" s="83"/>
      <c r="H5" s="83"/>
      <c r="I5" s="83"/>
      <c r="J5" s="83"/>
      <c r="K5" s="83"/>
      <c r="L5" s="83"/>
      <c r="M5" s="83"/>
      <c r="N5" s="83"/>
      <c r="O5" s="83"/>
      <c r="P5" s="83"/>
      <c r="Q5" s="83"/>
      <c r="R5" s="83"/>
      <c r="S5" s="83"/>
      <c r="T5" s="121"/>
    </row>
    <row r="6" spans="1:20">
      <c r="A6" s="120"/>
      <c r="B6" s="122" t="s">
        <v>952</v>
      </c>
      <c r="C6" s="122" t="s">
        <v>953</v>
      </c>
      <c r="D6" s="122" t="s">
        <v>954</v>
      </c>
      <c r="E6" s="122" t="s">
        <v>955</v>
      </c>
      <c r="F6" s="122" t="s">
        <v>956</v>
      </c>
      <c r="G6" s="122" t="s">
        <v>957</v>
      </c>
      <c r="H6" s="122" t="s">
        <v>958</v>
      </c>
      <c r="I6" s="122" t="s">
        <v>959</v>
      </c>
      <c r="J6" s="122" t="s">
        <v>960</v>
      </c>
      <c r="K6" s="122" t="s">
        <v>961</v>
      </c>
      <c r="L6" s="122" t="s">
        <v>962</v>
      </c>
      <c r="M6" s="122" t="s">
        <v>963</v>
      </c>
      <c r="N6" s="122" t="s">
        <v>964</v>
      </c>
      <c r="O6" s="122" t="s">
        <v>965</v>
      </c>
      <c r="P6" s="122" t="s">
        <v>120</v>
      </c>
      <c r="Q6" s="122" t="s">
        <v>121</v>
      </c>
      <c r="R6" s="757" t="s">
        <v>328</v>
      </c>
      <c r="S6" s="757" t="s">
        <v>329</v>
      </c>
      <c r="T6" s="758" t="s">
        <v>330</v>
      </c>
    </row>
    <row r="7" spans="1:20" ht="34.75" customHeight="1">
      <c r="A7" s="2270"/>
      <c r="B7" s="2257" t="s">
        <v>461</v>
      </c>
      <c r="C7" s="2259"/>
      <c r="D7" s="2257" t="s">
        <v>460</v>
      </c>
      <c r="E7" s="2259"/>
      <c r="F7" s="2257" t="s">
        <v>326</v>
      </c>
      <c r="G7" s="2258"/>
      <c r="H7" s="2258"/>
      <c r="I7" s="2259"/>
      <c r="J7" s="2257" t="s">
        <v>327</v>
      </c>
      <c r="K7" s="2258"/>
      <c r="L7" s="2258"/>
      <c r="M7" s="2259"/>
      <c r="N7" s="2267" t="s">
        <v>122</v>
      </c>
      <c r="O7" s="2291" t="s">
        <v>1081</v>
      </c>
      <c r="P7" s="2297" t="s">
        <v>1082</v>
      </c>
      <c r="Q7" s="2294" t="s">
        <v>1083</v>
      </c>
      <c r="R7" s="2285" t="s">
        <v>76</v>
      </c>
      <c r="S7" s="2287" t="s">
        <v>331</v>
      </c>
      <c r="T7" s="2289" t="s">
        <v>332</v>
      </c>
    </row>
    <row r="8" spans="1:20" ht="34.75" customHeight="1">
      <c r="A8" s="2270"/>
      <c r="B8" s="2253" t="s">
        <v>123</v>
      </c>
      <c r="C8" s="2255" t="s">
        <v>124</v>
      </c>
      <c r="D8" s="2253" t="s">
        <v>123</v>
      </c>
      <c r="E8" s="2255" t="s">
        <v>124</v>
      </c>
      <c r="F8" s="2253" t="s">
        <v>125</v>
      </c>
      <c r="G8" s="2260" t="s">
        <v>126</v>
      </c>
      <c r="H8" s="2262" t="s">
        <v>127</v>
      </c>
      <c r="I8" s="2281" t="s">
        <v>128</v>
      </c>
      <c r="J8" s="2283" t="s">
        <v>129</v>
      </c>
      <c r="K8" s="2260" t="s">
        <v>126</v>
      </c>
      <c r="L8" s="2262" t="s">
        <v>127</v>
      </c>
      <c r="M8" s="2281" t="s">
        <v>128</v>
      </c>
      <c r="N8" s="2268"/>
      <c r="O8" s="2292"/>
      <c r="P8" s="2298"/>
      <c r="Q8" s="2295"/>
      <c r="R8" s="2286"/>
      <c r="S8" s="2288"/>
      <c r="T8" s="2290"/>
    </row>
    <row r="9" spans="1:20" ht="49.75" customHeight="1">
      <c r="A9" s="2271"/>
      <c r="B9" s="2254"/>
      <c r="C9" s="2256"/>
      <c r="D9" s="2254"/>
      <c r="E9" s="2256"/>
      <c r="F9" s="2254"/>
      <c r="G9" s="2261"/>
      <c r="H9" s="2263"/>
      <c r="I9" s="2282"/>
      <c r="J9" s="2284"/>
      <c r="K9" s="2261"/>
      <c r="L9" s="2263"/>
      <c r="M9" s="2282"/>
      <c r="N9" s="2269"/>
      <c r="O9" s="2293"/>
      <c r="P9" s="2299"/>
      <c r="Q9" s="2296"/>
      <c r="R9" s="2155" t="s">
        <v>333</v>
      </c>
      <c r="S9" s="2156" t="s">
        <v>334</v>
      </c>
      <c r="T9" s="2157" t="s">
        <v>335</v>
      </c>
    </row>
    <row r="10" spans="1:20" ht="12" customHeight="1">
      <c r="A10" s="348">
        <f t="shared" ref="A10:A53" si="0">A11-1</f>
        <v>1855</v>
      </c>
      <c r="B10" s="278">
        <f>DataUK1!B13/1000</f>
        <v>0.66251561558684191</v>
      </c>
      <c r="C10" s="587">
        <f t="shared" ref="C10:C73" si="1">B10*N10</f>
        <v>5.0093066382574989</v>
      </c>
      <c r="D10" s="129">
        <f>B10*DataUK1!$HU$169/DataUK1!$HU13</f>
        <v>53.963474307680634</v>
      </c>
      <c r="E10" s="820">
        <f>C10*DataUK1!$HU$169/DataUK1!$HU13</f>
        <v>408.01995260664057</v>
      </c>
      <c r="F10" s="139">
        <f t="shared" ref="F10:F73" si="2">1000000*B10/$R10</f>
        <v>23.812652418476095</v>
      </c>
      <c r="G10" s="789">
        <f t="shared" ref="G10:G73" si="3">1000000*C10/$R10</f>
        <v>180.04840192141108</v>
      </c>
      <c r="H10" s="537">
        <f t="shared" ref="H10:H73" si="4">1000000*B10/$S10</f>
        <v>44.700402725949942</v>
      </c>
      <c r="I10" s="538">
        <f t="shared" ref="I10:I73" si="5">1000000*C10/$S10</f>
        <v>337.98150389186361</v>
      </c>
      <c r="J10" s="175">
        <f t="shared" ref="J10:J73" si="6">1000000*D10/$R10</f>
        <v>1939.5972362763509</v>
      </c>
      <c r="K10" s="175">
        <f t="shared" ref="K10:K73" si="7">1000000*E10/$R10</f>
        <v>14665.371023170173</v>
      </c>
      <c r="L10" s="537">
        <f t="shared" ref="L10:L73" si="8">1000000*D10/$S10</f>
        <v>3640.9542315589238</v>
      </c>
      <c r="M10" s="538">
        <f t="shared" ref="M10:M73" si="9">1000000*E10/$S10</f>
        <v>27529.398209858704</v>
      </c>
      <c r="N10" s="134">
        <f>TableUK5a!F10</f>
        <v>7.5610393482127423</v>
      </c>
      <c r="O10" s="1722"/>
      <c r="P10" s="529"/>
      <c r="Q10" s="762"/>
      <c r="R10" s="768">
        <f>DataUK2!B13</f>
        <v>27822</v>
      </c>
      <c r="S10" s="535">
        <f>(1-DataUK2!C13)*DataUK2!B13</f>
        <v>14821.244892324683</v>
      </c>
      <c r="T10" s="536">
        <f>DataUK2!E13</f>
        <v>11760</v>
      </c>
    </row>
    <row r="11" spans="1:20" ht="12" customHeight="1">
      <c r="A11" s="348">
        <f t="shared" si="0"/>
        <v>1856</v>
      </c>
      <c r="B11" s="278">
        <f>DataUK1!B14/1000</f>
        <v>0.69469320112264987</v>
      </c>
      <c r="C11" s="587">
        <f t="shared" si="1"/>
        <v>5.1520015141165256</v>
      </c>
      <c r="D11" s="129">
        <f>B11*DataUK1!$HU$169/DataUK1!$HU14</f>
        <v>56.584415262871076</v>
      </c>
      <c r="E11" s="128">
        <f>C11*DataUK1!$HU$169/DataUK1!$HU14</f>
        <v>419.6427899950628</v>
      </c>
      <c r="F11" s="130">
        <f t="shared" si="2"/>
        <v>24.800728325395376</v>
      </c>
      <c r="G11" s="790">
        <f t="shared" si="3"/>
        <v>183.92779672687607</v>
      </c>
      <c r="H11" s="537">
        <f t="shared" si="4"/>
        <v>46.555189424504817</v>
      </c>
      <c r="I11" s="538">
        <f t="shared" si="5"/>
        <v>345.26378841396485</v>
      </c>
      <c r="J11" s="175">
        <f t="shared" si="6"/>
        <v>2020.0783714566091</v>
      </c>
      <c r="K11" s="175">
        <f t="shared" si="7"/>
        <v>14981.3569667296</v>
      </c>
      <c r="L11" s="537">
        <f t="shared" si="8"/>
        <v>3792.0310243150238</v>
      </c>
      <c r="M11" s="538">
        <f t="shared" si="9"/>
        <v>28122.557622956523</v>
      </c>
      <c r="N11" s="134">
        <f>TableUK5a!F11</f>
        <v>7.4162256169927971</v>
      </c>
      <c r="O11" s="1722"/>
      <c r="P11" s="529"/>
      <c r="Q11" s="762"/>
      <c r="R11" s="768">
        <f>DataUK2!B14</f>
        <v>28011</v>
      </c>
      <c r="S11" s="535">
        <f>(1-DataUK2!C14)*DataUK2!B14</f>
        <v>14921.928354500276</v>
      </c>
      <c r="T11" s="536">
        <f>DataUK2!E14</f>
        <v>11890</v>
      </c>
    </row>
    <row r="12" spans="1:20" ht="12" customHeight="1">
      <c r="A12" s="348">
        <f t="shared" si="0"/>
        <v>1857</v>
      </c>
      <c r="B12" s="278">
        <f>DataUK1!B15/1000</f>
        <v>0.68197720315613519</v>
      </c>
      <c r="C12" s="587">
        <f t="shared" si="1"/>
        <v>5.0280913725212066</v>
      </c>
      <c r="D12" s="129">
        <f>B12*DataUK1!$HU$169/DataUK1!$HU15</f>
        <v>58.32610029992847</v>
      </c>
      <c r="E12" s="128">
        <f>C12*DataUK1!$HU$169/DataUK1!$HU15</f>
        <v>430.02751463487618</v>
      </c>
      <c r="F12" s="130">
        <f t="shared" si="2"/>
        <v>24.194742369040167</v>
      </c>
      <c r="G12" s="790">
        <f t="shared" si="3"/>
        <v>178.38334595810858</v>
      </c>
      <c r="H12" s="537">
        <f t="shared" si="4"/>
        <v>45.417650614492608</v>
      </c>
      <c r="I12" s="538">
        <f t="shared" si="5"/>
        <v>334.85591037070191</v>
      </c>
      <c r="J12" s="175">
        <f t="shared" si="6"/>
        <v>2069.2553411121607</v>
      </c>
      <c r="K12" s="175">
        <f t="shared" si="7"/>
        <v>15256.235663067237</v>
      </c>
      <c r="L12" s="537">
        <f t="shared" si="8"/>
        <v>3884.3445688044808</v>
      </c>
      <c r="M12" s="538">
        <f t="shared" si="9"/>
        <v>28638.551734454279</v>
      </c>
      <c r="N12" s="134">
        <f>TableUK5a!F12</f>
        <v>7.3728144419661055</v>
      </c>
      <c r="O12" s="1722"/>
      <c r="P12" s="529"/>
      <c r="Q12" s="762"/>
      <c r="R12" s="768">
        <f>DataUK2!B15</f>
        <v>28187</v>
      </c>
      <c r="S12" s="535">
        <f>(1-DataUK2!C15)*DataUK2!B15</f>
        <v>15015.686499171728</v>
      </c>
      <c r="T12" s="536">
        <f>DataUK2!E15</f>
        <v>11910</v>
      </c>
    </row>
    <row r="13" spans="1:20" ht="12" customHeight="1">
      <c r="A13" s="348">
        <f t="shared" si="0"/>
        <v>1858</v>
      </c>
      <c r="B13" s="278">
        <f>DataUK1!B16/1000</f>
        <v>0.67176322148659684</v>
      </c>
      <c r="C13" s="587">
        <f t="shared" si="1"/>
        <v>4.6786331315436627</v>
      </c>
      <c r="D13" s="129">
        <f>B13*DataUK1!$HU$169/DataUK1!$HU16</f>
        <v>63.134669799605717</v>
      </c>
      <c r="E13" s="128">
        <f>C13*DataUK1!$HU$169/DataUK1!$HU16</f>
        <v>439.71439403876025</v>
      </c>
      <c r="F13" s="130">
        <f t="shared" si="2"/>
        <v>23.661966237639902</v>
      </c>
      <c r="G13" s="790">
        <f t="shared" si="3"/>
        <v>164.79863091030865</v>
      </c>
      <c r="H13" s="537">
        <f t="shared" si="4"/>
        <v>44.417539109993122</v>
      </c>
      <c r="I13" s="538">
        <f t="shared" si="5"/>
        <v>309.35508740976309</v>
      </c>
      <c r="J13" s="175">
        <f t="shared" si="6"/>
        <v>2223.8347939276409</v>
      </c>
      <c r="K13" s="175">
        <f t="shared" si="7"/>
        <v>15488.354844619946</v>
      </c>
      <c r="L13" s="537">
        <f t="shared" si="8"/>
        <v>4174.5165191012775</v>
      </c>
      <c r="M13" s="538">
        <f t="shared" si="9"/>
        <v>29074.278956835162</v>
      </c>
      <c r="N13" s="134">
        <f>TableUK5a!F13</f>
        <v>6.9647056907788922</v>
      </c>
      <c r="O13" s="1722"/>
      <c r="P13" s="529"/>
      <c r="Q13" s="762"/>
      <c r="R13" s="768">
        <f>DataUK2!B16</f>
        <v>28390</v>
      </c>
      <c r="S13" s="535">
        <f>(1-DataUK2!C16)*DataUK2!B16</f>
        <v>15123.827995582551</v>
      </c>
      <c r="T13" s="536">
        <f>DataUK2!E16</f>
        <v>11610</v>
      </c>
    </row>
    <row r="14" spans="1:20" ht="12" customHeight="1">
      <c r="A14" s="748">
        <f t="shared" si="0"/>
        <v>1859</v>
      </c>
      <c r="B14" s="279">
        <f>DataUK1!B17/1000</f>
        <v>0.70040017754100703</v>
      </c>
      <c r="C14" s="749">
        <f t="shared" si="1"/>
        <v>4.7423518977845873</v>
      </c>
      <c r="D14" s="146">
        <f>B14*DataUK1!$HU$169/DataUK1!$HU17</f>
        <v>66.557472426882924</v>
      </c>
      <c r="E14" s="759">
        <f>C14*DataUK1!$HU$169/DataUK1!$HU17</f>
        <v>450.65516228669651</v>
      </c>
      <c r="F14" s="147">
        <f t="shared" si="2"/>
        <v>24.497225614389389</v>
      </c>
      <c r="G14" s="791">
        <f t="shared" si="3"/>
        <v>165.86869636545021</v>
      </c>
      <c r="H14" s="750">
        <f t="shared" si="4"/>
        <v>45.985463164197128</v>
      </c>
      <c r="I14" s="751">
        <f t="shared" si="5"/>
        <v>311.3637824491633</v>
      </c>
      <c r="J14" s="752">
        <f t="shared" si="6"/>
        <v>2327.9169118562809</v>
      </c>
      <c r="K14" s="752">
        <f t="shared" si="7"/>
        <v>15762.133618505701</v>
      </c>
      <c r="L14" s="750">
        <f t="shared" si="8"/>
        <v>4369.8963745755109</v>
      </c>
      <c r="M14" s="751">
        <f t="shared" si="9"/>
        <v>29588.208326627439</v>
      </c>
      <c r="N14" s="151">
        <f>TableUK5a!F14</f>
        <v>6.7709176123201829</v>
      </c>
      <c r="O14" s="1723"/>
      <c r="P14" s="754"/>
      <c r="Q14" s="763"/>
      <c r="R14" s="769">
        <f>DataUK2!B17</f>
        <v>28591</v>
      </c>
      <c r="S14" s="755">
        <f>(1-DataUK2!C17)*DataUK2!B17</f>
        <v>15230.9040585312</v>
      </c>
      <c r="T14" s="756">
        <f>DataUK2!E17</f>
        <v>12280</v>
      </c>
    </row>
    <row r="15" spans="1:20" ht="12" customHeight="1">
      <c r="A15" s="348">
        <f t="shared" si="0"/>
        <v>1860</v>
      </c>
      <c r="B15" s="278">
        <f>DataUK1!B18/1000</f>
        <v>0.72715878558392621</v>
      </c>
      <c r="C15" s="587">
        <f t="shared" si="1"/>
        <v>5.0301299537020805</v>
      </c>
      <c r="D15" s="129">
        <f>B15*DataUK1!$HU$169/DataUK1!$HU18</f>
        <v>66.871242082865905</v>
      </c>
      <c r="E15" s="128">
        <f>C15*DataUK1!$HU$169/DataUK1!$HU18</f>
        <v>462.5826497745918</v>
      </c>
      <c r="F15" s="130">
        <f t="shared" si="2"/>
        <v>25.267870789628404</v>
      </c>
      <c r="G15" s="790">
        <f t="shared" si="3"/>
        <v>174.79081081736328</v>
      </c>
      <c r="H15" s="537">
        <f t="shared" si="4"/>
        <v>47.432095361510278</v>
      </c>
      <c r="I15" s="538">
        <f t="shared" si="5"/>
        <v>328.11211027752773</v>
      </c>
      <c r="J15" s="175">
        <f t="shared" si="6"/>
        <v>2323.6931712720097</v>
      </c>
      <c r="K15" s="175">
        <f t="shared" si="7"/>
        <v>16074.176446403219</v>
      </c>
      <c r="L15" s="537">
        <f t="shared" si="8"/>
        <v>4361.9676944012535</v>
      </c>
      <c r="M15" s="538">
        <f t="shared" si="9"/>
        <v>30173.96584030705</v>
      </c>
      <c r="N15" s="134">
        <f>TableUK5a!F15</f>
        <v>6.9175124517855666</v>
      </c>
      <c r="O15" s="1722"/>
      <c r="P15" s="529"/>
      <c r="Q15" s="762"/>
      <c r="R15" s="768">
        <f>DataUK2!B18</f>
        <v>28778</v>
      </c>
      <c r="S15" s="535">
        <f>(1-DataUK2!C18)*DataUK2!B18</f>
        <v>15330.522087244617</v>
      </c>
      <c r="T15" s="536">
        <f>DataUK2!E18</f>
        <v>12450</v>
      </c>
    </row>
    <row r="16" spans="1:20" ht="12" customHeight="1">
      <c r="A16" s="348">
        <f t="shared" si="0"/>
        <v>1861</v>
      </c>
      <c r="B16" s="278">
        <f>DataUK1!B19/1000</f>
        <v>0.76371083136645013</v>
      </c>
      <c r="C16" s="587">
        <f t="shared" si="1"/>
        <v>5.2666923866914388</v>
      </c>
      <c r="D16" s="129">
        <f>B16*DataUK1!$HU$169/DataUK1!$HU19</f>
        <v>68.754072476437528</v>
      </c>
      <c r="E16" s="128">
        <f>C16*DataUK1!$HU$169/DataUK1!$HU19</f>
        <v>474.14091197030035</v>
      </c>
      <c r="F16" s="130">
        <f t="shared" si="2"/>
        <v>26.356668669466117</v>
      </c>
      <c r="G16" s="790">
        <f t="shared" si="3"/>
        <v>181.7605047864246</v>
      </c>
      <c r="H16" s="537">
        <f t="shared" si="4"/>
        <v>49.475954351285964</v>
      </c>
      <c r="I16" s="538">
        <f t="shared" si="5"/>
        <v>341.19541245733603</v>
      </c>
      <c r="J16" s="175">
        <f t="shared" si="6"/>
        <v>2372.7937767958838</v>
      </c>
      <c r="K16" s="175">
        <f t="shared" si="7"/>
        <v>16363.228601956806</v>
      </c>
      <c r="L16" s="537">
        <f t="shared" si="8"/>
        <v>4454.1378904144549</v>
      </c>
      <c r="M16" s="538">
        <f t="shared" si="9"/>
        <v>30716.565947803858</v>
      </c>
      <c r="N16" s="134">
        <f>TableUK5a!F16</f>
        <v>6.8961865805518876</v>
      </c>
      <c r="O16" s="1722"/>
      <c r="P16" s="529"/>
      <c r="Q16" s="762"/>
      <c r="R16" s="768">
        <f>DataUK2!B19</f>
        <v>28976</v>
      </c>
      <c r="S16" s="535">
        <f>(1-DataUK2!C19)*DataUK2!B19</f>
        <v>15436</v>
      </c>
      <c r="T16" s="536">
        <f>DataUK2!E19</f>
        <v>12320</v>
      </c>
    </row>
    <row r="17" spans="1:20" ht="12" customHeight="1">
      <c r="A17" s="348">
        <f t="shared" si="0"/>
        <v>1862</v>
      </c>
      <c r="B17" s="278">
        <f>DataUK1!B20/1000</f>
        <v>0.78421580211938691</v>
      </c>
      <c r="C17" s="587">
        <f t="shared" si="1"/>
        <v>5.2836347163426547</v>
      </c>
      <c r="D17" s="129">
        <f>B17*DataUK1!$HU$169/DataUK1!$HU20</f>
        <v>72.11834029705436</v>
      </c>
      <c r="E17" s="128">
        <f>C17*DataUK1!$HU$169/DataUK1!$HU20</f>
        <v>485.89554743570483</v>
      </c>
      <c r="F17" s="130">
        <f t="shared" si="2"/>
        <v>26.815380479377225</v>
      </c>
      <c r="G17" s="790">
        <f t="shared" si="3"/>
        <v>180.66796773269465</v>
      </c>
      <c r="H17" s="537">
        <f t="shared" si="4"/>
        <v>50.924335181169432</v>
      </c>
      <c r="I17" s="538">
        <f t="shared" si="5"/>
        <v>343.1014582245495</v>
      </c>
      <c r="J17" s="175">
        <f t="shared" si="6"/>
        <v>2466.0058231169214</v>
      </c>
      <c r="K17" s="175">
        <f t="shared" si="7"/>
        <v>16614.653699288934</v>
      </c>
      <c r="L17" s="537">
        <f t="shared" si="8"/>
        <v>4683.122329429586</v>
      </c>
      <c r="M17" s="538">
        <f t="shared" si="9"/>
        <v>31552.421736187731</v>
      </c>
      <c r="N17" s="134">
        <f>TableUK5a!F17</f>
        <v>6.7374754526283933</v>
      </c>
      <c r="O17" s="1722"/>
      <c r="P17" s="529"/>
      <c r="Q17" s="762"/>
      <c r="R17" s="768">
        <f>DataUK2!B20</f>
        <v>29245</v>
      </c>
      <c r="S17" s="535">
        <f>(1-DataUK2!C20)*DataUK2!B20</f>
        <v>15399.627689383577</v>
      </c>
      <c r="T17" s="536">
        <f>DataUK2!E20</f>
        <v>12120</v>
      </c>
    </row>
    <row r="18" spans="1:20" ht="12" customHeight="1">
      <c r="A18" s="348">
        <f t="shared" si="0"/>
        <v>1863</v>
      </c>
      <c r="B18" s="278">
        <f>DataUK1!B21/1000</f>
        <v>0.81583938362853603</v>
      </c>
      <c r="C18" s="587">
        <f t="shared" si="1"/>
        <v>5.243653610645314</v>
      </c>
      <c r="D18" s="129">
        <f>B18*DataUK1!$HU$169/DataUK1!$HU21</f>
        <v>77.527403649811717</v>
      </c>
      <c r="E18" s="128">
        <f>C18*DataUK1!$HU$169/DataUK1!$HU21</f>
        <v>498.29275005604507</v>
      </c>
      <c r="F18" s="130">
        <f t="shared" si="2"/>
        <v>27.682785912542364</v>
      </c>
      <c r="G18" s="790">
        <f t="shared" si="3"/>
        <v>177.92588003954103</v>
      </c>
      <c r="H18" s="537">
        <f t="shared" si="4"/>
        <v>52.571600453069649</v>
      </c>
      <c r="I18" s="538">
        <f t="shared" si="5"/>
        <v>337.89403657749494</v>
      </c>
      <c r="J18" s="175">
        <f t="shared" si="6"/>
        <v>2630.6336279668731</v>
      </c>
      <c r="K18" s="175">
        <f t="shared" si="7"/>
        <v>16907.900989313057</v>
      </c>
      <c r="L18" s="537">
        <f t="shared" si="8"/>
        <v>4995.7623652764241</v>
      </c>
      <c r="M18" s="538">
        <f t="shared" si="9"/>
        <v>32109.31942032251</v>
      </c>
      <c r="N18" s="134">
        <f>TableUK5a!F18</f>
        <v>6.4273112034915298</v>
      </c>
      <c r="O18" s="1722"/>
      <c r="P18" s="529"/>
      <c r="Q18" s="762"/>
      <c r="R18" s="768">
        <f>DataUK2!B21</f>
        <v>29471</v>
      </c>
      <c r="S18" s="535">
        <f>(1-DataUK2!C21)*DataUK2!B21</f>
        <v>15518.633189735796</v>
      </c>
      <c r="T18" s="536">
        <f>DataUK2!E21</f>
        <v>12390</v>
      </c>
    </row>
    <row r="19" spans="1:20" ht="12" customHeight="1">
      <c r="A19" s="348">
        <f t="shared" si="0"/>
        <v>1864</v>
      </c>
      <c r="B19" s="278">
        <f>DataUK1!B22/1000</f>
        <v>0.84523906709615504</v>
      </c>
      <c r="C19" s="587">
        <f t="shared" si="1"/>
        <v>5.3468368059343661</v>
      </c>
      <c r="D19" s="129">
        <f>B19*DataUK1!$HU$169/DataUK1!$HU22</f>
        <v>81.223675520672643</v>
      </c>
      <c r="E19" s="128">
        <f>C19*DataUK1!$HU$169/DataUK1!$HU22</f>
        <v>513.80698632307497</v>
      </c>
      <c r="F19" s="130">
        <f t="shared" si="2"/>
        <v>28.477445742938414</v>
      </c>
      <c r="G19" s="790">
        <f t="shared" si="3"/>
        <v>180.14341854837659</v>
      </c>
      <c r="H19" s="537">
        <f t="shared" si="4"/>
        <v>54.080716595919888</v>
      </c>
      <c r="I19" s="538">
        <f t="shared" si="5"/>
        <v>342.10530161577924</v>
      </c>
      <c r="J19" s="175">
        <f t="shared" si="6"/>
        <v>2736.5545473761886</v>
      </c>
      <c r="K19" s="175">
        <f t="shared" si="7"/>
        <v>17310.972889157201</v>
      </c>
      <c r="L19" s="537">
        <f t="shared" si="8"/>
        <v>5196.9138054674704</v>
      </c>
      <c r="M19" s="538">
        <f t="shared" si="9"/>
        <v>32874.781933359009</v>
      </c>
      <c r="N19" s="134">
        <f>TableUK5a!F19</f>
        <v>6.325827820883374</v>
      </c>
      <c r="O19" s="1722"/>
      <c r="P19" s="529"/>
      <c r="Q19" s="762"/>
      <c r="R19" s="768">
        <f>DataUK2!B22</f>
        <v>29681</v>
      </c>
      <c r="S19" s="535">
        <f>(1-DataUK2!C22)*DataUK2!B22</f>
        <v>15629.213521921489</v>
      </c>
      <c r="T19" s="536">
        <f>DataUK2!E22</f>
        <v>12850</v>
      </c>
    </row>
    <row r="20" spans="1:20" ht="12" customHeight="1">
      <c r="A20" s="348">
        <f t="shared" si="0"/>
        <v>1865</v>
      </c>
      <c r="B20" s="278">
        <f>DataUK1!B23/1000</f>
        <v>0.87654491040080984</v>
      </c>
      <c r="C20" s="587">
        <f t="shared" si="1"/>
        <v>5.5884665826897475</v>
      </c>
      <c r="D20" s="129">
        <f>B20*DataUK1!$HU$169/DataUK1!$HU23</f>
        <v>83.296114957810303</v>
      </c>
      <c r="E20" s="128">
        <f>C20*DataUK1!$HU$169/DataUK1!$HU23</f>
        <v>531.05956053837861</v>
      </c>
      <c r="F20" s="130">
        <f t="shared" si="2"/>
        <v>29.291392160428064</v>
      </c>
      <c r="G20" s="790">
        <f t="shared" si="3"/>
        <v>186.74909215337502</v>
      </c>
      <c r="H20" s="537">
        <f t="shared" si="4"/>
        <v>55.626459354096781</v>
      </c>
      <c r="I20" s="538">
        <f t="shared" si="5"/>
        <v>354.64995064722029</v>
      </c>
      <c r="J20" s="175">
        <f t="shared" si="6"/>
        <v>2783.4959050229004</v>
      </c>
      <c r="K20" s="175">
        <f t="shared" si="7"/>
        <v>17746.351229352669</v>
      </c>
      <c r="L20" s="537">
        <f t="shared" si="8"/>
        <v>5286.0588180656969</v>
      </c>
      <c r="M20" s="538">
        <f t="shared" si="9"/>
        <v>33701.596699003916</v>
      </c>
      <c r="N20" s="134">
        <f>TableUK5a!F20</f>
        <v>6.375562183270632</v>
      </c>
      <c r="O20" s="1722"/>
      <c r="P20" s="529"/>
      <c r="Q20" s="762"/>
      <c r="R20" s="768">
        <f>DataUK2!B23</f>
        <v>29925</v>
      </c>
      <c r="S20" s="535">
        <f>(1-DataUK2!C23)*DataUK2!B23</f>
        <v>15757.697336461053</v>
      </c>
      <c r="T20" s="536">
        <f>DataUK2!E23</f>
        <v>12960</v>
      </c>
    </row>
    <row r="21" spans="1:20" ht="12" customHeight="1">
      <c r="A21" s="348">
        <f t="shared" si="0"/>
        <v>1866</v>
      </c>
      <c r="B21" s="278">
        <f>DataUK1!B24/1000</f>
        <v>0.8980387747488302</v>
      </c>
      <c r="C21" s="587">
        <f t="shared" si="1"/>
        <v>6.1118289805451589</v>
      </c>
      <c r="D21" s="129">
        <f>B21*DataUK1!$HU$169/DataUK1!$HU24</f>
        <v>80.847122326730215</v>
      </c>
      <c r="E21" s="128">
        <f>C21*DataUK1!$HU$169/DataUK1!$HU24</f>
        <v>550.22544585381547</v>
      </c>
      <c r="F21" s="130">
        <f t="shared" si="2"/>
        <v>29.787673303331239</v>
      </c>
      <c r="G21" s="790">
        <f t="shared" si="3"/>
        <v>202.72751030068855</v>
      </c>
      <c r="H21" s="537">
        <f t="shared" si="4"/>
        <v>56.568932920143382</v>
      </c>
      <c r="I21" s="538">
        <f t="shared" si="5"/>
        <v>384.9941153337686</v>
      </c>
      <c r="J21" s="175">
        <f t="shared" si="6"/>
        <v>2681.674483439373</v>
      </c>
      <c r="K21" s="175">
        <f t="shared" si="7"/>
        <v>18250.810861543567</v>
      </c>
      <c r="L21" s="537">
        <f t="shared" si="8"/>
        <v>5092.6926189423821</v>
      </c>
      <c r="M21" s="538">
        <f t="shared" si="9"/>
        <v>34659.601804126905</v>
      </c>
      <c r="N21" s="134">
        <f>TableUK5a!F21</f>
        <v>6.8057517697435257</v>
      </c>
      <c r="O21" s="1722"/>
      <c r="P21" s="529"/>
      <c r="Q21" s="762"/>
      <c r="R21" s="768">
        <f>DataUK2!B24</f>
        <v>30148</v>
      </c>
      <c r="S21" s="535">
        <f>(1-DataUK2!C24)*DataUK2!B24</f>
        <v>15875.12311778205</v>
      </c>
      <c r="T21" s="536">
        <f>DataUK2!E24</f>
        <v>12960</v>
      </c>
    </row>
    <row r="22" spans="1:20" ht="12" customHeight="1">
      <c r="A22" s="348">
        <f t="shared" si="0"/>
        <v>1867</v>
      </c>
      <c r="B22" s="278">
        <f>DataUK1!B25/1000</f>
        <v>0.88536322576313853</v>
      </c>
      <c r="C22" s="587">
        <f t="shared" si="1"/>
        <v>6.7079539070658925</v>
      </c>
      <c r="D22" s="129">
        <f>B22*DataUK1!$HU$169/DataUK1!$HU25</f>
        <v>74.970980082566783</v>
      </c>
      <c r="E22" s="128">
        <f>C22*DataUK1!$HU$169/DataUK1!$HU25</f>
        <v>568.01758208100057</v>
      </c>
      <c r="F22" s="130">
        <f t="shared" si="2"/>
        <v>29.115170698251784</v>
      </c>
      <c r="G22" s="790">
        <f t="shared" si="3"/>
        <v>220.59107195454939</v>
      </c>
      <c r="H22" s="537">
        <f t="shared" si="4"/>
        <v>55.291802129565426</v>
      </c>
      <c r="I22" s="538">
        <f t="shared" si="5"/>
        <v>418.91830305470381</v>
      </c>
      <c r="J22" s="175">
        <f t="shared" si="6"/>
        <v>2465.4207663049356</v>
      </c>
      <c r="K22" s="175">
        <f t="shared" si="7"/>
        <v>18679.258840507762</v>
      </c>
      <c r="L22" s="537">
        <f t="shared" si="8"/>
        <v>4682.011264486222</v>
      </c>
      <c r="M22" s="538">
        <f t="shared" si="9"/>
        <v>35473.255315597577</v>
      </c>
      <c r="N22" s="134">
        <f>TableUK5a!F22</f>
        <v>7.5764993528887246</v>
      </c>
      <c r="O22" s="1722"/>
      <c r="P22" s="529"/>
      <c r="Q22" s="762"/>
      <c r="R22" s="768">
        <f>DataUK2!B25</f>
        <v>30409</v>
      </c>
      <c r="S22" s="535">
        <f>(1-DataUK2!C25)*DataUK2!B25</f>
        <v>16012.558673498552</v>
      </c>
      <c r="T22" s="536">
        <f>DataUK2!E25</f>
        <v>12570</v>
      </c>
    </row>
    <row r="23" spans="1:20" ht="12" customHeight="1">
      <c r="A23" s="348">
        <f t="shared" si="0"/>
        <v>1868</v>
      </c>
      <c r="B23" s="278">
        <f>DataUK1!B26/1000</f>
        <v>0.88596021628560839</v>
      </c>
      <c r="C23" s="587">
        <f t="shared" si="1"/>
        <v>6.8400857621953932</v>
      </c>
      <c r="D23" s="129">
        <f>B23*DataUK1!$HU$169/DataUK1!$HU26</f>
        <v>75.771747497826667</v>
      </c>
      <c r="E23" s="128">
        <f>C23*DataUK1!$HU$169/DataUK1!$HU26</f>
        <v>584.99833481176097</v>
      </c>
      <c r="F23" s="130">
        <f t="shared" si="2"/>
        <v>28.868042238045238</v>
      </c>
      <c r="G23" s="790">
        <f t="shared" si="3"/>
        <v>222.87669476035822</v>
      </c>
      <c r="H23" s="537">
        <f t="shared" si="4"/>
        <v>54.822487418553102</v>
      </c>
      <c r="I23" s="538">
        <f t="shared" si="5"/>
        <v>423.25886506724908</v>
      </c>
      <c r="J23" s="175">
        <f t="shared" si="6"/>
        <v>2468.9393124088192</v>
      </c>
      <c r="K23" s="175">
        <f t="shared" si="7"/>
        <v>19061.529319379635</v>
      </c>
      <c r="L23" s="537">
        <f t="shared" si="8"/>
        <v>4688.6932364717541</v>
      </c>
      <c r="M23" s="538">
        <f t="shared" si="9"/>
        <v>36199.214434876478</v>
      </c>
      <c r="N23" s="134">
        <f>TableUK5a!F23</f>
        <v>7.7205337626473556</v>
      </c>
      <c r="O23" s="1722"/>
      <c r="P23" s="529"/>
      <c r="Q23" s="762"/>
      <c r="R23" s="768">
        <f>DataUK2!B26</f>
        <v>30690</v>
      </c>
      <c r="S23" s="535">
        <f>(1-DataUK2!C26)*DataUK2!B26</f>
        <v>16160.525689423215</v>
      </c>
      <c r="T23" s="536">
        <f>DataUK2!E26</f>
        <v>12600</v>
      </c>
    </row>
    <row r="24" spans="1:20" ht="12" customHeight="1">
      <c r="A24" s="748">
        <f t="shared" si="0"/>
        <v>1869</v>
      </c>
      <c r="B24" s="279">
        <f>DataUK1!B27/1000</f>
        <v>0.91612629874395346</v>
      </c>
      <c r="C24" s="749">
        <f t="shared" si="1"/>
        <v>6.6790356922675054</v>
      </c>
      <c r="D24" s="146">
        <f>B24*DataUK1!$HU$169/DataUK1!$HU27</f>
        <v>82.47547547376486</v>
      </c>
      <c r="E24" s="759">
        <f>C24*DataUK1!$HU$169/DataUK1!$HU27</f>
        <v>601.28897640124046</v>
      </c>
      <c r="F24" s="147">
        <f t="shared" si="2"/>
        <v>29.573448858672396</v>
      </c>
      <c r="G24" s="791">
        <f t="shared" si="3"/>
        <v>215.60577481656355</v>
      </c>
      <c r="H24" s="750">
        <f t="shared" si="4"/>
        <v>56.162105299994678</v>
      </c>
      <c r="I24" s="751">
        <f t="shared" si="5"/>
        <v>409.45086541652591</v>
      </c>
      <c r="J24" s="752">
        <f t="shared" si="6"/>
        <v>2662.3886459346913</v>
      </c>
      <c r="K24" s="752">
        <f t="shared" si="7"/>
        <v>19410.193569670104</v>
      </c>
      <c r="L24" s="750">
        <f t="shared" si="8"/>
        <v>5056.0674271389953</v>
      </c>
      <c r="M24" s="751">
        <f t="shared" si="9"/>
        <v>36861.352910261456</v>
      </c>
      <c r="N24" s="151">
        <f>TableUK5a!F24</f>
        <v>7.2905184595450825</v>
      </c>
      <c r="O24" s="1723"/>
      <c r="P24" s="754"/>
      <c r="Q24" s="763"/>
      <c r="R24" s="769">
        <f>DataUK2!B27</f>
        <v>30978</v>
      </c>
      <c r="S24" s="755">
        <f>(1-DataUK2!C27)*DataUK2!B27</f>
        <v>16312.178716420736</v>
      </c>
      <c r="T24" s="756">
        <f>DataUK2!E27</f>
        <v>12810</v>
      </c>
    </row>
    <row r="25" spans="1:20" ht="12" customHeight="1">
      <c r="A25" s="348">
        <f t="shared" si="0"/>
        <v>1870</v>
      </c>
      <c r="B25" s="278">
        <f>DataUK1!B28/1000</f>
        <v>0.98785714285714288</v>
      </c>
      <c r="C25" s="587">
        <f t="shared" si="1"/>
        <v>6.8630064599805101</v>
      </c>
      <c r="D25" s="129">
        <f>B25*DataUK1!$HU$169/DataUK1!$HU28</f>
        <v>88.933139097744359</v>
      </c>
      <c r="E25" s="128">
        <f>C25*DataUK1!$HU$169/DataUK1!$HU28</f>
        <v>617.85118683140331</v>
      </c>
      <c r="F25" s="130">
        <f t="shared" si="2"/>
        <v>31.604349197208396</v>
      </c>
      <c r="G25" s="790">
        <f t="shared" si="3"/>
        <v>219.56702370606618</v>
      </c>
      <c r="H25" s="537">
        <f t="shared" si="4"/>
        <v>60.018931036205892</v>
      </c>
      <c r="I25" s="538">
        <f t="shared" si="5"/>
        <v>416.97356181608683</v>
      </c>
      <c r="J25" s="175">
        <f t="shared" si="6"/>
        <v>2845.2231211486824</v>
      </c>
      <c r="K25" s="175">
        <f t="shared" si="7"/>
        <v>19766.810213117165</v>
      </c>
      <c r="L25" s="537">
        <f t="shared" si="8"/>
        <v>5403.2832388121151</v>
      </c>
      <c r="M25" s="538">
        <f t="shared" si="9"/>
        <v>37538.59355191666</v>
      </c>
      <c r="N25" s="134">
        <f>TableUK5a!F25</f>
        <v>6.947367349221051</v>
      </c>
      <c r="O25" s="1722"/>
      <c r="P25" s="529"/>
      <c r="Q25" s="762"/>
      <c r="R25" s="768">
        <f>DataUK2!B28</f>
        <v>31257</v>
      </c>
      <c r="S25" s="535">
        <f>(1-DataUK2!C28)*DataUK2!B28</f>
        <v>16459.092586324583</v>
      </c>
      <c r="T25" s="536">
        <f>DataUK2!E28</f>
        <v>13200</v>
      </c>
    </row>
    <row r="26" spans="1:20" ht="12" customHeight="1">
      <c r="A26" s="348">
        <f t="shared" si="0"/>
        <v>1871</v>
      </c>
      <c r="B26" s="278">
        <f>DataUK1!B29/1000</f>
        <v>1.0622200000000002</v>
      </c>
      <c r="C26" s="587">
        <f t="shared" si="1"/>
        <v>7.1527160843270616</v>
      </c>
      <c r="D26" s="129">
        <f>B26*DataUK1!$HU$169/DataUK1!$HU29</f>
        <v>94.631630729166702</v>
      </c>
      <c r="E26" s="128">
        <f>C26*DataUK1!$HU$169/DataUK1!$HU29</f>
        <v>637.22504490840834</v>
      </c>
      <c r="F26" s="130">
        <f t="shared" si="2"/>
        <v>33.661427303840796</v>
      </c>
      <c r="G26" s="790">
        <f t="shared" si="3"/>
        <v>226.66738763870774</v>
      </c>
      <c r="H26" s="537">
        <f t="shared" si="4"/>
        <v>64.680116911585628</v>
      </c>
      <c r="I26" s="538">
        <f t="shared" si="5"/>
        <v>435.53925982343884</v>
      </c>
      <c r="J26" s="175">
        <f t="shared" si="6"/>
        <v>2998.8474689176924</v>
      </c>
      <c r="K26" s="175">
        <f t="shared" si="7"/>
        <v>20193.467008125499</v>
      </c>
      <c r="L26" s="537">
        <f t="shared" si="8"/>
        <v>5762.2572904826675</v>
      </c>
      <c r="M26" s="538">
        <f t="shared" si="9"/>
        <v>38801.557496249588</v>
      </c>
      <c r="N26" s="134">
        <f>TableUK5a!F26</f>
        <v>6.7337426185978995</v>
      </c>
      <c r="O26" s="1722"/>
      <c r="P26" s="529"/>
      <c r="Q26" s="762"/>
      <c r="R26" s="768">
        <f>DataUK2!B29</f>
        <v>31556</v>
      </c>
      <c r="S26" s="535">
        <f>(1-DataUK2!C29)*DataUK2!B29</f>
        <v>16422.666666666668</v>
      </c>
      <c r="T26" s="536">
        <f>DataUK2!E29</f>
        <v>13580</v>
      </c>
    </row>
    <row r="27" spans="1:20" ht="12" customHeight="1">
      <c r="A27" s="348">
        <f t="shared" si="0"/>
        <v>1872</v>
      </c>
      <c r="B27" s="278">
        <f>DataUK1!B30/1000</f>
        <v>1.1308014285714287</v>
      </c>
      <c r="C27" s="587">
        <f t="shared" si="1"/>
        <v>7.7285517473163559</v>
      </c>
      <c r="D27" s="129">
        <f>B27*DataUK1!$HU$169/DataUK1!$HU30</f>
        <v>96.711792178571443</v>
      </c>
      <c r="E27" s="128">
        <f>C27*DataUK1!$HU$169/DataUK1!$HU30</f>
        <v>660.98438818923137</v>
      </c>
      <c r="F27" s="130">
        <f t="shared" si="2"/>
        <v>35.47723626063339</v>
      </c>
      <c r="G27" s="790">
        <f t="shared" si="3"/>
        <v>242.47197550719571</v>
      </c>
      <c r="H27" s="537">
        <f t="shared" si="4"/>
        <v>68.376393335515374</v>
      </c>
      <c r="I27" s="538">
        <f t="shared" si="5"/>
        <v>467.32386503613924</v>
      </c>
      <c r="J27" s="175">
        <f t="shared" si="6"/>
        <v>3034.190631190671</v>
      </c>
      <c r="K27" s="175">
        <f t="shared" si="7"/>
        <v>20737.415705252915</v>
      </c>
      <c r="L27" s="537">
        <f t="shared" si="8"/>
        <v>5847.8910400199529</v>
      </c>
      <c r="M27" s="538">
        <f t="shared" si="9"/>
        <v>39967.873557215811</v>
      </c>
      <c r="N27" s="134">
        <f>TableUK5a!F27</f>
        <v>6.8345790445985193</v>
      </c>
      <c r="O27" s="1722"/>
      <c r="P27" s="529"/>
      <c r="Q27" s="762"/>
      <c r="R27" s="768">
        <f>DataUK2!B30</f>
        <v>31874</v>
      </c>
      <c r="S27" s="535">
        <f>(1-DataUK2!C30)*DataUK2!B30</f>
        <v>16537.892295996244</v>
      </c>
      <c r="T27" s="536">
        <f>DataUK2!E30</f>
        <v>13770</v>
      </c>
    </row>
    <row r="28" spans="1:20" ht="12" customHeight="1">
      <c r="A28" s="348">
        <f t="shared" si="0"/>
        <v>1873</v>
      </c>
      <c r="B28" s="278">
        <f>DataUK1!B31/1000</f>
        <v>1.207182142857143</v>
      </c>
      <c r="C28" s="587">
        <f t="shared" si="1"/>
        <v>8.3242124827116513</v>
      </c>
      <c r="D28" s="129">
        <f>B28*DataUK1!$HU$169/DataUK1!$HU31</f>
        <v>99.273319969093436</v>
      </c>
      <c r="E28" s="128">
        <f>C28*DataUK1!$HU$169/DataUK1!$HU31</f>
        <v>684.54641594607119</v>
      </c>
      <c r="F28" s="130">
        <f t="shared" si="2"/>
        <v>37.51692646477742</v>
      </c>
      <c r="G28" s="790">
        <f t="shared" si="3"/>
        <v>258.70070182775436</v>
      </c>
      <c r="H28" s="537">
        <f t="shared" si="4"/>
        <v>72.307552421768847</v>
      </c>
      <c r="I28" s="538">
        <f t="shared" si="5"/>
        <v>498.60199972726411</v>
      </c>
      <c r="J28" s="175">
        <f t="shared" si="6"/>
        <v>3085.2260922116243</v>
      </c>
      <c r="K28" s="175">
        <f t="shared" si="7"/>
        <v>21274.401465210278</v>
      </c>
      <c r="L28" s="537">
        <f t="shared" si="8"/>
        <v>5946.2532892997897</v>
      </c>
      <c r="M28" s="538">
        <f t="shared" si="9"/>
        <v>41002.823102571405</v>
      </c>
      <c r="N28" s="134">
        <f>TableUK5a!F28</f>
        <v>6.8955729108202455</v>
      </c>
      <c r="O28" s="1722"/>
      <c r="P28" s="529"/>
      <c r="Q28" s="762"/>
      <c r="R28" s="768">
        <f>DataUK2!B31</f>
        <v>32177</v>
      </c>
      <c r="S28" s="535">
        <f>(1-DataUK2!C31)*DataUK2!B31</f>
        <v>16695.104486674754</v>
      </c>
      <c r="T28" s="536">
        <f>DataUK2!E31</f>
        <v>13860</v>
      </c>
    </row>
    <row r="29" spans="1:20" ht="12" customHeight="1">
      <c r="A29" s="348">
        <f t="shared" si="0"/>
        <v>1874</v>
      </c>
      <c r="B29" s="278">
        <f>DataUK1!B32/1000</f>
        <v>1.1799285714285714</v>
      </c>
      <c r="C29" s="587">
        <f t="shared" si="1"/>
        <v>8.2723729767878282</v>
      </c>
      <c r="D29" s="129">
        <f>B29*DataUK1!$HU$169/DataUK1!$HU32</f>
        <v>100.91339107142856</v>
      </c>
      <c r="E29" s="128">
        <f>C29*DataUK1!$HU$169/DataUK1!$HU32</f>
        <v>707.49469883977895</v>
      </c>
      <c r="F29" s="130">
        <f t="shared" si="2"/>
        <v>36.304377447726878</v>
      </c>
      <c r="G29" s="790">
        <f t="shared" si="3"/>
        <v>254.52672154050114</v>
      </c>
      <c r="H29" s="537">
        <f t="shared" si="4"/>
        <v>69.970568562052591</v>
      </c>
      <c r="I29" s="538">
        <f t="shared" si="5"/>
        <v>490.55735623251127</v>
      </c>
      <c r="J29" s="175">
        <f t="shared" si="6"/>
        <v>3104.9318812168417</v>
      </c>
      <c r="K29" s="175">
        <f t="shared" si="7"/>
        <v>21768.39785975136</v>
      </c>
      <c r="L29" s="537">
        <f t="shared" si="8"/>
        <v>5984.2328762695479</v>
      </c>
      <c r="M29" s="538">
        <f t="shared" si="9"/>
        <v>41954.917891785517</v>
      </c>
      <c r="N29" s="134">
        <f>TableUK5a!F29</f>
        <v>7.0109099627719349</v>
      </c>
      <c r="O29" s="1722"/>
      <c r="P29" s="529"/>
      <c r="Q29" s="762"/>
      <c r="R29" s="768">
        <f>DataUK2!B32</f>
        <v>32501</v>
      </c>
      <c r="S29" s="535">
        <f>(1-DataUK2!C32)*DataUK2!B32</f>
        <v>16863.212571756729</v>
      </c>
      <c r="T29" s="536">
        <f>DataUK2!E32</f>
        <v>13880</v>
      </c>
    </row>
    <row r="30" spans="1:20" ht="12" customHeight="1">
      <c r="A30" s="348">
        <f t="shared" si="0"/>
        <v>1875</v>
      </c>
      <c r="B30" s="278">
        <f>DataUK1!B33/1000</f>
        <v>1.1677935714285714</v>
      </c>
      <c r="C30" s="587">
        <f t="shared" si="1"/>
        <v>8.1910130850216873</v>
      </c>
      <c r="D30" s="129">
        <f>B30*DataUK1!$HU$169/DataUK1!$HU33</f>
        <v>101.91382162900875</v>
      </c>
      <c r="E30" s="128">
        <f>C30*DataUK1!$HU$169/DataUK1!$HU33</f>
        <v>714.83305520048964</v>
      </c>
      <c r="F30" s="130">
        <f t="shared" si="2"/>
        <v>35.561179433861305</v>
      </c>
      <c r="G30" s="790">
        <f t="shared" si="3"/>
        <v>249.42943101256699</v>
      </c>
      <c r="H30" s="537">
        <f t="shared" si="4"/>
        <v>68.538179653601034</v>
      </c>
      <c r="I30" s="538">
        <f t="shared" si="5"/>
        <v>480.73318786936949</v>
      </c>
      <c r="J30" s="175">
        <f t="shared" si="6"/>
        <v>3103.4386439601922</v>
      </c>
      <c r="K30" s="175">
        <f t="shared" si="7"/>
        <v>21767.808252397746</v>
      </c>
      <c r="L30" s="537">
        <f t="shared" si="8"/>
        <v>5981.3549131369691</v>
      </c>
      <c r="M30" s="538">
        <f t="shared" si="9"/>
        <v>41953.781522987578</v>
      </c>
      <c r="N30" s="134">
        <f>TableUK5a!F30</f>
        <v>7.0140933170248179</v>
      </c>
      <c r="O30" s="1722"/>
      <c r="P30" s="529"/>
      <c r="Q30" s="762"/>
      <c r="R30" s="768">
        <f>DataUK2!B33</f>
        <v>32839</v>
      </c>
      <c r="S30" s="535">
        <f>(1-DataUK2!C33)*DataUK2!B33</f>
        <v>17038.584586441008</v>
      </c>
      <c r="T30" s="536">
        <f>DataUK2!E33</f>
        <v>13900</v>
      </c>
    </row>
    <row r="31" spans="1:20" ht="12" customHeight="1">
      <c r="A31" s="348">
        <f t="shared" si="0"/>
        <v>1876</v>
      </c>
      <c r="B31" s="278">
        <f>DataUK1!B34/1000</f>
        <v>1.1531799999999999</v>
      </c>
      <c r="C31" s="587">
        <f t="shared" si="1"/>
        <v>8.2561228643946176</v>
      </c>
      <c r="D31" s="129">
        <f>B31*DataUK1!$HU$169/DataUK1!$HU34</f>
        <v>100.63848928571429</v>
      </c>
      <c r="E31" s="128">
        <f>C31*DataUK1!$HU$169/DataUK1!$HU34</f>
        <v>720.51521222178542</v>
      </c>
      <c r="F31" s="130">
        <f t="shared" si="2"/>
        <v>34.734337349397585</v>
      </c>
      <c r="G31" s="790">
        <f t="shared" si="3"/>
        <v>248.67839952995834</v>
      </c>
      <c r="H31" s="537">
        <f t="shared" si="4"/>
        <v>66.944580896970066</v>
      </c>
      <c r="I31" s="538">
        <f t="shared" si="5"/>
        <v>479.28570127021777</v>
      </c>
      <c r="J31" s="175">
        <f t="shared" si="6"/>
        <v>3031.2797977624782</v>
      </c>
      <c r="K31" s="175">
        <f t="shared" si="7"/>
        <v>21702.265428367031</v>
      </c>
      <c r="L31" s="537">
        <f t="shared" si="8"/>
        <v>5842.2808991973116</v>
      </c>
      <c r="M31" s="538">
        <f t="shared" si="9"/>
        <v>41827.458776668755</v>
      </c>
      <c r="N31" s="134">
        <f>TableUK5a!F31</f>
        <v>7.1594398657578342</v>
      </c>
      <c r="O31" s="1722"/>
      <c r="P31" s="529"/>
      <c r="Q31" s="762"/>
      <c r="R31" s="768">
        <f>DataUK2!B34</f>
        <v>33200</v>
      </c>
      <c r="S31" s="535">
        <f>(1-DataUK2!C34)*DataUK2!B34</f>
        <v>17225.89019975765</v>
      </c>
      <c r="T31" s="536">
        <f>DataUK2!E34</f>
        <v>13820</v>
      </c>
    </row>
    <row r="32" spans="1:20" ht="12" customHeight="1">
      <c r="A32" s="348">
        <f t="shared" si="0"/>
        <v>1877</v>
      </c>
      <c r="B32" s="278">
        <f>DataUK1!B35/1000</f>
        <v>1.1445314285714288</v>
      </c>
      <c r="C32" s="587">
        <f t="shared" si="1"/>
        <v>8.2173574195287493</v>
      </c>
      <c r="D32" s="129">
        <f>B32*DataUK1!$HU$169/DataUK1!$HU35</f>
        <v>100.91345405007367</v>
      </c>
      <c r="E32" s="128">
        <f>C32*DataUK1!$HU$169/DataUK1!$HU35</f>
        <v>724.52525083009937</v>
      </c>
      <c r="F32" s="130">
        <f t="shared" si="2"/>
        <v>34.087783791143345</v>
      </c>
      <c r="G32" s="790">
        <f t="shared" si="3"/>
        <v>244.73902250204759</v>
      </c>
      <c r="H32" s="537">
        <f t="shared" si="4"/>
        <v>65.698457887644096</v>
      </c>
      <c r="I32" s="538">
        <f t="shared" si="5"/>
        <v>471.69321601633658</v>
      </c>
      <c r="J32" s="175">
        <f t="shared" si="6"/>
        <v>3005.5234110696233</v>
      </c>
      <c r="K32" s="175">
        <f t="shared" si="7"/>
        <v>21578.664844832598</v>
      </c>
      <c r="L32" s="537">
        <f t="shared" si="8"/>
        <v>5792.6398049904756</v>
      </c>
      <c r="M32" s="538">
        <f t="shared" si="9"/>
        <v>41589.239484326994</v>
      </c>
      <c r="N32" s="134">
        <f>TableUK5a!F32</f>
        <v>7.1796695262317254</v>
      </c>
      <c r="O32" s="1722"/>
      <c r="P32" s="529"/>
      <c r="Q32" s="762"/>
      <c r="R32" s="768">
        <f>DataUK2!B35</f>
        <v>33576</v>
      </c>
      <c r="S32" s="535">
        <f>(1-DataUK2!C35)*DataUK2!B35</f>
        <v>17420.97859479105</v>
      </c>
      <c r="T32" s="536">
        <f>DataUK2!E35</f>
        <v>13770</v>
      </c>
    </row>
    <row r="33" spans="1:20" ht="12" customHeight="1">
      <c r="A33" s="348">
        <f t="shared" si="0"/>
        <v>1878</v>
      </c>
      <c r="B33" s="278">
        <f>DataUK1!B36/1000</f>
        <v>1.1128199999999999</v>
      </c>
      <c r="C33" s="587">
        <f t="shared" si="1"/>
        <v>8.0690611462762405</v>
      </c>
      <c r="D33" s="129">
        <f>B33*DataUK1!$HU$169/DataUK1!$HU36</f>
        <v>100.1830847368421</v>
      </c>
      <c r="E33" s="128">
        <f>C33*DataUK1!$HU$169/DataUK1!$HU36</f>
        <v>726.42784687923734</v>
      </c>
      <c r="F33" s="130">
        <f t="shared" si="2"/>
        <v>32.795591182364731</v>
      </c>
      <c r="G33" s="790">
        <f t="shared" si="3"/>
        <v>237.8009296910362</v>
      </c>
      <c r="H33" s="537">
        <f t="shared" si="4"/>
        <v>63.207974428504578</v>
      </c>
      <c r="I33" s="538">
        <f t="shared" si="5"/>
        <v>458.32121151297463</v>
      </c>
      <c r="J33" s="175">
        <f t="shared" si="6"/>
        <v>2952.4662482860458</v>
      </c>
      <c r="K33" s="175">
        <f t="shared" si="7"/>
        <v>21408.341591395652</v>
      </c>
      <c r="L33" s="537">
        <f t="shared" si="8"/>
        <v>5690.3810663135309</v>
      </c>
      <c r="M33" s="538">
        <f t="shared" si="9"/>
        <v>41260.970120681217</v>
      </c>
      <c r="N33" s="134">
        <f>TableUK5a!F33</f>
        <v>7.2510029890514556</v>
      </c>
      <c r="O33" s="1722"/>
      <c r="P33" s="529"/>
      <c r="Q33" s="762"/>
      <c r="R33" s="768">
        <f>DataUK2!B36</f>
        <v>33932</v>
      </c>
      <c r="S33" s="535">
        <f>(1-DataUK2!C36)*DataUK2!B36</f>
        <v>17605.689947535437</v>
      </c>
      <c r="T33" s="536">
        <f>DataUK2!E36</f>
        <v>13590</v>
      </c>
    </row>
    <row r="34" spans="1:20" ht="12" customHeight="1">
      <c r="A34" s="748">
        <f t="shared" si="0"/>
        <v>1879</v>
      </c>
      <c r="B34" s="279">
        <f>DataUK1!B37/1000</f>
        <v>1.0876864285714287</v>
      </c>
      <c r="C34" s="749">
        <f t="shared" si="1"/>
        <v>7.7450382243692717</v>
      </c>
      <c r="D34" s="146">
        <f>B34*DataUK1!$HU$169/DataUK1!$HU37</f>
        <v>102.22459538854007</v>
      </c>
      <c r="E34" s="759">
        <f>C34*DataUK1!$HU$169/DataUK1!$HU37</f>
        <v>727.90592762547476</v>
      </c>
      <c r="F34" s="147">
        <f t="shared" si="2"/>
        <v>31.707276952292112</v>
      </c>
      <c r="G34" s="791">
        <f t="shared" si="3"/>
        <v>225.77653405927214</v>
      </c>
      <c r="H34" s="750">
        <f t="shared" si="4"/>
        <v>61.110432181374776</v>
      </c>
      <c r="I34" s="751">
        <f t="shared" si="5"/>
        <v>435.14621560012574</v>
      </c>
      <c r="J34" s="752">
        <f t="shared" si="6"/>
        <v>2979.9613860931686</v>
      </c>
      <c r="K34" s="752">
        <f t="shared" si="7"/>
        <v>21219.272610350828</v>
      </c>
      <c r="L34" s="750">
        <f t="shared" si="8"/>
        <v>5743.3733102330534</v>
      </c>
      <c r="M34" s="751">
        <f t="shared" si="9"/>
        <v>40896.571526594242</v>
      </c>
      <c r="N34" s="151">
        <f>TableUK5a!F34</f>
        <v>7.1206535458400753</v>
      </c>
      <c r="O34" s="1723"/>
      <c r="P34" s="754"/>
      <c r="Q34" s="763"/>
      <c r="R34" s="769">
        <f>DataUK2!B37</f>
        <v>34304</v>
      </c>
      <c r="S34" s="755">
        <f>(1-DataUK2!C37)*DataUK2!B37</f>
        <v>17798.702934111036</v>
      </c>
      <c r="T34" s="756">
        <f>DataUK2!E37</f>
        <v>13040</v>
      </c>
    </row>
    <row r="35" spans="1:20" ht="12" customHeight="1">
      <c r="A35" s="348">
        <f t="shared" si="0"/>
        <v>1880</v>
      </c>
      <c r="B35" s="278">
        <f>DataUK1!B38/1000</f>
        <v>1.1311357142857144</v>
      </c>
      <c r="C35" s="587">
        <f t="shared" si="1"/>
        <v>8.005015913264879</v>
      </c>
      <c r="D35" s="129">
        <f>B35*DataUK1!$HU$169/DataUK1!$HU38</f>
        <v>102.9152999620061</v>
      </c>
      <c r="E35" s="128">
        <f>C35*DataUK1!$HU$169/DataUK1!$HU38</f>
        <v>728.32870849146695</v>
      </c>
      <c r="F35" s="130">
        <f t="shared" si="2"/>
        <v>32.670066553612173</v>
      </c>
      <c r="G35" s="790">
        <f t="shared" si="3"/>
        <v>231.20515013906592</v>
      </c>
      <c r="H35" s="537">
        <f t="shared" si="4"/>
        <v>62.966046863295581</v>
      </c>
      <c r="I35" s="538">
        <f t="shared" si="5"/>
        <v>445.60895812078161</v>
      </c>
      <c r="J35" s="175">
        <f t="shared" si="6"/>
        <v>2972.4547255294488</v>
      </c>
      <c r="K35" s="175">
        <f t="shared" si="7"/>
        <v>21035.979218769808</v>
      </c>
      <c r="L35" s="537">
        <f t="shared" si="8"/>
        <v>5728.905487216336</v>
      </c>
      <c r="M35" s="538">
        <f t="shared" si="9"/>
        <v>40543.30440774453</v>
      </c>
      <c r="N35" s="134">
        <f>TableUK5a!F35</f>
        <v>7.076972119406431</v>
      </c>
      <c r="O35" s="1722"/>
      <c r="P35" s="529"/>
      <c r="Q35" s="762"/>
      <c r="R35" s="768">
        <f>DataUK2!B38</f>
        <v>34623</v>
      </c>
      <c r="S35" s="535">
        <f>(1-DataUK2!C38)*DataUK2!B38</f>
        <v>17964.216758620754</v>
      </c>
      <c r="T35" s="536">
        <f>DataUK2!E38</f>
        <v>13950</v>
      </c>
    </row>
    <row r="36" spans="1:20" ht="12" customHeight="1">
      <c r="A36" s="348">
        <f t="shared" si="0"/>
        <v>1881</v>
      </c>
      <c r="B36" s="278">
        <f>DataUK1!B39/1000</f>
        <v>1.1724521428571428</v>
      </c>
      <c r="C36" s="587">
        <f t="shared" si="1"/>
        <v>7.951401827496861</v>
      </c>
      <c r="D36" s="129">
        <f>B36*DataUK1!$HU$169/DataUK1!$HU39</f>
        <v>107.82147259984637</v>
      </c>
      <c r="E36" s="128">
        <f>C36*DataUK1!$HU$169/DataUK1!$HU39</f>
        <v>731.22972182437525</v>
      </c>
      <c r="F36" s="130">
        <f t="shared" si="2"/>
        <v>33.560960150483545</v>
      </c>
      <c r="G36" s="790">
        <f t="shared" si="3"/>
        <v>227.60560548151886</v>
      </c>
      <c r="H36" s="537">
        <f t="shared" si="4"/>
        <v>64.88031336711542</v>
      </c>
      <c r="I36" s="538">
        <f t="shared" si="5"/>
        <v>440.008955093623</v>
      </c>
      <c r="J36" s="175">
        <f t="shared" si="6"/>
        <v>3086.3452869571024</v>
      </c>
      <c r="K36" s="175">
        <f t="shared" si="7"/>
        <v>20931.149901942903</v>
      </c>
      <c r="L36" s="537">
        <f t="shared" si="8"/>
        <v>5966.5470975511253</v>
      </c>
      <c r="M36" s="538">
        <f t="shared" si="9"/>
        <v>40464.264391808712</v>
      </c>
      <c r="N36" s="134">
        <f>TableUK5a!F36</f>
        <v>6.7818561942495403</v>
      </c>
      <c r="O36" s="1722"/>
      <c r="P36" s="529"/>
      <c r="Q36" s="762"/>
      <c r="R36" s="768">
        <f>DataUK2!B39</f>
        <v>34935</v>
      </c>
      <c r="S36" s="535">
        <f>(1-DataUK2!C39)*DataUK2!B39</f>
        <v>18071</v>
      </c>
      <c r="T36" s="536">
        <f>DataUK2!E39</f>
        <v>14300</v>
      </c>
    </row>
    <row r="37" spans="1:20" ht="12" customHeight="1">
      <c r="A37" s="348">
        <f t="shared" si="0"/>
        <v>1882</v>
      </c>
      <c r="B37" s="278">
        <f>DataUK1!B40/1000</f>
        <v>1.214167142857143</v>
      </c>
      <c r="C37" s="587">
        <f t="shared" si="1"/>
        <v>8.0700417352423894</v>
      </c>
      <c r="D37" s="129">
        <f>B37*DataUK1!$HU$169/DataUK1!$HU40</f>
        <v>110.46983499240125</v>
      </c>
      <c r="E37" s="128">
        <f>C37*DataUK1!$HU$169/DataUK1!$HU40</f>
        <v>734.24502064532498</v>
      </c>
      <c r="F37" s="130">
        <f t="shared" si="2"/>
        <v>34.487506188068593</v>
      </c>
      <c r="G37" s="790">
        <f t="shared" si="3"/>
        <v>229.22347711305997</v>
      </c>
      <c r="H37" s="537">
        <f t="shared" si="4"/>
        <v>65.440006890943295</v>
      </c>
      <c r="I37" s="538">
        <f t="shared" si="5"/>
        <v>434.95130787491405</v>
      </c>
      <c r="J37" s="175">
        <f t="shared" si="6"/>
        <v>3137.8127305686885</v>
      </c>
      <c r="K37" s="175">
        <f t="shared" si="7"/>
        <v>20855.678595845166</v>
      </c>
      <c r="L37" s="537">
        <f t="shared" si="8"/>
        <v>5953.99637164673</v>
      </c>
      <c r="M37" s="538">
        <f t="shared" si="9"/>
        <v>39573.62830425748</v>
      </c>
      <c r="N37" s="134">
        <f>TableUK5a!F37</f>
        <v>6.6465657407366514</v>
      </c>
      <c r="O37" s="1722"/>
      <c r="P37" s="529"/>
      <c r="Q37" s="762"/>
      <c r="R37" s="768">
        <f>DataUK2!B40</f>
        <v>35206</v>
      </c>
      <c r="S37" s="535">
        <f>(1-DataUK2!C40)*DataUK2!B40</f>
        <v>18553.896928534403</v>
      </c>
      <c r="T37" s="536">
        <f>DataUK2!E40</f>
        <v>14626</v>
      </c>
    </row>
    <row r="38" spans="1:20" ht="12" customHeight="1">
      <c r="A38" s="348">
        <f t="shared" si="0"/>
        <v>1883</v>
      </c>
      <c r="B38" s="278">
        <f>DataUK1!B41/1000</f>
        <v>1.19983</v>
      </c>
      <c r="C38" s="587">
        <f t="shared" si="1"/>
        <v>8.0223265996171289</v>
      </c>
      <c r="D38" s="129">
        <f>B38*DataUK1!$HU$169/DataUK1!$HU41</f>
        <v>110.33920510752687</v>
      </c>
      <c r="E38" s="128">
        <f>C38*DataUK1!$HU$169/DataUK1!$HU41</f>
        <v>737.75213164758588</v>
      </c>
      <c r="F38" s="130">
        <f t="shared" si="2"/>
        <v>33.845698166431596</v>
      </c>
      <c r="G38" s="790">
        <f t="shared" si="3"/>
        <v>226.29976303574412</v>
      </c>
      <c r="H38" s="537">
        <f t="shared" si="4"/>
        <v>64.222176841720469</v>
      </c>
      <c r="I38" s="538">
        <f t="shared" si="5"/>
        <v>429.40356347369982</v>
      </c>
      <c r="J38" s="175">
        <f t="shared" si="6"/>
        <v>3112.5304684774856</v>
      </c>
      <c r="K38" s="175">
        <f t="shared" si="7"/>
        <v>20811.061541539799</v>
      </c>
      <c r="L38" s="537">
        <f t="shared" si="8"/>
        <v>5906.0233057937012</v>
      </c>
      <c r="M38" s="538">
        <f t="shared" si="9"/>
        <v>39488.967490417388</v>
      </c>
      <c r="N38" s="134">
        <f>TableUK5a!F38</f>
        <v>6.6862193807598826</v>
      </c>
      <c r="O38" s="1722"/>
      <c r="P38" s="529"/>
      <c r="Q38" s="762"/>
      <c r="R38" s="768">
        <f>DataUK2!B41</f>
        <v>35450</v>
      </c>
      <c r="S38" s="535">
        <f>(1-DataUK2!C41)*DataUK2!B41</f>
        <v>18682.487249802438</v>
      </c>
      <c r="T38" s="536">
        <f>DataUK2!E41</f>
        <v>14740</v>
      </c>
    </row>
    <row r="39" spans="1:20" ht="12" customHeight="1">
      <c r="A39" s="348">
        <f t="shared" si="0"/>
        <v>1884</v>
      </c>
      <c r="B39" s="278">
        <f>DataUK1!B42/1000</f>
        <v>1.1709199999999997</v>
      </c>
      <c r="C39" s="587">
        <f t="shared" si="1"/>
        <v>7.8918845071247814</v>
      </c>
      <c r="D39" s="129">
        <f>B39*DataUK1!$HU$169/DataUK1!$HU42</f>
        <v>110.04717912087912</v>
      </c>
      <c r="E39" s="128">
        <f>C39*DataUK1!$HU$169/DataUK1!$HU42</f>
        <v>741.70705766137041</v>
      </c>
      <c r="F39" s="130">
        <f t="shared" si="2"/>
        <v>32.776844698242073</v>
      </c>
      <c r="G39" s="790">
        <f t="shared" si="3"/>
        <v>220.91267795109118</v>
      </c>
      <c r="H39" s="537">
        <f t="shared" si="4"/>
        <v>62.194028504687928</v>
      </c>
      <c r="I39" s="538">
        <f t="shared" si="5"/>
        <v>419.18157516467716</v>
      </c>
      <c r="J39" s="175">
        <f t="shared" si="6"/>
        <v>3080.4831239748946</v>
      </c>
      <c r="K39" s="175">
        <f t="shared" si="7"/>
        <v>20762.150309634151</v>
      </c>
      <c r="L39" s="537">
        <f t="shared" si="8"/>
        <v>5845.2135031466332</v>
      </c>
      <c r="M39" s="538">
        <f t="shared" si="9"/>
        <v>39396.15847907585</v>
      </c>
      <c r="N39" s="134">
        <f>TableUK5a!F39</f>
        <v>6.7399006824759873</v>
      </c>
      <c r="O39" s="1722"/>
      <c r="P39" s="529"/>
      <c r="Q39" s="762"/>
      <c r="R39" s="768">
        <f>DataUK2!B42</f>
        <v>35724</v>
      </c>
      <c r="S39" s="535">
        <f>(1-DataUK2!C42)*DataUK2!B42</f>
        <v>18826.887856472276</v>
      </c>
      <c r="T39" s="536">
        <f>DataUK2!E42</f>
        <v>14040</v>
      </c>
    </row>
    <row r="40" spans="1:20" ht="12" customHeight="1">
      <c r="A40" s="348">
        <f t="shared" si="0"/>
        <v>1885</v>
      </c>
      <c r="B40" s="278">
        <f>DataUK1!B43/1000</f>
        <v>1.1541271428571429</v>
      </c>
      <c r="C40" s="587">
        <f t="shared" si="1"/>
        <v>7.7088914783256586</v>
      </c>
      <c r="D40" s="129">
        <f>B40*DataUK1!$HU$169/DataUK1!$HU43</f>
        <v>112.1667316964286</v>
      </c>
      <c r="E40" s="128">
        <f>C40*DataUK1!$HU$169/DataUK1!$HU43</f>
        <v>749.20789054977513</v>
      </c>
      <c r="F40" s="130">
        <f t="shared" si="2"/>
        <v>32.045734912040622</v>
      </c>
      <c r="G40" s="790">
        <f t="shared" si="3"/>
        <v>214.04668827781919</v>
      </c>
      <c r="H40" s="537">
        <f t="shared" si="4"/>
        <v>60.806748450683585</v>
      </c>
      <c r="I40" s="538">
        <f t="shared" si="5"/>
        <v>406.15336694684123</v>
      </c>
      <c r="J40" s="175">
        <f t="shared" si="6"/>
        <v>3114.4448617639482</v>
      </c>
      <c r="K40" s="175">
        <f t="shared" si="7"/>
        <v>20802.662517000557</v>
      </c>
      <c r="L40" s="537">
        <f t="shared" si="8"/>
        <v>5909.6558650508114</v>
      </c>
      <c r="M40" s="538">
        <f t="shared" si="9"/>
        <v>39473.030350146139</v>
      </c>
      <c r="N40" s="134">
        <f>TableUK5a!F40</f>
        <v>6.6794126851930908</v>
      </c>
      <c r="O40" s="1722"/>
      <c r="P40" s="529"/>
      <c r="Q40" s="762"/>
      <c r="R40" s="768">
        <f>DataUK2!B43</f>
        <v>36015</v>
      </c>
      <c r="S40" s="535">
        <f>(1-DataUK2!C43)*DataUK2!B43</f>
        <v>18980.247624869808</v>
      </c>
      <c r="T40" s="536">
        <f>DataUK2!E43</f>
        <v>14000</v>
      </c>
    </row>
    <row r="41" spans="1:20" ht="12" customHeight="1">
      <c r="A41" s="348">
        <f t="shared" si="0"/>
        <v>1886</v>
      </c>
      <c r="B41" s="278">
        <f>DataUK1!B44/1000</f>
        <v>1.1774821428571429</v>
      </c>
      <c r="C41" s="587">
        <f t="shared" si="1"/>
        <v>7.8364560891262123</v>
      </c>
      <c r="D41" s="129">
        <f>B41*DataUK1!$HU$169/DataUK1!$HU44</f>
        <v>115.75190835385879</v>
      </c>
      <c r="E41" s="128">
        <f>C41*DataUK1!$HU$169/DataUK1!$HU44</f>
        <v>770.35966324427511</v>
      </c>
      <c r="F41" s="130">
        <f t="shared" si="2"/>
        <v>32.425912011046812</v>
      </c>
      <c r="G41" s="790">
        <f t="shared" si="3"/>
        <v>215.80304819558319</v>
      </c>
      <c r="H41" s="537">
        <f t="shared" si="4"/>
        <v>61.528134098085111</v>
      </c>
      <c r="I41" s="538">
        <f t="shared" si="5"/>
        <v>409.48605805227157</v>
      </c>
      <c r="J41" s="175">
        <f t="shared" si="6"/>
        <v>3187.6162353388263</v>
      </c>
      <c r="K41" s="175">
        <f t="shared" si="7"/>
        <v>21214.431835548567</v>
      </c>
      <c r="L41" s="537">
        <f t="shared" si="8"/>
        <v>6048.4984698146309</v>
      </c>
      <c r="M41" s="538">
        <f t="shared" si="9"/>
        <v>40254.36220105808</v>
      </c>
      <c r="N41" s="134">
        <f>TableUK5a!F41</f>
        <v>6.6552653360085516</v>
      </c>
      <c r="O41" s="1722"/>
      <c r="P41" s="529"/>
      <c r="Q41" s="762"/>
      <c r="R41" s="768">
        <f>DataUK2!B44</f>
        <v>36313</v>
      </c>
      <c r="S41" s="535">
        <f>(1-DataUK2!C44)*DataUK2!B44</f>
        <v>19137.296459861096</v>
      </c>
      <c r="T41" s="536">
        <f>DataUK2!E44</f>
        <v>13990</v>
      </c>
    </row>
    <row r="42" spans="1:20" ht="12" customHeight="1">
      <c r="A42" s="348">
        <f t="shared" si="0"/>
        <v>1887</v>
      </c>
      <c r="B42" s="278">
        <f>DataUK1!B45/1000</f>
        <v>1.2232878571428571</v>
      </c>
      <c r="C42" s="587">
        <f t="shared" si="1"/>
        <v>7.9649915119413457</v>
      </c>
      <c r="D42" s="129">
        <f>B42*DataUK1!$HU$169/DataUK1!$HU45</f>
        <v>121.65313253737541</v>
      </c>
      <c r="E42" s="128">
        <f>C42*DataUK1!$HU$169/DataUK1!$HU45</f>
        <v>792.09988262649256</v>
      </c>
      <c r="F42" s="130">
        <f t="shared" si="2"/>
        <v>33.424991998001452</v>
      </c>
      <c r="G42" s="790">
        <f t="shared" si="3"/>
        <v>217.63461150722296</v>
      </c>
      <c r="H42" s="537">
        <f t="shared" si="4"/>
        <v>63.423887327512112</v>
      </c>
      <c r="I42" s="538">
        <f t="shared" si="5"/>
        <v>412.96144751885964</v>
      </c>
      <c r="J42" s="175">
        <f t="shared" si="6"/>
        <v>3324.0377216617139</v>
      </c>
      <c r="K42" s="175">
        <f t="shared" si="7"/>
        <v>21643.255987389817</v>
      </c>
      <c r="L42" s="537">
        <f t="shared" si="8"/>
        <v>6307.35809730869</v>
      </c>
      <c r="M42" s="538">
        <f t="shared" si="9"/>
        <v>41068.055580291249</v>
      </c>
      <c r="N42" s="134">
        <f>TableUK5a!F42</f>
        <v>6.5111342889845947</v>
      </c>
      <c r="O42" s="1722"/>
      <c r="P42" s="529"/>
      <c r="Q42" s="762"/>
      <c r="R42" s="768">
        <f>DataUK2!B45</f>
        <v>36598</v>
      </c>
      <c r="S42" s="535">
        <f>(1-DataUK2!C45)*DataUK2!B45</f>
        <v>19287.494171178267</v>
      </c>
      <c r="T42" s="536">
        <f>DataUK2!E45</f>
        <v>14530</v>
      </c>
    </row>
    <row r="43" spans="1:20" ht="12" customHeight="1">
      <c r="A43" s="348">
        <f t="shared" si="0"/>
        <v>1888</v>
      </c>
      <c r="B43" s="278">
        <f>DataUK1!B46/1000</f>
        <v>1.3018635714285716</v>
      </c>
      <c r="C43" s="587">
        <f t="shared" si="1"/>
        <v>8.3125424454310188</v>
      </c>
      <c r="D43" s="129">
        <f>B43*DataUK1!$HU$169/DataUK1!$HU46</f>
        <v>127.97917465106734</v>
      </c>
      <c r="E43" s="128">
        <f>C43*DataUK1!$HU$169/DataUK1!$HU46</f>
        <v>817.16114097182526</v>
      </c>
      <c r="F43" s="130">
        <f t="shared" si="2"/>
        <v>35.299031247215957</v>
      </c>
      <c r="G43" s="790">
        <f t="shared" si="3"/>
        <v>225.38820654079387</v>
      </c>
      <c r="H43" s="537">
        <f t="shared" si="4"/>
        <v>66.979874841185193</v>
      </c>
      <c r="I43" s="538">
        <f t="shared" si="5"/>
        <v>427.67388597873315</v>
      </c>
      <c r="J43" s="175">
        <f t="shared" si="6"/>
        <v>3470.0570659978675</v>
      </c>
      <c r="K43" s="175">
        <f t="shared" si="7"/>
        <v>22156.696970576319</v>
      </c>
      <c r="L43" s="537">
        <f t="shared" si="8"/>
        <v>6584.4296503360511</v>
      </c>
      <c r="M43" s="538">
        <f t="shared" si="9"/>
        <v>42042.309308426615</v>
      </c>
      <c r="N43" s="134">
        <f>TableUK5a!F43</f>
        <v>6.3851102587573232</v>
      </c>
      <c r="O43" s="1722"/>
      <c r="P43" s="529"/>
      <c r="Q43" s="762"/>
      <c r="R43" s="768">
        <f>DataUK2!B46</f>
        <v>36881</v>
      </c>
      <c r="S43" s="535">
        <f>(1-DataUK2!C46)*DataUK2!B46</f>
        <v>19436.637863468652</v>
      </c>
      <c r="T43" s="536">
        <f>DataUK2!E46</f>
        <v>15100</v>
      </c>
    </row>
    <row r="44" spans="1:20" ht="12" customHeight="1">
      <c r="A44" s="748">
        <f t="shared" si="0"/>
        <v>1889</v>
      </c>
      <c r="B44" s="279">
        <f>DataUK1!B47/1000</f>
        <v>1.38954</v>
      </c>
      <c r="C44" s="749">
        <f t="shared" si="1"/>
        <v>8.6754628356268189</v>
      </c>
      <c r="D44" s="146">
        <f>B44*DataUK1!$HU$169/DataUK1!$HU47</f>
        <v>135.04591875000003</v>
      </c>
      <c r="E44" s="759">
        <f>C44*DataUK1!$HU$169/DataUK1!$HU47</f>
        <v>843.1465443374816</v>
      </c>
      <c r="F44" s="147">
        <f t="shared" si="2"/>
        <v>37.375329495938459</v>
      </c>
      <c r="G44" s="791">
        <f t="shared" si="3"/>
        <v>233.34936886402761</v>
      </c>
      <c r="H44" s="750">
        <f t="shared" si="4"/>
        <v>70.919648594703546</v>
      </c>
      <c r="I44" s="751">
        <f t="shared" si="5"/>
        <v>442.78018315346401</v>
      </c>
      <c r="J44" s="752">
        <f t="shared" si="6"/>
        <v>3632.4148353865198</v>
      </c>
      <c r="K44" s="752">
        <f t="shared" si="7"/>
        <v>22678.64178647269</v>
      </c>
      <c r="L44" s="750">
        <f t="shared" si="8"/>
        <v>6892.5033477977531</v>
      </c>
      <c r="M44" s="751">
        <f t="shared" si="9"/>
        <v>43032.699050227297</v>
      </c>
      <c r="N44" s="151">
        <f>TableUK5a!F44</f>
        <v>6.2434063327625102</v>
      </c>
      <c r="O44" s="1723"/>
      <c r="P44" s="754"/>
      <c r="Q44" s="763"/>
      <c r="R44" s="769">
        <f>DataUK2!B47</f>
        <v>37178</v>
      </c>
      <c r="S44" s="755">
        <f>(1-DataUK2!C47)*DataUK2!B47</f>
        <v>19593.159688946544</v>
      </c>
      <c r="T44" s="756">
        <f>DataUK2!E47</f>
        <v>15720</v>
      </c>
    </row>
    <row r="45" spans="1:20" ht="12" customHeight="1">
      <c r="A45" s="348">
        <f t="shared" si="0"/>
        <v>1890</v>
      </c>
      <c r="B45" s="278">
        <f>DataUK1!B48/1000</f>
        <v>1.421</v>
      </c>
      <c r="C45" s="587">
        <f t="shared" si="1"/>
        <v>8.9524190647734745</v>
      </c>
      <c r="D45" s="129">
        <f>B45*DataUK1!$HU$169/DataUK1!$HU48</f>
        <v>138.10343750000004</v>
      </c>
      <c r="E45" s="128">
        <f>C45*DataUK1!$HU$169/DataUK1!$HU48</f>
        <v>870.06322785767225</v>
      </c>
      <c r="F45" s="130">
        <f t="shared" si="2"/>
        <v>37.908496732026144</v>
      </c>
      <c r="G45" s="790">
        <f t="shared" si="3"/>
        <v>238.82670574292314</v>
      </c>
      <c r="H45" s="537">
        <f t="shared" si="4"/>
        <v>71.931332867069827</v>
      </c>
      <c r="I45" s="538">
        <f t="shared" si="5"/>
        <v>453.17342414758809</v>
      </c>
      <c r="J45" s="175">
        <f t="shared" si="6"/>
        <v>3684.2320261437917</v>
      </c>
      <c r="K45" s="175">
        <f t="shared" si="7"/>
        <v>23210.97046439035</v>
      </c>
      <c r="L45" s="537">
        <f t="shared" si="8"/>
        <v>6990.8264130183497</v>
      </c>
      <c r="M45" s="538">
        <f t="shared" si="9"/>
        <v>44042.792159343728</v>
      </c>
      <c r="N45" s="134">
        <f>TableUK5a!F45</f>
        <v>6.3000837894253863</v>
      </c>
      <c r="O45" s="1722"/>
      <c r="P45" s="529"/>
      <c r="Q45" s="762"/>
      <c r="R45" s="768">
        <f>DataUK2!B48</f>
        <v>37485</v>
      </c>
      <c r="S45" s="535">
        <f>(1-DataUK2!C48)*DataUK2!B48</f>
        <v>19754.951609558371</v>
      </c>
      <c r="T45" s="536">
        <f>DataUK2!E48</f>
        <v>15880</v>
      </c>
    </row>
    <row r="46" spans="1:20" ht="12" customHeight="1">
      <c r="A46" s="348">
        <f t="shared" si="0"/>
        <v>1891</v>
      </c>
      <c r="B46" s="278">
        <f>DataUK1!B49/1000</f>
        <v>1.393</v>
      </c>
      <c r="C46" s="587">
        <f t="shared" si="1"/>
        <v>9.3536625276569225</v>
      </c>
      <c r="D46" s="129">
        <f>B46*DataUK1!$HU$169/DataUK1!$HU49</f>
        <v>133.86103932584271</v>
      </c>
      <c r="E46" s="128">
        <f>C46*DataUK1!$HU$169/DataUK1!$HU49</f>
        <v>898.84492997512177</v>
      </c>
      <c r="F46" s="130">
        <f t="shared" si="2"/>
        <v>36.849902121580868</v>
      </c>
      <c r="G46" s="790">
        <f t="shared" si="3"/>
        <v>247.438297647133</v>
      </c>
      <c r="H46" s="537">
        <f t="shared" si="4"/>
        <v>68.654509610645633</v>
      </c>
      <c r="I46" s="538">
        <f t="shared" si="5"/>
        <v>460.99864601561961</v>
      </c>
      <c r="J46" s="175">
        <f t="shared" si="6"/>
        <v>3541.1099763462967</v>
      </c>
      <c r="K46" s="175">
        <f t="shared" si="7"/>
        <v>23777.70832165287</v>
      </c>
      <c r="L46" s="537">
        <f t="shared" si="8"/>
        <v>6597.3898139892908</v>
      </c>
      <c r="M46" s="538">
        <f t="shared" si="9"/>
        <v>44299.897978074012</v>
      </c>
      <c r="N46" s="134">
        <f>TableUK5a!F46</f>
        <v>6.7147613263868795</v>
      </c>
      <c r="O46" s="1722"/>
      <c r="P46" s="529"/>
      <c r="Q46" s="762"/>
      <c r="R46" s="768">
        <f>DataUK2!B49</f>
        <v>37802</v>
      </c>
      <c r="S46" s="535">
        <f>(1-DataUK2!C49)*DataUK2!B49</f>
        <v>20290</v>
      </c>
      <c r="T46" s="536">
        <f>DataUK2!E49</f>
        <v>15810</v>
      </c>
    </row>
    <row r="47" spans="1:20" ht="12" customHeight="1">
      <c r="A47" s="348">
        <f t="shared" si="0"/>
        <v>1892</v>
      </c>
      <c r="B47" s="278">
        <f>DataUK1!B50/1000</f>
        <v>1.365</v>
      </c>
      <c r="C47" s="587">
        <f t="shared" si="1"/>
        <v>9.6318857077776752</v>
      </c>
      <c r="D47" s="129">
        <f>B47*DataUK1!$HU$169/DataUK1!$HU50</f>
        <v>131.17036516853935</v>
      </c>
      <c r="E47" s="128">
        <f>C47*DataUK1!$HU$169/DataUK1!$HU50</f>
        <v>925.58092714346708</v>
      </c>
      <c r="F47" s="130">
        <f t="shared" si="2"/>
        <v>35.794828761734934</v>
      </c>
      <c r="G47" s="790">
        <f t="shared" si="3"/>
        <v>252.5799996794901</v>
      </c>
      <c r="H47" s="537">
        <f t="shared" si="4"/>
        <v>66.320941348675731</v>
      </c>
      <c r="I47" s="538">
        <f t="shared" si="5"/>
        <v>467.98221765763464</v>
      </c>
      <c r="J47" s="175">
        <f t="shared" si="6"/>
        <v>3439.7221683678436</v>
      </c>
      <c r="K47" s="175">
        <f t="shared" si="7"/>
        <v>24271.802778189201</v>
      </c>
      <c r="L47" s="537">
        <f t="shared" si="8"/>
        <v>6373.1443919612284</v>
      </c>
      <c r="M47" s="538">
        <f t="shared" si="9"/>
        <v>44970.987826032811</v>
      </c>
      <c r="N47" s="134">
        <f>TableUK5a!F47</f>
        <v>7.056326525844451</v>
      </c>
      <c r="O47" s="1722"/>
      <c r="P47" s="529"/>
      <c r="Q47" s="762"/>
      <c r="R47" s="768">
        <f>DataUK2!B50</f>
        <v>38134</v>
      </c>
      <c r="S47" s="535">
        <f>(1-DataUK2!C50)*DataUK2!B50</f>
        <v>20581.734400053952</v>
      </c>
      <c r="T47" s="536">
        <f>DataUK2!E50</f>
        <v>15530</v>
      </c>
    </row>
    <row r="48" spans="1:20" ht="12" customHeight="1">
      <c r="A48" s="348">
        <f t="shared" si="0"/>
        <v>1893</v>
      </c>
      <c r="B48" s="278">
        <f>DataUK1!B51/1000</f>
        <v>1.3720000000000001</v>
      </c>
      <c r="C48" s="587">
        <f t="shared" si="1"/>
        <v>9.7811360326721015</v>
      </c>
      <c r="D48" s="129">
        <f>B48*DataUK1!$HU$169/DataUK1!$HU51</f>
        <v>133.34125000000003</v>
      </c>
      <c r="E48" s="128">
        <f>C48*DataUK1!$HU$169/DataUK1!$HU51</f>
        <v>950.60415817532009</v>
      </c>
      <c r="F48" s="130">
        <f t="shared" si="2"/>
        <v>35.645622239542739</v>
      </c>
      <c r="G48" s="790">
        <f t="shared" si="3"/>
        <v>254.12148694913228</v>
      </c>
      <c r="H48" s="537">
        <f t="shared" si="4"/>
        <v>65.682166700317907</v>
      </c>
      <c r="I48" s="538">
        <f t="shared" si="5"/>
        <v>468.25525321899056</v>
      </c>
      <c r="J48" s="175">
        <f t="shared" si="6"/>
        <v>3464.3089114055606</v>
      </c>
      <c r="K48" s="175">
        <f t="shared" si="7"/>
        <v>24697.432012868801</v>
      </c>
      <c r="L48" s="537">
        <f t="shared" si="8"/>
        <v>6383.4855761871477</v>
      </c>
      <c r="M48" s="538">
        <f t="shared" si="9"/>
        <v>45508.557422220656</v>
      </c>
      <c r="N48" s="134">
        <f>TableUK5a!F48</f>
        <v>7.1291078955336014</v>
      </c>
      <c r="O48" s="1722"/>
      <c r="P48" s="529"/>
      <c r="Q48" s="762"/>
      <c r="R48" s="768">
        <f>DataUK2!B51</f>
        <v>38490</v>
      </c>
      <c r="S48" s="535">
        <f>(1-DataUK2!C51)*DataUK2!B51</f>
        <v>20888.470477228631</v>
      </c>
      <c r="T48" s="536">
        <f>DataUK2!E51</f>
        <v>15500</v>
      </c>
    </row>
    <row r="49" spans="1:20" ht="12" customHeight="1">
      <c r="A49" s="348">
        <f t="shared" si="0"/>
        <v>1894</v>
      </c>
      <c r="B49" s="278">
        <f>DataUK1!B52/1000</f>
        <v>1.464</v>
      </c>
      <c r="C49" s="587">
        <f t="shared" si="1"/>
        <v>9.9198616238443797</v>
      </c>
      <c r="D49" s="129">
        <f>B49*DataUK1!$HU$169/DataUK1!$HU52</f>
        <v>143.91793103448276</v>
      </c>
      <c r="E49" s="128">
        <f>C49*DataUK1!$HU$169/DataUK1!$HU52</f>
        <v>975.16800618309276</v>
      </c>
      <c r="F49" s="130">
        <f t="shared" si="2"/>
        <v>37.674669960626879</v>
      </c>
      <c r="G49" s="790">
        <f t="shared" si="3"/>
        <v>255.27835569223035</v>
      </c>
      <c r="H49" s="537">
        <f t="shared" si="4"/>
        <v>69.042208602570014</v>
      </c>
      <c r="I49" s="538">
        <f t="shared" si="5"/>
        <v>467.82046143585552</v>
      </c>
      <c r="J49" s="175">
        <f t="shared" si="6"/>
        <v>3703.5932740030053</v>
      </c>
      <c r="K49" s="175">
        <f t="shared" si="7"/>
        <v>25095.036058135636</v>
      </c>
      <c r="L49" s="537">
        <f t="shared" si="8"/>
        <v>6787.1665410744836</v>
      </c>
      <c r="M49" s="538">
        <f t="shared" si="9"/>
        <v>45988.90225781787</v>
      </c>
      <c r="N49" s="134">
        <f>TableUK5a!F49</f>
        <v>6.7758617649210242</v>
      </c>
      <c r="O49" s="1722"/>
      <c r="P49" s="529"/>
      <c r="Q49" s="762"/>
      <c r="R49" s="768">
        <f>DataUK2!B52</f>
        <v>38859</v>
      </c>
      <c r="S49" s="535">
        <f>(1-DataUK2!C52)*DataUK2!B52</f>
        <v>21204.420160242447</v>
      </c>
      <c r="T49" s="536">
        <f>DataUK2!E52</f>
        <v>15780</v>
      </c>
    </row>
    <row r="50" spans="1:20" ht="12" customHeight="1">
      <c r="A50" s="348">
        <f t="shared" si="0"/>
        <v>1895</v>
      </c>
      <c r="B50" s="278">
        <f>DataUK1!B53/1000</f>
        <v>1.5019999999999998</v>
      </c>
      <c r="C50" s="587">
        <f t="shared" si="1"/>
        <v>10.088304572555913</v>
      </c>
      <c r="D50" s="129">
        <f>B50*DataUK1!$HU$169/DataUK1!$HU53</f>
        <v>149.37040697674416</v>
      </c>
      <c r="E50" s="128">
        <f>C50*DataUK1!$HU$169/DataUK1!$HU53</f>
        <v>1003.2584285672611</v>
      </c>
      <c r="F50" s="130">
        <f t="shared" si="2"/>
        <v>38.295810917620656</v>
      </c>
      <c r="G50" s="790">
        <f t="shared" si="3"/>
        <v>257.21691370836828</v>
      </c>
      <c r="H50" s="537">
        <f t="shared" si="4"/>
        <v>69.799669606930593</v>
      </c>
      <c r="I50" s="538">
        <f t="shared" si="5"/>
        <v>468.81513053161785</v>
      </c>
      <c r="J50" s="175">
        <f t="shared" si="6"/>
        <v>3808.4293357319848</v>
      </c>
      <c r="K50" s="175">
        <f t="shared" si="7"/>
        <v>25579.623889428141</v>
      </c>
      <c r="L50" s="537">
        <f t="shared" si="8"/>
        <v>6941.4148175962091</v>
      </c>
      <c r="M50" s="538">
        <f t="shared" si="9"/>
        <v>46622.574463623976</v>
      </c>
      <c r="N50" s="134">
        <f>TableUK5a!F50</f>
        <v>6.7165809404500099</v>
      </c>
      <c r="O50" s="1722"/>
      <c r="P50" s="529"/>
      <c r="Q50" s="762"/>
      <c r="R50" s="768">
        <f>DataUK2!B53</f>
        <v>39221</v>
      </c>
      <c r="S50" s="535">
        <f>(1-DataUK2!C53)*DataUK2!B53</f>
        <v>21518.726499113145</v>
      </c>
      <c r="T50" s="536">
        <f>DataUK2!E53</f>
        <v>16150</v>
      </c>
    </row>
    <row r="51" spans="1:20" ht="12" customHeight="1">
      <c r="A51" s="348">
        <f t="shared" si="0"/>
        <v>1896</v>
      </c>
      <c r="B51" s="278">
        <f>DataUK1!B54/1000</f>
        <v>1.542</v>
      </c>
      <c r="C51" s="587">
        <f t="shared" si="1"/>
        <v>10.258976007291626</v>
      </c>
      <c r="D51" s="129">
        <f>B51*DataUK1!$HU$169/DataUK1!$HU54</f>
        <v>155.1524117647059</v>
      </c>
      <c r="E51" s="128">
        <f>C51*DataUK1!$HU$169/DataUK1!$HU54</f>
        <v>1032.2340270866075</v>
      </c>
      <c r="F51" s="130">
        <f t="shared" si="2"/>
        <v>38.940377282254602</v>
      </c>
      <c r="G51" s="790">
        <f t="shared" si="3"/>
        <v>259.0715929011244</v>
      </c>
      <c r="H51" s="537">
        <f t="shared" si="4"/>
        <v>70.591419997666293</v>
      </c>
      <c r="I51" s="538">
        <f t="shared" si="5"/>
        <v>469.64700653482799</v>
      </c>
      <c r="J51" s="175">
        <f t="shared" si="6"/>
        <v>3918.0891377233238</v>
      </c>
      <c r="K51" s="175">
        <f t="shared" si="7"/>
        <v>26067.174097492549</v>
      </c>
      <c r="L51" s="537">
        <f t="shared" si="8"/>
        <v>7102.7425827063653</v>
      </c>
      <c r="M51" s="538">
        <f t="shared" si="9"/>
        <v>47254.776745754316</v>
      </c>
      <c r="N51" s="134">
        <f>TableUK5a!F51</f>
        <v>6.6530324301502111</v>
      </c>
      <c r="O51" s="1722"/>
      <c r="P51" s="529"/>
      <c r="Q51" s="762"/>
      <c r="R51" s="768">
        <f>DataUK2!B54</f>
        <v>39599</v>
      </c>
      <c r="S51" s="535">
        <f>(1-DataUK2!C54)*DataUK2!B54</f>
        <v>21844.014471602604</v>
      </c>
      <c r="T51" s="536">
        <f>DataUK2!E54</f>
        <v>16760</v>
      </c>
    </row>
    <row r="52" spans="1:20" ht="12" customHeight="1">
      <c r="A52" s="348">
        <f t="shared" si="0"/>
        <v>1897</v>
      </c>
      <c r="B52" s="278">
        <f>DataUK1!B55/1000</f>
        <v>1.5940000000000001</v>
      </c>
      <c r="C52" s="587">
        <f t="shared" si="1"/>
        <v>10.815822002690577</v>
      </c>
      <c r="D52" s="129">
        <f>B52*DataUK1!$HU$169/DataUK1!$HU55</f>
        <v>156.6975287356322</v>
      </c>
      <c r="E52" s="128">
        <f>C52*DataUK1!$HU$169/DataUK1!$HU55</f>
        <v>1063.2450307817376</v>
      </c>
      <c r="F52" s="130">
        <f t="shared" si="2"/>
        <v>39.862955460524674</v>
      </c>
      <c r="G52" s="790">
        <f t="shared" si="3"/>
        <v>270.48345719085148</v>
      </c>
      <c r="H52" s="537">
        <f t="shared" si="4"/>
        <v>71.875946242033521</v>
      </c>
      <c r="I52" s="538">
        <f t="shared" si="5"/>
        <v>487.70228408330695</v>
      </c>
      <c r="J52" s="175">
        <f t="shared" si="6"/>
        <v>3918.711799725716</v>
      </c>
      <c r="K52" s="175">
        <f t="shared" si="7"/>
        <v>26589.767443962726</v>
      </c>
      <c r="L52" s="537">
        <f t="shared" si="8"/>
        <v>7065.7359797125491</v>
      </c>
      <c r="M52" s="538">
        <f t="shared" si="9"/>
        <v>47943.376834741182</v>
      </c>
      <c r="N52" s="134">
        <f>TableUK5a!F52</f>
        <v>6.7853337532563218</v>
      </c>
      <c r="O52" s="1722"/>
      <c r="P52" s="529"/>
      <c r="Q52" s="762"/>
      <c r="R52" s="768">
        <f>DataUK2!B55</f>
        <v>39987</v>
      </c>
      <c r="S52" s="535">
        <f>(1-DataUK2!C55)*DataUK2!B55</f>
        <v>22177.099340471967</v>
      </c>
      <c r="T52" s="536">
        <f>DataUK2!E55</f>
        <v>16950</v>
      </c>
    </row>
    <row r="53" spans="1:20" ht="12" customHeight="1">
      <c r="A53" s="348">
        <f t="shared" si="0"/>
        <v>1898</v>
      </c>
      <c r="B53" s="278">
        <f>DataUK1!B56/1000</f>
        <v>1.6779999999999997</v>
      </c>
      <c r="C53" s="587">
        <f t="shared" si="1"/>
        <v>11.127649002913481</v>
      </c>
      <c r="D53" s="129">
        <f>B53*DataUK1!$HU$169/DataUK1!$HU56</f>
        <v>164.95511494252872</v>
      </c>
      <c r="E53" s="128">
        <f>C53*DataUK1!$HU$169/DataUK1!$HU56</f>
        <v>1093.8990585910065</v>
      </c>
      <c r="F53" s="130">
        <f t="shared" si="2"/>
        <v>41.554196280428911</v>
      </c>
      <c r="G53" s="790">
        <f t="shared" si="3"/>
        <v>275.56645459284022</v>
      </c>
      <c r="H53" s="537">
        <f t="shared" si="4"/>
        <v>74.525311680396641</v>
      </c>
      <c r="I53" s="538">
        <f t="shared" si="5"/>
        <v>494.21424923252812</v>
      </c>
      <c r="J53" s="175">
        <f t="shared" si="6"/>
        <v>4084.9685481421639</v>
      </c>
      <c r="K53" s="175">
        <f t="shared" si="7"/>
        <v>27089.449458681225</v>
      </c>
      <c r="L53" s="537">
        <f t="shared" si="8"/>
        <v>7326.180783294164</v>
      </c>
      <c r="M53" s="538">
        <f t="shared" si="9"/>
        <v>48583.532948979286</v>
      </c>
      <c r="N53" s="134">
        <f>TableUK5a!F53</f>
        <v>6.63149523415583</v>
      </c>
      <c r="O53" s="1722"/>
      <c r="P53" s="529"/>
      <c r="Q53" s="762"/>
      <c r="R53" s="768">
        <f>DataUK2!B56</f>
        <v>40381</v>
      </c>
      <c r="S53" s="535">
        <f>(1-DataUK2!C56)*DataUK2!B56</f>
        <v>22515.840083918574</v>
      </c>
      <c r="T53" s="536">
        <f>DataUK2!E56</f>
        <v>17230</v>
      </c>
    </row>
    <row r="54" spans="1:20" ht="12" customHeight="1">
      <c r="A54" s="748">
        <f>A55-1</f>
        <v>1899</v>
      </c>
      <c r="B54" s="279">
        <f>DataUK1!B57/1000</f>
        <v>1.77</v>
      </c>
      <c r="C54" s="749">
        <f t="shared" si="1"/>
        <v>11.616492876803262</v>
      </c>
      <c r="D54" s="146">
        <f>B54*DataUK1!$HU$169/DataUK1!$HU57</f>
        <v>172.02187500000002</v>
      </c>
      <c r="E54" s="759">
        <f>C54*DataUK1!$HU$169/DataUK1!$HU57</f>
        <v>1128.9779014643173</v>
      </c>
      <c r="F54" s="147">
        <f t="shared" si="2"/>
        <v>43.411080862335368</v>
      </c>
      <c r="G54" s="791">
        <f t="shared" si="3"/>
        <v>284.90650373539506</v>
      </c>
      <c r="H54" s="750">
        <f t="shared" si="4"/>
        <v>77.44203008650571</v>
      </c>
      <c r="I54" s="751">
        <f t="shared" si="5"/>
        <v>508.25129427405511</v>
      </c>
      <c r="J54" s="752">
        <f t="shared" si="6"/>
        <v>4219.0144213082194</v>
      </c>
      <c r="K54" s="752">
        <f t="shared" si="7"/>
        <v>27689.350831783711</v>
      </c>
      <c r="L54" s="750">
        <f t="shared" si="8"/>
        <v>7526.3972990322754</v>
      </c>
      <c r="M54" s="751">
        <f t="shared" si="9"/>
        <v>49395.672662259742</v>
      </c>
      <c r="N54" s="151">
        <f>TableUK5a!F54</f>
        <v>6.562990325877549</v>
      </c>
      <c r="O54" s="1723"/>
      <c r="P54" s="754"/>
      <c r="Q54" s="763"/>
      <c r="R54" s="769">
        <f>DataUK2!B57</f>
        <v>40773</v>
      </c>
      <c r="S54" s="755">
        <f>(1-DataUK2!C57)*DataUK2!B57</f>
        <v>22855.805794642034</v>
      </c>
      <c r="T54" s="756">
        <f>DataUK2!E57</f>
        <v>17560</v>
      </c>
    </row>
    <row r="55" spans="1:20" ht="12" customHeight="1">
      <c r="A55" s="126">
        <v>1900</v>
      </c>
      <c r="B55" s="278">
        <f>DataUK1!B58/1000</f>
        <v>1.8229999999999997</v>
      </c>
      <c r="C55" s="128">
        <f t="shared" si="1"/>
        <v>12.580266200224228</v>
      </c>
      <c r="D55" s="129">
        <f>B55*DataUK1!$HU$169/DataUK1!$HU58</f>
        <v>169.46964673913044</v>
      </c>
      <c r="E55" s="128">
        <f>C55*DataUK1!$HU$169/DataUK1!$HU58</f>
        <v>1169.4861595371492</v>
      </c>
      <c r="F55" s="130">
        <f t="shared" si="2"/>
        <v>44.295954319037776</v>
      </c>
      <c r="G55" s="790">
        <f t="shared" si="3"/>
        <v>305.6801409360765</v>
      </c>
      <c r="H55" s="131">
        <f t="shared" si="4"/>
        <v>78.190006433626422</v>
      </c>
      <c r="I55" s="132">
        <f t="shared" si="5"/>
        <v>539.578220039641</v>
      </c>
      <c r="J55" s="133">
        <f t="shared" si="6"/>
        <v>4117.8385794953329</v>
      </c>
      <c r="K55" s="133">
        <f t="shared" si="7"/>
        <v>28416.623971258636</v>
      </c>
      <c r="L55" s="131">
        <f t="shared" si="8"/>
        <v>7268.695978517283</v>
      </c>
      <c r="M55" s="132">
        <f t="shared" si="9"/>
        <v>50160.247031402505</v>
      </c>
      <c r="N55" s="134">
        <f>TableUK5a!F55</f>
        <v>6.9008591334197646</v>
      </c>
      <c r="O55" s="1724"/>
      <c r="P55" s="136"/>
      <c r="Q55" s="764"/>
      <c r="R55" s="770">
        <f>DataUK2!B58</f>
        <v>41155</v>
      </c>
      <c r="S55" s="523">
        <f>(1-DataUK2!C58)*DataUK2!B58</f>
        <v>23314.999999999996</v>
      </c>
      <c r="T55" s="524">
        <f>DataUK2!E58</f>
        <v>17530</v>
      </c>
    </row>
    <row r="56" spans="1:20" ht="12" customHeight="1">
      <c r="A56" s="126">
        <f t="shared" ref="A56:A104" si="10">A55+1</f>
        <v>1901</v>
      </c>
      <c r="B56" s="278">
        <f>DataUK1!B59/1000</f>
        <v>1.8040000000000003</v>
      </c>
      <c r="C56" s="128">
        <f t="shared" si="1"/>
        <v>12.768079871778649</v>
      </c>
      <c r="D56" s="129">
        <f>B56*DataUK1!$HU$169/DataUK1!$HU59</f>
        <v>167.70336956521746</v>
      </c>
      <c r="E56" s="128">
        <f>C56*DataUK1!$HU$169/DataUK1!$HU59</f>
        <v>1186.9456859063798</v>
      </c>
      <c r="F56" s="130">
        <f t="shared" si="2"/>
        <v>43.430112186431707</v>
      </c>
      <c r="G56" s="790">
        <f t="shared" si="3"/>
        <v>307.38311598484881</v>
      </c>
      <c r="H56" s="131">
        <f t="shared" si="4"/>
        <v>76.360454055996271</v>
      </c>
      <c r="I56" s="132">
        <f t="shared" si="5"/>
        <v>540.45253682496912</v>
      </c>
      <c r="J56" s="133">
        <f t="shared" si="6"/>
        <v>4037.3482008093183</v>
      </c>
      <c r="K56" s="133">
        <f t="shared" si="7"/>
        <v>28574.935863700226</v>
      </c>
      <c r="L56" s="131">
        <f t="shared" si="8"/>
        <v>7098.6172099337855</v>
      </c>
      <c r="M56" s="132">
        <f t="shared" si="9"/>
        <v>50241.525230386411</v>
      </c>
      <c r="N56" s="134">
        <f>TableUK5a!F56</f>
        <v>7.0776495963296275</v>
      </c>
      <c r="O56" s="1724"/>
      <c r="P56" s="136"/>
      <c r="Q56" s="764"/>
      <c r="R56" s="771">
        <f>DataUK2!B59</f>
        <v>41538</v>
      </c>
      <c r="S56" s="523">
        <f>(1-DataUK2!C59)*DataUK2!B59</f>
        <v>23624.794041652764</v>
      </c>
      <c r="T56" s="524">
        <f>DataUK2!E59</f>
        <v>17550</v>
      </c>
    </row>
    <row r="57" spans="1:20" ht="12" customHeight="1">
      <c r="A57" s="126">
        <f t="shared" si="10"/>
        <v>1902</v>
      </c>
      <c r="B57" s="278">
        <f>DataUK1!B60/1000</f>
        <v>1.833</v>
      </c>
      <c r="C57" s="128">
        <f t="shared" si="1"/>
        <v>12.952748938752976</v>
      </c>
      <c r="D57" s="129">
        <f>B57*DataUK1!$HU$169/DataUK1!$HU60</f>
        <v>170.39926630434786</v>
      </c>
      <c r="E57" s="128">
        <f>C57*DataUK1!$HU$169/DataUK1!$HU60</f>
        <v>1204.1128836813571</v>
      </c>
      <c r="F57" s="130">
        <f t="shared" si="2"/>
        <v>43.754326498460365</v>
      </c>
      <c r="G57" s="790">
        <f t="shared" si="3"/>
        <v>309.18647360544662</v>
      </c>
      <c r="H57" s="131">
        <f t="shared" si="4"/>
        <v>76.629434846311511</v>
      </c>
      <c r="I57" s="132">
        <f t="shared" si="5"/>
        <v>541.4958160844526</v>
      </c>
      <c r="J57" s="133">
        <f t="shared" si="6"/>
        <v>4067.4877975878517</v>
      </c>
      <c r="K57" s="133">
        <f t="shared" si="7"/>
        <v>28742.579516419381</v>
      </c>
      <c r="L57" s="131">
        <f t="shared" si="8"/>
        <v>7123.6221904682543</v>
      </c>
      <c r="M57" s="132">
        <f t="shared" si="9"/>
        <v>50338.510511546549</v>
      </c>
      <c r="N57" s="134">
        <f>TableUK5a!F57</f>
        <v>7.0664205885177171</v>
      </c>
      <c r="O57" s="1724"/>
      <c r="P57" s="136"/>
      <c r="Q57" s="764"/>
      <c r="R57" s="772">
        <f>DataUK2!B60</f>
        <v>41893</v>
      </c>
      <c r="S57" s="310">
        <f>(1-DataUK2!C60)*DataUK2!B60</f>
        <v>23920.312131706003</v>
      </c>
      <c r="T57" s="525">
        <f>DataUK2!E60</f>
        <v>17610</v>
      </c>
    </row>
    <row r="58" spans="1:20" ht="12" customHeight="1">
      <c r="A58" s="126">
        <f t="shared" si="10"/>
        <v>1903</v>
      </c>
      <c r="B58" s="278">
        <f>DataUK1!B61/1000</f>
        <v>1.8069999999999999</v>
      </c>
      <c r="C58" s="128">
        <f t="shared" si="1"/>
        <v>13.255444888112999</v>
      </c>
      <c r="D58" s="129">
        <f>B58*DataUK1!$HU$169/DataUK1!$HU61</f>
        <v>166.1759946236559</v>
      </c>
      <c r="E58" s="128">
        <f>C58*DataUK1!$HU$169/DataUK1!$HU61</f>
        <v>1219.0020688772734</v>
      </c>
      <c r="F58" s="130">
        <f t="shared" si="2"/>
        <v>42.773280310561944</v>
      </c>
      <c r="G58" s="790">
        <f t="shared" si="3"/>
        <v>313.76804639759973</v>
      </c>
      <c r="H58" s="131">
        <f t="shared" si="4"/>
        <v>74.619252989045876</v>
      </c>
      <c r="I58" s="132">
        <f t="shared" si="5"/>
        <v>547.37764006002146</v>
      </c>
      <c r="J58" s="133">
        <f t="shared" si="6"/>
        <v>3933.5320414632365</v>
      </c>
      <c r="K58" s="133">
        <f t="shared" si="7"/>
        <v>28854.851793714748</v>
      </c>
      <c r="L58" s="131">
        <f t="shared" si="8"/>
        <v>6862.1630235356424</v>
      </c>
      <c r="M58" s="132">
        <f t="shared" si="9"/>
        <v>50338.142651756272</v>
      </c>
      <c r="N58" s="134">
        <f>TableUK5a!F58</f>
        <v>7.335608681855561</v>
      </c>
      <c r="O58" s="1724"/>
      <c r="P58" s="136"/>
      <c r="Q58" s="764"/>
      <c r="R58" s="772">
        <f>DataUK2!B61</f>
        <v>42246</v>
      </c>
      <c r="S58" s="310">
        <f>(1-DataUK2!C61)*DataUK2!B61</f>
        <v>24216.270300444685</v>
      </c>
      <c r="T58" s="525">
        <f>DataUK2!E61</f>
        <v>17720</v>
      </c>
    </row>
    <row r="59" spans="1:20" ht="12" customHeight="1">
      <c r="A59" s="126">
        <f t="shared" si="10"/>
        <v>1904</v>
      </c>
      <c r="B59" s="278">
        <f>DataUK1!B62/1000</f>
        <v>1.7979999999999998</v>
      </c>
      <c r="C59" s="128">
        <f t="shared" si="1"/>
        <v>13.392381602034495</v>
      </c>
      <c r="D59" s="129">
        <f>B59*DataUK1!$HU$169/DataUK1!$HU62</f>
        <v>165.3483333333333</v>
      </c>
      <c r="E59" s="128">
        <f>C59*DataUK1!$HU$169/DataUK1!$HU62</f>
        <v>1231.5950930258066</v>
      </c>
      <c r="F59" s="130">
        <f t="shared" si="2"/>
        <v>42.195677172561069</v>
      </c>
      <c r="G59" s="790">
        <f t="shared" si="3"/>
        <v>314.29399924982977</v>
      </c>
      <c r="H59" s="131">
        <f t="shared" si="4"/>
        <v>73.325767861762827</v>
      </c>
      <c r="I59" s="132">
        <f t="shared" si="5"/>
        <v>546.16610926970247</v>
      </c>
      <c r="J59" s="133">
        <f t="shared" si="6"/>
        <v>3880.4142905196618</v>
      </c>
      <c r="K59" s="133">
        <f t="shared" si="7"/>
        <v>28903.219662195363</v>
      </c>
      <c r="L59" s="131">
        <f t="shared" si="8"/>
        <v>6743.2110713734046</v>
      </c>
      <c r="M59" s="132">
        <f t="shared" si="9"/>
        <v>50226.727414291723</v>
      </c>
      <c r="N59" s="134">
        <f>TableUK5a!F59</f>
        <v>7.448488099018074</v>
      </c>
      <c r="O59" s="1724"/>
      <c r="P59" s="136"/>
      <c r="Q59" s="764"/>
      <c r="R59" s="772">
        <f>DataUK2!B62</f>
        <v>42611</v>
      </c>
      <c r="S59" s="310">
        <f>(1-DataUK2!C62)*DataUK2!B62</f>
        <v>24520.711510170251</v>
      </c>
      <c r="T59" s="525">
        <f>DataUK2!E62</f>
        <v>17640</v>
      </c>
    </row>
    <row r="60" spans="1:20" ht="12" customHeight="1">
      <c r="A60" s="126">
        <f t="shared" si="10"/>
        <v>1905</v>
      </c>
      <c r="B60" s="278">
        <f>DataUK1!B63/1000</f>
        <v>1.877</v>
      </c>
      <c r="C60" s="128">
        <f t="shared" si="1"/>
        <v>13.521787794710262</v>
      </c>
      <c r="D60" s="129">
        <f>B60*DataUK1!$HU$169/DataUK1!$HU63</f>
        <v>172.61336021505375</v>
      </c>
      <c r="E60" s="128">
        <f>C60*DataUK1!$HU$169/DataUK1!$HU63</f>
        <v>1243.4955926264463</v>
      </c>
      <c r="F60" s="130">
        <f t="shared" si="2"/>
        <v>43.670459040040946</v>
      </c>
      <c r="G60" s="790">
        <f t="shared" si="3"/>
        <v>314.59919021684607</v>
      </c>
      <c r="H60" s="131">
        <f t="shared" si="4"/>
        <v>75.595036916032598</v>
      </c>
      <c r="I60" s="132">
        <f t="shared" si="5"/>
        <v>544.5818047479388</v>
      </c>
      <c r="J60" s="133">
        <f t="shared" si="6"/>
        <v>4016.0387197844102</v>
      </c>
      <c r="K60" s="133">
        <f t="shared" si="7"/>
        <v>28931.285745479312</v>
      </c>
      <c r="L60" s="131">
        <f t="shared" si="8"/>
        <v>6951.8984217674051</v>
      </c>
      <c r="M60" s="132">
        <f t="shared" si="9"/>
        <v>50081.031022653187</v>
      </c>
      <c r="N60" s="134">
        <f>TableUK5a!F60</f>
        <v>7.2039359588227292</v>
      </c>
      <c r="O60" s="1724"/>
      <c r="P60" s="136"/>
      <c r="Q60" s="764"/>
      <c r="R60" s="772">
        <f>DataUK2!B63</f>
        <v>42981</v>
      </c>
      <c r="S60" s="310">
        <f>(1-DataUK2!C63)*DataUK2!B63</f>
        <v>24829.672377630865</v>
      </c>
      <c r="T60" s="525">
        <f>DataUK2!E63</f>
        <v>18000</v>
      </c>
    </row>
    <row r="61" spans="1:20" ht="12" customHeight="1">
      <c r="A61" s="126">
        <f t="shared" si="10"/>
        <v>1906</v>
      </c>
      <c r="B61" s="278">
        <f>DataUK1!B64/1000</f>
        <v>1.9799999999999998</v>
      </c>
      <c r="C61" s="128">
        <f t="shared" si="1"/>
        <v>13.678388795466685</v>
      </c>
      <c r="D61" s="129">
        <f>B61*DataUK1!$HU$169/DataUK1!$HU64</f>
        <v>182.08548387096769</v>
      </c>
      <c r="E61" s="128">
        <f>C61*DataUK1!$HU$169/DataUK1!$HU64</f>
        <v>1257.8969911099871</v>
      </c>
      <c r="F61" s="130">
        <f t="shared" si="2"/>
        <v>45.663153525057076</v>
      </c>
      <c r="G61" s="790">
        <f t="shared" si="3"/>
        <v>315.4537209812201</v>
      </c>
      <c r="H61" s="131">
        <f t="shared" si="4"/>
        <v>78.739888059336579</v>
      </c>
      <c r="I61" s="132">
        <f t="shared" si="5"/>
        <v>543.95697100360132</v>
      </c>
      <c r="J61" s="133">
        <f t="shared" si="6"/>
        <v>4199.2916185274253</v>
      </c>
      <c r="K61" s="133">
        <f t="shared" si="7"/>
        <v>29009.870416041766</v>
      </c>
      <c r="L61" s="131">
        <f t="shared" si="8"/>
        <v>7241.1063723384514</v>
      </c>
      <c r="M61" s="132">
        <f t="shared" si="9"/>
        <v>50023.569833422574</v>
      </c>
      <c r="N61" s="134">
        <f>TableUK5a!F61</f>
        <v>6.9082771694276195</v>
      </c>
      <c r="O61" s="1724"/>
      <c r="P61" s="136"/>
      <c r="Q61" s="764"/>
      <c r="R61" s="772">
        <f>DataUK2!B64</f>
        <v>43361</v>
      </c>
      <c r="S61" s="310">
        <f>(1-DataUK2!C64)*DataUK2!B64</f>
        <v>25146.086041015413</v>
      </c>
      <c r="T61" s="525">
        <f>DataUK2!E64</f>
        <v>18440</v>
      </c>
    </row>
    <row r="62" spans="1:20" ht="12" customHeight="1">
      <c r="A62" s="126">
        <f t="shared" si="10"/>
        <v>1907</v>
      </c>
      <c r="B62" s="278">
        <f>DataUK1!B65/1000</f>
        <v>2.0760000000000001</v>
      </c>
      <c r="C62" s="128">
        <f t="shared" si="1"/>
        <v>14.01574732096096</v>
      </c>
      <c r="D62" s="129">
        <f>B62*DataUK1!$HU$169/DataUK1!$HU65</f>
        <v>188.88287234042556</v>
      </c>
      <c r="E62" s="128">
        <f>C62*DataUK1!$HU$169/DataUK1!$HU65</f>
        <v>1275.209350665092</v>
      </c>
      <c r="F62" s="130">
        <f t="shared" si="2"/>
        <v>47.465532615405721</v>
      </c>
      <c r="G62" s="790">
        <f t="shared" si="3"/>
        <v>320.45515972656926</v>
      </c>
      <c r="H62" s="131">
        <f t="shared" si="4"/>
        <v>81.533683729294552</v>
      </c>
      <c r="I62" s="132">
        <f t="shared" si="5"/>
        <v>550.46026459390089</v>
      </c>
      <c r="J62" s="133">
        <f t="shared" si="6"/>
        <v>4318.6060392899726</v>
      </c>
      <c r="K62" s="133">
        <f t="shared" si="7"/>
        <v>29156.305888951963</v>
      </c>
      <c r="L62" s="131">
        <f t="shared" si="8"/>
        <v>7418.2641499445936</v>
      </c>
      <c r="M62" s="132">
        <f t="shared" si="9"/>
        <v>50083.100137652546</v>
      </c>
      <c r="N62" s="134">
        <f>TableUK5a!F62</f>
        <v>6.7513233723318686</v>
      </c>
      <c r="O62" s="1724"/>
      <c r="P62" s="136"/>
      <c r="Q62" s="764"/>
      <c r="R62" s="772">
        <f>DataUK2!B65</f>
        <v>43737</v>
      </c>
      <c r="S62" s="310">
        <f>(1-DataUK2!C65)*DataUK2!B65</f>
        <v>25461.86931640016</v>
      </c>
      <c r="T62" s="525">
        <f>DataUK2!E65</f>
        <v>18600</v>
      </c>
    </row>
    <row r="63" spans="1:20" ht="12" customHeight="1">
      <c r="A63" s="126">
        <f t="shared" si="10"/>
        <v>1908</v>
      </c>
      <c r="B63" s="278">
        <f>DataUK1!B66/1000</f>
        <v>1.9810000000000001</v>
      </c>
      <c r="C63" s="128">
        <f t="shared" si="1"/>
        <v>14.203343044319233</v>
      </c>
      <c r="D63" s="129">
        <f>B63*DataUK1!$HU$169/DataUK1!$HU66</f>
        <v>180.23938829787238</v>
      </c>
      <c r="E63" s="128">
        <f>C63*DataUK1!$HU$169/DataUK1!$HU66</f>
        <v>1292.2775679419176</v>
      </c>
      <c r="F63" s="130">
        <f t="shared" si="2"/>
        <v>44.896201613634304</v>
      </c>
      <c r="G63" s="790">
        <f t="shared" si="3"/>
        <v>321.89608930104328</v>
      </c>
      <c r="H63" s="131">
        <f t="shared" si="4"/>
        <v>76.825344733251171</v>
      </c>
      <c r="I63" s="132">
        <f t="shared" si="5"/>
        <v>550.82116392955595</v>
      </c>
      <c r="J63" s="133">
        <f t="shared" si="6"/>
        <v>4084.837918091569</v>
      </c>
      <c r="K63" s="133">
        <f t="shared" si="7"/>
        <v>29287.407486672051</v>
      </c>
      <c r="L63" s="131">
        <f t="shared" si="8"/>
        <v>6989.8804343737329</v>
      </c>
      <c r="M63" s="132">
        <f t="shared" si="9"/>
        <v>50115.936218165189</v>
      </c>
      <c r="N63" s="134">
        <f>TableUK5a!F63</f>
        <v>7.1697844746689716</v>
      </c>
      <c r="O63" s="1724"/>
      <c r="P63" s="136"/>
      <c r="Q63" s="764"/>
      <c r="R63" s="772">
        <f>DataUK2!B66</f>
        <v>44124</v>
      </c>
      <c r="S63" s="310">
        <f>(1-DataUK2!C66)*DataUK2!B66</f>
        <v>25785.761285918357</v>
      </c>
      <c r="T63" s="525">
        <f>DataUK2!E66</f>
        <v>17960</v>
      </c>
    </row>
    <row r="64" spans="1:20" ht="12" customHeight="1">
      <c r="A64" s="145">
        <f t="shared" si="10"/>
        <v>1909</v>
      </c>
      <c r="B64" s="279">
        <f>DataUK1!B67/1000</f>
        <v>2.012</v>
      </c>
      <c r="C64" s="759">
        <f t="shared" si="1"/>
        <v>14.468226253294187</v>
      </c>
      <c r="D64" s="146">
        <f>B64*DataUK1!$HU$169/DataUK1!$HU67</f>
        <v>181.13294736842104</v>
      </c>
      <c r="E64" s="759">
        <f>C64*DataUK1!$HU$169/DataUK1!$HU67</f>
        <v>1302.5211055926163</v>
      </c>
      <c r="F64" s="147">
        <f t="shared" si="2"/>
        <v>45.193171608265949</v>
      </c>
      <c r="G64" s="791">
        <f t="shared" si="3"/>
        <v>324.98262024470318</v>
      </c>
      <c r="H64" s="148">
        <f t="shared" si="4"/>
        <v>77.038940373393913</v>
      </c>
      <c r="I64" s="149">
        <f t="shared" si="5"/>
        <v>553.98450280134352</v>
      </c>
      <c r="J64" s="150">
        <f t="shared" si="6"/>
        <v>4068.5747387336264</v>
      </c>
      <c r="K64" s="150">
        <f t="shared" si="7"/>
        <v>29256.987996240259</v>
      </c>
      <c r="L64" s="148">
        <f t="shared" si="8"/>
        <v>6935.5319741415942</v>
      </c>
      <c r="M64" s="149">
        <f t="shared" si="9"/>
        <v>49873.183791668329</v>
      </c>
      <c r="N64" s="151">
        <f>TableUK5a!F64</f>
        <v>7.1909673227108284</v>
      </c>
      <c r="O64" s="1725"/>
      <c r="P64" s="153"/>
      <c r="Q64" s="765"/>
      <c r="R64" s="773">
        <f>DataUK2!B67</f>
        <v>44520</v>
      </c>
      <c r="S64" s="760">
        <f>(1-DataUK2!C67)*DataUK2!B67</f>
        <v>26116.662433935322</v>
      </c>
      <c r="T64" s="761">
        <f>DataUK2!E67</f>
        <v>18140</v>
      </c>
    </row>
    <row r="65" spans="1:20" ht="12" customHeight="1">
      <c r="A65" s="126">
        <f t="shared" si="10"/>
        <v>1910</v>
      </c>
      <c r="B65" s="278">
        <f>DataUK1!B68/1000</f>
        <v>2.1070000000000002</v>
      </c>
      <c r="C65" s="128">
        <f t="shared" si="1"/>
        <v>14.80521249926703</v>
      </c>
      <c r="D65" s="129">
        <f>B65*DataUK1!$HU$169/DataUK1!$HU68</f>
        <v>187.7095572916667</v>
      </c>
      <c r="E65" s="128">
        <f>C65*DataUK1!$HU$169/DataUK1!$HU68</f>
        <v>1318.9747906248051</v>
      </c>
      <c r="F65" s="130">
        <f t="shared" si="2"/>
        <v>46.909787158250957</v>
      </c>
      <c r="G65" s="790">
        <f t="shared" si="3"/>
        <v>329.6200128966745</v>
      </c>
      <c r="H65" s="131">
        <f t="shared" si="4"/>
        <v>79.661743207138173</v>
      </c>
      <c r="I65" s="132">
        <f t="shared" si="5"/>
        <v>559.75749228463337</v>
      </c>
      <c r="J65" s="133">
        <f t="shared" si="6"/>
        <v>4179.1245278223059</v>
      </c>
      <c r="K65" s="133">
        <f t="shared" si="7"/>
        <v>29365.366253112592</v>
      </c>
      <c r="L65" s="131">
        <f t="shared" si="8"/>
        <v>7096.9485289484301</v>
      </c>
      <c r="M65" s="132">
        <f t="shared" si="9"/>
        <v>49867.978674628415</v>
      </c>
      <c r="N65" s="134">
        <f>TableUK5a!F65</f>
        <v>7.0266789270370333</v>
      </c>
      <c r="O65" s="1724"/>
      <c r="P65" s="136"/>
      <c r="Q65" s="764"/>
      <c r="R65" s="772">
        <f>DataUK2!B68</f>
        <v>44916</v>
      </c>
      <c r="S65" s="310">
        <f>(1-DataUK2!C68)*DataUK2!B68</f>
        <v>26449.333333333336</v>
      </c>
      <c r="T65" s="525">
        <f>DataUK2!E68</f>
        <v>18890</v>
      </c>
    </row>
    <row r="66" spans="1:20" ht="12" customHeight="1">
      <c r="A66" s="126">
        <f t="shared" si="10"/>
        <v>1911</v>
      </c>
      <c r="B66" s="278">
        <f>DataUK1!B69/1000</f>
        <v>2.1920000000000002</v>
      </c>
      <c r="C66" s="128">
        <f t="shared" si="1"/>
        <v>14.972159661547638</v>
      </c>
      <c r="D66" s="129">
        <f>B66*DataUK1!$HU$169/DataUK1!$HU69</f>
        <v>195.28208333333336</v>
      </c>
      <c r="E66" s="128">
        <f>C66*DataUK1!$HU$169/DataUK1!$HU69</f>
        <v>1333.8478698477729</v>
      </c>
      <c r="F66" s="130">
        <f t="shared" si="2"/>
        <v>48.422726871078908</v>
      </c>
      <c r="G66" s="790">
        <f t="shared" si="3"/>
        <v>330.74488958088801</v>
      </c>
      <c r="H66" s="131">
        <f t="shared" si="4"/>
        <v>81.74808516345395</v>
      </c>
      <c r="I66" s="132">
        <f t="shared" si="5"/>
        <v>558.36924411178211</v>
      </c>
      <c r="J66" s="133">
        <f t="shared" si="6"/>
        <v>4313.9101204677336</v>
      </c>
      <c r="K66" s="133">
        <f t="shared" si="7"/>
        <v>29465.579876464009</v>
      </c>
      <c r="L66" s="131">
        <f t="shared" si="8"/>
        <v>7282.8176912545841</v>
      </c>
      <c r="M66" s="132">
        <f t="shared" si="9"/>
        <v>49744.301669437678</v>
      </c>
      <c r="N66" s="134">
        <f>TableUK5a!F66</f>
        <v>6.8303648091001987</v>
      </c>
      <c r="O66" s="1724"/>
      <c r="P66" s="136"/>
      <c r="Q66" s="764"/>
      <c r="R66" s="772">
        <f>DataUK2!B69</f>
        <v>45268</v>
      </c>
      <c r="S66" s="310">
        <f>(1-DataUK2!C69)*DataUK2!B69</f>
        <v>26814.083725840574</v>
      </c>
      <c r="T66" s="525">
        <f>DataUK2!E69</f>
        <v>19390</v>
      </c>
    </row>
    <row r="67" spans="1:20" ht="12" customHeight="1">
      <c r="A67" s="126">
        <f t="shared" si="10"/>
        <v>1912</v>
      </c>
      <c r="B67" s="278">
        <f>DataUK1!B70/1000</f>
        <v>2.3039999999999994</v>
      </c>
      <c r="C67" s="128">
        <f t="shared" si="1"/>
        <v>15.655732993001608</v>
      </c>
      <c r="D67" s="129">
        <f>B67*DataUK1!$HU$169/DataUK1!$HU70</f>
        <v>199.03999999999996</v>
      </c>
      <c r="E67" s="128">
        <f>C67*DataUK1!$HU$169/DataUK1!$HU70</f>
        <v>1352.4813780065281</v>
      </c>
      <c r="F67" s="130">
        <f t="shared" si="2"/>
        <v>50.708689145171221</v>
      </c>
      <c r="G67" s="790">
        <f t="shared" si="3"/>
        <v>344.56670906333324</v>
      </c>
      <c r="H67" s="131">
        <f t="shared" si="4"/>
        <v>85.107476057652974</v>
      </c>
      <c r="I67" s="132">
        <f t="shared" si="5"/>
        <v>578.30725732069982</v>
      </c>
      <c r="J67" s="133">
        <f t="shared" si="6"/>
        <v>4380.6673122634029</v>
      </c>
      <c r="K67" s="133">
        <f t="shared" si="7"/>
        <v>29766.735144082406</v>
      </c>
      <c r="L67" s="131">
        <f t="shared" si="8"/>
        <v>7352.3402927583538</v>
      </c>
      <c r="M67" s="132">
        <f t="shared" si="9"/>
        <v>49959.321396316023</v>
      </c>
      <c r="N67" s="134">
        <f>TableUK5a!F67</f>
        <v>6.7950230004347274</v>
      </c>
      <c r="O67" s="1724"/>
      <c r="P67" s="136"/>
      <c r="Q67" s="764"/>
      <c r="R67" s="772">
        <f>DataUK2!B70</f>
        <v>45436</v>
      </c>
      <c r="S67" s="310">
        <f>(1-DataUK2!C70)*DataUK2!B70</f>
        <v>27071.652300430556</v>
      </c>
      <c r="T67" s="525">
        <f>DataUK2!E70</f>
        <v>19490</v>
      </c>
    </row>
    <row r="68" spans="1:20" ht="12" customHeight="1">
      <c r="A68" s="126">
        <f t="shared" si="10"/>
        <v>1913</v>
      </c>
      <c r="B68" s="278">
        <f>DataUK1!B71/1000</f>
        <v>2.3810000000000007</v>
      </c>
      <c r="C68" s="128">
        <f t="shared" si="1"/>
        <v>15.705299999999999</v>
      </c>
      <c r="D68" s="129">
        <f>B68*DataUK1!$HU$169/DataUK1!$HU71</f>
        <v>207.79084183673476</v>
      </c>
      <c r="E68" s="128">
        <f>C68*DataUK1!$HU$169/DataUK1!$HU71</f>
        <v>1370.6079413265306</v>
      </c>
      <c r="F68" s="130">
        <f t="shared" si="2"/>
        <v>52.15886437819011</v>
      </c>
      <c r="G68" s="790">
        <f t="shared" si="3"/>
        <v>344.04477644636245</v>
      </c>
      <c r="H68" s="131">
        <f t="shared" si="4"/>
        <v>87.033257757758989</v>
      </c>
      <c r="I68" s="132">
        <f t="shared" si="5"/>
        <v>574.0795560953095</v>
      </c>
      <c r="J68" s="133">
        <f t="shared" si="6"/>
        <v>4551.925383617051</v>
      </c>
      <c r="K68" s="133">
        <f t="shared" si="7"/>
        <v>30024.92806691342</v>
      </c>
      <c r="L68" s="131">
        <f t="shared" si="8"/>
        <v>7595.4279282983043</v>
      </c>
      <c r="M68" s="132">
        <f t="shared" si="9"/>
        <v>50100.157178623827</v>
      </c>
      <c r="N68" s="134">
        <f>TableUK5a!F68</f>
        <v>6.5960940781184352</v>
      </c>
      <c r="O68" s="1724"/>
      <c r="P68" s="136"/>
      <c r="Q68" s="764"/>
      <c r="R68" s="772">
        <f>DataUK2!B71</f>
        <v>45649</v>
      </c>
      <c r="S68" s="310">
        <f>(1-DataUK2!C71)*DataUK2!B71</f>
        <v>27357.358110471683</v>
      </c>
      <c r="T68" s="525">
        <f>DataUK2!E71</f>
        <v>19910</v>
      </c>
    </row>
    <row r="69" spans="1:20" ht="12" customHeight="1">
      <c r="A69" s="126">
        <f t="shared" si="10"/>
        <v>1914</v>
      </c>
      <c r="B69" s="278">
        <f>DataUK1!B72/1000</f>
        <v>2.452</v>
      </c>
      <c r="C69" s="128">
        <f t="shared" si="1"/>
        <v>13.442478952272314</v>
      </c>
      <c r="D69" s="129">
        <f>B69*DataUK1!$HU$169/DataUK1!$HU72</f>
        <v>213.98704081632653</v>
      </c>
      <c r="E69" s="128">
        <f>C69*DataUK1!$HU$169/DataUK1!$HU72</f>
        <v>1173.1306248909077</v>
      </c>
      <c r="F69" s="130">
        <f t="shared" si="2"/>
        <v>53.247627527199285</v>
      </c>
      <c r="G69" s="790">
        <f t="shared" si="3"/>
        <v>291.91684840653033</v>
      </c>
      <c r="H69" s="131">
        <f t="shared" si="4"/>
        <v>88.33723330419943</v>
      </c>
      <c r="I69" s="132">
        <f t="shared" si="5"/>
        <v>484.28686761568912</v>
      </c>
      <c r="J69" s="133">
        <f t="shared" si="6"/>
        <v>4646.9421880242035</v>
      </c>
      <c r="K69" s="133">
        <f t="shared" si="7"/>
        <v>25475.702510171941</v>
      </c>
      <c r="L69" s="131">
        <f t="shared" si="8"/>
        <v>7709.2264064710771</v>
      </c>
      <c r="M69" s="132">
        <f t="shared" si="9"/>
        <v>42263.912604930418</v>
      </c>
      <c r="N69" s="134">
        <f>TableUK5a!F69</f>
        <v>5.4822507961958866</v>
      </c>
      <c r="O69" s="1724"/>
      <c r="P69" s="136"/>
      <c r="Q69" s="764"/>
      <c r="R69" s="772">
        <f>DataUK2!B72</f>
        <v>46049</v>
      </c>
      <c r="S69" s="310">
        <f>(1-DataUK2!C72)*DataUK2!B72</f>
        <v>27757.265065753825</v>
      </c>
      <c r="T69" s="525">
        <f>DataUK2!E72</f>
        <v>19440</v>
      </c>
    </row>
    <row r="70" spans="1:20" ht="12" customHeight="1">
      <c r="A70" s="126">
        <f t="shared" si="10"/>
        <v>1915</v>
      </c>
      <c r="B70" s="278">
        <f>DataUK1!B73/1000</f>
        <v>2.9249999999999998</v>
      </c>
      <c r="C70" s="128">
        <f t="shared" si="1"/>
        <v>13.180398281912838</v>
      </c>
      <c r="D70" s="129">
        <f>B70*DataUK1!$HU$169/DataUK1!$HU73</f>
        <v>227.41874999999999</v>
      </c>
      <c r="E70" s="128">
        <f>C70*DataUK1!$HU$169/DataUK1!$HU73</f>
        <v>1024.7759664187233</v>
      </c>
      <c r="F70" s="130">
        <f t="shared" si="2"/>
        <v>63.120414328873544</v>
      </c>
      <c r="G70" s="790">
        <f t="shared" si="3"/>
        <v>284.42810276031162</v>
      </c>
      <c r="H70" s="131">
        <f t="shared" si="4"/>
        <v>104.11522789870763</v>
      </c>
      <c r="I70" s="132">
        <f t="shared" si="5"/>
        <v>469.15561398874866</v>
      </c>
      <c r="J70" s="133">
        <f t="shared" si="6"/>
        <v>4907.6122140699181</v>
      </c>
      <c r="K70" s="133">
        <f t="shared" si="7"/>
        <v>22114.284989614229</v>
      </c>
      <c r="L70" s="131">
        <f t="shared" si="8"/>
        <v>8094.9589691245183</v>
      </c>
      <c r="M70" s="132">
        <f t="shared" si="9"/>
        <v>36476.848987625213</v>
      </c>
      <c r="N70" s="134">
        <f>TableUK5a!F70</f>
        <v>4.5061190707394321</v>
      </c>
      <c r="O70" s="1724"/>
      <c r="P70" s="136"/>
      <c r="Q70" s="764"/>
      <c r="R70" s="772">
        <f>DataUK2!B73</f>
        <v>46340</v>
      </c>
      <c r="S70" s="310">
        <f>(1-DataUK2!C73)*DataUK2!B73</f>
        <v>28093.873096505104</v>
      </c>
      <c r="T70" s="525">
        <f>DataUK2!E73</f>
        <v>18400</v>
      </c>
    </row>
    <row r="71" spans="1:20" ht="12" customHeight="1">
      <c r="A71" s="126">
        <f t="shared" si="10"/>
        <v>1916</v>
      </c>
      <c r="B71" s="278">
        <f>DataUK1!B74/1000</f>
        <v>3.5569999999999999</v>
      </c>
      <c r="C71" s="128">
        <f t="shared" si="1"/>
        <v>13.958312731339024</v>
      </c>
      <c r="D71" s="129">
        <f>B71*DataUK1!$HU$169/DataUK1!$HU74</f>
        <v>234.00955769230771</v>
      </c>
      <c r="E71" s="128">
        <f>C71*DataUK1!$HU$169/DataUK1!$HU74</f>
        <v>918.2959202675155</v>
      </c>
      <c r="F71" s="130">
        <f t="shared" si="2"/>
        <v>76.471599948402627</v>
      </c>
      <c r="G71" s="790">
        <f t="shared" si="3"/>
        <v>300.0884192144091</v>
      </c>
      <c r="H71" s="131">
        <f t="shared" si="4"/>
        <v>125.41797109352476</v>
      </c>
      <c r="I71" s="132">
        <f t="shared" si="5"/>
        <v>492.16285146287782</v>
      </c>
      <c r="J71" s="133">
        <f t="shared" si="6"/>
        <v>5030.9489119901045</v>
      </c>
      <c r="K71" s="133">
        <f t="shared" si="7"/>
        <v>19742.355425624879</v>
      </c>
      <c r="L71" s="131">
        <f t="shared" si="8"/>
        <v>8251.0553675182346</v>
      </c>
      <c r="M71" s="132">
        <f t="shared" si="9"/>
        <v>32378.6368241251</v>
      </c>
      <c r="N71" s="134">
        <f>TableUK5a!F71</f>
        <v>3.9241812570534229</v>
      </c>
      <c r="O71" s="1724"/>
      <c r="P71" s="136"/>
      <c r="Q71" s="764"/>
      <c r="R71" s="772">
        <f>DataUK2!B74</f>
        <v>46514</v>
      </c>
      <c r="S71" s="310">
        <f>(1-DataUK2!C74)*DataUK2!B74</f>
        <v>28361.166816735767</v>
      </c>
      <c r="T71" s="525">
        <f>DataUK2!E74</f>
        <v>17700</v>
      </c>
    </row>
    <row r="72" spans="1:20" ht="12" customHeight="1">
      <c r="A72" s="126">
        <f t="shared" si="10"/>
        <v>1917</v>
      </c>
      <c r="B72" s="278">
        <f>DataUK1!B75/1000</f>
        <v>4.1710000000000003</v>
      </c>
      <c r="C72" s="128">
        <f t="shared" si="1"/>
        <v>16.071755668122137</v>
      </c>
      <c r="D72" s="129">
        <f>B72*DataUK1!$HU$169/DataUK1!$HU75</f>
        <v>218.84955521472395</v>
      </c>
      <c r="E72" s="128">
        <f>C72*DataUK1!$HU$169/DataUK1!$HU75</f>
        <v>843.27417393628582</v>
      </c>
      <c r="F72" s="130">
        <f t="shared" si="2"/>
        <v>89.479555498348148</v>
      </c>
      <c r="G72" s="790">
        <f t="shared" si="3"/>
        <v>344.78387755013807</v>
      </c>
      <c r="H72" s="131">
        <f t="shared" si="4"/>
        <v>145.91929722717123</v>
      </c>
      <c r="I72" s="132">
        <f t="shared" si="5"/>
        <v>562.25828153900454</v>
      </c>
      <c r="J72" s="133">
        <f t="shared" si="6"/>
        <v>4694.931892022224</v>
      </c>
      <c r="K72" s="133">
        <f t="shared" si="7"/>
        <v>18090.577378819366</v>
      </c>
      <c r="L72" s="131">
        <f t="shared" si="8"/>
        <v>7656.287052364306</v>
      </c>
      <c r="M72" s="132">
        <f t="shared" si="9"/>
        <v>29501.312594247462</v>
      </c>
      <c r="N72" s="134">
        <f>TableUK5a!F72</f>
        <v>3.8532140177708305</v>
      </c>
      <c r="O72" s="1724"/>
      <c r="P72" s="136"/>
      <c r="Q72" s="764"/>
      <c r="R72" s="772">
        <f>DataUK2!B75</f>
        <v>46614</v>
      </c>
      <c r="S72" s="310">
        <f>(1-DataUK2!C75)*DataUK2!B75</f>
        <v>28584.293368042141</v>
      </c>
      <c r="T72" s="525">
        <f>DataUK2!E75</f>
        <v>17100</v>
      </c>
    </row>
    <row r="73" spans="1:20">
      <c r="A73" s="126">
        <f t="shared" si="10"/>
        <v>1918</v>
      </c>
      <c r="B73" s="278">
        <f>DataUK1!B76/1000</f>
        <v>4.7869999999999999</v>
      </c>
      <c r="C73" s="128">
        <f t="shared" si="1"/>
        <v>18.238573087087914</v>
      </c>
      <c r="D73" s="129">
        <f>B73*DataUK1!$HU$169/DataUK1!$HU76</f>
        <v>205.73275125628143</v>
      </c>
      <c r="E73" s="128">
        <f>C73*DataUK1!$HU$169/DataUK1!$HU76</f>
        <v>783.84621270009757</v>
      </c>
      <c r="F73" s="130">
        <f t="shared" si="2"/>
        <v>102.78046162104133</v>
      </c>
      <c r="G73" s="790">
        <f t="shared" si="3"/>
        <v>391.59577213285911</v>
      </c>
      <c r="H73" s="131">
        <f t="shared" si="4"/>
        <v>166.66437135504566</v>
      </c>
      <c r="I73" s="132">
        <f t="shared" si="5"/>
        <v>634.99484394663909</v>
      </c>
      <c r="J73" s="133">
        <f t="shared" si="6"/>
        <v>4417.2356684118395</v>
      </c>
      <c r="K73" s="133">
        <f t="shared" si="7"/>
        <v>16829.763020936072</v>
      </c>
      <c r="L73" s="131">
        <f t="shared" si="8"/>
        <v>7162.79917594989</v>
      </c>
      <c r="M73" s="132">
        <f t="shared" si="9"/>
        <v>27290.419109817249</v>
      </c>
      <c r="N73" s="134">
        <f>TableUK5a!F73</f>
        <v>3.8100215348000654</v>
      </c>
      <c r="O73" s="1724"/>
      <c r="P73" s="136"/>
      <c r="Q73" s="764"/>
      <c r="R73" s="772">
        <f>DataUK2!B76</f>
        <v>46575</v>
      </c>
      <c r="S73" s="310">
        <f>(1-DataUK2!C76)*DataUK2!B76</f>
        <v>28722.395561089888</v>
      </c>
      <c r="T73" s="525">
        <f>DataUK2!E76</f>
        <v>17060</v>
      </c>
    </row>
    <row r="74" spans="1:20">
      <c r="A74" s="126">
        <f t="shared" si="10"/>
        <v>1919</v>
      </c>
      <c r="B74" s="278">
        <f>DataUK1!B77/1000</f>
        <v>5.1539999999999999</v>
      </c>
      <c r="C74" s="128">
        <f>B74*N74</f>
        <v>18.032385700459791</v>
      </c>
      <c r="D74" s="129">
        <f>B74*DataUK1!$HU$169/DataUK1!$HU77</f>
        <v>201.27664383561645</v>
      </c>
      <c r="E74" s="128">
        <f>C74*DataUK1!$HU$169/DataUK1!$HU77</f>
        <v>704.20994841635797</v>
      </c>
      <c r="F74" s="130">
        <f t="shared" ref="F74:F115" si="11">1000000*B74/$R74</f>
        <v>110.75772553401814</v>
      </c>
      <c r="G74" s="790">
        <f t="shared" ref="G74:G115" si="12">1000000*C74/$R74</f>
        <v>387.50990029784219</v>
      </c>
      <c r="H74" s="131">
        <f t="shared" ref="H74:H115" si="13">1000000*B74/$S74</f>
        <v>178.59255296031736</v>
      </c>
      <c r="I74" s="132">
        <f t="shared" ref="I74:I115" si="14">1000000*C74/$S74</f>
        <v>624.84474160074399</v>
      </c>
      <c r="J74" s="133">
        <f t="shared" ref="J74:J115" si="15">1000000*D74/$R74</f>
        <v>4325.3673407748411</v>
      </c>
      <c r="K74" s="133">
        <f t="shared" ref="K74:K115" si="16">1000000*E74/$R74</f>
        <v>15133.234805010487</v>
      </c>
      <c r="L74" s="131">
        <f t="shared" ref="L74:L115" si="17">1000000*D74/$S74</f>
        <v>6974.4877132105676</v>
      </c>
      <c r="M74" s="132">
        <f t="shared" ref="M74:M115" si="18">1000000*E74/$S74</f>
        <v>24401.756404293901</v>
      </c>
      <c r="N74" s="134">
        <f>TableUK5a!F74</f>
        <v>3.4987166667558776</v>
      </c>
      <c r="O74" s="1724"/>
      <c r="P74" s="136"/>
      <c r="Q74" s="764"/>
      <c r="R74" s="772">
        <f>DataUK2!B77</f>
        <v>46534</v>
      </c>
      <c r="S74" s="310">
        <f>(1-DataUK2!C77)*DataUK2!B77</f>
        <v>28858.986080708532</v>
      </c>
      <c r="T74" s="525">
        <f>DataUK2!E77</f>
        <v>19030</v>
      </c>
    </row>
    <row r="75" spans="1:20">
      <c r="A75" s="145" t="s">
        <v>651</v>
      </c>
      <c r="B75" s="279">
        <f>DataUK1!B78/1000</f>
        <v>5.4189999999999996</v>
      </c>
      <c r="C75" s="759">
        <f>B75*N75</f>
        <v>18.273504192872114</v>
      </c>
      <c r="D75" s="146">
        <f>B75*DataUK1!$HU$169/DataUK1!$HU78</f>
        <v>183.1857608695652</v>
      </c>
      <c r="E75" s="759">
        <f>C75*DataUK1!$HU$169/DataUK1!$HU78</f>
        <v>617.72389173730733</v>
      </c>
      <c r="F75" s="147">
        <f t="shared" si="11"/>
        <v>115.73866427457764</v>
      </c>
      <c r="G75" s="791">
        <f t="shared" si="12"/>
        <v>390.28436370158931</v>
      </c>
      <c r="H75" s="148">
        <f t="shared" si="13"/>
        <v>185.58315737423229</v>
      </c>
      <c r="I75" s="149">
        <f t="shared" si="14"/>
        <v>625.80819420639955</v>
      </c>
      <c r="J75" s="150">
        <f t="shared" si="15"/>
        <v>3912.4700640645265</v>
      </c>
      <c r="K75" s="150">
        <f t="shared" si="16"/>
        <v>13193.308381651552</v>
      </c>
      <c r="L75" s="148">
        <f t="shared" si="17"/>
        <v>6273.5176025419823</v>
      </c>
      <c r="M75" s="149">
        <f t="shared" si="18"/>
        <v>21155.037869368505</v>
      </c>
      <c r="N75" s="151">
        <f>TableUK5a!F75</f>
        <v>3.3721174004192869</v>
      </c>
      <c r="O75" s="1725"/>
      <c r="P75" s="153"/>
      <c r="Q75" s="765"/>
      <c r="R75" s="773">
        <f>DataUK2!B78</f>
        <v>46821</v>
      </c>
      <c r="S75" s="760">
        <f>(1-DataUK2!C78)*DataUK2!B78</f>
        <v>29199.848071732467</v>
      </c>
      <c r="T75" s="761">
        <f>DataUK2!E78</f>
        <v>20810</v>
      </c>
    </row>
    <row r="76" spans="1:20">
      <c r="A76" s="126" t="s">
        <v>652</v>
      </c>
      <c r="B76" s="278">
        <f>DataUK1!B79/1000</f>
        <v>5.2469999999999999</v>
      </c>
      <c r="C76" s="277">
        <f>AVERAGE(DataUK3!B79:B80)/1000</f>
        <v>17.6935</v>
      </c>
      <c r="D76" s="129">
        <f>B76*DataUK1!$HU$169/DataUK1!$HU79</f>
        <v>177.37141304347827</v>
      </c>
      <c r="E76" s="128">
        <f>C76*DataUK1!$HU$169/DataUK1!$HU79</f>
        <v>598.11722826086952</v>
      </c>
      <c r="F76" s="130">
        <f t="shared" si="11"/>
        <v>120.01921405370786</v>
      </c>
      <c r="G76" s="790">
        <f t="shared" si="12"/>
        <v>404.71888009515533</v>
      </c>
      <c r="H76" s="131">
        <f t="shared" si="13"/>
        <v>192.44687874416215</v>
      </c>
      <c r="I76" s="132">
        <f t="shared" si="14"/>
        <v>648.95346846956988</v>
      </c>
      <c r="J76" s="133">
        <f t="shared" si="15"/>
        <v>4057.1712576851246</v>
      </c>
      <c r="K76" s="133">
        <f t="shared" si="16"/>
        <v>13681.257794521011</v>
      </c>
      <c r="L76" s="131">
        <f t="shared" si="17"/>
        <v>6505.5412271124387</v>
      </c>
      <c r="M76" s="132">
        <f t="shared" si="18"/>
        <v>21937.448771090891</v>
      </c>
      <c r="N76" s="134">
        <f t="shared" ref="N76:N103" si="19">C76/B76</f>
        <v>3.3721174004192873</v>
      </c>
      <c r="O76" s="1724"/>
      <c r="P76" s="136"/>
      <c r="Q76" s="764"/>
      <c r="R76" s="772">
        <f>DataUK2!B79</f>
        <v>43718</v>
      </c>
      <c r="S76" s="310">
        <f>(1-DataUK2!C79)*DataUK2!B79</f>
        <v>27264.666666666668</v>
      </c>
      <c r="T76" s="525">
        <f>DataUK2!E79</f>
        <v>19537</v>
      </c>
    </row>
    <row r="77" spans="1:20">
      <c r="A77" s="126">
        <v>1921</v>
      </c>
      <c r="B77" s="278">
        <f>DataUK1!B80/1000</f>
        <v>4.3010000000000002</v>
      </c>
      <c r="C77" s="277">
        <f>AVERAGE(DataUK3!B80:B81)/1000</f>
        <v>17.381499999999999</v>
      </c>
      <c r="D77" s="129">
        <f>B77*DataUK1!$HU$169/DataUK1!$HU80</f>
        <v>159.23940476190478</v>
      </c>
      <c r="E77" s="128">
        <f>C77*DataUK1!$HU$169/DataUK1!$HU80</f>
        <v>643.52934523809529</v>
      </c>
      <c r="F77" s="130">
        <f t="shared" si="11"/>
        <v>97.590306770738792</v>
      </c>
      <c r="G77" s="790">
        <f t="shared" si="12"/>
        <v>394.38872753675804</v>
      </c>
      <c r="H77" s="131">
        <f t="shared" si="13"/>
        <v>155.25525874777293</v>
      </c>
      <c r="I77" s="132">
        <f t="shared" si="14"/>
        <v>627.42833757833409</v>
      </c>
      <c r="J77" s="133">
        <f t="shared" si="15"/>
        <v>3613.1649292499724</v>
      </c>
      <c r="K77" s="133">
        <f t="shared" si="16"/>
        <v>14601.773126658543</v>
      </c>
      <c r="L77" s="131">
        <f t="shared" si="17"/>
        <v>5748.1411274473076</v>
      </c>
      <c r="M77" s="132">
        <f t="shared" si="18"/>
        <v>23229.787260340705</v>
      </c>
      <c r="N77" s="134">
        <f t="shared" si="19"/>
        <v>4.0412694722157632</v>
      </c>
      <c r="O77" s="1724"/>
      <c r="P77" s="136"/>
      <c r="Q77" s="764"/>
      <c r="R77" s="772">
        <f>DataUK2!B80</f>
        <v>44072</v>
      </c>
      <c r="S77" s="310">
        <f>(1-DataUK2!C80)*DataUK2!B80</f>
        <v>27702.765334264055</v>
      </c>
      <c r="T77" s="525">
        <f>DataUK2!E80</f>
        <v>17417</v>
      </c>
    </row>
    <row r="78" spans="1:20">
      <c r="A78" s="126">
        <f t="shared" si="10"/>
        <v>1922</v>
      </c>
      <c r="B78" s="278">
        <f>DataUK1!B81/1000</f>
        <v>4.09</v>
      </c>
      <c r="C78" s="277">
        <f>AVERAGE(DataUK3!B81:B82)/1000</f>
        <v>17.5825</v>
      </c>
      <c r="D78" s="129">
        <f>B78*DataUK1!$HU$169/DataUK1!$HU81</f>
        <v>175.77751256281408</v>
      </c>
      <c r="E78" s="128">
        <f>C78*DataUK1!$HU$169/DataUK1!$HU81</f>
        <v>755.64990577889455</v>
      </c>
      <c r="F78" s="130">
        <f t="shared" si="11"/>
        <v>92.175245650410162</v>
      </c>
      <c r="G78" s="790">
        <f t="shared" si="12"/>
        <v>396.25214098981337</v>
      </c>
      <c r="H78" s="131">
        <f t="shared" si="13"/>
        <v>145.49906802393855</v>
      </c>
      <c r="I78" s="132">
        <f t="shared" si="14"/>
        <v>625.48590795376526</v>
      </c>
      <c r="J78" s="133">
        <f t="shared" si="15"/>
        <v>3961.4511981162464</v>
      </c>
      <c r="K78" s="133">
        <f t="shared" si="16"/>
        <v>17029.881587011958</v>
      </c>
      <c r="L78" s="131">
        <f t="shared" si="17"/>
        <v>6253.1697450991687</v>
      </c>
      <c r="M78" s="132">
        <f t="shared" si="18"/>
        <v>26881.749888314462</v>
      </c>
      <c r="N78" s="134">
        <f t="shared" si="19"/>
        <v>4.2988997555012229</v>
      </c>
      <c r="O78" s="1724"/>
      <c r="P78" s="136"/>
      <c r="Q78" s="764"/>
      <c r="R78" s="772">
        <f>DataUK2!B81</f>
        <v>44372</v>
      </c>
      <c r="S78" s="310">
        <f>(1-DataUK2!C81)*DataUK2!B81</f>
        <v>28110.145690603898</v>
      </c>
      <c r="T78" s="525">
        <f>DataUK2!E81</f>
        <v>17483</v>
      </c>
    </row>
    <row r="79" spans="1:20">
      <c r="A79" s="126">
        <f t="shared" si="10"/>
        <v>1923</v>
      </c>
      <c r="B79" s="278">
        <f>DataUK1!B82/1000</f>
        <v>4.0409999999999995</v>
      </c>
      <c r="C79" s="277">
        <f>AVERAGE(DataUK3!B82:B83)/1000</f>
        <v>18.209</v>
      </c>
      <c r="D79" s="129">
        <f>B79*DataUK1!$HU$169/DataUK1!$HU82</f>
        <v>184.81632352941176</v>
      </c>
      <c r="E79" s="128">
        <f>C79*DataUK1!$HU$169/DataUK1!$HU82</f>
        <v>832.79397058823542</v>
      </c>
      <c r="F79" s="130">
        <f t="shared" si="11"/>
        <v>90.613507937931644</v>
      </c>
      <c r="G79" s="790">
        <f t="shared" si="12"/>
        <v>408.31016234639878</v>
      </c>
      <c r="H79" s="131">
        <f t="shared" si="13"/>
        <v>141.92909626711568</v>
      </c>
      <c r="I79" s="132">
        <f t="shared" si="14"/>
        <v>639.54142883640429</v>
      </c>
      <c r="J79" s="133">
        <f t="shared" si="15"/>
        <v>4144.2354365730507</v>
      </c>
      <c r="K79" s="133">
        <f t="shared" si="16"/>
        <v>18674.185366136771</v>
      </c>
      <c r="L79" s="131">
        <f t="shared" si="17"/>
        <v>6491.1689616283793</v>
      </c>
      <c r="M79" s="132">
        <f t="shared" si="18"/>
        <v>29249.615348253199</v>
      </c>
      <c r="N79" s="134">
        <f t="shared" si="19"/>
        <v>4.5060628557287803</v>
      </c>
      <c r="O79" s="1724"/>
      <c r="P79" s="136"/>
      <c r="Q79" s="764"/>
      <c r="R79" s="772">
        <f>DataUK2!B82</f>
        <v>44596</v>
      </c>
      <c r="S79" s="310">
        <f>(1-DataUK2!C82)*DataUK2!B82</f>
        <v>28471.963158242703</v>
      </c>
      <c r="T79" s="525">
        <f>DataUK2!E82</f>
        <v>17758</v>
      </c>
    </row>
    <row r="80" spans="1:20">
      <c r="A80" s="126">
        <f t="shared" si="10"/>
        <v>1924</v>
      </c>
      <c r="B80" s="278">
        <f>DataUK1!B83/1000</f>
        <v>4.1470000000000002</v>
      </c>
      <c r="C80" s="277">
        <f>AVERAGE(DataUK3!B83:B84)/1000</f>
        <v>19.3645</v>
      </c>
      <c r="D80" s="129">
        <f>B80*DataUK1!$HU$169/DataUK1!$HU83</f>
        <v>190.68396505376344</v>
      </c>
      <c r="E80" s="128">
        <f>C80*DataUK1!$HU$169/DataUK1!$HU83</f>
        <v>890.4026142473117</v>
      </c>
      <c r="F80" s="130">
        <f t="shared" si="11"/>
        <v>92.329956584659925</v>
      </c>
      <c r="G80" s="790">
        <f t="shared" si="12"/>
        <v>431.13659133919629</v>
      </c>
      <c r="H80" s="131">
        <f t="shared" si="13"/>
        <v>143.50915933303446</v>
      </c>
      <c r="I80" s="132">
        <f t="shared" si="14"/>
        <v>670.11890906789131</v>
      </c>
      <c r="J80" s="133">
        <f t="shared" si="15"/>
        <v>4245.440611238193</v>
      </c>
      <c r="K80" s="133">
        <f t="shared" si="16"/>
        <v>19824.170416282126</v>
      </c>
      <c r="L80" s="131">
        <f t="shared" si="17"/>
        <v>6598.7208881493389</v>
      </c>
      <c r="M80" s="132">
        <f t="shared" si="18"/>
        <v>30812.860052705055</v>
      </c>
      <c r="N80" s="134">
        <f t="shared" si="19"/>
        <v>4.6695201350373763</v>
      </c>
      <c r="O80" s="1724"/>
      <c r="P80" s="136"/>
      <c r="Q80" s="764"/>
      <c r="R80" s="772">
        <f>DataUK2!B83</f>
        <v>44915</v>
      </c>
      <c r="S80" s="310">
        <f>(1-DataUK2!C83)*DataUK2!B83</f>
        <v>28897.11025605179</v>
      </c>
      <c r="T80" s="525">
        <f>DataUK2!E83</f>
        <v>18032</v>
      </c>
    </row>
    <row r="81" spans="1:20">
      <c r="A81" s="126">
        <f t="shared" si="10"/>
        <v>1925</v>
      </c>
      <c r="B81" s="278">
        <f>DataUK1!B84/1000</f>
        <v>4.2489999999999997</v>
      </c>
      <c r="C81" s="277">
        <f>AVERAGE(DataUK3!B84:B85)/1000</f>
        <v>19.776499999999999</v>
      </c>
      <c r="D81" s="129">
        <f>B81*DataUK1!$HU$169/DataUK1!$HU84</f>
        <v>195.3740456989247</v>
      </c>
      <c r="E81" s="128">
        <f>C81*DataUK1!$HU$169/DataUK1!$HU84</f>
        <v>909.3468615591396</v>
      </c>
      <c r="F81" s="130">
        <f t="shared" si="11"/>
        <v>94.298586297964889</v>
      </c>
      <c r="G81" s="790">
        <f t="shared" si="12"/>
        <v>438.90232805876741</v>
      </c>
      <c r="H81" s="131">
        <f t="shared" si="13"/>
        <v>145.45417116254345</v>
      </c>
      <c r="I81" s="132">
        <f t="shared" si="14"/>
        <v>677.00033325395168</v>
      </c>
      <c r="J81" s="133">
        <f t="shared" si="15"/>
        <v>4335.9605339427126</v>
      </c>
      <c r="K81" s="133">
        <f t="shared" si="16"/>
        <v>20181.248175927998</v>
      </c>
      <c r="L81" s="131">
        <f t="shared" si="17"/>
        <v>6688.154832621788</v>
      </c>
      <c r="M81" s="132">
        <f t="shared" si="18"/>
        <v>31129.276076099035</v>
      </c>
      <c r="N81" s="134">
        <f t="shared" si="19"/>
        <v>4.6543892680630741</v>
      </c>
      <c r="O81" s="1724"/>
      <c r="P81" s="136"/>
      <c r="Q81" s="764"/>
      <c r="R81" s="772">
        <f>DataUK2!B84</f>
        <v>45059</v>
      </c>
      <c r="S81" s="310">
        <f>(1-DataUK2!C84)*DataUK2!B84</f>
        <v>29211.950169870266</v>
      </c>
      <c r="T81" s="525">
        <f>DataUK2!E84</f>
        <v>18238</v>
      </c>
    </row>
    <row r="82" spans="1:20">
      <c r="A82" s="126">
        <f t="shared" si="10"/>
        <v>1926</v>
      </c>
      <c r="B82" s="278">
        <f>DataUK1!B85/1000</f>
        <v>4.1399999999999997</v>
      </c>
      <c r="C82" s="277">
        <f>AVERAGE(DataUK3!B85:B86)/1000</f>
        <v>20.087499999999999</v>
      </c>
      <c r="D82" s="129">
        <f>B82*DataUK1!$HU$169/DataUK1!$HU85</f>
        <v>191.39108108108107</v>
      </c>
      <c r="E82" s="128">
        <f>C82*DataUK1!$HU$169/DataUK1!$HU85</f>
        <v>928.63969594594585</v>
      </c>
      <c r="F82" s="130">
        <f t="shared" si="11"/>
        <v>91.5281216837637</v>
      </c>
      <c r="G82" s="790">
        <f t="shared" si="12"/>
        <v>444.0993102228511</v>
      </c>
      <c r="H82" s="131">
        <f t="shared" si="13"/>
        <v>140.11501704424074</v>
      </c>
      <c r="I82" s="132">
        <f t="shared" si="14"/>
        <v>679.84550842419958</v>
      </c>
      <c r="J82" s="133">
        <f t="shared" si="15"/>
        <v>4231.3203281102105</v>
      </c>
      <c r="K82" s="133">
        <f t="shared" si="16"/>
        <v>20530.591084761803</v>
      </c>
      <c r="L82" s="131">
        <f t="shared" si="17"/>
        <v>6477.4793690317238</v>
      </c>
      <c r="M82" s="132">
        <f t="shared" si="18"/>
        <v>31429.07411242144</v>
      </c>
      <c r="N82" s="134">
        <f t="shared" si="19"/>
        <v>4.8520531400966185</v>
      </c>
      <c r="O82" s="1724"/>
      <c r="P82" s="136"/>
      <c r="Q82" s="764"/>
      <c r="R82" s="772">
        <f>DataUK2!B85</f>
        <v>45232</v>
      </c>
      <c r="S82" s="310">
        <f>(1-DataUK2!C85)*DataUK2!B85</f>
        <v>29547.154097642593</v>
      </c>
      <c r="T82" s="525">
        <f>DataUK2!E85</f>
        <v>18244</v>
      </c>
    </row>
    <row r="83" spans="1:20">
      <c r="A83" s="126">
        <f t="shared" si="10"/>
        <v>1927</v>
      </c>
      <c r="B83" s="278">
        <f>DataUK1!B86/1000</f>
        <v>4.4340000000000002</v>
      </c>
      <c r="C83" s="277">
        <f>AVERAGE(DataUK3!B86:B87)/1000</f>
        <v>20.941500000000001</v>
      </c>
      <c r="D83" s="129">
        <f>B83*DataUK1!$HU$169/DataUK1!$HU86</f>
        <v>210.67658333333335</v>
      </c>
      <c r="E83" s="128">
        <f>C83*DataUK1!$HU$169/DataUK1!$HU86</f>
        <v>995.01210416666686</v>
      </c>
      <c r="F83" s="130">
        <f t="shared" si="11"/>
        <v>97.688867346713963</v>
      </c>
      <c r="G83" s="790">
        <f t="shared" si="12"/>
        <v>461.37830751944301</v>
      </c>
      <c r="H83" s="131">
        <f t="shared" si="13"/>
        <v>148.42569571590312</v>
      </c>
      <c r="I83" s="132">
        <f t="shared" si="14"/>
        <v>701.00512107230156</v>
      </c>
      <c r="J83" s="133">
        <f t="shared" si="15"/>
        <v>4641.5779887931731</v>
      </c>
      <c r="K83" s="133">
        <f t="shared" si="16"/>
        <v>21921.877639222428</v>
      </c>
      <c r="L83" s="131">
        <f t="shared" si="17"/>
        <v>7052.2820145014521</v>
      </c>
      <c r="M83" s="132">
        <f t="shared" si="18"/>
        <v>33307.479433171444</v>
      </c>
      <c r="N83" s="134">
        <f t="shared" si="19"/>
        <v>4.722936400541272</v>
      </c>
      <c r="O83" s="1724"/>
      <c r="P83" s="136"/>
      <c r="Q83" s="764"/>
      <c r="R83" s="772">
        <f>DataUK2!B86</f>
        <v>45389</v>
      </c>
      <c r="S83" s="310">
        <f>(1-DataUK2!C86)*DataUK2!B86</f>
        <v>29873.53354561314</v>
      </c>
      <c r="T83" s="525">
        <f>DataUK2!E86</f>
        <v>18789</v>
      </c>
    </row>
    <row r="84" spans="1:20">
      <c r="A84" s="126">
        <f t="shared" si="10"/>
        <v>1928</v>
      </c>
      <c r="B84" s="278">
        <f>DataUK1!B87/1000</f>
        <v>4.4710000000000001</v>
      </c>
      <c r="C84" s="277">
        <f>AVERAGE(DataUK3!B87:B88)/1000</f>
        <v>20.714500000000001</v>
      </c>
      <c r="D84" s="129">
        <f>B84*DataUK1!$HU$169/DataUK1!$HU87</f>
        <v>212.43459722222224</v>
      </c>
      <c r="E84" s="128">
        <f>C84*DataUK1!$HU$169/DataUK1!$HU87</f>
        <v>984.22645138888902</v>
      </c>
      <c r="F84" s="130">
        <f t="shared" si="11"/>
        <v>98.0955724252929</v>
      </c>
      <c r="G84" s="790">
        <f t="shared" si="12"/>
        <v>454.48461977269733</v>
      </c>
      <c r="H84" s="131">
        <f t="shared" si="13"/>
        <v>147.93525666629949</v>
      </c>
      <c r="I84" s="132">
        <f t="shared" si="14"/>
        <v>685.39585645583998</v>
      </c>
      <c r="J84" s="133">
        <f t="shared" si="15"/>
        <v>4660.9021287073201</v>
      </c>
      <c r="K84" s="133">
        <f t="shared" si="16"/>
        <v>21594.331725588861</v>
      </c>
      <c r="L84" s="131">
        <f t="shared" si="17"/>
        <v>7028.9793479918135</v>
      </c>
      <c r="M84" s="132">
        <f t="shared" si="18"/>
        <v>32565.822568547628</v>
      </c>
      <c r="N84" s="134">
        <f t="shared" si="19"/>
        <v>4.6330798479087454</v>
      </c>
      <c r="O84" s="1724"/>
      <c r="P84" s="136"/>
      <c r="Q84" s="764"/>
      <c r="R84" s="772">
        <f>DataUK2!B87</f>
        <v>45578</v>
      </c>
      <c r="S84" s="310">
        <f>(1-DataUK2!C87)*DataUK2!B87</f>
        <v>30222.68052088032</v>
      </c>
      <c r="T84" s="525">
        <f>DataUK2!E87</f>
        <v>18868</v>
      </c>
    </row>
    <row r="85" spans="1:20">
      <c r="A85" s="145">
        <f t="shared" si="10"/>
        <v>1929</v>
      </c>
      <c r="B85" s="279">
        <f>DataUK1!B88/1000</f>
        <v>4.5229999999999997</v>
      </c>
      <c r="C85" s="280">
        <f>AVERAGE(DataUK3!B88:B89)/1000</f>
        <v>19.8005</v>
      </c>
      <c r="D85" s="146">
        <f>B85*DataUK1!$HU$169/DataUK1!$HU88</f>
        <v>217.31998595505615</v>
      </c>
      <c r="E85" s="759">
        <f>C85*DataUK1!$HU$169/DataUK1!$HU88</f>
        <v>951.36952949438205</v>
      </c>
      <c r="F85" s="147">
        <f t="shared" si="11"/>
        <v>99.032229812576631</v>
      </c>
      <c r="G85" s="791">
        <f t="shared" si="12"/>
        <v>433.53695918724821</v>
      </c>
      <c r="H85" s="148">
        <f t="shared" si="13"/>
        <v>148.24536527814413</v>
      </c>
      <c r="I85" s="149">
        <f t="shared" si="14"/>
        <v>648.97907477114597</v>
      </c>
      <c r="J85" s="150">
        <f t="shared" si="15"/>
        <v>4758.2760981576494</v>
      </c>
      <c r="K85" s="150">
        <f t="shared" si="16"/>
        <v>20830.476648589552</v>
      </c>
      <c r="L85" s="148">
        <f t="shared" si="17"/>
        <v>7122.8566659625149</v>
      </c>
      <c r="M85" s="149">
        <f t="shared" si="18"/>
        <v>31181.986162810255</v>
      </c>
      <c r="N85" s="151">
        <f t="shared" si="19"/>
        <v>4.3777360159186385</v>
      </c>
      <c r="O85" s="1725"/>
      <c r="P85" s="153"/>
      <c r="Q85" s="765"/>
      <c r="R85" s="773">
        <f>DataUK2!B88</f>
        <v>45672</v>
      </c>
      <c r="S85" s="760">
        <f>(1-DataUK2!C88)*DataUK2!B88</f>
        <v>30510.228711121988</v>
      </c>
      <c r="T85" s="761">
        <f>DataUK2!E88</f>
        <v>19146</v>
      </c>
    </row>
    <row r="86" spans="1:20">
      <c r="A86" s="126">
        <f t="shared" si="10"/>
        <v>1930</v>
      </c>
      <c r="B86" s="278">
        <f>DataUK1!B89/1000</f>
        <v>4.3090000000000002</v>
      </c>
      <c r="C86" s="277">
        <f>AVERAGE(DataUK3!B89:B90)/1000</f>
        <v>18.952999999999999</v>
      </c>
      <c r="D86" s="129">
        <f>B86*DataUK1!$HU$169/DataUK1!$HU89</f>
        <v>213.02151734104046</v>
      </c>
      <c r="E86" s="128">
        <f>C86*DataUK1!$HU$169/DataUK1!$HU89</f>
        <v>936.96839595375718</v>
      </c>
      <c r="F86" s="130">
        <f t="shared" si="11"/>
        <v>93.947586447477434</v>
      </c>
      <c r="G86" s="790">
        <f t="shared" si="12"/>
        <v>413.22548292853094</v>
      </c>
      <c r="H86" s="131">
        <f t="shared" si="13"/>
        <v>139.60344715868595</v>
      </c>
      <c r="I86" s="132">
        <f t="shared" si="14"/>
        <v>614.04133998574491</v>
      </c>
      <c r="J86" s="133">
        <f t="shared" si="15"/>
        <v>4644.4319831910452</v>
      </c>
      <c r="K86" s="133">
        <f t="shared" si="16"/>
        <v>20428.386952290522</v>
      </c>
      <c r="L86" s="131">
        <f t="shared" si="17"/>
        <v>6901.4941145934199</v>
      </c>
      <c r="M86" s="132">
        <f t="shared" si="18"/>
        <v>30356.00323831262</v>
      </c>
      <c r="N86" s="134">
        <f t="shared" si="19"/>
        <v>4.3984683221165</v>
      </c>
      <c r="O86" s="1724"/>
      <c r="P86" s="136"/>
      <c r="Q86" s="764"/>
      <c r="R86" s="772">
        <f>DataUK2!B89</f>
        <v>45866</v>
      </c>
      <c r="S86" s="310">
        <f>(1-DataUK2!C89)*DataUK2!B89</f>
        <v>30865.999999999996</v>
      </c>
      <c r="T86" s="525">
        <f>DataUK2!E89</f>
        <v>18788</v>
      </c>
    </row>
    <row r="87" spans="1:20">
      <c r="A87" s="126">
        <f t="shared" si="10"/>
        <v>1931</v>
      </c>
      <c r="B87" s="278">
        <f>DataUK1!B90/1000</f>
        <v>4.0539999999999994</v>
      </c>
      <c r="C87" s="277">
        <f>AVERAGE(DataUK3!B90:B91)/1000</f>
        <v>19.448</v>
      </c>
      <c r="D87" s="129">
        <f>B87*DataUK1!$HU$169/DataUK1!$HU90</f>
        <v>208.86647590361443</v>
      </c>
      <c r="E87" s="128">
        <f>C87*DataUK1!$HU$169/DataUK1!$HU90</f>
        <v>1001.9820481927711</v>
      </c>
      <c r="F87" s="130">
        <f t="shared" si="11"/>
        <v>87.988887441941216</v>
      </c>
      <c r="G87" s="790">
        <f t="shared" si="12"/>
        <v>422.10357251378218</v>
      </c>
      <c r="H87" s="131">
        <f t="shared" si="13"/>
        <v>129.89574520910548</v>
      </c>
      <c r="I87" s="132">
        <f t="shared" si="14"/>
        <v>623.14071357342959</v>
      </c>
      <c r="J87" s="133">
        <f t="shared" si="15"/>
        <v>4533.2828906457962</v>
      </c>
      <c r="K87" s="133">
        <f t="shared" si="16"/>
        <v>21747.233758579048</v>
      </c>
      <c r="L87" s="131">
        <f t="shared" si="17"/>
        <v>6692.3696439811729</v>
      </c>
      <c r="M87" s="132">
        <f t="shared" si="18"/>
        <v>32104.885258052753</v>
      </c>
      <c r="N87" s="134">
        <f t="shared" si="19"/>
        <v>4.7972372964972871</v>
      </c>
      <c r="O87" s="1724"/>
      <c r="P87" s="136"/>
      <c r="Q87" s="764"/>
      <c r="R87" s="772">
        <f>DataUK2!B90</f>
        <v>46074</v>
      </c>
      <c r="S87" s="310">
        <f>(1-DataUK2!C90)*DataUK2!B90</f>
        <v>31209.644268747154</v>
      </c>
      <c r="T87" s="525">
        <f>DataUK2!E90</f>
        <v>18340</v>
      </c>
    </row>
    <row r="88" spans="1:20">
      <c r="A88" s="126">
        <f t="shared" si="10"/>
        <v>1932</v>
      </c>
      <c r="B88" s="278">
        <f>DataUK1!B91/1000</f>
        <v>4.0059999999999993</v>
      </c>
      <c r="C88" s="277">
        <f>AVERAGE(DataUK3!B91:B92)/1000</f>
        <v>21.696999999999999</v>
      </c>
      <c r="D88" s="129">
        <f>B88*DataUK1!$HU$169/DataUK1!$HU91</f>
        <v>211.48959876543208</v>
      </c>
      <c r="E88" s="128">
        <f>C88*DataUK1!$HU$169/DataUK1!$HU91</f>
        <v>1145.454274691358</v>
      </c>
      <c r="F88" s="130">
        <f t="shared" si="11"/>
        <v>86.457321679076287</v>
      </c>
      <c r="G88" s="790">
        <f t="shared" si="12"/>
        <v>468.26373152044891</v>
      </c>
      <c r="H88" s="131">
        <f t="shared" si="13"/>
        <v>126.80721281074619</v>
      </c>
      <c r="I88" s="132">
        <f t="shared" si="14"/>
        <v>686.80381836114839</v>
      </c>
      <c r="J88" s="133">
        <f t="shared" si="15"/>
        <v>4564.3595287672833</v>
      </c>
      <c r="K88" s="133">
        <f t="shared" si="16"/>
        <v>24721.145455732341</v>
      </c>
      <c r="L88" s="131">
        <f t="shared" si="17"/>
        <v>6694.5597997772029</v>
      </c>
      <c r="M88" s="132">
        <f t="shared" si="18"/>
        <v>36258.578126751367</v>
      </c>
      <c r="N88" s="134">
        <f t="shared" si="19"/>
        <v>5.4161258112830764</v>
      </c>
      <c r="O88" s="1724"/>
      <c r="P88" s="136"/>
      <c r="Q88" s="764"/>
      <c r="R88" s="772">
        <f>DataUK2!B91</f>
        <v>46335</v>
      </c>
      <c r="S88" s="310">
        <f>(1-DataUK2!C91)*DataUK2!B91</f>
        <v>31591.262919553057</v>
      </c>
      <c r="T88" s="525">
        <f>DataUK2!E91</f>
        <v>18430</v>
      </c>
    </row>
    <row r="89" spans="1:20">
      <c r="A89" s="126">
        <f t="shared" si="10"/>
        <v>1933</v>
      </c>
      <c r="B89" s="278">
        <f>DataUK1!B92/1000</f>
        <v>4.181</v>
      </c>
      <c r="C89" s="277">
        <f>AVERAGE(DataUK3!B92:B93)/1000</f>
        <v>23.668500000000002</v>
      </c>
      <c r="D89" s="129">
        <f>B89*DataUK1!$HU$169/DataUK1!$HU92</f>
        <v>226.31647151898736</v>
      </c>
      <c r="E89" s="128">
        <f>C89*DataUK1!$HU$169/DataUK1!$HU92</f>
        <v>1281.1699129746837</v>
      </c>
      <c r="F89" s="130">
        <f t="shared" si="11"/>
        <v>89.875322441960449</v>
      </c>
      <c r="G89" s="790">
        <f t="shared" si="12"/>
        <v>508.7811693895099</v>
      </c>
      <c r="H89" s="131">
        <f t="shared" si="13"/>
        <v>130.97125141431664</v>
      </c>
      <c r="I89" s="132">
        <f t="shared" si="14"/>
        <v>741.42383738334206</v>
      </c>
      <c r="J89" s="133">
        <f t="shared" si="15"/>
        <v>4864.9284505371315</v>
      </c>
      <c r="K89" s="133">
        <f t="shared" si="16"/>
        <v>27540.195893694836</v>
      </c>
      <c r="L89" s="131">
        <f t="shared" si="17"/>
        <v>7089.440681778121</v>
      </c>
      <c r="M89" s="132">
        <f t="shared" si="18"/>
        <v>40133.084615323001</v>
      </c>
      <c r="N89" s="134">
        <f t="shared" si="19"/>
        <v>5.6609662760105239</v>
      </c>
      <c r="O89" s="1724"/>
      <c r="P89" s="136"/>
      <c r="Q89" s="764"/>
      <c r="R89" s="772">
        <f>DataUK2!B92</f>
        <v>46520</v>
      </c>
      <c r="S89" s="310">
        <f>(1-DataUK2!C92)*DataUK2!B92</f>
        <v>31923.036199553098</v>
      </c>
      <c r="T89" s="525">
        <f>DataUK2!E92</f>
        <v>18813</v>
      </c>
    </row>
    <row r="90" spans="1:20">
      <c r="A90" s="126">
        <f t="shared" si="10"/>
        <v>1934</v>
      </c>
      <c r="B90" s="278">
        <f>DataUK1!B93/1000</f>
        <v>4.4219999999999997</v>
      </c>
      <c r="C90" s="277">
        <f>AVERAGE(DataUK3!B93:B94)/1000</f>
        <v>25.135999999999999</v>
      </c>
      <c r="D90" s="129">
        <f>B90*DataUK1!$HU$169/DataUK1!$HU93</f>
        <v>239.36174050632911</v>
      </c>
      <c r="E90" s="128">
        <f>C90*DataUK1!$HU$169/DataUK1!$HU93</f>
        <v>1360.6053164556963</v>
      </c>
      <c r="F90" s="130">
        <f t="shared" si="11"/>
        <v>94.758496549950721</v>
      </c>
      <c r="G90" s="790">
        <f t="shared" si="12"/>
        <v>538.63626623237474</v>
      </c>
      <c r="H90" s="131">
        <f t="shared" si="13"/>
        <v>137.20345110180429</v>
      </c>
      <c r="I90" s="132">
        <f t="shared" si="14"/>
        <v>779.90636519560223</v>
      </c>
      <c r="J90" s="133">
        <f t="shared" si="15"/>
        <v>5129.2534287560347</v>
      </c>
      <c r="K90" s="133">
        <f t="shared" si="16"/>
        <v>29156.244727546742</v>
      </c>
      <c r="L90" s="131">
        <f t="shared" si="17"/>
        <v>7426.788073089755</v>
      </c>
      <c r="M90" s="132">
        <f t="shared" si="18"/>
        <v>42216.134103388533</v>
      </c>
      <c r="N90" s="134">
        <f t="shared" si="19"/>
        <v>5.6843057440072364</v>
      </c>
      <c r="O90" s="1724"/>
      <c r="P90" s="136"/>
      <c r="Q90" s="764"/>
      <c r="R90" s="772">
        <f>DataUK2!B93</f>
        <v>46666</v>
      </c>
      <c r="S90" s="310">
        <f>(1-DataUK2!C93)*DataUK2!B93</f>
        <v>32229.510004955322</v>
      </c>
      <c r="T90" s="525">
        <f>DataUK2!E93</f>
        <v>19360</v>
      </c>
    </row>
    <row r="91" spans="1:20">
      <c r="A91" s="126">
        <f t="shared" si="10"/>
        <v>1935</v>
      </c>
      <c r="B91" s="278">
        <f>DataUK1!B94/1000</f>
        <v>4.6260000000000012</v>
      </c>
      <c r="C91" s="277">
        <f>AVERAGE(DataUK3!B94:B95)/1000</f>
        <v>26.452999999999999</v>
      </c>
      <c r="D91" s="129">
        <f>B91*DataUK1!$HU$169/DataUK1!$HU94</f>
        <v>248.82933962264161</v>
      </c>
      <c r="E91" s="128">
        <f>C91*DataUK1!$HU$169/DataUK1!$HU94</f>
        <v>1422.88856918239</v>
      </c>
      <c r="F91" s="130">
        <f t="shared" si="11"/>
        <v>98.702739609114985</v>
      </c>
      <c r="G91" s="790">
        <f t="shared" si="12"/>
        <v>564.41495263292654</v>
      </c>
      <c r="H91" s="131">
        <f t="shared" si="13"/>
        <v>142.00552152399536</v>
      </c>
      <c r="I91" s="132">
        <f t="shared" si="14"/>
        <v>812.03460027545361</v>
      </c>
      <c r="J91" s="133">
        <f t="shared" si="15"/>
        <v>5309.1520786601013</v>
      </c>
      <c r="K91" s="133">
        <f t="shared" si="16"/>
        <v>30359.489826371726</v>
      </c>
      <c r="L91" s="131">
        <f t="shared" si="17"/>
        <v>7638.3787599620791</v>
      </c>
      <c r="M91" s="132">
        <f t="shared" si="18"/>
        <v>43678.779363873065</v>
      </c>
      <c r="N91" s="134">
        <f t="shared" si="19"/>
        <v>5.718331171638563</v>
      </c>
      <c r="O91" s="1724"/>
      <c r="P91" s="136"/>
      <c r="Q91" s="764"/>
      <c r="R91" s="772">
        <f>DataUK2!B94</f>
        <v>46868</v>
      </c>
      <c r="S91" s="310">
        <f>(1-DataUK2!C94)*DataUK2!B94</f>
        <v>32576.19809676431</v>
      </c>
      <c r="T91" s="525">
        <f>DataUK2!E94</f>
        <v>19704</v>
      </c>
    </row>
    <row r="92" spans="1:20">
      <c r="A92" s="126">
        <f t="shared" si="10"/>
        <v>1936</v>
      </c>
      <c r="B92" s="278">
        <f>DataUK1!B95/1000</f>
        <v>4.9630000000000001</v>
      </c>
      <c r="C92" s="277">
        <f>AVERAGE(DataUK3!B95:B96)/1000</f>
        <v>26.264500000000002</v>
      </c>
      <c r="D92" s="129">
        <f>B92*DataUK1!$HU$169/DataUK1!$HU95</f>
        <v>265.28785937500004</v>
      </c>
      <c r="E92" s="128">
        <f>C92*DataUK1!$HU$169/DataUK1!$HU95</f>
        <v>1403.9196015625002</v>
      </c>
      <c r="F92" s="130">
        <f t="shared" si="11"/>
        <v>105.4140736178076</v>
      </c>
      <c r="G92" s="790">
        <f t="shared" si="12"/>
        <v>557.85773454259675</v>
      </c>
      <c r="H92" s="131">
        <f t="shared" si="13"/>
        <v>150.70280538174592</v>
      </c>
      <c r="I92" s="132">
        <f t="shared" si="14"/>
        <v>797.52847712046457</v>
      </c>
      <c r="J92" s="133">
        <f t="shared" si="15"/>
        <v>5634.7116538518731</v>
      </c>
      <c r="K92" s="133">
        <f t="shared" si="16"/>
        <v>29819.23921672225</v>
      </c>
      <c r="L92" s="131">
        <f t="shared" si="17"/>
        <v>8055.5358939211374</v>
      </c>
      <c r="M92" s="132">
        <f t="shared" si="18"/>
        <v>42630.389378579835</v>
      </c>
      <c r="N92" s="134">
        <f t="shared" si="19"/>
        <v>5.2920612532742295</v>
      </c>
      <c r="O92" s="1724"/>
      <c r="P92" s="136"/>
      <c r="Q92" s="764"/>
      <c r="R92" s="772">
        <f>DataUK2!B95</f>
        <v>47081</v>
      </c>
      <c r="S92" s="310">
        <f>(1-DataUK2!C95)*DataUK2!B95</f>
        <v>32932.366371204596</v>
      </c>
      <c r="T92" s="525">
        <f>DataUK2!E95</f>
        <v>20321</v>
      </c>
    </row>
    <row r="93" spans="1:20">
      <c r="A93" s="126">
        <f t="shared" si="10"/>
        <v>1937</v>
      </c>
      <c r="B93" s="278">
        <f>DataUK1!B96/1000</f>
        <v>5.2050000000000001</v>
      </c>
      <c r="C93" s="277">
        <f>AVERAGE(DataUK3!B96:B97)/1000</f>
        <v>24.849</v>
      </c>
      <c r="D93" s="129">
        <f>B93*DataUK1!$HU$169/DataUK1!$HU96</f>
        <v>268.1672439759036</v>
      </c>
      <c r="E93" s="128">
        <f>C93*DataUK1!$HU$169/DataUK1!$HU96</f>
        <v>1280.2474246987952</v>
      </c>
      <c r="F93" s="130">
        <f t="shared" si="11"/>
        <v>110.06788047960414</v>
      </c>
      <c r="G93" s="790">
        <f t="shared" si="12"/>
        <v>525.47103977669224</v>
      </c>
      <c r="H93" s="131">
        <f t="shared" si="13"/>
        <v>156.36782861464312</v>
      </c>
      <c r="I93" s="132">
        <f t="shared" si="14"/>
        <v>746.50992761676594</v>
      </c>
      <c r="J93" s="133">
        <f t="shared" si="15"/>
        <v>5670.816553022978</v>
      </c>
      <c r="K93" s="133">
        <f t="shared" si="16"/>
        <v>27072.83775716964</v>
      </c>
      <c r="L93" s="131">
        <f t="shared" si="17"/>
        <v>8056.2400857032235</v>
      </c>
      <c r="M93" s="132">
        <f t="shared" si="18"/>
        <v>38461.000939411992</v>
      </c>
      <c r="N93" s="134">
        <f t="shared" si="19"/>
        <v>4.7740634005763685</v>
      </c>
      <c r="O93" s="1724"/>
      <c r="P93" s="136"/>
      <c r="Q93" s="764"/>
      <c r="R93" s="772">
        <f>DataUK2!B96</f>
        <v>47289</v>
      </c>
      <c r="S93" s="310">
        <f>(1-DataUK2!C96)*DataUK2!B96</f>
        <v>33286.898245721219</v>
      </c>
      <c r="T93" s="525">
        <f>DataUK2!E96</f>
        <v>20987</v>
      </c>
    </row>
    <row r="94" spans="1:20">
      <c r="A94" s="126">
        <f t="shared" si="10"/>
        <v>1938</v>
      </c>
      <c r="B94" s="278">
        <f>DataUK1!B97/1000</f>
        <v>5.2320000000000002</v>
      </c>
      <c r="C94" s="277">
        <f>AVERAGE(DataUK3!B97:B98)/1000</f>
        <v>24.277000000000001</v>
      </c>
      <c r="D94" s="129">
        <f>B94*DataUK1!$HU$169/DataUK1!$HU97</f>
        <v>266.34928571428577</v>
      </c>
      <c r="E94" s="128">
        <f>C94*DataUK1!$HU$169/DataUK1!$HU97</f>
        <v>1235.8871577380953</v>
      </c>
      <c r="F94" s="130">
        <f t="shared" si="11"/>
        <v>110.16128353055123</v>
      </c>
      <c r="G94" s="790">
        <f t="shared" si="12"/>
        <v>511.15930433317891</v>
      </c>
      <c r="H94" s="131">
        <f t="shared" si="13"/>
        <v>155.52384278116435</v>
      </c>
      <c r="I94" s="132">
        <f t="shared" si="14"/>
        <v>721.64608776726436</v>
      </c>
      <c r="J94" s="133">
        <f t="shared" si="15"/>
        <v>5608.0617702085683</v>
      </c>
      <c r="K94" s="133">
        <f t="shared" si="16"/>
        <v>26021.963989937576</v>
      </c>
      <c r="L94" s="131">
        <f t="shared" si="17"/>
        <v>7917.3670558685017</v>
      </c>
      <c r="M94" s="132">
        <f t="shared" si="18"/>
        <v>36737.370033509098</v>
      </c>
      <c r="N94" s="134">
        <f t="shared" si="19"/>
        <v>4.6400993883792045</v>
      </c>
      <c r="O94" s="1724"/>
      <c r="P94" s="136"/>
      <c r="Q94" s="764"/>
      <c r="R94" s="772">
        <f>DataUK2!B97</f>
        <v>47494</v>
      </c>
      <c r="S94" s="310">
        <f>(1-DataUK2!C97)*DataUK2!B97</f>
        <v>33641.144061504972</v>
      </c>
      <c r="T94" s="525">
        <f>DataUK2!E97</f>
        <v>20986</v>
      </c>
    </row>
    <row r="95" spans="1:20">
      <c r="A95" s="145">
        <f t="shared" si="10"/>
        <v>1939</v>
      </c>
      <c r="B95" s="279">
        <f>DataUK1!B98/1000</f>
        <v>5.7419999999999991</v>
      </c>
      <c r="C95" s="280">
        <f>AVERAGE(DataUK3!B98:B99)/1000</f>
        <v>25.35</v>
      </c>
      <c r="D95" s="146">
        <f>B95*DataUK1!$HU$169/DataUK1!$HU98</f>
        <v>283.86390173410399</v>
      </c>
      <c r="E95" s="759">
        <f>C95*DataUK1!$HU$169/DataUK1!$HU98</f>
        <v>1253.2131502890174</v>
      </c>
      <c r="F95" s="147">
        <f t="shared" si="11"/>
        <v>120.22361340842946</v>
      </c>
      <c r="G95" s="791">
        <f t="shared" si="12"/>
        <v>530.76778124411135</v>
      </c>
      <c r="H95" s="148">
        <f t="shared" si="13"/>
        <v>168.67700144147906</v>
      </c>
      <c r="I95" s="149">
        <f t="shared" si="14"/>
        <v>744.68164168260103</v>
      </c>
      <c r="J95" s="150">
        <f t="shared" si="15"/>
        <v>5943.4245877201893</v>
      </c>
      <c r="K95" s="150">
        <f t="shared" si="16"/>
        <v>26239.256931157586</v>
      </c>
      <c r="L95" s="148">
        <f t="shared" si="17"/>
        <v>8338.7864440939284</v>
      </c>
      <c r="M95" s="149">
        <f t="shared" si="18"/>
        <v>36814.391563528588</v>
      </c>
      <c r="N95" s="151">
        <f t="shared" si="19"/>
        <v>4.4148380355276915</v>
      </c>
      <c r="O95" s="1725"/>
      <c r="P95" s="153"/>
      <c r="Q95" s="765"/>
      <c r="R95" s="773">
        <f>DataUK2!B98</f>
        <v>47761</v>
      </c>
      <c r="S95" s="760">
        <f>(1-DataUK2!C98)*DataUK2!B98</f>
        <v>34041.392430088541</v>
      </c>
      <c r="T95" s="761">
        <f>DataUK2!E98</f>
        <v>21800</v>
      </c>
    </row>
    <row r="96" spans="1:20">
      <c r="A96" s="126">
        <f t="shared" si="10"/>
        <v>1940</v>
      </c>
      <c r="B96" s="278">
        <f>DataUK1!B99/1000</f>
        <v>6.8280000000000003</v>
      </c>
      <c r="C96" s="277">
        <f>AVERAGE(DataUK3!B99:B100)/1000</f>
        <v>28.152373869092113</v>
      </c>
      <c r="D96" s="129">
        <f>B96*DataUK1!$HU$169/DataUK1!$HU99</f>
        <v>289.09143564356447</v>
      </c>
      <c r="E96" s="128">
        <f>C96*DataUK1!$HU$169/DataUK1!$HU99</f>
        <v>1191.9464233436156</v>
      </c>
      <c r="F96" s="130">
        <f t="shared" si="11"/>
        <v>141.58337826068924</v>
      </c>
      <c r="G96" s="790">
        <f t="shared" si="12"/>
        <v>583.75925577680323</v>
      </c>
      <c r="H96" s="131">
        <f t="shared" si="13"/>
        <v>197.42092176024983</v>
      </c>
      <c r="I96" s="132">
        <f t="shared" si="14"/>
        <v>813.98178075209955</v>
      </c>
      <c r="J96" s="133">
        <f t="shared" si="15"/>
        <v>5994.5140721512144</v>
      </c>
      <c r="K96" s="133">
        <f t="shared" si="16"/>
        <v>24715.846708074805</v>
      </c>
      <c r="L96" s="131">
        <f t="shared" si="17"/>
        <v>8358.6259076957285</v>
      </c>
      <c r="M96" s="132">
        <f t="shared" si="18"/>
        <v>34463.263266744216</v>
      </c>
      <c r="N96" s="134">
        <f t="shared" si="19"/>
        <v>4.1230776023860738</v>
      </c>
      <c r="O96" s="1724"/>
      <c r="P96" s="136"/>
      <c r="Q96" s="764"/>
      <c r="R96" s="772">
        <f>DataUK2!B99</f>
        <v>48226</v>
      </c>
      <c r="S96" s="310">
        <f>(1-DataUK2!C99)*DataUK2!B99</f>
        <v>34586</v>
      </c>
      <c r="T96" s="525">
        <f>DataUK2!E99</f>
        <v>20800</v>
      </c>
    </row>
    <row r="97" spans="1:20">
      <c r="A97" s="126">
        <f t="shared" si="10"/>
        <v>1941</v>
      </c>
      <c r="B97" s="278">
        <f>DataUK1!B100/1000</f>
        <v>7.92</v>
      </c>
      <c r="C97" s="277">
        <f>AVERAGE(DataUK3!B100:B101)/1000</f>
        <v>31.296435845628679</v>
      </c>
      <c r="D97" s="129">
        <f>B97*DataUK1!$HU$169/DataUK1!$HU100</f>
        <v>302.39196428571432</v>
      </c>
      <c r="E97" s="128">
        <f>C97*DataUK1!$HU$169/DataUK1!$HU100</f>
        <v>1194.9230695077649</v>
      </c>
      <c r="F97" s="130">
        <f t="shared" si="11"/>
        <v>164.26082628173219</v>
      </c>
      <c r="G97" s="790">
        <f t="shared" si="12"/>
        <v>649.08818329244809</v>
      </c>
      <c r="H97" s="131">
        <f t="shared" si="13"/>
        <v>229.23894648344117</v>
      </c>
      <c r="I97" s="132">
        <f t="shared" si="14"/>
        <v>905.85378559829826</v>
      </c>
      <c r="J97" s="133">
        <f t="shared" si="15"/>
        <v>6271.61034274337</v>
      </c>
      <c r="K97" s="133">
        <f t="shared" si="16"/>
        <v>24782.708426824389</v>
      </c>
      <c r="L97" s="131">
        <f t="shared" si="17"/>
        <v>8752.5271866054936</v>
      </c>
      <c r="M97" s="132">
        <f t="shared" si="18"/>
        <v>34586.2254523636</v>
      </c>
      <c r="N97" s="134">
        <f t="shared" si="19"/>
        <v>3.9515701825288736</v>
      </c>
      <c r="O97" s="1724"/>
      <c r="P97" s="136"/>
      <c r="Q97" s="764"/>
      <c r="R97" s="772">
        <f>DataUK2!B100</f>
        <v>48216</v>
      </c>
      <c r="S97" s="310">
        <f>(1-DataUK2!C100)*DataUK2!B100</f>
        <v>34549.103114867496</v>
      </c>
      <c r="T97" s="525">
        <f>DataUK2!E100</f>
        <v>20600</v>
      </c>
    </row>
    <row r="98" spans="1:20">
      <c r="A98" s="126">
        <f t="shared" si="10"/>
        <v>1942</v>
      </c>
      <c r="B98" s="278">
        <f>DataUK1!B101/1000</f>
        <v>8.6999999999999993</v>
      </c>
      <c r="C98" s="277">
        <f>AVERAGE(DataUK3!B101:B102)/1000</f>
        <v>33.922167932727056</v>
      </c>
      <c r="D98" s="129">
        <f>B98*DataUK1!$HU$169/DataUK1!$HU101</f>
        <v>310.02812500000005</v>
      </c>
      <c r="E98" s="128">
        <f>C98*DataUK1!$HU$169/DataUK1!$HU101</f>
        <v>1208.8305885193674</v>
      </c>
      <c r="F98" s="130">
        <f t="shared" si="11"/>
        <v>179.75206611570249</v>
      </c>
      <c r="G98" s="790">
        <f t="shared" si="12"/>
        <v>700.8712382794846</v>
      </c>
      <c r="H98" s="131">
        <f t="shared" si="13"/>
        <v>251.07421257686588</v>
      </c>
      <c r="I98" s="132">
        <f t="shared" si="14"/>
        <v>978.96340259881094</v>
      </c>
      <c r="J98" s="133">
        <f t="shared" si="15"/>
        <v>6405.5397727272739</v>
      </c>
      <c r="K98" s="133">
        <f t="shared" si="16"/>
        <v>24975.838605772056</v>
      </c>
      <c r="L98" s="131">
        <f t="shared" si="17"/>
        <v>8947.1341794318578</v>
      </c>
      <c r="M98" s="132">
        <f t="shared" si="18"/>
        <v>34885.768753026387</v>
      </c>
      <c r="N98" s="134">
        <f t="shared" si="19"/>
        <v>3.8990997623824204</v>
      </c>
      <c r="O98" s="1724"/>
      <c r="P98" s="136"/>
      <c r="Q98" s="764"/>
      <c r="R98" s="772">
        <f>DataUK2!B101</f>
        <v>48400</v>
      </c>
      <c r="S98" s="310">
        <f>(1-DataUK2!C101)*DataUK2!B101</f>
        <v>34651.109370049351</v>
      </c>
      <c r="T98" s="525">
        <f>DataUK2!E101</f>
        <v>20700</v>
      </c>
    </row>
    <row r="99" spans="1:20">
      <c r="A99" s="126">
        <f t="shared" si="10"/>
        <v>1943</v>
      </c>
      <c r="B99" s="278">
        <f>DataUK1!B102/1000</f>
        <v>9.1859999999999999</v>
      </c>
      <c r="C99" s="277">
        <f>AVERAGE(DataUK3!B102:B103)/1000</f>
        <v>36.31167220475961</v>
      </c>
      <c r="D99" s="129">
        <f>B99*DataUK1!$HU$169/DataUK1!$HU102</f>
        <v>316.78735887096775</v>
      </c>
      <c r="E99" s="128">
        <f>C99*DataUK1!$HU$169/DataUK1!$HU102</f>
        <v>1252.2402279484136</v>
      </c>
      <c r="F99" s="130">
        <f t="shared" si="11"/>
        <v>188.28014511467748</v>
      </c>
      <c r="G99" s="790">
        <f t="shared" si="12"/>
        <v>744.25940693106259</v>
      </c>
      <c r="H99" s="131">
        <f t="shared" si="13"/>
        <v>263.21272557647751</v>
      </c>
      <c r="I99" s="132">
        <f t="shared" si="14"/>
        <v>1040.4631190131067</v>
      </c>
      <c r="J99" s="133">
        <f t="shared" si="15"/>
        <v>6493.0078269890291</v>
      </c>
      <c r="K99" s="133">
        <f t="shared" si="16"/>
        <v>25666.445878136743</v>
      </c>
      <c r="L99" s="131">
        <f t="shared" si="17"/>
        <v>9077.1243366646122</v>
      </c>
      <c r="M99" s="132">
        <f t="shared" si="18"/>
        <v>35881.293650643522</v>
      </c>
      <c r="N99" s="134">
        <f t="shared" si="19"/>
        <v>3.9529362295623351</v>
      </c>
      <c r="O99" s="1724"/>
      <c r="P99" s="136"/>
      <c r="Q99" s="764"/>
      <c r="R99" s="772">
        <f>DataUK2!B102</f>
        <v>48789</v>
      </c>
      <c r="S99" s="310">
        <f>(1-DataUK2!C102)*DataUK2!B102</f>
        <v>34899.528432302075</v>
      </c>
      <c r="T99" s="525">
        <f>DataUK2!E102</f>
        <v>20200</v>
      </c>
    </row>
    <row r="100" spans="1:20">
      <c r="A100" s="126">
        <f t="shared" si="10"/>
        <v>1944</v>
      </c>
      <c r="B100" s="278">
        <f>DataUK1!B103/1000</f>
        <v>9.3759999999999994</v>
      </c>
      <c r="C100" s="277">
        <f>AVERAGE(DataUK3!B103:B104)/1000</f>
        <v>38.283639710346705</v>
      </c>
      <c r="D100" s="129">
        <f>B100*DataUK1!$HU$169/DataUK1!$HU103</f>
        <v>314.46368627450983</v>
      </c>
      <c r="E100" s="128">
        <f>C100*DataUK1!$HU$169/DataUK1!$HU103</f>
        <v>1284.003249500942</v>
      </c>
      <c r="F100" s="130">
        <f t="shared" si="11"/>
        <v>191.28447853762037</v>
      </c>
      <c r="G100" s="790">
        <f t="shared" si="12"/>
        <v>781.04373490996215</v>
      </c>
      <c r="H100" s="131">
        <f t="shared" si="13"/>
        <v>267.64340816681789</v>
      </c>
      <c r="I100" s="132">
        <f t="shared" si="14"/>
        <v>1092.8289045550046</v>
      </c>
      <c r="J100" s="133">
        <f t="shared" si="15"/>
        <v>6415.5313831097974</v>
      </c>
      <c r="K100" s="133">
        <f t="shared" si="16"/>
        <v>26195.594285558633</v>
      </c>
      <c r="L100" s="131">
        <f t="shared" si="17"/>
        <v>8976.5499935165117</v>
      </c>
      <c r="M100" s="132">
        <f t="shared" si="18"/>
        <v>36652.624338065398</v>
      </c>
      <c r="N100" s="134">
        <f t="shared" si="19"/>
        <v>4.0831526994823708</v>
      </c>
      <c r="O100" s="1724"/>
      <c r="P100" s="136"/>
      <c r="Q100" s="764"/>
      <c r="R100" s="772">
        <f>DataUK2!B103</f>
        <v>49016</v>
      </c>
      <c r="S100" s="310">
        <f>(1-DataUK2!C103)*DataUK2!B103</f>
        <v>35031.68661697839</v>
      </c>
      <c r="T100" s="525">
        <f>DataUK2!E103</f>
        <v>19700</v>
      </c>
    </row>
    <row r="101" spans="1:20">
      <c r="A101" s="126">
        <f t="shared" si="10"/>
        <v>1945</v>
      </c>
      <c r="B101" s="278">
        <f>DataUK1!B104/1000</f>
        <v>9.4339999999999993</v>
      </c>
      <c r="C101" s="277">
        <f>AVERAGE(DataUK3!B104:B105)/1000</f>
        <v>40.447304473449954</v>
      </c>
      <c r="D101" s="129">
        <f>B101*DataUK1!$HU$169/DataUK1!$HU104</f>
        <v>307.95528625954199</v>
      </c>
      <c r="E101" s="128">
        <f>C101*DataUK1!$HU$169/DataUK1!$HU104</f>
        <v>1320.3266088136672</v>
      </c>
      <c r="F101" s="130">
        <f t="shared" si="11"/>
        <v>191.81814484974177</v>
      </c>
      <c r="G101" s="790">
        <f t="shared" si="12"/>
        <v>822.40056267435148</v>
      </c>
      <c r="H101" s="131">
        <f t="shared" si="13"/>
        <v>268.62182292994112</v>
      </c>
      <c r="I101" s="132">
        <f t="shared" si="14"/>
        <v>1151.6884312338871</v>
      </c>
      <c r="J101" s="133">
        <f t="shared" si="15"/>
        <v>6261.5445947611315</v>
      </c>
      <c r="K101" s="133">
        <f t="shared" si="16"/>
        <v>26845.728291116004</v>
      </c>
      <c r="L101" s="131">
        <f t="shared" si="17"/>
        <v>8768.6570252226011</v>
      </c>
      <c r="M101" s="132">
        <f t="shared" si="18"/>
        <v>37594.714916518402</v>
      </c>
      <c r="N101" s="134">
        <f t="shared" si="19"/>
        <v>4.2873971245971969</v>
      </c>
      <c r="O101" s="1724"/>
      <c r="P101" s="136"/>
      <c r="Q101" s="764"/>
      <c r="R101" s="772">
        <f>DataUK2!B104</f>
        <v>49182</v>
      </c>
      <c r="S101" s="310">
        <f>(1-DataUK2!C104)*DataUK2!B104</f>
        <v>35120.005877037278</v>
      </c>
      <c r="T101" s="525">
        <f>DataUK2!E104</f>
        <v>19100</v>
      </c>
    </row>
    <row r="102" spans="1:20">
      <c r="A102" s="126">
        <f t="shared" si="10"/>
        <v>1946</v>
      </c>
      <c r="B102" s="278">
        <f>DataUK1!B105/1000</f>
        <v>9.2569999999999997</v>
      </c>
      <c r="C102" s="277">
        <f>AVERAGE(DataUK3!B105:B106)/1000</f>
        <v>41.194123288559638</v>
      </c>
      <c r="D102" s="129">
        <f>B102*DataUK1!$HU$169/DataUK1!$HU105</f>
        <v>293.22404629629636</v>
      </c>
      <c r="E102" s="128">
        <f>C102*DataUK1!$HU$169/DataUK1!$HU105</f>
        <v>1304.8619978718752</v>
      </c>
      <c r="F102" s="130">
        <f t="shared" si="11"/>
        <v>189.1538445820307</v>
      </c>
      <c r="G102" s="790">
        <f t="shared" si="12"/>
        <v>841.74427937962844</v>
      </c>
      <c r="H102" s="131">
        <f t="shared" si="13"/>
        <v>265.11963151819043</v>
      </c>
      <c r="I102" s="132">
        <f t="shared" si="14"/>
        <v>1179.7959151969144</v>
      </c>
      <c r="J102" s="133">
        <f t="shared" si="15"/>
        <v>5991.6231695845108</v>
      </c>
      <c r="K102" s="133">
        <f t="shared" si="16"/>
        <v>26663.029442201012</v>
      </c>
      <c r="L102" s="131">
        <f t="shared" si="17"/>
        <v>8397.909809478977</v>
      </c>
      <c r="M102" s="132">
        <f t="shared" si="18"/>
        <v>37371.128017487448</v>
      </c>
      <c r="N102" s="134">
        <f t="shared" si="19"/>
        <v>4.4500511276395853</v>
      </c>
      <c r="O102" s="1724"/>
      <c r="P102" s="136"/>
      <c r="Q102" s="764"/>
      <c r="R102" s="772">
        <f>DataUK2!B105</f>
        <v>48939</v>
      </c>
      <c r="S102" s="310">
        <f>(1-DataUK2!C105)*DataUK2!B105</f>
        <v>34916.312862198807</v>
      </c>
      <c r="T102" s="525">
        <f>DataUK2!E105</f>
        <v>20300</v>
      </c>
    </row>
    <row r="103" spans="1:20">
      <c r="A103" s="126">
        <f t="shared" si="10"/>
        <v>1947</v>
      </c>
      <c r="B103" s="278">
        <f>DataUK1!B106/1000</f>
        <v>10.236999999999998</v>
      </c>
      <c r="C103" s="277">
        <f>AVERAGE(DataUK3!B106:B107)/1000</f>
        <v>40.640576767628005</v>
      </c>
      <c r="D103" s="129">
        <f>B103*DataUK1!$HU$169/DataUK1!$HU106</f>
        <v>302.94789792387536</v>
      </c>
      <c r="E103" s="128">
        <f>C103*DataUK1!$HU$169/DataUK1!$HU106</f>
        <v>1202.6938851388875</v>
      </c>
      <c r="F103" s="130">
        <f t="shared" si="11"/>
        <v>207.68918644755524</v>
      </c>
      <c r="G103" s="790">
        <f t="shared" si="12"/>
        <v>824.51971530996161</v>
      </c>
      <c r="H103" s="131">
        <f t="shared" si="13"/>
        <v>291.35067803336523</v>
      </c>
      <c r="I103" s="132">
        <f t="shared" si="14"/>
        <v>1156.6532770260283</v>
      </c>
      <c r="J103" s="133">
        <f t="shared" si="15"/>
        <v>6146.2344882100897</v>
      </c>
      <c r="K103" s="133">
        <f t="shared" si="16"/>
        <v>24400.362855323339</v>
      </c>
      <c r="L103" s="131">
        <f t="shared" si="17"/>
        <v>8622.0646155029608</v>
      </c>
      <c r="M103" s="132">
        <f t="shared" si="18"/>
        <v>34229.332705069573</v>
      </c>
      <c r="N103" s="134">
        <f t="shared" si="19"/>
        <v>3.9699694019368965</v>
      </c>
      <c r="O103" s="1724"/>
      <c r="P103" s="136"/>
      <c r="Q103" s="764"/>
      <c r="R103" s="772">
        <f>DataUK2!B106</f>
        <v>49290</v>
      </c>
      <c r="S103" s="310">
        <f>(1-DataUK2!C106)*DataUK2!B106</f>
        <v>35136.352072699367</v>
      </c>
      <c r="T103" s="525">
        <f>DataUK2!E106</f>
        <v>21600</v>
      </c>
    </row>
    <row r="104" spans="1:20">
      <c r="A104" s="126">
        <f t="shared" si="10"/>
        <v>1948</v>
      </c>
      <c r="B104" s="278">
        <f>DataUK1!B107/1000</f>
        <v>11.285</v>
      </c>
      <c r="C104" s="277">
        <f>AVERAGE(DataUK3!B107:B108)/1000</f>
        <v>41.125877453703708</v>
      </c>
      <c r="D104" s="129">
        <f>B104*DataUK1!$HU$169/DataUK1!$HU107</f>
        <v>310.33750000000003</v>
      </c>
      <c r="E104" s="128">
        <f>C104*DataUK1!$HU$169/DataUK1!$HU107</f>
        <v>1130.9616299768522</v>
      </c>
      <c r="F104" s="130">
        <f t="shared" si="11"/>
        <v>226.91627121370547</v>
      </c>
      <c r="G104" s="790">
        <f t="shared" si="12"/>
        <v>826.9500010798622</v>
      </c>
      <c r="H104" s="131">
        <f t="shared" si="13"/>
        <v>318.59836637112045</v>
      </c>
      <c r="I104" s="132">
        <f t="shared" si="14"/>
        <v>1161.0666701221885</v>
      </c>
      <c r="J104" s="133">
        <f t="shared" si="15"/>
        <v>6240.1974583769015</v>
      </c>
      <c r="K104" s="133">
        <f t="shared" si="16"/>
        <v>22741.125029696217</v>
      </c>
      <c r="L104" s="131">
        <f t="shared" si="17"/>
        <v>8761.4550752058149</v>
      </c>
      <c r="M104" s="132">
        <f t="shared" si="18"/>
        <v>31929.333428360187</v>
      </c>
      <c r="N104" s="134">
        <f t="shared" ref="N104:N115" si="20">C104/B104</f>
        <v>3.6442957424637754</v>
      </c>
      <c r="O104" s="1724">
        <f>DataUK1!EY107/DataUK1!B107</f>
        <v>0.77519464041008979</v>
      </c>
      <c r="P104" s="136">
        <f t="shared" ref="P104:P116" si="21">L104*O104</f>
        <v>6791.8330164933277</v>
      </c>
      <c r="Q104" s="764">
        <f t="shared" ref="Q104:Q118" si="22">N104/O104</f>
        <v>4.7011364017376174</v>
      </c>
      <c r="R104" s="772">
        <f>DataUK2!B107</f>
        <v>49732</v>
      </c>
      <c r="S104" s="310">
        <f>(1-DataUK2!C107)*DataUK2!B107</f>
        <v>35420.771702434366</v>
      </c>
      <c r="T104" s="525">
        <f>DataUK2!E107</f>
        <v>22124</v>
      </c>
    </row>
    <row r="105" spans="1:20">
      <c r="A105" s="145">
        <v>1949</v>
      </c>
      <c r="B105" s="279">
        <f>DataUK1!B108/1000</f>
        <v>12.003</v>
      </c>
      <c r="C105" s="280">
        <f>AVERAGE(DataUK3!B108:B109)/1000</f>
        <v>42.503888981481474</v>
      </c>
      <c r="D105" s="146">
        <f>B105*DataUK1!$HU$169/DataUK1!$HU108</f>
        <v>321.61884615384616</v>
      </c>
      <c r="E105" s="759">
        <f>C105*DataUK1!$HU$169/DataUK1!$HU108</f>
        <v>1138.8862560422599</v>
      </c>
      <c r="F105" s="147">
        <f t="shared" si="11"/>
        <v>239.92564164068122</v>
      </c>
      <c r="G105" s="791">
        <f t="shared" si="12"/>
        <v>849.60200250822481</v>
      </c>
      <c r="H105" s="148">
        <f t="shared" si="13"/>
        <v>337.15581516773244</v>
      </c>
      <c r="I105" s="149">
        <f t="shared" si="14"/>
        <v>1193.9043020370063</v>
      </c>
      <c r="J105" s="150">
        <f t="shared" si="15"/>
        <v>6428.7768080644064</v>
      </c>
      <c r="K105" s="150">
        <f t="shared" si="16"/>
        <v>22764.976733874228</v>
      </c>
      <c r="L105" s="148">
        <f t="shared" si="17"/>
        <v>9034.0468423148832</v>
      </c>
      <c r="M105" s="149">
        <f t="shared" si="18"/>
        <v>31990.512708427479</v>
      </c>
      <c r="N105" s="151">
        <f t="shared" si="20"/>
        <v>3.5411054720887671</v>
      </c>
      <c r="O105" s="1725">
        <f>DataUK1!EY108/DataUK1!B108</f>
        <v>0.75991443315641671</v>
      </c>
      <c r="P105" s="153">
        <f t="shared" si="21"/>
        <v>6865.1025852862304</v>
      </c>
      <c r="Q105" s="765">
        <f t="shared" si="22"/>
        <v>4.6598739510450713</v>
      </c>
      <c r="R105" s="773">
        <f>DataUK2!B108</f>
        <v>50028</v>
      </c>
      <c r="S105" s="760">
        <f>(1-DataUK2!C108)*DataUK2!B108</f>
        <v>35600.750335652963</v>
      </c>
      <c r="T105" s="761">
        <f>DataUK2!E108</f>
        <v>22300</v>
      </c>
    </row>
    <row r="106" spans="1:20">
      <c r="A106" s="126">
        <f t="shared" ref="A106:A126" si="23">A105+1</f>
        <v>1950</v>
      </c>
      <c r="B106" s="278">
        <f>DataUK1!B109/1000</f>
        <v>12.638999999999999</v>
      </c>
      <c r="C106" s="277">
        <f>AVERAGE(DataUK3!B109:B110)/1000</f>
        <v>44.811866620370367</v>
      </c>
      <c r="D106" s="129">
        <f>B106*DataUK1!$HU$169/DataUK1!$HU109</f>
        <v>330.19387499999999</v>
      </c>
      <c r="E106" s="128">
        <f>C106*DataUK1!$HU$169/DataUK1!$HU109</f>
        <v>1170.7100154571758</v>
      </c>
      <c r="F106" s="130">
        <f t="shared" si="11"/>
        <v>251.37231503579952</v>
      </c>
      <c r="G106" s="790">
        <f t="shared" si="12"/>
        <v>891.24635283155067</v>
      </c>
      <c r="H106" s="131">
        <f t="shared" si="13"/>
        <v>353.54755982531577</v>
      </c>
      <c r="I106" s="132">
        <f t="shared" si="14"/>
        <v>1253.5110447701134</v>
      </c>
      <c r="J106" s="133">
        <f t="shared" si="15"/>
        <v>6567.1017303102626</v>
      </c>
      <c r="K106" s="133">
        <f t="shared" si="16"/>
        <v>23283.810967724257</v>
      </c>
      <c r="L106" s="131">
        <f t="shared" si="17"/>
        <v>9236.430000436374</v>
      </c>
      <c r="M106" s="132">
        <f t="shared" si="18"/>
        <v>32747.976044619209</v>
      </c>
      <c r="N106" s="134">
        <f t="shared" si="20"/>
        <v>3.545523112617325</v>
      </c>
      <c r="O106" s="1724">
        <f>DataUK1!EY109/DataUK1!B109</f>
        <v>0.76778272666769065</v>
      </c>
      <c r="P106" s="136">
        <f t="shared" si="21"/>
        <v>7091.5714104102981</v>
      </c>
      <c r="Q106" s="764">
        <f t="shared" si="22"/>
        <v>4.6178729860275789</v>
      </c>
      <c r="R106" s="772">
        <f>DataUK2!B109</f>
        <v>50280</v>
      </c>
      <c r="S106" s="310">
        <f>(1-DataUK2!C109)*DataUK2!B109</f>
        <v>35749.08</v>
      </c>
      <c r="T106" s="525">
        <f>DataUK2!E109</f>
        <v>22582</v>
      </c>
    </row>
    <row r="107" spans="1:20">
      <c r="A107" s="126">
        <f t="shared" si="23"/>
        <v>1951</v>
      </c>
      <c r="B107" s="278">
        <f>DataUK1!B110/1000</f>
        <v>13.885000000000002</v>
      </c>
      <c r="C107" s="277">
        <f>AVERAGE(DataUK3!B110:B111)/1000</f>
        <v>46.749200185185181</v>
      </c>
      <c r="D107" s="129">
        <f>B107*DataUK1!$HU$169/DataUK1!$HU110</f>
        <v>337.43779069767447</v>
      </c>
      <c r="E107" s="128">
        <f>C107*DataUK1!$HU$169/DataUK1!$HU110</f>
        <v>1136.114283570198</v>
      </c>
      <c r="F107" s="130">
        <f t="shared" si="11"/>
        <v>276.10411819682241</v>
      </c>
      <c r="G107" s="790">
        <f t="shared" si="12"/>
        <v>929.61085297351667</v>
      </c>
      <c r="H107" s="131">
        <f t="shared" si="13"/>
        <v>388.33209310382892</v>
      </c>
      <c r="I107" s="132">
        <f t="shared" si="14"/>
        <v>1307.4695541118376</v>
      </c>
      <c r="J107" s="133">
        <f t="shared" si="15"/>
        <v>6709.9721747832418</v>
      </c>
      <c r="K107" s="133">
        <f t="shared" si="16"/>
        <v>22591.705612961046</v>
      </c>
      <c r="L107" s="131">
        <f t="shared" si="17"/>
        <v>9437.3729603139818</v>
      </c>
      <c r="M107" s="132">
        <f t="shared" si="18"/>
        <v>31774.550791787682</v>
      </c>
      <c r="N107" s="134">
        <f t="shared" si="20"/>
        <v>3.3668851411728609</v>
      </c>
      <c r="O107" s="1724">
        <f>DataUK1!EY110/DataUK1!B110</f>
        <v>0.76902671323822069</v>
      </c>
      <c r="P107" s="136">
        <f t="shared" si="21"/>
        <v>7257.5919092735185</v>
      </c>
      <c r="Q107" s="764">
        <f t="shared" si="22"/>
        <v>4.3781120775318296</v>
      </c>
      <c r="R107" s="772">
        <f>DataUK2!B110</f>
        <v>50289</v>
      </c>
      <c r="S107" s="310">
        <f>(1-DataUK2!C110)*DataUK2!B110</f>
        <v>35755.479000000007</v>
      </c>
      <c r="T107" s="525">
        <f>DataUK2!E110</f>
        <v>22751</v>
      </c>
    </row>
    <row r="108" spans="1:20">
      <c r="A108" s="126">
        <f t="shared" si="23"/>
        <v>1952</v>
      </c>
      <c r="B108" s="278">
        <f>DataUK1!B111/1000</f>
        <v>14.894</v>
      </c>
      <c r="C108" s="277">
        <f>AVERAGE(DataUK3!B111:B112)/1000</f>
        <v>47.786746620370366</v>
      </c>
      <c r="D108" s="129">
        <f>B108*DataUK1!$HU$169/DataUK1!$HU111</f>
        <v>338.35282608695655</v>
      </c>
      <c r="E108" s="128">
        <f>C108*DataUK1!$HU$169/DataUK1!$HU111</f>
        <v>1085.5902221366748</v>
      </c>
      <c r="F108" s="130">
        <f t="shared" si="11"/>
        <v>295.21714138470992</v>
      </c>
      <c r="G108" s="790">
        <f t="shared" si="12"/>
        <v>947.19126717746656</v>
      </c>
      <c r="H108" s="131">
        <f t="shared" si="13"/>
        <v>415.79879068269003</v>
      </c>
      <c r="I108" s="132">
        <f t="shared" si="14"/>
        <v>1334.0722072922065</v>
      </c>
      <c r="J108" s="133">
        <f t="shared" si="15"/>
        <v>6706.5633205874328</v>
      </c>
      <c r="K108" s="133">
        <f t="shared" si="16"/>
        <v>21517.714656531582</v>
      </c>
      <c r="L108" s="131">
        <f t="shared" si="17"/>
        <v>9445.8638318132853</v>
      </c>
      <c r="M108" s="132">
        <f t="shared" si="18"/>
        <v>30306.640361312089</v>
      </c>
      <c r="N108" s="134">
        <f t="shared" si="20"/>
        <v>3.2084561984940492</v>
      </c>
      <c r="O108" s="1724">
        <f>DataUK1!EY111/DataUK1!B111</f>
        <v>0.78061429769337998</v>
      </c>
      <c r="P108" s="136">
        <f t="shared" si="21"/>
        <v>7373.5763611782268</v>
      </c>
      <c r="Q108" s="764">
        <f t="shared" si="22"/>
        <v>4.1101683737726118</v>
      </c>
      <c r="R108" s="772">
        <f>DataUK2!B111</f>
        <v>50451</v>
      </c>
      <c r="S108" s="310">
        <f>(1-DataUK2!C111)*DataUK2!B111</f>
        <v>35820.21</v>
      </c>
      <c r="T108" s="525">
        <f>DataUK2!E111</f>
        <v>22677</v>
      </c>
    </row>
    <row r="109" spans="1:20">
      <c r="A109" s="126">
        <f t="shared" si="23"/>
        <v>1953</v>
      </c>
      <c r="B109" s="278">
        <f>DataUK1!B112/1000</f>
        <v>15.848000000000001</v>
      </c>
      <c r="C109" s="277">
        <f>AVERAGE(DataUK3!B112:B113)/1000</f>
        <v>49.122373055555549</v>
      </c>
      <c r="D109" s="129">
        <f>B109*DataUK1!$HU$169/DataUK1!$HU112</f>
        <v>345.0241666666667</v>
      </c>
      <c r="E109" s="128">
        <f>C109*DataUK1!$HU$169/DataUK1!$HU112</f>
        <v>1069.434996730324</v>
      </c>
      <c r="F109" s="130">
        <f t="shared" si="11"/>
        <v>313.24491530448876</v>
      </c>
      <c r="G109" s="790">
        <f t="shared" si="12"/>
        <v>970.93220515793791</v>
      </c>
      <c r="H109" s="131">
        <f t="shared" si="13"/>
        <v>441.81229238997008</v>
      </c>
      <c r="I109" s="132">
        <f t="shared" si="14"/>
        <v>1369.4389353426488</v>
      </c>
      <c r="J109" s="133">
        <f t="shared" si="15"/>
        <v>6819.6028436081415</v>
      </c>
      <c r="K109" s="133">
        <f t="shared" si="16"/>
        <v>21138.003216459274</v>
      </c>
      <c r="L109" s="131">
        <f t="shared" si="17"/>
        <v>9618.621782239974</v>
      </c>
      <c r="M109" s="132">
        <f t="shared" si="18"/>
        <v>29813.826821522249</v>
      </c>
      <c r="N109" s="134">
        <f t="shared" si="20"/>
        <v>3.0995944633742774</v>
      </c>
      <c r="O109" s="1724">
        <f>DataUK1!EY112/DataUK1!B112</f>
        <v>0.79187929681822522</v>
      </c>
      <c r="P109" s="136">
        <f t="shared" si="21"/>
        <v>7616.7874532806545</v>
      </c>
      <c r="Q109" s="764">
        <f t="shared" si="22"/>
        <v>3.9142259127476406</v>
      </c>
      <c r="R109" s="772">
        <f>DataUK2!B112</f>
        <v>50593</v>
      </c>
      <c r="S109" s="310">
        <f>(1-DataUK2!C112)*DataUK2!B112</f>
        <v>35870.436999999998</v>
      </c>
      <c r="T109" s="525">
        <f>DataUK2!E112</f>
        <v>22841</v>
      </c>
    </row>
    <row r="110" spans="1:20">
      <c r="A110" s="126">
        <f t="shared" si="23"/>
        <v>1954</v>
      </c>
      <c r="B110" s="278">
        <f>DataUK1!B113/1000</f>
        <v>16.844999999999999</v>
      </c>
      <c r="C110" s="277">
        <f>AVERAGE(DataUK3!B113:B114)/1000</f>
        <v>51.476845601851849</v>
      </c>
      <c r="D110" s="129">
        <f>B110*DataUK1!$HU$169/DataUK1!$HU113</f>
        <v>359.24540816326521</v>
      </c>
      <c r="E110" s="128">
        <f>C110*DataUK1!$HU$169/DataUK1!$HU113</f>
        <v>1097.8225235496975</v>
      </c>
      <c r="F110" s="130">
        <f t="shared" si="11"/>
        <v>331.82310647099382</v>
      </c>
      <c r="G110" s="790">
        <f t="shared" si="12"/>
        <v>1014.022369779412</v>
      </c>
      <c r="H110" s="131">
        <f t="shared" si="13"/>
        <v>468.67670405507602</v>
      </c>
      <c r="I110" s="132">
        <f t="shared" si="14"/>
        <v>1432.2349855641414</v>
      </c>
      <c r="J110" s="133">
        <f t="shared" si="15"/>
        <v>7076.635638003846</v>
      </c>
      <c r="K110" s="133">
        <f t="shared" si="16"/>
        <v>21625.579110601742</v>
      </c>
      <c r="L110" s="131">
        <f t="shared" si="17"/>
        <v>9995.248076276619</v>
      </c>
      <c r="M110" s="132">
        <f t="shared" si="18"/>
        <v>30544.603263561785</v>
      </c>
      <c r="N110" s="134">
        <f t="shared" si="20"/>
        <v>3.0559124726537163</v>
      </c>
      <c r="O110" s="1724">
        <f>DataUK1!EY113/DataUK1!B113</f>
        <v>0.79455271933959881</v>
      </c>
      <c r="P110" s="136">
        <f t="shared" si="21"/>
        <v>7941.7515394794818</v>
      </c>
      <c r="Q110" s="764">
        <f t="shared" si="22"/>
        <v>3.8460789300345879</v>
      </c>
      <c r="R110" s="772">
        <f>DataUK2!B113</f>
        <v>50765</v>
      </c>
      <c r="S110" s="310">
        <f>(1-DataUK2!C113)*DataUK2!B113</f>
        <v>35941.619999999995</v>
      </c>
      <c r="T110" s="525">
        <f>DataUK2!E113</f>
        <v>23216</v>
      </c>
    </row>
    <row r="111" spans="1:20">
      <c r="A111" s="126">
        <f t="shared" si="23"/>
        <v>1955</v>
      </c>
      <c r="B111" s="278">
        <f>DataUK1!B114/1000</f>
        <v>17.945</v>
      </c>
      <c r="C111" s="277">
        <f>AVERAGE(DataUK3!B114:B115)/1000</f>
        <v>54.367312731481476</v>
      </c>
      <c r="D111" s="129">
        <f>B111*DataUK1!$HU$169/DataUK1!$HU114</f>
        <v>367.69656862745103</v>
      </c>
      <c r="E111" s="128">
        <f>C111*DataUK1!$HU$169/DataUK1!$HU114</f>
        <v>1113.996898125454</v>
      </c>
      <c r="F111" s="130">
        <f t="shared" si="11"/>
        <v>352.2357005456758</v>
      </c>
      <c r="G111" s="790">
        <f t="shared" si="12"/>
        <v>1067.1556693652392</v>
      </c>
      <c r="H111" s="131">
        <f t="shared" si="13"/>
        <v>498.21174051722181</v>
      </c>
      <c r="I111" s="132">
        <f t="shared" si="14"/>
        <v>1509.4139594982166</v>
      </c>
      <c r="J111" s="133">
        <f t="shared" si="15"/>
        <v>7217.3785700045346</v>
      </c>
      <c r="K111" s="133">
        <f t="shared" si="16"/>
        <v>21866.228911503433</v>
      </c>
      <c r="L111" s="131">
        <f t="shared" si="17"/>
        <v>10208.456251774447</v>
      </c>
      <c r="M111" s="132">
        <f t="shared" si="18"/>
        <v>30928.187993639935</v>
      </c>
      <c r="N111" s="134">
        <f t="shared" si="20"/>
        <v>3.0296635682073823</v>
      </c>
      <c r="O111" s="1724">
        <f>DataUK1!EY114/DataUK1!B114</f>
        <v>0.78591328681463057</v>
      </c>
      <c r="P111" s="136">
        <f t="shared" si="21"/>
        <v>8022.9614061354196</v>
      </c>
      <c r="Q111" s="764">
        <f t="shared" si="22"/>
        <v>3.8549590890451171</v>
      </c>
      <c r="R111" s="772">
        <f>DataUK2!B114</f>
        <v>50946</v>
      </c>
      <c r="S111" s="310">
        <f>(1-DataUK2!C114)*DataUK2!B114</f>
        <v>36018.822</v>
      </c>
      <c r="T111" s="525">
        <f>DataUK2!E114</f>
        <v>23542</v>
      </c>
    </row>
    <row r="112" spans="1:20">
      <c r="A112" s="126">
        <f t="shared" si="23"/>
        <v>1956</v>
      </c>
      <c r="B112" s="278">
        <f>DataUK1!B115/1000</f>
        <v>19.235000000000003</v>
      </c>
      <c r="C112" s="277">
        <f>AVERAGE(DataUK3!B115:B116)/1000</f>
        <v>57.026427314814818</v>
      </c>
      <c r="D112" s="129">
        <f>B112*DataUK1!$HU$169/DataUK1!$HU115</f>
        <v>372.23287037037039</v>
      </c>
      <c r="E112" s="128">
        <f>C112*DataUK1!$HU$169/DataUK1!$HU115</f>
        <v>1103.566973036694</v>
      </c>
      <c r="F112" s="130">
        <f t="shared" si="11"/>
        <v>375.80103157236641</v>
      </c>
      <c r="G112" s="790">
        <f t="shared" si="12"/>
        <v>1114.1455789859101</v>
      </c>
      <c r="H112" s="131">
        <f t="shared" si="13"/>
        <v>533.05110861328569</v>
      </c>
      <c r="I112" s="132">
        <f t="shared" si="14"/>
        <v>1580.3483389871064</v>
      </c>
      <c r="J112" s="133">
        <f t="shared" si="15"/>
        <v>7272.4458887615347</v>
      </c>
      <c r="K112" s="133">
        <f t="shared" si="16"/>
        <v>21560.780185931035</v>
      </c>
      <c r="L112" s="131">
        <f t="shared" si="17"/>
        <v>10315.526083349694</v>
      </c>
      <c r="M112" s="132">
        <f t="shared" si="18"/>
        <v>30582.666930398627</v>
      </c>
      <c r="N112" s="134">
        <f t="shared" si="20"/>
        <v>2.9647219815344323</v>
      </c>
      <c r="O112" s="1724">
        <f>DataUK1!EY115/DataUK1!B115</f>
        <v>0.79970712573264835</v>
      </c>
      <c r="P112" s="136">
        <f t="shared" si="21"/>
        <v>8249.399714535748</v>
      </c>
      <c r="Q112" s="764">
        <f t="shared" si="22"/>
        <v>3.7072596781206801</v>
      </c>
      <c r="R112" s="772">
        <f>DataUK2!B115</f>
        <v>51184</v>
      </c>
      <c r="S112" s="310">
        <f>(1-DataUK2!C115)*DataUK2!B115</f>
        <v>36084.720000000001</v>
      </c>
      <c r="T112" s="525">
        <f>DataUK2!E115</f>
        <v>23736</v>
      </c>
    </row>
    <row r="113" spans="1:20">
      <c r="A113" s="126">
        <f t="shared" si="23"/>
        <v>1957</v>
      </c>
      <c r="B113" s="278">
        <f>DataUK1!B116/1000</f>
        <v>20.195</v>
      </c>
      <c r="C113" s="277">
        <f>AVERAGE(DataUK3!B116:B117)/1000</f>
        <v>59.857699861111115</v>
      </c>
      <c r="D113" s="129">
        <f>B113*DataUK1!$HU$169/DataUK1!$HU116</f>
        <v>376.85312500000003</v>
      </c>
      <c r="E113" s="128">
        <f>C113*DataUK1!$HU$169/DataUK1!$HU116</f>
        <v>1116.9874349082343</v>
      </c>
      <c r="F113" s="130">
        <f t="shared" si="11"/>
        <v>392.6696480653315</v>
      </c>
      <c r="G113" s="790">
        <f t="shared" si="12"/>
        <v>1163.8673898718862</v>
      </c>
      <c r="H113" s="131">
        <f t="shared" si="13"/>
        <v>557.76938645643679</v>
      </c>
      <c r="I113" s="132">
        <f t="shared" si="14"/>
        <v>1653.2207242498384</v>
      </c>
      <c r="J113" s="133">
        <f t="shared" si="15"/>
        <v>7327.496111219134</v>
      </c>
      <c r="K113" s="133">
        <f t="shared" si="16"/>
        <v>21718.59682885931</v>
      </c>
      <c r="L113" s="131">
        <f t="shared" si="17"/>
        <v>10408.375157981724</v>
      </c>
      <c r="M113" s="132">
        <f t="shared" si="18"/>
        <v>30850.279586447883</v>
      </c>
      <c r="N113" s="134">
        <f t="shared" si="20"/>
        <v>2.9639861283045859</v>
      </c>
      <c r="O113" s="1724">
        <f>DataUK1!EY116/DataUK1!B116</f>
        <v>0.79338407186280524</v>
      </c>
      <c r="P113" s="136">
        <f t="shared" si="21"/>
        <v>8257.8390643152088</v>
      </c>
      <c r="Q113" s="764">
        <f t="shared" si="22"/>
        <v>3.7358780361513593</v>
      </c>
      <c r="R113" s="772">
        <f>DataUK2!B116</f>
        <v>51430</v>
      </c>
      <c r="S113" s="310">
        <f>(1-DataUK2!C116)*DataUK2!B116</f>
        <v>36206.720000000001</v>
      </c>
      <c r="T113" s="525">
        <f>DataUK2!E116</f>
        <v>23775</v>
      </c>
    </row>
    <row r="114" spans="1:20">
      <c r="A114" s="126">
        <f t="shared" si="23"/>
        <v>1958</v>
      </c>
      <c r="B114" s="278">
        <f>DataUK1!B117/1000</f>
        <v>21.062000000000001</v>
      </c>
      <c r="C114" s="277">
        <f>AVERAGE(DataUK3!B117:B118)/1000</f>
        <v>63.350804953703701</v>
      </c>
      <c r="D114" s="129">
        <f>B114*DataUK1!$HU$169/DataUK1!$HU117</f>
        <v>379.47913793103453</v>
      </c>
      <c r="E114" s="128">
        <f>C114*DataUK1!$HU$169/DataUK1!$HU117</f>
        <v>1141.406744424489</v>
      </c>
      <c r="F114" s="130">
        <f t="shared" si="11"/>
        <v>407.76736622008826</v>
      </c>
      <c r="G114" s="790">
        <f t="shared" si="12"/>
        <v>1226.4927776989023</v>
      </c>
      <c r="H114" s="131">
        <f t="shared" si="13"/>
        <v>580.03892776683961</v>
      </c>
      <c r="I114" s="132">
        <f t="shared" si="14"/>
        <v>1744.6554448064041</v>
      </c>
      <c r="J114" s="133">
        <f t="shared" si="15"/>
        <v>7346.8430637929705</v>
      </c>
      <c r="K114" s="133">
        <f t="shared" si="16"/>
        <v>22098.016425781945</v>
      </c>
      <c r="L114" s="131">
        <f t="shared" si="17"/>
        <v>10450.701370971507</v>
      </c>
      <c r="M114" s="132">
        <f t="shared" si="18"/>
        <v>31433.878272805036</v>
      </c>
      <c r="N114" s="134">
        <f t="shared" si="20"/>
        <v>3.0078247532857136</v>
      </c>
      <c r="O114" s="1724">
        <f>DataUK1!EY117/DataUK1!B117</f>
        <v>0.79317877074113796</v>
      </c>
      <c r="P114" s="136">
        <f t="shared" si="21"/>
        <v>8289.274466809904</v>
      </c>
      <c r="Q114" s="764">
        <f t="shared" si="22"/>
        <v>3.7921145449659899</v>
      </c>
      <c r="R114" s="772">
        <f>DataUK2!B117</f>
        <v>51652</v>
      </c>
      <c r="S114" s="310">
        <f>(1-DataUK2!C117)*DataUK2!B117</f>
        <v>36311.356000000007</v>
      </c>
      <c r="T114" s="525">
        <f>DataUK2!E117</f>
        <v>23609</v>
      </c>
    </row>
    <row r="115" spans="1:20">
      <c r="A115" s="145">
        <f t="shared" si="23"/>
        <v>1959</v>
      </c>
      <c r="B115" s="279">
        <f>DataUK1!B118/1000</f>
        <v>22.29</v>
      </c>
      <c r="C115" s="280">
        <f>AVERAGE(DataUK3!B118:B119)/1000</f>
        <v>67.679544629629632</v>
      </c>
      <c r="D115" s="146">
        <f>B115*DataUK1!$HU$169/DataUK1!$HU118</f>
        <v>394.7974576271186</v>
      </c>
      <c r="E115" s="759">
        <f>C115*DataUK1!$HU$169/DataUK1!$HU118</f>
        <v>1198.7309175925925</v>
      </c>
      <c r="F115" s="147">
        <f t="shared" si="11"/>
        <v>429.01686042035567</v>
      </c>
      <c r="G115" s="791">
        <f t="shared" si="12"/>
        <v>1302.6319314348607</v>
      </c>
      <c r="H115" s="148">
        <f t="shared" si="13"/>
        <v>612.00693355257579</v>
      </c>
      <c r="I115" s="149">
        <f t="shared" si="14"/>
        <v>1858.2481190226258</v>
      </c>
      <c r="J115" s="150">
        <f t="shared" si="15"/>
        <v>7598.6884599876548</v>
      </c>
      <c r="K115" s="150">
        <f t="shared" si="16"/>
        <v>23072.040141515754</v>
      </c>
      <c r="L115" s="148">
        <f t="shared" si="17"/>
        <v>10839.783823092232</v>
      </c>
      <c r="M115" s="149">
        <f t="shared" si="18"/>
        <v>32913.0387182821</v>
      </c>
      <c r="N115" s="151">
        <f t="shared" si="20"/>
        <v>3.0363187361879604</v>
      </c>
      <c r="O115" s="1725">
        <f>DataUK1!EY118/DataUK1!B118</f>
        <v>0.7974482580451604</v>
      </c>
      <c r="P115" s="153">
        <f t="shared" si="21"/>
        <v>8644.1667273110088</v>
      </c>
      <c r="Q115" s="765">
        <f t="shared" si="22"/>
        <v>3.8075432550709896</v>
      </c>
      <c r="R115" s="773">
        <f>DataUK2!B118</f>
        <v>51956</v>
      </c>
      <c r="S115" s="760">
        <f>(1-DataUK2!C118)*DataUK2!B118</f>
        <v>36421.156000000003</v>
      </c>
      <c r="T115" s="761">
        <f>DataUK2!E118</f>
        <v>23836</v>
      </c>
    </row>
    <row r="116" spans="1:20">
      <c r="A116" s="126">
        <f t="shared" si="23"/>
        <v>1960</v>
      </c>
      <c r="B116" s="278">
        <f>DataUK1!B119/1000</f>
        <v>24.103999999999999</v>
      </c>
      <c r="C116" s="277">
        <f>AVERAGE(DataUK3!B119:B120)/1000</f>
        <v>73.113539907407414</v>
      </c>
      <c r="D116" s="129">
        <f>B116*DataUK1!$HU$169/DataUK1!$HU119</f>
        <v>419.81133333333332</v>
      </c>
      <c r="E116" s="128">
        <f>C116*DataUK1!$HU$169/DataUK1!$HU119</f>
        <v>1273.3941533873458</v>
      </c>
      <c r="F116" s="130">
        <f t="shared" ref="F116:F165" si="24">1000000*B116/$R116</f>
        <v>460.24593294126635</v>
      </c>
      <c r="G116" s="790">
        <f t="shared" ref="G116:G165" si="25">1000000*C116/$R116</f>
        <v>1396.0425400482588</v>
      </c>
      <c r="H116" s="131">
        <f t="shared" ref="H116:H165" si="26">1000000*B116/$S116</f>
        <v>656.55625241264806</v>
      </c>
      <c r="I116" s="132">
        <f t="shared" ref="I116:I165" si="27">1000000*C116/$S116</f>
        <v>1991.5014836637072</v>
      </c>
      <c r="J116" s="133">
        <f t="shared" ref="J116:J165" si="28">1000000*D116/$R116</f>
        <v>8015.9499987270547</v>
      </c>
      <c r="K116" s="133">
        <f t="shared" ref="K116:K165" si="29">1000000*E116/$R116</f>
        <v>24314.407572507174</v>
      </c>
      <c r="L116" s="131">
        <f t="shared" ref="L116:L165" si="30">1000000*D116/$S116</f>
        <v>11435.021396186952</v>
      </c>
      <c r="M116" s="132">
        <f t="shared" ref="M116:M165" si="31">1000000*E116/$S116</f>
        <v>34685.3175071429</v>
      </c>
      <c r="N116" s="134">
        <f t="shared" ref="N116:N147" si="32">C116/B116</f>
        <v>3.0332533980836134</v>
      </c>
      <c r="O116" s="1724">
        <f>DataUK1!EY119/DataUK1!B119</f>
        <v>0.81351178561630244</v>
      </c>
      <c r="P116" s="136">
        <f t="shared" si="21"/>
        <v>9302.5246745726708</v>
      </c>
      <c r="Q116" s="764">
        <f t="shared" si="22"/>
        <v>3.7285918307694499</v>
      </c>
      <c r="R116" s="772">
        <f>DataUK2!B119</f>
        <v>52372</v>
      </c>
      <c r="S116" s="310">
        <f>(1-DataUK2!C119)*DataUK2!B119</f>
        <v>36712.772000000004</v>
      </c>
      <c r="T116" s="525">
        <f>DataUK2!E119</f>
        <v>23699.46</v>
      </c>
    </row>
    <row r="117" spans="1:20">
      <c r="A117" s="126">
        <f t="shared" si="23"/>
        <v>1961</v>
      </c>
      <c r="B117" s="278">
        <f>DataUK1!B120/1000</f>
        <v>25.447999999999997</v>
      </c>
      <c r="C117" s="277">
        <f>AVERAGE(DataUK3!B120:B121)/1000</f>
        <v>78.560483679715546</v>
      </c>
      <c r="D117" s="129">
        <f>B117*DataUK1!$HU$169/DataUK1!$HU120</f>
        <v>435.95344262295083</v>
      </c>
      <c r="E117" s="128">
        <f>C117*DataUK1!$HU$169/DataUK1!$HU120</f>
        <v>1345.8312368082418</v>
      </c>
      <c r="F117" s="130">
        <f t="shared" si="24"/>
        <v>481.90580794212883</v>
      </c>
      <c r="G117" s="790">
        <f t="shared" si="25"/>
        <v>1487.6907167556487</v>
      </c>
      <c r="H117" s="131">
        <f t="shared" si="26"/>
        <v>692.39340221570239</v>
      </c>
      <c r="I117" s="132">
        <f t="shared" si="27"/>
        <v>2137.4866620052426</v>
      </c>
      <c r="J117" s="133">
        <f t="shared" si="28"/>
        <v>8255.5994967135193</v>
      </c>
      <c r="K117" s="133">
        <f t="shared" si="29"/>
        <v>25485.849164092673</v>
      </c>
      <c r="L117" s="131">
        <f t="shared" si="30"/>
        <v>11861.493529760804</v>
      </c>
      <c r="M117" s="132">
        <f t="shared" si="31"/>
        <v>36617.599373696372</v>
      </c>
      <c r="N117" s="134">
        <f t="shared" si="32"/>
        <v>3.0870985413280239</v>
      </c>
      <c r="O117" s="1724">
        <f>DataUK1!EY120/DataUK1!B120</f>
        <v>0.80696109008304917</v>
      </c>
      <c r="P117" s="136">
        <f t="shared" ref="P117:P148" si="33">L117*O117</f>
        <v>9571.7637487888132</v>
      </c>
      <c r="Q117" s="764">
        <f t="shared" si="22"/>
        <v>3.8255853711736116</v>
      </c>
      <c r="R117" s="296">
        <f>DataUK2!B120</f>
        <v>52807</v>
      </c>
      <c r="S117" s="170">
        <f>(1-DataUK2!C120)*DataUK2!B120</f>
        <v>36753.671999999999</v>
      </c>
      <c r="T117" s="354">
        <f>DataUK2!E120</f>
        <v>24025.935000000001</v>
      </c>
    </row>
    <row r="118" spans="1:20">
      <c r="A118" s="126">
        <f t="shared" si="23"/>
        <v>1962</v>
      </c>
      <c r="B118" s="278">
        <f>DataUK1!B121/1000</f>
        <v>26.853999999999999</v>
      </c>
      <c r="C118" s="277">
        <f>AVERAGE(DataUK3!B121:B122)/1000</f>
        <v>84.714661657303083</v>
      </c>
      <c r="D118" s="129">
        <f>B118*DataUK1!$HU$169/DataUK1!$HU121</f>
        <v>438.47546874999995</v>
      </c>
      <c r="E118" s="128">
        <f>C118*DataUK1!$HU$169/DataUK1!$HU121</f>
        <v>1383.2315848731519</v>
      </c>
      <c r="F118" s="130">
        <f t="shared" si="24"/>
        <v>503.90302484425428</v>
      </c>
      <c r="G118" s="790">
        <f t="shared" si="25"/>
        <v>1589.6318707742828</v>
      </c>
      <c r="H118" s="131">
        <f t="shared" si="26"/>
        <v>728.18356191366229</v>
      </c>
      <c r="I118" s="132">
        <f t="shared" si="27"/>
        <v>2297.1558826217961</v>
      </c>
      <c r="J118" s="133">
        <f t="shared" si="28"/>
        <v>8227.7915775350884</v>
      </c>
      <c r="K118" s="133">
        <f t="shared" si="29"/>
        <v>25955.707889986334</v>
      </c>
      <c r="L118" s="131">
        <f t="shared" si="30"/>
        <v>11889.872221871516</v>
      </c>
      <c r="M118" s="132">
        <f t="shared" si="31"/>
        <v>37508.24839593401</v>
      </c>
      <c r="N118" s="134">
        <f t="shared" si="32"/>
        <v>3.1546384768490014</v>
      </c>
      <c r="O118" s="1724">
        <f>DataUK1!EY121/DataUK1!B121</f>
        <v>0.79276478058973177</v>
      </c>
      <c r="P118" s="136">
        <f t="shared" si="33"/>
        <v>9425.8719432119178</v>
      </c>
      <c r="Q118" s="764">
        <f t="shared" si="22"/>
        <v>3.9792868629989964</v>
      </c>
      <c r="R118" s="296">
        <f>DataUK2!B121</f>
        <v>53292</v>
      </c>
      <c r="S118" s="170">
        <f>(1-DataUK2!C121)*DataUK2!B121</f>
        <v>36878.063999999998</v>
      </c>
      <c r="T118" s="354">
        <f>DataUK2!E121</f>
        <v>24232.235000000001</v>
      </c>
    </row>
    <row r="119" spans="1:20">
      <c r="A119" s="126">
        <f t="shared" si="23"/>
        <v>1963</v>
      </c>
      <c r="B119" s="278">
        <f>DataUK1!B122/1000</f>
        <v>28.001999999999999</v>
      </c>
      <c r="C119" s="277">
        <f>AVERAGE(DataUK3!B122:B123)/1000</f>
        <v>92.940798746339141</v>
      </c>
      <c r="D119" s="129">
        <f>B119*DataUK1!$HU$169/DataUK1!$HU122</f>
        <v>450.18599999999998</v>
      </c>
      <c r="E119" s="128">
        <f>C119*DataUK1!$HU$169/DataUK1!$HU122</f>
        <v>1494.2020721526833</v>
      </c>
      <c r="F119" s="130">
        <f t="shared" si="24"/>
        <v>522.18181818181813</v>
      </c>
      <c r="G119" s="790">
        <f t="shared" si="25"/>
        <v>1733.1617481834805</v>
      </c>
      <c r="H119" s="131">
        <f t="shared" si="26"/>
        <v>754.59800315291648</v>
      </c>
      <c r="I119" s="132">
        <f t="shared" si="27"/>
        <v>2504.5690002651454</v>
      </c>
      <c r="J119" s="133">
        <f t="shared" si="28"/>
        <v>8395.0769230769238</v>
      </c>
      <c r="K119" s="133">
        <f t="shared" si="29"/>
        <v>27863.908105411341</v>
      </c>
      <c r="L119" s="131">
        <f t="shared" si="30"/>
        <v>12131.614050689195</v>
      </c>
      <c r="M119" s="132">
        <f t="shared" si="31"/>
        <v>40265.763158108879</v>
      </c>
      <c r="N119" s="134">
        <f t="shared" si="32"/>
        <v>3.3190771640003982</v>
      </c>
      <c r="O119" s="1724">
        <f>DataUK1!EY122/DataUK1!B122</f>
        <v>0.79547889436468822</v>
      </c>
      <c r="P119" s="136">
        <f t="shared" si="33"/>
        <v>9650.442931901358</v>
      </c>
      <c r="Q119" s="764">
        <f t="shared" ref="Q119:Q166" si="34">N119/O119</f>
        <v>4.1724264308120835</v>
      </c>
      <c r="R119" s="296">
        <f>DataUK2!B122</f>
        <v>53625</v>
      </c>
      <c r="S119" s="170">
        <f>(1-DataUK2!C122)*DataUK2!B122</f>
        <v>37108.5</v>
      </c>
      <c r="T119" s="354">
        <f>DataUK2!E122</f>
        <v>24275.297999999999</v>
      </c>
    </row>
    <row r="120" spans="1:20">
      <c r="A120" s="126">
        <f t="shared" si="23"/>
        <v>1964</v>
      </c>
      <c r="B120" s="278">
        <f>DataUK1!B123/1000</f>
        <v>30.527000000000001</v>
      </c>
      <c r="C120" s="277">
        <f>AVERAGE(DataUK3!B123:B124)/1000</f>
        <v>98.08661135770474</v>
      </c>
      <c r="D120" s="129">
        <f>B120*DataUK1!$HU$169/DataUK1!$HU123</f>
        <v>476.13007462686568</v>
      </c>
      <c r="E120" s="128">
        <f>C120*DataUK1!$HU$169/DataUK1!$HU123</f>
        <v>1529.8583413253948</v>
      </c>
      <c r="F120" s="130">
        <f t="shared" si="24"/>
        <v>565.40904965642426</v>
      </c>
      <c r="G120" s="790">
        <f t="shared" si="25"/>
        <v>1816.7215157656785</v>
      </c>
      <c r="H120" s="131">
        <f t="shared" si="26"/>
        <v>819.43340529916566</v>
      </c>
      <c r="I120" s="132">
        <f t="shared" si="27"/>
        <v>2632.9297329937372</v>
      </c>
      <c r="J120" s="133">
        <f t="shared" si="28"/>
        <v>8818.6933864322891</v>
      </c>
      <c r="K120" s="133">
        <f t="shared" si="29"/>
        <v>28335.43259664379</v>
      </c>
      <c r="L120" s="131">
        <f t="shared" si="30"/>
        <v>12780.71505280042</v>
      </c>
      <c r="M120" s="132">
        <f t="shared" si="31"/>
        <v>41065.844342962024</v>
      </c>
      <c r="N120" s="134">
        <f t="shared" si="32"/>
        <v>3.2131100782161606</v>
      </c>
      <c r="O120" s="1724">
        <f>DataUK1!EY123/DataUK1!B123</f>
        <v>0.78959609525993379</v>
      </c>
      <c r="P120" s="136">
        <f t="shared" si="33"/>
        <v>10091.602700321071</v>
      </c>
      <c r="Q120" s="764">
        <f t="shared" si="34"/>
        <v>4.0693084698682682</v>
      </c>
      <c r="R120" s="296">
        <f>DataUK2!B123</f>
        <v>53991</v>
      </c>
      <c r="S120" s="170">
        <f>(1-DataUK2!C123)*DataUK2!B123</f>
        <v>37253.789999999994</v>
      </c>
      <c r="T120" s="354">
        <f>DataUK2!E123</f>
        <v>24567.723000000002</v>
      </c>
    </row>
    <row r="121" spans="1:20">
      <c r="A121" s="126">
        <f t="shared" si="23"/>
        <v>1965</v>
      </c>
      <c r="B121" s="278">
        <f>DataUK1!B124/1000</f>
        <v>33.006</v>
      </c>
      <c r="C121" s="277">
        <f>AVERAGE(DataUK3!B124:B125)/1000</f>
        <v>101.69320965869827</v>
      </c>
      <c r="D121" s="129">
        <f>B121*DataUK1!$HU$169/DataUK1!$HU124</f>
        <v>485.79253521126765</v>
      </c>
      <c r="E121" s="128">
        <f>C121*DataUK1!$HU$169/DataUK1!$HU124</f>
        <v>1496.7521703287282</v>
      </c>
      <c r="F121" s="130">
        <f t="shared" si="24"/>
        <v>607.28610855565773</v>
      </c>
      <c r="G121" s="790">
        <f t="shared" si="25"/>
        <v>1871.0802145114676</v>
      </c>
      <c r="H121" s="131">
        <f t="shared" si="26"/>
        <v>880.12479500819973</v>
      </c>
      <c r="I121" s="132">
        <f t="shared" si="27"/>
        <v>2711.7104558137212</v>
      </c>
      <c r="J121" s="133">
        <f t="shared" si="28"/>
        <v>8938.2251188825703</v>
      </c>
      <c r="K121" s="133">
        <f t="shared" si="29"/>
        <v>27539.138368513857</v>
      </c>
      <c r="L121" s="131">
        <f t="shared" si="30"/>
        <v>12953.949447655898</v>
      </c>
      <c r="M121" s="132">
        <f t="shared" si="31"/>
        <v>39911.794736976604</v>
      </c>
      <c r="N121" s="134">
        <f t="shared" si="32"/>
        <v>3.0810522225867496</v>
      </c>
      <c r="O121" s="1724">
        <f>DataUK1!EY124/DataUK1!B124</f>
        <v>0.78007029025025754</v>
      </c>
      <c r="P121" s="136">
        <f t="shared" si="33"/>
        <v>10104.991105520099</v>
      </c>
      <c r="Q121" s="764">
        <f t="shared" si="34"/>
        <v>3.9497110210392767</v>
      </c>
      <c r="R121" s="296">
        <f>DataUK2!B124</f>
        <v>54350</v>
      </c>
      <c r="S121" s="170">
        <f>(1-DataUK2!C124)*DataUK2!B124</f>
        <v>37501.5</v>
      </c>
      <c r="T121" s="354">
        <f>DataUK2!E124</f>
        <v>24817.084999999999</v>
      </c>
    </row>
    <row r="122" spans="1:20">
      <c r="A122" s="126">
        <f t="shared" si="23"/>
        <v>1966</v>
      </c>
      <c r="B122" s="278">
        <f>DataUK1!B125/1000</f>
        <v>34.912999999999997</v>
      </c>
      <c r="C122" s="277">
        <f>AVERAGE(DataUK3!B125:B126)/1000</f>
        <v>108.61498610617249</v>
      </c>
      <c r="D122" s="129">
        <f>B122*DataUK1!$HU$169/DataUK1!$HU125</f>
        <v>493.02817567567558</v>
      </c>
      <c r="E122" s="128">
        <f>C122*DataUK1!$HU$169/DataUK1!$HU125</f>
        <v>1533.8197362290573</v>
      </c>
      <c r="F122" s="130">
        <f t="shared" si="24"/>
        <v>638.92904855150709</v>
      </c>
      <c r="G122" s="790">
        <f t="shared" si="25"/>
        <v>1987.7200392762568</v>
      </c>
      <c r="H122" s="131">
        <f t="shared" si="26"/>
        <v>928.67594266207425</v>
      </c>
      <c r="I122" s="132">
        <f t="shared" si="27"/>
        <v>2889.127964064327</v>
      </c>
      <c r="J122" s="133">
        <f t="shared" si="28"/>
        <v>9022.7142667070912</v>
      </c>
      <c r="K122" s="133">
        <f t="shared" si="29"/>
        <v>28069.830284374162</v>
      </c>
      <c r="L122" s="131">
        <f t="shared" si="30"/>
        <v>13114.410271376586</v>
      </c>
      <c r="M122" s="132">
        <f t="shared" si="31"/>
        <v>40799.171924962444</v>
      </c>
      <c r="N122" s="134">
        <f t="shared" si="32"/>
        <v>3.111018420249549</v>
      </c>
      <c r="O122" s="1724">
        <f>DataUK1!EY125/DataUK1!B125</f>
        <v>0.76547417867270073</v>
      </c>
      <c r="P122" s="136">
        <f t="shared" si="33"/>
        <v>10038.742431258823</v>
      </c>
      <c r="Q122" s="764">
        <f t="shared" si="34"/>
        <v>4.0641716035985969</v>
      </c>
      <c r="R122" s="296">
        <f>DataUK2!B125</f>
        <v>54643</v>
      </c>
      <c r="S122" s="170">
        <f>(1-DataUK2!C125)*DataUK2!B125</f>
        <v>37594.383999999998</v>
      </c>
      <c r="T122" s="354">
        <f>DataUK2!E125</f>
        <v>24974.313999999998</v>
      </c>
    </row>
    <row r="123" spans="1:20">
      <c r="A123" s="126">
        <f t="shared" si="23"/>
        <v>1967</v>
      </c>
      <c r="B123" s="278">
        <f>DataUK1!B126/1000</f>
        <v>36.658999999999999</v>
      </c>
      <c r="C123" s="277">
        <f>AVERAGE(DataUK3!B126:B127)/1000</f>
        <v>115.5554241357483</v>
      </c>
      <c r="D123" s="129">
        <f>B123*DataUK1!$HU$169/DataUK1!$HU126</f>
        <v>504.06125000000003</v>
      </c>
      <c r="E123" s="128">
        <f>C123*DataUK1!$HU$169/DataUK1!$HU126</f>
        <v>1588.8870818665391</v>
      </c>
      <c r="F123" s="130">
        <f t="shared" si="24"/>
        <v>667.02450917957026</v>
      </c>
      <c r="G123" s="790">
        <f t="shared" si="25"/>
        <v>2102.5750857138646</v>
      </c>
      <c r="H123" s="131">
        <f t="shared" si="26"/>
        <v>969.5123679935615</v>
      </c>
      <c r="I123" s="132">
        <f t="shared" si="27"/>
        <v>3056.0684385375948</v>
      </c>
      <c r="J123" s="133">
        <f t="shared" si="28"/>
        <v>9171.5870012190899</v>
      </c>
      <c r="K123" s="133">
        <f t="shared" si="29"/>
        <v>28910.407428565639</v>
      </c>
      <c r="L123" s="131">
        <f t="shared" si="30"/>
        <v>13330.79505991147</v>
      </c>
      <c r="M123" s="132">
        <f t="shared" si="31"/>
        <v>42020.941029891925</v>
      </c>
      <c r="N123" s="134">
        <f t="shared" si="32"/>
        <v>3.1521706575669906</v>
      </c>
      <c r="O123" s="1724">
        <f>DataUK1!EY126/DataUK1!B126</f>
        <v>0.75588532147630871</v>
      </c>
      <c r="P123" s="136">
        <f t="shared" si="33"/>
        <v>10076.552309395969</v>
      </c>
      <c r="Q123" s="764">
        <f t="shared" si="34"/>
        <v>4.1701704848700221</v>
      </c>
      <c r="R123" s="296">
        <f>DataUK2!B126</f>
        <v>54959</v>
      </c>
      <c r="S123" s="170">
        <f>(1-DataUK2!C126)*DataUK2!B126</f>
        <v>37811.791999999994</v>
      </c>
      <c r="T123" s="354">
        <f>DataUK2!E126</f>
        <v>24610.786</v>
      </c>
    </row>
    <row r="124" spans="1:20">
      <c r="A124" s="126">
        <f t="shared" si="23"/>
        <v>1968</v>
      </c>
      <c r="B124" s="278">
        <f>DataUK1!B127/1000</f>
        <v>39.595999999999997</v>
      </c>
      <c r="C124" s="277">
        <f>AVERAGE(DataUK3!B127:B128)/1000</f>
        <v>122.79533926776534</v>
      </c>
      <c r="D124" s="129">
        <f>B124*DataUK1!$HU$169/DataUK1!$HU127</f>
        <v>523.76987341772144</v>
      </c>
      <c r="E124" s="128">
        <f>C124*DataUK1!$HU$169/DataUK1!$HU127</f>
        <v>1624.3180953774024</v>
      </c>
      <c r="F124" s="130">
        <f t="shared" si="24"/>
        <v>717.13695801789402</v>
      </c>
      <c r="G124" s="790">
        <f t="shared" si="25"/>
        <v>2223.9891923744945</v>
      </c>
      <c r="H124" s="131">
        <f t="shared" si="26"/>
        <v>1039.3289246636145</v>
      </c>
      <c r="I124" s="132">
        <f t="shared" si="27"/>
        <v>3223.1727425717318</v>
      </c>
      <c r="J124" s="133">
        <f t="shared" si="28"/>
        <v>9486.1787484645465</v>
      </c>
      <c r="K124" s="133">
        <f t="shared" si="29"/>
        <v>29418.591215586668</v>
      </c>
      <c r="L124" s="131">
        <f t="shared" si="30"/>
        <v>13748.085142702243</v>
      </c>
      <c r="M124" s="132">
        <f t="shared" si="31"/>
        <v>42635.639442879234</v>
      </c>
      <c r="N124" s="134">
        <f t="shared" si="32"/>
        <v>3.1012056588485035</v>
      </c>
      <c r="O124" s="1724">
        <f>DataUK1!EY127/DataUK1!B127</f>
        <v>0.74686837054247901</v>
      </c>
      <c r="P124" s="136">
        <f t="shared" si="33"/>
        <v>10268.009948609289</v>
      </c>
      <c r="Q124" s="764">
        <f t="shared" si="34"/>
        <v>4.1522787430347057</v>
      </c>
      <c r="R124" s="296">
        <f>DataUK2!B127</f>
        <v>55214</v>
      </c>
      <c r="S124" s="170">
        <f>(1-DataUK2!C127)*DataUK2!B127</f>
        <v>38097.659999999996</v>
      </c>
      <c r="T124" s="354">
        <f>DataUK2!E127</f>
        <v>24476.59</v>
      </c>
    </row>
    <row r="125" spans="1:20">
      <c r="A125" s="145">
        <f t="shared" si="23"/>
        <v>1969</v>
      </c>
      <c r="B125" s="279">
        <f>DataUK1!B128/1000</f>
        <v>43.216999999999999</v>
      </c>
      <c r="C125" s="280">
        <f>AVERAGE(DataUK3!B128:B129)/1000</f>
        <v>130.98032911046533</v>
      </c>
      <c r="D125" s="146">
        <f>B125*DataUK1!$HU$169/DataUK1!$HU128</f>
        <v>537.64005952380944</v>
      </c>
      <c r="E125" s="759">
        <f>C125*DataUK1!$HU$169/DataUK1!$HU128</f>
        <v>1629.4576657194793</v>
      </c>
      <c r="F125" s="147">
        <f t="shared" si="24"/>
        <v>779.23225329510831</v>
      </c>
      <c r="G125" s="791">
        <f t="shared" si="25"/>
        <v>2361.6654786330096</v>
      </c>
      <c r="H125" s="148">
        <f t="shared" si="26"/>
        <v>1129.3221062247947</v>
      </c>
      <c r="I125" s="149">
        <f t="shared" si="27"/>
        <v>3422.7035922217528</v>
      </c>
      <c r="J125" s="150">
        <f t="shared" si="28"/>
        <v>9694.0202939689043</v>
      </c>
      <c r="K125" s="150">
        <f t="shared" si="29"/>
        <v>29380.243156803506</v>
      </c>
      <c r="L125" s="148">
        <f t="shared" si="30"/>
        <v>14049.30477386798</v>
      </c>
      <c r="M125" s="149">
        <f t="shared" si="31"/>
        <v>42580.062546092042</v>
      </c>
      <c r="N125" s="151">
        <f t="shared" si="32"/>
        <v>3.0307594027920803</v>
      </c>
      <c r="O125" s="1726">
        <f>DataUK1!EY128/DataUK1!B128</f>
        <v>0.72934261980239257</v>
      </c>
      <c r="P125" s="153">
        <f t="shared" si="33"/>
        <v>10246.756750175133</v>
      </c>
      <c r="Q125" s="765">
        <f t="shared" si="34"/>
        <v>4.1554672941137483</v>
      </c>
      <c r="R125" s="297">
        <f>DataUK2!B128</f>
        <v>55461</v>
      </c>
      <c r="S125" s="257">
        <f>(1-DataUK2!C128)*DataUK2!B128</f>
        <v>38268.089999999997</v>
      </c>
      <c r="T125" s="775">
        <f>DataUK2!E128</f>
        <v>24512.643</v>
      </c>
    </row>
    <row r="126" spans="1:20">
      <c r="A126" s="126">
        <f t="shared" si="23"/>
        <v>1970</v>
      </c>
      <c r="B126" s="278">
        <f>DataUK1!B129/1000</f>
        <v>47.384</v>
      </c>
      <c r="C126" s="277">
        <f>AVERAGE(DataUK3!B129:B130)/1000</f>
        <v>144.80837835326912</v>
      </c>
      <c r="D126" s="129">
        <f>B126*DataUK1!$HU$169/DataUK1!$HU129</f>
        <v>550.18088888888883</v>
      </c>
      <c r="E126" s="128">
        <f>C126*DataUK1!$HU$169/DataUK1!$HU129</f>
        <v>1681.3861708796248</v>
      </c>
      <c r="F126" s="130">
        <f t="shared" si="24"/>
        <v>851.74000575208515</v>
      </c>
      <c r="G126" s="790">
        <f t="shared" si="25"/>
        <v>2602.9691248430604</v>
      </c>
      <c r="H126" s="131">
        <f t="shared" si="26"/>
        <v>1234.4058054378047</v>
      </c>
      <c r="I126" s="132">
        <f t="shared" si="27"/>
        <v>3772.4190215116823</v>
      </c>
      <c r="J126" s="133">
        <f t="shared" si="28"/>
        <v>9889.6478445658759</v>
      </c>
      <c r="K126" s="133">
        <f t="shared" si="29"/>
        <v>30223.363727344422</v>
      </c>
      <c r="L126" s="131">
        <f t="shared" si="30"/>
        <v>14332.822963138953</v>
      </c>
      <c r="M126" s="132">
        <f t="shared" si="31"/>
        <v>43801.976416441197</v>
      </c>
      <c r="N126" s="134">
        <f t="shared" si="32"/>
        <v>3.0560606608405605</v>
      </c>
      <c r="O126" s="1724">
        <f>DataUK1!EY129/DataUK1!B129</f>
        <v>0.71986324497720755</v>
      </c>
      <c r="P126" s="136">
        <f t="shared" si="33"/>
        <v>10317.672447929042</v>
      </c>
      <c r="Q126" s="764">
        <f t="shared" si="34"/>
        <v>4.2453350440712141</v>
      </c>
      <c r="R126" s="296">
        <f>DataUK2!B129</f>
        <v>55632</v>
      </c>
      <c r="S126" s="170">
        <f>(1-DataUK2!C129)*DataUK2!B129</f>
        <v>38386.079999999994</v>
      </c>
      <c r="T126" s="354">
        <f>DataUK2!E129</f>
        <v>24416.503000000001</v>
      </c>
    </row>
    <row r="127" spans="1:20">
      <c r="A127" s="126">
        <v>1971</v>
      </c>
      <c r="B127" s="278">
        <f>DataUK1!B130/1000</f>
        <v>51.948</v>
      </c>
      <c r="C127" s="277">
        <f>AVERAGE(DataUK3!B130:B131)/1000</f>
        <v>170.46019922308531</v>
      </c>
      <c r="D127" s="129">
        <f>B127*DataUK1!$HU$169/DataUK1!$HU130</f>
        <v>553.93530612244888</v>
      </c>
      <c r="E127" s="128">
        <f>C127*DataUK1!$HU$169/DataUK1!$HU130</f>
        <v>1817.6623284502464</v>
      </c>
      <c r="F127" s="130">
        <f t="shared" si="24"/>
        <v>928.83707624088117</v>
      </c>
      <c r="G127" s="790">
        <f t="shared" si="25"/>
        <v>3047.8507942906112</v>
      </c>
      <c r="H127" s="131">
        <f t="shared" si="26"/>
        <v>1346.1406902041756</v>
      </c>
      <c r="I127" s="132">
        <f t="shared" si="27"/>
        <v>4417.1750641892922</v>
      </c>
      <c r="J127" s="133">
        <f t="shared" si="28"/>
        <v>9904.4361701195994</v>
      </c>
      <c r="K127" s="133">
        <f t="shared" si="29"/>
        <v>32500.041632996825</v>
      </c>
      <c r="L127" s="131">
        <f t="shared" si="30"/>
        <v>14354.255319013912</v>
      </c>
      <c r="M127" s="132">
        <f t="shared" si="31"/>
        <v>47101.509613038877</v>
      </c>
      <c r="N127" s="134">
        <f t="shared" si="32"/>
        <v>3.2813621164065085</v>
      </c>
      <c r="O127" s="1724">
        <f>DataUK1!EY130/DataUK1!B130</f>
        <v>0.72974897974897979</v>
      </c>
      <c r="P127" s="136">
        <f t="shared" si="33"/>
        <v>10475.003174106769</v>
      </c>
      <c r="Q127" s="764">
        <f t="shared" si="34"/>
        <v>4.4965628009993743</v>
      </c>
      <c r="R127" s="296">
        <f>DataUK2!B130</f>
        <v>55928</v>
      </c>
      <c r="S127" s="170">
        <f>(1-DataUK2!C130)*DataUK2!B130</f>
        <v>38590.32</v>
      </c>
      <c r="T127" s="354">
        <f>DataUK2!E130</f>
        <v>24200.187999999998</v>
      </c>
    </row>
    <row r="128" spans="1:20">
      <c r="A128" s="126">
        <v>1972</v>
      </c>
      <c r="B128" s="278">
        <f>DataUK1!B131/1000</f>
        <v>58.063000000000002</v>
      </c>
      <c r="C128" s="277">
        <f>AVERAGE(DataUK3!B131:B132)/1000</f>
        <v>205.26274160813341</v>
      </c>
      <c r="D128" s="129">
        <f>B128*DataUK1!$HU$169/DataUK1!$HU131</f>
        <v>572.4135377358491</v>
      </c>
      <c r="E128" s="128">
        <f>C128*DataUK1!$HU$169/DataUK1!$HU131</f>
        <v>2023.5808017028248</v>
      </c>
      <c r="F128" s="130">
        <f t="shared" si="24"/>
        <v>1035.0464374208959</v>
      </c>
      <c r="G128" s="790">
        <f t="shared" si="25"/>
        <v>3659.0680715213543</v>
      </c>
      <c r="H128" s="131">
        <f t="shared" si="26"/>
        <v>1500.0673006099942</v>
      </c>
      <c r="I128" s="132">
        <f t="shared" si="27"/>
        <v>5302.9972051034119</v>
      </c>
      <c r="J128" s="133">
        <f t="shared" si="28"/>
        <v>10203.995538724872</v>
      </c>
      <c r="K128" s="133">
        <f t="shared" si="29"/>
        <v>36072.888063583167</v>
      </c>
      <c r="L128" s="131">
        <f t="shared" si="30"/>
        <v>14788.399331485321</v>
      </c>
      <c r="M128" s="132">
        <f t="shared" si="31"/>
        <v>52279.547918236472</v>
      </c>
      <c r="N128" s="134">
        <f t="shared" si="32"/>
        <v>3.5351728572091248</v>
      </c>
      <c r="O128" s="1724">
        <f>DataUK1!EY131/DataUK1!B131</f>
        <v>0.75741866593183271</v>
      </c>
      <c r="P128" s="136">
        <f t="shared" si="33"/>
        <v>11201.009692920819</v>
      </c>
      <c r="Q128" s="764">
        <f t="shared" si="34"/>
        <v>4.6673960072793985</v>
      </c>
      <c r="R128" s="296">
        <f>DataUK2!B131</f>
        <v>56097</v>
      </c>
      <c r="S128" s="170">
        <f>(1-DataUK2!C131)*DataUK2!B131</f>
        <v>38706.93</v>
      </c>
      <c r="T128" s="354">
        <f>DataUK2!E131</f>
        <v>24168.142</v>
      </c>
    </row>
    <row r="129" spans="1:20">
      <c r="A129" s="126">
        <v>1973</v>
      </c>
      <c r="B129" s="278">
        <f>DataUK1!B132/1000</f>
        <v>67.055999999999997</v>
      </c>
      <c r="C129" s="277">
        <f>AVERAGE(DataUK3!B132:B133)/1000</f>
        <v>228.09411064814816</v>
      </c>
      <c r="D129" s="129">
        <f>B129*DataUK1!$HU$169/DataUK1!$HU132</f>
        <v>614.67999999999995</v>
      </c>
      <c r="E129" s="128">
        <f>C129*DataUK1!$HU$169/DataUK1!$HU132</f>
        <v>2090.8626809413581</v>
      </c>
      <c r="F129" s="130">
        <f t="shared" si="24"/>
        <v>1192.6791526599434</v>
      </c>
      <c r="G129" s="790">
        <f t="shared" si="25"/>
        <v>4056.9537493223083</v>
      </c>
      <c r="H129" s="131">
        <f t="shared" si="26"/>
        <v>1728.5205111013674</v>
      </c>
      <c r="I129" s="132">
        <f t="shared" si="27"/>
        <v>5879.6431149598684</v>
      </c>
      <c r="J129" s="133">
        <f t="shared" si="28"/>
        <v>10932.892232716149</v>
      </c>
      <c r="K129" s="133">
        <f t="shared" si="29"/>
        <v>37188.742702121162</v>
      </c>
      <c r="L129" s="131">
        <f t="shared" si="30"/>
        <v>15844.771351762536</v>
      </c>
      <c r="M129" s="132">
        <f t="shared" si="31"/>
        <v>53896.728553798792</v>
      </c>
      <c r="N129" s="134">
        <f t="shared" si="32"/>
        <v>3.4015466274181008</v>
      </c>
      <c r="O129" s="1724">
        <f>DataUK1!EY132/DataUK1!B132</f>
        <v>0.77046051061799092</v>
      </c>
      <c r="P129" s="136">
        <f t="shared" si="33"/>
        <v>12207.770626304278</v>
      </c>
      <c r="Q129" s="764">
        <f t="shared" si="34"/>
        <v>4.4149525907430354</v>
      </c>
      <c r="R129" s="296">
        <f>DataUK2!B132</f>
        <v>56223</v>
      </c>
      <c r="S129" s="170">
        <f>(1-DataUK2!C132)*DataUK2!B132</f>
        <v>38793.869999999995</v>
      </c>
      <c r="T129" s="354">
        <f>DataUK2!E132</f>
        <v>24621.802</v>
      </c>
    </row>
    <row r="130" spans="1:20">
      <c r="A130" s="126">
        <v>1974</v>
      </c>
      <c r="B130" s="278">
        <f>DataUK1!B133/1000</f>
        <v>74.313999999999993</v>
      </c>
      <c r="C130" s="277">
        <f>AVERAGE(DataUK3!B133:B134)/1000</f>
        <v>250.70221657407407</v>
      </c>
      <c r="D130" s="129">
        <f>B130*DataUK1!$HU$169/DataUK1!$HU133</f>
        <v>592.81015267175565</v>
      </c>
      <c r="E130" s="128">
        <f>C130*DataUK1!$HU$169/DataUK1!$HU133</f>
        <v>1999.8764604573087</v>
      </c>
      <c r="F130" s="130">
        <f t="shared" si="24"/>
        <v>1321.4666761505086</v>
      </c>
      <c r="G130" s="790">
        <f t="shared" si="25"/>
        <v>4458.0378507374999</v>
      </c>
      <c r="H130" s="131">
        <f t="shared" si="26"/>
        <v>1912.3975052829358</v>
      </c>
      <c r="I130" s="132">
        <f t="shared" si="27"/>
        <v>6451.5743136577421</v>
      </c>
      <c r="J130" s="133">
        <f t="shared" si="28"/>
        <v>10541.470813567033</v>
      </c>
      <c r="K130" s="133">
        <f t="shared" si="29"/>
        <v>35562.210336035794</v>
      </c>
      <c r="L130" s="131">
        <f t="shared" si="30"/>
        <v>15255.38467954708</v>
      </c>
      <c r="M130" s="132">
        <f t="shared" si="31"/>
        <v>51464.848532613301</v>
      </c>
      <c r="N130" s="134">
        <f t="shared" si="32"/>
        <v>3.3735529856295461</v>
      </c>
      <c r="O130" s="1724">
        <f>DataUK1!EY133/DataUK1!B133</f>
        <v>0.75385526280377857</v>
      </c>
      <c r="P130" s="136">
        <f t="shared" si="33"/>
        <v>11500.352026772702</v>
      </c>
      <c r="Q130" s="764">
        <f t="shared" si="34"/>
        <v>4.4750672338380291</v>
      </c>
      <c r="R130" s="296">
        <f>DataUK2!B133</f>
        <v>56236</v>
      </c>
      <c r="S130" s="170">
        <f>(1-DataUK2!C133)*DataUK2!B133</f>
        <v>38859.076000000001</v>
      </c>
      <c r="T130" s="354">
        <f>DataUK2!E133</f>
        <v>24773.021000000001</v>
      </c>
    </row>
    <row r="131" spans="1:20">
      <c r="A131" s="126">
        <v>1975</v>
      </c>
      <c r="B131" s="278">
        <f>DataUK1!B134/1000</f>
        <v>93.094999999999999</v>
      </c>
      <c r="C131" s="277">
        <f>AVERAGE(DataUK3!B134:B135)/1000</f>
        <v>280.39243763775369</v>
      </c>
      <c r="D131" s="129">
        <f>B131*DataUK1!$HU$169/DataUK1!$HU134</f>
        <v>582.54056886227545</v>
      </c>
      <c r="E131" s="128">
        <f>C131*DataUK1!$HU$169/DataUK1!$HU134</f>
        <v>1754.5514810266623</v>
      </c>
      <c r="F131" s="130">
        <f t="shared" si="24"/>
        <v>1655.7286664532423</v>
      </c>
      <c r="G131" s="790">
        <f t="shared" si="25"/>
        <v>4986.8821832916028</v>
      </c>
      <c r="H131" s="131">
        <f t="shared" si="26"/>
        <v>2392.671483313934</v>
      </c>
      <c r="I131" s="132">
        <f t="shared" si="27"/>
        <v>7206.4771434849754</v>
      </c>
      <c r="J131" s="133">
        <f t="shared" si="28"/>
        <v>10360.697343973881</v>
      </c>
      <c r="K131" s="133">
        <f t="shared" si="29"/>
        <v>31205.34060802231</v>
      </c>
      <c r="L131" s="131">
        <f t="shared" si="30"/>
        <v>14972.105988401563</v>
      </c>
      <c r="M131" s="132">
        <f t="shared" si="31"/>
        <v>45094.422843962871</v>
      </c>
      <c r="N131" s="134">
        <f t="shared" si="32"/>
        <v>3.0118957799855384</v>
      </c>
      <c r="O131" s="1724">
        <f>DataUK1!EY134/DataUK1!B134</f>
        <v>0.74439013910521512</v>
      </c>
      <c r="P131" s="136">
        <f t="shared" si="33"/>
        <v>11145.088059404265</v>
      </c>
      <c r="Q131" s="764">
        <f t="shared" si="34"/>
        <v>4.0461253068262701</v>
      </c>
      <c r="R131" s="296">
        <f>DataUK2!B134</f>
        <v>56226</v>
      </c>
      <c r="S131" s="170">
        <f>(1-DataUK2!C134)*DataUK2!B134</f>
        <v>38908.392</v>
      </c>
      <c r="T131" s="354">
        <f>DataUK2!E134</f>
        <v>24754.994999999999</v>
      </c>
    </row>
    <row r="132" spans="1:20">
      <c r="A132" s="126">
        <v>1976</v>
      </c>
      <c r="B132" s="278">
        <f>DataUK1!B135/1000</f>
        <v>109.462</v>
      </c>
      <c r="C132" s="277">
        <f>AVERAGE(DataUK3!B135:B136)/1000</f>
        <v>309.53478314615893</v>
      </c>
      <c r="D132" s="129">
        <f>B132*DataUK1!$HU$169/DataUK1!$HU135</f>
        <v>595.76973958333338</v>
      </c>
      <c r="E132" s="128">
        <f>C132*DataUK1!$HU$169/DataUK1!$HU135</f>
        <v>1684.7075436861255</v>
      </c>
      <c r="F132" s="130">
        <f t="shared" si="24"/>
        <v>1947.1680660310233</v>
      </c>
      <c r="G132" s="790">
        <f t="shared" si="25"/>
        <v>5506.1687623836442</v>
      </c>
      <c r="H132" s="131">
        <f t="shared" si="26"/>
        <v>2805.7176743962873</v>
      </c>
      <c r="I132" s="132">
        <f t="shared" si="27"/>
        <v>7933.9607527141852</v>
      </c>
      <c r="J132" s="133">
        <f t="shared" si="28"/>
        <v>10597.867859387601</v>
      </c>
      <c r="K132" s="133">
        <f t="shared" si="29"/>
        <v>29968.470607765146</v>
      </c>
      <c r="L132" s="131">
        <f t="shared" si="30"/>
        <v>15270.702967417294</v>
      </c>
      <c r="M132" s="132">
        <f t="shared" si="31"/>
        <v>43182.234305137106</v>
      </c>
      <c r="N132" s="134">
        <f t="shared" si="32"/>
        <v>2.8277830036556879</v>
      </c>
      <c r="O132" s="1724">
        <f>DataUK1!EY135/DataUK1!B135</f>
        <v>0.75281832964864515</v>
      </c>
      <c r="P132" s="136">
        <f t="shared" si="33"/>
        <v>11496.065100491696</v>
      </c>
      <c r="Q132" s="764">
        <f t="shared" si="34"/>
        <v>3.756262158196213</v>
      </c>
      <c r="R132" s="296">
        <f>DataUK2!B135</f>
        <v>56216</v>
      </c>
      <c r="S132" s="170">
        <f>(1-DataUK2!C135)*DataUK2!B135</f>
        <v>39013.903999999995</v>
      </c>
      <c r="T132" s="354">
        <f>DataUK2!E135</f>
        <v>24544.688999999998</v>
      </c>
    </row>
    <row r="133" spans="1:20">
      <c r="A133" s="126">
        <v>1977</v>
      </c>
      <c r="B133" s="278">
        <f>DataUK1!B136/1000</f>
        <v>126.637</v>
      </c>
      <c r="C133" s="277">
        <f>AVERAGE(DataUK3!B136:B137)/1000</f>
        <v>359.98376298215089</v>
      </c>
      <c r="D133" s="129">
        <f>B133*DataUK1!$HU$169/DataUK1!$HU136</f>
        <v>607.04433486238531</v>
      </c>
      <c r="E133" s="128">
        <f>C133*DataUK1!$HU$169/DataUK1!$HU136</f>
        <v>1725.6102399832462</v>
      </c>
      <c r="F133" s="130">
        <f t="shared" si="24"/>
        <v>2253.7284214273004</v>
      </c>
      <c r="G133" s="790">
        <f t="shared" si="25"/>
        <v>6406.5449898941251</v>
      </c>
      <c r="H133" s="131">
        <f t="shared" si="26"/>
        <v>3233.4697581453374</v>
      </c>
      <c r="I133" s="132">
        <f t="shared" si="27"/>
        <v>9191.5996985568509</v>
      </c>
      <c r="J133" s="133">
        <f t="shared" si="28"/>
        <v>10803.422937575819</v>
      </c>
      <c r="K133" s="133">
        <f t="shared" si="29"/>
        <v>30710.273002015412</v>
      </c>
      <c r="L133" s="131">
        <f t="shared" si="30"/>
        <v>15499.88943698109</v>
      </c>
      <c r="M133" s="132">
        <f t="shared" si="31"/>
        <v>44060.649931155545</v>
      </c>
      <c r="N133" s="134">
        <f t="shared" si="32"/>
        <v>2.8426428530536167</v>
      </c>
      <c r="O133" s="1724">
        <f>DataUK1!EY136/DataUK1!B136</f>
        <v>0.75898828936250862</v>
      </c>
      <c r="P133" s="136">
        <f t="shared" si="33"/>
        <v>11764.234569082295</v>
      </c>
      <c r="Q133" s="764">
        <f t="shared" si="34"/>
        <v>3.7453052871754009</v>
      </c>
      <c r="R133" s="296">
        <f>DataUK2!B136</f>
        <v>56190</v>
      </c>
      <c r="S133" s="170">
        <f>(1-DataUK2!C136)*DataUK2!B136</f>
        <v>39164.43</v>
      </c>
      <c r="T133" s="354">
        <f>DataUK2!E136</f>
        <v>24573.732</v>
      </c>
    </row>
    <row r="134" spans="1:20">
      <c r="A134" s="126">
        <v>1978</v>
      </c>
      <c r="B134" s="278">
        <f>DataUK1!B137/1000</f>
        <v>144.74100000000001</v>
      </c>
      <c r="C134" s="277">
        <f>AVERAGE(DataUK3!B137:B138)/1000</f>
        <v>431.6273031563029</v>
      </c>
      <c r="D134" s="129">
        <f>B134*DataUK1!$HU$169/DataUK1!$HU137</f>
        <v>619.89485655737712</v>
      </c>
      <c r="E134" s="128">
        <f>C134*DataUK1!$HU$169/DataUK1!$HU137</f>
        <v>1848.5677532718712</v>
      </c>
      <c r="F134" s="130">
        <f t="shared" si="24"/>
        <v>2576.4712164904413</v>
      </c>
      <c r="G134" s="790">
        <f t="shared" si="25"/>
        <v>7683.2087855798163</v>
      </c>
      <c r="H134" s="131">
        <f t="shared" si="26"/>
        <v>3680.6731664149161</v>
      </c>
      <c r="I134" s="132">
        <f t="shared" si="27"/>
        <v>10976.012550828309</v>
      </c>
      <c r="J134" s="133">
        <f t="shared" si="28"/>
        <v>11034.477136198817</v>
      </c>
      <c r="K134" s="133">
        <f t="shared" si="29"/>
        <v>32905.545823487329</v>
      </c>
      <c r="L134" s="131">
        <f t="shared" si="30"/>
        <v>15763.53876599831</v>
      </c>
      <c r="M134" s="132">
        <f t="shared" si="31"/>
        <v>47007.922604981897</v>
      </c>
      <c r="N134" s="134">
        <f t="shared" si="32"/>
        <v>2.98206660971185</v>
      </c>
      <c r="O134" s="1724">
        <f>DataUK1!EY137/DataUK1!B137</f>
        <v>0.77635915186436466</v>
      </c>
      <c r="P134" s="136">
        <f t="shared" si="33"/>
        <v>12238.16758675148</v>
      </c>
      <c r="Q134" s="764">
        <f t="shared" si="34"/>
        <v>3.841091590857987</v>
      </c>
      <c r="R134" s="296">
        <f>DataUK2!B137</f>
        <v>56178</v>
      </c>
      <c r="S134" s="170">
        <f>(1-DataUK2!C137)*DataUK2!B137</f>
        <v>39324.6</v>
      </c>
      <c r="T134" s="354">
        <f>DataUK2!E137</f>
        <v>24848.131000000001</v>
      </c>
    </row>
    <row r="135" spans="1:20" ht="12.75" customHeight="1">
      <c r="A135" s="126">
        <v>1979</v>
      </c>
      <c r="B135" s="278">
        <f>DataUK1!B138/1000</f>
        <v>168.81700000000001</v>
      </c>
      <c r="C135" s="277">
        <f>AVERAGE(DataUK3!B138:B139)/1000</f>
        <v>528.18017901883059</v>
      </c>
      <c r="D135" s="129">
        <f>B135*DataUK1!$HU$169/DataUK1!$HU138</f>
        <v>632.30740143369189</v>
      </c>
      <c r="E135" s="128">
        <f>C135*DataUK1!$HU$169/DataUK1!$HU138</f>
        <v>1978.3092726690966</v>
      </c>
      <c r="F135" s="130">
        <f t="shared" si="24"/>
        <v>3001.7247510668562</v>
      </c>
      <c r="G135" s="790">
        <f t="shared" si="25"/>
        <v>9391.539456238097</v>
      </c>
      <c r="H135" s="131">
        <f t="shared" si="26"/>
        <v>4275.9611838559213</v>
      </c>
      <c r="I135" s="132">
        <f t="shared" si="27"/>
        <v>13378.261333672504</v>
      </c>
      <c r="J135" s="133">
        <f t="shared" si="28"/>
        <v>11243.019228906327</v>
      </c>
      <c r="K135" s="133">
        <f t="shared" si="29"/>
        <v>35176.196171214375</v>
      </c>
      <c r="L135" s="131">
        <f t="shared" si="30"/>
        <v>16015.696907273972</v>
      </c>
      <c r="M135" s="132">
        <f t="shared" si="31"/>
        <v>50108.541554436437</v>
      </c>
      <c r="N135" s="134">
        <f t="shared" si="32"/>
        <v>3.1287144009124113</v>
      </c>
      <c r="O135" s="1726">
        <f>DataUK1!EY138/DataUK1!B138</f>
        <v>0.7729494067540591</v>
      </c>
      <c r="P135" s="136">
        <f t="shared" si="33"/>
        <v>12379.323423230237</v>
      </c>
      <c r="Q135" s="764">
        <f t="shared" si="34"/>
        <v>4.0477609188565191</v>
      </c>
      <c r="R135" s="297">
        <f>DataUK2!B138</f>
        <v>56240</v>
      </c>
      <c r="S135" s="257">
        <f>(1-DataUK2!C138)*DataUK2!B138</f>
        <v>39480.479999999996</v>
      </c>
      <c r="T135" s="775">
        <f>DataUK2!E138</f>
        <v>25229.685000000001</v>
      </c>
    </row>
    <row r="136" spans="1:20">
      <c r="A136" s="137">
        <v>1980</v>
      </c>
      <c r="B136" s="281">
        <f>DataUK1!B139/1000</f>
        <v>197.19800000000004</v>
      </c>
      <c r="C136" s="282">
        <f>AVERAGE(DataUK3!B139:B140)/1000</f>
        <v>609.61527991609353</v>
      </c>
      <c r="D136" s="138">
        <f>B136*DataUK1!$HU$169/DataUK1!$HU139</f>
        <v>616.981766467066</v>
      </c>
      <c r="E136" s="821">
        <f>C136*DataUK1!$HU$169/DataUK1!$HU139</f>
        <v>1907.3292440488556</v>
      </c>
      <c r="F136" s="139">
        <f t="shared" si="24"/>
        <v>3500.7633587786263</v>
      </c>
      <c r="G136" s="818">
        <f t="shared" si="25"/>
        <v>10822.213383917868</v>
      </c>
      <c r="H136" s="140">
        <f t="shared" si="26"/>
        <v>4965.6217855015975</v>
      </c>
      <c r="I136" s="141">
        <f t="shared" si="27"/>
        <v>15350.657282153003</v>
      </c>
      <c r="J136" s="142">
        <f t="shared" si="28"/>
        <v>10952.987155460076</v>
      </c>
      <c r="K136" s="142">
        <f t="shared" si="29"/>
        <v>33859.919120341838</v>
      </c>
      <c r="L136" s="140">
        <f t="shared" si="30"/>
        <v>15536.15199356039</v>
      </c>
      <c r="M136" s="141">
        <f t="shared" si="31"/>
        <v>48028.254071406853</v>
      </c>
      <c r="N136" s="143">
        <f t="shared" si="32"/>
        <v>3.0913867276346281</v>
      </c>
      <c r="O136" s="1724">
        <f>DataUK1!EY139/DataUK1!B139</f>
        <v>0.75509386504934128</v>
      </c>
      <c r="P136" s="144">
        <f t="shared" si="33"/>
        <v>11731.253056811544</v>
      </c>
      <c r="Q136" s="766">
        <f t="shared" si="34"/>
        <v>4.0940429670059926</v>
      </c>
      <c r="R136" s="296">
        <f>DataUK2!B139</f>
        <v>56330</v>
      </c>
      <c r="S136" s="170">
        <f>(1-DataUK2!C139)*DataUK2!B139</f>
        <v>39712.65</v>
      </c>
      <c r="T136" s="354">
        <f>DataUK2!E139</f>
        <v>24995.579000000002</v>
      </c>
    </row>
    <row r="137" spans="1:20">
      <c r="A137" s="126">
        <v>1981</v>
      </c>
      <c r="B137" s="278">
        <f>DataUK1!B140/1000</f>
        <v>215.91499999999996</v>
      </c>
      <c r="C137" s="277">
        <f>AVERAGE(DataUK3!B140:B141)/1000</f>
        <v>669.00922586094009</v>
      </c>
      <c r="D137" s="129">
        <f>B137*DataUK1!$HU$169/DataUK1!$HU140</f>
        <v>606.53541666666649</v>
      </c>
      <c r="E137" s="128">
        <f>C137*DataUK1!$HU$169/DataUK1!$HU140</f>
        <v>1879.3404328620493</v>
      </c>
      <c r="F137" s="130">
        <f t="shared" si="24"/>
        <v>3831.2010930319211</v>
      </c>
      <c r="G137" s="790">
        <f t="shared" si="25"/>
        <v>11870.916227991911</v>
      </c>
      <c r="H137" s="131">
        <f t="shared" si="26"/>
        <v>5411.3009788586451</v>
      </c>
      <c r="I137" s="132">
        <f t="shared" si="27"/>
        <v>16766.830830497049</v>
      </c>
      <c r="J137" s="133">
        <f t="shared" si="28"/>
        <v>10762.379414565476</v>
      </c>
      <c r="K137" s="133">
        <f t="shared" si="29"/>
        <v>33347.063059815984</v>
      </c>
      <c r="L137" s="131">
        <f t="shared" si="30"/>
        <v>15201.100868030333</v>
      </c>
      <c r="M137" s="132">
        <f t="shared" si="31"/>
        <v>47100.371553412406</v>
      </c>
      <c r="N137" s="134">
        <f t="shared" si="32"/>
        <v>3.0984842454713206</v>
      </c>
      <c r="O137" s="1724">
        <f>DataUK1!EY140/DataUK1!B140</f>
        <v>0.75330569900192201</v>
      </c>
      <c r="P137" s="136">
        <f t="shared" si="33"/>
        <v>11451.075914990313</v>
      </c>
      <c r="Q137" s="764">
        <f t="shared" si="34"/>
        <v>4.1131830670823257</v>
      </c>
      <c r="R137" s="296">
        <f>DataUK2!B140</f>
        <v>56357</v>
      </c>
      <c r="S137" s="170">
        <f>(1-DataUK2!C140)*DataUK2!B140</f>
        <v>39900.756000000001</v>
      </c>
      <c r="T137" s="354">
        <f>DataUK2!E140</f>
        <v>24198.554</v>
      </c>
    </row>
    <row r="138" spans="1:20">
      <c r="A138" s="126">
        <v>1982</v>
      </c>
      <c r="B138" s="278">
        <f>DataUK1!B141/1000</f>
        <v>238.44399999999999</v>
      </c>
      <c r="C138" s="277">
        <f>AVERAGE(DataUK3!B141:B142)/1000</f>
        <v>749.59495278138718</v>
      </c>
      <c r="D138" s="129">
        <f>B138*DataUK1!$HU$169/DataUK1!$HU141</f>
        <v>624.49619047619046</v>
      </c>
      <c r="E138" s="128">
        <f>C138*DataUK1!$HU$169/DataUK1!$HU141</f>
        <v>1963.2248763322043</v>
      </c>
      <c r="F138" s="130">
        <f t="shared" si="24"/>
        <v>4235.9169316587022</v>
      </c>
      <c r="G138" s="790">
        <f t="shared" si="25"/>
        <v>13316.426298722481</v>
      </c>
      <c r="H138" s="131">
        <f t="shared" si="26"/>
        <v>5949.3215332285145</v>
      </c>
      <c r="I138" s="132">
        <f t="shared" si="27"/>
        <v>18702.845925172027</v>
      </c>
      <c r="J138" s="133">
        <f t="shared" si="28"/>
        <v>11094.068154344219</v>
      </c>
      <c r="K138" s="133">
        <f t="shared" si="29"/>
        <v>34876.35459189221</v>
      </c>
      <c r="L138" s="131">
        <f t="shared" si="30"/>
        <v>15581.556396550872</v>
      </c>
      <c r="M138" s="132">
        <f t="shared" si="31"/>
        <v>48983.644089736255</v>
      </c>
      <c r="N138" s="134">
        <f t="shared" si="32"/>
        <v>3.1436939188295248</v>
      </c>
      <c r="O138" s="1724">
        <f>DataUK1!EY141/DataUK1!B141</f>
        <v>0.74614584556541574</v>
      </c>
      <c r="P138" s="136">
        <f t="shared" si="33"/>
        <v>11626.113572729662</v>
      </c>
      <c r="Q138" s="764">
        <f t="shared" si="34"/>
        <v>4.2132432117842731</v>
      </c>
      <c r="R138" s="296">
        <f>DataUK2!B141</f>
        <v>56291</v>
      </c>
      <c r="S138" s="170">
        <f>(1-DataUK2!C141)*DataUK2!B141</f>
        <v>40079.191999999995</v>
      </c>
      <c r="T138" s="354">
        <f>DataUK2!E141</f>
        <v>23762.911</v>
      </c>
    </row>
    <row r="139" spans="1:20">
      <c r="A139" s="126">
        <v>1983</v>
      </c>
      <c r="B139" s="278">
        <f>DataUK1!B142/1000</f>
        <v>263.57100000000003</v>
      </c>
      <c r="C139" s="277">
        <f>AVERAGE(DataUK3!B142:B143)/1000</f>
        <v>848.94523300057165</v>
      </c>
      <c r="D139" s="129">
        <f>B139*DataUK1!$HU$169/DataUK1!$HU142</f>
        <v>654.23205463182899</v>
      </c>
      <c r="E139" s="128">
        <f>C139*DataUK1!$HU$169/DataUK1!$HU142</f>
        <v>2107.2393550726779</v>
      </c>
      <c r="F139" s="130">
        <f t="shared" si="24"/>
        <v>4680.2152141487322</v>
      </c>
      <c r="G139" s="790">
        <f t="shared" si="25"/>
        <v>15074.672082544421</v>
      </c>
      <c r="H139" s="131">
        <f t="shared" si="26"/>
        <v>6536.6134275820286</v>
      </c>
      <c r="I139" s="132">
        <f t="shared" si="27"/>
        <v>21054.011288469861</v>
      </c>
      <c r="J139" s="133">
        <f t="shared" si="28"/>
        <v>11617.161279775357</v>
      </c>
      <c r="K139" s="133">
        <f t="shared" si="29"/>
        <v>37418.12904099506</v>
      </c>
      <c r="L139" s="131">
        <f t="shared" si="30"/>
        <v>16225.085586278432</v>
      </c>
      <c r="M139" s="132">
        <f t="shared" si="31"/>
        <v>52259.956761166286</v>
      </c>
      <c r="N139" s="134">
        <f t="shared" si="32"/>
        <v>3.2209356606021586</v>
      </c>
      <c r="O139" s="1724">
        <f>DataUK1!EY142/DataUK1!B142</f>
        <v>0.75300772846785113</v>
      </c>
      <c r="P139" s="136">
        <f t="shared" si="33"/>
        <v>12217.614841519995</v>
      </c>
      <c r="Q139" s="764">
        <f t="shared" si="34"/>
        <v>4.2774270951452431</v>
      </c>
      <c r="R139" s="296">
        <f>DataUK2!B142</f>
        <v>56316</v>
      </c>
      <c r="S139" s="170">
        <f>(1-DataUK2!C142)*DataUK2!B142</f>
        <v>40322.256000000001</v>
      </c>
      <c r="T139" s="354">
        <f>DataUK2!E142</f>
        <v>23638.757000000001</v>
      </c>
    </row>
    <row r="140" spans="1:20">
      <c r="A140" s="126">
        <v>1984</v>
      </c>
      <c r="B140" s="278">
        <f>DataUK1!B143/1000</f>
        <v>284.327</v>
      </c>
      <c r="C140" s="277">
        <f>AVERAGE(DataUK3!B143:B144)/1000</f>
        <v>945.2554892626556</v>
      </c>
      <c r="D140" s="129">
        <f>B140*DataUK1!$HU$169/DataUK1!$HU143</f>
        <v>673.74538548752832</v>
      </c>
      <c r="E140" s="128">
        <f>C140*DataUK1!$HU$169/DataUK1!$HU143</f>
        <v>2239.8911253502838</v>
      </c>
      <c r="F140" s="130">
        <f t="shared" si="24"/>
        <v>5040.4545373965148</v>
      </c>
      <c r="G140" s="790">
        <f t="shared" si="25"/>
        <v>16757.1750831012</v>
      </c>
      <c r="H140" s="131">
        <f t="shared" si="26"/>
        <v>6990.9216884833768</v>
      </c>
      <c r="I140" s="132">
        <f t="shared" si="27"/>
        <v>23241.574317754785</v>
      </c>
      <c r="J140" s="133">
        <f t="shared" si="28"/>
        <v>11943.934221268384</v>
      </c>
      <c r="K140" s="133">
        <f t="shared" si="29"/>
        <v>39708.045264945016</v>
      </c>
      <c r="L140" s="131">
        <f t="shared" si="30"/>
        <v>16565.789488583057</v>
      </c>
      <c r="M140" s="132">
        <f t="shared" si="31"/>
        <v>55073.571796040247</v>
      </c>
      <c r="N140" s="134">
        <f t="shared" si="32"/>
        <v>3.3245364993920927</v>
      </c>
      <c r="O140" s="1724">
        <f>DataUK1!EY143/DataUK1!B143</f>
        <v>0.75687500659451967</v>
      </c>
      <c r="P140" s="136">
        <f t="shared" si="33"/>
        <v>12538.232028414726</v>
      </c>
      <c r="Q140" s="764">
        <f t="shared" si="34"/>
        <v>4.3924511582837154</v>
      </c>
      <c r="R140" s="296">
        <f>DataUK2!B143</f>
        <v>56409</v>
      </c>
      <c r="S140" s="170">
        <f>(1-DataUK2!C143)*DataUK2!B143</f>
        <v>40670.889000000003</v>
      </c>
      <c r="T140" s="354">
        <f>DataUK2!E143</f>
        <v>24111.966</v>
      </c>
    </row>
    <row r="141" spans="1:20">
      <c r="A141" s="126">
        <v>1985</v>
      </c>
      <c r="B141" s="278">
        <f>DataUK1!B144/1000</f>
        <v>310.56099999999998</v>
      </c>
      <c r="C141" s="277">
        <f>AVERAGE(DataUK3!B144:B145)/1000</f>
        <v>1050.3286080468974</v>
      </c>
      <c r="D141" s="129">
        <f>B141*DataUK1!$HU$169/DataUK1!$HU144</f>
        <v>696.42971030042918</v>
      </c>
      <c r="E141" s="128">
        <f>C141*DataUK1!$HU$169/DataUK1!$HU144</f>
        <v>2355.3506339249093</v>
      </c>
      <c r="F141" s="130">
        <f t="shared" si="24"/>
        <v>5491.4064433992289</v>
      </c>
      <c r="G141" s="790">
        <f t="shared" si="25"/>
        <v>18572.136507530809</v>
      </c>
      <c r="H141" s="131">
        <f t="shared" si="26"/>
        <v>7574.3537150334187</v>
      </c>
      <c r="I141" s="132">
        <f t="shared" si="27"/>
        <v>25616.740010387322</v>
      </c>
      <c r="J141" s="133">
        <f t="shared" si="28"/>
        <v>12314.420028652778</v>
      </c>
      <c r="K141" s="133">
        <f t="shared" si="29"/>
        <v>41647.816846286893</v>
      </c>
      <c r="L141" s="131">
        <f t="shared" si="30"/>
        <v>16985.406936072795</v>
      </c>
      <c r="M141" s="132">
        <f t="shared" si="31"/>
        <v>57445.264615568129</v>
      </c>
      <c r="N141" s="134">
        <f t="shared" si="32"/>
        <v>3.3820364052372884</v>
      </c>
      <c r="O141" s="1724">
        <f>DataUK1!EY144/DataUK1!B144</f>
        <v>0.75730049813080202</v>
      </c>
      <c r="P141" s="136">
        <f t="shared" si="33"/>
        <v>12863.057133642307</v>
      </c>
      <c r="Q141" s="764">
        <f t="shared" si="34"/>
        <v>4.465910709929493</v>
      </c>
      <c r="R141" s="296">
        <f>DataUK2!B144</f>
        <v>56554</v>
      </c>
      <c r="S141" s="170">
        <f>(1-DataUK2!C144)*DataUK2!B144</f>
        <v>41001.65</v>
      </c>
      <c r="T141" s="354">
        <f>DataUK2!E144</f>
        <v>24372.217000000001</v>
      </c>
    </row>
    <row r="142" spans="1:20">
      <c r="A142" s="126">
        <v>1986</v>
      </c>
      <c r="B142" s="278">
        <f>DataUK1!B145/1000</f>
        <v>336.10940399999998</v>
      </c>
      <c r="C142" s="277">
        <f>AVERAGE(DataUK3!B145:B146)/1000</f>
        <v>1213.2732968201915</v>
      </c>
      <c r="D142" s="129">
        <f>B142*DataUK1!$HU$169/DataUK1!$HU145</f>
        <v>728.70192360995838</v>
      </c>
      <c r="E142" s="128">
        <f>C142*DataUK1!$HU$169/DataUK1!$HU145</f>
        <v>2630.4369194545643</v>
      </c>
      <c r="F142" s="130">
        <f t="shared" si="24"/>
        <v>5929.5286853433072</v>
      </c>
      <c r="G142" s="790">
        <f t="shared" si="25"/>
        <v>21404.158083765989</v>
      </c>
      <c r="H142" s="131">
        <f t="shared" si="26"/>
        <v>8133.7842048605035</v>
      </c>
      <c r="I142" s="132">
        <f t="shared" si="27"/>
        <v>29360.985025742099</v>
      </c>
      <c r="J142" s="133">
        <f t="shared" si="28"/>
        <v>12855.513436065881</v>
      </c>
      <c r="K142" s="133">
        <f t="shared" si="29"/>
        <v>46405.280492812155</v>
      </c>
      <c r="L142" s="131">
        <f t="shared" si="30"/>
        <v>17634.449157840714</v>
      </c>
      <c r="M142" s="132">
        <f t="shared" si="31"/>
        <v>63656.077493569486</v>
      </c>
      <c r="N142" s="134">
        <f t="shared" si="32"/>
        <v>3.6097570683270486</v>
      </c>
      <c r="O142" s="1724">
        <f>DataUK1!EY145/DataUK1!B145</f>
        <v>0.76322888008215328</v>
      </c>
      <c r="P142" s="136">
        <f t="shared" si="33"/>
        <v>13459.12088160444</v>
      </c>
      <c r="Q142" s="764">
        <f t="shared" si="34"/>
        <v>4.729586579504824</v>
      </c>
      <c r="R142" s="296">
        <f>DataUK2!B145</f>
        <v>56684</v>
      </c>
      <c r="S142" s="170">
        <f>(1-DataUK2!C145)*DataUK2!B145</f>
        <v>41322.635999999999</v>
      </c>
      <c r="T142" s="354">
        <f>DataUK2!E145</f>
        <v>24402.361000000001</v>
      </c>
    </row>
    <row r="143" spans="1:20">
      <c r="A143" s="126">
        <v>1987</v>
      </c>
      <c r="B143" s="278">
        <f>DataUK1!B146/1000</f>
        <v>367.60899999999998</v>
      </c>
      <c r="C143" s="277">
        <f>AVERAGE(DataUK3!B146:B147)/1000</f>
        <v>1393.8844427949048</v>
      </c>
      <c r="D143" s="129">
        <f>B143*DataUK1!$HU$169/DataUK1!$HU146</f>
        <v>756.20355314960636</v>
      </c>
      <c r="E143" s="128">
        <f>C143*DataUK1!$HU$169/DataUK1!$HU146</f>
        <v>2867.341028977708</v>
      </c>
      <c r="F143" s="130">
        <f t="shared" si="24"/>
        <v>6471.5336948102249</v>
      </c>
      <c r="G143" s="790">
        <f t="shared" si="25"/>
        <v>24538.491000544058</v>
      </c>
      <c r="H143" s="131">
        <f t="shared" si="26"/>
        <v>8828.8317800958048</v>
      </c>
      <c r="I143" s="132">
        <f t="shared" si="27"/>
        <v>33476.795362270204</v>
      </c>
      <c r="J143" s="133">
        <f t="shared" si="28"/>
        <v>13312.505336765129</v>
      </c>
      <c r="K143" s="133">
        <f t="shared" si="29"/>
        <v>50477.801369229419</v>
      </c>
      <c r="L143" s="131">
        <f t="shared" si="30"/>
        <v>18161.671673622273</v>
      </c>
      <c r="M143" s="132">
        <f t="shared" si="31"/>
        <v>68864.667625142451</v>
      </c>
      <c r="N143" s="134">
        <f t="shared" si="32"/>
        <v>3.7917582072117519</v>
      </c>
      <c r="O143" s="1724">
        <f>DataUK1!EY146/DataUK1!B146</f>
        <v>0.75472036865256287</v>
      </c>
      <c r="P143" s="136">
        <f t="shared" si="33"/>
        <v>13706.98354086301</v>
      </c>
      <c r="Q143" s="764">
        <f t="shared" si="34"/>
        <v>5.0240570742530153</v>
      </c>
      <c r="R143" s="296">
        <f>DataUK2!B146</f>
        <v>56804</v>
      </c>
      <c r="S143" s="170">
        <f>(1-DataUK2!C146)*DataUK2!B146</f>
        <v>41637.332000000002</v>
      </c>
      <c r="T143" s="354">
        <f>DataUK2!E146</f>
        <v>25045.335999999999</v>
      </c>
    </row>
    <row r="144" spans="1:20">
      <c r="A144" s="126">
        <v>1988</v>
      </c>
      <c r="B144" s="278">
        <f>DataUK1!B147/1000</f>
        <v>412.47199999999998</v>
      </c>
      <c r="C144" s="277">
        <f>AVERAGE(DataUK3!B147:B148)/1000</f>
        <v>1658.1234999999999</v>
      </c>
      <c r="D144" s="129">
        <f>B144*DataUK1!$HU$169/DataUK1!$HU147</f>
        <v>798.20970370370367</v>
      </c>
      <c r="E144" s="128">
        <f>C144*DataUK1!$HU$169/DataUK1!$HU147</f>
        <v>3208.7760324074075</v>
      </c>
      <c r="F144" s="130">
        <f t="shared" si="24"/>
        <v>7247.030711926348</v>
      </c>
      <c r="G144" s="790">
        <f t="shared" si="25"/>
        <v>29132.81853960222</v>
      </c>
      <c r="H144" s="131">
        <f t="shared" si="26"/>
        <v>9846.5091194651468</v>
      </c>
      <c r="I144" s="132">
        <f t="shared" si="27"/>
        <v>39582.633885329102</v>
      </c>
      <c r="J144" s="133">
        <f t="shared" si="28"/>
        <v>14024.346470301913</v>
      </c>
      <c r="K144" s="133">
        <f t="shared" si="29"/>
        <v>56377.398840526519</v>
      </c>
      <c r="L144" s="131">
        <f t="shared" si="30"/>
        <v>19054.818573779772</v>
      </c>
      <c r="M144" s="132">
        <f t="shared" si="31"/>
        <v>76599.726685497983</v>
      </c>
      <c r="N144" s="134">
        <f t="shared" si="32"/>
        <v>4.0199662037665584</v>
      </c>
      <c r="O144" s="1724">
        <f>DataUK1!EY147/DataUK1!B147</f>
        <v>0.74584456641905394</v>
      </c>
      <c r="P144" s="136">
        <f t="shared" si="33"/>
        <v>14211.932897354511</v>
      </c>
      <c r="Q144" s="764">
        <f t="shared" si="34"/>
        <v>5.3898176439994794</v>
      </c>
      <c r="R144" s="296">
        <f>DataUK2!B147</f>
        <v>56916</v>
      </c>
      <c r="S144" s="170">
        <f>(1-DataUK2!C147)*DataUK2!B147</f>
        <v>41890.175999999999</v>
      </c>
      <c r="T144" s="354">
        <f>DataUK2!E147</f>
        <v>26112.109</v>
      </c>
    </row>
    <row r="145" spans="1:20">
      <c r="A145" s="145">
        <v>1989</v>
      </c>
      <c r="B145" s="279">
        <f>DataUK1!B148/1000</f>
        <v>451.49</v>
      </c>
      <c r="C145" s="280">
        <f>AVERAGE(DataUK3!B148:B149)/1000</f>
        <v>1964.9860000000001</v>
      </c>
      <c r="D145" s="146">
        <f>B145*DataUK1!$HU$169/DataUK1!$HU148</f>
        <v>813.46043103448278</v>
      </c>
      <c r="E145" s="759">
        <f>C145*DataUK1!$HU$169/DataUK1!$HU148</f>
        <v>3540.362706896552</v>
      </c>
      <c r="F145" s="147">
        <f t="shared" si="24"/>
        <v>7910.3300862008546</v>
      </c>
      <c r="G145" s="791">
        <f t="shared" si="25"/>
        <v>34427.535216202959</v>
      </c>
      <c r="H145" s="148">
        <f t="shared" si="26"/>
        <v>10704.100251963269</v>
      </c>
      <c r="I145" s="149">
        <f t="shared" si="27"/>
        <v>46586.651172128499</v>
      </c>
      <c r="J145" s="150">
        <f t="shared" si="28"/>
        <v>14252.232655310163</v>
      </c>
      <c r="K145" s="150">
        <f t="shared" si="29"/>
        <v>62028.921208503612</v>
      </c>
      <c r="L145" s="148">
        <f t="shared" si="30"/>
        <v>19285.835798795892</v>
      </c>
      <c r="M145" s="149">
        <f t="shared" si="31"/>
        <v>83936.293922197045</v>
      </c>
      <c r="N145" s="151">
        <f t="shared" si="32"/>
        <v>4.3522248554785268</v>
      </c>
      <c r="O145" s="1726">
        <f>DataUK1!EY148/DataUK1!B148</f>
        <v>0.73683581031695056</v>
      </c>
      <c r="P145" s="153">
        <f t="shared" si="33"/>
        <v>14210.494448445424</v>
      </c>
      <c r="Q145" s="765">
        <f t="shared" si="34"/>
        <v>5.9066413365637231</v>
      </c>
      <c r="R145" s="297">
        <f>DataUK2!B148</f>
        <v>57076</v>
      </c>
      <c r="S145" s="257">
        <f>(1-DataUK2!C148)*DataUK2!B148</f>
        <v>42179.163999999997</v>
      </c>
      <c r="T145" s="775">
        <f>DataUK2!E148</f>
        <v>26737.602999999999</v>
      </c>
    </row>
    <row r="146" spans="1:20">
      <c r="A146" s="126">
        <v>1990</v>
      </c>
      <c r="B146" s="278">
        <f>DataUK1!B149/1000</f>
        <v>485.815</v>
      </c>
      <c r="C146" s="277">
        <f>AVERAGE(DataUK3!B149:B150)/1000</f>
        <v>2084.5104999999999</v>
      </c>
      <c r="D146" s="129">
        <f>B146*DataUK1!$HU$169/DataUK1!$HU149</f>
        <v>813.58441506410259</v>
      </c>
      <c r="E146" s="128">
        <f>C146*DataUK1!$HU$169/DataUK1!$HU149</f>
        <v>3490.8869751602565</v>
      </c>
      <c r="F146" s="130">
        <f t="shared" si="24"/>
        <v>8487.7788842881346</v>
      </c>
      <c r="G146" s="790">
        <f t="shared" si="25"/>
        <v>36418.933556964897</v>
      </c>
      <c r="H146" s="131">
        <f t="shared" si="26"/>
        <v>11454.492421441479</v>
      </c>
      <c r="I146" s="132">
        <f t="shared" si="27"/>
        <v>49148.358376470846</v>
      </c>
      <c r="J146" s="133">
        <f t="shared" si="28"/>
        <v>14214.309189232534</v>
      </c>
      <c r="K146" s="133">
        <f t="shared" si="29"/>
        <v>60990.040972801798</v>
      </c>
      <c r="L146" s="131">
        <f t="shared" si="30"/>
        <v>19182.603494240935</v>
      </c>
      <c r="M146" s="132">
        <f t="shared" si="31"/>
        <v>82307.747601621857</v>
      </c>
      <c r="N146" s="134">
        <f t="shared" si="32"/>
        <v>4.2907495651636935</v>
      </c>
      <c r="O146" s="1724">
        <f>DataUK1!EY149/DataUK1!B149</f>
        <v>0.73908380762224302</v>
      </c>
      <c r="P146" s="136">
        <f t="shared" si="33"/>
        <v>14177.551630631335</v>
      </c>
      <c r="Q146" s="764">
        <f t="shared" si="34"/>
        <v>5.8054979975380014</v>
      </c>
      <c r="R146" s="296">
        <f>DataUK2!B149</f>
        <v>57237</v>
      </c>
      <c r="S146" s="170">
        <f>(1-DataUK2!C149)*DataUK2!B149</f>
        <v>42412.616999999998</v>
      </c>
      <c r="T146" s="354">
        <f>DataUK2!E149</f>
        <v>26822.317999999999</v>
      </c>
    </row>
    <row r="147" spans="1:20">
      <c r="A147" s="126">
        <v>1991</v>
      </c>
      <c r="B147" s="278">
        <f>DataUK1!B150/1000</f>
        <v>508.98</v>
      </c>
      <c r="C147" s="277">
        <f>AVERAGE(DataUK3!B150:B151)/1000</f>
        <v>2126.8150000000001</v>
      </c>
      <c r="D147" s="129">
        <f>B147*DataUK1!$HU$169/DataUK1!$HU150</f>
        <v>799.8257142857143</v>
      </c>
      <c r="E147" s="128">
        <f>C147*DataUK1!$HU$169/DataUK1!$HU150</f>
        <v>3342.1378571428572</v>
      </c>
      <c r="F147" s="130">
        <f t="shared" si="24"/>
        <v>8861.2266926652628</v>
      </c>
      <c r="G147" s="790">
        <f t="shared" si="25"/>
        <v>37027.368164487547</v>
      </c>
      <c r="H147" s="131">
        <f t="shared" si="26"/>
        <v>11926.280878418927</v>
      </c>
      <c r="I147" s="132">
        <f t="shared" si="27"/>
        <v>49834.950423267226</v>
      </c>
      <c r="J147" s="133">
        <f t="shared" si="28"/>
        <v>13924.784802759697</v>
      </c>
      <c r="K147" s="133">
        <f t="shared" si="29"/>
        <v>58185.864258480426</v>
      </c>
      <c r="L147" s="131">
        <f t="shared" si="30"/>
        <v>18741.298523229743</v>
      </c>
      <c r="M147" s="132">
        <f t="shared" si="31"/>
        <v>78312.064950848493</v>
      </c>
      <c r="N147" s="134">
        <f t="shared" si="32"/>
        <v>4.1785826555070926</v>
      </c>
      <c r="O147" s="1724">
        <f>DataUK1!EY150/DataUK1!B150</f>
        <v>0.75969586231286101</v>
      </c>
      <c r="P147" s="136">
        <f t="shared" si="33"/>
        <v>14237.686942467768</v>
      </c>
      <c r="Q147" s="764">
        <f t="shared" si="34"/>
        <v>5.5003362039982413</v>
      </c>
      <c r="R147" s="296">
        <f>DataUK2!B150</f>
        <v>57439</v>
      </c>
      <c r="S147" s="170">
        <f>(1-DataUK2!C150)*DataUK2!B150</f>
        <v>42677.176999999996</v>
      </c>
      <c r="T147" s="354">
        <f>DataUK2!E150</f>
        <v>26016.484</v>
      </c>
    </row>
    <row r="148" spans="1:20">
      <c r="A148" s="126">
        <v>1992</v>
      </c>
      <c r="B148" s="278">
        <f>DataUK1!B151/1000</f>
        <v>534.65300000000002</v>
      </c>
      <c r="C148" s="277">
        <f>AVERAGE(DataUK3!B151:B152)/1000</f>
        <v>2195.2950000000001</v>
      </c>
      <c r="D148" s="129">
        <f>B148*DataUK1!$HU$169/DataUK1!$HU151</f>
        <v>809.72809420289855</v>
      </c>
      <c r="E148" s="128">
        <f>C148*DataUK1!$HU$169/DataUK1!$HU151</f>
        <v>3324.7583695652174</v>
      </c>
      <c r="F148" s="130">
        <f t="shared" si="24"/>
        <v>9284.5880003473121</v>
      </c>
      <c r="G148" s="790">
        <f t="shared" si="25"/>
        <v>38122.6882000521</v>
      </c>
      <c r="H148" s="131">
        <f t="shared" si="26"/>
        <v>12479.284946703377</v>
      </c>
      <c r="I148" s="132">
        <f t="shared" si="27"/>
        <v>51240.172311897979</v>
      </c>
      <c r="J148" s="133">
        <f t="shared" si="28"/>
        <v>14061.441246902814</v>
      </c>
      <c r="K148" s="133">
        <f t="shared" si="29"/>
        <v>57736.535027615137</v>
      </c>
      <c r="L148" s="131">
        <f t="shared" si="30"/>
        <v>18899.7866221812</v>
      </c>
      <c r="M148" s="132">
        <f t="shared" si="31"/>
        <v>77602.869660773038</v>
      </c>
      <c r="N148" s="134">
        <f t="shared" ref="N148:N166" si="35">C148/B148</f>
        <v>4.1060182959788873</v>
      </c>
      <c r="O148" s="1724">
        <f>DataUK1!EY151/DataUK1!B151</f>
        <v>0.78814483412605929</v>
      </c>
      <c r="P148" s="136">
        <f t="shared" si="33"/>
        <v>14895.769192356916</v>
      </c>
      <c r="Q148" s="764">
        <f t="shared" si="34"/>
        <v>5.2097255709756425</v>
      </c>
      <c r="R148" s="296">
        <f>DataUK2!B151</f>
        <v>57585</v>
      </c>
      <c r="S148" s="170">
        <f>(1-DataUK2!C151)*DataUK2!B151</f>
        <v>42843.24</v>
      </c>
      <c r="T148" s="354">
        <f>DataUK2!E151</f>
        <v>25516.543000000001</v>
      </c>
    </row>
    <row r="149" spans="1:20">
      <c r="A149" s="126">
        <v>1993</v>
      </c>
      <c r="B149" s="278">
        <f>DataUK1!B152/1000</f>
        <v>562.90800000000002</v>
      </c>
      <c r="C149" s="277">
        <f>AVERAGE(DataUK3!B152:B153)/1000</f>
        <v>2366.3200000000002</v>
      </c>
      <c r="D149" s="129">
        <f>B149*DataUK1!$HU$169/DataUK1!$HU152</f>
        <v>828.50543661971824</v>
      </c>
      <c r="E149" s="128">
        <f>C149*DataUK1!$HU$169/DataUK1!$HU152</f>
        <v>3482.8230985915498</v>
      </c>
      <c r="F149" s="130">
        <f t="shared" si="24"/>
        <v>9753.4047198253465</v>
      </c>
      <c r="G149" s="790">
        <f t="shared" si="25"/>
        <v>41000.797033648683</v>
      </c>
      <c r="H149" s="131">
        <f t="shared" si="26"/>
        <v>13074.269061428076</v>
      </c>
      <c r="I149" s="132">
        <f t="shared" si="27"/>
        <v>54960.853932504935</v>
      </c>
      <c r="J149" s="133">
        <f t="shared" si="28"/>
        <v>14355.363284813358</v>
      </c>
      <c r="K149" s="133">
        <f t="shared" si="29"/>
        <v>60346.243521356169</v>
      </c>
      <c r="L149" s="131">
        <f t="shared" si="30"/>
        <v>19243.114322806112</v>
      </c>
      <c r="M149" s="132">
        <f t="shared" si="31"/>
        <v>80893.087830236153</v>
      </c>
      <c r="N149" s="134">
        <f t="shared" si="35"/>
        <v>4.2037419969160146</v>
      </c>
      <c r="O149" s="1724">
        <f>DataUK1!EY152/DataUK1!B152</f>
        <v>0.80956390742359319</v>
      </c>
      <c r="P149" s="136">
        <f t="shared" ref="P149:P166" si="36">L149*O149</f>
        <v>15578.530822169827</v>
      </c>
      <c r="Q149" s="764">
        <f t="shared" si="34"/>
        <v>5.1926005573720131</v>
      </c>
      <c r="R149" s="296">
        <f>DataUK2!B152</f>
        <v>57714</v>
      </c>
      <c r="S149" s="170">
        <f>(1-DataUK2!C152)*DataUK2!B152</f>
        <v>43054.644</v>
      </c>
      <c r="T149" s="354">
        <f>DataUK2!E152</f>
        <v>25300</v>
      </c>
    </row>
    <row r="150" spans="1:20">
      <c r="A150" s="126">
        <v>1994</v>
      </c>
      <c r="B150" s="278">
        <f>DataUK1!B153/1000</f>
        <v>604.63199999999995</v>
      </c>
      <c r="C150" s="277">
        <f>AVERAGE(DataUK3!B153:B154)/1000</f>
        <v>2488.11</v>
      </c>
      <c r="D150" s="129">
        <f>B150*DataUK1!$HU$169/DataUK1!$HU153</f>
        <v>876.33902912621363</v>
      </c>
      <c r="E150" s="128">
        <f>C150*DataUK1!$HU$169/DataUK1!$HU153</f>
        <v>3606.2065880721225</v>
      </c>
      <c r="F150" s="130">
        <f t="shared" si="24"/>
        <v>10449.552383256714</v>
      </c>
      <c r="G150" s="790">
        <f t="shared" si="25"/>
        <v>43000.760429988593</v>
      </c>
      <c r="H150" s="131">
        <f t="shared" si="26"/>
        <v>14007.442872998276</v>
      </c>
      <c r="I150" s="132">
        <f t="shared" si="27"/>
        <v>57641.770013389534</v>
      </c>
      <c r="J150" s="133">
        <f t="shared" si="28"/>
        <v>15145.329043693851</v>
      </c>
      <c r="K150" s="133">
        <f t="shared" si="29"/>
        <v>62324.264423492496</v>
      </c>
      <c r="L150" s="131">
        <f t="shared" si="30"/>
        <v>20302.049656426072</v>
      </c>
      <c r="M150" s="132">
        <f t="shared" si="31"/>
        <v>83544.590380016743</v>
      </c>
      <c r="N150" s="134">
        <f t="shared" si="35"/>
        <v>4.115081570277459</v>
      </c>
      <c r="O150" s="1724">
        <f>DataUK1!EY153/DataUK1!B153</f>
        <v>0.80634667037139951</v>
      </c>
      <c r="P150" s="136">
        <f t="shared" si="36"/>
        <v>16370.490142173978</v>
      </c>
      <c r="Q150" s="764">
        <f t="shared" si="34"/>
        <v>5.1033652416299704</v>
      </c>
      <c r="R150" s="296">
        <f>DataUK2!B153</f>
        <v>57862</v>
      </c>
      <c r="S150" s="170">
        <f>(1-DataUK2!C153)*DataUK2!B153</f>
        <v>43165.052000000003</v>
      </c>
      <c r="T150" s="354">
        <f>DataUK2!E153</f>
        <v>25501</v>
      </c>
    </row>
    <row r="151" spans="1:20">
      <c r="A151" s="126">
        <v>1995</v>
      </c>
      <c r="B151" s="278">
        <f>DataUK1!B154/1000</f>
        <v>638.36900000000003</v>
      </c>
      <c r="C151" s="277">
        <f>AVERAGE(DataUK3!B154:B155)/1000</f>
        <v>2575.1095</v>
      </c>
      <c r="D151" s="129">
        <f>B151*DataUK1!$HU$169/DataUK1!$HU154</f>
        <v>901.48054729729733</v>
      </c>
      <c r="E151" s="128">
        <f>C151*DataUK1!$HU$169/DataUK1!$HU154</f>
        <v>3636.4721993243243</v>
      </c>
      <c r="F151" s="130">
        <f t="shared" si="24"/>
        <v>11001.619991383024</v>
      </c>
      <c r="G151" s="790">
        <f t="shared" si="25"/>
        <v>44379.310641964672</v>
      </c>
      <c r="H151" s="131">
        <f t="shared" si="26"/>
        <v>14747.479881210487</v>
      </c>
      <c r="I151" s="132">
        <f t="shared" si="27"/>
        <v>59489.692549550491</v>
      </c>
      <c r="J151" s="133">
        <f t="shared" si="28"/>
        <v>15536.071474317921</v>
      </c>
      <c r="K151" s="133">
        <f t="shared" si="29"/>
        <v>62670.783271423075</v>
      </c>
      <c r="L151" s="131">
        <f t="shared" si="30"/>
        <v>20825.833075493192</v>
      </c>
      <c r="M151" s="132">
        <f t="shared" si="31"/>
        <v>84009.092857135489</v>
      </c>
      <c r="N151" s="134">
        <f t="shared" si="35"/>
        <v>4.0338887070017497</v>
      </c>
      <c r="O151" s="1724">
        <f>DataUK1!EY154/DataUK1!B154</f>
        <v>0.79657533495517485</v>
      </c>
      <c r="P151" s="136">
        <f t="shared" si="36"/>
        <v>16589.344957831549</v>
      </c>
      <c r="Q151" s="764">
        <f t="shared" si="34"/>
        <v>5.0640391812140981</v>
      </c>
      <c r="R151" s="296">
        <f>DataUK2!B154</f>
        <v>58025</v>
      </c>
      <c r="S151" s="170">
        <f>(1-DataUK2!C154)*DataUK2!B154</f>
        <v>43286.65</v>
      </c>
      <c r="T151" s="354">
        <f>DataUK2!E154</f>
        <v>25814</v>
      </c>
    </row>
    <row r="152" spans="1:20">
      <c r="A152" s="126">
        <v>1996</v>
      </c>
      <c r="B152" s="278">
        <f>DataUK1!B155/1000</f>
        <v>683.14200000000005</v>
      </c>
      <c r="C152" s="277">
        <f>AVERAGE(DataUK3!B155:B156)/1000</f>
        <v>2803.8175000000001</v>
      </c>
      <c r="D152" s="129">
        <f>B152*DataUK1!$HU$169/DataUK1!$HU155</f>
        <v>930.74757496740551</v>
      </c>
      <c r="E152" s="128">
        <f>C152*DataUK1!$HU$169/DataUK1!$HU155</f>
        <v>3820.0642601043028</v>
      </c>
      <c r="F152" s="130">
        <f t="shared" si="24"/>
        <v>11745.100061893954</v>
      </c>
      <c r="G152" s="790">
        <f t="shared" si="25"/>
        <v>48205.37617770442</v>
      </c>
      <c r="H152" s="131">
        <f t="shared" si="26"/>
        <v>15744.101959643373</v>
      </c>
      <c r="I152" s="132">
        <f t="shared" si="27"/>
        <v>64618.466726145343</v>
      </c>
      <c r="J152" s="133">
        <f t="shared" si="28"/>
        <v>16002.124595409627</v>
      </c>
      <c r="K152" s="133">
        <f t="shared" si="29"/>
        <v>65677.468195177484</v>
      </c>
      <c r="L152" s="131">
        <f t="shared" si="30"/>
        <v>21450.569162747492</v>
      </c>
      <c r="M152" s="132">
        <f t="shared" si="31"/>
        <v>88039.501602114586</v>
      </c>
      <c r="N152" s="134">
        <f t="shared" si="35"/>
        <v>4.1042967640695487</v>
      </c>
      <c r="O152" s="1724">
        <f>DataUK1!EY155/DataUK1!B155</f>
        <v>0.79648594289327845</v>
      </c>
      <c r="P152" s="136">
        <f t="shared" si="36"/>
        <v>17085.076805188419</v>
      </c>
      <c r="Q152" s="764">
        <f t="shared" si="34"/>
        <v>5.1530059013476972</v>
      </c>
      <c r="R152" s="296">
        <f>DataUK2!B155</f>
        <v>58164</v>
      </c>
      <c r="S152" s="170">
        <f>(1-DataUK2!C155)*DataUK2!B155</f>
        <v>43390.343999999997</v>
      </c>
      <c r="T152" s="354">
        <f>DataUK2!E155</f>
        <v>26056</v>
      </c>
    </row>
    <row r="153" spans="1:20">
      <c r="A153" s="126">
        <v>1997</v>
      </c>
      <c r="B153" s="278">
        <f>DataUK1!B156/1000</f>
        <v>732.45399999999995</v>
      </c>
      <c r="C153" s="277">
        <f>AVERAGE(DataUK3!B156:B157)/1000</f>
        <v>3160.9414999999999</v>
      </c>
      <c r="D153" s="129">
        <f>B153*DataUK1!$HU$169/DataUK1!$HU156</f>
        <v>972.57233799237611</v>
      </c>
      <c r="E153" s="128">
        <f>C153*DataUK1!$HU$169/DataUK1!$HU156</f>
        <v>4197.1840756035581</v>
      </c>
      <c r="F153" s="130">
        <f t="shared" si="24"/>
        <v>12560.517199986281</v>
      </c>
      <c r="G153" s="790">
        <f t="shared" si="25"/>
        <v>54205.533834070724</v>
      </c>
      <c r="H153" s="131">
        <f t="shared" si="26"/>
        <v>16837.154423574102</v>
      </c>
      <c r="I153" s="132">
        <f t="shared" si="27"/>
        <v>72661.573504116255</v>
      </c>
      <c r="J153" s="133">
        <f t="shared" si="28"/>
        <v>16678.196282065644</v>
      </c>
      <c r="K153" s="133">
        <f t="shared" si="29"/>
        <v>71975.581774592007</v>
      </c>
      <c r="L153" s="131">
        <f t="shared" si="30"/>
        <v>22356.831477299795</v>
      </c>
      <c r="M153" s="132">
        <f t="shared" si="31"/>
        <v>96482.013102670244</v>
      </c>
      <c r="N153" s="134">
        <f t="shared" si="35"/>
        <v>4.3155495089111398</v>
      </c>
      <c r="O153" s="1724">
        <f>DataUK1!EY156/DataUK1!B156</f>
        <v>0.78992673942663971</v>
      </c>
      <c r="P153" s="136">
        <f t="shared" si="36"/>
        <v>17660.258992774292</v>
      </c>
      <c r="Q153" s="764">
        <f t="shared" si="34"/>
        <v>5.4632275292307959</v>
      </c>
      <c r="R153" s="296">
        <f>DataUK2!B156</f>
        <v>58314</v>
      </c>
      <c r="S153" s="170">
        <f>(1-DataUK2!C156)*DataUK2!B156</f>
        <v>43502.243999999999</v>
      </c>
      <c r="T153" s="354">
        <f>DataUK2!E156</f>
        <v>26523</v>
      </c>
    </row>
    <row r="154" spans="1:20">
      <c r="A154" s="126">
        <v>1998</v>
      </c>
      <c r="B154" s="278">
        <f>DataUK1!B157/1000</f>
        <v>788.58399999999995</v>
      </c>
      <c r="C154" s="277">
        <f>AVERAGE(DataUK3!B157:B158)/1000</f>
        <v>3575.0059999999999</v>
      </c>
      <c r="D154" s="129">
        <f>B154*DataUK1!$HU$169/DataUK1!$HU157</f>
        <v>1026.2394520547944</v>
      </c>
      <c r="E154" s="128">
        <f>C154*DataUK1!$HU$169/DataUK1!$HU157</f>
        <v>4652.4050684931508</v>
      </c>
      <c r="F154" s="130">
        <f t="shared" si="24"/>
        <v>13485.831551945275</v>
      </c>
      <c r="G154" s="790">
        <f t="shared" si="25"/>
        <v>61137.340743907655</v>
      </c>
      <c r="H154" s="131">
        <f t="shared" si="26"/>
        <v>18101.787318047351</v>
      </c>
      <c r="I154" s="132">
        <f t="shared" si="27"/>
        <v>82063.544622694841</v>
      </c>
      <c r="J154" s="133">
        <f t="shared" si="28"/>
        <v>17550.054759380833</v>
      </c>
      <c r="K154" s="133">
        <f t="shared" si="29"/>
        <v>79562.292748920925</v>
      </c>
      <c r="L154" s="131">
        <f t="shared" si="30"/>
        <v>23557.120482390383</v>
      </c>
      <c r="M154" s="132">
        <f t="shared" si="31"/>
        <v>106795.02382405492</v>
      </c>
      <c r="N154" s="134">
        <f t="shared" si="35"/>
        <v>4.5334498290606966</v>
      </c>
      <c r="O154" s="1724">
        <f>DataUK1!EY157/DataUK1!B157</f>
        <v>0.77009424487435707</v>
      </c>
      <c r="P154" s="136">
        <f t="shared" si="36"/>
        <v>18141.202909300671</v>
      </c>
      <c r="Q154" s="764">
        <f t="shared" si="34"/>
        <v>5.8868766507927104</v>
      </c>
      <c r="R154" s="296">
        <f>DataUK2!B157</f>
        <v>58475</v>
      </c>
      <c r="S154" s="170">
        <f>(1-DataUK2!C157)*DataUK2!B157</f>
        <v>43563.875</v>
      </c>
      <c r="T154" s="354">
        <f>DataUK2!E157</f>
        <v>26794</v>
      </c>
    </row>
    <row r="155" spans="1:20">
      <c r="A155" s="155">
        <f t="shared" ref="A155:A163" si="37">A154+1</f>
        <v>1999</v>
      </c>
      <c r="B155" s="278">
        <f>DataUK1!B158/1000</f>
        <v>819.22900000000004</v>
      </c>
      <c r="C155" s="277">
        <f>AVERAGE(DataUK3!B158:B159)/1000</f>
        <v>4046.7339999999999</v>
      </c>
      <c r="D155" s="129">
        <f>B155*DataUK1!$HU$169/DataUK1!$HU158</f>
        <v>1045.2921916971916</v>
      </c>
      <c r="E155" s="759">
        <f>C155*DataUK1!$HU$169/DataUK1!$HU158</f>
        <v>5163.4151770451763</v>
      </c>
      <c r="F155" s="147">
        <f t="shared" si="24"/>
        <v>13960.006134551155</v>
      </c>
      <c r="G155" s="791">
        <f t="shared" si="25"/>
        <v>68958.046486265419</v>
      </c>
      <c r="H155" s="148">
        <f t="shared" si="26"/>
        <v>18713.144952481442</v>
      </c>
      <c r="I155" s="149">
        <f t="shared" si="27"/>
        <v>92437.05963306356</v>
      </c>
      <c r="J155" s="150">
        <f t="shared" si="28"/>
        <v>17812.217839567711</v>
      </c>
      <c r="K155" s="150">
        <f t="shared" si="29"/>
        <v>87986.76261068054</v>
      </c>
      <c r="L155" s="148">
        <f t="shared" si="30"/>
        <v>23876.967613361543</v>
      </c>
      <c r="M155" s="149">
        <f t="shared" si="31"/>
        <v>117944.72199823127</v>
      </c>
      <c r="N155" s="151">
        <f t="shared" si="35"/>
        <v>4.9396859730307394</v>
      </c>
      <c r="O155" s="1724">
        <f>DataUK1!EY158/DataUK1!B158</f>
        <v>0.74885166418669258</v>
      </c>
      <c r="P155" s="136">
        <f t="shared" si="36"/>
        <v>17880.306932997551</v>
      </c>
      <c r="Q155" s="764">
        <f t="shared" si="34"/>
        <v>6.5963477271504738</v>
      </c>
      <c r="R155" s="297">
        <f>DataUK2!B158</f>
        <v>58684</v>
      </c>
      <c r="S155" s="257">
        <f>(1-DataUK2!C158)*DataUK2!B158</f>
        <v>43778.264000000003</v>
      </c>
      <c r="T155" s="775">
        <f>DataUK2!E158</f>
        <v>27167</v>
      </c>
    </row>
    <row r="156" spans="1:20">
      <c r="A156" s="156">
        <f t="shared" si="37"/>
        <v>2000</v>
      </c>
      <c r="B156" s="281">
        <f>DataUK1!B159/1000</f>
        <v>863.23900000000003</v>
      </c>
      <c r="C156" s="282">
        <f>AVERAGE(DataUK3!B159:B160)/1000</f>
        <v>4441.8395</v>
      </c>
      <c r="D156" s="138">
        <f>B156*DataUK1!$HU$169/DataUK1!$HU159</f>
        <v>1094.763052184466</v>
      </c>
      <c r="E156" s="128">
        <f>C156*DataUK1!$HU$169/DataUK1!$HU159</f>
        <v>5633.1581037621354</v>
      </c>
      <c r="F156" s="130">
        <f t="shared" si="24"/>
        <v>14659.494616717047</v>
      </c>
      <c r="G156" s="790">
        <f t="shared" si="25"/>
        <v>75431.163604252288</v>
      </c>
      <c r="H156" s="131">
        <f t="shared" si="26"/>
        <v>19624.49078543112</v>
      </c>
      <c r="I156" s="132">
        <f t="shared" si="27"/>
        <v>100978.80000569249</v>
      </c>
      <c r="J156" s="133">
        <f t="shared" si="28"/>
        <v>18591.228002996741</v>
      </c>
      <c r="K156" s="133">
        <f t="shared" si="29"/>
        <v>95662.09461947043</v>
      </c>
      <c r="L156" s="131">
        <f t="shared" si="30"/>
        <v>24887.85542569845</v>
      </c>
      <c r="M156" s="132">
        <f t="shared" si="31"/>
        <v>128061.70631789883</v>
      </c>
      <c r="N156" s="134">
        <f t="shared" si="35"/>
        <v>5.1455500736180824</v>
      </c>
      <c r="O156" s="1727">
        <f>DataUK1!EY159/DataUK1!B159</f>
        <v>0.73692453654202372</v>
      </c>
      <c r="P156" s="144">
        <f t="shared" si="36"/>
        <v>18340.471325107719</v>
      </c>
      <c r="Q156" s="766">
        <f t="shared" si="34"/>
        <v>6.9824653929468576</v>
      </c>
      <c r="R156" s="296">
        <f>DataUK2!B159</f>
        <v>58886</v>
      </c>
      <c r="S156" s="170">
        <f>(1-DataUK2!C159)*DataUK2!B159</f>
        <v>43987.841999999997</v>
      </c>
      <c r="T156" s="354">
        <f>DataUK2!E159</f>
        <v>27484</v>
      </c>
    </row>
    <row r="157" spans="1:20">
      <c r="A157" s="155">
        <f t="shared" si="37"/>
        <v>2001</v>
      </c>
      <c r="B157" s="278">
        <f>DataUK1!B160/1000</f>
        <v>911.923</v>
      </c>
      <c r="C157" s="277">
        <f>AVERAGE(DataUK3!B160:B161)/1000</f>
        <v>4501.6229999999996</v>
      </c>
      <c r="D157" s="129">
        <f>B157*DataUK1!$HU$169/DataUK1!$HU160</f>
        <v>1139.9037500000002</v>
      </c>
      <c r="E157" s="128">
        <f>C157*DataUK1!$HU$169/DataUK1!$HU160</f>
        <v>5627.0287500000004</v>
      </c>
      <c r="F157" s="130">
        <f t="shared" si="24"/>
        <v>15426.775836110501</v>
      </c>
      <c r="G157" s="790">
        <f t="shared" si="25"/>
        <v>76152.842860284538</v>
      </c>
      <c r="H157" s="131">
        <f t="shared" si="26"/>
        <v>20596.496443405205</v>
      </c>
      <c r="I157" s="132">
        <f t="shared" si="27"/>
        <v>101672.68739690859</v>
      </c>
      <c r="J157" s="133">
        <f t="shared" si="28"/>
        <v>19283.469795138128</v>
      </c>
      <c r="K157" s="133">
        <f t="shared" si="29"/>
        <v>95191.053575355676</v>
      </c>
      <c r="L157" s="131">
        <f t="shared" si="30"/>
        <v>25745.620554256511</v>
      </c>
      <c r="M157" s="132">
        <f t="shared" si="31"/>
        <v>127090.85924613575</v>
      </c>
      <c r="N157" s="134">
        <f t="shared" si="35"/>
        <v>4.9364069115484526</v>
      </c>
      <c r="O157" s="1724">
        <f>DataUK1!EY160/DataUK1!B160</f>
        <v>0.74234666742696476</v>
      </c>
      <c r="P157" s="136">
        <f t="shared" si="36"/>
        <v>19112.175619291487</v>
      </c>
      <c r="Q157" s="764">
        <f t="shared" si="34"/>
        <v>6.6497327032644318</v>
      </c>
      <c r="R157" s="296">
        <f>DataUK2!B160</f>
        <v>59113</v>
      </c>
      <c r="S157" s="170">
        <f>(1-DataUK2!C160)*DataUK2!B160</f>
        <v>44275.637000000002</v>
      </c>
      <c r="T157" s="354">
        <f>DataUK2!E160</f>
        <v>27711</v>
      </c>
    </row>
    <row r="158" spans="1:20">
      <c r="A158" s="155">
        <f t="shared" si="37"/>
        <v>2002</v>
      </c>
      <c r="B158" s="278">
        <f>DataUK1!B161/1000</f>
        <v>969.58299999999997</v>
      </c>
      <c r="C158" s="277">
        <f>AVERAGE(DataUK3!B161:B162)/1000</f>
        <v>4516.848</v>
      </c>
      <c r="D158" s="129">
        <f>B158*DataUK1!$HU$169/DataUK1!$HU161</f>
        <v>1182.2803208868143</v>
      </c>
      <c r="E158" s="128">
        <f>C158*DataUK1!$HU$169/DataUK1!$HU161</f>
        <v>5507.7084714119019</v>
      </c>
      <c r="F158" s="130">
        <f t="shared" si="24"/>
        <v>16345.235084880056</v>
      </c>
      <c r="G158" s="790">
        <f t="shared" si="25"/>
        <v>76145.046275223795</v>
      </c>
      <c r="H158" s="131">
        <f t="shared" si="26"/>
        <v>21793.646779840074</v>
      </c>
      <c r="I158" s="132">
        <f t="shared" si="27"/>
        <v>101526.72836696505</v>
      </c>
      <c r="J158" s="133">
        <f t="shared" si="28"/>
        <v>19930.887588914418</v>
      </c>
      <c r="K158" s="133">
        <f t="shared" si="29"/>
        <v>92848.977080057011</v>
      </c>
      <c r="L158" s="131">
        <f t="shared" si="30"/>
        <v>26574.516785219224</v>
      </c>
      <c r="M158" s="132">
        <f t="shared" si="31"/>
        <v>123798.63610674268</v>
      </c>
      <c r="N158" s="134">
        <f t="shared" si="35"/>
        <v>4.6585470248550154</v>
      </c>
      <c r="O158" s="1724">
        <f>DataUK1!EY161/DataUK1!B161</f>
        <v>0.76079304195721253</v>
      </c>
      <c r="P158" s="136">
        <f t="shared" si="36"/>
        <v>20217.707463569939</v>
      </c>
      <c r="Q158" s="764">
        <f t="shared" si="34"/>
        <v>6.1232776431162668</v>
      </c>
      <c r="R158" s="296">
        <f>DataUK2!B161</f>
        <v>59319</v>
      </c>
      <c r="S158" s="170">
        <f>(1-DataUK2!C161)*DataUK2!B161</f>
        <v>44489.25</v>
      </c>
      <c r="T158" s="354">
        <f>DataUK2!E161</f>
        <v>27922</v>
      </c>
    </row>
    <row r="159" spans="1:20">
      <c r="A159" s="155">
        <f t="shared" si="37"/>
        <v>2003</v>
      </c>
      <c r="B159" s="278">
        <f>DataUK1!B162/1000</f>
        <v>1029.6079999999999</v>
      </c>
      <c r="C159" s="277">
        <f>AVERAGE(DataUK3!B162:B163)/1000</f>
        <v>4785.6405000000004</v>
      </c>
      <c r="D159" s="129">
        <f>B159*DataUK1!$HU$169/DataUK1!$HU162</f>
        <v>1226.8419156214366</v>
      </c>
      <c r="E159" s="128">
        <f>C159*DataUK1!$HU$169/DataUK1!$HU162</f>
        <v>5702.3880530216657</v>
      </c>
      <c r="F159" s="130">
        <f t="shared" si="24"/>
        <v>17289.226222461042</v>
      </c>
      <c r="G159" s="790">
        <f t="shared" si="25"/>
        <v>80360.701571735626</v>
      </c>
      <c r="H159" s="131">
        <f t="shared" si="26"/>
        <v>23021.606155074624</v>
      </c>
      <c r="I159" s="132">
        <f t="shared" si="27"/>
        <v>107004.92885717127</v>
      </c>
      <c r="J159" s="133">
        <f t="shared" si="28"/>
        <v>20601.187460059049</v>
      </c>
      <c r="K159" s="133">
        <f t="shared" si="29"/>
        <v>95754.769831771657</v>
      </c>
      <c r="L159" s="131">
        <f t="shared" si="30"/>
        <v>27431.674380904195</v>
      </c>
      <c r="M159" s="132">
        <f t="shared" si="31"/>
        <v>127503.02241247889</v>
      </c>
      <c r="N159" s="134">
        <f t="shared" si="35"/>
        <v>4.6480218685169508</v>
      </c>
      <c r="O159" s="1724">
        <f>DataUK1!EY162/DataUK1!B162</f>
        <v>0.76653347681836193</v>
      </c>
      <c r="P159" s="136">
        <f t="shared" si="36"/>
        <v>21027.296738143679</v>
      </c>
      <c r="Q159" s="764">
        <f t="shared" si="34"/>
        <v>6.0636906398523127</v>
      </c>
      <c r="R159" s="296">
        <f>DataUK2!B162</f>
        <v>59552</v>
      </c>
      <c r="S159" s="170">
        <f>(1-DataUK2!C162)*DataUK2!B162</f>
        <v>44723.552000000003</v>
      </c>
      <c r="T159" s="354">
        <f>DataUK2!E162</f>
        <v>28189</v>
      </c>
    </row>
    <row r="160" spans="1:20">
      <c r="A160" s="155">
        <f t="shared" si="37"/>
        <v>2004</v>
      </c>
      <c r="B160" s="278">
        <f>DataUK1!B163/1000</f>
        <v>1084.702</v>
      </c>
      <c r="C160" s="277">
        <f>AVERAGE(DataUK3!B163:B164)/1000</f>
        <v>5219.5410000000002</v>
      </c>
      <c r="D160" s="129">
        <f>B160*DataUK1!$HU$169/DataUK1!$HU163</f>
        <v>1260.8605005561735</v>
      </c>
      <c r="E160" s="128">
        <f>C160*DataUK1!$HU$169/DataUK1!$HU163</f>
        <v>6067.2083926585101</v>
      </c>
      <c r="F160" s="130">
        <f t="shared" si="24"/>
        <v>18126.098726646836</v>
      </c>
      <c r="G160" s="790">
        <f t="shared" si="25"/>
        <v>87222.034691353896</v>
      </c>
      <c r="H160" s="131">
        <f t="shared" si="26"/>
        <v>24103.854689689942</v>
      </c>
      <c r="I160" s="132">
        <f t="shared" si="27"/>
        <v>115986.74825977912</v>
      </c>
      <c r="J160" s="133">
        <f t="shared" si="28"/>
        <v>21069.825549884255</v>
      </c>
      <c r="K160" s="133">
        <f t="shared" si="29"/>
        <v>101387.12597604543</v>
      </c>
      <c r="L160" s="131">
        <f t="shared" si="30"/>
        <v>28018.3850397397</v>
      </c>
      <c r="M160" s="132">
        <f t="shared" si="31"/>
        <v>134823.30581920934</v>
      </c>
      <c r="N160" s="134">
        <f t="shared" si="35"/>
        <v>4.811958491825405</v>
      </c>
      <c r="O160" s="1724">
        <f>DataUK1!EY163/DataUK1!B163</f>
        <v>0.76041253726830038</v>
      </c>
      <c r="P160" s="136">
        <f t="shared" si="36"/>
        <v>21305.531258228653</v>
      </c>
      <c r="Q160" s="764">
        <f t="shared" si="34"/>
        <v>6.3280893672687784</v>
      </c>
      <c r="R160" s="296">
        <f>DataUK2!B163</f>
        <v>59842</v>
      </c>
      <c r="S160" s="170">
        <f>(1-DataUK2!C163)*DataUK2!B163</f>
        <v>45001.184000000001</v>
      </c>
      <c r="T160" s="354">
        <f>DataUK2!E163</f>
        <v>28489</v>
      </c>
    </row>
    <row r="161" spans="1:20">
      <c r="A161" s="155">
        <f t="shared" si="37"/>
        <v>2005</v>
      </c>
      <c r="B161" s="278">
        <f>DataUK1!B164/1000</f>
        <v>1137.1110000000001</v>
      </c>
      <c r="C161" s="277">
        <f>AVERAGE(DataUK3!B164:B165)/1000</f>
        <v>5676.6255000000001</v>
      </c>
      <c r="D161" s="129">
        <f>B161*DataUK1!$HU$169/DataUK1!$HU164</f>
        <v>1294.4237418300654</v>
      </c>
      <c r="E161" s="128">
        <f>C161*DataUK1!$HU$169/DataUK1!$HU164</f>
        <v>6461.9538643790856</v>
      </c>
      <c r="F161" s="130">
        <f t="shared" si="24"/>
        <v>18877.911513239811</v>
      </c>
      <c r="G161" s="790">
        <f t="shared" si="25"/>
        <v>94241.313190005807</v>
      </c>
      <c r="H161" s="131">
        <f t="shared" si="26"/>
        <v>25037.017922068713</v>
      </c>
      <c r="I161" s="132">
        <f t="shared" si="27"/>
        <v>124988.47903183794</v>
      </c>
      <c r="J161" s="133">
        <f t="shared" si="28"/>
        <v>21489.561580975605</v>
      </c>
      <c r="K161" s="133">
        <f t="shared" si="29"/>
        <v>107279.05477511555</v>
      </c>
      <c r="L161" s="131">
        <f t="shared" si="30"/>
        <v>28500.744802354911</v>
      </c>
      <c r="M161" s="132">
        <f t="shared" si="31"/>
        <v>142279.91349484821</v>
      </c>
      <c r="N161" s="134">
        <f t="shared" si="35"/>
        <v>4.9921472046264608</v>
      </c>
      <c r="O161" s="1724">
        <f>DataUK1!EY164/DataUK1!B164</f>
        <v>0.75367752136774691</v>
      </c>
      <c r="P161" s="136">
        <f t="shared" si="36"/>
        <v>21480.370699773546</v>
      </c>
      <c r="Q161" s="764">
        <f t="shared" si="34"/>
        <v>6.6237177879033613</v>
      </c>
      <c r="R161" s="296">
        <f>DataUK2!B164</f>
        <v>60235</v>
      </c>
      <c r="S161" s="170">
        <f>(1-DataUK2!C164)*DataUK2!B164</f>
        <v>45417.19</v>
      </c>
      <c r="T161" s="354">
        <f>DataUK2!E164</f>
        <v>28779</v>
      </c>
    </row>
    <row r="162" spans="1:20">
      <c r="A162" s="155">
        <f t="shared" si="37"/>
        <v>2006</v>
      </c>
      <c r="B162" s="278">
        <f>DataUK1!B165/1000</f>
        <v>1189.52</v>
      </c>
      <c r="C162" s="277">
        <f>AVERAGE(DataUK3!B165:B166)/1000</f>
        <v>6172.8935000000001</v>
      </c>
      <c r="D162" s="129">
        <f>B162*DataUK1!$HU$169/DataUK1!$HU165</f>
        <v>1311.2324894514768</v>
      </c>
      <c r="E162" s="128">
        <f>C162*DataUK1!$HU$169/DataUK1!$HU165</f>
        <v>6804.5081302742619</v>
      </c>
      <c r="F162" s="130">
        <f t="shared" si="24"/>
        <v>19634.226858576523</v>
      </c>
      <c r="G162" s="790">
        <f t="shared" si="25"/>
        <v>101889.830648356</v>
      </c>
      <c r="H162" s="131">
        <f t="shared" si="26"/>
        <v>25971.199548381643</v>
      </c>
      <c r="I162" s="132">
        <f t="shared" si="27"/>
        <v>134774.90826502116</v>
      </c>
      <c r="J162" s="133">
        <f t="shared" si="28"/>
        <v>21643.214205920322</v>
      </c>
      <c r="K162" s="133">
        <f t="shared" si="29"/>
        <v>112315.26690667935</v>
      </c>
      <c r="L162" s="131">
        <f t="shared" si="30"/>
        <v>28628.590219471327</v>
      </c>
      <c r="M162" s="132">
        <f t="shared" si="31"/>
        <v>148565.16786597797</v>
      </c>
      <c r="N162" s="134">
        <f t="shared" si="35"/>
        <v>5.1893986650077348</v>
      </c>
      <c r="O162" s="1724">
        <f>DataUK1!EY165/DataUK1!B165</f>
        <v>0.74036586186024611</v>
      </c>
      <c r="P162" s="136">
        <f t="shared" si="36"/>
        <v>21195.630871682701</v>
      </c>
      <c r="Q162" s="764">
        <f t="shared" si="34"/>
        <v>7.009235477131309</v>
      </c>
      <c r="R162" s="296">
        <f>DataUK2!B165</f>
        <v>60584</v>
      </c>
      <c r="S162" s="170">
        <f>(1-DataUK2!C165)*DataUK2!B165</f>
        <v>45801.504000000001</v>
      </c>
      <c r="T162" s="354">
        <f>DataUK2!E165</f>
        <v>29031</v>
      </c>
    </row>
    <row r="163" spans="1:20">
      <c r="A163" s="155">
        <f t="shared" si="37"/>
        <v>2007</v>
      </c>
      <c r="B163" s="278">
        <f>DataUK1!B166/1000</f>
        <v>1271.127</v>
      </c>
      <c r="C163" s="277">
        <f>AVERAGE(DataUK3!B166:B167)/1000</f>
        <v>6644.3185000000003</v>
      </c>
      <c r="D163" s="129">
        <f>B163*DataUK1!$HU$169/DataUK1!$HU166</f>
        <v>1369.4100154639175</v>
      </c>
      <c r="E163" s="128">
        <f>C163*DataUK1!$HU$169/DataUK1!$HU166</f>
        <v>7158.0544664948447</v>
      </c>
      <c r="F163" s="130">
        <f t="shared" si="24"/>
        <v>20842.931164529564</v>
      </c>
      <c r="G163" s="790">
        <f t="shared" si="25"/>
        <v>108948.25861673171</v>
      </c>
      <c r="H163" s="131">
        <f t="shared" si="26"/>
        <v>27497.270665606287</v>
      </c>
      <c r="I163" s="132">
        <f t="shared" si="27"/>
        <v>143731.21189542441</v>
      </c>
      <c r="J163" s="133">
        <f t="shared" si="28"/>
        <v>22454.498007147828</v>
      </c>
      <c r="K163" s="133">
        <f t="shared" si="29"/>
        <v>117372.09304586043</v>
      </c>
      <c r="L163" s="131">
        <f t="shared" si="30"/>
        <v>29623.348294390275</v>
      </c>
      <c r="M163" s="132">
        <f t="shared" si="31"/>
        <v>154844.44992857578</v>
      </c>
      <c r="N163" s="134">
        <f t="shared" si="35"/>
        <v>5.2271083062510675</v>
      </c>
      <c r="O163" s="1724">
        <f>DataUK1!EY166/DataUK1!B166</f>
        <v>0.74917061788475892</v>
      </c>
      <c r="P163" s="136">
        <f t="shared" si="36"/>
        <v>22192.942145523783</v>
      </c>
      <c r="Q163" s="764">
        <f t="shared" si="34"/>
        <v>6.9771934209186073</v>
      </c>
      <c r="R163" s="296">
        <f>DataUK2!B166</f>
        <v>60986</v>
      </c>
      <c r="S163" s="170">
        <f>(1-DataUK2!C166)*DataUK2!B166</f>
        <v>46227.387999999999</v>
      </c>
      <c r="T163" s="354">
        <f>DataUK2!E166</f>
        <v>29228</v>
      </c>
    </row>
    <row r="164" spans="1:20">
      <c r="A164" s="155">
        <v>2008</v>
      </c>
      <c r="B164" s="278">
        <f>DataUK1!B167/1000</f>
        <v>1313.7919999999999</v>
      </c>
      <c r="C164" s="277">
        <f>AVERAGE(DataUK3!B167:B168)/1000</f>
        <v>6444.4414999999999</v>
      </c>
      <c r="D164" s="129">
        <f>B164*DataUK1!$HU$169/DataUK1!$HU167</f>
        <v>1372.91264</v>
      </c>
      <c r="E164" s="128">
        <f>C164*DataUK1!$HU$169/DataUK1!$HU167</f>
        <v>6734.4413674999996</v>
      </c>
      <c r="F164" s="130">
        <f t="shared" si="24"/>
        <v>21397.96084563015</v>
      </c>
      <c r="G164" s="790">
        <f t="shared" si="25"/>
        <v>104961.74956838985</v>
      </c>
      <c r="H164" s="131">
        <f t="shared" si="26"/>
        <v>28192.306779486364</v>
      </c>
      <c r="I164" s="132">
        <f t="shared" si="27"/>
        <v>138289.52512304328</v>
      </c>
      <c r="J164" s="133">
        <f t="shared" si="28"/>
        <v>22360.869083683509</v>
      </c>
      <c r="K164" s="133">
        <f t="shared" si="29"/>
        <v>109685.02829896739</v>
      </c>
      <c r="L164" s="131">
        <f t="shared" si="30"/>
        <v>29460.96058456325</v>
      </c>
      <c r="M164" s="132">
        <f t="shared" si="31"/>
        <v>144512.55375358023</v>
      </c>
      <c r="N164" s="134">
        <f t="shared" si="35"/>
        <v>4.9052220595040925</v>
      </c>
      <c r="O164" s="1724">
        <f>DataUK1!EY167/DataUK1!B167</f>
        <v>0.75645459859703823</v>
      </c>
      <c r="P164" s="136">
        <f t="shared" si="36"/>
        <v>22285.879113278959</v>
      </c>
      <c r="Q164" s="764">
        <f t="shared" si="34"/>
        <v>6.4844897084393214</v>
      </c>
      <c r="R164" s="296">
        <f>DataUK2!B167</f>
        <v>61398</v>
      </c>
      <c r="S164" s="170">
        <f>(1-DataUK2!C167)*DataUK2!B167</f>
        <v>46601.082000000002</v>
      </c>
      <c r="T164" s="354">
        <f>DataUK2!E167</f>
        <v>29442</v>
      </c>
    </row>
    <row r="165" spans="1:20">
      <c r="A165" s="774">
        <v>2009</v>
      </c>
      <c r="B165" s="279">
        <f>DataUK1!B168/1000</f>
        <v>1254.0530000000001</v>
      </c>
      <c r="C165" s="280">
        <f>AVERAGE(DataUK3!B168:B169)/1000</f>
        <v>6325.5095000000001</v>
      </c>
      <c r="D165" s="146">
        <f>B165*DataUK1!$HU$169/DataUK1!$HU168</f>
        <v>1288.5795329400198</v>
      </c>
      <c r="E165" s="759">
        <f>C165*DataUK1!$HU$169/DataUK1!$HU168</f>
        <v>6499.663153883972</v>
      </c>
      <c r="F165" s="147">
        <f t="shared" si="24"/>
        <v>20294.746892801657</v>
      </c>
      <c r="G165" s="791">
        <f t="shared" si="25"/>
        <v>102367.77414552045</v>
      </c>
      <c r="H165" s="148">
        <f t="shared" si="26"/>
        <v>26668.524169253164</v>
      </c>
      <c r="I165" s="149">
        <f t="shared" si="27"/>
        <v>134517.44302959324</v>
      </c>
      <c r="J165" s="150">
        <f t="shared" si="28"/>
        <v>20853.50098621213</v>
      </c>
      <c r="K165" s="150">
        <f t="shared" si="29"/>
        <v>105186.15927440401</v>
      </c>
      <c r="L165" s="148">
        <f t="shared" si="30"/>
        <v>27402.760822880591</v>
      </c>
      <c r="M165" s="149">
        <f t="shared" si="31"/>
        <v>138220.97145125363</v>
      </c>
      <c r="N165" s="151">
        <f t="shared" si="35"/>
        <v>5.0440527633202104</v>
      </c>
      <c r="O165" s="1725">
        <f>DataUK1!EY168/DataUK1!B168</f>
        <v>0.78863094303031844</v>
      </c>
      <c r="P165" s="153">
        <f t="shared" si="36"/>
        <v>21610.665109382586</v>
      </c>
      <c r="Q165" s="765">
        <f t="shared" si="34"/>
        <v>6.395961010530999</v>
      </c>
      <c r="R165" s="297">
        <f>DataUK2!B168</f>
        <v>61792</v>
      </c>
      <c r="S165" s="257">
        <f>(1-DataUK2!C168)*DataUK2!B168</f>
        <v>47023.712</v>
      </c>
      <c r="T165" s="775">
        <f>DataUK2!E168</f>
        <v>28978</v>
      </c>
    </row>
    <row r="166" spans="1:20" ht="13" thickBot="1">
      <c r="A166" s="157">
        <v>2010</v>
      </c>
      <c r="B166" s="283">
        <f>DataUK1!B169/1000</f>
        <v>1312.3</v>
      </c>
      <c r="C166" s="284">
        <f>AVERAGE(DataUK3!B169:B170)/1000</f>
        <v>6848.5789999999997</v>
      </c>
      <c r="D166" s="158">
        <f>B166*DataUK1!$HU$169/DataUK1!$HU169</f>
        <v>1312.3</v>
      </c>
      <c r="E166" s="788">
        <f>C166*DataUK1!$HU$169/DataUK1!$HU169</f>
        <v>6848.5789999999997</v>
      </c>
      <c r="F166" s="159">
        <f>1000000*B166/$R166</f>
        <v>21104.517457101043</v>
      </c>
      <c r="G166" s="819">
        <f>1000000*C166/$R166</f>
        <v>110139.41557710555</v>
      </c>
      <c r="H166" s="160">
        <f>1000000*B166/$S166</f>
        <v>27696.217135303206</v>
      </c>
      <c r="I166" s="161">
        <f>1000000*C166/$S166</f>
        <v>144539.91545551911</v>
      </c>
      <c r="J166" s="162">
        <f>1000000*D166/$R166</f>
        <v>21104.517457101043</v>
      </c>
      <c r="K166" s="162">
        <f>1000000*E166/$R166</f>
        <v>110139.41557710555</v>
      </c>
      <c r="L166" s="160">
        <f>1000000*D166/$S166</f>
        <v>27696.217135303206</v>
      </c>
      <c r="M166" s="161">
        <f>1000000*E166/$S166</f>
        <v>144539.91545551911</v>
      </c>
      <c r="N166" s="163">
        <f t="shared" si="35"/>
        <v>5.2187601920292614</v>
      </c>
      <c r="O166" s="1728">
        <f>DataUK1!EY169/DataUK1!B169</f>
        <v>0.79135030099824732</v>
      </c>
      <c r="P166" s="164">
        <f t="shared" si="36"/>
        <v>21917.409766535009</v>
      </c>
      <c r="Q166" s="767">
        <f t="shared" si="34"/>
        <v>6.5947535313325423</v>
      </c>
      <c r="R166" s="299">
        <f>DataUK2!B169</f>
        <v>62181</v>
      </c>
      <c r="S166" s="261">
        <f>(1-DataUK2!C169)*DataUK2!B169</f>
        <v>47381.921999999999</v>
      </c>
      <c r="T166" s="355">
        <f>DataUK2!E169</f>
        <v>29043</v>
      </c>
    </row>
    <row r="167" spans="1:20" ht="14" thickTop="1" thickBot="1">
      <c r="B167" s="118"/>
      <c r="C167" s="118"/>
      <c r="D167" s="118"/>
      <c r="E167" s="118"/>
      <c r="F167" s="118"/>
      <c r="G167" s="118"/>
      <c r="H167" s="118"/>
      <c r="I167" s="118"/>
      <c r="J167" s="118"/>
      <c r="K167" s="118"/>
      <c r="L167" s="118"/>
      <c r="M167" s="118"/>
      <c r="N167" s="118"/>
      <c r="O167" s="118"/>
      <c r="P167" s="118"/>
      <c r="Q167" s="165"/>
      <c r="R167" s="154"/>
    </row>
    <row r="168" spans="1:20" ht="14" customHeight="1">
      <c r="A168" s="2272" t="s">
        <v>1080</v>
      </c>
      <c r="B168" s="2273"/>
      <c r="C168" s="2273"/>
      <c r="D168" s="2273"/>
      <c r="E168" s="2273"/>
      <c r="F168" s="2273"/>
      <c r="G168" s="2273"/>
      <c r="H168" s="2273"/>
      <c r="I168" s="2273"/>
      <c r="J168" s="2273"/>
      <c r="K168" s="2273"/>
      <c r="L168" s="2273"/>
      <c r="M168" s="2273"/>
      <c r="N168" s="2273"/>
      <c r="O168" s="2273"/>
      <c r="P168" s="2273"/>
      <c r="Q168" s="2273"/>
      <c r="R168" s="2273"/>
      <c r="S168" s="2273"/>
      <c r="T168" s="2274"/>
    </row>
    <row r="169" spans="1:20" ht="14" customHeight="1">
      <c r="A169" s="2275"/>
      <c r="B169" s="2276"/>
      <c r="C169" s="2276"/>
      <c r="D169" s="2276"/>
      <c r="E169" s="2276"/>
      <c r="F169" s="2276"/>
      <c r="G169" s="2276"/>
      <c r="H169" s="2276"/>
      <c r="I169" s="2276"/>
      <c r="J169" s="2276"/>
      <c r="K169" s="2276"/>
      <c r="L169" s="2276"/>
      <c r="M169" s="2276"/>
      <c r="N169" s="2276"/>
      <c r="O169" s="2276"/>
      <c r="P169" s="2276"/>
      <c r="Q169" s="2276"/>
      <c r="R169" s="2276"/>
      <c r="S169" s="2276"/>
      <c r="T169" s="2277"/>
    </row>
    <row r="170" spans="1:20" ht="14" customHeight="1" thickBot="1">
      <c r="A170" s="2278"/>
      <c r="B170" s="2279"/>
      <c r="C170" s="2279"/>
      <c r="D170" s="2279"/>
      <c r="E170" s="2279"/>
      <c r="F170" s="2279"/>
      <c r="G170" s="2279"/>
      <c r="H170" s="2279"/>
      <c r="I170" s="2279"/>
      <c r="J170" s="2279"/>
      <c r="K170" s="2279"/>
      <c r="L170" s="2279"/>
      <c r="M170" s="2279"/>
      <c r="N170" s="2279"/>
      <c r="O170" s="2279"/>
      <c r="P170" s="2279"/>
      <c r="Q170" s="2279"/>
      <c r="R170" s="2279"/>
      <c r="S170" s="2279"/>
      <c r="T170" s="2280"/>
    </row>
    <row r="171" spans="1:20">
      <c r="B171" s="118"/>
      <c r="C171" s="118"/>
      <c r="D171" s="118"/>
      <c r="E171" s="118"/>
      <c r="F171" s="118"/>
      <c r="G171" s="118"/>
      <c r="H171" s="118"/>
      <c r="I171" s="118"/>
      <c r="J171" s="118"/>
      <c r="K171" s="118"/>
      <c r="L171" s="118"/>
      <c r="M171" s="118"/>
      <c r="N171" s="118"/>
      <c r="O171" s="118"/>
      <c r="P171" s="118"/>
      <c r="Q171" s="118"/>
      <c r="R171" s="154"/>
    </row>
    <row r="172" spans="1:20">
      <c r="B172" s="118"/>
      <c r="C172" s="118"/>
      <c r="D172" s="118"/>
      <c r="E172" s="118"/>
      <c r="F172" s="118"/>
      <c r="G172" s="118"/>
      <c r="H172" s="118"/>
      <c r="I172" s="118"/>
      <c r="J172" s="118"/>
      <c r="K172" s="118"/>
      <c r="L172" s="118"/>
      <c r="M172" s="118"/>
      <c r="N172" s="118"/>
      <c r="O172" s="118"/>
      <c r="P172" s="118"/>
      <c r="Q172" s="118"/>
      <c r="R172" s="154"/>
    </row>
    <row r="173" spans="1:20">
      <c r="A173" s="87"/>
      <c r="B173" s="118"/>
      <c r="C173" s="118"/>
      <c r="D173" s="440"/>
      <c r="E173" s="118"/>
      <c r="F173" s="118"/>
      <c r="G173" s="118"/>
      <c r="H173" s="118"/>
      <c r="I173" s="118"/>
      <c r="J173" s="118"/>
      <c r="K173" s="118"/>
      <c r="L173" s="118"/>
      <c r="M173" s="118"/>
      <c r="N173" s="118"/>
      <c r="O173" s="118"/>
      <c r="P173" s="118"/>
      <c r="Q173" s="118"/>
      <c r="R173" s="300"/>
      <c r="S173" s="300"/>
      <c r="T173" s="300"/>
    </row>
    <row r="174" spans="1:20">
      <c r="B174" s="118"/>
      <c r="C174" s="118"/>
      <c r="D174" s="118"/>
      <c r="E174" s="118"/>
      <c r="F174" s="118"/>
      <c r="G174" s="118"/>
      <c r="H174" s="118"/>
      <c r="I174" s="118"/>
      <c r="J174" s="118"/>
      <c r="K174" s="118"/>
      <c r="L174" s="118"/>
      <c r="M174" s="118"/>
      <c r="N174" s="118"/>
      <c r="O174" s="118"/>
      <c r="P174" s="118"/>
      <c r="Q174" s="118"/>
      <c r="R174" s="154"/>
    </row>
    <row r="175" spans="1:20">
      <c r="B175" s="118"/>
      <c r="C175" s="118"/>
      <c r="D175" s="118"/>
      <c r="E175" s="118"/>
      <c r="F175" s="118"/>
      <c r="G175" s="118"/>
      <c r="H175" s="118"/>
      <c r="I175" s="118"/>
      <c r="J175" s="118"/>
      <c r="K175" s="118"/>
      <c r="L175" s="118"/>
      <c r="M175" s="118"/>
      <c r="N175" s="118"/>
      <c r="O175" s="118"/>
      <c r="P175" s="118"/>
      <c r="Q175" s="118"/>
      <c r="R175" s="154"/>
    </row>
    <row r="176" spans="1:20">
      <c r="B176" s="118"/>
      <c r="C176" s="118"/>
      <c r="D176" s="118"/>
      <c r="E176" s="118"/>
      <c r="F176" s="118"/>
      <c r="G176" s="118"/>
      <c r="H176" s="118"/>
      <c r="I176" s="118"/>
      <c r="J176" s="118"/>
      <c r="K176" s="118"/>
      <c r="L176" s="118"/>
      <c r="M176" s="118"/>
      <c r="N176" s="118"/>
      <c r="O176" s="118"/>
      <c r="P176" s="118"/>
      <c r="Q176" s="118"/>
      <c r="R176" s="154"/>
    </row>
    <row r="177" spans="2:18">
      <c r="B177" s="118"/>
      <c r="C177" s="118"/>
      <c r="D177" s="118"/>
      <c r="E177" s="118"/>
      <c r="F177" s="118"/>
      <c r="G177" s="118"/>
      <c r="H177" s="118"/>
      <c r="I177" s="118"/>
      <c r="J177" s="118"/>
      <c r="K177" s="118"/>
      <c r="L177" s="118"/>
      <c r="M177" s="118"/>
      <c r="N177" s="118"/>
      <c r="O177" s="118"/>
      <c r="P177" s="118"/>
      <c r="Q177" s="118"/>
      <c r="R177" s="154"/>
    </row>
    <row r="178" spans="2:18">
      <c r="B178" s="118"/>
      <c r="C178" s="118"/>
      <c r="D178" s="118"/>
      <c r="E178" s="118"/>
      <c r="F178" s="118"/>
      <c r="G178" s="118"/>
      <c r="H178" s="118"/>
      <c r="I178" s="118"/>
      <c r="J178" s="118"/>
      <c r="K178" s="118"/>
      <c r="L178" s="118"/>
      <c r="M178" s="118"/>
      <c r="N178" s="118"/>
      <c r="O178" s="118"/>
      <c r="P178" s="118"/>
      <c r="Q178" s="118"/>
      <c r="R178" s="154"/>
    </row>
    <row r="179" spans="2:18">
      <c r="B179" s="118"/>
      <c r="C179" s="118"/>
      <c r="D179" s="118"/>
      <c r="E179" s="118"/>
      <c r="F179" s="118"/>
      <c r="G179" s="118"/>
      <c r="H179" s="118"/>
      <c r="I179" s="118"/>
      <c r="J179" s="118"/>
      <c r="K179" s="118"/>
      <c r="L179" s="118"/>
      <c r="M179" s="118"/>
      <c r="N179" s="118"/>
      <c r="O179" s="118"/>
      <c r="P179" s="118"/>
      <c r="Q179" s="118"/>
      <c r="R179" s="118"/>
    </row>
    <row r="180" spans="2:18">
      <c r="B180" s="118"/>
      <c r="C180" s="118"/>
      <c r="D180" s="118"/>
      <c r="E180" s="118"/>
      <c r="F180" s="118"/>
      <c r="G180" s="118"/>
      <c r="H180" s="118"/>
      <c r="I180" s="118"/>
      <c r="J180" s="118"/>
      <c r="K180" s="118"/>
      <c r="L180" s="118"/>
      <c r="M180" s="118"/>
      <c r="N180" s="118"/>
      <c r="O180" s="118"/>
      <c r="P180" s="118"/>
      <c r="Q180" s="118"/>
      <c r="R180" s="118"/>
    </row>
    <row r="181" spans="2:18">
      <c r="B181" s="118"/>
      <c r="C181" s="118"/>
      <c r="D181" s="118"/>
      <c r="E181" s="118"/>
      <c r="F181" s="118"/>
      <c r="G181" s="118"/>
      <c r="H181" s="118"/>
      <c r="I181" s="118"/>
      <c r="J181" s="118"/>
      <c r="K181" s="118"/>
      <c r="L181" s="118"/>
      <c r="M181" s="118"/>
      <c r="N181" s="118"/>
      <c r="O181" s="118"/>
      <c r="P181" s="118"/>
      <c r="Q181" s="118"/>
      <c r="R181" s="118"/>
    </row>
    <row r="182" spans="2:18">
      <c r="B182" s="118"/>
      <c r="C182" s="118"/>
      <c r="D182" s="118"/>
      <c r="E182" s="118"/>
      <c r="F182" s="118"/>
      <c r="G182" s="118"/>
      <c r="H182" s="118"/>
      <c r="I182" s="118"/>
      <c r="J182" s="118"/>
      <c r="K182" s="118"/>
      <c r="L182" s="118"/>
      <c r="M182" s="118"/>
      <c r="N182" s="118"/>
      <c r="O182" s="118"/>
      <c r="P182" s="118"/>
      <c r="Q182" s="118"/>
      <c r="R182" s="118"/>
    </row>
    <row r="183" spans="2:18">
      <c r="B183" s="118"/>
      <c r="C183" s="118"/>
      <c r="D183" s="118"/>
      <c r="E183" s="118"/>
      <c r="F183" s="118"/>
      <c r="G183" s="118"/>
      <c r="H183" s="118"/>
      <c r="I183" s="118"/>
      <c r="J183" s="118"/>
      <c r="K183" s="118"/>
      <c r="L183" s="118"/>
      <c r="M183" s="118"/>
      <c r="N183" s="118"/>
      <c r="O183" s="118"/>
      <c r="P183" s="118"/>
      <c r="Q183" s="118"/>
      <c r="R183" s="118"/>
    </row>
    <row r="184" spans="2:18">
      <c r="B184" s="118"/>
      <c r="C184" s="118"/>
      <c r="D184" s="118"/>
      <c r="E184" s="118"/>
      <c r="F184" s="118"/>
      <c r="G184" s="118"/>
      <c r="H184" s="118"/>
      <c r="I184" s="118"/>
      <c r="J184" s="118"/>
      <c r="K184" s="118"/>
      <c r="L184" s="118"/>
      <c r="M184" s="118"/>
      <c r="N184" s="118"/>
      <c r="O184" s="118"/>
      <c r="P184" s="118"/>
      <c r="Q184" s="118"/>
      <c r="R184" s="118"/>
    </row>
    <row r="185" spans="2:18">
      <c r="B185" s="118"/>
      <c r="C185" s="118"/>
      <c r="D185" s="118"/>
      <c r="E185" s="118"/>
      <c r="F185" s="118"/>
      <c r="G185" s="118"/>
      <c r="H185" s="118"/>
      <c r="I185" s="118"/>
      <c r="J185" s="118"/>
      <c r="K185" s="118"/>
      <c r="L185" s="118"/>
      <c r="M185" s="118"/>
      <c r="N185" s="118"/>
      <c r="O185" s="118"/>
      <c r="P185" s="118"/>
      <c r="Q185" s="118"/>
      <c r="R185" s="118"/>
    </row>
    <row r="186" spans="2:18">
      <c r="B186" s="118"/>
      <c r="C186" s="118"/>
      <c r="D186" s="118"/>
      <c r="E186" s="118"/>
      <c r="F186" s="118"/>
      <c r="G186" s="118"/>
      <c r="H186" s="118"/>
      <c r="I186" s="118"/>
      <c r="J186" s="118"/>
      <c r="K186" s="118"/>
      <c r="L186" s="118"/>
      <c r="M186" s="118"/>
      <c r="N186" s="118"/>
      <c r="O186" s="118"/>
      <c r="P186" s="118"/>
      <c r="Q186" s="118"/>
      <c r="R186" s="118"/>
    </row>
    <row r="187" spans="2:18">
      <c r="B187" s="118"/>
      <c r="C187" s="118"/>
      <c r="D187" s="118"/>
      <c r="E187" s="118"/>
      <c r="F187" s="118"/>
      <c r="G187" s="118"/>
      <c r="H187" s="118"/>
      <c r="I187" s="118"/>
      <c r="J187" s="118"/>
      <c r="K187" s="118"/>
      <c r="L187" s="118"/>
      <c r="M187" s="118"/>
      <c r="N187" s="118"/>
      <c r="O187" s="118"/>
      <c r="P187" s="118"/>
      <c r="Q187" s="118"/>
      <c r="R187" s="118"/>
    </row>
    <row r="188" spans="2:18">
      <c r="B188" s="118"/>
      <c r="C188" s="118"/>
      <c r="D188" s="118"/>
      <c r="E188" s="118"/>
      <c r="F188" s="118"/>
      <c r="G188" s="118"/>
      <c r="H188" s="118"/>
      <c r="I188" s="118"/>
      <c r="J188" s="118"/>
      <c r="K188" s="118"/>
      <c r="L188" s="118"/>
      <c r="M188" s="118"/>
      <c r="N188" s="118"/>
      <c r="O188" s="118"/>
      <c r="P188" s="118"/>
      <c r="Q188" s="118"/>
      <c r="R188" s="118"/>
    </row>
    <row r="189" spans="2:18">
      <c r="B189" s="118"/>
      <c r="C189" s="118"/>
      <c r="D189" s="118"/>
      <c r="E189" s="118"/>
      <c r="F189" s="118"/>
      <c r="G189" s="118"/>
      <c r="H189" s="118"/>
      <c r="I189" s="118"/>
      <c r="J189" s="118"/>
      <c r="K189" s="118"/>
      <c r="L189" s="118"/>
      <c r="M189" s="118"/>
      <c r="N189" s="118"/>
      <c r="O189" s="118"/>
      <c r="P189" s="118"/>
      <c r="Q189" s="118"/>
      <c r="R189" s="118"/>
    </row>
    <row r="190" spans="2:18">
      <c r="B190" s="118"/>
      <c r="C190" s="118"/>
      <c r="D190" s="118"/>
      <c r="E190" s="118"/>
      <c r="F190" s="118"/>
      <c r="G190" s="118"/>
      <c r="H190" s="118"/>
      <c r="I190" s="118"/>
      <c r="J190" s="118"/>
      <c r="K190" s="118"/>
      <c r="L190" s="118"/>
      <c r="M190" s="118"/>
      <c r="N190" s="118"/>
      <c r="O190" s="118"/>
      <c r="P190" s="118"/>
      <c r="Q190" s="118"/>
      <c r="R190" s="118"/>
    </row>
    <row r="191" spans="2:18">
      <c r="B191" s="118"/>
      <c r="C191" s="118"/>
      <c r="D191" s="118"/>
      <c r="E191" s="118"/>
      <c r="F191" s="118"/>
      <c r="G191" s="118"/>
      <c r="H191" s="118"/>
      <c r="I191" s="118"/>
      <c r="J191" s="118"/>
      <c r="K191" s="118"/>
      <c r="L191" s="118"/>
      <c r="M191" s="118"/>
      <c r="N191" s="118"/>
      <c r="O191" s="118"/>
      <c r="P191" s="118"/>
      <c r="Q191" s="118"/>
      <c r="R191" s="118"/>
    </row>
    <row r="192" spans="2:18">
      <c r="B192" s="118"/>
      <c r="C192" s="118"/>
      <c r="D192" s="118"/>
      <c r="E192" s="118"/>
      <c r="F192" s="118"/>
      <c r="G192" s="118"/>
      <c r="H192" s="118"/>
      <c r="I192" s="118"/>
      <c r="J192" s="118"/>
      <c r="K192" s="118"/>
      <c r="L192" s="118"/>
      <c r="M192" s="118"/>
      <c r="N192" s="118"/>
      <c r="O192" s="118"/>
      <c r="P192" s="118"/>
      <c r="Q192" s="118"/>
      <c r="R192" s="118"/>
    </row>
    <row r="193" spans="2:18">
      <c r="B193" s="118"/>
      <c r="C193" s="118"/>
      <c r="D193" s="118"/>
      <c r="E193" s="118"/>
      <c r="F193" s="118"/>
      <c r="G193" s="118"/>
      <c r="H193" s="118"/>
      <c r="I193" s="118"/>
      <c r="J193" s="118"/>
      <c r="K193" s="118"/>
      <c r="L193" s="118"/>
      <c r="M193" s="118"/>
      <c r="N193" s="118"/>
      <c r="O193" s="118"/>
      <c r="P193" s="118"/>
      <c r="Q193" s="118"/>
      <c r="R193" s="118"/>
    </row>
    <row r="194" spans="2:18">
      <c r="B194" s="118"/>
      <c r="C194" s="118"/>
      <c r="D194" s="118"/>
      <c r="E194" s="118"/>
      <c r="F194" s="118"/>
      <c r="G194" s="118"/>
      <c r="H194" s="118"/>
      <c r="I194" s="118"/>
      <c r="J194" s="118"/>
      <c r="K194" s="118"/>
      <c r="L194" s="118"/>
      <c r="M194" s="118"/>
      <c r="N194" s="118"/>
      <c r="O194" s="118"/>
      <c r="P194" s="118"/>
      <c r="Q194" s="118"/>
      <c r="R194" s="118"/>
    </row>
    <row r="195" spans="2:18">
      <c r="B195" s="118"/>
      <c r="C195" s="118"/>
      <c r="D195" s="118"/>
      <c r="E195" s="118"/>
      <c r="F195" s="118"/>
      <c r="G195" s="118"/>
      <c r="H195" s="118"/>
      <c r="I195" s="118"/>
      <c r="J195" s="118"/>
      <c r="K195" s="118"/>
      <c r="L195" s="118"/>
      <c r="M195" s="118"/>
      <c r="N195" s="118"/>
      <c r="O195" s="118"/>
      <c r="P195" s="118"/>
      <c r="Q195" s="118"/>
      <c r="R195" s="118"/>
    </row>
    <row r="196" spans="2:18">
      <c r="B196" s="118"/>
      <c r="C196" s="118"/>
      <c r="D196" s="118"/>
      <c r="E196" s="118"/>
      <c r="F196" s="118"/>
      <c r="G196" s="118"/>
      <c r="H196" s="118"/>
      <c r="I196" s="118"/>
      <c r="J196" s="118"/>
      <c r="K196" s="118"/>
      <c r="L196" s="118"/>
      <c r="M196" s="118"/>
      <c r="N196" s="118"/>
      <c r="O196" s="118"/>
      <c r="P196" s="118"/>
      <c r="Q196" s="118"/>
      <c r="R196" s="118"/>
    </row>
    <row r="197" spans="2:18">
      <c r="B197" s="118"/>
      <c r="C197" s="118"/>
      <c r="D197" s="118"/>
      <c r="E197" s="118"/>
      <c r="F197" s="118"/>
      <c r="G197" s="118"/>
      <c r="H197" s="118"/>
      <c r="I197" s="118"/>
      <c r="J197" s="118"/>
      <c r="K197" s="118"/>
      <c r="L197" s="118"/>
      <c r="M197" s="118"/>
      <c r="N197" s="118"/>
      <c r="O197" s="118"/>
      <c r="P197" s="118"/>
      <c r="Q197" s="118"/>
      <c r="R197" s="118"/>
    </row>
    <row r="198" spans="2:18">
      <c r="B198" s="118"/>
      <c r="C198" s="118"/>
      <c r="D198" s="118"/>
      <c r="E198" s="118"/>
      <c r="F198" s="118"/>
      <c r="G198" s="118"/>
      <c r="H198" s="118"/>
      <c r="I198" s="118"/>
      <c r="J198" s="118"/>
      <c r="K198" s="118"/>
      <c r="L198" s="118"/>
      <c r="M198" s="118"/>
      <c r="N198" s="118"/>
      <c r="O198" s="118"/>
      <c r="P198" s="118"/>
      <c r="Q198" s="118"/>
      <c r="R198" s="118"/>
    </row>
    <row r="199" spans="2:18">
      <c r="B199" s="118"/>
      <c r="C199" s="118"/>
      <c r="D199" s="118"/>
      <c r="E199" s="118"/>
      <c r="F199" s="118"/>
      <c r="G199" s="118"/>
      <c r="H199" s="118"/>
      <c r="I199" s="118"/>
      <c r="J199" s="118"/>
      <c r="K199" s="118"/>
      <c r="L199" s="118"/>
      <c r="M199" s="118"/>
      <c r="N199" s="118"/>
      <c r="O199" s="118"/>
      <c r="P199" s="118"/>
      <c r="Q199" s="118"/>
      <c r="R199" s="118"/>
    </row>
    <row r="200" spans="2:18">
      <c r="B200" s="118"/>
      <c r="C200" s="118"/>
      <c r="D200" s="118"/>
      <c r="E200" s="118"/>
      <c r="F200" s="118"/>
      <c r="G200" s="118"/>
      <c r="H200" s="118"/>
      <c r="I200" s="118"/>
      <c r="J200" s="118"/>
      <c r="K200" s="118"/>
      <c r="L200" s="118"/>
      <c r="M200" s="118"/>
      <c r="N200" s="118"/>
      <c r="O200" s="118"/>
      <c r="P200" s="118"/>
      <c r="Q200" s="118"/>
      <c r="R200" s="118"/>
    </row>
    <row r="201" spans="2:18">
      <c r="B201" s="118"/>
      <c r="C201" s="118"/>
      <c r="D201" s="118"/>
      <c r="E201" s="118"/>
      <c r="F201" s="118"/>
      <c r="G201" s="118"/>
      <c r="H201" s="118"/>
      <c r="I201" s="118"/>
      <c r="J201" s="118"/>
      <c r="K201" s="118"/>
      <c r="L201" s="118"/>
      <c r="M201" s="118"/>
      <c r="N201" s="118"/>
      <c r="O201" s="118"/>
      <c r="P201" s="118"/>
      <c r="Q201" s="118"/>
      <c r="R201" s="118"/>
    </row>
    <row r="202" spans="2:18">
      <c r="B202" s="118"/>
      <c r="C202" s="118"/>
      <c r="D202" s="118"/>
      <c r="E202" s="118"/>
      <c r="F202" s="118"/>
      <c r="G202" s="118"/>
      <c r="H202" s="118"/>
      <c r="I202" s="118"/>
      <c r="J202" s="118"/>
      <c r="K202" s="118"/>
      <c r="L202" s="118"/>
      <c r="M202" s="118"/>
      <c r="N202" s="118"/>
      <c r="O202" s="118"/>
      <c r="P202" s="118"/>
      <c r="Q202" s="118"/>
      <c r="R202" s="118"/>
    </row>
    <row r="203" spans="2:18">
      <c r="B203" s="118"/>
      <c r="C203" s="118"/>
      <c r="D203" s="118"/>
      <c r="E203" s="118"/>
      <c r="F203" s="118"/>
      <c r="G203" s="118"/>
      <c r="H203" s="118"/>
      <c r="I203" s="118"/>
      <c r="J203" s="118"/>
      <c r="K203" s="118"/>
      <c r="L203" s="118"/>
      <c r="M203" s="118"/>
      <c r="N203" s="118"/>
      <c r="O203" s="118"/>
      <c r="P203" s="118"/>
      <c r="Q203" s="118"/>
      <c r="R203" s="118"/>
    </row>
    <row r="204" spans="2:18">
      <c r="B204" s="118"/>
      <c r="C204" s="118"/>
      <c r="D204" s="118"/>
      <c r="E204" s="118"/>
      <c r="F204" s="118"/>
      <c r="G204" s="118"/>
      <c r="H204" s="118"/>
      <c r="I204" s="118"/>
      <c r="J204" s="118"/>
      <c r="K204" s="118"/>
      <c r="L204" s="118"/>
      <c r="M204" s="118"/>
      <c r="N204" s="118"/>
      <c r="O204" s="118"/>
      <c r="P204" s="118"/>
      <c r="Q204" s="118"/>
      <c r="R204" s="118"/>
    </row>
    <row r="205" spans="2:18">
      <c r="B205" s="118"/>
      <c r="C205" s="118"/>
      <c r="D205" s="118"/>
      <c r="E205" s="118"/>
      <c r="F205" s="118"/>
      <c r="G205" s="118"/>
      <c r="H205" s="118"/>
      <c r="I205" s="118"/>
      <c r="J205" s="118"/>
      <c r="K205" s="118"/>
      <c r="L205" s="118"/>
      <c r="M205" s="118"/>
      <c r="N205" s="118"/>
      <c r="O205" s="118"/>
      <c r="P205" s="118"/>
      <c r="Q205" s="118"/>
      <c r="R205" s="118"/>
    </row>
    <row r="206" spans="2:18">
      <c r="B206" s="118"/>
      <c r="C206" s="118"/>
      <c r="D206" s="118"/>
      <c r="E206" s="118"/>
      <c r="F206" s="118"/>
      <c r="G206" s="118"/>
      <c r="H206" s="118"/>
      <c r="I206" s="118"/>
      <c r="J206" s="118"/>
      <c r="K206" s="118"/>
      <c r="L206" s="118"/>
      <c r="M206" s="118"/>
      <c r="N206" s="118"/>
      <c r="O206" s="118"/>
      <c r="P206" s="118"/>
      <c r="Q206" s="118"/>
      <c r="R206" s="118"/>
    </row>
    <row r="207" spans="2:18">
      <c r="B207" s="118"/>
      <c r="C207" s="118"/>
      <c r="D207" s="118"/>
      <c r="E207" s="118"/>
      <c r="F207" s="118"/>
      <c r="G207" s="118"/>
      <c r="H207" s="118"/>
      <c r="I207" s="118"/>
      <c r="J207" s="118"/>
      <c r="K207" s="118"/>
      <c r="L207" s="118"/>
      <c r="M207" s="118"/>
      <c r="N207" s="118"/>
      <c r="O207" s="118"/>
      <c r="P207" s="118"/>
      <c r="Q207" s="118"/>
      <c r="R207" s="118"/>
    </row>
    <row r="208" spans="2:18">
      <c r="B208" s="118"/>
      <c r="C208" s="118"/>
      <c r="D208" s="118"/>
      <c r="E208" s="118"/>
      <c r="F208" s="118"/>
      <c r="G208" s="118"/>
      <c r="H208" s="118"/>
      <c r="I208" s="118"/>
      <c r="J208" s="118"/>
      <c r="K208" s="118"/>
      <c r="L208" s="118"/>
      <c r="M208" s="118"/>
      <c r="N208" s="118"/>
      <c r="O208" s="118"/>
      <c r="P208" s="118"/>
      <c r="Q208" s="118"/>
      <c r="R208" s="118"/>
    </row>
    <row r="209" spans="2:18">
      <c r="B209" s="118"/>
      <c r="C209" s="118"/>
      <c r="D209" s="118"/>
      <c r="E209" s="118"/>
      <c r="F209" s="118"/>
      <c r="G209" s="118"/>
      <c r="H209" s="118"/>
      <c r="I209" s="118"/>
      <c r="J209" s="118"/>
      <c r="K209" s="118"/>
      <c r="L209" s="118"/>
      <c r="M209" s="118"/>
      <c r="N209" s="118"/>
      <c r="O209" s="118"/>
      <c r="P209" s="118"/>
      <c r="Q209" s="118"/>
      <c r="R209" s="118"/>
    </row>
    <row r="210" spans="2:18">
      <c r="B210" s="118"/>
      <c r="C210" s="118"/>
      <c r="D210" s="118"/>
      <c r="E210" s="118"/>
      <c r="F210" s="118"/>
      <c r="G210" s="118"/>
      <c r="H210" s="118"/>
      <c r="I210" s="118"/>
      <c r="J210" s="118"/>
      <c r="K210" s="118"/>
      <c r="L210" s="118"/>
      <c r="M210" s="118"/>
      <c r="N210" s="118"/>
      <c r="O210" s="118"/>
      <c r="P210" s="118"/>
      <c r="Q210" s="118"/>
      <c r="R210" s="118"/>
    </row>
    <row r="211" spans="2:18">
      <c r="B211" s="118"/>
      <c r="C211" s="118"/>
      <c r="D211" s="118"/>
      <c r="E211" s="118"/>
      <c r="F211" s="118"/>
      <c r="G211" s="118"/>
      <c r="H211" s="118"/>
      <c r="I211" s="118"/>
      <c r="J211" s="118"/>
      <c r="K211" s="118"/>
      <c r="L211" s="118"/>
      <c r="M211" s="118"/>
      <c r="N211" s="118"/>
      <c r="O211" s="118"/>
      <c r="P211" s="118"/>
      <c r="Q211" s="118"/>
      <c r="R211" s="118"/>
    </row>
    <row r="212" spans="2:18">
      <c r="B212" s="118"/>
      <c r="C212" s="118"/>
      <c r="D212" s="118"/>
      <c r="E212" s="118"/>
      <c r="F212" s="118"/>
      <c r="G212" s="118"/>
      <c r="H212" s="118"/>
      <c r="I212" s="118"/>
      <c r="J212" s="118"/>
      <c r="K212" s="118"/>
      <c r="L212" s="118"/>
      <c r="M212" s="118"/>
      <c r="N212" s="118"/>
      <c r="O212" s="118"/>
      <c r="P212" s="118"/>
      <c r="Q212" s="118"/>
      <c r="R212" s="118"/>
    </row>
    <row r="213" spans="2:18">
      <c r="B213" s="118"/>
      <c r="C213" s="118"/>
      <c r="D213" s="118"/>
      <c r="E213" s="118"/>
      <c r="F213" s="118"/>
      <c r="G213" s="118"/>
      <c r="H213" s="118"/>
      <c r="I213" s="118"/>
      <c r="J213" s="118"/>
      <c r="K213" s="118"/>
      <c r="L213" s="118"/>
      <c r="M213" s="118"/>
      <c r="N213" s="118"/>
      <c r="O213" s="118"/>
      <c r="P213" s="118"/>
      <c r="Q213" s="118"/>
      <c r="R213" s="118"/>
    </row>
    <row r="214" spans="2:18">
      <c r="B214" s="118"/>
      <c r="C214" s="118"/>
      <c r="D214" s="118"/>
      <c r="E214" s="118"/>
      <c r="F214" s="118"/>
      <c r="G214" s="118"/>
      <c r="H214" s="118"/>
      <c r="I214" s="118"/>
      <c r="J214" s="118"/>
      <c r="K214" s="118"/>
      <c r="L214" s="118"/>
      <c r="M214" s="118"/>
      <c r="N214" s="118"/>
      <c r="O214" s="118"/>
      <c r="P214" s="118"/>
      <c r="Q214" s="118"/>
      <c r="R214" s="118"/>
    </row>
    <row r="215" spans="2:18">
      <c r="B215" s="118"/>
      <c r="C215" s="118"/>
      <c r="D215" s="118"/>
      <c r="E215" s="118"/>
      <c r="F215" s="118"/>
      <c r="G215" s="118"/>
      <c r="H215" s="118"/>
      <c r="I215" s="118"/>
      <c r="J215" s="118"/>
      <c r="K215" s="118"/>
      <c r="L215" s="118"/>
      <c r="M215" s="118"/>
      <c r="N215" s="118"/>
      <c r="O215" s="118"/>
      <c r="P215" s="118"/>
      <c r="Q215" s="118"/>
      <c r="R215" s="118"/>
    </row>
    <row r="216" spans="2:18">
      <c r="B216" s="118"/>
      <c r="C216" s="118"/>
      <c r="D216" s="118"/>
      <c r="E216" s="118"/>
      <c r="F216" s="118"/>
      <c r="G216" s="118"/>
      <c r="H216" s="118"/>
      <c r="I216" s="118"/>
      <c r="J216" s="118"/>
      <c r="K216" s="118"/>
      <c r="L216" s="118"/>
      <c r="M216" s="118"/>
      <c r="N216" s="118"/>
      <c r="O216" s="118"/>
      <c r="P216" s="118"/>
      <c r="Q216" s="118"/>
      <c r="R216" s="118"/>
    </row>
    <row r="217" spans="2:18">
      <c r="B217" s="118"/>
      <c r="C217" s="118"/>
      <c r="D217" s="118"/>
      <c r="E217" s="118"/>
      <c r="F217" s="118"/>
      <c r="G217" s="118"/>
      <c r="H217" s="118"/>
      <c r="I217" s="118"/>
      <c r="J217" s="118"/>
      <c r="K217" s="118"/>
      <c r="L217" s="118"/>
      <c r="M217" s="118"/>
      <c r="N217" s="118"/>
      <c r="O217" s="118"/>
      <c r="P217" s="118"/>
      <c r="Q217" s="118"/>
      <c r="R217" s="118"/>
    </row>
    <row r="218" spans="2:18">
      <c r="B218" s="118"/>
      <c r="C218" s="118"/>
      <c r="D218" s="118"/>
      <c r="E218" s="118"/>
      <c r="F218" s="118"/>
      <c r="G218" s="118"/>
      <c r="H218" s="118"/>
      <c r="I218" s="118"/>
      <c r="J218" s="118"/>
      <c r="K218" s="118"/>
      <c r="L218" s="118"/>
      <c r="M218" s="118"/>
      <c r="N218" s="118"/>
      <c r="O218" s="118"/>
      <c r="P218" s="118"/>
      <c r="Q218" s="118"/>
      <c r="R218" s="118"/>
    </row>
    <row r="219" spans="2:18">
      <c r="B219" s="118"/>
      <c r="C219" s="118"/>
      <c r="D219" s="118"/>
      <c r="E219" s="118"/>
      <c r="F219" s="118"/>
      <c r="G219" s="118"/>
      <c r="H219" s="118"/>
      <c r="I219" s="118"/>
      <c r="J219" s="118"/>
      <c r="K219" s="118"/>
      <c r="L219" s="118"/>
      <c r="M219" s="118"/>
      <c r="N219" s="118"/>
      <c r="O219" s="118"/>
      <c r="P219" s="118"/>
      <c r="Q219" s="118"/>
      <c r="R219" s="118"/>
    </row>
    <row r="220" spans="2:18">
      <c r="B220" s="118"/>
      <c r="C220" s="118"/>
      <c r="D220" s="118"/>
      <c r="E220" s="118"/>
      <c r="F220" s="118"/>
      <c r="G220" s="118"/>
      <c r="H220" s="118"/>
      <c r="I220" s="118"/>
      <c r="J220" s="118"/>
      <c r="K220" s="118"/>
      <c r="L220" s="118"/>
      <c r="M220" s="118"/>
      <c r="N220" s="118"/>
      <c r="O220" s="118"/>
      <c r="P220" s="118"/>
      <c r="Q220" s="118"/>
      <c r="R220" s="118"/>
    </row>
    <row r="221" spans="2:18">
      <c r="B221" s="118"/>
      <c r="C221" s="118"/>
      <c r="D221" s="118"/>
      <c r="E221" s="118"/>
      <c r="F221" s="118"/>
      <c r="G221" s="118"/>
      <c r="H221" s="118"/>
      <c r="I221" s="118"/>
      <c r="J221" s="118"/>
      <c r="K221" s="118"/>
      <c r="L221" s="118"/>
      <c r="M221" s="118"/>
      <c r="N221" s="118"/>
      <c r="O221" s="118"/>
      <c r="P221" s="118"/>
      <c r="Q221" s="118"/>
      <c r="R221" s="118"/>
    </row>
    <row r="222" spans="2:18">
      <c r="B222" s="118"/>
      <c r="C222" s="118"/>
      <c r="D222" s="118"/>
      <c r="E222" s="118"/>
      <c r="F222" s="118"/>
      <c r="G222" s="118"/>
      <c r="H222" s="118"/>
      <c r="I222" s="118"/>
      <c r="J222" s="118"/>
      <c r="K222" s="118"/>
      <c r="L222" s="118"/>
      <c r="M222" s="118"/>
      <c r="N222" s="118"/>
      <c r="O222" s="118"/>
      <c r="P222" s="118"/>
      <c r="Q222" s="118"/>
      <c r="R222" s="118"/>
    </row>
    <row r="223" spans="2:18">
      <c r="B223" s="118"/>
      <c r="C223" s="118"/>
      <c r="D223" s="118"/>
      <c r="E223" s="118"/>
      <c r="F223" s="118"/>
      <c r="G223" s="118"/>
      <c r="H223" s="118"/>
      <c r="I223" s="118"/>
      <c r="J223" s="118"/>
      <c r="K223" s="118"/>
      <c r="L223" s="118"/>
      <c r="M223" s="118"/>
      <c r="N223" s="118"/>
      <c r="O223" s="118"/>
      <c r="P223" s="118"/>
      <c r="Q223" s="118"/>
      <c r="R223" s="118"/>
    </row>
    <row r="224" spans="2:18">
      <c r="B224" s="118"/>
      <c r="C224" s="118"/>
      <c r="D224" s="118"/>
      <c r="E224" s="118"/>
      <c r="F224" s="118"/>
      <c r="G224" s="118"/>
      <c r="H224" s="118"/>
      <c r="I224" s="118"/>
      <c r="J224" s="118"/>
      <c r="K224" s="118"/>
      <c r="L224" s="118"/>
      <c r="M224" s="118"/>
      <c r="N224" s="118"/>
      <c r="O224" s="118"/>
      <c r="P224" s="118"/>
      <c r="Q224" s="118"/>
      <c r="R224" s="118"/>
    </row>
    <row r="225" spans="2:18">
      <c r="B225" s="118"/>
      <c r="C225" s="118"/>
      <c r="D225" s="118"/>
      <c r="E225" s="118"/>
      <c r="F225" s="118"/>
      <c r="G225" s="118"/>
      <c r="H225" s="118"/>
      <c r="I225" s="118"/>
      <c r="J225" s="118"/>
      <c r="K225" s="118"/>
      <c r="L225" s="118"/>
      <c r="M225" s="118"/>
      <c r="N225" s="118"/>
      <c r="O225" s="118"/>
      <c r="P225" s="118"/>
      <c r="Q225" s="118"/>
      <c r="R225" s="118"/>
    </row>
    <row r="226" spans="2:18">
      <c r="B226" s="118"/>
      <c r="C226" s="118"/>
      <c r="D226" s="118"/>
      <c r="E226" s="118"/>
      <c r="F226" s="118"/>
      <c r="G226" s="118"/>
      <c r="H226" s="118"/>
      <c r="I226" s="118"/>
      <c r="J226" s="118"/>
      <c r="K226" s="118"/>
      <c r="L226" s="118"/>
      <c r="M226" s="118"/>
      <c r="N226" s="118"/>
      <c r="O226" s="118"/>
      <c r="P226" s="118"/>
      <c r="Q226" s="118"/>
      <c r="R226" s="118"/>
    </row>
    <row r="227" spans="2:18">
      <c r="B227" s="118"/>
      <c r="C227" s="118"/>
      <c r="D227" s="118"/>
      <c r="E227" s="118"/>
      <c r="F227" s="118"/>
      <c r="G227" s="118"/>
      <c r="H227" s="118"/>
      <c r="I227" s="118"/>
      <c r="J227" s="118"/>
      <c r="K227" s="118"/>
      <c r="L227" s="118"/>
      <c r="M227" s="118"/>
      <c r="N227" s="118"/>
      <c r="O227" s="118"/>
      <c r="P227" s="118"/>
      <c r="Q227" s="118"/>
      <c r="R227" s="118"/>
    </row>
    <row r="228" spans="2:18">
      <c r="B228" s="118"/>
      <c r="C228" s="118"/>
      <c r="D228" s="118"/>
      <c r="E228" s="118"/>
      <c r="F228" s="118"/>
      <c r="G228" s="118"/>
      <c r="H228" s="118"/>
      <c r="I228" s="118"/>
      <c r="J228" s="118"/>
      <c r="K228" s="118"/>
      <c r="L228" s="118"/>
      <c r="M228" s="118"/>
      <c r="N228" s="118"/>
      <c r="O228" s="118"/>
      <c r="P228" s="118"/>
      <c r="Q228" s="118"/>
      <c r="R228" s="118"/>
    </row>
    <row r="229" spans="2:18">
      <c r="B229" s="118"/>
      <c r="C229" s="118"/>
      <c r="D229" s="118"/>
      <c r="E229" s="118"/>
      <c r="F229" s="118"/>
      <c r="G229" s="118"/>
      <c r="H229" s="118"/>
      <c r="I229" s="118"/>
      <c r="J229" s="118"/>
      <c r="K229" s="118"/>
      <c r="L229" s="118"/>
      <c r="M229" s="118"/>
      <c r="N229" s="118"/>
      <c r="O229" s="118"/>
      <c r="P229" s="118"/>
      <c r="Q229" s="118"/>
      <c r="R229" s="118"/>
    </row>
    <row r="230" spans="2:18">
      <c r="B230" s="118"/>
      <c r="C230" s="118"/>
      <c r="D230" s="118"/>
      <c r="E230" s="118"/>
      <c r="F230" s="118"/>
      <c r="G230" s="118"/>
      <c r="H230" s="118"/>
      <c r="I230" s="118"/>
      <c r="J230" s="118"/>
      <c r="K230" s="118"/>
      <c r="L230" s="118"/>
      <c r="M230" s="118"/>
      <c r="N230" s="118"/>
      <c r="O230" s="118"/>
      <c r="P230" s="118"/>
      <c r="Q230" s="118"/>
      <c r="R230" s="118"/>
    </row>
    <row r="231" spans="2:18">
      <c r="B231" s="118"/>
      <c r="C231" s="118"/>
      <c r="D231" s="118"/>
      <c r="E231" s="118"/>
      <c r="F231" s="118"/>
      <c r="G231" s="118"/>
      <c r="H231" s="118"/>
      <c r="I231" s="118"/>
      <c r="J231" s="118"/>
      <c r="K231" s="118"/>
      <c r="L231" s="118"/>
      <c r="M231" s="118"/>
      <c r="N231" s="118"/>
      <c r="O231" s="118"/>
      <c r="P231" s="118"/>
      <c r="Q231" s="118"/>
      <c r="R231" s="118"/>
    </row>
    <row r="232" spans="2:18">
      <c r="B232" s="118"/>
      <c r="C232" s="118"/>
      <c r="D232" s="118"/>
      <c r="E232" s="118"/>
      <c r="F232" s="118"/>
      <c r="G232" s="118"/>
      <c r="H232" s="118"/>
      <c r="I232" s="118"/>
      <c r="J232" s="118"/>
      <c r="K232" s="118"/>
      <c r="L232" s="118"/>
      <c r="M232" s="118"/>
      <c r="N232" s="118"/>
      <c r="O232" s="118"/>
      <c r="P232" s="118"/>
      <c r="Q232" s="118"/>
      <c r="R232" s="118"/>
    </row>
    <row r="233" spans="2:18">
      <c r="B233" s="118"/>
      <c r="C233" s="118"/>
      <c r="D233" s="118"/>
      <c r="E233" s="118"/>
      <c r="F233" s="118"/>
      <c r="G233" s="118"/>
      <c r="H233" s="118"/>
      <c r="I233" s="118"/>
      <c r="J233" s="118"/>
      <c r="K233" s="118"/>
      <c r="L233" s="118"/>
      <c r="M233" s="118"/>
      <c r="N233" s="118"/>
      <c r="O233" s="118"/>
      <c r="P233" s="118"/>
      <c r="Q233" s="118"/>
      <c r="R233" s="118"/>
    </row>
    <row r="234" spans="2:18">
      <c r="B234" s="118"/>
      <c r="C234" s="118"/>
      <c r="D234" s="118"/>
      <c r="E234" s="118"/>
      <c r="F234" s="118"/>
      <c r="G234" s="118"/>
      <c r="H234" s="118"/>
      <c r="I234" s="118"/>
      <c r="J234" s="118"/>
      <c r="K234" s="118"/>
      <c r="L234" s="118"/>
      <c r="M234" s="118"/>
      <c r="N234" s="118"/>
      <c r="O234" s="118"/>
      <c r="P234" s="118"/>
      <c r="Q234" s="118"/>
      <c r="R234" s="118"/>
    </row>
    <row r="235" spans="2:18">
      <c r="B235" s="118"/>
      <c r="C235" s="118"/>
      <c r="D235" s="118"/>
      <c r="E235" s="118"/>
      <c r="F235" s="118"/>
      <c r="G235" s="118"/>
      <c r="H235" s="118"/>
      <c r="I235" s="118"/>
      <c r="J235" s="118"/>
      <c r="K235" s="118"/>
      <c r="L235" s="118"/>
      <c r="M235" s="118"/>
      <c r="N235" s="118"/>
      <c r="O235" s="118"/>
      <c r="P235" s="118"/>
      <c r="Q235" s="118"/>
      <c r="R235" s="118"/>
    </row>
    <row r="236" spans="2:18">
      <c r="B236" s="118"/>
      <c r="C236" s="118"/>
      <c r="D236" s="118"/>
      <c r="E236" s="118"/>
      <c r="F236" s="118"/>
      <c r="G236" s="118"/>
      <c r="H236" s="118"/>
      <c r="I236" s="118"/>
      <c r="J236" s="118"/>
      <c r="K236" s="118"/>
      <c r="L236" s="118"/>
      <c r="M236" s="118"/>
      <c r="N236" s="118"/>
      <c r="O236" s="118"/>
      <c r="P236" s="118"/>
      <c r="Q236" s="118"/>
      <c r="R236" s="118"/>
    </row>
    <row r="237" spans="2:18">
      <c r="B237" s="118"/>
      <c r="C237" s="118"/>
      <c r="D237" s="118"/>
      <c r="E237" s="118"/>
      <c r="F237" s="118"/>
      <c r="G237" s="118"/>
      <c r="H237" s="118"/>
      <c r="I237" s="118"/>
      <c r="J237" s="118"/>
      <c r="K237" s="118"/>
      <c r="L237" s="118"/>
      <c r="M237" s="118"/>
      <c r="N237" s="118"/>
      <c r="O237" s="118"/>
      <c r="P237" s="118"/>
      <c r="Q237" s="118"/>
      <c r="R237" s="118"/>
    </row>
    <row r="238" spans="2:18">
      <c r="B238" s="118"/>
      <c r="C238" s="118"/>
      <c r="D238" s="118"/>
      <c r="E238" s="118"/>
      <c r="F238" s="118"/>
      <c r="G238" s="118"/>
      <c r="H238" s="118"/>
      <c r="I238" s="118"/>
      <c r="J238" s="118"/>
      <c r="K238" s="118"/>
      <c r="L238" s="118"/>
      <c r="M238" s="118"/>
      <c r="N238" s="118"/>
      <c r="O238" s="118"/>
      <c r="P238" s="118"/>
      <c r="Q238" s="118"/>
      <c r="R238" s="118"/>
    </row>
    <row r="239" spans="2:18">
      <c r="B239" s="118"/>
      <c r="C239" s="118"/>
      <c r="D239" s="118"/>
      <c r="E239" s="118"/>
      <c r="F239" s="118"/>
      <c r="G239" s="118"/>
      <c r="H239" s="118"/>
      <c r="I239" s="118"/>
      <c r="J239" s="118"/>
      <c r="K239" s="118"/>
      <c r="L239" s="118"/>
      <c r="M239" s="118"/>
      <c r="N239" s="118"/>
      <c r="O239" s="118"/>
      <c r="P239" s="118"/>
      <c r="Q239" s="118"/>
      <c r="R239" s="118"/>
    </row>
    <row r="240" spans="2:18">
      <c r="B240" s="118"/>
      <c r="C240" s="118"/>
      <c r="D240" s="118"/>
      <c r="E240" s="118"/>
      <c r="F240" s="118"/>
      <c r="G240" s="118"/>
      <c r="H240" s="118"/>
      <c r="I240" s="118"/>
      <c r="J240" s="118"/>
      <c r="K240" s="118"/>
      <c r="L240" s="118"/>
      <c r="M240" s="118"/>
      <c r="N240" s="118"/>
      <c r="O240" s="118"/>
      <c r="P240" s="118"/>
      <c r="Q240" s="118"/>
      <c r="R240" s="118"/>
    </row>
    <row r="241" spans="2:18">
      <c r="B241" s="118"/>
      <c r="C241" s="118"/>
      <c r="D241" s="118"/>
      <c r="E241" s="118"/>
      <c r="F241" s="118"/>
      <c r="G241" s="118"/>
      <c r="H241" s="118"/>
      <c r="I241" s="118"/>
      <c r="J241" s="118"/>
      <c r="K241" s="118"/>
      <c r="L241" s="118"/>
      <c r="M241" s="118"/>
      <c r="N241" s="118"/>
      <c r="O241" s="118"/>
      <c r="P241" s="118"/>
      <c r="Q241" s="118"/>
      <c r="R241" s="118"/>
    </row>
    <row r="242" spans="2:18">
      <c r="B242" s="118"/>
      <c r="C242" s="118"/>
      <c r="D242" s="118"/>
      <c r="E242" s="118"/>
      <c r="F242" s="118"/>
      <c r="G242" s="118"/>
      <c r="H242" s="118"/>
      <c r="I242" s="118"/>
      <c r="J242" s="118"/>
      <c r="K242" s="118"/>
      <c r="L242" s="118"/>
      <c r="M242" s="118"/>
      <c r="N242" s="118"/>
      <c r="O242" s="118"/>
      <c r="P242" s="118"/>
      <c r="Q242" s="118"/>
      <c r="R242" s="118"/>
    </row>
    <row r="243" spans="2:18">
      <c r="B243" s="118"/>
      <c r="C243" s="118"/>
      <c r="D243" s="118"/>
      <c r="E243" s="118"/>
      <c r="F243" s="118"/>
      <c r="G243" s="118"/>
      <c r="H243" s="118"/>
      <c r="I243" s="118"/>
      <c r="J243" s="118"/>
      <c r="K243" s="118"/>
      <c r="L243" s="118"/>
      <c r="M243" s="118"/>
      <c r="N243" s="118"/>
      <c r="O243" s="118"/>
      <c r="P243" s="118"/>
      <c r="Q243" s="118"/>
      <c r="R243" s="118"/>
    </row>
    <row r="244" spans="2:18">
      <c r="B244" s="118"/>
      <c r="C244" s="118"/>
      <c r="D244" s="118"/>
      <c r="E244" s="118"/>
      <c r="F244" s="118"/>
      <c r="G244" s="118"/>
      <c r="H244" s="118"/>
      <c r="I244" s="118"/>
      <c r="J244" s="118"/>
      <c r="K244" s="118"/>
      <c r="L244" s="118"/>
      <c r="M244" s="118"/>
      <c r="N244" s="118"/>
      <c r="O244" s="118"/>
      <c r="P244" s="118"/>
      <c r="Q244" s="118"/>
      <c r="R244" s="118"/>
    </row>
    <row r="245" spans="2:18">
      <c r="B245" s="118"/>
      <c r="C245" s="118"/>
      <c r="D245" s="118"/>
      <c r="E245" s="118"/>
      <c r="F245" s="118"/>
      <c r="G245" s="118"/>
      <c r="H245" s="118"/>
      <c r="I245" s="118"/>
      <c r="J245" s="118"/>
      <c r="K245" s="118"/>
      <c r="L245" s="118"/>
      <c r="M245" s="118"/>
      <c r="N245" s="118"/>
      <c r="O245" s="118"/>
      <c r="P245" s="118"/>
      <c r="Q245" s="118"/>
      <c r="R245" s="118"/>
    </row>
    <row r="246" spans="2:18">
      <c r="B246" s="118"/>
      <c r="C246" s="118"/>
      <c r="D246" s="118"/>
      <c r="E246" s="118"/>
      <c r="F246" s="118"/>
      <c r="G246" s="118"/>
      <c r="H246" s="118"/>
      <c r="I246" s="118"/>
      <c r="J246" s="118"/>
      <c r="K246" s="118"/>
      <c r="L246" s="118"/>
      <c r="M246" s="118"/>
      <c r="N246" s="118"/>
      <c r="O246" s="118"/>
      <c r="P246" s="118"/>
      <c r="Q246" s="118"/>
      <c r="R246" s="118"/>
    </row>
    <row r="247" spans="2:18">
      <c r="B247" s="118"/>
      <c r="C247" s="118"/>
      <c r="D247" s="118"/>
      <c r="E247" s="118"/>
      <c r="F247" s="118"/>
      <c r="G247" s="118"/>
      <c r="H247" s="118"/>
      <c r="I247" s="118"/>
      <c r="J247" s="118"/>
      <c r="K247" s="118"/>
      <c r="L247" s="118"/>
      <c r="M247" s="118"/>
      <c r="N247" s="118"/>
      <c r="O247" s="118"/>
      <c r="P247" s="118"/>
      <c r="Q247" s="118"/>
      <c r="R247" s="118"/>
    </row>
    <row r="248" spans="2:18">
      <c r="B248" s="118"/>
      <c r="C248" s="118"/>
      <c r="D248" s="118"/>
      <c r="E248" s="118"/>
      <c r="F248" s="118"/>
      <c r="G248" s="118"/>
      <c r="H248" s="118"/>
      <c r="I248" s="118"/>
      <c r="J248" s="118"/>
      <c r="K248" s="118"/>
      <c r="L248" s="118"/>
      <c r="M248" s="118"/>
      <c r="N248" s="118"/>
      <c r="O248" s="118"/>
      <c r="P248" s="118"/>
      <c r="Q248" s="118"/>
      <c r="R248" s="118"/>
    </row>
    <row r="249" spans="2:18">
      <c r="B249" s="118"/>
      <c r="C249" s="118"/>
      <c r="D249" s="118"/>
      <c r="E249" s="118"/>
      <c r="F249" s="118"/>
      <c r="G249" s="118"/>
      <c r="H249" s="118"/>
      <c r="I249" s="118"/>
      <c r="J249" s="118"/>
      <c r="K249" s="118"/>
      <c r="L249" s="118"/>
      <c r="M249" s="118"/>
      <c r="N249" s="118"/>
      <c r="O249" s="118"/>
      <c r="P249" s="118"/>
      <c r="Q249" s="118"/>
      <c r="R249" s="118"/>
    </row>
    <row r="250" spans="2:18">
      <c r="B250" s="118"/>
      <c r="C250" s="118"/>
      <c r="D250" s="118"/>
      <c r="E250" s="118"/>
      <c r="F250" s="118"/>
      <c r="G250" s="118"/>
      <c r="H250" s="118"/>
      <c r="I250" s="118"/>
      <c r="J250" s="118"/>
      <c r="K250" s="118"/>
      <c r="L250" s="118"/>
      <c r="M250" s="118"/>
      <c r="N250" s="118"/>
      <c r="O250" s="118"/>
      <c r="P250" s="118"/>
      <c r="Q250" s="118"/>
      <c r="R250" s="118"/>
    </row>
    <row r="251" spans="2:18">
      <c r="B251" s="118"/>
      <c r="C251" s="118"/>
      <c r="D251" s="118"/>
      <c r="E251" s="118"/>
      <c r="F251" s="118"/>
      <c r="G251" s="118"/>
      <c r="H251" s="118"/>
      <c r="I251" s="118"/>
      <c r="J251" s="118"/>
      <c r="K251" s="118"/>
      <c r="L251" s="118"/>
      <c r="M251" s="118"/>
      <c r="N251" s="118"/>
      <c r="O251" s="118"/>
      <c r="P251" s="118"/>
      <c r="Q251" s="118"/>
      <c r="R251" s="118"/>
    </row>
    <row r="252" spans="2:18">
      <c r="B252" s="118"/>
      <c r="C252" s="118"/>
      <c r="D252" s="118"/>
      <c r="E252" s="118"/>
      <c r="F252" s="118"/>
      <c r="G252" s="118"/>
      <c r="H252" s="118"/>
      <c r="I252" s="118"/>
      <c r="J252" s="118"/>
      <c r="K252" s="118"/>
      <c r="L252" s="118"/>
      <c r="M252" s="118"/>
      <c r="N252" s="118"/>
      <c r="O252" s="118"/>
      <c r="P252" s="118"/>
      <c r="Q252" s="118"/>
      <c r="R252" s="118"/>
    </row>
    <row r="253" spans="2:18">
      <c r="B253" s="118"/>
      <c r="C253" s="118"/>
      <c r="D253" s="118"/>
      <c r="E253" s="118"/>
      <c r="F253" s="118"/>
      <c r="G253" s="118"/>
      <c r="H253" s="118"/>
      <c r="I253" s="118"/>
      <c r="J253" s="118"/>
      <c r="K253" s="118"/>
      <c r="L253" s="118"/>
      <c r="M253" s="118"/>
      <c r="N253" s="118"/>
      <c r="O253" s="118"/>
      <c r="P253" s="118"/>
      <c r="Q253" s="118"/>
      <c r="R253" s="118"/>
    </row>
    <row r="254" spans="2:18">
      <c r="B254" s="118"/>
      <c r="C254" s="118"/>
      <c r="D254" s="118"/>
      <c r="E254" s="118"/>
      <c r="F254" s="118"/>
      <c r="G254" s="118"/>
      <c r="H254" s="118"/>
      <c r="I254" s="118"/>
      <c r="J254" s="118"/>
      <c r="K254" s="118"/>
      <c r="L254" s="118"/>
      <c r="M254" s="118"/>
      <c r="N254" s="118"/>
      <c r="O254" s="118"/>
      <c r="P254" s="118"/>
      <c r="Q254" s="118"/>
      <c r="R254" s="118"/>
    </row>
    <row r="255" spans="2:18">
      <c r="B255" s="118"/>
      <c r="C255" s="118"/>
      <c r="D255" s="118"/>
      <c r="E255" s="118"/>
      <c r="F255" s="118"/>
      <c r="G255" s="118"/>
      <c r="H255" s="118"/>
      <c r="I255" s="118"/>
      <c r="J255" s="118"/>
      <c r="K255" s="118"/>
      <c r="L255" s="118"/>
      <c r="M255" s="118"/>
      <c r="N255" s="118"/>
      <c r="O255" s="118"/>
      <c r="P255" s="118"/>
      <c r="Q255" s="118"/>
      <c r="R255" s="118"/>
    </row>
    <row r="256" spans="2:18">
      <c r="B256" s="118"/>
      <c r="C256" s="118"/>
      <c r="D256" s="118"/>
      <c r="E256" s="118"/>
      <c r="F256" s="118"/>
      <c r="G256" s="118"/>
      <c r="H256" s="118"/>
      <c r="I256" s="118"/>
      <c r="J256" s="118"/>
      <c r="K256" s="118"/>
      <c r="L256" s="118"/>
      <c r="M256" s="118"/>
      <c r="N256" s="118"/>
      <c r="O256" s="118"/>
      <c r="P256" s="118"/>
      <c r="Q256" s="118"/>
      <c r="R256" s="118"/>
    </row>
    <row r="257" spans="2:18">
      <c r="B257" s="118"/>
      <c r="C257" s="118"/>
      <c r="D257" s="118"/>
      <c r="E257" s="118"/>
      <c r="F257" s="118"/>
      <c r="G257" s="118"/>
      <c r="H257" s="118"/>
      <c r="I257" s="118"/>
      <c r="J257" s="118"/>
      <c r="K257" s="118"/>
      <c r="L257" s="118"/>
      <c r="M257" s="118"/>
      <c r="N257" s="118"/>
      <c r="O257" s="118"/>
      <c r="P257" s="118"/>
      <c r="Q257" s="118"/>
      <c r="R257" s="118"/>
    </row>
    <row r="258" spans="2:18">
      <c r="B258" s="118"/>
      <c r="C258" s="118"/>
      <c r="D258" s="118"/>
      <c r="E258" s="118"/>
      <c r="F258" s="118"/>
      <c r="G258" s="118"/>
      <c r="H258" s="118"/>
      <c r="I258" s="118"/>
      <c r="J258" s="118"/>
      <c r="K258" s="118"/>
      <c r="L258" s="118"/>
      <c r="M258" s="118"/>
      <c r="N258" s="118"/>
      <c r="O258" s="118"/>
      <c r="P258" s="118"/>
      <c r="Q258" s="118"/>
      <c r="R258" s="118"/>
    </row>
    <row r="259" spans="2:18">
      <c r="B259" s="118"/>
      <c r="C259" s="118"/>
      <c r="D259" s="118"/>
      <c r="E259" s="118"/>
      <c r="F259" s="118"/>
      <c r="G259" s="118"/>
      <c r="H259" s="118"/>
      <c r="I259" s="118"/>
      <c r="J259" s="118"/>
      <c r="K259" s="118"/>
      <c r="L259" s="118"/>
      <c r="M259" s="118"/>
      <c r="N259" s="118"/>
      <c r="O259" s="118"/>
      <c r="P259" s="118"/>
      <c r="Q259" s="118"/>
      <c r="R259" s="118"/>
    </row>
    <row r="260" spans="2:18">
      <c r="B260" s="118"/>
      <c r="C260" s="118"/>
      <c r="D260" s="118"/>
      <c r="E260" s="118"/>
      <c r="F260" s="118"/>
      <c r="G260" s="118"/>
      <c r="H260" s="118"/>
      <c r="I260" s="118"/>
      <c r="J260" s="118"/>
      <c r="K260" s="118"/>
      <c r="L260" s="118"/>
      <c r="M260" s="118"/>
      <c r="N260" s="118"/>
      <c r="O260" s="118"/>
      <c r="P260" s="118"/>
      <c r="Q260" s="118"/>
      <c r="R260" s="118"/>
    </row>
    <row r="261" spans="2:18">
      <c r="B261" s="118"/>
      <c r="C261" s="118"/>
      <c r="D261" s="118"/>
      <c r="E261" s="118"/>
      <c r="F261" s="118"/>
      <c r="G261" s="118"/>
      <c r="H261" s="118"/>
      <c r="I261" s="118"/>
      <c r="J261" s="118"/>
      <c r="K261" s="118"/>
      <c r="L261" s="118"/>
      <c r="M261" s="118"/>
      <c r="N261" s="118"/>
      <c r="O261" s="118"/>
      <c r="P261" s="118"/>
      <c r="Q261" s="118"/>
      <c r="R261" s="118"/>
    </row>
    <row r="262" spans="2:18">
      <c r="B262" s="118"/>
      <c r="C262" s="118"/>
      <c r="D262" s="118"/>
      <c r="E262" s="118"/>
      <c r="F262" s="118"/>
      <c r="G262" s="118"/>
      <c r="H262" s="118"/>
      <c r="I262" s="118"/>
      <c r="J262" s="118"/>
      <c r="K262" s="118"/>
      <c r="L262" s="118"/>
      <c r="M262" s="118"/>
      <c r="N262" s="118"/>
      <c r="O262" s="118"/>
      <c r="P262" s="118"/>
      <c r="Q262" s="118"/>
      <c r="R262" s="118"/>
    </row>
    <row r="263" spans="2:18">
      <c r="B263" s="118"/>
      <c r="C263" s="118"/>
      <c r="D263" s="118"/>
      <c r="E263" s="118"/>
      <c r="F263" s="118"/>
      <c r="G263" s="118"/>
      <c r="H263" s="118"/>
      <c r="I263" s="118"/>
      <c r="J263" s="118"/>
      <c r="K263" s="118"/>
      <c r="L263" s="118"/>
      <c r="M263" s="118"/>
      <c r="N263" s="118"/>
      <c r="O263" s="118"/>
      <c r="P263" s="118"/>
      <c r="Q263" s="118"/>
      <c r="R263" s="118"/>
    </row>
    <row r="264" spans="2:18">
      <c r="B264" s="118"/>
      <c r="C264" s="118"/>
      <c r="D264" s="118"/>
      <c r="E264" s="118"/>
      <c r="F264" s="118"/>
      <c r="G264" s="118"/>
      <c r="H264" s="118"/>
      <c r="I264" s="118"/>
      <c r="J264" s="118"/>
      <c r="K264" s="118"/>
      <c r="L264" s="118"/>
      <c r="M264" s="118"/>
      <c r="N264" s="118"/>
      <c r="O264" s="118"/>
      <c r="P264" s="118"/>
      <c r="Q264" s="118"/>
      <c r="R264" s="118"/>
    </row>
    <row r="265" spans="2:18">
      <c r="B265" s="118"/>
      <c r="C265" s="118"/>
      <c r="D265" s="118"/>
      <c r="E265" s="118"/>
      <c r="F265" s="118"/>
      <c r="G265" s="118"/>
      <c r="H265" s="118"/>
      <c r="I265" s="118"/>
      <c r="J265" s="118"/>
      <c r="K265" s="118"/>
      <c r="L265" s="118"/>
      <c r="M265" s="118"/>
      <c r="N265" s="118"/>
      <c r="O265" s="118"/>
      <c r="P265" s="118"/>
      <c r="Q265" s="118"/>
      <c r="R265" s="118"/>
    </row>
    <row r="266" spans="2:18">
      <c r="B266" s="118"/>
      <c r="C266" s="118"/>
      <c r="D266" s="118"/>
      <c r="E266" s="118"/>
      <c r="F266" s="118"/>
      <c r="G266" s="118"/>
      <c r="H266" s="118"/>
      <c r="I266" s="118"/>
      <c r="J266" s="118"/>
      <c r="K266" s="118"/>
      <c r="L266" s="118"/>
      <c r="M266" s="118"/>
      <c r="N266" s="118"/>
      <c r="O266" s="118"/>
      <c r="P266" s="118"/>
      <c r="Q266" s="118"/>
      <c r="R266" s="118"/>
    </row>
    <row r="267" spans="2:18">
      <c r="B267" s="118"/>
      <c r="C267" s="118"/>
      <c r="D267" s="118"/>
      <c r="E267" s="118"/>
      <c r="F267" s="118"/>
      <c r="G267" s="118"/>
      <c r="H267" s="118"/>
      <c r="I267" s="118"/>
      <c r="J267" s="118"/>
      <c r="K267" s="118"/>
      <c r="L267" s="118"/>
      <c r="M267" s="118"/>
      <c r="N267" s="118"/>
      <c r="O267" s="118"/>
      <c r="P267" s="118"/>
      <c r="Q267" s="118"/>
      <c r="R267" s="118"/>
    </row>
    <row r="268" spans="2:18">
      <c r="B268" s="118"/>
      <c r="C268" s="118"/>
      <c r="D268" s="118"/>
      <c r="E268" s="118"/>
      <c r="F268" s="118"/>
      <c r="G268" s="118"/>
      <c r="H268" s="118"/>
      <c r="I268" s="118"/>
      <c r="J268" s="118"/>
      <c r="K268" s="118"/>
      <c r="L268" s="118"/>
      <c r="M268" s="118"/>
      <c r="N268" s="118"/>
      <c r="O268" s="118"/>
      <c r="P268" s="118"/>
      <c r="Q268" s="118"/>
      <c r="R268" s="118"/>
    </row>
    <row r="269" spans="2:18">
      <c r="B269" s="118"/>
      <c r="C269" s="118"/>
      <c r="D269" s="118"/>
      <c r="E269" s="118"/>
      <c r="F269" s="118"/>
      <c r="G269" s="118"/>
      <c r="H269" s="118"/>
      <c r="I269" s="118"/>
      <c r="J269" s="118"/>
      <c r="K269" s="118"/>
      <c r="L269" s="118"/>
      <c r="M269" s="118"/>
      <c r="N269" s="118"/>
      <c r="O269" s="118"/>
      <c r="P269" s="118"/>
      <c r="Q269" s="118"/>
      <c r="R269" s="118"/>
    </row>
    <row r="270" spans="2:18">
      <c r="B270" s="118"/>
      <c r="C270" s="118"/>
      <c r="D270" s="118"/>
      <c r="E270" s="118"/>
      <c r="F270" s="118"/>
      <c r="G270" s="118"/>
      <c r="H270" s="118"/>
      <c r="I270" s="118"/>
      <c r="J270" s="118"/>
      <c r="K270" s="118"/>
      <c r="L270" s="118"/>
      <c r="M270" s="118"/>
      <c r="N270" s="118"/>
      <c r="O270" s="118"/>
      <c r="P270" s="118"/>
      <c r="Q270" s="118"/>
      <c r="R270" s="118"/>
    </row>
    <row r="271" spans="2:18">
      <c r="B271" s="118"/>
      <c r="C271" s="118"/>
      <c r="D271" s="118"/>
      <c r="E271" s="118"/>
      <c r="F271" s="118"/>
      <c r="G271" s="118"/>
      <c r="H271" s="118"/>
      <c r="I271" s="118"/>
      <c r="J271" s="118"/>
      <c r="K271" s="118"/>
      <c r="L271" s="118"/>
      <c r="M271" s="118"/>
      <c r="N271" s="118"/>
      <c r="O271" s="118"/>
      <c r="P271" s="118"/>
      <c r="Q271" s="118"/>
      <c r="R271" s="118"/>
    </row>
    <row r="272" spans="2:18">
      <c r="B272" s="118"/>
      <c r="C272" s="118"/>
      <c r="D272" s="118"/>
      <c r="E272" s="118"/>
      <c r="F272" s="118"/>
      <c r="G272" s="118"/>
      <c r="H272" s="118"/>
      <c r="I272" s="118"/>
      <c r="J272" s="118"/>
      <c r="K272" s="118"/>
      <c r="L272" s="118"/>
      <c r="M272" s="118"/>
      <c r="N272" s="118"/>
      <c r="O272" s="118"/>
      <c r="P272" s="118"/>
      <c r="Q272" s="118"/>
      <c r="R272" s="118"/>
    </row>
    <row r="273" spans="2:18">
      <c r="B273" s="118"/>
      <c r="C273" s="118"/>
      <c r="D273" s="118"/>
      <c r="E273" s="118"/>
      <c r="F273" s="118"/>
      <c r="G273" s="118"/>
      <c r="H273" s="118"/>
      <c r="I273" s="118"/>
      <c r="J273" s="118"/>
      <c r="K273" s="118"/>
      <c r="L273" s="118"/>
      <c r="M273" s="118"/>
      <c r="N273" s="118"/>
      <c r="O273" s="118"/>
      <c r="P273" s="118"/>
      <c r="Q273" s="118"/>
      <c r="R273" s="118"/>
    </row>
    <row r="274" spans="2:18">
      <c r="B274" s="118"/>
      <c r="C274" s="118"/>
      <c r="D274" s="118"/>
      <c r="E274" s="118"/>
      <c r="F274" s="118"/>
      <c r="G274" s="118"/>
      <c r="H274" s="118"/>
      <c r="I274" s="118"/>
      <c r="J274" s="118"/>
      <c r="K274" s="118"/>
      <c r="L274" s="118"/>
      <c r="M274" s="118"/>
      <c r="N274" s="118"/>
      <c r="O274" s="118"/>
      <c r="P274" s="118"/>
      <c r="Q274" s="118"/>
      <c r="R274" s="118"/>
    </row>
    <row r="275" spans="2:18">
      <c r="B275" s="118"/>
      <c r="C275" s="118"/>
      <c r="D275" s="118"/>
      <c r="E275" s="118"/>
      <c r="F275" s="118"/>
      <c r="G275" s="118"/>
      <c r="H275" s="118"/>
      <c r="I275" s="118"/>
      <c r="J275" s="118"/>
      <c r="K275" s="118"/>
      <c r="L275" s="118"/>
      <c r="M275" s="118"/>
      <c r="N275" s="118"/>
      <c r="O275" s="118"/>
      <c r="P275" s="118"/>
      <c r="Q275" s="118"/>
      <c r="R275" s="118"/>
    </row>
    <row r="276" spans="2:18">
      <c r="B276" s="118"/>
      <c r="C276" s="118"/>
      <c r="D276" s="118"/>
      <c r="E276" s="118"/>
      <c r="F276" s="118"/>
      <c r="G276" s="118"/>
      <c r="H276" s="118"/>
      <c r="I276" s="118"/>
      <c r="J276" s="118"/>
      <c r="K276" s="118"/>
      <c r="L276" s="118"/>
      <c r="M276" s="118"/>
      <c r="N276" s="118"/>
      <c r="O276" s="118"/>
      <c r="P276" s="118"/>
      <c r="Q276" s="118"/>
      <c r="R276" s="118"/>
    </row>
    <row r="277" spans="2:18">
      <c r="B277" s="118"/>
      <c r="C277" s="118"/>
      <c r="D277" s="118"/>
      <c r="E277" s="118"/>
      <c r="F277" s="118"/>
      <c r="G277" s="118"/>
      <c r="H277" s="118"/>
      <c r="I277" s="118"/>
      <c r="J277" s="118"/>
      <c r="K277" s="118"/>
      <c r="L277" s="118"/>
      <c r="M277" s="118"/>
      <c r="N277" s="118"/>
      <c r="O277" s="118"/>
      <c r="P277" s="118"/>
      <c r="Q277" s="118"/>
      <c r="R277" s="118"/>
    </row>
    <row r="278" spans="2:18">
      <c r="B278" s="118"/>
      <c r="C278" s="118"/>
      <c r="D278" s="118"/>
      <c r="E278" s="118"/>
      <c r="F278" s="118"/>
      <c r="G278" s="118"/>
      <c r="H278" s="118"/>
      <c r="I278" s="118"/>
      <c r="J278" s="118"/>
      <c r="K278" s="118"/>
      <c r="L278" s="118"/>
      <c r="M278" s="118"/>
      <c r="N278" s="118"/>
      <c r="O278" s="118"/>
      <c r="P278" s="118"/>
      <c r="Q278" s="118"/>
      <c r="R278" s="118"/>
    </row>
    <row r="279" spans="2:18">
      <c r="B279" s="118"/>
      <c r="C279" s="118"/>
      <c r="D279" s="118"/>
      <c r="E279" s="118"/>
      <c r="F279" s="118"/>
      <c r="G279" s="118"/>
      <c r="H279" s="118"/>
      <c r="I279" s="118"/>
      <c r="J279" s="118"/>
      <c r="K279" s="118"/>
      <c r="L279" s="118"/>
      <c r="M279" s="118"/>
      <c r="N279" s="118"/>
      <c r="O279" s="118"/>
      <c r="P279" s="118"/>
      <c r="Q279" s="118"/>
      <c r="R279" s="118"/>
    </row>
    <row r="280" spans="2:18">
      <c r="B280" s="118"/>
      <c r="C280" s="118"/>
      <c r="D280" s="118"/>
      <c r="E280" s="118"/>
      <c r="F280" s="118"/>
      <c r="G280" s="118"/>
      <c r="H280" s="118"/>
      <c r="I280" s="118"/>
      <c r="J280" s="118"/>
      <c r="K280" s="118"/>
      <c r="L280" s="118"/>
      <c r="M280" s="118"/>
      <c r="N280" s="118"/>
      <c r="O280" s="118"/>
      <c r="P280" s="118"/>
      <c r="Q280" s="118"/>
      <c r="R280" s="118"/>
    </row>
    <row r="281" spans="2:18">
      <c r="B281" s="118"/>
      <c r="C281" s="118"/>
      <c r="D281" s="118"/>
      <c r="E281" s="118"/>
      <c r="F281" s="118"/>
      <c r="G281" s="118"/>
      <c r="H281" s="118"/>
      <c r="I281" s="118"/>
      <c r="J281" s="118"/>
      <c r="K281" s="118"/>
      <c r="L281" s="118"/>
      <c r="M281" s="118"/>
      <c r="N281" s="118"/>
      <c r="O281" s="118"/>
      <c r="P281" s="118"/>
      <c r="Q281" s="118"/>
      <c r="R281" s="118"/>
    </row>
    <row r="282" spans="2:18">
      <c r="B282" s="118"/>
      <c r="C282" s="118"/>
      <c r="D282" s="118"/>
      <c r="E282" s="118"/>
      <c r="F282" s="118"/>
      <c r="G282" s="118"/>
      <c r="H282" s="118"/>
      <c r="I282" s="118"/>
      <c r="J282" s="118"/>
      <c r="K282" s="118"/>
      <c r="L282" s="118"/>
      <c r="M282" s="118"/>
      <c r="N282" s="118"/>
      <c r="O282" s="118"/>
      <c r="P282" s="118"/>
      <c r="Q282" s="118"/>
      <c r="R282" s="118"/>
    </row>
    <row r="283" spans="2:18">
      <c r="B283" s="118"/>
      <c r="C283" s="118"/>
      <c r="D283" s="118"/>
      <c r="E283" s="118"/>
      <c r="F283" s="118"/>
      <c r="G283" s="118"/>
      <c r="H283" s="118"/>
      <c r="I283" s="118"/>
      <c r="J283" s="118"/>
      <c r="K283" s="118"/>
      <c r="L283" s="118"/>
      <c r="M283" s="118"/>
      <c r="N283" s="118"/>
      <c r="O283" s="118"/>
      <c r="P283" s="118"/>
      <c r="Q283" s="118"/>
      <c r="R283" s="118"/>
    </row>
    <row r="284" spans="2:18">
      <c r="B284" s="118"/>
      <c r="C284" s="118"/>
      <c r="D284" s="118"/>
      <c r="E284" s="118"/>
      <c r="F284" s="118"/>
      <c r="G284" s="118"/>
      <c r="H284" s="118"/>
      <c r="I284" s="118"/>
      <c r="J284" s="118"/>
      <c r="K284" s="118"/>
      <c r="L284" s="118"/>
      <c r="M284" s="118"/>
      <c r="N284" s="118"/>
      <c r="O284" s="118"/>
      <c r="P284" s="118"/>
      <c r="Q284" s="118"/>
      <c r="R284" s="118"/>
    </row>
    <row r="285" spans="2:18">
      <c r="B285" s="118"/>
      <c r="C285" s="118"/>
      <c r="D285" s="118"/>
      <c r="E285" s="118"/>
      <c r="F285" s="118"/>
      <c r="G285" s="118"/>
      <c r="H285" s="118"/>
      <c r="I285" s="118"/>
      <c r="J285" s="118"/>
      <c r="K285" s="118"/>
      <c r="L285" s="118"/>
      <c r="M285" s="118"/>
      <c r="N285" s="118"/>
      <c r="O285" s="118"/>
      <c r="P285" s="118"/>
      <c r="Q285" s="118"/>
      <c r="R285" s="118"/>
    </row>
    <row r="286" spans="2:18">
      <c r="B286" s="118"/>
      <c r="C286" s="118"/>
      <c r="D286" s="118"/>
      <c r="E286" s="118"/>
      <c r="F286" s="118"/>
      <c r="G286" s="118"/>
      <c r="H286" s="118"/>
      <c r="I286" s="118"/>
      <c r="J286" s="118"/>
      <c r="K286" s="118"/>
      <c r="L286" s="118"/>
      <c r="M286" s="118"/>
      <c r="N286" s="118"/>
      <c r="O286" s="118"/>
      <c r="P286" s="118"/>
      <c r="Q286" s="118"/>
      <c r="R286" s="118"/>
    </row>
    <row r="287" spans="2:18">
      <c r="B287" s="118"/>
      <c r="C287" s="118"/>
      <c r="D287" s="118"/>
      <c r="E287" s="118"/>
      <c r="F287" s="118"/>
      <c r="G287" s="118"/>
      <c r="H287" s="118"/>
      <c r="I287" s="118"/>
      <c r="J287" s="118"/>
      <c r="K287" s="118"/>
      <c r="L287" s="118"/>
      <c r="M287" s="118"/>
      <c r="N287" s="118"/>
      <c r="O287" s="118"/>
      <c r="P287" s="118"/>
      <c r="Q287" s="118"/>
      <c r="R287" s="118"/>
    </row>
    <row r="288" spans="2:18">
      <c r="B288" s="118"/>
      <c r="C288" s="118"/>
      <c r="D288" s="118"/>
      <c r="E288" s="118"/>
      <c r="F288" s="118"/>
      <c r="G288" s="118"/>
      <c r="H288" s="118"/>
      <c r="I288" s="118"/>
      <c r="J288" s="118"/>
      <c r="K288" s="118"/>
      <c r="L288" s="118"/>
      <c r="M288" s="118"/>
      <c r="N288" s="118"/>
      <c r="O288" s="118"/>
      <c r="P288" s="118"/>
      <c r="Q288" s="118"/>
      <c r="R288" s="118"/>
    </row>
    <row r="289" spans="2:18">
      <c r="B289" s="118"/>
      <c r="C289" s="118"/>
      <c r="D289" s="118"/>
      <c r="E289" s="118"/>
      <c r="F289" s="118"/>
      <c r="G289" s="118"/>
      <c r="H289" s="118"/>
      <c r="I289" s="118"/>
      <c r="J289" s="118"/>
      <c r="K289" s="118"/>
      <c r="L289" s="118"/>
      <c r="M289" s="118"/>
      <c r="N289" s="118"/>
      <c r="O289" s="118"/>
      <c r="P289" s="118"/>
      <c r="Q289" s="118"/>
      <c r="R289" s="118"/>
    </row>
    <row r="290" spans="2:18">
      <c r="B290" s="118"/>
      <c r="C290" s="118"/>
      <c r="D290" s="118"/>
      <c r="E290" s="118"/>
      <c r="F290" s="118"/>
      <c r="G290" s="118"/>
      <c r="H290" s="118"/>
      <c r="I290" s="118"/>
      <c r="J290" s="118"/>
      <c r="K290" s="118"/>
      <c r="L290" s="118"/>
      <c r="M290" s="118"/>
      <c r="N290" s="118"/>
      <c r="O290" s="118"/>
      <c r="P290" s="118"/>
      <c r="Q290" s="118"/>
      <c r="R290" s="118"/>
    </row>
    <row r="291" spans="2:18">
      <c r="B291" s="118"/>
      <c r="C291" s="118"/>
      <c r="D291" s="118"/>
      <c r="E291" s="118"/>
      <c r="F291" s="118"/>
      <c r="G291" s="118"/>
      <c r="H291" s="118"/>
      <c r="I291" s="118"/>
      <c r="J291" s="118"/>
      <c r="K291" s="118"/>
      <c r="L291" s="118"/>
      <c r="M291" s="118"/>
      <c r="N291" s="118"/>
      <c r="O291" s="118"/>
      <c r="P291" s="118"/>
      <c r="Q291" s="118"/>
      <c r="R291" s="118"/>
    </row>
    <row r="292" spans="2:18">
      <c r="B292" s="118"/>
      <c r="C292" s="118"/>
      <c r="D292" s="118"/>
      <c r="E292" s="118"/>
      <c r="F292" s="118"/>
      <c r="G292" s="118"/>
      <c r="H292" s="118"/>
      <c r="I292" s="118"/>
      <c r="J292" s="118"/>
      <c r="K292" s="118"/>
      <c r="L292" s="118"/>
      <c r="M292" s="118"/>
      <c r="N292" s="118"/>
      <c r="O292" s="118"/>
      <c r="P292" s="118"/>
      <c r="Q292" s="118"/>
      <c r="R292" s="118"/>
    </row>
    <row r="293" spans="2:18">
      <c r="B293" s="118"/>
      <c r="C293" s="118"/>
      <c r="D293" s="118"/>
      <c r="E293" s="118"/>
      <c r="F293" s="118"/>
      <c r="G293" s="118"/>
      <c r="H293" s="118"/>
      <c r="I293" s="118"/>
      <c r="J293" s="118"/>
      <c r="K293" s="118"/>
      <c r="L293" s="118"/>
      <c r="M293" s="118"/>
      <c r="N293" s="118"/>
      <c r="O293" s="118"/>
      <c r="P293" s="118"/>
      <c r="Q293" s="118"/>
      <c r="R293" s="118"/>
    </row>
    <row r="294" spans="2:18">
      <c r="B294" s="118"/>
      <c r="C294" s="118"/>
      <c r="D294" s="118"/>
      <c r="E294" s="118"/>
      <c r="F294" s="118"/>
      <c r="G294" s="118"/>
      <c r="H294" s="118"/>
      <c r="I294" s="118"/>
      <c r="J294" s="118"/>
      <c r="K294" s="118"/>
      <c r="L294" s="118"/>
      <c r="M294" s="118"/>
      <c r="N294" s="118"/>
      <c r="O294" s="118"/>
      <c r="P294" s="118"/>
      <c r="Q294" s="118"/>
      <c r="R294" s="118"/>
    </row>
    <row r="295" spans="2:18">
      <c r="B295" s="118"/>
      <c r="C295" s="118"/>
      <c r="D295" s="118"/>
      <c r="E295" s="118"/>
      <c r="F295" s="118"/>
      <c r="G295" s="118"/>
      <c r="H295" s="118"/>
      <c r="I295" s="118"/>
      <c r="J295" s="118"/>
      <c r="K295" s="118"/>
      <c r="L295" s="118"/>
      <c r="M295" s="118"/>
      <c r="N295" s="118"/>
      <c r="O295" s="118"/>
      <c r="P295" s="118"/>
      <c r="Q295" s="118"/>
      <c r="R295" s="118"/>
    </row>
    <row r="296" spans="2:18">
      <c r="B296" s="118"/>
      <c r="C296" s="118"/>
      <c r="D296" s="118"/>
      <c r="E296" s="118"/>
      <c r="F296" s="118"/>
      <c r="G296" s="118"/>
      <c r="H296" s="118"/>
      <c r="I296" s="118"/>
      <c r="J296" s="118"/>
      <c r="K296" s="118"/>
      <c r="L296" s="118"/>
      <c r="M296" s="118"/>
      <c r="N296" s="118"/>
      <c r="O296" s="118"/>
      <c r="P296" s="118"/>
      <c r="Q296" s="118"/>
      <c r="R296" s="118"/>
    </row>
    <row r="297" spans="2:18">
      <c r="B297" s="118"/>
      <c r="C297" s="118"/>
      <c r="D297" s="118"/>
      <c r="E297" s="118"/>
      <c r="F297" s="118"/>
      <c r="G297" s="118"/>
      <c r="H297" s="118"/>
      <c r="I297" s="118"/>
      <c r="J297" s="118"/>
      <c r="K297" s="118"/>
      <c r="L297" s="118"/>
      <c r="M297" s="118"/>
      <c r="N297" s="118"/>
      <c r="O297" s="118"/>
      <c r="P297" s="118"/>
      <c r="Q297" s="118"/>
      <c r="R297" s="118"/>
    </row>
    <row r="298" spans="2:18">
      <c r="B298" s="118"/>
      <c r="C298" s="118"/>
      <c r="D298" s="118"/>
      <c r="E298" s="118"/>
      <c r="F298" s="118"/>
      <c r="G298" s="118"/>
      <c r="H298" s="118"/>
      <c r="I298" s="118"/>
      <c r="J298" s="118"/>
      <c r="K298" s="118"/>
      <c r="L298" s="118"/>
      <c r="M298" s="118"/>
      <c r="N298" s="118"/>
      <c r="O298" s="118"/>
      <c r="P298" s="118"/>
      <c r="Q298" s="118"/>
      <c r="R298" s="118"/>
    </row>
    <row r="299" spans="2:18">
      <c r="B299" s="118"/>
      <c r="C299" s="118"/>
      <c r="D299" s="118"/>
      <c r="E299" s="118"/>
      <c r="F299" s="118"/>
      <c r="G299" s="118"/>
      <c r="H299" s="118"/>
      <c r="I299" s="118"/>
      <c r="J299" s="118"/>
      <c r="K299" s="118"/>
      <c r="L299" s="118"/>
      <c r="M299" s="118"/>
      <c r="N299" s="118"/>
      <c r="O299" s="118"/>
      <c r="P299" s="118"/>
      <c r="Q299" s="118"/>
      <c r="R299" s="118"/>
    </row>
    <row r="300" spans="2:18">
      <c r="B300" s="118"/>
      <c r="C300" s="118"/>
      <c r="D300" s="118"/>
      <c r="E300" s="118"/>
      <c r="F300" s="118"/>
      <c r="G300" s="118"/>
      <c r="H300" s="118"/>
      <c r="I300" s="118"/>
      <c r="J300" s="118"/>
      <c r="K300" s="118"/>
      <c r="L300" s="118"/>
      <c r="M300" s="118"/>
      <c r="N300" s="118"/>
      <c r="O300" s="118"/>
      <c r="P300" s="118"/>
      <c r="Q300" s="118"/>
      <c r="R300" s="118"/>
    </row>
    <row r="301" spans="2:18">
      <c r="B301" s="118"/>
      <c r="C301" s="118"/>
      <c r="D301" s="118"/>
      <c r="E301" s="118"/>
      <c r="F301" s="118"/>
      <c r="G301" s="118"/>
      <c r="H301" s="118"/>
      <c r="I301" s="118"/>
      <c r="J301" s="118"/>
      <c r="K301" s="118"/>
      <c r="L301" s="118"/>
      <c r="M301" s="118"/>
      <c r="N301" s="118"/>
      <c r="O301" s="118"/>
      <c r="P301" s="118"/>
      <c r="Q301" s="118"/>
      <c r="R301" s="118"/>
    </row>
    <row r="302" spans="2:18">
      <c r="B302" s="118"/>
      <c r="C302" s="118"/>
      <c r="D302" s="118"/>
      <c r="E302" s="118"/>
      <c r="F302" s="118"/>
      <c r="G302" s="118"/>
      <c r="H302" s="118"/>
      <c r="I302" s="118"/>
      <c r="J302" s="118"/>
      <c r="K302" s="118"/>
      <c r="L302" s="118"/>
      <c r="M302" s="118"/>
      <c r="N302" s="118"/>
      <c r="O302" s="118"/>
      <c r="P302" s="118"/>
      <c r="Q302" s="118"/>
      <c r="R302" s="118"/>
    </row>
    <row r="303" spans="2:18">
      <c r="B303" s="118"/>
      <c r="C303" s="118"/>
      <c r="D303" s="118"/>
      <c r="E303" s="118"/>
      <c r="F303" s="118"/>
      <c r="G303" s="118"/>
      <c r="H303" s="118"/>
      <c r="I303" s="118"/>
      <c r="J303" s="118"/>
      <c r="K303" s="118"/>
      <c r="L303" s="118"/>
      <c r="M303" s="118"/>
      <c r="N303" s="118"/>
      <c r="O303" s="118"/>
      <c r="P303" s="118"/>
      <c r="Q303" s="118"/>
      <c r="R303" s="118"/>
    </row>
    <row r="304" spans="2:18">
      <c r="B304" s="118"/>
      <c r="C304" s="118"/>
      <c r="D304" s="118"/>
      <c r="E304" s="118"/>
      <c r="F304" s="118"/>
      <c r="G304" s="118"/>
      <c r="H304" s="118"/>
      <c r="I304" s="118"/>
      <c r="J304" s="118"/>
      <c r="K304" s="118"/>
      <c r="L304" s="118"/>
      <c r="M304" s="118"/>
      <c r="N304" s="118"/>
      <c r="O304" s="118"/>
      <c r="P304" s="118"/>
      <c r="Q304" s="118"/>
      <c r="R304" s="118"/>
    </row>
    <row r="305" spans="2:18">
      <c r="B305" s="118"/>
      <c r="C305" s="118"/>
      <c r="D305" s="118"/>
      <c r="E305" s="118"/>
      <c r="F305" s="118"/>
      <c r="G305" s="118"/>
      <c r="H305" s="118"/>
      <c r="I305" s="118"/>
      <c r="J305" s="118"/>
      <c r="K305" s="118"/>
      <c r="L305" s="118"/>
      <c r="M305" s="118"/>
      <c r="N305" s="118"/>
      <c r="O305" s="118"/>
      <c r="P305" s="118"/>
      <c r="Q305" s="118"/>
      <c r="R305" s="118"/>
    </row>
    <row r="306" spans="2:18">
      <c r="B306" s="118"/>
      <c r="C306" s="118"/>
      <c r="D306" s="118"/>
      <c r="E306" s="118"/>
      <c r="F306" s="118"/>
      <c r="G306" s="118"/>
      <c r="H306" s="118"/>
      <c r="I306" s="118"/>
      <c r="J306" s="118"/>
      <c r="K306" s="118"/>
      <c r="L306" s="118"/>
      <c r="M306" s="118"/>
      <c r="N306" s="118"/>
      <c r="O306" s="118"/>
      <c r="P306" s="118"/>
      <c r="Q306" s="118"/>
      <c r="R306" s="118"/>
    </row>
    <row r="307" spans="2:18">
      <c r="B307" s="118"/>
      <c r="C307" s="118"/>
      <c r="D307" s="118"/>
      <c r="E307" s="118"/>
      <c r="F307" s="118"/>
      <c r="G307" s="118"/>
      <c r="H307" s="118"/>
      <c r="I307" s="118"/>
      <c r="J307" s="118"/>
      <c r="K307" s="118"/>
      <c r="L307" s="118"/>
      <c r="M307" s="118"/>
      <c r="N307" s="118"/>
      <c r="O307" s="118"/>
      <c r="P307" s="118"/>
      <c r="Q307" s="118"/>
      <c r="R307" s="118"/>
    </row>
    <row r="308" spans="2:18">
      <c r="B308" s="118"/>
      <c r="C308" s="118"/>
      <c r="D308" s="118"/>
      <c r="E308" s="118"/>
      <c r="F308" s="118"/>
      <c r="G308" s="118"/>
      <c r="H308" s="118"/>
      <c r="I308" s="118"/>
      <c r="J308" s="118"/>
      <c r="K308" s="118"/>
      <c r="L308" s="118"/>
      <c r="M308" s="118"/>
      <c r="N308" s="118"/>
      <c r="O308" s="118"/>
      <c r="P308" s="118"/>
      <c r="Q308" s="118"/>
      <c r="R308" s="118"/>
    </row>
    <row r="309" spans="2:18">
      <c r="B309" s="118"/>
      <c r="C309" s="118"/>
      <c r="D309" s="118"/>
      <c r="E309" s="118"/>
      <c r="F309" s="118"/>
      <c r="G309" s="118"/>
      <c r="H309" s="118"/>
      <c r="I309" s="118"/>
      <c r="J309" s="118"/>
      <c r="K309" s="118"/>
      <c r="L309" s="118"/>
      <c r="M309" s="118"/>
      <c r="N309" s="118"/>
      <c r="O309" s="118"/>
      <c r="P309" s="118"/>
      <c r="Q309" s="118"/>
      <c r="R309" s="118"/>
    </row>
    <row r="310" spans="2:18">
      <c r="B310" s="118"/>
      <c r="C310" s="118"/>
      <c r="D310" s="118"/>
      <c r="E310" s="118"/>
      <c r="F310" s="118"/>
      <c r="G310" s="118"/>
      <c r="H310" s="118"/>
      <c r="I310" s="118"/>
      <c r="J310" s="118"/>
      <c r="K310" s="118"/>
      <c r="L310" s="118"/>
      <c r="M310" s="118"/>
      <c r="N310" s="118"/>
      <c r="O310" s="118"/>
      <c r="P310" s="118"/>
      <c r="Q310" s="118"/>
      <c r="R310" s="118"/>
    </row>
    <row r="311" spans="2:18">
      <c r="B311" s="118"/>
      <c r="C311" s="118"/>
      <c r="D311" s="118"/>
      <c r="E311" s="118"/>
      <c r="F311" s="118"/>
      <c r="G311" s="118"/>
      <c r="H311" s="118"/>
      <c r="I311" s="118"/>
      <c r="J311" s="118"/>
      <c r="K311" s="118"/>
      <c r="L311" s="118"/>
      <c r="M311" s="118"/>
      <c r="N311" s="118"/>
      <c r="O311" s="118"/>
      <c r="P311" s="118"/>
      <c r="Q311" s="118"/>
      <c r="R311" s="118"/>
    </row>
    <row r="312" spans="2:18">
      <c r="B312" s="118"/>
      <c r="C312" s="118"/>
      <c r="D312" s="118"/>
      <c r="E312" s="118"/>
      <c r="F312" s="118"/>
      <c r="G312" s="118"/>
      <c r="H312" s="118"/>
      <c r="I312" s="118"/>
      <c r="J312" s="118"/>
      <c r="K312" s="118"/>
      <c r="L312" s="118"/>
      <c r="M312" s="118"/>
      <c r="N312" s="118"/>
      <c r="O312" s="118"/>
      <c r="P312" s="118"/>
      <c r="Q312" s="118"/>
      <c r="R312" s="118"/>
    </row>
    <row r="313" spans="2:18">
      <c r="B313" s="118"/>
      <c r="C313" s="118"/>
      <c r="D313" s="118"/>
      <c r="E313" s="118"/>
      <c r="F313" s="118"/>
      <c r="G313" s="118"/>
      <c r="H313" s="118"/>
      <c r="I313" s="118"/>
      <c r="J313" s="118"/>
      <c r="K313" s="118"/>
      <c r="L313" s="118"/>
      <c r="M313" s="118"/>
      <c r="N313" s="118"/>
      <c r="O313" s="118"/>
      <c r="P313" s="118"/>
      <c r="Q313" s="118"/>
      <c r="R313" s="118"/>
    </row>
    <row r="314" spans="2:18">
      <c r="B314" s="118"/>
      <c r="C314" s="118"/>
      <c r="D314" s="118"/>
      <c r="E314" s="118"/>
      <c r="F314" s="118"/>
      <c r="G314" s="118"/>
      <c r="H314" s="118"/>
      <c r="I314" s="118"/>
      <c r="J314" s="118"/>
      <c r="K314" s="118"/>
      <c r="L314" s="118"/>
      <c r="M314" s="118"/>
      <c r="N314" s="118"/>
      <c r="O314" s="118"/>
      <c r="P314" s="118"/>
      <c r="Q314" s="118"/>
      <c r="R314" s="118"/>
    </row>
    <row r="315" spans="2:18">
      <c r="B315" s="118"/>
      <c r="C315" s="118"/>
      <c r="D315" s="118"/>
      <c r="E315" s="118"/>
      <c r="F315" s="118"/>
      <c r="G315" s="118"/>
      <c r="H315" s="118"/>
      <c r="I315" s="118"/>
      <c r="J315" s="118"/>
      <c r="K315" s="118"/>
      <c r="L315" s="118"/>
      <c r="M315" s="118"/>
      <c r="N315" s="118"/>
      <c r="O315" s="118"/>
      <c r="P315" s="118"/>
      <c r="Q315" s="118"/>
      <c r="R315" s="118"/>
    </row>
    <row r="316" spans="2:18">
      <c r="B316" s="118"/>
      <c r="C316" s="118"/>
      <c r="D316" s="118"/>
      <c r="E316" s="118"/>
      <c r="F316" s="118"/>
      <c r="G316" s="118"/>
      <c r="H316" s="118"/>
      <c r="I316" s="118"/>
      <c r="J316" s="118"/>
      <c r="K316" s="118"/>
      <c r="L316" s="118"/>
      <c r="M316" s="118"/>
      <c r="N316" s="118"/>
      <c r="O316" s="118"/>
      <c r="P316" s="118"/>
      <c r="Q316" s="118"/>
      <c r="R316" s="118"/>
    </row>
    <row r="317" spans="2:18">
      <c r="B317" s="118"/>
      <c r="C317" s="118"/>
      <c r="D317" s="118"/>
      <c r="E317" s="118"/>
      <c r="F317" s="118"/>
      <c r="G317" s="118"/>
      <c r="H317" s="118"/>
      <c r="I317" s="118"/>
      <c r="J317" s="118"/>
      <c r="K317" s="118"/>
      <c r="L317" s="118"/>
      <c r="M317" s="118"/>
      <c r="N317" s="118"/>
      <c r="O317" s="118"/>
      <c r="P317" s="118"/>
      <c r="Q317" s="118"/>
      <c r="R317" s="118"/>
    </row>
    <row r="318" spans="2:18">
      <c r="B318" s="118"/>
      <c r="C318" s="118"/>
      <c r="D318" s="118"/>
      <c r="E318" s="118"/>
      <c r="F318" s="118"/>
      <c r="G318" s="118"/>
      <c r="H318" s="118"/>
      <c r="I318" s="118"/>
      <c r="J318" s="118"/>
      <c r="K318" s="118"/>
      <c r="L318" s="118"/>
      <c r="M318" s="118"/>
      <c r="N318" s="118"/>
      <c r="O318" s="118"/>
      <c r="P318" s="118"/>
      <c r="Q318" s="118"/>
      <c r="R318" s="118"/>
    </row>
    <row r="319" spans="2:18">
      <c r="B319" s="118"/>
      <c r="C319" s="118"/>
      <c r="D319" s="118"/>
      <c r="E319" s="118"/>
      <c r="F319" s="118"/>
      <c r="G319" s="118"/>
      <c r="H319" s="118"/>
      <c r="I319" s="118"/>
      <c r="J319" s="118"/>
      <c r="K319" s="118"/>
      <c r="L319" s="118"/>
      <c r="M319" s="118"/>
      <c r="N319" s="118"/>
      <c r="O319" s="118"/>
      <c r="P319" s="118"/>
      <c r="Q319" s="118"/>
      <c r="R319" s="118"/>
    </row>
    <row r="320" spans="2:18">
      <c r="B320" s="118"/>
      <c r="C320" s="118"/>
      <c r="D320" s="118"/>
      <c r="E320" s="118"/>
      <c r="F320" s="118"/>
      <c r="G320" s="118"/>
      <c r="H320" s="118"/>
      <c r="I320" s="118"/>
      <c r="J320" s="118"/>
      <c r="K320" s="118"/>
      <c r="L320" s="118"/>
      <c r="M320" s="118"/>
      <c r="N320" s="118"/>
      <c r="O320" s="118"/>
      <c r="P320" s="118"/>
      <c r="Q320" s="118"/>
      <c r="R320" s="118"/>
    </row>
    <row r="321" spans="2:18">
      <c r="B321" s="118"/>
      <c r="C321" s="118"/>
      <c r="D321" s="118"/>
      <c r="E321" s="118"/>
      <c r="F321" s="118"/>
      <c r="G321" s="118"/>
      <c r="H321" s="118"/>
      <c r="I321" s="118"/>
      <c r="J321" s="118"/>
      <c r="K321" s="118"/>
      <c r="L321" s="118"/>
      <c r="M321" s="118"/>
      <c r="N321" s="118"/>
      <c r="O321" s="118"/>
      <c r="P321" s="118"/>
      <c r="Q321" s="118"/>
      <c r="R321" s="118"/>
    </row>
    <row r="322" spans="2:18">
      <c r="B322" s="118"/>
      <c r="C322" s="118"/>
      <c r="D322" s="118"/>
      <c r="E322" s="118"/>
      <c r="F322" s="118"/>
      <c r="G322" s="118"/>
      <c r="H322" s="118"/>
      <c r="I322" s="118"/>
      <c r="J322" s="118"/>
      <c r="K322" s="118"/>
      <c r="L322" s="118"/>
      <c r="M322" s="118"/>
      <c r="N322" s="118"/>
      <c r="O322" s="118"/>
      <c r="P322" s="118"/>
      <c r="Q322" s="118"/>
      <c r="R322" s="118"/>
    </row>
    <row r="323" spans="2:18">
      <c r="B323" s="118"/>
      <c r="C323" s="118"/>
      <c r="D323" s="118"/>
      <c r="E323" s="118"/>
      <c r="F323" s="118"/>
      <c r="G323" s="118"/>
      <c r="H323" s="118"/>
      <c r="I323" s="118"/>
      <c r="J323" s="118"/>
      <c r="K323" s="118"/>
      <c r="L323" s="118"/>
      <c r="M323" s="118"/>
      <c r="N323" s="118"/>
      <c r="O323" s="118"/>
      <c r="P323" s="118"/>
      <c r="Q323" s="118"/>
      <c r="R323" s="118"/>
    </row>
    <row r="324" spans="2:18">
      <c r="B324" s="118"/>
      <c r="C324" s="118"/>
      <c r="D324" s="118"/>
      <c r="E324" s="118"/>
      <c r="F324" s="118"/>
      <c r="G324" s="118"/>
      <c r="H324" s="118"/>
      <c r="I324" s="118"/>
      <c r="J324" s="118"/>
      <c r="K324" s="118"/>
      <c r="L324" s="118"/>
      <c r="M324" s="118"/>
      <c r="N324" s="118"/>
      <c r="O324" s="118"/>
      <c r="P324" s="118"/>
      <c r="Q324" s="118"/>
      <c r="R324" s="118"/>
    </row>
    <row r="325" spans="2:18">
      <c r="B325" s="118"/>
      <c r="C325" s="118"/>
      <c r="D325" s="118"/>
      <c r="E325" s="118"/>
      <c r="F325" s="118"/>
      <c r="G325" s="118"/>
      <c r="H325" s="118"/>
      <c r="I325" s="118"/>
      <c r="J325" s="118"/>
      <c r="K325" s="118"/>
      <c r="L325" s="118"/>
      <c r="M325" s="118"/>
      <c r="N325" s="118"/>
      <c r="O325" s="118"/>
      <c r="P325" s="118"/>
      <c r="Q325" s="118"/>
      <c r="R325" s="118"/>
    </row>
    <row r="326" spans="2:18">
      <c r="B326" s="118"/>
      <c r="C326" s="118"/>
      <c r="D326" s="118"/>
      <c r="E326" s="118"/>
      <c r="F326" s="118"/>
      <c r="G326" s="118"/>
      <c r="H326" s="118"/>
      <c r="I326" s="118"/>
      <c r="J326" s="118"/>
      <c r="K326" s="118"/>
      <c r="L326" s="118"/>
      <c r="M326" s="118"/>
      <c r="N326" s="118"/>
      <c r="O326" s="118"/>
      <c r="P326" s="118"/>
      <c r="Q326" s="118"/>
      <c r="R326" s="118"/>
    </row>
    <row r="327" spans="2:18">
      <c r="B327" s="118"/>
      <c r="C327" s="118"/>
      <c r="D327" s="118"/>
      <c r="E327" s="118"/>
      <c r="F327" s="118"/>
      <c r="G327" s="118"/>
      <c r="H327" s="118"/>
      <c r="I327" s="118"/>
      <c r="J327" s="118"/>
      <c r="K327" s="118"/>
      <c r="L327" s="118"/>
      <c r="M327" s="118"/>
      <c r="N327" s="118"/>
      <c r="O327" s="118"/>
      <c r="P327" s="118"/>
      <c r="Q327" s="118"/>
      <c r="R327" s="118"/>
    </row>
    <row r="328" spans="2:18">
      <c r="B328" s="118"/>
      <c r="C328" s="118"/>
      <c r="D328" s="118"/>
      <c r="E328" s="118"/>
      <c r="F328" s="118"/>
      <c r="G328" s="118"/>
      <c r="H328" s="118"/>
      <c r="I328" s="118"/>
      <c r="J328" s="118"/>
      <c r="K328" s="118"/>
      <c r="L328" s="118"/>
      <c r="M328" s="118"/>
      <c r="N328" s="118"/>
      <c r="O328" s="118"/>
      <c r="P328" s="118"/>
      <c r="Q328" s="118"/>
      <c r="R328" s="118"/>
    </row>
    <row r="329" spans="2:18">
      <c r="B329" s="118"/>
      <c r="C329" s="118"/>
      <c r="D329" s="118"/>
      <c r="E329" s="118"/>
      <c r="F329" s="118"/>
      <c r="G329" s="118"/>
      <c r="H329" s="118"/>
      <c r="I329" s="118"/>
      <c r="J329" s="118"/>
      <c r="K329" s="118"/>
      <c r="L329" s="118"/>
      <c r="M329" s="118"/>
      <c r="N329" s="118"/>
      <c r="O329" s="118"/>
      <c r="P329" s="118"/>
      <c r="Q329" s="118"/>
      <c r="R329" s="118"/>
    </row>
    <row r="330" spans="2:18">
      <c r="B330" s="118"/>
      <c r="C330" s="118"/>
      <c r="D330" s="118"/>
      <c r="E330" s="118"/>
      <c r="F330" s="118"/>
      <c r="G330" s="118"/>
      <c r="H330" s="118"/>
      <c r="I330" s="118"/>
      <c r="J330" s="118"/>
      <c r="K330" s="118"/>
      <c r="L330" s="118"/>
      <c r="M330" s="118"/>
      <c r="N330" s="118"/>
      <c r="O330" s="118"/>
      <c r="P330" s="118"/>
      <c r="Q330" s="118"/>
      <c r="R330" s="118"/>
    </row>
    <row r="331" spans="2:18">
      <c r="B331" s="118"/>
      <c r="C331" s="118"/>
      <c r="D331" s="118"/>
      <c r="E331" s="118"/>
      <c r="F331" s="118"/>
      <c r="G331" s="118"/>
      <c r="H331" s="118"/>
      <c r="I331" s="118"/>
      <c r="J331" s="118"/>
      <c r="K331" s="118"/>
      <c r="L331" s="118"/>
      <c r="M331" s="118"/>
      <c r="N331" s="118"/>
      <c r="O331" s="118"/>
      <c r="P331" s="118"/>
      <c r="Q331" s="118"/>
      <c r="R331" s="118"/>
    </row>
    <row r="332" spans="2:18">
      <c r="B332" s="118"/>
      <c r="C332" s="118"/>
      <c r="D332" s="118"/>
      <c r="E332" s="118"/>
      <c r="F332" s="118"/>
      <c r="G332" s="118"/>
      <c r="H332" s="118"/>
      <c r="I332" s="118"/>
      <c r="J332" s="118"/>
      <c r="K332" s="118"/>
      <c r="L332" s="118"/>
      <c r="M332" s="118"/>
      <c r="N332" s="118"/>
      <c r="O332" s="118"/>
      <c r="P332" s="118"/>
      <c r="Q332" s="118"/>
      <c r="R332" s="118"/>
    </row>
    <row r="333" spans="2:18">
      <c r="B333" s="118"/>
      <c r="C333" s="118"/>
      <c r="D333" s="118"/>
      <c r="E333" s="118"/>
      <c r="F333" s="118"/>
      <c r="G333" s="118"/>
      <c r="H333" s="118"/>
      <c r="I333" s="118"/>
      <c r="J333" s="118"/>
      <c r="K333" s="118"/>
      <c r="L333" s="118"/>
      <c r="M333" s="118"/>
      <c r="N333" s="118"/>
      <c r="O333" s="118"/>
      <c r="P333" s="118"/>
      <c r="Q333" s="118"/>
      <c r="R333" s="118"/>
    </row>
    <row r="334" spans="2:18">
      <c r="B334" s="118"/>
      <c r="C334" s="118"/>
      <c r="D334" s="118"/>
      <c r="E334" s="118"/>
      <c r="F334" s="118"/>
      <c r="G334" s="118"/>
      <c r="H334" s="118"/>
      <c r="I334" s="118"/>
      <c r="J334" s="118"/>
      <c r="K334" s="118"/>
      <c r="L334" s="118"/>
      <c r="M334" s="118"/>
      <c r="N334" s="118"/>
      <c r="O334" s="118"/>
      <c r="P334" s="118"/>
      <c r="Q334" s="118"/>
      <c r="R334" s="118"/>
    </row>
    <row r="335" spans="2:18">
      <c r="B335" s="118"/>
      <c r="C335" s="118"/>
      <c r="D335" s="118"/>
      <c r="E335" s="118"/>
      <c r="F335" s="118"/>
      <c r="G335" s="118"/>
      <c r="H335" s="118"/>
      <c r="I335" s="118"/>
      <c r="J335" s="118"/>
      <c r="K335" s="118"/>
      <c r="L335" s="118"/>
      <c r="M335" s="118"/>
      <c r="N335" s="118"/>
      <c r="O335" s="118"/>
      <c r="P335" s="118"/>
      <c r="Q335" s="118"/>
      <c r="R335" s="118"/>
    </row>
    <row r="336" spans="2:18">
      <c r="B336" s="118"/>
      <c r="C336" s="118"/>
      <c r="D336" s="118"/>
      <c r="E336" s="118"/>
      <c r="F336" s="118"/>
      <c r="G336" s="118"/>
      <c r="H336" s="118"/>
      <c r="I336" s="118"/>
      <c r="J336" s="118"/>
      <c r="K336" s="118"/>
      <c r="L336" s="118"/>
      <c r="M336" s="118"/>
      <c r="N336" s="118"/>
      <c r="O336" s="118"/>
      <c r="P336" s="118"/>
      <c r="Q336" s="118"/>
      <c r="R336" s="118"/>
    </row>
    <row r="337" spans="2:18">
      <c r="B337" s="118"/>
      <c r="C337" s="118"/>
      <c r="D337" s="118"/>
      <c r="E337" s="118"/>
      <c r="F337" s="118"/>
      <c r="G337" s="118"/>
      <c r="H337" s="118"/>
      <c r="I337" s="118"/>
      <c r="J337" s="118"/>
      <c r="K337" s="118"/>
      <c r="L337" s="118"/>
      <c r="M337" s="118"/>
      <c r="N337" s="118"/>
      <c r="O337" s="118"/>
      <c r="P337" s="118"/>
      <c r="Q337" s="118"/>
      <c r="R337" s="118"/>
    </row>
    <row r="338" spans="2:18">
      <c r="B338" s="118"/>
      <c r="C338" s="118"/>
      <c r="D338" s="118"/>
      <c r="E338" s="118"/>
      <c r="F338" s="118"/>
      <c r="G338" s="118"/>
      <c r="H338" s="118"/>
      <c r="I338" s="118"/>
      <c r="J338" s="118"/>
      <c r="K338" s="118"/>
      <c r="L338" s="118"/>
      <c r="M338" s="118"/>
      <c r="N338" s="118"/>
      <c r="O338" s="118"/>
      <c r="P338" s="118"/>
      <c r="Q338" s="118"/>
      <c r="R338" s="118"/>
    </row>
    <row r="339" spans="2:18">
      <c r="B339" s="118"/>
      <c r="C339" s="118"/>
      <c r="D339" s="118"/>
      <c r="E339" s="118"/>
      <c r="F339" s="118"/>
      <c r="G339" s="118"/>
      <c r="H339" s="118"/>
      <c r="I339" s="118"/>
      <c r="J339" s="118"/>
      <c r="K339" s="118"/>
      <c r="L339" s="118"/>
      <c r="M339" s="118"/>
      <c r="N339" s="118"/>
      <c r="O339" s="118"/>
      <c r="P339" s="118"/>
      <c r="Q339" s="118"/>
      <c r="R339" s="118"/>
    </row>
    <row r="340" spans="2:18">
      <c r="B340" s="118"/>
      <c r="C340" s="118"/>
      <c r="D340" s="118"/>
      <c r="E340" s="118"/>
      <c r="F340" s="118"/>
      <c r="G340" s="118"/>
      <c r="H340" s="118"/>
      <c r="I340" s="118"/>
      <c r="J340" s="118"/>
      <c r="K340" s="118"/>
      <c r="L340" s="118"/>
      <c r="M340" s="118"/>
      <c r="N340" s="118"/>
      <c r="O340" s="118"/>
      <c r="P340" s="118"/>
      <c r="Q340" s="118"/>
      <c r="R340" s="118"/>
    </row>
    <row r="341" spans="2:18">
      <c r="B341" s="118"/>
      <c r="C341" s="118"/>
      <c r="D341" s="118"/>
      <c r="E341" s="118"/>
      <c r="F341" s="118"/>
      <c r="G341" s="118"/>
      <c r="H341" s="118"/>
      <c r="I341" s="118"/>
      <c r="J341" s="118"/>
      <c r="K341" s="118"/>
      <c r="L341" s="118"/>
      <c r="M341" s="118"/>
      <c r="N341" s="118"/>
      <c r="O341" s="118"/>
      <c r="P341" s="118"/>
      <c r="Q341" s="118"/>
      <c r="R341" s="118"/>
    </row>
    <row r="342" spans="2:18">
      <c r="B342" s="118"/>
      <c r="C342" s="118"/>
      <c r="D342" s="118"/>
      <c r="E342" s="118"/>
      <c r="F342" s="118"/>
      <c r="G342" s="118"/>
      <c r="H342" s="118"/>
      <c r="I342" s="118"/>
      <c r="J342" s="118"/>
      <c r="K342" s="118"/>
      <c r="L342" s="118"/>
      <c r="M342" s="118"/>
      <c r="N342" s="118"/>
      <c r="O342" s="118"/>
      <c r="P342" s="118"/>
      <c r="Q342" s="118"/>
      <c r="R342" s="118"/>
    </row>
    <row r="343" spans="2:18">
      <c r="B343" s="118"/>
      <c r="C343" s="118"/>
      <c r="D343" s="118"/>
      <c r="E343" s="118"/>
      <c r="F343" s="118"/>
      <c r="G343" s="118"/>
      <c r="H343" s="118"/>
      <c r="I343" s="118"/>
      <c r="J343" s="118"/>
      <c r="K343" s="118"/>
      <c r="L343" s="118"/>
      <c r="M343" s="118"/>
      <c r="N343" s="118"/>
      <c r="O343" s="118"/>
      <c r="P343" s="118"/>
      <c r="Q343" s="118"/>
      <c r="R343" s="118"/>
    </row>
    <row r="344" spans="2:18">
      <c r="B344" s="118"/>
      <c r="C344" s="118"/>
      <c r="D344" s="118"/>
      <c r="E344" s="118"/>
      <c r="F344" s="118"/>
      <c r="G344" s="118"/>
      <c r="H344" s="118"/>
      <c r="I344" s="118"/>
      <c r="J344" s="118"/>
      <c r="K344" s="118"/>
      <c r="L344" s="118"/>
      <c r="M344" s="118"/>
      <c r="N344" s="118"/>
      <c r="O344" s="118"/>
      <c r="P344" s="118"/>
      <c r="Q344" s="118"/>
      <c r="R344" s="118"/>
    </row>
    <row r="345" spans="2:18">
      <c r="B345" s="118"/>
      <c r="C345" s="118"/>
      <c r="D345" s="118"/>
      <c r="E345" s="118"/>
      <c r="F345" s="118"/>
      <c r="G345" s="118"/>
      <c r="H345" s="118"/>
      <c r="I345" s="118"/>
      <c r="J345" s="118"/>
      <c r="K345" s="118"/>
      <c r="L345" s="118"/>
      <c r="M345" s="118"/>
      <c r="N345" s="118"/>
      <c r="O345" s="118"/>
      <c r="P345" s="118"/>
      <c r="Q345" s="118"/>
      <c r="R345" s="118"/>
    </row>
    <row r="346" spans="2:18">
      <c r="B346" s="118"/>
      <c r="C346" s="118"/>
      <c r="D346" s="118"/>
      <c r="E346" s="118"/>
      <c r="F346" s="118"/>
      <c r="G346" s="118"/>
      <c r="H346" s="118"/>
      <c r="I346" s="118"/>
      <c r="J346" s="118"/>
      <c r="K346" s="118"/>
      <c r="L346" s="118"/>
      <c r="M346" s="118"/>
      <c r="N346" s="118"/>
      <c r="O346" s="118"/>
      <c r="P346" s="118"/>
      <c r="Q346" s="118"/>
      <c r="R346" s="118"/>
    </row>
    <row r="347" spans="2:18">
      <c r="B347" s="118"/>
      <c r="C347" s="118"/>
      <c r="D347" s="118"/>
      <c r="E347" s="118"/>
      <c r="F347" s="118"/>
      <c r="G347" s="118"/>
      <c r="H347" s="118"/>
      <c r="I347" s="118"/>
      <c r="J347" s="118"/>
      <c r="K347" s="118"/>
      <c r="L347" s="118"/>
      <c r="M347" s="118"/>
      <c r="N347" s="118"/>
      <c r="O347" s="118"/>
      <c r="P347" s="118"/>
      <c r="Q347" s="118"/>
      <c r="R347" s="118"/>
    </row>
    <row r="348" spans="2:18">
      <c r="B348" s="118"/>
      <c r="C348" s="118"/>
      <c r="D348" s="118"/>
      <c r="E348" s="118"/>
      <c r="F348" s="118"/>
      <c r="G348" s="118"/>
      <c r="H348" s="118"/>
      <c r="I348" s="118"/>
      <c r="J348" s="118"/>
      <c r="K348" s="118"/>
      <c r="L348" s="118"/>
      <c r="M348" s="118"/>
      <c r="N348" s="118"/>
      <c r="O348" s="118"/>
      <c r="P348" s="118"/>
      <c r="Q348" s="118"/>
      <c r="R348" s="118"/>
    </row>
    <row r="349" spans="2:18">
      <c r="B349" s="118"/>
      <c r="C349" s="118"/>
      <c r="D349" s="118"/>
      <c r="E349" s="118"/>
      <c r="F349" s="118"/>
      <c r="G349" s="118"/>
      <c r="H349" s="118"/>
      <c r="I349" s="118"/>
      <c r="J349" s="118"/>
      <c r="K349" s="118"/>
      <c r="L349" s="118"/>
      <c r="M349" s="118"/>
      <c r="N349" s="118"/>
      <c r="O349" s="118"/>
      <c r="P349" s="118"/>
      <c r="Q349" s="118"/>
      <c r="R349" s="118"/>
    </row>
    <row r="350" spans="2:18">
      <c r="B350" s="118"/>
      <c r="C350" s="118"/>
      <c r="D350" s="118"/>
      <c r="E350" s="118"/>
      <c r="F350" s="118"/>
      <c r="G350" s="118"/>
      <c r="H350" s="118"/>
      <c r="I350" s="118"/>
      <c r="J350" s="118"/>
      <c r="K350" s="118"/>
      <c r="L350" s="118"/>
      <c r="M350" s="118"/>
      <c r="N350" s="118"/>
      <c r="O350" s="118"/>
      <c r="P350" s="118"/>
      <c r="Q350" s="118"/>
      <c r="R350" s="118"/>
    </row>
    <row r="351" spans="2:18">
      <c r="B351" s="118"/>
      <c r="C351" s="118"/>
      <c r="D351" s="118"/>
      <c r="E351" s="118"/>
      <c r="F351" s="118"/>
      <c r="G351" s="118"/>
      <c r="H351" s="118"/>
      <c r="I351" s="118"/>
      <c r="J351" s="118"/>
      <c r="K351" s="118"/>
      <c r="L351" s="118"/>
      <c r="M351" s="118"/>
      <c r="N351" s="118"/>
      <c r="O351" s="118"/>
      <c r="P351" s="118"/>
      <c r="Q351" s="118"/>
      <c r="R351" s="118"/>
    </row>
    <row r="352" spans="2:18">
      <c r="B352" s="118"/>
      <c r="C352" s="118"/>
      <c r="D352" s="118"/>
      <c r="E352" s="118"/>
      <c r="F352" s="118"/>
      <c r="G352" s="118"/>
      <c r="H352" s="118"/>
      <c r="I352" s="118"/>
      <c r="J352" s="118"/>
      <c r="K352" s="118"/>
      <c r="L352" s="118"/>
      <c r="M352" s="118"/>
      <c r="N352" s="118"/>
      <c r="O352" s="118"/>
      <c r="P352" s="118"/>
      <c r="Q352" s="118"/>
      <c r="R352" s="118"/>
    </row>
    <row r="353" spans="2:18">
      <c r="B353" s="118"/>
      <c r="C353" s="118"/>
      <c r="D353" s="118"/>
      <c r="E353" s="118"/>
      <c r="F353" s="118"/>
      <c r="G353" s="118"/>
      <c r="H353" s="118"/>
      <c r="I353" s="118"/>
      <c r="J353" s="118"/>
      <c r="K353" s="118"/>
      <c r="L353" s="118"/>
      <c r="M353" s="118"/>
      <c r="N353" s="118"/>
      <c r="O353" s="118"/>
      <c r="P353" s="118"/>
      <c r="Q353" s="118"/>
      <c r="R353" s="118"/>
    </row>
    <row r="354" spans="2:18">
      <c r="B354" s="118"/>
      <c r="C354" s="118"/>
      <c r="D354" s="118"/>
      <c r="E354" s="118"/>
      <c r="F354" s="118"/>
      <c r="G354" s="118"/>
      <c r="H354" s="118"/>
      <c r="I354" s="118"/>
      <c r="J354" s="118"/>
      <c r="K354" s="118"/>
      <c r="L354" s="118"/>
      <c r="M354" s="118"/>
      <c r="N354" s="118"/>
      <c r="O354" s="118"/>
      <c r="P354" s="118"/>
      <c r="Q354" s="118"/>
      <c r="R354" s="118"/>
    </row>
    <row r="355" spans="2:18">
      <c r="B355" s="118"/>
      <c r="C355" s="118"/>
      <c r="D355" s="118"/>
      <c r="E355" s="118"/>
      <c r="F355" s="118"/>
      <c r="G355" s="118"/>
      <c r="H355" s="118"/>
      <c r="I355" s="118"/>
      <c r="J355" s="118"/>
      <c r="K355" s="118"/>
      <c r="L355" s="118"/>
      <c r="M355" s="118"/>
      <c r="N355" s="118"/>
      <c r="O355" s="118"/>
      <c r="P355" s="118"/>
      <c r="Q355" s="118"/>
      <c r="R355" s="118"/>
    </row>
    <row r="356" spans="2:18">
      <c r="B356" s="118"/>
      <c r="C356" s="118"/>
      <c r="D356" s="118"/>
      <c r="E356" s="118"/>
      <c r="F356" s="118"/>
      <c r="G356" s="118"/>
      <c r="H356" s="118"/>
      <c r="I356" s="118"/>
      <c r="J356" s="118"/>
      <c r="K356" s="118"/>
      <c r="L356" s="118"/>
      <c r="M356" s="118"/>
      <c r="N356" s="118"/>
      <c r="O356" s="118"/>
      <c r="P356" s="118"/>
      <c r="Q356" s="118"/>
      <c r="R356" s="118"/>
    </row>
    <row r="357" spans="2:18">
      <c r="B357" s="118"/>
      <c r="C357" s="118"/>
      <c r="D357" s="118"/>
      <c r="E357" s="118"/>
      <c r="F357" s="118"/>
      <c r="G357" s="118"/>
      <c r="H357" s="118"/>
      <c r="I357" s="118"/>
      <c r="J357" s="118"/>
      <c r="K357" s="118"/>
      <c r="L357" s="118"/>
      <c r="M357" s="118"/>
      <c r="N357" s="118"/>
      <c r="O357" s="118"/>
      <c r="P357" s="118"/>
      <c r="Q357" s="118"/>
      <c r="R357" s="118"/>
    </row>
    <row r="358" spans="2:18">
      <c r="B358" s="118"/>
      <c r="C358" s="118"/>
      <c r="D358" s="118"/>
      <c r="E358" s="118"/>
      <c r="F358" s="118"/>
      <c r="G358" s="118"/>
      <c r="H358" s="118"/>
      <c r="I358" s="118"/>
      <c r="J358" s="118"/>
      <c r="K358" s="118"/>
      <c r="L358" s="118"/>
      <c r="M358" s="118"/>
      <c r="N358" s="118"/>
      <c r="O358" s="118"/>
      <c r="P358" s="118"/>
      <c r="Q358" s="118"/>
      <c r="R358" s="118"/>
    </row>
    <row r="359" spans="2:18">
      <c r="B359" s="118"/>
      <c r="C359" s="118"/>
      <c r="D359" s="118"/>
      <c r="E359" s="118"/>
      <c r="F359" s="118"/>
      <c r="G359" s="118"/>
      <c r="H359" s="118"/>
      <c r="I359" s="118"/>
      <c r="J359" s="118"/>
      <c r="K359" s="118"/>
      <c r="L359" s="118"/>
      <c r="M359" s="118"/>
      <c r="N359" s="118"/>
      <c r="O359" s="118"/>
      <c r="P359" s="118"/>
      <c r="Q359" s="118"/>
      <c r="R359" s="118"/>
    </row>
    <row r="360" spans="2:18">
      <c r="B360" s="118"/>
      <c r="C360" s="118"/>
      <c r="D360" s="118"/>
      <c r="E360" s="118"/>
      <c r="F360" s="118"/>
      <c r="G360" s="118"/>
      <c r="H360" s="118"/>
      <c r="I360" s="118"/>
      <c r="J360" s="118"/>
      <c r="K360" s="118"/>
      <c r="L360" s="118"/>
      <c r="M360" s="118"/>
      <c r="N360" s="118"/>
      <c r="O360" s="118"/>
      <c r="P360" s="118"/>
      <c r="Q360" s="118"/>
      <c r="R360" s="118"/>
    </row>
    <row r="361" spans="2:18">
      <c r="B361" s="118"/>
      <c r="C361" s="118"/>
      <c r="D361" s="118"/>
      <c r="E361" s="118"/>
      <c r="F361" s="118"/>
      <c r="G361" s="118"/>
      <c r="H361" s="118"/>
      <c r="I361" s="118"/>
      <c r="J361" s="118"/>
      <c r="K361" s="118"/>
      <c r="L361" s="118"/>
      <c r="M361" s="118"/>
      <c r="N361" s="118"/>
      <c r="O361" s="118"/>
      <c r="P361" s="118"/>
      <c r="Q361" s="118"/>
      <c r="R361" s="118"/>
    </row>
    <row r="362" spans="2:18">
      <c r="B362" s="118"/>
      <c r="C362" s="118"/>
      <c r="D362" s="118"/>
      <c r="E362" s="118"/>
      <c r="F362" s="118"/>
      <c r="G362" s="118"/>
      <c r="H362" s="118"/>
      <c r="I362" s="118"/>
      <c r="J362" s="118"/>
      <c r="K362" s="118"/>
      <c r="L362" s="118"/>
      <c r="M362" s="118"/>
      <c r="N362" s="118"/>
      <c r="O362" s="118"/>
      <c r="P362" s="118"/>
      <c r="Q362" s="118"/>
      <c r="R362" s="118"/>
    </row>
    <row r="363" spans="2:18">
      <c r="B363" s="118"/>
      <c r="C363" s="118"/>
      <c r="D363" s="118"/>
      <c r="E363" s="118"/>
      <c r="F363" s="118"/>
      <c r="G363" s="118"/>
      <c r="H363" s="118"/>
      <c r="I363" s="118"/>
      <c r="J363" s="118"/>
      <c r="K363" s="118"/>
      <c r="L363" s="118"/>
      <c r="M363" s="118"/>
      <c r="N363" s="118"/>
      <c r="O363" s="118"/>
      <c r="P363" s="118"/>
      <c r="Q363" s="118"/>
      <c r="R363" s="118"/>
    </row>
    <row r="364" spans="2:18">
      <c r="B364" s="118"/>
      <c r="C364" s="118"/>
      <c r="D364" s="118"/>
      <c r="E364" s="118"/>
      <c r="F364" s="118"/>
      <c r="G364" s="118"/>
      <c r="H364" s="118"/>
      <c r="I364" s="118"/>
      <c r="J364" s="118"/>
      <c r="K364" s="118"/>
      <c r="L364" s="118"/>
      <c r="M364" s="118"/>
      <c r="N364" s="118"/>
      <c r="O364" s="118"/>
      <c r="P364" s="118"/>
      <c r="Q364" s="118"/>
      <c r="R364" s="118"/>
    </row>
    <row r="365" spans="2:18">
      <c r="B365" s="118"/>
      <c r="C365" s="118"/>
      <c r="D365" s="118"/>
      <c r="E365" s="118"/>
      <c r="F365" s="118"/>
      <c r="G365" s="118"/>
      <c r="H365" s="118"/>
      <c r="I365" s="118"/>
      <c r="J365" s="118"/>
      <c r="K365" s="118"/>
      <c r="L365" s="118"/>
      <c r="M365" s="118"/>
      <c r="N365" s="118"/>
      <c r="O365" s="118"/>
      <c r="P365" s="118"/>
      <c r="Q365" s="118"/>
      <c r="R365" s="118"/>
    </row>
    <row r="366" spans="2:18">
      <c r="B366" s="118"/>
      <c r="C366" s="118"/>
      <c r="D366" s="118"/>
      <c r="E366" s="118"/>
      <c r="F366" s="118"/>
      <c r="G366" s="118"/>
      <c r="H366" s="118"/>
      <c r="I366" s="118"/>
      <c r="J366" s="118"/>
      <c r="K366" s="118"/>
      <c r="L366" s="118"/>
      <c r="M366" s="118"/>
      <c r="N366" s="118"/>
      <c r="O366" s="118"/>
      <c r="P366" s="118"/>
      <c r="Q366" s="118"/>
      <c r="R366" s="118"/>
    </row>
    <row r="367" spans="2:18">
      <c r="B367" s="118"/>
      <c r="C367" s="118"/>
      <c r="D367" s="118"/>
      <c r="E367" s="118"/>
      <c r="F367" s="118"/>
      <c r="G367" s="118"/>
      <c r="H367" s="118"/>
      <c r="I367" s="118"/>
      <c r="J367" s="118"/>
      <c r="K367" s="118"/>
      <c r="L367" s="118"/>
      <c r="M367" s="118"/>
      <c r="N367" s="118"/>
      <c r="O367" s="118"/>
      <c r="P367" s="118"/>
      <c r="Q367" s="118"/>
      <c r="R367" s="118"/>
    </row>
    <row r="368" spans="2:18">
      <c r="B368" s="118"/>
      <c r="C368" s="118"/>
      <c r="D368" s="118"/>
      <c r="E368" s="118"/>
      <c r="F368" s="118"/>
      <c r="G368" s="118"/>
      <c r="H368" s="118"/>
      <c r="I368" s="118"/>
      <c r="J368" s="118"/>
      <c r="K368" s="118"/>
      <c r="L368" s="118"/>
      <c r="M368" s="118"/>
      <c r="N368" s="118"/>
      <c r="O368" s="118"/>
      <c r="P368" s="118"/>
      <c r="Q368" s="118"/>
      <c r="R368" s="118"/>
    </row>
    <row r="369" spans="2:18">
      <c r="B369" s="118"/>
      <c r="C369" s="118"/>
      <c r="D369" s="118"/>
      <c r="E369" s="118"/>
      <c r="F369" s="118"/>
      <c r="G369" s="118"/>
      <c r="H369" s="118"/>
      <c r="I369" s="118"/>
      <c r="J369" s="118"/>
      <c r="K369" s="118"/>
      <c r="L369" s="118"/>
      <c r="M369" s="118"/>
      <c r="N369" s="118"/>
      <c r="O369" s="118"/>
      <c r="P369" s="118"/>
      <c r="Q369" s="118"/>
      <c r="R369" s="118"/>
    </row>
    <row r="370" spans="2:18">
      <c r="B370" s="118"/>
      <c r="C370" s="118"/>
      <c r="D370" s="118"/>
      <c r="E370" s="118"/>
      <c r="F370" s="118"/>
      <c r="G370" s="118"/>
      <c r="H370" s="118"/>
      <c r="I370" s="118"/>
      <c r="J370" s="118"/>
      <c r="K370" s="118"/>
      <c r="L370" s="118"/>
      <c r="M370" s="118"/>
      <c r="N370" s="118"/>
      <c r="O370" s="118"/>
      <c r="P370" s="118"/>
      <c r="Q370" s="118"/>
      <c r="R370" s="118"/>
    </row>
    <row r="371" spans="2:18">
      <c r="B371" s="118"/>
      <c r="C371" s="118"/>
      <c r="D371" s="118"/>
      <c r="E371" s="118"/>
      <c r="F371" s="118"/>
      <c r="G371" s="118"/>
      <c r="H371" s="118"/>
      <c r="I371" s="118"/>
      <c r="J371" s="118"/>
      <c r="K371" s="118"/>
      <c r="L371" s="118"/>
      <c r="M371" s="118"/>
      <c r="N371" s="118"/>
      <c r="O371" s="118"/>
      <c r="P371" s="118"/>
      <c r="Q371" s="118"/>
      <c r="R371" s="118"/>
    </row>
    <row r="372" spans="2:18">
      <c r="B372" s="118"/>
      <c r="C372" s="118"/>
      <c r="D372" s="118"/>
      <c r="E372" s="118"/>
      <c r="F372" s="118"/>
      <c r="G372" s="118"/>
      <c r="H372" s="118"/>
      <c r="I372" s="118"/>
      <c r="J372" s="118"/>
      <c r="K372" s="118"/>
      <c r="L372" s="118"/>
      <c r="M372" s="118"/>
      <c r="N372" s="118"/>
      <c r="O372" s="118"/>
      <c r="P372" s="118"/>
      <c r="Q372" s="118"/>
      <c r="R372" s="118"/>
    </row>
    <row r="373" spans="2:18">
      <c r="R373" s="118"/>
    </row>
    <row r="374" spans="2:18">
      <c r="R374" s="118"/>
    </row>
    <row r="375" spans="2:18">
      <c r="R375" s="118"/>
    </row>
    <row r="376" spans="2:18">
      <c r="R376" s="118"/>
    </row>
    <row r="377" spans="2:18">
      <c r="R377" s="118"/>
    </row>
    <row r="378" spans="2:18">
      <c r="R378" s="118"/>
    </row>
    <row r="379" spans="2:18">
      <c r="R379" s="118"/>
    </row>
    <row r="380" spans="2:18">
      <c r="R380" s="118"/>
    </row>
    <row r="381" spans="2:18">
      <c r="R381" s="118"/>
    </row>
    <row r="382" spans="2:18">
      <c r="R382" s="118"/>
    </row>
    <row r="383" spans="2:18">
      <c r="R383" s="118"/>
    </row>
    <row r="384" spans="2:18">
      <c r="R384" s="118"/>
    </row>
  </sheetData>
  <mergeCells count="27">
    <mergeCell ref="E8:E9"/>
    <mergeCell ref="O7:O9"/>
    <mergeCell ref="Q7:Q9"/>
    <mergeCell ref="P7:P9"/>
    <mergeCell ref="J7:M7"/>
    <mergeCell ref="K8:K9"/>
    <mergeCell ref="L8:L9"/>
    <mergeCell ref="A168:T170"/>
    <mergeCell ref="I8:I9"/>
    <mergeCell ref="M8:M9"/>
    <mergeCell ref="J8:J9"/>
    <mergeCell ref="R7:R8"/>
    <mergeCell ref="S7:S8"/>
    <mergeCell ref="T7:T8"/>
    <mergeCell ref="D8:D9"/>
    <mergeCell ref="D7:E7"/>
    <mergeCell ref="B7:C7"/>
    <mergeCell ref="B1:C1"/>
    <mergeCell ref="B8:B9"/>
    <mergeCell ref="C8:C9"/>
    <mergeCell ref="F7:I7"/>
    <mergeCell ref="F8:F9"/>
    <mergeCell ref="G8:G9"/>
    <mergeCell ref="H8:H9"/>
    <mergeCell ref="A4:T4"/>
    <mergeCell ref="N7:N9"/>
    <mergeCell ref="A7:A9"/>
  </mergeCells>
  <phoneticPr fontId="43" type="noConversion"/>
  <hyperlinks>
    <hyperlink ref="B1" location="Index!A1" display="Back to Index"/>
    <hyperlink ref="C1" location="Index!A1" display="Index!A1"/>
  </hyperlinks>
  <printOptions horizontalCentered="1" verticalCentered="1"/>
  <pageMargins left="0.75000000000000011" right="0" top="1" bottom="1" header="0.49" footer="0.49"/>
  <pageSetup paperSize="9" scale="75" fitToHeight="5" orientation="landscape"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enableFormatConditionsCalculation="0">
    <tabColor theme="7" tint="0.59999389629810485"/>
    <pageSetUpPr fitToPage="1"/>
  </sheetPr>
  <dimension ref="A1:R174"/>
  <sheetViews>
    <sheetView workbookViewId="0">
      <pane xSplit="1" ySplit="9" topLeftCell="B10" activePane="bottomRight" state="frozen"/>
      <selection activeCell="A3" sqref="A3:M3"/>
      <selection pane="topRight" activeCell="A3" sqref="A3:M3"/>
      <selection pane="bottomLeft" activeCell="A3" sqref="A3:M3"/>
      <selection pane="bottomRight" activeCell="A4" sqref="A4:I4"/>
    </sheetView>
  </sheetViews>
  <sheetFormatPr baseColWidth="10" defaultRowHeight="12" x14ac:dyDescent="0"/>
  <cols>
    <col min="1" max="1" width="10.33203125" style="689" customWidth="1"/>
    <col min="2" max="9" width="9.6640625" style="689" customWidth="1"/>
    <col min="10" max="16384" width="10.83203125" style="689"/>
  </cols>
  <sheetData>
    <row r="1" spans="1:13" ht="12" customHeight="1">
      <c r="B1" s="2252" t="s">
        <v>1416</v>
      </c>
      <c r="C1" s="2252"/>
      <c r="D1" s="690"/>
      <c r="E1" s="905"/>
      <c r="F1" s="1823"/>
    </row>
    <row r="2" spans="1:13">
      <c r="B2" s="691"/>
      <c r="C2" s="691"/>
    </row>
    <row r="3" spans="1:13" ht="13" customHeight="1" thickBot="1"/>
    <row r="4" spans="1:13" ht="16" thickTop="1">
      <c r="A4" s="2485" t="s">
        <v>1346</v>
      </c>
      <c r="B4" s="2486"/>
      <c r="C4" s="2486"/>
      <c r="D4" s="2486"/>
      <c r="E4" s="2486"/>
      <c r="F4" s="2486"/>
      <c r="G4" s="2486"/>
      <c r="H4" s="2486"/>
      <c r="I4" s="2487"/>
    </row>
    <row r="5" spans="1:13" ht="15">
      <c r="A5" s="692"/>
      <c r="B5" s="693"/>
      <c r="C5" s="693"/>
      <c r="D5" s="693"/>
      <c r="E5" s="693"/>
      <c r="F5" s="693"/>
      <c r="G5" s="694"/>
      <c r="H5" s="694"/>
      <c r="I5" s="695"/>
    </row>
    <row r="6" spans="1:13" ht="13" thickBot="1">
      <c r="A6" s="696"/>
      <c r="B6" s="697" t="s">
        <v>952</v>
      </c>
      <c r="C6" s="697" t="s">
        <v>953</v>
      </c>
      <c r="D6" s="698" t="s">
        <v>954</v>
      </c>
      <c r="E6" s="698" t="s">
        <v>955</v>
      </c>
      <c r="F6" s="698" t="s">
        <v>956</v>
      </c>
      <c r="G6" s="697" t="s">
        <v>957</v>
      </c>
      <c r="H6" s="40" t="s">
        <v>958</v>
      </c>
      <c r="I6" s="700" t="s">
        <v>959</v>
      </c>
    </row>
    <row r="7" spans="1:13" ht="16.75" customHeight="1">
      <c r="A7" s="696"/>
      <c r="B7" s="2488" t="s">
        <v>1076</v>
      </c>
      <c r="C7" s="2489"/>
      <c r="D7" s="2489"/>
      <c r="E7" s="2489"/>
      <c r="F7" s="2489"/>
      <c r="G7" s="2489"/>
      <c r="H7" s="701"/>
      <c r="I7" s="702"/>
    </row>
    <row r="8" spans="1:13" ht="58" customHeight="1">
      <c r="A8" s="703"/>
      <c r="B8" s="704" t="s">
        <v>1408</v>
      </c>
      <c r="C8" s="705" t="s">
        <v>969</v>
      </c>
      <c r="D8" s="1824" t="s">
        <v>1418</v>
      </c>
      <c r="E8" s="706" t="s">
        <v>1077</v>
      </c>
      <c r="F8" s="706" t="s">
        <v>269</v>
      </c>
      <c r="G8" s="707" t="s">
        <v>1078</v>
      </c>
      <c r="H8" s="708" t="s">
        <v>1419</v>
      </c>
      <c r="I8" s="709" t="s">
        <v>1079</v>
      </c>
      <c r="M8" s="689" t="s">
        <v>1099</v>
      </c>
    </row>
    <row r="9" spans="1:13" ht="30" customHeight="1">
      <c r="A9" s="703"/>
      <c r="B9" s="2204" t="s">
        <v>984</v>
      </c>
      <c r="C9" s="2205" t="s">
        <v>976</v>
      </c>
      <c r="D9" s="2206" t="s">
        <v>980</v>
      </c>
      <c r="E9" s="2150"/>
      <c r="F9" s="2150"/>
      <c r="G9" s="2207"/>
      <c r="H9" s="2205"/>
      <c r="I9" s="2208"/>
    </row>
    <row r="10" spans="1:13" ht="12" customHeight="1">
      <c r="A10" s="703">
        <v>1700</v>
      </c>
      <c r="B10" s="1699">
        <f>TableUK5d!K10</f>
        <v>7.0344827586206904</v>
      </c>
      <c r="C10" s="1700">
        <f>TableUK5d!E10</f>
        <v>6.8397494481014025</v>
      </c>
      <c r="D10" s="1700">
        <f>E10-F10</f>
        <v>0.19473331051928794</v>
      </c>
      <c r="E10" s="1701">
        <f>TableUK5e!G10</f>
        <v>0.3</v>
      </c>
      <c r="F10" s="1701">
        <f>TableUK5e!I10</f>
        <v>0.10526668948071206</v>
      </c>
      <c r="G10" s="1745">
        <f>TableUK6f!G31</f>
        <v>0</v>
      </c>
      <c r="H10" s="718">
        <f t="shared" ref="H10:H41" si="0">D10/B10</f>
        <v>2.7682676495388969E-2</v>
      </c>
      <c r="I10" s="719">
        <f>G10/B10</f>
        <v>0</v>
      </c>
    </row>
    <row r="11" spans="1:13" ht="12" customHeight="1">
      <c r="A11" s="703">
        <v>1710</v>
      </c>
      <c r="B11" s="1699">
        <f>TableUK5d!K11</f>
        <v>7.1072016939501097</v>
      </c>
      <c r="C11" s="1700">
        <f>TableUK5d!E11</f>
        <v>6.8830121336119721</v>
      </c>
      <c r="D11" s="1700">
        <f t="shared" ref="D11:D74" si="1">E11-F11</f>
        <v>0.22418956033813758</v>
      </c>
      <c r="E11" s="1701">
        <f>TableUK5e!G11</f>
        <v>0.32361818155032113</v>
      </c>
      <c r="F11" s="1701">
        <f>TableUK5e!I11</f>
        <v>9.9428621212183529E-2</v>
      </c>
      <c r="G11" s="710"/>
      <c r="H11" s="718">
        <f t="shared" si="0"/>
        <v>3.1543998607634183E-2</v>
      </c>
      <c r="I11" s="713"/>
    </row>
    <row r="12" spans="1:13" ht="12" customHeight="1">
      <c r="A12" s="703">
        <v>1720</v>
      </c>
      <c r="B12" s="1699">
        <f>TableUK5d!K12</f>
        <v>6.857594991039087</v>
      </c>
      <c r="C12" s="1700">
        <f>TableUK5d!E12</f>
        <v>7.0442831190958186</v>
      </c>
      <c r="D12" s="1700">
        <f t="shared" si="1"/>
        <v>-0.18668812805673146</v>
      </c>
      <c r="E12" s="1701">
        <f>TableUK5e!G12</f>
        <v>0.34524324175601778</v>
      </c>
      <c r="F12" s="1701">
        <f>TableUK5e!I12</f>
        <v>0.53193136981274924</v>
      </c>
      <c r="G12" s="710"/>
      <c r="H12" s="718">
        <f t="shared" si="0"/>
        <v>-2.7223556990560012E-2</v>
      </c>
      <c r="I12" s="713"/>
    </row>
    <row r="13" spans="1:13" ht="12" customHeight="1">
      <c r="A13" s="703">
        <v>1730</v>
      </c>
      <c r="B13" s="1699">
        <f>TableUK5d!K13</f>
        <v>6.7787614151136779</v>
      </c>
      <c r="C13" s="1700">
        <f>TableUK5d!E13</f>
        <v>6.9810945670596176</v>
      </c>
      <c r="D13" s="1700">
        <f t="shared" si="1"/>
        <v>-0.20233315194593993</v>
      </c>
      <c r="E13" s="1701">
        <f>TableUK5e!G13</f>
        <v>0.36507258747607818</v>
      </c>
      <c r="F13" s="1701">
        <f>TableUK5e!I13</f>
        <v>0.56740573942201811</v>
      </c>
      <c r="G13" s="710"/>
      <c r="H13" s="718">
        <f t="shared" si="0"/>
        <v>-2.9848100494409693E-2</v>
      </c>
      <c r="I13" s="713"/>
    </row>
    <row r="14" spans="1:13" ht="12" customHeight="1">
      <c r="A14" s="703">
        <v>1740</v>
      </c>
      <c r="B14" s="1699">
        <f>TableUK5d!K14</f>
        <v>6.6000744759234866</v>
      </c>
      <c r="C14" s="1700">
        <f>TableUK5d!E14</f>
        <v>6.716493740808346</v>
      </c>
      <c r="D14" s="1700">
        <f t="shared" si="1"/>
        <v>-0.1164192648848591</v>
      </c>
      <c r="E14" s="1701">
        <f>TableUK5e!G14</f>
        <v>0.38327535309142791</v>
      </c>
      <c r="F14" s="1701">
        <f>TableUK5e!I14</f>
        <v>0.499694617976287</v>
      </c>
      <c r="G14" s="710"/>
      <c r="H14" s="718">
        <f t="shared" si="0"/>
        <v>-1.7639083514821949E-2</v>
      </c>
      <c r="I14" s="713"/>
    </row>
    <row r="15" spans="1:13" ht="12" customHeight="1">
      <c r="A15" s="703">
        <v>1750</v>
      </c>
      <c r="B15" s="1699">
        <f>TableUK5d!K15</f>
        <v>6.624165848516089</v>
      </c>
      <c r="C15" s="1700">
        <f>TableUK5d!E15</f>
        <v>6.9930631711806592</v>
      </c>
      <c r="D15" s="1700">
        <f t="shared" si="1"/>
        <v>-0.36889732266457043</v>
      </c>
      <c r="E15" s="1701">
        <f>TableUK5e!G15</f>
        <v>0.4</v>
      </c>
      <c r="F15" s="1701">
        <f>TableUK5e!I15</f>
        <v>0.76889732266457045</v>
      </c>
      <c r="G15" s="1745">
        <f>TableUK6f!G32</f>
        <v>0</v>
      </c>
      <c r="H15" s="718">
        <f t="shared" si="0"/>
        <v>-5.5689626603658914E-2</v>
      </c>
      <c r="I15" s="719">
        <f>G15/B15</f>
        <v>0</v>
      </c>
    </row>
    <row r="16" spans="1:13" ht="12" customHeight="1">
      <c r="A16" s="703">
        <v>1760</v>
      </c>
      <c r="B16" s="1699">
        <f>TableUK5d!K16</f>
        <v>6.7958888455945843</v>
      </c>
      <c r="C16" s="1700">
        <f>TableUK5d!E16</f>
        <v>7.0639036707246747</v>
      </c>
      <c r="D16" s="1700">
        <f t="shared" si="1"/>
        <v>-0.26801482513009084</v>
      </c>
      <c r="E16" s="1701">
        <f>TableUK5e!G16</f>
        <v>0.43890876617693392</v>
      </c>
      <c r="F16" s="1701">
        <f>TableUK5e!I16</f>
        <v>0.70692359130702476</v>
      </c>
      <c r="G16" s="710"/>
      <c r="H16" s="718">
        <f t="shared" si="0"/>
        <v>-3.943778823042856E-2</v>
      </c>
      <c r="I16" s="713"/>
    </row>
    <row r="17" spans="1:13" ht="12" customHeight="1">
      <c r="A17" s="703">
        <v>1770</v>
      </c>
      <c r="B17" s="1699">
        <f>TableUK5d!K17</f>
        <v>6.4333530215303956</v>
      </c>
      <c r="C17" s="1700">
        <f>TableUK5d!E17</f>
        <v>6.9189274271350572</v>
      </c>
      <c r="D17" s="1700">
        <f t="shared" si="1"/>
        <v>-0.48557440560466136</v>
      </c>
      <c r="E17" s="1701">
        <f>TableUK5e!G17</f>
        <v>0.46405282200001974</v>
      </c>
      <c r="F17" s="1701">
        <f>TableUK5e!I17</f>
        <v>0.9496272276046811</v>
      </c>
      <c r="G17" s="710"/>
      <c r="H17" s="718">
        <f t="shared" si="0"/>
        <v>-7.5477655894149995E-2</v>
      </c>
      <c r="I17" s="713"/>
    </row>
    <row r="18" spans="1:13" ht="12" customHeight="1">
      <c r="A18" s="703">
        <v>1780</v>
      </c>
      <c r="B18" s="1699">
        <f>TableUK5d!K18</f>
        <v>6.5362446228155555</v>
      </c>
      <c r="C18" s="1700">
        <f>TableUK5d!E18</f>
        <v>6.7224297491504039</v>
      </c>
      <c r="D18" s="1700">
        <f t="shared" si="1"/>
        <v>-0.18618512633484807</v>
      </c>
      <c r="E18" s="1701">
        <f>TableUK5e!G18</f>
        <v>0.48655833551217309</v>
      </c>
      <c r="F18" s="1701">
        <f>TableUK5e!I18</f>
        <v>0.67274346184702116</v>
      </c>
      <c r="G18" s="710"/>
      <c r="H18" s="718">
        <f t="shared" si="0"/>
        <v>-2.8485030331476011E-2</v>
      </c>
      <c r="I18" s="713"/>
    </row>
    <row r="19" spans="1:13" ht="12" customHeight="1">
      <c r="A19" s="1825">
        <v>1790</v>
      </c>
      <c r="B19" s="1826">
        <f>TableUK5d!K19</f>
        <v>6.5906187553285287</v>
      </c>
      <c r="C19" s="1827">
        <f>TableUK5d!E19</f>
        <v>7.3005438745557143</v>
      </c>
      <c r="D19" s="1827">
        <f t="shared" si="1"/>
        <v>-0.70992511922718537</v>
      </c>
      <c r="E19" s="1828">
        <f>TableUK5e!G19</f>
        <v>0.50672556619261844</v>
      </c>
      <c r="F19" s="1828">
        <f>TableUK5e!I19</f>
        <v>1.2166506854198038</v>
      </c>
      <c r="G19" s="1829"/>
      <c r="H19" s="736">
        <f t="shared" si="0"/>
        <v>-0.10771752176579923</v>
      </c>
      <c r="I19" s="1830"/>
    </row>
    <row r="20" spans="1:13" ht="12" customHeight="1">
      <c r="A20" s="703">
        <v>1800</v>
      </c>
      <c r="B20" s="1699">
        <f>TableUK5d!K20</f>
        <v>7.0028324314163068</v>
      </c>
      <c r="C20" s="1700">
        <f>TableUK5d!E20</f>
        <v>7.6600982943596421</v>
      </c>
      <c r="D20" s="1700">
        <f t="shared" si="1"/>
        <v>-0.657265862943336</v>
      </c>
      <c r="E20" s="1701">
        <f>TableUK5e!G20</f>
        <v>0.5248136189342244</v>
      </c>
      <c r="F20" s="1701">
        <f>TableUK5e!I20</f>
        <v>1.1820794818775604</v>
      </c>
      <c r="G20" s="710"/>
      <c r="H20" s="718">
        <f t="shared" si="0"/>
        <v>-9.3857145573652614E-2</v>
      </c>
      <c r="I20" s="713"/>
    </row>
    <row r="21" spans="1:13" ht="12" customHeight="1">
      <c r="A21" s="703">
        <v>1810</v>
      </c>
      <c r="B21" s="1699">
        <f>TableUK5d!K21</f>
        <v>6.6894975888217552</v>
      </c>
      <c r="C21" s="1700">
        <f>TableUK5d!E21</f>
        <v>7.213663382322526</v>
      </c>
      <c r="D21" s="1700">
        <f t="shared" si="1"/>
        <v>-0.52416579350077064</v>
      </c>
      <c r="E21" s="1701">
        <f>TableUK5e!G21</f>
        <v>0.5</v>
      </c>
      <c r="F21" s="1701">
        <f>TableUK5e!I21</f>
        <v>1.0241657935007706</v>
      </c>
      <c r="G21" s="1745">
        <f>TableUK6f!G33</f>
        <v>0</v>
      </c>
      <c r="H21" s="718">
        <f t="shared" si="0"/>
        <v>-7.8356526262399598E-2</v>
      </c>
      <c r="I21" s="719">
        <f>G21/B21</f>
        <v>0</v>
      </c>
    </row>
    <row r="22" spans="1:13" ht="12" customHeight="1">
      <c r="A22" s="703">
        <v>1820</v>
      </c>
      <c r="B22" s="1699">
        <f>TableUK5d!K22</f>
        <v>6.7604721809988764</v>
      </c>
      <c r="C22" s="1700">
        <f>TableUK5d!E22</f>
        <v>8.0055335790804296</v>
      </c>
      <c r="D22" s="1700">
        <f t="shared" si="1"/>
        <v>-1.2450613980815521</v>
      </c>
      <c r="E22" s="1701">
        <f>TableUK5e!G22</f>
        <v>0.51265161312997076</v>
      </c>
      <c r="F22" s="1701">
        <f>TableUK5e!I22</f>
        <v>1.7577130112115229</v>
      </c>
      <c r="G22" s="1745">
        <f>DataUK4!BF131</f>
        <v>0</v>
      </c>
      <c r="H22" s="718">
        <f t="shared" si="0"/>
        <v>-0.1841678162038663</v>
      </c>
      <c r="I22" s="719">
        <f t="shared" ref="I22:I56" si="2">G22/B22</f>
        <v>0</v>
      </c>
    </row>
    <row r="23" spans="1:13" ht="12" customHeight="1">
      <c r="A23" s="703">
        <v>1830</v>
      </c>
      <c r="B23" s="1699">
        <f>TableUK5d!K23</f>
        <v>6.6854731017067728</v>
      </c>
      <c r="C23" s="1700">
        <f>TableUK5d!E23</f>
        <v>7.9614142857120545</v>
      </c>
      <c r="D23" s="1700">
        <f t="shared" si="1"/>
        <v>-1.2759411840052812</v>
      </c>
      <c r="E23" s="1701">
        <f>TableUK5e!G23</f>
        <v>0.52301754255669286</v>
      </c>
      <c r="F23" s="1701">
        <f>TableUK5e!I23</f>
        <v>1.798958726561974</v>
      </c>
      <c r="G23" s="1745">
        <f>DataUK4!BF141</f>
        <v>0.19958121207488855</v>
      </c>
      <c r="H23" s="718">
        <f t="shared" si="0"/>
        <v>-0.19085278851537654</v>
      </c>
      <c r="I23" s="719">
        <f t="shared" si="2"/>
        <v>2.9852967626769197E-2</v>
      </c>
    </row>
    <row r="24" spans="1:13" ht="12" customHeight="1">
      <c r="A24" s="703">
        <v>1840</v>
      </c>
      <c r="B24" s="1699">
        <f>TableUK5d!K24</f>
        <v>6.9463412213823164</v>
      </c>
      <c r="C24" s="1700">
        <f>TableUK5d!E24</f>
        <v>7.8868791013839292</v>
      </c>
      <c r="D24" s="1700">
        <f t="shared" si="1"/>
        <v>-0.94053788000161365</v>
      </c>
      <c r="E24" s="1701">
        <f>TableUK5e!G24</f>
        <v>0.53151901844548377</v>
      </c>
      <c r="F24" s="1701">
        <f>TableUK5e!I24</f>
        <v>1.4720568984470974</v>
      </c>
      <c r="G24" s="1745">
        <f>DataUK4!BF151</f>
        <v>0.23453995449063861</v>
      </c>
      <c r="H24" s="718">
        <f t="shared" si="0"/>
        <v>-0.13540047199329022</v>
      </c>
      <c r="I24" s="719">
        <f t="shared" si="2"/>
        <v>3.3764531141757724E-2</v>
      </c>
    </row>
    <row r="25" spans="1:13" ht="12" customHeight="1">
      <c r="A25" s="703">
        <v>1855</v>
      </c>
      <c r="B25" s="1699">
        <f>TableUK5d!K25</f>
        <v>6.9432325695831638</v>
      </c>
      <c r="C25" s="1700">
        <f>TableUK5d!E25</f>
        <v>7.5610393482127423</v>
      </c>
      <c r="D25" s="1700">
        <f t="shared" si="1"/>
        <v>-0.61780677862957867</v>
      </c>
      <c r="E25" s="1701">
        <f>TableUK5e!G25</f>
        <v>0.52563796769383986</v>
      </c>
      <c r="F25" s="1701">
        <f>TableUK5e!I25</f>
        <v>1.1434447463234185</v>
      </c>
      <c r="G25" s="1745">
        <f>TableUK6f!G34</f>
        <v>0.39244358001991797</v>
      </c>
      <c r="H25" s="718">
        <f t="shared" si="0"/>
        <v>-8.8979703969021537E-2</v>
      </c>
      <c r="I25" s="719">
        <f t="shared" si="2"/>
        <v>5.6521739130434782E-2</v>
      </c>
    </row>
    <row r="26" spans="1:13">
      <c r="A26" s="714" t="s">
        <v>1342</v>
      </c>
      <c r="B26" s="715">
        <f>AVERAGE(TableUK6a!L25:L34)</f>
        <v>6.7060671226946509</v>
      </c>
      <c r="C26" s="716">
        <f>AVERAGE(TableUK6a!B25:B34)</f>
        <v>7.0147031129915565</v>
      </c>
      <c r="D26" s="716">
        <f t="shared" si="1"/>
        <v>-0.30863599029690603</v>
      </c>
      <c r="E26" s="51">
        <f>AVERAGE(TableUK5c!I25:I34)+AVERAGE(TableUK5c!E25:E34)+AVERAGE(TableUK6a!G25:G34)</f>
        <v>0.35123038222156411</v>
      </c>
      <c r="F26" s="51">
        <f>AVERAGE(TableUK5c!L25:L34)</f>
        <v>0.65986637251847013</v>
      </c>
      <c r="G26" s="1260">
        <f>AVERAGE(DataUK3!BS28:BS37)</f>
        <v>0.96526282286414955</v>
      </c>
      <c r="H26" s="718">
        <f t="shared" si="0"/>
        <v>-4.6023397119366892E-2</v>
      </c>
      <c r="I26" s="719">
        <f t="shared" si="2"/>
        <v>0.14393873565588244</v>
      </c>
      <c r="J26" s="720"/>
      <c r="M26" s="651">
        <f>AVERAGE(TableUK6a!F25:F34)-D26</f>
        <v>0</v>
      </c>
    </row>
    <row r="27" spans="1:13" hidden="1">
      <c r="A27" s="714"/>
      <c r="B27" s="715"/>
      <c r="C27" s="716"/>
      <c r="D27" s="716">
        <f t="shared" si="1"/>
        <v>0</v>
      </c>
      <c r="E27" s="51"/>
      <c r="F27" s="51"/>
      <c r="G27" s="1260" t="e">
        <f>#REF!-#REF!</f>
        <v>#REF!</v>
      </c>
      <c r="H27" s="718" t="e">
        <f t="shared" si="0"/>
        <v>#DIV/0!</v>
      </c>
      <c r="I27" s="719" t="e">
        <f t="shared" si="2"/>
        <v>#REF!</v>
      </c>
      <c r="M27" s="651"/>
    </row>
    <row r="28" spans="1:13" hidden="1">
      <c r="A28" s="714"/>
      <c r="B28" s="715"/>
      <c r="C28" s="716"/>
      <c r="D28" s="716">
        <f t="shared" si="1"/>
        <v>0</v>
      </c>
      <c r="E28" s="51"/>
      <c r="F28" s="51"/>
      <c r="G28" s="1260" t="e">
        <f>#REF!-#REF!</f>
        <v>#REF!</v>
      </c>
      <c r="H28" s="718" t="e">
        <f t="shared" si="0"/>
        <v>#DIV/0!</v>
      </c>
      <c r="I28" s="719" t="e">
        <f t="shared" si="2"/>
        <v>#REF!</v>
      </c>
      <c r="M28" s="651"/>
    </row>
    <row r="29" spans="1:13" hidden="1">
      <c r="A29" s="714"/>
      <c r="B29" s="715"/>
      <c r="C29" s="716"/>
      <c r="D29" s="716">
        <f t="shared" si="1"/>
        <v>0</v>
      </c>
      <c r="E29" s="51"/>
      <c r="F29" s="51"/>
      <c r="G29" s="1260" t="e">
        <f>#REF!-#REF!</f>
        <v>#REF!</v>
      </c>
      <c r="H29" s="718" t="e">
        <f t="shared" si="0"/>
        <v>#DIV/0!</v>
      </c>
      <c r="I29" s="719" t="e">
        <f t="shared" si="2"/>
        <v>#REF!</v>
      </c>
      <c r="M29" s="651"/>
    </row>
    <row r="30" spans="1:13" hidden="1">
      <c r="A30" s="714"/>
      <c r="B30" s="715"/>
      <c r="C30" s="716"/>
      <c r="D30" s="716">
        <f t="shared" si="1"/>
        <v>0</v>
      </c>
      <c r="E30" s="51"/>
      <c r="F30" s="51"/>
      <c r="G30" s="1260" t="e">
        <f>#REF!-#REF!</f>
        <v>#REF!</v>
      </c>
      <c r="H30" s="718" t="e">
        <f t="shared" si="0"/>
        <v>#DIV/0!</v>
      </c>
      <c r="I30" s="719" t="e">
        <f t="shared" si="2"/>
        <v>#REF!</v>
      </c>
      <c r="M30" s="651"/>
    </row>
    <row r="31" spans="1:13" hidden="1">
      <c r="A31" s="714"/>
      <c r="B31" s="715"/>
      <c r="C31" s="716"/>
      <c r="D31" s="716">
        <f t="shared" si="1"/>
        <v>0</v>
      </c>
      <c r="E31" s="51"/>
      <c r="F31" s="51"/>
      <c r="G31" s="1260" t="e">
        <f>#REF!-#REF!</f>
        <v>#REF!</v>
      </c>
      <c r="H31" s="718" t="e">
        <f t="shared" si="0"/>
        <v>#DIV/0!</v>
      </c>
      <c r="I31" s="719" t="e">
        <f t="shared" si="2"/>
        <v>#REF!</v>
      </c>
      <c r="M31" s="651"/>
    </row>
    <row r="32" spans="1:13" hidden="1">
      <c r="A32" s="714"/>
      <c r="B32" s="715"/>
      <c r="C32" s="716"/>
      <c r="D32" s="716">
        <f t="shared" si="1"/>
        <v>0</v>
      </c>
      <c r="E32" s="51"/>
      <c r="F32" s="51"/>
      <c r="G32" s="1260" t="e">
        <f>#REF!-#REF!</f>
        <v>#REF!</v>
      </c>
      <c r="H32" s="718" t="e">
        <f t="shared" si="0"/>
        <v>#DIV/0!</v>
      </c>
      <c r="I32" s="719" t="e">
        <f t="shared" si="2"/>
        <v>#REF!</v>
      </c>
      <c r="M32" s="651"/>
    </row>
    <row r="33" spans="1:13" hidden="1">
      <c r="A33" s="714"/>
      <c r="B33" s="715"/>
      <c r="C33" s="716"/>
      <c r="D33" s="716">
        <f t="shared" si="1"/>
        <v>0</v>
      </c>
      <c r="E33" s="51"/>
      <c r="F33" s="51"/>
      <c r="G33" s="1260" t="e">
        <f>#REF!-#REF!</f>
        <v>#REF!</v>
      </c>
      <c r="H33" s="718" t="e">
        <f t="shared" si="0"/>
        <v>#DIV/0!</v>
      </c>
      <c r="I33" s="719" t="e">
        <f t="shared" si="2"/>
        <v>#REF!</v>
      </c>
      <c r="M33" s="651"/>
    </row>
    <row r="34" spans="1:13" hidden="1">
      <c r="A34" s="714"/>
      <c r="B34" s="715"/>
      <c r="C34" s="716"/>
      <c r="D34" s="716">
        <f t="shared" si="1"/>
        <v>0</v>
      </c>
      <c r="E34" s="51"/>
      <c r="F34" s="51"/>
      <c r="G34" s="1260" t="e">
        <f>#REF!-#REF!</f>
        <v>#REF!</v>
      </c>
      <c r="H34" s="718" t="e">
        <f t="shared" si="0"/>
        <v>#DIV/0!</v>
      </c>
      <c r="I34" s="719" t="e">
        <f t="shared" si="2"/>
        <v>#REF!</v>
      </c>
      <c r="M34" s="651"/>
    </row>
    <row r="35" spans="1:13" hidden="1">
      <c r="A35" s="714"/>
      <c r="B35" s="715"/>
      <c r="C35" s="716"/>
      <c r="D35" s="716">
        <f t="shared" si="1"/>
        <v>0</v>
      </c>
      <c r="E35" s="51"/>
      <c r="F35" s="51"/>
      <c r="G35" s="1260" t="e">
        <f>#REF!-#REF!</f>
        <v>#REF!</v>
      </c>
      <c r="H35" s="718" t="e">
        <f t="shared" si="0"/>
        <v>#DIV/0!</v>
      </c>
      <c r="I35" s="719" t="e">
        <f t="shared" si="2"/>
        <v>#REF!</v>
      </c>
      <c r="M35" s="651"/>
    </row>
    <row r="36" spans="1:13">
      <c r="A36" s="721" t="s">
        <v>1341</v>
      </c>
      <c r="B36" s="715">
        <f>AVERAGE(TableUK6a!L35:L44)</f>
        <v>6.3809536302968359</v>
      </c>
      <c r="C36" s="716">
        <f>AVERAGE(TableUK6a!B35:B44)</f>
        <v>6.6405843019334565</v>
      </c>
      <c r="D36" s="716">
        <f t="shared" si="1"/>
        <v>-0.25963067163662051</v>
      </c>
      <c r="E36" s="51">
        <f>AVERAGE(TableUK5c!I35:I44)+AVERAGE(TableUK5c!E35:E44)+AVERAGE(TableUK6a!G35:G44)</f>
        <v>0.39035563512260302</v>
      </c>
      <c r="F36" s="51">
        <f>AVERAGE(TableUK5c!L35:L44)</f>
        <v>0.64998630675922353</v>
      </c>
      <c r="G36" s="1260">
        <f>AVERAGE(DataUK3!BS38:BS47)</f>
        <v>1.2980255600383641</v>
      </c>
      <c r="H36" s="718">
        <f t="shared" si="0"/>
        <v>-4.0688380872083339E-2</v>
      </c>
      <c r="I36" s="719">
        <f t="shared" si="2"/>
        <v>0.20342187629687902</v>
      </c>
      <c r="M36" s="651">
        <f>AVERAGE(TableUK6a!F35:F44)-D36</f>
        <v>0</v>
      </c>
    </row>
    <row r="37" spans="1:13" hidden="1">
      <c r="A37" s="721"/>
      <c r="B37" s="715"/>
      <c r="C37" s="722"/>
      <c r="D37" s="716">
        <f t="shared" si="1"/>
        <v>0</v>
      </c>
      <c r="E37" s="51"/>
      <c r="F37" s="51"/>
      <c r="G37" s="1260" t="e">
        <f>#REF!-#REF!</f>
        <v>#REF!</v>
      </c>
      <c r="H37" s="718" t="e">
        <f t="shared" si="0"/>
        <v>#DIV/0!</v>
      </c>
      <c r="I37" s="719" t="e">
        <f t="shared" si="2"/>
        <v>#REF!</v>
      </c>
      <c r="M37" s="651"/>
    </row>
    <row r="38" spans="1:13" hidden="1">
      <c r="A38" s="721"/>
      <c r="B38" s="715"/>
      <c r="C38" s="722"/>
      <c r="D38" s="716">
        <f t="shared" si="1"/>
        <v>0</v>
      </c>
      <c r="E38" s="51"/>
      <c r="F38" s="51"/>
      <c r="G38" s="1260" t="e">
        <f>#REF!-#REF!</f>
        <v>#REF!</v>
      </c>
      <c r="H38" s="718" t="e">
        <f t="shared" si="0"/>
        <v>#DIV/0!</v>
      </c>
      <c r="I38" s="719" t="e">
        <f t="shared" si="2"/>
        <v>#REF!</v>
      </c>
      <c r="M38" s="651"/>
    </row>
    <row r="39" spans="1:13" hidden="1">
      <c r="A39" s="721"/>
      <c r="B39" s="715"/>
      <c r="C39" s="722"/>
      <c r="D39" s="716">
        <f t="shared" si="1"/>
        <v>0</v>
      </c>
      <c r="E39" s="51"/>
      <c r="F39" s="51"/>
      <c r="G39" s="1260" t="e">
        <f>#REF!-#REF!</f>
        <v>#REF!</v>
      </c>
      <c r="H39" s="718" t="e">
        <f t="shared" si="0"/>
        <v>#DIV/0!</v>
      </c>
      <c r="I39" s="719" t="e">
        <f t="shared" si="2"/>
        <v>#REF!</v>
      </c>
      <c r="M39" s="651"/>
    </row>
    <row r="40" spans="1:13" hidden="1">
      <c r="A40" s="721"/>
      <c r="B40" s="715"/>
      <c r="C40" s="722"/>
      <c r="D40" s="716">
        <f t="shared" si="1"/>
        <v>0</v>
      </c>
      <c r="E40" s="51"/>
      <c r="F40" s="51"/>
      <c r="G40" s="1260" t="e">
        <f>#REF!-#REF!</f>
        <v>#REF!</v>
      </c>
      <c r="H40" s="718" t="e">
        <f t="shared" si="0"/>
        <v>#DIV/0!</v>
      </c>
      <c r="I40" s="719" t="e">
        <f t="shared" si="2"/>
        <v>#REF!</v>
      </c>
      <c r="M40" s="651"/>
    </row>
    <row r="41" spans="1:13" hidden="1">
      <c r="A41" s="721"/>
      <c r="B41" s="715"/>
      <c r="C41" s="722"/>
      <c r="D41" s="716">
        <f t="shared" si="1"/>
        <v>0</v>
      </c>
      <c r="E41" s="51"/>
      <c r="F41" s="51"/>
      <c r="G41" s="1260" t="e">
        <f>#REF!-#REF!</f>
        <v>#REF!</v>
      </c>
      <c r="H41" s="718" t="e">
        <f t="shared" si="0"/>
        <v>#DIV/0!</v>
      </c>
      <c r="I41" s="719" t="e">
        <f t="shared" si="2"/>
        <v>#REF!</v>
      </c>
      <c r="M41" s="651"/>
    </row>
    <row r="42" spans="1:13" hidden="1">
      <c r="A42" s="721"/>
      <c r="B42" s="715"/>
      <c r="C42" s="722"/>
      <c r="D42" s="716">
        <f t="shared" si="1"/>
        <v>0</v>
      </c>
      <c r="E42" s="51"/>
      <c r="F42" s="51"/>
      <c r="G42" s="1260" t="e">
        <f>#REF!-#REF!</f>
        <v>#REF!</v>
      </c>
      <c r="H42" s="718" t="e">
        <f t="shared" ref="H42:H73" si="3">D42/B42</f>
        <v>#DIV/0!</v>
      </c>
      <c r="I42" s="719" t="e">
        <f t="shared" si="2"/>
        <v>#REF!</v>
      </c>
      <c r="M42" s="651"/>
    </row>
    <row r="43" spans="1:13" hidden="1">
      <c r="A43" s="721"/>
      <c r="B43" s="715"/>
      <c r="C43" s="722"/>
      <c r="D43" s="716">
        <f t="shared" si="1"/>
        <v>0</v>
      </c>
      <c r="E43" s="51"/>
      <c r="F43" s="51"/>
      <c r="G43" s="1260" t="e">
        <f>#REF!-#REF!</f>
        <v>#REF!</v>
      </c>
      <c r="H43" s="718" t="e">
        <f t="shared" si="3"/>
        <v>#DIV/0!</v>
      </c>
      <c r="I43" s="719" t="e">
        <f t="shared" si="2"/>
        <v>#REF!</v>
      </c>
      <c r="M43" s="651"/>
    </row>
    <row r="44" spans="1:13" hidden="1">
      <c r="A44" s="721"/>
      <c r="B44" s="715"/>
      <c r="C44" s="722"/>
      <c r="D44" s="716">
        <f t="shared" si="1"/>
        <v>0</v>
      </c>
      <c r="E44" s="51"/>
      <c r="F44" s="51"/>
      <c r="G44" s="1260" t="e">
        <f>#REF!-#REF!</f>
        <v>#REF!</v>
      </c>
      <c r="H44" s="718" t="e">
        <f t="shared" si="3"/>
        <v>#DIV/0!</v>
      </c>
      <c r="I44" s="719" t="e">
        <f t="shared" si="2"/>
        <v>#REF!</v>
      </c>
      <c r="M44" s="651"/>
    </row>
    <row r="45" spans="1:13" hidden="1">
      <c r="A45" s="721"/>
      <c r="B45" s="715"/>
      <c r="C45" s="722"/>
      <c r="D45" s="716">
        <f t="shared" si="1"/>
        <v>0</v>
      </c>
      <c r="E45" s="51"/>
      <c r="F45" s="51"/>
      <c r="G45" s="1260" t="e">
        <f>#REF!-#REF!</f>
        <v>#REF!</v>
      </c>
      <c r="H45" s="718" t="e">
        <f t="shared" si="3"/>
        <v>#DIV/0!</v>
      </c>
      <c r="I45" s="719" t="e">
        <f t="shared" si="2"/>
        <v>#REF!</v>
      </c>
      <c r="M45" s="651"/>
    </row>
    <row r="46" spans="1:13">
      <c r="A46" s="723" t="s">
        <v>1343</v>
      </c>
      <c r="B46" s="715">
        <f>AVERAGE(TableUK6a!L45:L54)</f>
        <v>6.6400265741038966</v>
      </c>
      <c r="C46" s="722">
        <f>AVERAGE(TableUK6a!B45:B54)</f>
        <v>6.7325573986001261</v>
      </c>
      <c r="D46" s="716">
        <f t="shared" si="1"/>
        <v>-9.253082449622968E-2</v>
      </c>
      <c r="E46" s="51">
        <f>AVERAGE(TableUK5c!I45:I54)+AVERAGE(TableUK5c!E45:E54)+AVERAGE(TableUK6a!G45:G54)</f>
        <v>0.38120304054310195</v>
      </c>
      <c r="F46" s="51">
        <f>AVERAGE(TableUK5c!L45:L54)</f>
        <v>0.47373386503933163</v>
      </c>
      <c r="G46" s="1260">
        <f>AVERAGE(DataUK3!BS48:BS57)</f>
        <v>1.5721739801189352</v>
      </c>
      <c r="H46" s="718">
        <f t="shared" si="3"/>
        <v>-1.393530936413717E-2</v>
      </c>
      <c r="I46" s="719">
        <f t="shared" si="2"/>
        <v>0.23677224218505594</v>
      </c>
      <c r="M46" s="651">
        <f>AVERAGE(TableUK6a!F45:F54)-D46</f>
        <v>0</v>
      </c>
    </row>
    <row r="47" spans="1:13" hidden="1">
      <c r="A47" s="721"/>
      <c r="B47" s="715"/>
      <c r="C47" s="722"/>
      <c r="D47" s="716">
        <f t="shared" si="1"/>
        <v>0</v>
      </c>
      <c r="E47" s="51"/>
      <c r="F47" s="51"/>
      <c r="G47" s="1260" t="e">
        <f>#REF!-#REF!</f>
        <v>#REF!</v>
      </c>
      <c r="H47" s="718" t="e">
        <f t="shared" si="3"/>
        <v>#DIV/0!</v>
      </c>
      <c r="I47" s="719" t="e">
        <f t="shared" si="2"/>
        <v>#REF!</v>
      </c>
      <c r="M47" s="651"/>
    </row>
    <row r="48" spans="1:13" hidden="1">
      <c r="A48" s="721"/>
      <c r="B48" s="715"/>
      <c r="C48" s="722"/>
      <c r="D48" s="716">
        <f t="shared" si="1"/>
        <v>0</v>
      </c>
      <c r="E48" s="51"/>
      <c r="F48" s="51"/>
      <c r="G48" s="1260" t="e">
        <f>#REF!-#REF!</f>
        <v>#REF!</v>
      </c>
      <c r="H48" s="718" t="e">
        <f t="shared" si="3"/>
        <v>#DIV/0!</v>
      </c>
      <c r="I48" s="719" t="e">
        <f t="shared" si="2"/>
        <v>#REF!</v>
      </c>
      <c r="M48" s="651"/>
    </row>
    <row r="49" spans="1:13" hidden="1">
      <c r="A49" s="721"/>
      <c r="B49" s="715"/>
      <c r="C49" s="722"/>
      <c r="D49" s="716">
        <f t="shared" si="1"/>
        <v>0</v>
      </c>
      <c r="E49" s="51"/>
      <c r="F49" s="51"/>
      <c r="G49" s="1260" t="e">
        <f>#REF!-#REF!</f>
        <v>#REF!</v>
      </c>
      <c r="H49" s="718" t="e">
        <f t="shared" si="3"/>
        <v>#DIV/0!</v>
      </c>
      <c r="I49" s="719" t="e">
        <f t="shared" si="2"/>
        <v>#REF!</v>
      </c>
      <c r="M49" s="651"/>
    </row>
    <row r="50" spans="1:13" hidden="1">
      <c r="A50" s="721"/>
      <c r="B50" s="715"/>
      <c r="C50" s="722"/>
      <c r="D50" s="716">
        <f t="shared" si="1"/>
        <v>0</v>
      </c>
      <c r="E50" s="51"/>
      <c r="F50" s="51"/>
      <c r="G50" s="1260" t="e">
        <f>#REF!-#REF!</f>
        <v>#REF!</v>
      </c>
      <c r="H50" s="718" t="e">
        <f t="shared" si="3"/>
        <v>#DIV/0!</v>
      </c>
      <c r="I50" s="719" t="e">
        <f t="shared" si="2"/>
        <v>#REF!</v>
      </c>
      <c r="M50" s="651"/>
    </row>
    <row r="51" spans="1:13" hidden="1">
      <c r="A51" s="721"/>
      <c r="B51" s="715"/>
      <c r="C51" s="722"/>
      <c r="D51" s="716">
        <f t="shared" si="1"/>
        <v>0</v>
      </c>
      <c r="E51" s="51"/>
      <c r="F51" s="51"/>
      <c r="G51" s="1260" t="e">
        <f>#REF!-#REF!</f>
        <v>#REF!</v>
      </c>
      <c r="H51" s="718" t="e">
        <f t="shared" si="3"/>
        <v>#DIV/0!</v>
      </c>
      <c r="I51" s="719" t="e">
        <f t="shared" si="2"/>
        <v>#REF!</v>
      </c>
      <c r="M51" s="651"/>
    </row>
    <row r="52" spans="1:13" hidden="1">
      <c r="A52" s="721"/>
      <c r="B52" s="715"/>
      <c r="C52" s="722"/>
      <c r="D52" s="716">
        <f t="shared" si="1"/>
        <v>0</v>
      </c>
      <c r="E52" s="51"/>
      <c r="F52" s="51"/>
      <c r="G52" s="1260" t="e">
        <f>#REF!-#REF!</f>
        <v>#REF!</v>
      </c>
      <c r="H52" s="718" t="e">
        <f t="shared" si="3"/>
        <v>#DIV/0!</v>
      </c>
      <c r="I52" s="719" t="e">
        <f t="shared" si="2"/>
        <v>#REF!</v>
      </c>
      <c r="M52" s="651"/>
    </row>
    <row r="53" spans="1:13" hidden="1">
      <c r="A53" s="721"/>
      <c r="B53" s="715"/>
      <c r="C53" s="722"/>
      <c r="D53" s="716">
        <f t="shared" si="1"/>
        <v>0</v>
      </c>
      <c r="E53" s="51"/>
      <c r="F53" s="51"/>
      <c r="G53" s="1260" t="e">
        <f>#REF!-#REF!</f>
        <v>#REF!</v>
      </c>
      <c r="H53" s="718" t="e">
        <f t="shared" si="3"/>
        <v>#DIV/0!</v>
      </c>
      <c r="I53" s="719" t="e">
        <f t="shared" si="2"/>
        <v>#REF!</v>
      </c>
      <c r="M53" s="651"/>
    </row>
    <row r="54" spans="1:13" hidden="1">
      <c r="A54" s="721"/>
      <c r="B54" s="715"/>
      <c r="C54" s="722"/>
      <c r="D54" s="716">
        <f t="shared" si="1"/>
        <v>0</v>
      </c>
      <c r="E54" s="51"/>
      <c r="F54" s="51"/>
      <c r="G54" s="1260" t="e">
        <f>#REF!-#REF!</f>
        <v>#REF!</v>
      </c>
      <c r="H54" s="718" t="e">
        <f t="shared" si="3"/>
        <v>#DIV/0!</v>
      </c>
      <c r="I54" s="719" t="e">
        <f t="shared" si="2"/>
        <v>#REF!</v>
      </c>
      <c r="M54" s="651"/>
    </row>
    <row r="55" spans="1:13" hidden="1">
      <c r="A55" s="721"/>
      <c r="B55" s="715"/>
      <c r="C55" s="722"/>
      <c r="D55" s="716">
        <f t="shared" si="1"/>
        <v>0</v>
      </c>
      <c r="E55" s="51"/>
      <c r="F55" s="51"/>
      <c r="G55" s="1260" t="e">
        <f>#REF!-#REF!</f>
        <v>#REF!</v>
      </c>
      <c r="H55" s="718" t="e">
        <f t="shared" si="3"/>
        <v>#DIV/0!</v>
      </c>
      <c r="I55" s="719" t="e">
        <f t="shared" si="2"/>
        <v>#REF!</v>
      </c>
      <c r="M55" s="651"/>
    </row>
    <row r="56" spans="1:13">
      <c r="A56" s="724" t="s">
        <v>1344</v>
      </c>
      <c r="B56" s="725">
        <f>AVERAGE(TableUK6a!L55:L64)</f>
        <v>7.1739978898934753</v>
      </c>
      <c r="C56" s="726">
        <f>AVERAGE(TableUK6a!B55:B64)</f>
        <v>7.1053314397102767</v>
      </c>
      <c r="D56" s="1375">
        <f t="shared" si="1"/>
        <v>6.8666450183198557E-2</v>
      </c>
      <c r="E56" s="56">
        <f>AVERAGE(TableUK5c!I55:I64)+AVERAGE(TableUK5c!E55:E64)+AVERAGE(TableUK6a!G55:G64)</f>
        <v>0.47003639905408884</v>
      </c>
      <c r="F56" s="56">
        <f>AVERAGE(TableUK5c!L55:L64)</f>
        <v>0.40136994887089028</v>
      </c>
      <c r="G56" s="1378">
        <f>AVERAGE(DataUK3!BS58:BS67)</f>
        <v>1.4958566601858985</v>
      </c>
      <c r="H56" s="728">
        <f t="shared" si="3"/>
        <v>9.5715737915024902E-3</v>
      </c>
      <c r="I56" s="729">
        <f t="shared" si="2"/>
        <v>0.20851088655785902</v>
      </c>
      <c r="M56" s="651">
        <f>AVERAGE(TableUK6a!F55:F64)-D56</f>
        <v>0</v>
      </c>
    </row>
    <row r="57" spans="1:13" hidden="1">
      <c r="A57" s="721"/>
      <c r="B57" s="715"/>
      <c r="C57" s="722"/>
      <c r="D57" s="716">
        <f t="shared" si="1"/>
        <v>0</v>
      </c>
      <c r="E57" s="51"/>
      <c r="F57" s="51"/>
      <c r="G57" s="1260" t="e">
        <f>#REF!-#REF!</f>
        <v>#REF!</v>
      </c>
      <c r="H57" s="718" t="e">
        <f t="shared" si="3"/>
        <v>#DIV/0!</v>
      </c>
      <c r="I57" s="719" t="e">
        <f t="shared" ref="I57:I88" si="4">G57/B57</f>
        <v>#REF!</v>
      </c>
      <c r="M57" s="651"/>
    </row>
    <row r="58" spans="1:13" hidden="1">
      <c r="A58" s="721"/>
      <c r="B58" s="715"/>
      <c r="C58" s="722"/>
      <c r="D58" s="716">
        <f t="shared" si="1"/>
        <v>0</v>
      </c>
      <c r="E58" s="51"/>
      <c r="F58" s="51"/>
      <c r="G58" s="1260" t="e">
        <f>#REF!-#REF!</f>
        <v>#REF!</v>
      </c>
      <c r="H58" s="718" t="e">
        <f t="shared" si="3"/>
        <v>#DIV/0!</v>
      </c>
      <c r="I58" s="719" t="e">
        <f t="shared" si="4"/>
        <v>#REF!</v>
      </c>
      <c r="M58" s="651"/>
    </row>
    <row r="59" spans="1:13" hidden="1">
      <c r="A59" s="721"/>
      <c r="B59" s="715"/>
      <c r="C59" s="722"/>
      <c r="D59" s="716">
        <f t="shared" si="1"/>
        <v>0</v>
      </c>
      <c r="E59" s="51"/>
      <c r="F59" s="51"/>
      <c r="G59" s="1260" t="e">
        <f>#REF!-#REF!</f>
        <v>#REF!</v>
      </c>
      <c r="H59" s="718" t="e">
        <f t="shared" si="3"/>
        <v>#DIV/0!</v>
      </c>
      <c r="I59" s="719" t="e">
        <f t="shared" si="4"/>
        <v>#REF!</v>
      </c>
      <c r="M59" s="651"/>
    </row>
    <row r="60" spans="1:13" hidden="1">
      <c r="A60" s="721"/>
      <c r="B60" s="715"/>
      <c r="C60" s="722"/>
      <c r="D60" s="716">
        <f t="shared" si="1"/>
        <v>0</v>
      </c>
      <c r="E60" s="51"/>
      <c r="F60" s="51"/>
      <c r="G60" s="1260" t="e">
        <f>#REF!-#REF!</f>
        <v>#REF!</v>
      </c>
      <c r="H60" s="718" t="e">
        <f t="shared" si="3"/>
        <v>#DIV/0!</v>
      </c>
      <c r="I60" s="719" t="e">
        <f t="shared" si="4"/>
        <v>#REF!</v>
      </c>
      <c r="M60" s="651"/>
    </row>
    <row r="61" spans="1:13" hidden="1">
      <c r="A61" s="721"/>
      <c r="B61" s="715"/>
      <c r="C61" s="722"/>
      <c r="D61" s="716">
        <f t="shared" si="1"/>
        <v>0</v>
      </c>
      <c r="E61" s="51"/>
      <c r="F61" s="51"/>
      <c r="G61" s="1260" t="e">
        <f>#REF!-#REF!</f>
        <v>#REF!</v>
      </c>
      <c r="H61" s="718" t="e">
        <f t="shared" si="3"/>
        <v>#DIV/0!</v>
      </c>
      <c r="I61" s="719" t="e">
        <f t="shared" si="4"/>
        <v>#REF!</v>
      </c>
      <c r="M61" s="651"/>
    </row>
    <row r="62" spans="1:13" hidden="1">
      <c r="A62" s="721"/>
      <c r="B62" s="715"/>
      <c r="C62" s="722"/>
      <c r="D62" s="716">
        <f t="shared" si="1"/>
        <v>0</v>
      </c>
      <c r="E62" s="51"/>
      <c r="F62" s="51"/>
      <c r="G62" s="1260" t="e">
        <f>#REF!-#REF!</f>
        <v>#REF!</v>
      </c>
      <c r="H62" s="718" t="e">
        <f t="shared" si="3"/>
        <v>#DIV/0!</v>
      </c>
      <c r="I62" s="719" t="e">
        <f t="shared" si="4"/>
        <v>#REF!</v>
      </c>
      <c r="M62" s="651"/>
    </row>
    <row r="63" spans="1:13" hidden="1">
      <c r="A63" s="721"/>
      <c r="B63" s="715"/>
      <c r="C63" s="722"/>
      <c r="D63" s="716">
        <f t="shared" si="1"/>
        <v>0</v>
      </c>
      <c r="E63" s="51"/>
      <c r="F63" s="51"/>
      <c r="G63" s="1260" t="e">
        <f>#REF!-#REF!</f>
        <v>#REF!</v>
      </c>
      <c r="H63" s="718" t="e">
        <f t="shared" si="3"/>
        <v>#DIV/0!</v>
      </c>
      <c r="I63" s="719" t="e">
        <f t="shared" si="4"/>
        <v>#REF!</v>
      </c>
      <c r="M63" s="651"/>
    </row>
    <row r="64" spans="1:13" hidden="1">
      <c r="A64" s="721"/>
      <c r="B64" s="715"/>
      <c r="C64" s="722"/>
      <c r="D64" s="716">
        <f t="shared" si="1"/>
        <v>0</v>
      </c>
      <c r="E64" s="51"/>
      <c r="F64" s="51"/>
      <c r="G64" s="1260" t="e">
        <f>#REF!-#REF!</f>
        <v>#REF!</v>
      </c>
      <c r="H64" s="718" t="e">
        <f t="shared" si="3"/>
        <v>#DIV/0!</v>
      </c>
      <c r="I64" s="719" t="e">
        <f t="shared" si="4"/>
        <v>#REF!</v>
      </c>
      <c r="M64" s="651"/>
    </row>
    <row r="65" spans="1:18" hidden="1">
      <c r="A65" s="721"/>
      <c r="B65" s="715"/>
      <c r="C65" s="722"/>
      <c r="D65" s="716">
        <f t="shared" si="1"/>
        <v>0</v>
      </c>
      <c r="E65" s="51"/>
      <c r="F65" s="51"/>
      <c r="G65" s="1260" t="e">
        <f>#REF!-#REF!</f>
        <v>#REF!</v>
      </c>
      <c r="H65" s="718" t="e">
        <f t="shared" si="3"/>
        <v>#DIV/0!</v>
      </c>
      <c r="I65" s="719" t="e">
        <f t="shared" si="4"/>
        <v>#REF!</v>
      </c>
      <c r="M65" s="651"/>
    </row>
    <row r="66" spans="1:18">
      <c r="A66" s="721" t="s">
        <v>1345</v>
      </c>
      <c r="B66" s="715">
        <f>AVERAGE(TableUK6a!L65:L74)</f>
        <v>5.0116007752842471</v>
      </c>
      <c r="C66" s="722">
        <f>AVERAGE(TableUK6a!B65:B74)</f>
        <v>5.2322664158005896</v>
      </c>
      <c r="D66" s="716">
        <f t="shared" si="1"/>
        <v>-0.22066564051634319</v>
      </c>
      <c r="E66" s="51">
        <f>AVERAGE(TableUK5c!I65:I74)+AVERAGE(TableUK5c!E65:E74)+AVERAGE(TableUK6a!G65:G74)</f>
        <v>0.46355111873434174</v>
      </c>
      <c r="F66" s="51">
        <f>AVERAGE(TableUK5c!L65:L74)</f>
        <v>0.68421675925068492</v>
      </c>
      <c r="G66" s="1260">
        <f>AVERAGE(DataUK3!BS68:BS77)</f>
        <v>1.4463236971308038</v>
      </c>
      <c r="H66" s="718">
        <f t="shared" si="3"/>
        <v>-4.4030969426894842E-2</v>
      </c>
      <c r="I66" s="719">
        <f t="shared" si="4"/>
        <v>0.28859515392041007</v>
      </c>
      <c r="M66" s="651">
        <f>AVERAGE(TableUK6a!F65:F74)-D66</f>
        <v>0</v>
      </c>
    </row>
    <row r="67" spans="1:18" hidden="1">
      <c r="A67" s="721"/>
      <c r="B67" s="715"/>
      <c r="C67" s="722"/>
      <c r="D67" s="716">
        <f t="shared" si="1"/>
        <v>0</v>
      </c>
      <c r="E67" s="51"/>
      <c r="F67" s="51"/>
      <c r="G67" s="1260" t="e">
        <f>#REF!-#REF!</f>
        <v>#REF!</v>
      </c>
      <c r="H67" s="718" t="e">
        <f t="shared" si="3"/>
        <v>#DIV/0!</v>
      </c>
      <c r="I67" s="719" t="e">
        <f t="shared" si="4"/>
        <v>#REF!</v>
      </c>
      <c r="M67" s="651"/>
    </row>
    <row r="68" spans="1:18" hidden="1">
      <c r="A68" s="721"/>
      <c r="B68" s="715"/>
      <c r="C68" s="722"/>
      <c r="D68" s="716">
        <f t="shared" si="1"/>
        <v>0</v>
      </c>
      <c r="E68" s="51"/>
      <c r="F68" s="51"/>
      <c r="G68" s="1260" t="e">
        <f>#REF!-#REF!</f>
        <v>#REF!</v>
      </c>
      <c r="H68" s="718" t="e">
        <f t="shared" si="3"/>
        <v>#DIV/0!</v>
      </c>
      <c r="I68" s="719" t="e">
        <f t="shared" si="4"/>
        <v>#REF!</v>
      </c>
      <c r="M68" s="651"/>
    </row>
    <row r="69" spans="1:18" hidden="1">
      <c r="A69" s="721"/>
      <c r="B69" s="715"/>
      <c r="C69" s="722"/>
      <c r="D69" s="716">
        <f t="shared" si="1"/>
        <v>0</v>
      </c>
      <c r="E69" s="51"/>
      <c r="F69" s="51"/>
      <c r="G69" s="1260" t="e">
        <f>#REF!-#REF!</f>
        <v>#REF!</v>
      </c>
      <c r="H69" s="718" t="e">
        <f t="shared" si="3"/>
        <v>#DIV/0!</v>
      </c>
      <c r="I69" s="719" t="e">
        <f t="shared" si="4"/>
        <v>#REF!</v>
      </c>
      <c r="M69" s="651"/>
    </row>
    <row r="70" spans="1:18" hidden="1">
      <c r="A70" s="721"/>
      <c r="B70" s="715"/>
      <c r="C70" s="722"/>
      <c r="D70" s="716">
        <f t="shared" si="1"/>
        <v>0</v>
      </c>
      <c r="E70" s="51"/>
      <c r="F70" s="51"/>
      <c r="G70" s="1260" t="e">
        <f>#REF!-#REF!</f>
        <v>#REF!</v>
      </c>
      <c r="H70" s="718" t="e">
        <f t="shared" si="3"/>
        <v>#DIV/0!</v>
      </c>
      <c r="I70" s="719" t="e">
        <f t="shared" si="4"/>
        <v>#REF!</v>
      </c>
      <c r="M70" s="651"/>
    </row>
    <row r="71" spans="1:18" hidden="1">
      <c r="A71" s="721"/>
      <c r="B71" s="715"/>
      <c r="C71" s="722"/>
      <c r="D71" s="716">
        <f t="shared" si="1"/>
        <v>0</v>
      </c>
      <c r="E71" s="51"/>
      <c r="F71" s="51"/>
      <c r="G71" s="1260" t="e">
        <f>#REF!-#REF!</f>
        <v>#REF!</v>
      </c>
      <c r="H71" s="718" t="e">
        <f t="shared" si="3"/>
        <v>#DIV/0!</v>
      </c>
      <c r="I71" s="719" t="e">
        <f t="shared" si="4"/>
        <v>#REF!</v>
      </c>
      <c r="M71" s="651"/>
    </row>
    <row r="72" spans="1:18" hidden="1">
      <c r="A72" s="721"/>
      <c r="B72" s="715"/>
      <c r="C72" s="722"/>
      <c r="D72" s="716">
        <f t="shared" si="1"/>
        <v>0</v>
      </c>
      <c r="E72" s="51"/>
      <c r="F72" s="51"/>
      <c r="G72" s="1260" t="e">
        <f>#REF!-#REF!</f>
        <v>#REF!</v>
      </c>
      <c r="H72" s="718" t="e">
        <f t="shared" si="3"/>
        <v>#DIV/0!</v>
      </c>
      <c r="I72" s="719" t="e">
        <f t="shared" si="4"/>
        <v>#REF!</v>
      </c>
      <c r="M72" s="651"/>
    </row>
    <row r="73" spans="1:18" hidden="1">
      <c r="A73" s="721"/>
      <c r="B73" s="715"/>
      <c r="C73" s="722"/>
      <c r="D73" s="716">
        <f t="shared" si="1"/>
        <v>0</v>
      </c>
      <c r="E73" s="51"/>
      <c r="F73" s="51"/>
      <c r="G73" s="1260" t="e">
        <f>#REF!-#REF!</f>
        <v>#REF!</v>
      </c>
      <c r="H73" s="718" t="e">
        <f t="shared" si="3"/>
        <v>#DIV/0!</v>
      </c>
      <c r="I73" s="719" t="e">
        <f t="shared" si="4"/>
        <v>#REF!</v>
      </c>
      <c r="M73" s="651"/>
    </row>
    <row r="74" spans="1:18" hidden="1">
      <c r="A74" s="721"/>
      <c r="B74" s="715"/>
      <c r="C74" s="722"/>
      <c r="D74" s="716">
        <f t="shared" si="1"/>
        <v>0</v>
      </c>
      <c r="E74" s="51"/>
      <c r="F74" s="51"/>
      <c r="G74" s="1260" t="e">
        <f>#REF!-#REF!</f>
        <v>#REF!</v>
      </c>
      <c r="H74" s="718" t="e">
        <f t="shared" ref="H74:H105" si="5">D74/B74</f>
        <v>#DIV/0!</v>
      </c>
      <c r="I74" s="719" t="e">
        <f t="shared" si="4"/>
        <v>#REF!</v>
      </c>
      <c r="M74" s="651"/>
    </row>
    <row r="75" spans="1:18" hidden="1">
      <c r="A75" s="721"/>
      <c r="B75" s="715"/>
      <c r="C75" s="722"/>
      <c r="D75" s="716">
        <f t="shared" ref="D75:D138" si="6">E75-F75</f>
        <v>0</v>
      </c>
      <c r="E75" s="51"/>
      <c r="F75" s="51"/>
      <c r="G75" s="1260" t="e">
        <f>#REF!-#REF!</f>
        <v>#REF!</v>
      </c>
      <c r="H75" s="718" t="e">
        <f t="shared" si="5"/>
        <v>#DIV/0!</v>
      </c>
      <c r="I75" s="719" t="e">
        <f t="shared" si="4"/>
        <v>#REF!</v>
      </c>
      <c r="M75" s="651"/>
    </row>
    <row r="76" spans="1:18" s="731" customFormat="1">
      <c r="A76" s="721" t="s">
        <v>1322</v>
      </c>
      <c r="B76" s="715">
        <f>AVERAGE(TableUK6a!L75:L84)</f>
        <v>3.2174108319067316</v>
      </c>
      <c r="C76" s="722">
        <f>AVERAGE(TableUK6a!B75:B84)</f>
        <v>4.4128064291430782</v>
      </c>
      <c r="D76" s="716">
        <f t="shared" si="6"/>
        <v>-1.1953955972363466</v>
      </c>
      <c r="E76" s="51">
        <f>AVERAGE(TableUK5c!I75:I84)+AVERAGE(TableUK5c!E75:E84)+AVERAGE(TableUK6a!G75:G84)</f>
        <v>0.52836871054416779</v>
      </c>
      <c r="F76" s="51">
        <f>AVERAGE(TableUK5c!L75:L84)</f>
        <v>1.7237643077805143</v>
      </c>
      <c r="G76" s="1260">
        <f>AVERAGE(DataUK3!BS79:BS88)</f>
        <v>1.1760757093470757</v>
      </c>
      <c r="H76" s="718">
        <f t="shared" si="5"/>
        <v>-0.37153961980289607</v>
      </c>
      <c r="I76" s="719">
        <f t="shared" si="4"/>
        <v>0.36553482622861033</v>
      </c>
      <c r="J76" s="730"/>
      <c r="K76" s="730"/>
      <c r="L76" s="730"/>
      <c r="M76" s="651">
        <f>AVERAGE(TableUK6a!F75:F84)-D76</f>
        <v>0</v>
      </c>
      <c r="N76" s="730"/>
      <c r="O76" s="730"/>
      <c r="P76" s="730"/>
      <c r="Q76" s="730"/>
      <c r="R76" s="730"/>
    </row>
    <row r="77" spans="1:18" s="731" customFormat="1" hidden="1">
      <c r="A77" s="721"/>
      <c r="B77" s="715"/>
      <c r="C77" s="722"/>
      <c r="D77" s="716">
        <f t="shared" si="6"/>
        <v>0</v>
      </c>
      <c r="E77" s="51"/>
      <c r="F77" s="51"/>
      <c r="G77" s="1260" t="e">
        <f>#REF!-#REF!</f>
        <v>#REF!</v>
      </c>
      <c r="H77" s="718" t="e">
        <f t="shared" si="5"/>
        <v>#DIV/0!</v>
      </c>
      <c r="I77" s="719" t="e">
        <f t="shared" si="4"/>
        <v>#REF!</v>
      </c>
      <c r="J77" s="730"/>
      <c r="K77" s="730"/>
      <c r="L77" s="730"/>
      <c r="M77" s="1702"/>
      <c r="N77" s="730"/>
      <c r="O77" s="730"/>
      <c r="P77" s="730"/>
      <c r="Q77" s="730"/>
      <c r="R77" s="730"/>
    </row>
    <row r="78" spans="1:18" s="731" customFormat="1" hidden="1">
      <c r="A78" s="721"/>
      <c r="B78" s="715"/>
      <c r="C78" s="722"/>
      <c r="D78" s="716">
        <f t="shared" si="6"/>
        <v>0</v>
      </c>
      <c r="E78" s="51"/>
      <c r="F78" s="51"/>
      <c r="G78" s="1260" t="e">
        <f>#REF!-#REF!</f>
        <v>#REF!</v>
      </c>
      <c r="H78" s="718" t="e">
        <f t="shared" si="5"/>
        <v>#DIV/0!</v>
      </c>
      <c r="I78" s="719" t="e">
        <f t="shared" si="4"/>
        <v>#REF!</v>
      </c>
      <c r="J78" s="730"/>
      <c r="K78" s="730"/>
      <c r="L78" s="730"/>
      <c r="M78" s="1702"/>
      <c r="N78" s="730"/>
      <c r="O78" s="730"/>
      <c r="P78" s="730"/>
      <c r="Q78" s="730"/>
      <c r="R78" s="730"/>
    </row>
    <row r="79" spans="1:18" s="731" customFormat="1" hidden="1">
      <c r="A79" s="721"/>
      <c r="B79" s="715"/>
      <c r="C79" s="722"/>
      <c r="D79" s="716">
        <f t="shared" si="6"/>
        <v>0</v>
      </c>
      <c r="E79" s="51"/>
      <c r="F79" s="51"/>
      <c r="G79" s="1260" t="e">
        <f>#REF!-#REF!</f>
        <v>#REF!</v>
      </c>
      <c r="H79" s="718" t="e">
        <f t="shared" si="5"/>
        <v>#DIV/0!</v>
      </c>
      <c r="I79" s="719" t="e">
        <f t="shared" si="4"/>
        <v>#REF!</v>
      </c>
      <c r="J79" s="730"/>
      <c r="K79" s="730"/>
      <c r="L79" s="730"/>
      <c r="M79" s="1702"/>
      <c r="N79" s="730"/>
      <c r="O79" s="730"/>
      <c r="P79" s="730"/>
      <c r="Q79" s="730"/>
      <c r="R79" s="730"/>
    </row>
    <row r="80" spans="1:18" s="731" customFormat="1" hidden="1">
      <c r="A80" s="721"/>
      <c r="B80" s="715"/>
      <c r="C80" s="722"/>
      <c r="D80" s="716">
        <f t="shared" si="6"/>
        <v>0</v>
      </c>
      <c r="E80" s="51"/>
      <c r="F80" s="51"/>
      <c r="G80" s="1260" t="e">
        <f>#REF!-#REF!</f>
        <v>#REF!</v>
      </c>
      <c r="H80" s="718" t="e">
        <f t="shared" si="5"/>
        <v>#DIV/0!</v>
      </c>
      <c r="I80" s="719" t="e">
        <f t="shared" si="4"/>
        <v>#REF!</v>
      </c>
      <c r="J80" s="730"/>
      <c r="K80" s="730"/>
      <c r="L80" s="730"/>
      <c r="M80" s="1702"/>
      <c r="N80" s="730"/>
      <c r="O80" s="730"/>
      <c r="P80" s="730"/>
      <c r="Q80" s="730"/>
      <c r="R80" s="730"/>
    </row>
    <row r="81" spans="1:18" s="731" customFormat="1" hidden="1">
      <c r="A81" s="721"/>
      <c r="B81" s="715"/>
      <c r="C81" s="722"/>
      <c r="D81" s="716">
        <f t="shared" si="6"/>
        <v>0</v>
      </c>
      <c r="E81" s="51"/>
      <c r="F81" s="51"/>
      <c r="G81" s="1260" t="e">
        <f>#REF!-#REF!</f>
        <v>#REF!</v>
      </c>
      <c r="H81" s="718" t="e">
        <f t="shared" si="5"/>
        <v>#DIV/0!</v>
      </c>
      <c r="I81" s="719" t="e">
        <f t="shared" si="4"/>
        <v>#REF!</v>
      </c>
      <c r="J81" s="730"/>
      <c r="K81" s="730"/>
      <c r="L81" s="730"/>
      <c r="M81" s="1702"/>
      <c r="N81" s="730"/>
      <c r="O81" s="730"/>
      <c r="P81" s="730"/>
      <c r="Q81" s="730"/>
      <c r="R81" s="730"/>
    </row>
    <row r="82" spans="1:18" s="731" customFormat="1" hidden="1">
      <c r="A82" s="721"/>
      <c r="B82" s="715"/>
      <c r="C82" s="722"/>
      <c r="D82" s="716">
        <f t="shared" si="6"/>
        <v>0</v>
      </c>
      <c r="E82" s="51"/>
      <c r="F82" s="51"/>
      <c r="G82" s="1260" t="e">
        <f>#REF!-#REF!</f>
        <v>#REF!</v>
      </c>
      <c r="H82" s="718" t="e">
        <f t="shared" si="5"/>
        <v>#DIV/0!</v>
      </c>
      <c r="I82" s="719" t="e">
        <f t="shared" si="4"/>
        <v>#REF!</v>
      </c>
      <c r="J82" s="730"/>
      <c r="K82" s="730"/>
      <c r="L82" s="730"/>
      <c r="M82" s="1702"/>
      <c r="N82" s="730"/>
      <c r="O82" s="730"/>
      <c r="P82" s="730"/>
      <c r="Q82" s="730"/>
      <c r="R82" s="730"/>
    </row>
    <row r="83" spans="1:18" s="731" customFormat="1" hidden="1">
      <c r="A83" s="721"/>
      <c r="B83" s="715"/>
      <c r="C83" s="722"/>
      <c r="D83" s="716">
        <f t="shared" si="6"/>
        <v>0</v>
      </c>
      <c r="E83" s="51"/>
      <c r="F83" s="51"/>
      <c r="G83" s="1260" t="e">
        <f>#REF!-#REF!</f>
        <v>#REF!</v>
      </c>
      <c r="H83" s="718" t="e">
        <f t="shared" si="5"/>
        <v>#DIV/0!</v>
      </c>
      <c r="I83" s="719" t="e">
        <f t="shared" si="4"/>
        <v>#REF!</v>
      </c>
      <c r="J83" s="730"/>
      <c r="K83" s="730"/>
      <c r="L83" s="730"/>
      <c r="M83" s="1702"/>
      <c r="N83" s="730"/>
      <c r="O83" s="730"/>
      <c r="P83" s="730"/>
      <c r="Q83" s="730"/>
      <c r="R83" s="730"/>
    </row>
    <row r="84" spans="1:18" s="731" customFormat="1" hidden="1">
      <c r="A84" s="721"/>
      <c r="B84" s="715"/>
      <c r="C84" s="722"/>
      <c r="D84" s="716">
        <f t="shared" si="6"/>
        <v>0</v>
      </c>
      <c r="E84" s="51"/>
      <c r="F84" s="51"/>
      <c r="G84" s="1260" t="e">
        <f>#REF!-#REF!</f>
        <v>#REF!</v>
      </c>
      <c r="H84" s="718" t="e">
        <f t="shared" si="5"/>
        <v>#DIV/0!</v>
      </c>
      <c r="I84" s="719" t="e">
        <f t="shared" si="4"/>
        <v>#REF!</v>
      </c>
      <c r="J84" s="730"/>
      <c r="K84" s="730"/>
      <c r="L84" s="730"/>
      <c r="M84" s="1702"/>
      <c r="N84" s="730"/>
      <c r="O84" s="730"/>
      <c r="P84" s="730"/>
      <c r="Q84" s="730"/>
      <c r="R84" s="730"/>
    </row>
    <row r="85" spans="1:18" s="731" customFormat="1" hidden="1">
      <c r="A85" s="721"/>
      <c r="B85" s="715"/>
      <c r="C85" s="722"/>
      <c r="D85" s="716">
        <f t="shared" si="6"/>
        <v>0</v>
      </c>
      <c r="E85" s="51"/>
      <c r="F85" s="51"/>
      <c r="G85" s="1260" t="e">
        <f>#REF!-#REF!</f>
        <v>#REF!</v>
      </c>
      <c r="H85" s="718" t="e">
        <f t="shared" si="5"/>
        <v>#DIV/0!</v>
      </c>
      <c r="I85" s="719" t="e">
        <f t="shared" si="4"/>
        <v>#REF!</v>
      </c>
      <c r="J85" s="730"/>
      <c r="K85" s="730"/>
      <c r="L85" s="730"/>
      <c r="M85" s="1702"/>
      <c r="N85" s="730"/>
      <c r="O85" s="730"/>
      <c r="P85" s="730"/>
      <c r="Q85" s="730"/>
      <c r="R85" s="730"/>
    </row>
    <row r="86" spans="1:18" s="731" customFormat="1">
      <c r="A86" s="714" t="s">
        <v>1323</v>
      </c>
      <c r="B86" s="715">
        <f>AVERAGE(TableUK6a!L85:L94)</f>
        <v>3.7707837192479752</v>
      </c>
      <c r="C86" s="722">
        <f>AVERAGE(TableUK6a!B85:B94)</f>
        <v>5.0796496699310678</v>
      </c>
      <c r="D86" s="716">
        <f t="shared" si="6"/>
        <v>-1.3088659506830926</v>
      </c>
      <c r="E86" s="51">
        <f>AVERAGE(TableUK5c!I85:I94)+AVERAGE(TableUK5c!E85:E94)+AVERAGE(TableUK6a!G85:G94)</f>
        <v>0.60678190819477351</v>
      </c>
      <c r="F86" s="51">
        <f>AVERAGE(TableUK5c!L85:L94)</f>
        <v>1.915647858877866</v>
      </c>
      <c r="G86" s="1260">
        <f>AVERAGE(DataUK3!BS89:BS98)</f>
        <v>1.0110895910685962</v>
      </c>
      <c r="H86" s="718">
        <f t="shared" si="5"/>
        <v>-0.34710713955880923</v>
      </c>
      <c r="I86" s="719">
        <f t="shared" si="4"/>
        <v>0.26813778417136119</v>
      </c>
      <c r="M86" s="651">
        <f>AVERAGE(TableUK6a!F85:F94)-D86</f>
        <v>0</v>
      </c>
    </row>
    <row r="87" spans="1:18" s="731" customFormat="1" hidden="1">
      <c r="A87" s="714"/>
      <c r="B87" s="715"/>
      <c r="C87" s="722"/>
      <c r="D87" s="716">
        <f t="shared" si="6"/>
        <v>0</v>
      </c>
      <c r="E87" s="51"/>
      <c r="F87" s="51"/>
      <c r="G87" s="1260" t="e">
        <f>#REF!-#REF!</f>
        <v>#REF!</v>
      </c>
      <c r="H87" s="718" t="e">
        <f t="shared" si="5"/>
        <v>#DIV/0!</v>
      </c>
      <c r="I87" s="719" t="e">
        <f t="shared" si="4"/>
        <v>#REF!</v>
      </c>
      <c r="M87" s="1703"/>
    </row>
    <row r="88" spans="1:18" s="731" customFormat="1" hidden="1">
      <c r="A88" s="714"/>
      <c r="B88" s="715"/>
      <c r="C88" s="722"/>
      <c r="D88" s="716">
        <f t="shared" si="6"/>
        <v>0</v>
      </c>
      <c r="E88" s="51"/>
      <c r="F88" s="51"/>
      <c r="G88" s="1260" t="e">
        <f>#REF!-#REF!</f>
        <v>#REF!</v>
      </c>
      <c r="H88" s="718" t="e">
        <f t="shared" si="5"/>
        <v>#DIV/0!</v>
      </c>
      <c r="I88" s="719" t="e">
        <f t="shared" si="4"/>
        <v>#REF!</v>
      </c>
      <c r="M88" s="1703"/>
    </row>
    <row r="89" spans="1:18" s="731" customFormat="1" hidden="1">
      <c r="A89" s="714"/>
      <c r="B89" s="715"/>
      <c r="C89" s="722"/>
      <c r="D89" s="716">
        <f t="shared" si="6"/>
        <v>0</v>
      </c>
      <c r="E89" s="51"/>
      <c r="F89" s="51"/>
      <c r="G89" s="1260" t="e">
        <f>#REF!-#REF!</f>
        <v>#REF!</v>
      </c>
      <c r="H89" s="718" t="e">
        <f t="shared" si="5"/>
        <v>#DIV/0!</v>
      </c>
      <c r="I89" s="719" t="e">
        <f t="shared" ref="I89:I120" si="7">G89/B89</f>
        <v>#REF!</v>
      </c>
      <c r="M89" s="1703"/>
    </row>
    <row r="90" spans="1:18" s="731" customFormat="1" hidden="1">
      <c r="A90" s="714"/>
      <c r="B90" s="715"/>
      <c r="C90" s="722"/>
      <c r="D90" s="716">
        <f t="shared" si="6"/>
        <v>0</v>
      </c>
      <c r="E90" s="51"/>
      <c r="F90" s="51"/>
      <c r="G90" s="1260" t="e">
        <f>#REF!-#REF!</f>
        <v>#REF!</v>
      </c>
      <c r="H90" s="718" t="e">
        <f t="shared" si="5"/>
        <v>#DIV/0!</v>
      </c>
      <c r="I90" s="719" t="e">
        <f t="shared" si="7"/>
        <v>#REF!</v>
      </c>
      <c r="M90" s="1703"/>
    </row>
    <row r="91" spans="1:18" s="731" customFormat="1" hidden="1">
      <c r="A91" s="714"/>
      <c r="B91" s="715"/>
      <c r="C91" s="722"/>
      <c r="D91" s="716">
        <f t="shared" si="6"/>
        <v>0</v>
      </c>
      <c r="E91" s="51"/>
      <c r="F91" s="51"/>
      <c r="G91" s="1260" t="e">
        <f>#REF!-#REF!</f>
        <v>#REF!</v>
      </c>
      <c r="H91" s="718" t="e">
        <f t="shared" si="5"/>
        <v>#DIV/0!</v>
      </c>
      <c r="I91" s="719" t="e">
        <f t="shared" si="7"/>
        <v>#REF!</v>
      </c>
      <c r="M91" s="1703"/>
    </row>
    <row r="92" spans="1:18" s="731" customFormat="1" hidden="1">
      <c r="A92" s="714"/>
      <c r="B92" s="715"/>
      <c r="C92" s="722"/>
      <c r="D92" s="716">
        <f t="shared" si="6"/>
        <v>0</v>
      </c>
      <c r="E92" s="51"/>
      <c r="F92" s="51"/>
      <c r="G92" s="1260" t="e">
        <f>#REF!-#REF!</f>
        <v>#REF!</v>
      </c>
      <c r="H92" s="718" t="e">
        <f t="shared" si="5"/>
        <v>#DIV/0!</v>
      </c>
      <c r="I92" s="719" t="e">
        <f t="shared" si="7"/>
        <v>#REF!</v>
      </c>
      <c r="M92" s="1703"/>
    </row>
    <row r="93" spans="1:18" s="731" customFormat="1" hidden="1">
      <c r="A93" s="714"/>
      <c r="B93" s="715"/>
      <c r="C93" s="722"/>
      <c r="D93" s="716">
        <f t="shared" si="6"/>
        <v>0</v>
      </c>
      <c r="E93" s="51"/>
      <c r="F93" s="51"/>
      <c r="G93" s="1260" t="e">
        <f>#REF!-#REF!</f>
        <v>#REF!</v>
      </c>
      <c r="H93" s="718" t="e">
        <f t="shared" si="5"/>
        <v>#DIV/0!</v>
      </c>
      <c r="I93" s="719" t="e">
        <f t="shared" si="7"/>
        <v>#REF!</v>
      </c>
      <c r="M93" s="1703"/>
    </row>
    <row r="94" spans="1:18" s="731" customFormat="1" hidden="1">
      <c r="A94" s="714"/>
      <c r="B94" s="715"/>
      <c r="C94" s="722"/>
      <c r="D94" s="716">
        <f t="shared" si="6"/>
        <v>0</v>
      </c>
      <c r="E94" s="51"/>
      <c r="F94" s="51"/>
      <c r="G94" s="1260" t="e">
        <f>#REF!-#REF!</f>
        <v>#REF!</v>
      </c>
      <c r="H94" s="718" t="e">
        <f t="shared" si="5"/>
        <v>#DIV/0!</v>
      </c>
      <c r="I94" s="719" t="e">
        <f t="shared" si="7"/>
        <v>#REF!</v>
      </c>
      <c r="M94" s="1703"/>
    </row>
    <row r="95" spans="1:18" s="731" customFormat="1" hidden="1">
      <c r="A95" s="714"/>
      <c r="B95" s="715"/>
      <c r="C95" s="722"/>
      <c r="D95" s="716">
        <f t="shared" si="6"/>
        <v>0</v>
      </c>
      <c r="E95" s="51"/>
      <c r="F95" s="51"/>
      <c r="G95" s="1260" t="e">
        <f>#REF!-#REF!</f>
        <v>#REF!</v>
      </c>
      <c r="H95" s="718" t="e">
        <f t="shared" si="5"/>
        <v>#DIV/0!</v>
      </c>
      <c r="I95" s="719" t="e">
        <f t="shared" si="7"/>
        <v>#REF!</v>
      </c>
      <c r="M95" s="1703"/>
    </row>
    <row r="96" spans="1:18" s="731" customFormat="1">
      <c r="A96" s="721" t="s">
        <v>1324</v>
      </c>
      <c r="B96" s="715">
        <f>AVERAGE(TableUK6a!L95:L104)</f>
        <v>2.4965261482565744</v>
      </c>
      <c r="C96" s="722">
        <f>AVERAGE(TableUK6a!B95:B104)</f>
        <v>3.9902655345068299</v>
      </c>
      <c r="D96" s="716">
        <f t="shared" si="6"/>
        <v>-1.4937393862502546</v>
      </c>
      <c r="E96" s="51">
        <f>AVERAGE(TableUK5c!I95:I104)+AVERAGE(TableUK5c!E95:E104)+AVERAGE(TableUK6a!G95:G104)</f>
        <v>0.89385399120797171</v>
      </c>
      <c r="F96" s="51">
        <f>AVERAGE(TableUK5c!L95:L104)</f>
        <v>2.3875933774582263</v>
      </c>
      <c r="G96" s="1260">
        <f>AVERAGE(DataUK3!BS99:BS108)</f>
        <v>0.10658305257324951</v>
      </c>
      <c r="H96" s="718">
        <f t="shared" si="5"/>
        <v>-0.59832715443152618</v>
      </c>
      <c r="I96" s="719">
        <f t="shared" si="7"/>
        <v>4.2692544056740916E-2</v>
      </c>
      <c r="M96" s="651">
        <f>AVERAGE(TableUK6a!F95:F104)-D96</f>
        <v>0</v>
      </c>
    </row>
    <row r="97" spans="1:13" s="731" customFormat="1" hidden="1">
      <c r="A97" s="721"/>
      <c r="B97" s="715"/>
      <c r="C97" s="722"/>
      <c r="D97" s="716">
        <f t="shared" si="6"/>
        <v>0</v>
      </c>
      <c r="E97" s="51"/>
      <c r="F97" s="51"/>
      <c r="G97" s="1260" t="e">
        <f>#REF!-#REF!</f>
        <v>#REF!</v>
      </c>
      <c r="H97" s="718" t="e">
        <f t="shared" si="5"/>
        <v>#DIV/0!</v>
      </c>
      <c r="I97" s="719" t="e">
        <f t="shared" si="7"/>
        <v>#REF!</v>
      </c>
      <c r="M97" s="1703"/>
    </row>
    <row r="98" spans="1:13" s="731" customFormat="1" hidden="1">
      <c r="A98" s="721"/>
      <c r="B98" s="715"/>
      <c r="C98" s="722"/>
      <c r="D98" s="716">
        <f t="shared" si="6"/>
        <v>0</v>
      </c>
      <c r="E98" s="51"/>
      <c r="F98" s="51"/>
      <c r="G98" s="1260" t="e">
        <f>#REF!-#REF!</f>
        <v>#REF!</v>
      </c>
      <c r="H98" s="718" t="e">
        <f t="shared" si="5"/>
        <v>#DIV/0!</v>
      </c>
      <c r="I98" s="719" t="e">
        <f t="shared" si="7"/>
        <v>#REF!</v>
      </c>
      <c r="M98" s="1703"/>
    </row>
    <row r="99" spans="1:13" s="731" customFormat="1" hidden="1">
      <c r="A99" s="721"/>
      <c r="B99" s="715"/>
      <c r="C99" s="722"/>
      <c r="D99" s="716">
        <f t="shared" si="6"/>
        <v>0</v>
      </c>
      <c r="E99" s="51"/>
      <c r="F99" s="51"/>
      <c r="G99" s="1260" t="e">
        <f>#REF!-#REF!</f>
        <v>#REF!</v>
      </c>
      <c r="H99" s="718" t="e">
        <f t="shared" si="5"/>
        <v>#DIV/0!</v>
      </c>
      <c r="I99" s="719" t="e">
        <f t="shared" si="7"/>
        <v>#REF!</v>
      </c>
      <c r="M99" s="1703"/>
    </row>
    <row r="100" spans="1:13" s="731" customFormat="1" hidden="1">
      <c r="A100" s="721"/>
      <c r="B100" s="715"/>
      <c r="C100" s="722"/>
      <c r="D100" s="716">
        <f t="shared" si="6"/>
        <v>0</v>
      </c>
      <c r="E100" s="51"/>
      <c r="F100" s="51"/>
      <c r="G100" s="1260" t="e">
        <f>#REF!-#REF!</f>
        <v>#REF!</v>
      </c>
      <c r="H100" s="718" t="e">
        <f t="shared" si="5"/>
        <v>#DIV/0!</v>
      </c>
      <c r="I100" s="719" t="e">
        <f t="shared" si="7"/>
        <v>#REF!</v>
      </c>
      <c r="M100" s="1703"/>
    </row>
    <row r="101" spans="1:13" s="731" customFormat="1" hidden="1">
      <c r="A101" s="721"/>
      <c r="B101" s="715"/>
      <c r="C101" s="722"/>
      <c r="D101" s="716">
        <f t="shared" si="6"/>
        <v>0</v>
      </c>
      <c r="E101" s="51"/>
      <c r="F101" s="51"/>
      <c r="G101" s="1260" t="e">
        <f>#REF!-#REF!</f>
        <v>#REF!</v>
      </c>
      <c r="H101" s="718" t="e">
        <f t="shared" si="5"/>
        <v>#DIV/0!</v>
      </c>
      <c r="I101" s="719" t="e">
        <f t="shared" si="7"/>
        <v>#REF!</v>
      </c>
      <c r="M101" s="1703"/>
    </row>
    <row r="102" spans="1:13" s="731" customFormat="1" hidden="1">
      <c r="A102" s="721"/>
      <c r="B102" s="715"/>
      <c r="C102" s="722"/>
      <c r="D102" s="716">
        <f t="shared" si="6"/>
        <v>0</v>
      </c>
      <c r="E102" s="51"/>
      <c r="F102" s="51"/>
      <c r="G102" s="1260" t="e">
        <f>#REF!-#REF!</f>
        <v>#REF!</v>
      </c>
      <c r="H102" s="718" t="e">
        <f t="shared" si="5"/>
        <v>#DIV/0!</v>
      </c>
      <c r="I102" s="719" t="e">
        <f t="shared" si="7"/>
        <v>#REF!</v>
      </c>
      <c r="M102" s="1703"/>
    </row>
    <row r="103" spans="1:13" s="731" customFormat="1" hidden="1">
      <c r="A103" s="721"/>
      <c r="B103" s="715"/>
      <c r="C103" s="722"/>
      <c r="D103" s="716">
        <f t="shared" si="6"/>
        <v>0</v>
      </c>
      <c r="E103" s="51"/>
      <c r="F103" s="51"/>
      <c r="G103" s="1260" t="e">
        <f>#REF!-#REF!</f>
        <v>#REF!</v>
      </c>
      <c r="H103" s="718" t="e">
        <f t="shared" si="5"/>
        <v>#DIV/0!</v>
      </c>
      <c r="I103" s="719" t="e">
        <f t="shared" si="7"/>
        <v>#REF!</v>
      </c>
      <c r="M103" s="1703"/>
    </row>
    <row r="104" spans="1:13" s="731" customFormat="1" hidden="1">
      <c r="A104" s="721"/>
      <c r="B104" s="715"/>
      <c r="C104" s="722"/>
      <c r="D104" s="716">
        <f t="shared" si="6"/>
        <v>0</v>
      </c>
      <c r="E104" s="51"/>
      <c r="F104" s="51"/>
      <c r="G104" s="1260" t="e">
        <f>#REF!-#REF!</f>
        <v>#REF!</v>
      </c>
      <c r="H104" s="718" t="e">
        <f t="shared" si="5"/>
        <v>#DIV/0!</v>
      </c>
      <c r="I104" s="719" t="e">
        <f t="shared" si="7"/>
        <v>#REF!</v>
      </c>
      <c r="M104" s="1703"/>
    </row>
    <row r="105" spans="1:13" s="731" customFormat="1" hidden="1">
      <c r="A105" s="721"/>
      <c r="B105" s="715"/>
      <c r="C105" s="722"/>
      <c r="D105" s="716">
        <f t="shared" si="6"/>
        <v>0</v>
      </c>
      <c r="E105" s="51"/>
      <c r="F105" s="51"/>
      <c r="G105" s="1260" t="e">
        <f>#REF!-#REF!</f>
        <v>#REF!</v>
      </c>
      <c r="H105" s="718" t="e">
        <f t="shared" si="5"/>
        <v>#DIV/0!</v>
      </c>
      <c r="I105" s="719" t="e">
        <f t="shared" si="7"/>
        <v>#REF!</v>
      </c>
      <c r="M105" s="1703"/>
    </row>
    <row r="106" spans="1:13">
      <c r="A106" s="714" t="s">
        <v>1325</v>
      </c>
      <c r="B106" s="715">
        <f>AVERAGE(TableUK6a!L105:L114)</f>
        <v>2.5865453967452696</v>
      </c>
      <c r="C106" s="722">
        <f>AVERAGE(TableUK6a!B105:B114)</f>
        <v>3.1278886555832299</v>
      </c>
      <c r="D106" s="716">
        <f t="shared" si="6"/>
        <v>-0.54134325883796053</v>
      </c>
      <c r="E106" s="51">
        <f>AVERAGE(TableUK5c!I105:I114)+AVERAGE(TableUK5c!E105:E114)+AVERAGE(TableUK6a!G105:G114)</f>
        <v>0.97615646580732629</v>
      </c>
      <c r="F106" s="51">
        <f>AVERAGE(TableUK5c!L105:L114)</f>
        <v>1.5174997246452868</v>
      </c>
      <c r="G106" s="1260">
        <f>AVERAGE(DataUK3!BS109:BS118)</f>
        <v>-3.2583595999671614E-4</v>
      </c>
      <c r="H106" s="718">
        <f t="shared" ref="H106:H137" si="8">D106/B106</f>
        <v>-0.20929199986945893</v>
      </c>
      <c r="I106" s="719">
        <f t="shared" si="7"/>
        <v>-1.2597341628209024E-4</v>
      </c>
      <c r="M106" s="651">
        <f>AVERAGE(TableUK6a!F105:F114)-D106</f>
        <v>0</v>
      </c>
    </row>
    <row r="107" spans="1:13" hidden="1">
      <c r="A107" s="714"/>
      <c r="B107" s="715"/>
      <c r="C107" s="722"/>
      <c r="D107" s="716">
        <f t="shared" si="6"/>
        <v>0</v>
      </c>
      <c r="E107" s="51"/>
      <c r="F107" s="51"/>
      <c r="G107" s="1260" t="e">
        <f>#REF!-#REF!</f>
        <v>#REF!</v>
      </c>
      <c r="H107" s="718" t="e">
        <f t="shared" si="8"/>
        <v>#DIV/0!</v>
      </c>
      <c r="I107" s="719" t="e">
        <f t="shared" si="7"/>
        <v>#REF!</v>
      </c>
      <c r="M107" s="651"/>
    </row>
    <row r="108" spans="1:13" hidden="1">
      <c r="A108" s="714"/>
      <c r="B108" s="715"/>
      <c r="C108" s="722"/>
      <c r="D108" s="716">
        <f t="shared" si="6"/>
        <v>0</v>
      </c>
      <c r="E108" s="51"/>
      <c r="F108" s="51"/>
      <c r="G108" s="1260" t="e">
        <f>#REF!-#REF!</f>
        <v>#REF!</v>
      </c>
      <c r="H108" s="718" t="e">
        <f t="shared" si="8"/>
        <v>#DIV/0!</v>
      </c>
      <c r="I108" s="719" t="e">
        <f t="shared" si="7"/>
        <v>#REF!</v>
      </c>
      <c r="M108" s="651"/>
    </row>
    <row r="109" spans="1:13" hidden="1">
      <c r="A109" s="714"/>
      <c r="B109" s="715"/>
      <c r="C109" s="722"/>
      <c r="D109" s="716">
        <f t="shared" si="6"/>
        <v>0</v>
      </c>
      <c r="E109" s="51"/>
      <c r="F109" s="51"/>
      <c r="G109" s="1260" t="e">
        <f>#REF!-#REF!</f>
        <v>#REF!</v>
      </c>
      <c r="H109" s="718" t="e">
        <f t="shared" si="8"/>
        <v>#DIV/0!</v>
      </c>
      <c r="I109" s="719" t="e">
        <f t="shared" si="7"/>
        <v>#REF!</v>
      </c>
      <c r="M109" s="651"/>
    </row>
    <row r="110" spans="1:13" hidden="1">
      <c r="A110" s="714"/>
      <c r="B110" s="715"/>
      <c r="C110" s="722"/>
      <c r="D110" s="716">
        <f t="shared" si="6"/>
        <v>0</v>
      </c>
      <c r="E110" s="51"/>
      <c r="F110" s="51"/>
      <c r="G110" s="1260" t="e">
        <f>#REF!-#REF!</f>
        <v>#REF!</v>
      </c>
      <c r="H110" s="718" t="e">
        <f t="shared" si="8"/>
        <v>#DIV/0!</v>
      </c>
      <c r="I110" s="719" t="e">
        <f t="shared" si="7"/>
        <v>#REF!</v>
      </c>
      <c r="M110" s="651"/>
    </row>
    <row r="111" spans="1:13" hidden="1">
      <c r="A111" s="714"/>
      <c r="B111" s="715"/>
      <c r="C111" s="722"/>
      <c r="D111" s="716">
        <f t="shared" si="6"/>
        <v>0</v>
      </c>
      <c r="E111" s="51"/>
      <c r="F111" s="51"/>
      <c r="G111" s="1260" t="e">
        <f>#REF!-#REF!</f>
        <v>#REF!</v>
      </c>
      <c r="H111" s="718" t="e">
        <f t="shared" si="8"/>
        <v>#DIV/0!</v>
      </c>
      <c r="I111" s="719" t="e">
        <f t="shared" si="7"/>
        <v>#REF!</v>
      </c>
      <c r="M111" s="651"/>
    </row>
    <row r="112" spans="1:13" hidden="1">
      <c r="A112" s="714"/>
      <c r="B112" s="715"/>
      <c r="C112" s="722"/>
      <c r="D112" s="716">
        <f t="shared" si="6"/>
        <v>0</v>
      </c>
      <c r="E112" s="51"/>
      <c r="F112" s="51"/>
      <c r="G112" s="1260" t="e">
        <f>#REF!-#REF!</f>
        <v>#REF!</v>
      </c>
      <c r="H112" s="718" t="e">
        <f t="shared" si="8"/>
        <v>#DIV/0!</v>
      </c>
      <c r="I112" s="719" t="e">
        <f t="shared" si="7"/>
        <v>#REF!</v>
      </c>
      <c r="M112" s="651"/>
    </row>
    <row r="113" spans="1:13" hidden="1">
      <c r="A113" s="714"/>
      <c r="B113" s="715"/>
      <c r="C113" s="722"/>
      <c r="D113" s="716">
        <f t="shared" si="6"/>
        <v>0</v>
      </c>
      <c r="E113" s="51"/>
      <c r="F113" s="51"/>
      <c r="G113" s="1260" t="e">
        <f>#REF!-#REF!</f>
        <v>#REF!</v>
      </c>
      <c r="H113" s="718" t="e">
        <f t="shared" si="8"/>
        <v>#DIV/0!</v>
      </c>
      <c r="I113" s="719" t="e">
        <f t="shared" si="7"/>
        <v>#REF!</v>
      </c>
      <c r="M113" s="651"/>
    </row>
    <row r="114" spans="1:13" hidden="1">
      <c r="A114" s="714"/>
      <c r="B114" s="715"/>
      <c r="C114" s="722"/>
      <c r="D114" s="716">
        <f t="shared" si="6"/>
        <v>0</v>
      </c>
      <c r="E114" s="51"/>
      <c r="F114" s="51"/>
      <c r="G114" s="1260" t="e">
        <f>#REF!-#REF!</f>
        <v>#REF!</v>
      </c>
      <c r="H114" s="718" t="e">
        <f t="shared" si="8"/>
        <v>#DIV/0!</v>
      </c>
      <c r="I114" s="719" t="e">
        <f t="shared" si="7"/>
        <v>#REF!</v>
      </c>
      <c r="M114" s="651"/>
    </row>
    <row r="115" spans="1:13" hidden="1">
      <c r="A115" s="714"/>
      <c r="B115" s="715"/>
      <c r="C115" s="722"/>
      <c r="D115" s="716">
        <f t="shared" si="6"/>
        <v>0</v>
      </c>
      <c r="E115" s="51"/>
      <c r="F115" s="51"/>
      <c r="G115" s="1260" t="e">
        <f>#REF!-#REF!</f>
        <v>#REF!</v>
      </c>
      <c r="H115" s="718" t="e">
        <f t="shared" si="8"/>
        <v>#DIV/0!</v>
      </c>
      <c r="I115" s="719" t="e">
        <f t="shared" si="7"/>
        <v>#REF!</v>
      </c>
      <c r="M115" s="651"/>
    </row>
    <row r="116" spans="1:13">
      <c r="A116" s="714" t="s">
        <v>1326</v>
      </c>
      <c r="B116" s="715">
        <f>AVERAGE(TableUK6a!L115:L124)</f>
        <v>3.2828428243447112</v>
      </c>
      <c r="C116" s="722">
        <f>AVERAGE(TableUK6a!B115:B124)</f>
        <v>3.1283384020521074</v>
      </c>
      <c r="D116" s="716">
        <f t="shared" si="6"/>
        <v>0.15450442229260453</v>
      </c>
      <c r="E116" s="51">
        <f>AVERAGE(TableUK5c!I115:I124)+AVERAGE(TableUK5c!E115:E124)+AVERAGE(TableUK6a!G115:G124)</f>
        <v>1.1293757141993397</v>
      </c>
      <c r="F116" s="51">
        <f>AVERAGE(TableUK5c!L115:L124)</f>
        <v>0.97487129190673516</v>
      </c>
      <c r="G116" s="1260">
        <f>AVERAGE(DataUK3!BS119:BS128)</f>
        <v>4.857181058538422E-2</v>
      </c>
      <c r="H116" s="718">
        <f t="shared" si="8"/>
        <v>4.7064215547220171E-2</v>
      </c>
      <c r="I116" s="719">
        <f t="shared" si="7"/>
        <v>1.4795655224547538E-2</v>
      </c>
      <c r="M116" s="651">
        <f>AVERAGE(TableUK6a!F115:F124)-D116</f>
        <v>0</v>
      </c>
    </row>
    <row r="117" spans="1:13" hidden="1">
      <c r="A117" s="714"/>
      <c r="B117" s="715"/>
      <c r="C117" s="722"/>
      <c r="D117" s="716">
        <f t="shared" si="6"/>
        <v>0</v>
      </c>
      <c r="E117" s="51"/>
      <c r="F117" s="51"/>
      <c r="G117" s="1260" t="e">
        <f>#REF!-#REF!</f>
        <v>#REF!</v>
      </c>
      <c r="H117" s="718" t="e">
        <f t="shared" si="8"/>
        <v>#DIV/0!</v>
      </c>
      <c r="I117" s="719" t="e">
        <f t="shared" si="7"/>
        <v>#REF!</v>
      </c>
      <c r="M117" s="651"/>
    </row>
    <row r="118" spans="1:13" hidden="1">
      <c r="A118" s="714"/>
      <c r="B118" s="715"/>
      <c r="C118" s="722"/>
      <c r="D118" s="716">
        <f t="shared" si="6"/>
        <v>0</v>
      </c>
      <c r="E118" s="51"/>
      <c r="F118" s="51"/>
      <c r="G118" s="1260" t="e">
        <f>#REF!-#REF!</f>
        <v>#REF!</v>
      </c>
      <c r="H118" s="718" t="e">
        <f t="shared" si="8"/>
        <v>#DIV/0!</v>
      </c>
      <c r="I118" s="719" t="e">
        <f t="shared" si="7"/>
        <v>#REF!</v>
      </c>
      <c r="M118" s="651"/>
    </row>
    <row r="119" spans="1:13" hidden="1">
      <c r="A119" s="714"/>
      <c r="B119" s="715"/>
      <c r="C119" s="722"/>
      <c r="D119" s="716">
        <f t="shared" si="6"/>
        <v>0</v>
      </c>
      <c r="E119" s="51"/>
      <c r="F119" s="51"/>
      <c r="G119" s="1260" t="e">
        <f>#REF!-#REF!</f>
        <v>#REF!</v>
      </c>
      <c r="H119" s="718" t="e">
        <f t="shared" si="8"/>
        <v>#DIV/0!</v>
      </c>
      <c r="I119" s="719" t="e">
        <f t="shared" si="7"/>
        <v>#REF!</v>
      </c>
      <c r="M119" s="651"/>
    </row>
    <row r="120" spans="1:13" hidden="1">
      <c r="A120" s="714"/>
      <c r="B120" s="715"/>
      <c r="C120" s="722"/>
      <c r="D120" s="716">
        <f t="shared" si="6"/>
        <v>0</v>
      </c>
      <c r="E120" s="51"/>
      <c r="F120" s="51"/>
      <c r="G120" s="1260" t="e">
        <f>#REF!-#REF!</f>
        <v>#REF!</v>
      </c>
      <c r="H120" s="718" t="e">
        <f t="shared" si="8"/>
        <v>#DIV/0!</v>
      </c>
      <c r="I120" s="719" t="e">
        <f t="shared" si="7"/>
        <v>#REF!</v>
      </c>
      <c r="M120" s="651"/>
    </row>
    <row r="121" spans="1:13" hidden="1">
      <c r="A121" s="714"/>
      <c r="B121" s="715"/>
      <c r="C121" s="722"/>
      <c r="D121" s="716">
        <f t="shared" si="6"/>
        <v>0</v>
      </c>
      <c r="E121" s="51"/>
      <c r="F121" s="51"/>
      <c r="G121" s="1260" t="e">
        <f>#REF!-#REF!</f>
        <v>#REF!</v>
      </c>
      <c r="H121" s="718" t="e">
        <f t="shared" si="8"/>
        <v>#DIV/0!</v>
      </c>
      <c r="I121" s="719" t="e">
        <f t="shared" ref="I121:I152" si="9">G121/B121</f>
        <v>#REF!</v>
      </c>
      <c r="M121" s="651"/>
    </row>
    <row r="122" spans="1:13" hidden="1">
      <c r="A122" s="714"/>
      <c r="B122" s="715"/>
      <c r="C122" s="722"/>
      <c r="D122" s="716">
        <f t="shared" si="6"/>
        <v>0</v>
      </c>
      <c r="E122" s="51"/>
      <c r="F122" s="51"/>
      <c r="G122" s="1260" t="e">
        <f>#REF!-#REF!</f>
        <v>#REF!</v>
      </c>
      <c r="H122" s="718" t="e">
        <f t="shared" si="8"/>
        <v>#DIV/0!</v>
      </c>
      <c r="I122" s="719" t="e">
        <f t="shared" si="9"/>
        <v>#REF!</v>
      </c>
      <c r="M122" s="651"/>
    </row>
    <row r="123" spans="1:13" hidden="1">
      <c r="A123" s="714"/>
      <c r="B123" s="715"/>
      <c r="C123" s="722"/>
      <c r="D123" s="716">
        <f t="shared" si="6"/>
        <v>0</v>
      </c>
      <c r="E123" s="51"/>
      <c r="F123" s="51"/>
      <c r="G123" s="1260" t="e">
        <f>#REF!-#REF!</f>
        <v>#REF!</v>
      </c>
      <c r="H123" s="718" t="e">
        <f t="shared" si="8"/>
        <v>#DIV/0!</v>
      </c>
      <c r="I123" s="719" t="e">
        <f t="shared" si="9"/>
        <v>#REF!</v>
      </c>
      <c r="M123" s="651"/>
    </row>
    <row r="124" spans="1:13" hidden="1">
      <c r="A124" s="714"/>
      <c r="B124" s="715"/>
      <c r="C124" s="722"/>
      <c r="D124" s="716">
        <f t="shared" si="6"/>
        <v>0</v>
      </c>
      <c r="E124" s="51"/>
      <c r="F124" s="51"/>
      <c r="G124" s="1260" t="e">
        <f>#REF!-#REF!</f>
        <v>#REF!</v>
      </c>
      <c r="H124" s="718" t="e">
        <f t="shared" si="8"/>
        <v>#DIV/0!</v>
      </c>
      <c r="I124" s="719" t="e">
        <f t="shared" si="9"/>
        <v>#REF!</v>
      </c>
      <c r="M124" s="651"/>
    </row>
    <row r="125" spans="1:13" hidden="1">
      <c r="A125" s="714"/>
      <c r="B125" s="715"/>
      <c r="C125" s="722"/>
      <c r="D125" s="716">
        <f t="shared" si="6"/>
        <v>0</v>
      </c>
      <c r="E125" s="51"/>
      <c r="F125" s="51"/>
      <c r="G125" s="1260" t="e">
        <f>#REF!-#REF!</f>
        <v>#REF!</v>
      </c>
      <c r="H125" s="718" t="e">
        <f t="shared" si="8"/>
        <v>#DIV/0!</v>
      </c>
      <c r="I125" s="719" t="e">
        <f t="shared" si="9"/>
        <v>#REF!</v>
      </c>
      <c r="M125" s="651"/>
    </row>
    <row r="126" spans="1:13">
      <c r="A126" s="714" t="s">
        <v>1327</v>
      </c>
      <c r="B126" s="715">
        <f>AVERAGE(TableUK6a!L125:L134)</f>
        <v>4.0300872499543967</v>
      </c>
      <c r="C126" s="722">
        <f>AVERAGE(TableUK6a!B125:B134)</f>
        <v>3.1440797894822947</v>
      </c>
      <c r="D126" s="716">
        <f t="shared" si="6"/>
        <v>0.88600746047210199</v>
      </c>
      <c r="E126" s="51">
        <f>AVERAGE(TableUK5c!I125:I134)+AVERAGE(TableUK5c!E125:E134)+AVERAGE(TableUK6a!G125:G134)</f>
        <v>1.6496502666065582</v>
      </c>
      <c r="F126" s="51">
        <f>AVERAGE(TableUK5c!L125:L134)</f>
        <v>0.76364280613445623</v>
      </c>
      <c r="G126" s="1260">
        <f>AVERAGE(TableUK6b!K10:K19)</f>
        <v>6.7750512530281096E-2</v>
      </c>
      <c r="H126" s="718">
        <f t="shared" si="8"/>
        <v>0.21984820812058792</v>
      </c>
      <c r="I126" s="719">
        <f t="shared" si="9"/>
        <v>1.6811177606898646E-2</v>
      </c>
      <c r="M126" s="651">
        <f>AVERAGE(TableUK6a!F125:F134)-D126</f>
        <v>0</v>
      </c>
    </row>
    <row r="127" spans="1:13" hidden="1">
      <c r="A127" s="714"/>
      <c r="B127" s="715"/>
      <c r="C127" s="722"/>
      <c r="D127" s="716">
        <f t="shared" si="6"/>
        <v>0</v>
      </c>
      <c r="E127" s="51"/>
      <c r="F127" s="51"/>
      <c r="G127" s="1260" t="e">
        <f>#REF!-#REF!</f>
        <v>#REF!</v>
      </c>
      <c r="H127" s="718" t="e">
        <f t="shared" si="8"/>
        <v>#DIV/0!</v>
      </c>
      <c r="I127" s="719" t="e">
        <f t="shared" si="9"/>
        <v>#REF!</v>
      </c>
      <c r="M127" s="651"/>
    </row>
    <row r="128" spans="1:13" hidden="1">
      <c r="A128" s="714"/>
      <c r="B128" s="715"/>
      <c r="C128" s="722"/>
      <c r="D128" s="716">
        <f t="shared" si="6"/>
        <v>0</v>
      </c>
      <c r="E128" s="51"/>
      <c r="F128" s="51"/>
      <c r="G128" s="1260" t="e">
        <f>#REF!-#REF!</f>
        <v>#REF!</v>
      </c>
      <c r="H128" s="718" t="e">
        <f t="shared" si="8"/>
        <v>#DIV/0!</v>
      </c>
      <c r="I128" s="719" t="e">
        <f t="shared" si="9"/>
        <v>#REF!</v>
      </c>
      <c r="M128" s="651"/>
    </row>
    <row r="129" spans="1:13" hidden="1">
      <c r="A129" s="714"/>
      <c r="B129" s="715"/>
      <c r="C129" s="722"/>
      <c r="D129" s="716">
        <f t="shared" si="6"/>
        <v>0</v>
      </c>
      <c r="E129" s="51"/>
      <c r="F129" s="51"/>
      <c r="G129" s="1260" t="e">
        <f>#REF!-#REF!</f>
        <v>#REF!</v>
      </c>
      <c r="H129" s="718" t="e">
        <f t="shared" si="8"/>
        <v>#DIV/0!</v>
      </c>
      <c r="I129" s="719" t="e">
        <f t="shared" si="9"/>
        <v>#REF!</v>
      </c>
      <c r="M129" s="651"/>
    </row>
    <row r="130" spans="1:13" hidden="1">
      <c r="A130" s="714"/>
      <c r="B130" s="715"/>
      <c r="C130" s="722"/>
      <c r="D130" s="716">
        <f t="shared" si="6"/>
        <v>0</v>
      </c>
      <c r="E130" s="51"/>
      <c r="F130" s="51"/>
      <c r="G130" s="1260" t="e">
        <f>#REF!-#REF!</f>
        <v>#REF!</v>
      </c>
      <c r="H130" s="718" t="e">
        <f t="shared" si="8"/>
        <v>#DIV/0!</v>
      </c>
      <c r="I130" s="719" t="e">
        <f t="shared" si="9"/>
        <v>#REF!</v>
      </c>
      <c r="M130" s="651"/>
    </row>
    <row r="131" spans="1:13" hidden="1">
      <c r="A131" s="714"/>
      <c r="B131" s="715"/>
      <c r="C131" s="722"/>
      <c r="D131" s="716">
        <f t="shared" si="6"/>
        <v>0</v>
      </c>
      <c r="E131" s="51"/>
      <c r="F131" s="51"/>
      <c r="G131" s="1260" t="e">
        <f>#REF!-#REF!</f>
        <v>#REF!</v>
      </c>
      <c r="H131" s="718" t="e">
        <f t="shared" si="8"/>
        <v>#DIV/0!</v>
      </c>
      <c r="I131" s="719" t="e">
        <f t="shared" si="9"/>
        <v>#REF!</v>
      </c>
      <c r="M131" s="651"/>
    </row>
    <row r="132" spans="1:13" hidden="1">
      <c r="A132" s="714"/>
      <c r="B132" s="715"/>
      <c r="C132" s="722"/>
      <c r="D132" s="716">
        <f t="shared" si="6"/>
        <v>0</v>
      </c>
      <c r="E132" s="51"/>
      <c r="F132" s="51"/>
      <c r="G132" s="1260" t="e">
        <f>#REF!-#REF!</f>
        <v>#REF!</v>
      </c>
      <c r="H132" s="718" t="e">
        <f t="shared" si="8"/>
        <v>#DIV/0!</v>
      </c>
      <c r="I132" s="719" t="e">
        <f t="shared" si="9"/>
        <v>#REF!</v>
      </c>
      <c r="M132" s="651"/>
    </row>
    <row r="133" spans="1:13" hidden="1">
      <c r="A133" s="714"/>
      <c r="B133" s="715"/>
      <c r="C133" s="722"/>
      <c r="D133" s="716">
        <f t="shared" si="6"/>
        <v>0</v>
      </c>
      <c r="E133" s="51"/>
      <c r="F133" s="51"/>
      <c r="G133" s="1260" t="e">
        <f>#REF!-#REF!</f>
        <v>#REF!</v>
      </c>
      <c r="H133" s="718" t="e">
        <f t="shared" si="8"/>
        <v>#DIV/0!</v>
      </c>
      <c r="I133" s="719" t="e">
        <f t="shared" si="9"/>
        <v>#REF!</v>
      </c>
      <c r="M133" s="651"/>
    </row>
    <row r="134" spans="1:13" hidden="1">
      <c r="A134" s="714"/>
      <c r="B134" s="715"/>
      <c r="C134" s="722"/>
      <c r="D134" s="716">
        <f t="shared" si="6"/>
        <v>0</v>
      </c>
      <c r="E134" s="51"/>
      <c r="F134" s="51"/>
      <c r="G134" s="1260" t="e">
        <f>#REF!-#REF!</f>
        <v>#REF!</v>
      </c>
      <c r="H134" s="718" t="e">
        <f t="shared" si="8"/>
        <v>#DIV/0!</v>
      </c>
      <c r="I134" s="719" t="e">
        <f t="shared" si="9"/>
        <v>#REF!</v>
      </c>
      <c r="M134" s="651"/>
    </row>
    <row r="135" spans="1:13" hidden="1">
      <c r="A135" s="714"/>
      <c r="B135" s="715"/>
      <c r="C135" s="722"/>
      <c r="D135" s="716">
        <f t="shared" si="6"/>
        <v>0</v>
      </c>
      <c r="E135" s="51"/>
      <c r="F135" s="51"/>
      <c r="G135" s="1260" t="e">
        <f>#REF!-#REF!</f>
        <v>#REF!</v>
      </c>
      <c r="H135" s="718" t="e">
        <f t="shared" si="8"/>
        <v>#DIV/0!</v>
      </c>
      <c r="I135" s="719" t="e">
        <f t="shared" si="9"/>
        <v>#REF!</v>
      </c>
      <c r="M135" s="651"/>
    </row>
    <row r="136" spans="1:13">
      <c r="A136" s="714" t="s">
        <v>1328</v>
      </c>
      <c r="B136" s="715">
        <f>AVERAGE(TableUK6a!L135:L144)</f>
        <v>4.4593995755509805</v>
      </c>
      <c r="C136" s="722">
        <f>AVERAGE(TableUK6a!B135:B144)</f>
        <v>3.5034779791950896</v>
      </c>
      <c r="D136" s="716">
        <f t="shared" si="6"/>
        <v>0.95592159635589147</v>
      </c>
      <c r="E136" s="51">
        <f>AVERAGE(TableUK5c!I135:I144)+AVERAGE(TableUK5c!E135:E144)+AVERAGE(TableUK6a!G135:G144)</f>
        <v>1.6015642271245565</v>
      </c>
      <c r="F136" s="51">
        <f>AVERAGE(TableUK5c!L135:L144)</f>
        <v>0.64564263076866502</v>
      </c>
      <c r="G136" s="1260">
        <f>AVERAGE(TableUK6b!K20:K29)</f>
        <v>7.505825132639482E-2</v>
      </c>
      <c r="H136" s="718">
        <f t="shared" si="8"/>
        <v>0.21436105470270236</v>
      </c>
      <c r="I136" s="719">
        <f t="shared" si="9"/>
        <v>1.6831470258441915E-2</v>
      </c>
      <c r="M136" s="651">
        <f>AVERAGE(TableUK6a!F135:F144)-D136</f>
        <v>0</v>
      </c>
    </row>
    <row r="137" spans="1:13" hidden="1">
      <c r="A137" s="714"/>
      <c r="B137" s="715"/>
      <c r="C137" s="722"/>
      <c r="D137" s="716">
        <f t="shared" si="6"/>
        <v>0</v>
      </c>
      <c r="E137" s="51"/>
      <c r="F137" s="51"/>
      <c r="G137" s="1260" t="e">
        <f>#REF!-#REF!</f>
        <v>#REF!</v>
      </c>
      <c r="H137" s="718" t="e">
        <f t="shared" si="8"/>
        <v>#DIV/0!</v>
      </c>
      <c r="I137" s="719" t="e">
        <f t="shared" si="9"/>
        <v>#REF!</v>
      </c>
      <c r="M137" s="651"/>
    </row>
    <row r="138" spans="1:13" hidden="1">
      <c r="A138" s="714"/>
      <c r="B138" s="715"/>
      <c r="C138" s="722"/>
      <c r="D138" s="716">
        <f t="shared" si="6"/>
        <v>0</v>
      </c>
      <c r="E138" s="51"/>
      <c r="F138" s="51"/>
      <c r="G138" s="1260" t="e">
        <f>#REF!-#REF!</f>
        <v>#REF!</v>
      </c>
      <c r="H138" s="718" t="e">
        <f t="shared" ref="H138:H166" si="10">D138/B138</f>
        <v>#DIV/0!</v>
      </c>
      <c r="I138" s="719" t="e">
        <f t="shared" si="9"/>
        <v>#REF!</v>
      </c>
      <c r="M138" s="651"/>
    </row>
    <row r="139" spans="1:13" hidden="1">
      <c r="A139" s="714"/>
      <c r="B139" s="715"/>
      <c r="C139" s="722"/>
      <c r="D139" s="716">
        <f t="shared" ref="D139:D166" si="11">E139-F139</f>
        <v>0</v>
      </c>
      <c r="E139" s="51"/>
      <c r="F139" s="51"/>
      <c r="G139" s="1260" t="e">
        <f>#REF!-#REF!</f>
        <v>#REF!</v>
      </c>
      <c r="H139" s="718" t="e">
        <f t="shared" si="10"/>
        <v>#DIV/0!</v>
      </c>
      <c r="I139" s="719" t="e">
        <f t="shared" si="9"/>
        <v>#REF!</v>
      </c>
      <c r="M139" s="651"/>
    </row>
    <row r="140" spans="1:13" hidden="1">
      <c r="A140" s="714"/>
      <c r="B140" s="715"/>
      <c r="C140" s="722"/>
      <c r="D140" s="716">
        <f t="shared" si="11"/>
        <v>0</v>
      </c>
      <c r="E140" s="51"/>
      <c r="F140" s="51"/>
      <c r="G140" s="1260" t="e">
        <f>#REF!-#REF!</f>
        <v>#REF!</v>
      </c>
      <c r="H140" s="718" t="e">
        <f t="shared" si="10"/>
        <v>#DIV/0!</v>
      </c>
      <c r="I140" s="719" t="e">
        <f t="shared" si="9"/>
        <v>#REF!</v>
      </c>
      <c r="M140" s="651"/>
    </row>
    <row r="141" spans="1:13" hidden="1">
      <c r="A141" s="714"/>
      <c r="B141" s="715"/>
      <c r="C141" s="722"/>
      <c r="D141" s="716">
        <f t="shared" si="11"/>
        <v>0</v>
      </c>
      <c r="E141" s="51"/>
      <c r="F141" s="51"/>
      <c r="G141" s="1260" t="e">
        <f>#REF!-#REF!</f>
        <v>#REF!</v>
      </c>
      <c r="H141" s="718" t="e">
        <f t="shared" si="10"/>
        <v>#DIV/0!</v>
      </c>
      <c r="I141" s="719" t="e">
        <f t="shared" si="9"/>
        <v>#REF!</v>
      </c>
      <c r="M141" s="651"/>
    </row>
    <row r="142" spans="1:13" hidden="1">
      <c r="A142" s="714"/>
      <c r="B142" s="715"/>
      <c r="C142" s="722"/>
      <c r="D142" s="716">
        <f t="shared" si="11"/>
        <v>0</v>
      </c>
      <c r="E142" s="51"/>
      <c r="F142" s="51"/>
      <c r="G142" s="1260" t="e">
        <f>#REF!-#REF!</f>
        <v>#REF!</v>
      </c>
      <c r="H142" s="718" t="e">
        <f t="shared" si="10"/>
        <v>#DIV/0!</v>
      </c>
      <c r="I142" s="719" t="e">
        <f t="shared" si="9"/>
        <v>#REF!</v>
      </c>
      <c r="M142" s="651"/>
    </row>
    <row r="143" spans="1:13" hidden="1">
      <c r="A143" s="714"/>
      <c r="B143" s="715"/>
      <c r="C143" s="722"/>
      <c r="D143" s="716">
        <f t="shared" si="11"/>
        <v>0</v>
      </c>
      <c r="E143" s="51"/>
      <c r="F143" s="51"/>
      <c r="G143" s="1260" t="e">
        <f>#REF!-#REF!</f>
        <v>#REF!</v>
      </c>
      <c r="H143" s="718" t="e">
        <f t="shared" si="10"/>
        <v>#DIV/0!</v>
      </c>
      <c r="I143" s="719" t="e">
        <f t="shared" si="9"/>
        <v>#REF!</v>
      </c>
      <c r="M143" s="651"/>
    </row>
    <row r="144" spans="1:13" hidden="1">
      <c r="A144" s="714"/>
      <c r="B144" s="715"/>
      <c r="C144" s="722"/>
      <c r="D144" s="716">
        <f t="shared" si="11"/>
        <v>0</v>
      </c>
      <c r="E144" s="51"/>
      <c r="F144" s="51"/>
      <c r="G144" s="1260" t="e">
        <f>#REF!-#REF!</f>
        <v>#REF!</v>
      </c>
      <c r="H144" s="718" t="e">
        <f t="shared" si="10"/>
        <v>#DIV/0!</v>
      </c>
      <c r="I144" s="719" t="e">
        <f t="shared" si="9"/>
        <v>#REF!</v>
      </c>
      <c r="M144" s="651"/>
    </row>
    <row r="145" spans="1:13" hidden="1">
      <c r="A145" s="714"/>
      <c r="B145" s="715"/>
      <c r="C145" s="722"/>
      <c r="D145" s="716">
        <f t="shared" si="11"/>
        <v>0</v>
      </c>
      <c r="E145" s="51"/>
      <c r="F145" s="51"/>
      <c r="G145" s="1260" t="e">
        <f>#REF!-#REF!</f>
        <v>#REF!</v>
      </c>
      <c r="H145" s="718" t="e">
        <f t="shared" si="10"/>
        <v>#DIV/0!</v>
      </c>
      <c r="I145" s="719" t="e">
        <f t="shared" si="9"/>
        <v>#REF!</v>
      </c>
      <c r="M145" s="651"/>
    </row>
    <row r="146" spans="1:13">
      <c r="A146" s="732" t="s">
        <v>1329</v>
      </c>
      <c r="B146" s="733">
        <f>AVERAGE(TableUK6a!L145:L154)</f>
        <v>4.6583446259267109</v>
      </c>
      <c r="C146" s="734">
        <f>AVERAGE(TableUK6a!B145:B154)</f>
        <v>4.2821044865917015</v>
      </c>
      <c r="D146" s="1376">
        <f t="shared" si="11"/>
        <v>0.37624013933500911</v>
      </c>
      <c r="E146" s="1075">
        <f>AVERAGE(TableUK5c!I145:I154)+AVERAGE(TableUK5c!E145:E154)+AVERAGE(TableUK6a!G145:G154)</f>
        <v>0.96914037736673897</v>
      </c>
      <c r="F146" s="1075">
        <f>AVERAGE(TableUK5c!L145:L154)</f>
        <v>0.59290023803172986</v>
      </c>
      <c r="G146" s="2203">
        <f>AVERAGE(TableUK6b!K30:K39)</f>
        <v>-4.2500050476204733E-2</v>
      </c>
      <c r="H146" s="736">
        <f t="shared" si="10"/>
        <v>8.0766918196860868E-2</v>
      </c>
      <c r="I146" s="737">
        <f t="shared" si="9"/>
        <v>-9.1234234237768438E-3</v>
      </c>
      <c r="M146" s="651">
        <f>AVERAGE(TableUK6a!F145:F154)-D146</f>
        <v>0</v>
      </c>
    </row>
    <row r="147" spans="1:13" hidden="1">
      <c r="A147" s="714"/>
      <c r="B147" s="715"/>
      <c r="C147" s="722"/>
      <c r="D147" s="716">
        <f t="shared" si="11"/>
        <v>0</v>
      </c>
      <c r="E147" s="51"/>
      <c r="F147" s="51"/>
      <c r="G147" s="1260" t="e">
        <f>#REF!-#REF!</f>
        <v>#REF!</v>
      </c>
      <c r="H147" s="718" t="e">
        <f t="shared" si="10"/>
        <v>#DIV/0!</v>
      </c>
      <c r="I147" s="719" t="e">
        <f t="shared" si="9"/>
        <v>#REF!</v>
      </c>
      <c r="M147" s="651"/>
    </row>
    <row r="148" spans="1:13" hidden="1">
      <c r="A148" s="714"/>
      <c r="B148" s="715"/>
      <c r="C148" s="722"/>
      <c r="D148" s="716">
        <f t="shared" si="11"/>
        <v>0</v>
      </c>
      <c r="E148" s="51"/>
      <c r="F148" s="51"/>
      <c r="G148" s="1260" t="e">
        <f>#REF!-#REF!</f>
        <v>#REF!</v>
      </c>
      <c r="H148" s="718" t="e">
        <f t="shared" si="10"/>
        <v>#DIV/0!</v>
      </c>
      <c r="I148" s="719" t="e">
        <f t="shared" si="9"/>
        <v>#REF!</v>
      </c>
      <c r="M148" s="651"/>
    </row>
    <row r="149" spans="1:13" hidden="1">
      <c r="A149" s="714"/>
      <c r="B149" s="715"/>
      <c r="C149" s="722"/>
      <c r="D149" s="716">
        <f t="shared" si="11"/>
        <v>0</v>
      </c>
      <c r="E149" s="51"/>
      <c r="F149" s="51"/>
      <c r="G149" s="1260" t="e">
        <f>#REF!-#REF!</f>
        <v>#REF!</v>
      </c>
      <c r="H149" s="718" t="e">
        <f t="shared" si="10"/>
        <v>#DIV/0!</v>
      </c>
      <c r="I149" s="719" t="e">
        <f t="shared" si="9"/>
        <v>#REF!</v>
      </c>
      <c r="M149" s="651"/>
    </row>
    <row r="150" spans="1:13" hidden="1">
      <c r="A150" s="714"/>
      <c r="B150" s="715"/>
      <c r="C150" s="722"/>
      <c r="D150" s="716">
        <f t="shared" si="11"/>
        <v>0</v>
      </c>
      <c r="E150" s="51"/>
      <c r="F150" s="51"/>
      <c r="G150" s="1260" t="e">
        <f>#REF!-#REF!</f>
        <v>#REF!</v>
      </c>
      <c r="H150" s="718" t="e">
        <f t="shared" si="10"/>
        <v>#DIV/0!</v>
      </c>
      <c r="I150" s="719" t="e">
        <f t="shared" si="9"/>
        <v>#REF!</v>
      </c>
      <c r="M150" s="651"/>
    </row>
    <row r="151" spans="1:13" hidden="1">
      <c r="A151" s="714"/>
      <c r="B151" s="715"/>
      <c r="C151" s="722"/>
      <c r="D151" s="716">
        <f t="shared" si="11"/>
        <v>0</v>
      </c>
      <c r="E151" s="51"/>
      <c r="F151" s="51"/>
      <c r="G151" s="1260" t="e">
        <f>#REF!-#REF!</f>
        <v>#REF!</v>
      </c>
      <c r="H151" s="718" t="e">
        <f t="shared" si="10"/>
        <v>#DIV/0!</v>
      </c>
      <c r="I151" s="719" t="e">
        <f t="shared" si="9"/>
        <v>#REF!</v>
      </c>
      <c r="M151" s="651"/>
    </row>
    <row r="152" spans="1:13" hidden="1">
      <c r="A152" s="714"/>
      <c r="B152" s="715"/>
      <c r="C152" s="722"/>
      <c r="D152" s="716">
        <f t="shared" si="11"/>
        <v>0</v>
      </c>
      <c r="E152" s="51"/>
      <c r="F152" s="51"/>
      <c r="G152" s="1260" t="e">
        <f>#REF!-#REF!</f>
        <v>#REF!</v>
      </c>
      <c r="H152" s="718" t="e">
        <f t="shared" si="10"/>
        <v>#DIV/0!</v>
      </c>
      <c r="I152" s="719" t="e">
        <f t="shared" si="9"/>
        <v>#REF!</v>
      </c>
      <c r="M152" s="651"/>
    </row>
    <row r="153" spans="1:13" hidden="1">
      <c r="A153" s="714"/>
      <c r="B153" s="715"/>
      <c r="C153" s="722"/>
      <c r="D153" s="716">
        <f t="shared" si="11"/>
        <v>0</v>
      </c>
      <c r="E153" s="51"/>
      <c r="F153" s="51"/>
      <c r="G153" s="1260" t="e">
        <f>#REF!-#REF!</f>
        <v>#REF!</v>
      </c>
      <c r="H153" s="718" t="e">
        <f t="shared" si="10"/>
        <v>#DIV/0!</v>
      </c>
      <c r="I153" s="719" t="e">
        <f t="shared" ref="I153:I166" si="12">G153/B153</f>
        <v>#REF!</v>
      </c>
      <c r="M153" s="651"/>
    </row>
    <row r="154" spans="1:13" hidden="1">
      <c r="A154" s="714"/>
      <c r="B154" s="715"/>
      <c r="C154" s="722"/>
      <c r="D154" s="716">
        <f t="shared" si="11"/>
        <v>0</v>
      </c>
      <c r="E154" s="51"/>
      <c r="F154" s="51"/>
      <c r="G154" s="1260" t="e">
        <f>#REF!-#REF!</f>
        <v>#REF!</v>
      </c>
      <c r="H154" s="718" t="e">
        <f t="shared" si="10"/>
        <v>#DIV/0!</v>
      </c>
      <c r="I154" s="719" t="e">
        <f t="shared" si="12"/>
        <v>#REF!</v>
      </c>
      <c r="M154" s="651"/>
    </row>
    <row r="155" spans="1:13" hidden="1">
      <c r="A155" s="714"/>
      <c r="B155" s="715"/>
      <c r="C155" s="722"/>
      <c r="D155" s="716">
        <f t="shared" si="11"/>
        <v>0</v>
      </c>
      <c r="E155" s="51"/>
      <c r="F155" s="51"/>
      <c r="G155" s="1260" t="e">
        <f>#REF!-#REF!</f>
        <v>#REF!</v>
      </c>
      <c r="H155" s="718" t="e">
        <f t="shared" si="10"/>
        <v>#DIV/0!</v>
      </c>
      <c r="I155" s="719" t="e">
        <f t="shared" si="12"/>
        <v>#REF!</v>
      </c>
      <c r="M155" s="651"/>
    </row>
    <row r="156" spans="1:13">
      <c r="A156" s="714" t="s">
        <v>1330</v>
      </c>
      <c r="B156" s="715">
        <f>AVERAGE(TableUK6a!L155:L164)</f>
        <v>5.2465229748117768</v>
      </c>
      <c r="C156" s="722">
        <f>AVERAGE(TableUK6a!B155:B164)</f>
        <v>4.9558413369073469</v>
      </c>
      <c r="D156" s="716">
        <f t="shared" si="11"/>
        <v>0.29068163790442991</v>
      </c>
      <c r="E156" s="51">
        <f>AVERAGE(TableUK5c!I155:I164)+AVERAGE(TableUK5c!E155:E164)+AVERAGE(TableUK6a!G155:G164)</f>
        <v>0.88224289557564739</v>
      </c>
      <c r="F156" s="51">
        <f>AVERAGE(TableUK5c!L155:L164)</f>
        <v>0.59156125767121748</v>
      </c>
      <c r="G156" s="1260">
        <f>AVERAGE(TableUK6b!K40:K49)</f>
        <v>-0.17941603301244316</v>
      </c>
      <c r="H156" s="718">
        <f t="shared" si="10"/>
        <v>5.5404624986867296E-2</v>
      </c>
      <c r="I156" s="719">
        <f t="shared" si="12"/>
        <v>-3.4197130913903959E-2</v>
      </c>
      <c r="M156" s="651">
        <f>AVERAGE(TableUK6a!F155:F164)-D156</f>
        <v>0</v>
      </c>
    </row>
    <row r="157" spans="1:13" hidden="1">
      <c r="A157" s="714"/>
      <c r="B157" s="715"/>
      <c r="C157" s="722"/>
      <c r="D157" s="716">
        <f t="shared" si="11"/>
        <v>0</v>
      </c>
      <c r="E157" s="51"/>
      <c r="F157" s="51"/>
      <c r="G157" s="1260" t="e">
        <f>#REF!-#REF!</f>
        <v>#REF!</v>
      </c>
      <c r="H157" s="718" t="e">
        <f t="shared" si="10"/>
        <v>#DIV/0!</v>
      </c>
      <c r="I157" s="719" t="e">
        <f t="shared" si="12"/>
        <v>#REF!</v>
      </c>
      <c r="M157" s="651"/>
    </row>
    <row r="158" spans="1:13" hidden="1">
      <c r="A158" s="714"/>
      <c r="B158" s="715"/>
      <c r="C158" s="722"/>
      <c r="D158" s="716">
        <f t="shared" si="11"/>
        <v>0</v>
      </c>
      <c r="E158" s="51"/>
      <c r="F158" s="51"/>
      <c r="G158" s="1260" t="e">
        <f>#REF!-#REF!</f>
        <v>#REF!</v>
      </c>
      <c r="H158" s="718" t="e">
        <f t="shared" si="10"/>
        <v>#DIV/0!</v>
      </c>
      <c r="I158" s="719" t="e">
        <f t="shared" si="12"/>
        <v>#REF!</v>
      </c>
      <c r="M158" s="651"/>
    </row>
    <row r="159" spans="1:13" hidden="1">
      <c r="A159" s="714"/>
      <c r="B159" s="715"/>
      <c r="C159" s="722"/>
      <c r="D159" s="716">
        <f t="shared" si="11"/>
        <v>0</v>
      </c>
      <c r="E159" s="51"/>
      <c r="F159" s="51"/>
      <c r="G159" s="1260" t="e">
        <f>#REF!-#REF!</f>
        <v>#REF!</v>
      </c>
      <c r="H159" s="718" t="e">
        <f t="shared" si="10"/>
        <v>#DIV/0!</v>
      </c>
      <c r="I159" s="719" t="e">
        <f t="shared" si="12"/>
        <v>#REF!</v>
      </c>
      <c r="M159" s="651"/>
    </row>
    <row r="160" spans="1:13" hidden="1">
      <c r="A160" s="714"/>
      <c r="B160" s="715"/>
      <c r="C160" s="722"/>
      <c r="D160" s="716">
        <f t="shared" si="11"/>
        <v>0</v>
      </c>
      <c r="E160" s="51"/>
      <c r="F160" s="51"/>
      <c r="G160" s="1260" t="e">
        <f>#REF!-#REF!</f>
        <v>#REF!</v>
      </c>
      <c r="H160" s="718" t="e">
        <f t="shared" si="10"/>
        <v>#DIV/0!</v>
      </c>
      <c r="I160" s="719" t="e">
        <f t="shared" si="12"/>
        <v>#REF!</v>
      </c>
      <c r="M160" s="651"/>
    </row>
    <row r="161" spans="1:13" hidden="1">
      <c r="A161" s="714"/>
      <c r="B161" s="715"/>
      <c r="C161" s="722"/>
      <c r="D161" s="716">
        <f t="shared" si="11"/>
        <v>0</v>
      </c>
      <c r="E161" s="51"/>
      <c r="F161" s="51"/>
      <c r="G161" s="1260" t="e">
        <f>#REF!-#REF!</f>
        <v>#REF!</v>
      </c>
      <c r="H161" s="718" t="e">
        <f t="shared" si="10"/>
        <v>#DIV/0!</v>
      </c>
      <c r="I161" s="719" t="e">
        <f t="shared" si="12"/>
        <v>#REF!</v>
      </c>
      <c r="M161" s="651"/>
    </row>
    <row r="162" spans="1:13" hidden="1">
      <c r="A162" s="714"/>
      <c r="B162" s="715"/>
      <c r="C162" s="722"/>
      <c r="D162" s="716">
        <f t="shared" si="11"/>
        <v>0</v>
      </c>
      <c r="E162" s="51"/>
      <c r="F162" s="51"/>
      <c r="G162" s="1260" t="e">
        <f>#REF!-#REF!</f>
        <v>#REF!</v>
      </c>
      <c r="H162" s="718" t="e">
        <f t="shared" si="10"/>
        <v>#DIV/0!</v>
      </c>
      <c r="I162" s="719" t="e">
        <f t="shared" si="12"/>
        <v>#REF!</v>
      </c>
      <c r="M162" s="651"/>
    </row>
    <row r="163" spans="1:13" hidden="1">
      <c r="A163" s="714"/>
      <c r="B163" s="715"/>
      <c r="C163" s="722"/>
      <c r="D163" s="716">
        <f t="shared" si="11"/>
        <v>0</v>
      </c>
      <c r="E163" s="51"/>
      <c r="F163" s="51"/>
      <c r="G163" s="1260" t="e">
        <f>#REF!-#REF!</f>
        <v>#REF!</v>
      </c>
      <c r="H163" s="718" t="e">
        <f t="shared" si="10"/>
        <v>#DIV/0!</v>
      </c>
      <c r="I163" s="719" t="e">
        <f t="shared" si="12"/>
        <v>#REF!</v>
      </c>
      <c r="M163" s="651"/>
    </row>
    <row r="164" spans="1:13" hidden="1">
      <c r="A164" s="714"/>
      <c r="B164" s="715"/>
      <c r="C164" s="722"/>
      <c r="D164" s="716">
        <f t="shared" si="11"/>
        <v>0</v>
      </c>
      <c r="E164" s="51"/>
      <c r="F164" s="51"/>
      <c r="G164" s="1260" t="e">
        <f>#REF!-#REF!</f>
        <v>#REF!</v>
      </c>
      <c r="H164" s="718" t="e">
        <f t="shared" si="10"/>
        <v>#DIV/0!</v>
      </c>
      <c r="I164" s="719" t="e">
        <f t="shared" si="12"/>
        <v>#REF!</v>
      </c>
      <c r="M164" s="651"/>
    </row>
    <row r="165" spans="1:13" hidden="1">
      <c r="A165" s="714"/>
      <c r="B165" s="715"/>
      <c r="C165" s="722"/>
      <c r="D165" s="716">
        <f t="shared" si="11"/>
        <v>0</v>
      </c>
      <c r="E165" s="51"/>
      <c r="F165" s="51"/>
      <c r="G165" s="1260" t="e">
        <f>#REF!-#REF!</f>
        <v>#REF!</v>
      </c>
      <c r="H165" s="718" t="e">
        <f t="shared" si="10"/>
        <v>#DIV/0!</v>
      </c>
      <c r="I165" s="719" t="e">
        <f t="shared" si="12"/>
        <v>#REF!</v>
      </c>
      <c r="M165" s="651"/>
    </row>
    <row r="166" spans="1:13" ht="13" thickBot="1">
      <c r="A166" s="738">
        <v>2010</v>
      </c>
      <c r="B166" s="739">
        <f>AVERAGE(TableUK6a!L165:L165)</f>
        <v>5.2740688104854074</v>
      </c>
      <c r="C166" s="740">
        <f>AVERAGE(TableUK6a!B165:B165)</f>
        <v>5.2187601920292614</v>
      </c>
      <c r="D166" s="1377">
        <f t="shared" si="11"/>
        <v>5.5308618456145653E-2</v>
      </c>
      <c r="E166" s="1094">
        <f>AVERAGE(TableUK5c!I165:I165)+AVERAGE(TableUK5c!E165:E165)+AVERAGE(TableUK6a!G165:G165)</f>
        <v>0.97314486016916857</v>
      </c>
      <c r="F166" s="1094">
        <f>AVERAGE(TableUK5c!L165:L165)</f>
        <v>0.91783624171302292</v>
      </c>
      <c r="G166" s="1379">
        <f>AVERAGE(TableUK6b!K50:K50)</f>
        <v>-0.203912977215575</v>
      </c>
      <c r="H166" s="741">
        <f t="shared" si="10"/>
        <v>1.0486897392424283E-2</v>
      </c>
      <c r="I166" s="742">
        <f t="shared" si="12"/>
        <v>-3.8663313760748511E-2</v>
      </c>
      <c r="M166" s="651">
        <f>AVERAGE(TableUK6a!F165:F165)-D166</f>
        <v>0</v>
      </c>
    </row>
    <row r="167" spans="1:13" ht="13" thickTop="1">
      <c r="G167" s="720"/>
    </row>
    <row r="168" spans="1:13" ht="12" customHeight="1">
      <c r="A168" s="2490" t="s">
        <v>1417</v>
      </c>
      <c r="B168" s="2491"/>
      <c r="C168" s="2491"/>
      <c r="D168" s="2491"/>
      <c r="E168" s="2491"/>
      <c r="F168" s="2491"/>
      <c r="G168" s="2491"/>
      <c r="H168" s="2491"/>
      <c r="I168" s="2492"/>
      <c r="J168" s="743"/>
      <c r="K168" s="744"/>
      <c r="L168" s="744"/>
    </row>
    <row r="169" spans="1:13">
      <c r="A169" s="2493"/>
      <c r="B169" s="2494"/>
      <c r="C169" s="2494"/>
      <c r="D169" s="2494"/>
      <c r="E169" s="2494"/>
      <c r="F169" s="2494"/>
      <c r="G169" s="2494"/>
      <c r="H169" s="2494"/>
      <c r="I169" s="2495"/>
      <c r="J169" s="743"/>
      <c r="K169" s="744"/>
      <c r="L169" s="744"/>
    </row>
    <row r="170" spans="1:13">
      <c r="G170" s="720"/>
    </row>
    <row r="171" spans="1:13">
      <c r="G171" s="720"/>
    </row>
    <row r="172" spans="1:13">
      <c r="G172" s="720"/>
    </row>
    <row r="173" spans="1:13">
      <c r="G173" s="720"/>
    </row>
    <row r="174" spans="1:13">
      <c r="G174" s="720"/>
    </row>
  </sheetData>
  <mergeCells count="4">
    <mergeCell ref="A4:I4"/>
    <mergeCell ref="B7:G7"/>
    <mergeCell ref="A168:I169"/>
    <mergeCell ref="B1:C1"/>
  </mergeCells>
  <phoneticPr fontId="24" type="noConversion"/>
  <hyperlinks>
    <hyperlink ref="B1" location="Index!A1" display="Back to Index"/>
  </hyperlinks>
  <printOptions horizontalCentered="1" verticalCentered="1"/>
  <pageMargins left="0.79000000000000015" right="0.79000000000000015" top="0.98" bottom="0.98" header="0.51" footer="0.51"/>
  <pageSetup paperSize="9" scale="61" orientation="portrait" horizontalDpi="4294967292" verticalDpi="4294967292"/>
  <ignoredErrors>
    <ignoredError sqref="E26:E165" formulaRange="1"/>
  </ignoredError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enableFormatConditionsCalculation="0">
    <tabColor theme="7" tint="0.59999389629810485"/>
    <pageSetUpPr fitToPage="1"/>
  </sheetPr>
  <dimension ref="A1:O49"/>
  <sheetViews>
    <sheetView workbookViewId="0">
      <pane xSplit="1" ySplit="8" topLeftCell="B9" activePane="bottomRight" state="frozen"/>
      <selection activeCell="A3" sqref="A3:M3"/>
      <selection pane="topRight" activeCell="A3" sqref="A3:M3"/>
      <selection pane="bottomLeft" activeCell="A3" sqref="A3:M3"/>
      <selection pane="bottomRight" activeCell="A4" sqref="A4:L4"/>
    </sheetView>
  </sheetViews>
  <sheetFormatPr baseColWidth="10" defaultColWidth="10.33203125" defaultRowHeight="12" x14ac:dyDescent="0"/>
  <cols>
    <col min="1" max="11" width="7.83203125" style="76" customWidth="1"/>
    <col min="12" max="12" width="8.6640625" style="76" customWidth="1"/>
    <col min="13" max="13" width="9.6640625" style="76" customWidth="1"/>
    <col min="14" max="14" width="10.33203125" style="76"/>
    <col min="15" max="15" width="13.5" style="76" customWidth="1"/>
    <col min="16" max="16384" width="10.33203125" style="76"/>
  </cols>
  <sheetData>
    <row r="1" spans="1:13">
      <c r="B1" s="2252" t="s">
        <v>1416</v>
      </c>
      <c r="C1" s="2252"/>
      <c r="D1" s="356"/>
      <c r="E1" s="356"/>
      <c r="F1" s="356"/>
      <c r="G1" s="75"/>
      <c r="H1" s="356"/>
      <c r="I1" s="356"/>
      <c r="J1" s="356"/>
      <c r="K1" s="356"/>
    </row>
    <row r="3" spans="1:13" ht="13" thickBot="1"/>
    <row r="4" spans="1:13" ht="16" thickTop="1">
      <c r="A4" s="2355" t="s">
        <v>1144</v>
      </c>
      <c r="B4" s="2356"/>
      <c r="C4" s="2356"/>
      <c r="D4" s="2356"/>
      <c r="E4" s="2356"/>
      <c r="F4" s="2356"/>
      <c r="G4" s="2356"/>
      <c r="H4" s="2356"/>
      <c r="I4" s="2356"/>
      <c r="J4" s="2356"/>
      <c r="K4" s="2356"/>
      <c r="L4" s="2357"/>
      <c r="M4" s="83"/>
    </row>
    <row r="5" spans="1:13">
      <c r="A5" s="120"/>
      <c r="B5" s="83"/>
      <c r="C5" s="83"/>
      <c r="D5" s="83"/>
      <c r="E5" s="83"/>
      <c r="F5" s="83"/>
      <c r="G5" s="83"/>
      <c r="H5" s="83"/>
      <c r="I5" s="83"/>
      <c r="J5" s="83"/>
      <c r="K5" s="83"/>
      <c r="L5" s="121"/>
      <c r="M5" s="83"/>
    </row>
    <row r="6" spans="1:13">
      <c r="A6" s="120"/>
      <c r="B6" s="577" t="s">
        <v>952</v>
      </c>
      <c r="C6" s="577" t="s">
        <v>953</v>
      </c>
      <c r="D6" s="577" t="s">
        <v>954</v>
      </c>
      <c r="E6" s="577" t="s">
        <v>955</v>
      </c>
      <c r="F6" s="577" t="s">
        <v>956</v>
      </c>
      <c r="G6" s="577" t="s">
        <v>957</v>
      </c>
      <c r="H6" s="577" t="s">
        <v>958</v>
      </c>
      <c r="I6" s="577" t="s">
        <v>959</v>
      </c>
      <c r="J6" s="577" t="s">
        <v>960</v>
      </c>
      <c r="K6" s="577" t="s">
        <v>961</v>
      </c>
      <c r="L6" s="578" t="s">
        <v>962</v>
      </c>
      <c r="M6" s="83"/>
    </row>
    <row r="7" spans="1:13" ht="39.75" customHeight="1">
      <c r="A7" s="2496"/>
      <c r="B7" s="1525" t="s">
        <v>270</v>
      </c>
      <c r="C7" s="1526" t="s">
        <v>974</v>
      </c>
      <c r="D7" s="2309" t="s">
        <v>766</v>
      </c>
      <c r="E7" s="2309" t="s">
        <v>791</v>
      </c>
      <c r="F7" s="2309" t="s">
        <v>271</v>
      </c>
      <c r="G7" s="2505" t="s">
        <v>272</v>
      </c>
      <c r="H7" s="1526" t="s">
        <v>973</v>
      </c>
      <c r="I7" s="2309" t="s">
        <v>268</v>
      </c>
      <c r="J7" s="2505" t="s">
        <v>269</v>
      </c>
      <c r="K7" s="1525" t="s">
        <v>969</v>
      </c>
      <c r="L7" s="2503" t="s">
        <v>395</v>
      </c>
      <c r="M7" s="83"/>
    </row>
    <row r="8" spans="1:13" ht="30" customHeight="1" thickBot="1">
      <c r="A8" s="2496"/>
      <c r="B8" s="1497" t="s">
        <v>767</v>
      </c>
      <c r="C8" s="1498" t="s">
        <v>768</v>
      </c>
      <c r="D8" s="2310"/>
      <c r="E8" s="2310"/>
      <c r="F8" s="2310"/>
      <c r="G8" s="2506"/>
      <c r="H8" s="1498" t="s">
        <v>769</v>
      </c>
      <c r="I8" s="2310"/>
      <c r="J8" s="2506"/>
      <c r="K8" s="1497" t="s">
        <v>770</v>
      </c>
      <c r="L8" s="2504"/>
      <c r="M8" s="83"/>
    </row>
    <row r="9" spans="1:13" ht="17" customHeight="1" thickBot="1">
      <c r="A9" s="2497" t="s">
        <v>389</v>
      </c>
      <c r="B9" s="2498"/>
      <c r="C9" s="2498"/>
      <c r="D9" s="2498"/>
      <c r="E9" s="2498"/>
      <c r="F9" s="2498"/>
      <c r="G9" s="2498"/>
      <c r="H9" s="2498"/>
      <c r="I9" s="2498"/>
      <c r="J9" s="2498"/>
      <c r="K9" s="2498"/>
      <c r="L9" s="2499"/>
      <c r="M9" s="83"/>
    </row>
    <row r="10" spans="1:13" ht="12" customHeight="1">
      <c r="A10" s="601" t="s">
        <v>764</v>
      </c>
      <c r="B10" s="1478">
        <v>0.04</v>
      </c>
      <c r="C10" s="1434">
        <f>D10+E10+F10</f>
        <v>0.23600000000000002</v>
      </c>
      <c r="D10" s="1435">
        <f>18*0.008</f>
        <v>0.14400000000000002</v>
      </c>
      <c r="E10" s="1435">
        <v>0.03</v>
      </c>
      <c r="F10" s="1435">
        <f>0.003+0.036+0.006+0.017</f>
        <v>6.2E-2</v>
      </c>
      <c r="G10" s="1436">
        <v>0</v>
      </c>
      <c r="H10" s="605"/>
      <c r="I10" s="605"/>
      <c r="J10" s="605"/>
      <c r="K10" s="1496"/>
      <c r="L10" s="1499">
        <v>1.4E-2</v>
      </c>
      <c r="M10" s="83"/>
    </row>
    <row r="11" spans="1:13" ht="12" customHeight="1">
      <c r="A11" s="2062" t="s">
        <v>765</v>
      </c>
      <c r="B11" s="1479">
        <v>4.3499999999999997E-2</v>
      </c>
      <c r="C11" s="1441">
        <f>D11+E11+F11</f>
        <v>0.30599999999999999</v>
      </c>
      <c r="D11" s="1442">
        <f>18*0.01</f>
        <v>0.18</v>
      </c>
      <c r="E11" s="1442">
        <f>18*0.003</f>
        <v>5.3999999999999999E-2</v>
      </c>
      <c r="F11" s="1442">
        <f>0.014+0.033+0.025</f>
        <v>7.2000000000000008E-2</v>
      </c>
      <c r="G11" s="1443">
        <v>0</v>
      </c>
      <c r="H11" s="2063"/>
      <c r="I11" s="2063"/>
      <c r="J11" s="2063"/>
      <c r="K11" s="2064"/>
      <c r="L11" s="1507">
        <v>1.4E-2</v>
      </c>
      <c r="M11" s="83"/>
    </row>
    <row r="12" spans="1:13">
      <c r="A12" s="201">
        <v>1700</v>
      </c>
      <c r="B12" s="1501">
        <f>B11*8565/5300</f>
        <v>7.0297641509433961E-2</v>
      </c>
      <c r="C12" s="1488">
        <f>D12+E12+F12</f>
        <v>0.49450754716981138</v>
      </c>
      <c r="D12" s="2065">
        <f>D11*TableUK2!$R10/5300</f>
        <v>0.29088679245283022</v>
      </c>
      <c r="E12" s="2065">
        <f>E11*TableUK2!$R10/5300</f>
        <v>8.7266037735849053E-2</v>
      </c>
      <c r="F12" s="2065">
        <f>F11*TableUK2!$R10/5300</f>
        <v>0.11635471698113209</v>
      </c>
      <c r="G12" s="2066">
        <f>G11*TableUK2!$R10/5300</f>
        <v>0</v>
      </c>
      <c r="H12" s="2067">
        <f t="shared" ref="H12:H17" si="0">I12-J12</f>
        <v>1.3689292452830189E-2</v>
      </c>
      <c r="I12" s="1460">
        <f>0.3*$B12</f>
        <v>2.1089292452830189E-2</v>
      </c>
      <c r="J12" s="1445">
        <f>AVERAGE(DataUK4!O11:O12)/1000</f>
        <v>7.3999999999999995E-3</v>
      </c>
      <c r="K12" s="2068">
        <f t="shared" ref="K12:K20" si="1">C12-H12</f>
        <v>0.4808182547169812</v>
      </c>
      <c r="L12" s="1474">
        <f>L11*TableUK2!$R10/5300</f>
        <v>2.2624528301886791E-2</v>
      </c>
      <c r="M12" s="83"/>
    </row>
    <row r="13" spans="1:13">
      <c r="A13" s="380">
        <v>1750</v>
      </c>
      <c r="B13" s="1502">
        <f>TableUK2!B15</f>
        <v>0.10349288195192695</v>
      </c>
      <c r="C13" s="1446">
        <f>0.5*TableUK2!R15/8500-L13</f>
        <v>0.68555401419046158</v>
      </c>
      <c r="D13" s="1447">
        <v>0.37</v>
      </c>
      <c r="E13" s="1447">
        <v>0.11</v>
      </c>
      <c r="F13" s="1447">
        <f>C13-D13-E13</f>
        <v>0.2055540141904616</v>
      </c>
      <c r="G13" s="2069">
        <v>0</v>
      </c>
      <c r="H13" s="1463">
        <f t="shared" si="0"/>
        <v>-3.8178247066906291E-2</v>
      </c>
      <c r="I13" s="1447">
        <f>0.4*$B13</f>
        <v>4.1397152780770781E-2</v>
      </c>
      <c r="J13" s="1448">
        <f>AVERAGE(DataUK4!O61:O62)/1000</f>
        <v>7.9575399847677072E-2</v>
      </c>
      <c r="K13" s="1481">
        <f t="shared" si="1"/>
        <v>0.72373226125736789</v>
      </c>
      <c r="L13" s="1475">
        <v>0.05</v>
      </c>
      <c r="M13" s="83"/>
    </row>
    <row r="14" spans="1:13">
      <c r="A14" s="201">
        <v>1810</v>
      </c>
      <c r="B14" s="1501">
        <f>TableUK2!B21</f>
        <v>0.36624574080032329</v>
      </c>
      <c r="C14" s="1488">
        <f>2.6-L14</f>
        <v>2.4500000000000002</v>
      </c>
      <c r="D14" s="1460">
        <v>1.1000000000000001</v>
      </c>
      <c r="E14" s="1460">
        <v>0.4</v>
      </c>
      <c r="F14" s="1460">
        <f>C14-D14-E14-G14</f>
        <v>0.95000000000000007</v>
      </c>
      <c r="G14" s="1794">
        <v>0</v>
      </c>
      <c r="H14" s="1459">
        <f t="shared" si="0"/>
        <v>-0.19197348934287903</v>
      </c>
      <c r="I14" s="1460">
        <f>0.5*B14</f>
        <v>0.18312287040016165</v>
      </c>
      <c r="J14" s="1445">
        <f>AVERAGE(DataUK4!O121:O122)/1000</f>
        <v>0.37509635974304067</v>
      </c>
      <c r="K14" s="1480">
        <f t="shared" si="1"/>
        <v>2.6419734893428792</v>
      </c>
      <c r="L14" s="1474">
        <v>0.15</v>
      </c>
      <c r="M14" s="83"/>
    </row>
    <row r="15" spans="1:13">
      <c r="A15" s="200">
        <v>1855</v>
      </c>
      <c r="B15" s="1500">
        <f>TableUK1!B$10</f>
        <v>0.66251561558684191</v>
      </c>
      <c r="C15" s="1444">
        <f>5-L15</f>
        <v>4.5999999999999996</v>
      </c>
      <c r="D15" s="1442">
        <f>0.35*C15</f>
        <v>1.6099999999999999</v>
      </c>
      <c r="E15" s="1442">
        <f>0.15*C15</f>
        <v>0.69</v>
      </c>
      <c r="F15" s="1442">
        <f>C15-D15-E15-G15</f>
        <v>2.04</v>
      </c>
      <c r="G15" s="1443">
        <f>DataUK3!BR13/1000</f>
        <v>0.26</v>
      </c>
      <c r="H15" s="1441">
        <f t="shared" si="0"/>
        <v>-0.40930663825749913</v>
      </c>
      <c r="I15" s="1461">
        <f>I34*B15</f>
        <v>0.34824336174250081</v>
      </c>
      <c r="J15" s="1462">
        <f>J34*B15</f>
        <v>0.75754999999999995</v>
      </c>
      <c r="K15" s="1479">
        <f t="shared" si="1"/>
        <v>5.0093066382574989</v>
      </c>
      <c r="L15" s="1473">
        <v>0.4</v>
      </c>
      <c r="M15" s="83"/>
    </row>
    <row r="16" spans="1:13">
      <c r="A16" s="200">
        <v>1865</v>
      </c>
      <c r="B16" s="1500">
        <f>TableUK1!B$20</f>
        <v>0.87654491040080984</v>
      </c>
      <c r="C16" s="1444">
        <f>6.113-0.5</f>
        <v>5.6130000000000004</v>
      </c>
      <c r="D16" s="1442">
        <v>1.804</v>
      </c>
      <c r="E16" s="1442">
        <v>1.0309999999999999</v>
      </c>
      <c r="F16" s="1442">
        <f>C16-D16-E16-G16</f>
        <v>2.2550000000000003</v>
      </c>
      <c r="G16" s="1443">
        <f>DataUK3!BR23/1000</f>
        <v>0.52300000000000002</v>
      </c>
      <c r="H16" s="1441">
        <f t="shared" si="0"/>
        <v>-0.41370000000000007</v>
      </c>
      <c r="I16" s="1461">
        <f>I35*B16</f>
        <v>0.31999999999999995</v>
      </c>
      <c r="J16" s="1462">
        <f t="shared" ref="J16:J22" si="2">J35*B16</f>
        <v>0.73370000000000002</v>
      </c>
      <c r="K16" s="1479">
        <f t="shared" si="1"/>
        <v>6.0267000000000008</v>
      </c>
      <c r="L16" s="1473">
        <v>0.5</v>
      </c>
      <c r="M16" s="83"/>
    </row>
    <row r="17" spans="1:15">
      <c r="A17" s="200">
        <v>1875</v>
      </c>
      <c r="B17" s="1500">
        <f>TableUK1!B$30</f>
        <v>1.1677935714285714</v>
      </c>
      <c r="C17" s="1444">
        <f>8.548-0.7</f>
        <v>7.8479999999999999</v>
      </c>
      <c r="D17" s="1442">
        <v>2.0070000000000001</v>
      </c>
      <c r="E17" s="1442">
        <v>1.42</v>
      </c>
      <c r="F17" s="1442">
        <f>C17-D17-E17-G17</f>
        <v>3.2529999999999992</v>
      </c>
      <c r="G17" s="1443">
        <f>DataUK3!BR33/1000</f>
        <v>1.1679999999999999</v>
      </c>
      <c r="H17" s="1441">
        <f t="shared" si="0"/>
        <v>-0.34301308502168693</v>
      </c>
      <c r="I17" s="1461">
        <f t="shared" ref="I17:I22" si="3">I36*B17</f>
        <v>0.39488691497831307</v>
      </c>
      <c r="J17" s="1462">
        <f t="shared" si="2"/>
        <v>0.7379</v>
      </c>
      <c r="K17" s="1479">
        <f t="shared" si="1"/>
        <v>8.1910130850216873</v>
      </c>
      <c r="L17" s="1473">
        <v>0.7</v>
      </c>
      <c r="M17" s="83"/>
    </row>
    <row r="18" spans="1:15">
      <c r="A18" s="380">
        <v>1885</v>
      </c>
      <c r="B18" s="1502">
        <f>TableUK1!B$45</f>
        <v>1.421</v>
      </c>
      <c r="C18" s="1446">
        <f>10.037-0.96</f>
        <v>9.0770000000000017</v>
      </c>
      <c r="D18" s="1447">
        <v>1.6910000000000001</v>
      </c>
      <c r="E18" s="1447">
        <v>1.927</v>
      </c>
      <c r="F18" s="1447">
        <f>C18-D18-E18-G18</f>
        <v>3.8650000000000011</v>
      </c>
      <c r="G18" s="1448">
        <f>DataUK3!BR43/1000</f>
        <v>1.5940000000000001</v>
      </c>
      <c r="H18" s="1463">
        <f t="shared" ref="H18:H27" si="4">I18-J18</f>
        <v>-0.41444542565937981</v>
      </c>
      <c r="I18" s="1464">
        <f t="shared" si="3"/>
        <v>0.57571255396405863</v>
      </c>
      <c r="J18" s="1465">
        <f t="shared" si="2"/>
        <v>0.99015797962343843</v>
      </c>
      <c r="K18" s="1481">
        <f t="shared" si="1"/>
        <v>9.4914454256593821</v>
      </c>
      <c r="L18" s="1475">
        <v>0.96</v>
      </c>
      <c r="M18" s="597"/>
    </row>
    <row r="19" spans="1:15">
      <c r="A19" s="198">
        <v>1901</v>
      </c>
      <c r="B19" s="1500">
        <f>TableUK1!B$56</f>
        <v>1.8040000000000003</v>
      </c>
      <c r="C19" s="1444">
        <f>D19+E19+F19+G19</f>
        <v>11.279200000000001</v>
      </c>
      <c r="D19" s="1506">
        <v>0.94699999999999995</v>
      </c>
      <c r="E19" s="1442">
        <v>2.6850000000000001</v>
      </c>
      <c r="F19" s="1442">
        <f>2.8*B19</f>
        <v>5.0512000000000006</v>
      </c>
      <c r="G19" s="1443">
        <f>DataUK3!BR59/1000</f>
        <v>2.5960000000000001</v>
      </c>
      <c r="H19" s="1441">
        <f t="shared" si="4"/>
        <v>1.9655783964433016E-2</v>
      </c>
      <c r="I19" s="1461">
        <f t="shared" si="3"/>
        <v>0.76880578396443311</v>
      </c>
      <c r="J19" s="1462">
        <f t="shared" si="2"/>
        <v>0.74915000000000009</v>
      </c>
      <c r="K19" s="1527">
        <f t="shared" si="1"/>
        <v>11.259544216035568</v>
      </c>
      <c r="L19" s="1507">
        <v>0.9</v>
      </c>
      <c r="M19" s="598"/>
    </row>
    <row r="20" spans="1:15">
      <c r="A20" s="198">
        <v>1913</v>
      </c>
      <c r="B20" s="1500">
        <f>TableUK1!B$68</f>
        <v>2.3810000000000007</v>
      </c>
      <c r="C20" s="1444">
        <f>(11.99+0.95)/0.8</f>
        <v>16.174999999999997</v>
      </c>
      <c r="D20" s="1442">
        <v>0.78500000000000003</v>
      </c>
      <c r="E20" s="1442">
        <f>2.94/0.85</f>
        <v>3.4588235294117649</v>
      </c>
      <c r="F20" s="1442">
        <f t="shared" ref="F20:F27" si="5">C20-D20-E20-G20</f>
        <v>7.731176470588232</v>
      </c>
      <c r="G20" s="1443">
        <f>DataUK3!BR71/1000</f>
        <v>4.2</v>
      </c>
      <c r="H20" s="1441">
        <f t="shared" si="4"/>
        <v>0.46970000000000012</v>
      </c>
      <c r="I20" s="1461">
        <f t="shared" si="3"/>
        <v>1.1200000000000001</v>
      </c>
      <c r="J20" s="1462">
        <f t="shared" si="2"/>
        <v>0.65029999999999999</v>
      </c>
      <c r="K20" s="1527">
        <f t="shared" si="1"/>
        <v>15.705299999999998</v>
      </c>
      <c r="L20" s="1507">
        <v>0.85</v>
      </c>
      <c r="M20" s="598"/>
    </row>
    <row r="21" spans="1:15">
      <c r="A21" s="198">
        <v>1920</v>
      </c>
      <c r="B21" s="1503">
        <f>TableUK1!B76</f>
        <v>5.2469999999999999</v>
      </c>
      <c r="C21" s="1449">
        <f t="shared" ref="C21:C27" si="6">H21+K21</f>
        <v>13.278219792744268</v>
      </c>
      <c r="D21" s="1450">
        <f>DataUK3!H$79/1000</f>
        <v>1.986</v>
      </c>
      <c r="E21" s="1450">
        <f>DataUK3!D$79/1000</f>
        <v>3.7010000000000001</v>
      </c>
      <c r="F21" s="1450">
        <f t="shared" si="5"/>
        <v>3.1812197927442671</v>
      </c>
      <c r="G21" s="1451">
        <f>DataUK3!BR$79/1000</f>
        <v>4.41</v>
      </c>
      <c r="H21" s="1466">
        <f t="shared" si="4"/>
        <v>-4.4152802072557318</v>
      </c>
      <c r="I21" s="1467">
        <f t="shared" si="3"/>
        <v>2.5831081669830565</v>
      </c>
      <c r="J21" s="1508">
        <f t="shared" si="2"/>
        <v>6.9983883742387887</v>
      </c>
      <c r="K21" s="1482">
        <f>TableUK1!C76</f>
        <v>17.6935</v>
      </c>
      <c r="L21" s="1476">
        <f>DataUK3!L$79/1000</f>
        <v>1.621</v>
      </c>
      <c r="M21" s="598"/>
    </row>
    <row r="22" spans="1:15">
      <c r="A22" s="198">
        <v>1950</v>
      </c>
      <c r="B22" s="1504">
        <f>TableUK1!B106</f>
        <v>12.638999999999999</v>
      </c>
      <c r="C22" s="1452">
        <f t="shared" si="6"/>
        <v>26.279120322823225</v>
      </c>
      <c r="D22" s="962">
        <f>DataUK3!H$109/1000</f>
        <v>2.150957290047355</v>
      </c>
      <c r="E22" s="962">
        <f>DataUK3!D$109/1000</f>
        <v>11.833912037037036</v>
      </c>
      <c r="F22" s="962">
        <f t="shared" si="5"/>
        <v>12.994250995738833</v>
      </c>
      <c r="G22" s="1453">
        <f>DataUK3!BR$109/1000</f>
        <v>-0.7</v>
      </c>
      <c r="H22" s="1468">
        <f t="shared" si="4"/>
        <v>-18.532746297547142</v>
      </c>
      <c r="I22" s="1469">
        <f t="shared" si="3"/>
        <v>7.8552070391186914</v>
      </c>
      <c r="J22" s="1509">
        <f t="shared" si="2"/>
        <v>26.387953336665834</v>
      </c>
      <c r="K22" s="1482">
        <f>TableUK1!C106</f>
        <v>44.811866620370367</v>
      </c>
      <c r="L22" s="1476">
        <f>DataUK3!L$109/1000</f>
        <v>7</v>
      </c>
      <c r="M22" s="598"/>
    </row>
    <row r="23" spans="1:15">
      <c r="A23" s="198" t="s">
        <v>406</v>
      </c>
      <c r="B23" s="1504">
        <f>TableUK2!B$136</f>
        <v>94.151700000000005</v>
      </c>
      <c r="C23" s="1452">
        <f t="shared" si="6"/>
        <v>313.61878323020346</v>
      </c>
      <c r="D23" s="962">
        <f>AVERAGE(DataUK3!H$129:H$138)/1000</f>
        <v>9.7374492293575337</v>
      </c>
      <c r="E23" s="1514">
        <f ca="1">E42*B23</f>
        <v>126.51459812860568</v>
      </c>
      <c r="F23" s="958">
        <f t="shared" ca="1" si="5"/>
        <v>171.98153769205874</v>
      </c>
      <c r="G23" s="1453">
        <f>AVERAGE(DataUK3!BR$129:BR$138)/1000</f>
        <v>5.3851981801814954</v>
      </c>
      <c r="H23" s="1468">
        <f t="shared" si="4"/>
        <v>22.714171995412755</v>
      </c>
      <c r="I23" s="1469">
        <f>2*AVERAGE(TableUK6a!I$125:J$134)*B23</f>
        <v>94.612440385742246</v>
      </c>
      <c r="J23" s="1453">
        <f>AVERAGE(TableUK6a!K$125:K$134)*B23</f>
        <v>71.898268390329491</v>
      </c>
      <c r="K23" s="1515">
        <f>TableUK2!C$136</f>
        <v>290.90461123479071</v>
      </c>
      <c r="L23" s="1477">
        <f>AVERAGE(DataUK3!L$129:L$138)/1000</f>
        <v>39.33</v>
      </c>
      <c r="M23" s="598"/>
    </row>
    <row r="24" spans="1:15">
      <c r="A24" s="198" t="s">
        <v>407</v>
      </c>
      <c r="B24" s="1510">
        <f>TableUK2!B$146</f>
        <v>307.76964039999996</v>
      </c>
      <c r="C24" s="1511">
        <f t="shared" si="6"/>
        <v>1239.3286746427668</v>
      </c>
      <c r="D24" s="958">
        <f>AVERAGE(DataUK3!H$139:H$148)/1000</f>
        <v>24.501672655021778</v>
      </c>
      <c r="E24" s="1514">
        <f ca="1">E43*B24</f>
        <v>543.28410932529039</v>
      </c>
      <c r="F24" s="958">
        <f t="shared" ca="1" si="5"/>
        <v>649.35707272100751</v>
      </c>
      <c r="G24" s="1512">
        <f>AVERAGE(DataUK3!BR$139:BR$148)/1000</f>
        <v>22.185819941447065</v>
      </c>
      <c r="H24" s="1513">
        <f t="shared" si="4"/>
        <v>129.0270717944027</v>
      </c>
      <c r="I24" s="1514">
        <f>2*AVERAGE(TableUK6a!I$135:J$144)*B24</f>
        <v>327.73627209298468</v>
      </c>
      <c r="J24" s="1512">
        <f>AVERAGE(TableUK6a!K$135:K$144)*B24</f>
        <v>198.70920029858198</v>
      </c>
      <c r="K24" s="1515">
        <f>TableUK2!C$146</f>
        <v>1110.3016028483642</v>
      </c>
      <c r="L24" s="612">
        <f>AVERAGE(DataUK3!L$139:L$148)/1000</f>
        <v>113</v>
      </c>
      <c r="M24" s="598"/>
    </row>
    <row r="25" spans="1:15">
      <c r="A25" s="214" t="s">
        <v>408</v>
      </c>
      <c r="B25" s="2074">
        <f>TableUK2!B$156</f>
        <v>635.87660000000005</v>
      </c>
      <c r="C25" s="2075">
        <f t="shared" si="6"/>
        <v>2939.5317416225166</v>
      </c>
      <c r="D25" s="2076">
        <f>AVERAGE(DataUK3!H$149:H$158)/1000</f>
        <v>37.822000000000003</v>
      </c>
      <c r="E25" s="2079">
        <f ca="1">E44*B25</f>
        <v>1225.0087715754769</v>
      </c>
      <c r="F25" s="2076">
        <f t="shared" ca="1" si="5"/>
        <v>1699.5404700470397</v>
      </c>
      <c r="G25" s="2077">
        <f>AVERAGE(DataUK3!BR$149:BR$158)/1000</f>
        <v>-22.839500000000001</v>
      </c>
      <c r="H25" s="2078">
        <f t="shared" si="4"/>
        <v>197.26584162251646</v>
      </c>
      <c r="I25" s="2079">
        <f>2*AVERAGE(TableUK6a!I$145:J$154)*B25</f>
        <v>574.27722912132356</v>
      </c>
      <c r="J25" s="2077">
        <f>AVERAGE(TableUK6a!K$145:K$154)*B25</f>
        <v>377.0113874988071</v>
      </c>
      <c r="K25" s="2080">
        <f>TableUK2!C$156</f>
        <v>2742.2659000000003</v>
      </c>
      <c r="L25" s="1651">
        <f>AVERAGE(DataUK3!L$149:L$158)/1000</f>
        <v>224.2230901110097</v>
      </c>
      <c r="M25" s="598"/>
    </row>
    <row r="26" spans="1:15">
      <c r="A26" s="198" t="s">
        <v>409</v>
      </c>
      <c r="B26" s="1510">
        <f>TableUK2!B166</f>
        <v>1102.4657999999999</v>
      </c>
      <c r="C26" s="1511">
        <f t="shared" si="6"/>
        <v>5735.8214943154398</v>
      </c>
      <c r="D26" s="958">
        <f>AVERAGE(DataUK3!H$159:H$168)/1000</f>
        <v>46.863399999999999</v>
      </c>
      <c r="E26" s="1514">
        <f ca="1">E45*B26</f>
        <v>2986.4200292226228</v>
      </c>
      <c r="F26" s="958">
        <f t="shared" ca="1" si="5"/>
        <v>2898.447065092817</v>
      </c>
      <c r="G26" s="1512">
        <f>AVERAGE(DataUK3!BR$159:BR$168)/1000</f>
        <v>-195.90899999999999</v>
      </c>
      <c r="H26" s="1513">
        <f t="shared" si="4"/>
        <v>262.89344431543907</v>
      </c>
      <c r="I26" s="1514">
        <f>2*AVERAGE(TableUK6a!I$155:J$164)*B26</f>
        <v>915.06949950294393</v>
      </c>
      <c r="J26" s="1512">
        <f>AVERAGE(TableUK6a!K$155:K$164)*B26</f>
        <v>652.17605518750486</v>
      </c>
      <c r="K26" s="1515">
        <f>TableUK2!C166</f>
        <v>5472.9280500000004</v>
      </c>
      <c r="L26" s="612">
        <f>AVERAGE(DataUK3!L$159:L$168)/1000</f>
        <v>380.53661145953242</v>
      </c>
      <c r="M26" s="598"/>
    </row>
    <row r="27" spans="1:15" ht="13" thickBot="1">
      <c r="A27" s="1516">
        <v>2010</v>
      </c>
      <c r="B27" s="1517">
        <f>TableUK1!B$166</f>
        <v>1312.3</v>
      </c>
      <c r="C27" s="1518">
        <f t="shared" si="6"/>
        <v>6857.4869999999992</v>
      </c>
      <c r="D27" s="1519">
        <f>0.5*(DataUK3!H$169+DataUK3!H$170)/1000</f>
        <v>45.546999999999997</v>
      </c>
      <c r="E27" s="1522">
        <f>E46*B27</f>
        <v>3931.6119999999996</v>
      </c>
      <c r="F27" s="1519">
        <f t="shared" si="5"/>
        <v>3147.9229999999998</v>
      </c>
      <c r="G27" s="1520">
        <f>0.5*(DataUK3!BR$169+DataUK3!BR$170)/1000</f>
        <v>-267.59500000000003</v>
      </c>
      <c r="H27" s="1521">
        <f t="shared" si="4"/>
        <v>8.9079999999999018</v>
      </c>
      <c r="I27" s="1522">
        <f>(TableUK6a!I$165+TableUK6a!J$165)*B27</f>
        <v>1213.3844999999999</v>
      </c>
      <c r="J27" s="1520">
        <f>TableUK6a!K$165*B27</f>
        <v>1204.4765</v>
      </c>
      <c r="K27" s="1523">
        <f>TableUK1!C$166</f>
        <v>6848.5789999999997</v>
      </c>
      <c r="L27" s="1524">
        <f>0.5*(DataUK3!L$169+DataUK3!L$170)/1000</f>
        <v>452.96479511504515</v>
      </c>
      <c r="M27" s="83"/>
    </row>
    <row r="28" spans="1:15" ht="17" customHeight="1" thickBot="1">
      <c r="A28" s="2500" t="s">
        <v>392</v>
      </c>
      <c r="B28" s="2501"/>
      <c r="C28" s="2501"/>
      <c r="D28" s="2501"/>
      <c r="E28" s="2501"/>
      <c r="F28" s="2501"/>
      <c r="G28" s="2501"/>
      <c r="H28" s="2501"/>
      <c r="I28" s="2501"/>
      <c r="J28" s="2501"/>
      <c r="K28" s="2501"/>
      <c r="L28" s="2502"/>
      <c r="M28" s="83"/>
    </row>
    <row r="29" spans="1:15" ht="12" customHeight="1">
      <c r="A29" s="601" t="s">
        <v>764</v>
      </c>
      <c r="B29" s="1505">
        <f t="shared" ref="B29:G29" si="7">B10/$B10</f>
        <v>1</v>
      </c>
      <c r="C29" s="606">
        <f t="shared" si="7"/>
        <v>5.9</v>
      </c>
      <c r="D29" s="1454">
        <f t="shared" si="7"/>
        <v>3.6000000000000005</v>
      </c>
      <c r="E29" s="1454">
        <f t="shared" si="7"/>
        <v>0.75</v>
      </c>
      <c r="F29" s="1454">
        <f t="shared" si="7"/>
        <v>1.55</v>
      </c>
      <c r="G29" s="1455">
        <f t="shared" si="7"/>
        <v>0</v>
      </c>
      <c r="H29" s="602"/>
      <c r="I29" s="604"/>
      <c r="J29" s="603"/>
      <c r="K29" s="1485"/>
      <c r="L29" s="1483">
        <f>L10/$B10</f>
        <v>0.35</v>
      </c>
      <c r="M29" s="83"/>
    </row>
    <row r="30" spans="1:15" ht="12" customHeight="1">
      <c r="A30" s="2062" t="s">
        <v>765</v>
      </c>
      <c r="B30" s="210">
        <f t="shared" ref="B30:G30" si="8">B11/$B11</f>
        <v>1</v>
      </c>
      <c r="C30" s="570">
        <f t="shared" si="8"/>
        <v>7.0344827586206904</v>
      </c>
      <c r="D30" s="309">
        <f t="shared" si="8"/>
        <v>4.1379310344827589</v>
      </c>
      <c r="E30" s="309">
        <f t="shared" si="8"/>
        <v>1.2413793103448276</v>
      </c>
      <c r="F30" s="309">
        <f t="shared" si="8"/>
        <v>1.6551724137931036</v>
      </c>
      <c r="G30" s="1456">
        <f t="shared" si="8"/>
        <v>0</v>
      </c>
      <c r="H30" s="2070"/>
      <c r="I30" s="2071"/>
      <c r="J30" s="2072"/>
      <c r="K30" s="2073"/>
      <c r="L30" s="1484">
        <f>L11/$B11</f>
        <v>0.32183908045977017</v>
      </c>
      <c r="M30" s="83"/>
    </row>
    <row r="31" spans="1:15">
      <c r="A31" s="201">
        <v>1700</v>
      </c>
      <c r="B31" s="211">
        <f t="shared" ref="B31:L31" si="9">B12/$B12</f>
        <v>1</v>
      </c>
      <c r="C31" s="572">
        <f t="shared" si="9"/>
        <v>7.0344827586206904</v>
      </c>
      <c r="D31" s="1489">
        <f t="shared" si="9"/>
        <v>4.1379310344827589</v>
      </c>
      <c r="E31" s="1489">
        <f t="shared" si="9"/>
        <v>1.2413793103448276</v>
      </c>
      <c r="F31" s="1489">
        <f t="shared" si="9"/>
        <v>1.6551724137931036</v>
      </c>
      <c r="G31" s="1490">
        <f t="shared" si="9"/>
        <v>0</v>
      </c>
      <c r="H31" s="572">
        <f t="shared" si="9"/>
        <v>0.19473331051928794</v>
      </c>
      <c r="I31" s="1489">
        <f t="shared" si="9"/>
        <v>0.3</v>
      </c>
      <c r="J31" s="1490">
        <f t="shared" si="9"/>
        <v>0.10526668948071206</v>
      </c>
      <c r="K31" s="211">
        <f t="shared" si="9"/>
        <v>6.8397494481014025</v>
      </c>
      <c r="L31" s="1491">
        <f t="shared" si="9"/>
        <v>0.32183908045977011</v>
      </c>
      <c r="M31" s="83"/>
    </row>
    <row r="32" spans="1:15">
      <c r="A32" s="380">
        <v>1750</v>
      </c>
      <c r="B32" s="215">
        <f t="shared" ref="B32:G46" si="10">B13/$B13</f>
        <v>1</v>
      </c>
      <c r="C32" s="571">
        <f t="shared" si="10"/>
        <v>6.624165848516089</v>
      </c>
      <c r="D32" s="1492">
        <f t="shared" si="10"/>
        <v>3.5751251006022535</v>
      </c>
      <c r="E32" s="1492">
        <f t="shared" si="10"/>
        <v>1.0628750299087781</v>
      </c>
      <c r="F32" s="1492">
        <f t="shared" si="10"/>
        <v>1.9861657180050571</v>
      </c>
      <c r="G32" s="1493">
        <f t="shared" si="10"/>
        <v>0</v>
      </c>
      <c r="H32" s="571">
        <f t="shared" ref="H32:H46" si="11">H13/$B13</f>
        <v>-0.36889732266457043</v>
      </c>
      <c r="I32" s="1492">
        <f t="shared" ref="I32:L39" si="12">I13/$B13</f>
        <v>0.4</v>
      </c>
      <c r="J32" s="1493">
        <f t="shared" si="12"/>
        <v>0.76889732266457045</v>
      </c>
      <c r="K32" s="215">
        <f t="shared" si="12"/>
        <v>6.9930631711806592</v>
      </c>
      <c r="L32" s="1495">
        <f t="shared" si="12"/>
        <v>0.48312501359489918</v>
      </c>
      <c r="M32" s="83"/>
      <c r="N32" s="68"/>
      <c r="O32" s="68"/>
    </row>
    <row r="33" spans="1:15">
      <c r="A33" s="201">
        <v>1810</v>
      </c>
      <c r="B33" s="211">
        <f t="shared" si="10"/>
        <v>1</v>
      </c>
      <c r="C33" s="572">
        <f t="shared" si="10"/>
        <v>6.6894975888217552</v>
      </c>
      <c r="D33" s="1489">
        <f t="shared" si="10"/>
        <v>3.0034478970220126</v>
      </c>
      <c r="E33" s="1489">
        <f t="shared" si="10"/>
        <v>1.0921628716443681</v>
      </c>
      <c r="F33" s="1489">
        <f t="shared" si="10"/>
        <v>2.5938868201553746</v>
      </c>
      <c r="G33" s="1490">
        <f t="shared" si="10"/>
        <v>0</v>
      </c>
      <c r="H33" s="572">
        <f t="shared" si="11"/>
        <v>-0.52416579350077064</v>
      </c>
      <c r="I33" s="1489">
        <f t="shared" si="12"/>
        <v>0.5</v>
      </c>
      <c r="J33" s="1490">
        <f t="shared" si="12"/>
        <v>1.0241657935007706</v>
      </c>
      <c r="K33" s="211">
        <f t="shared" si="12"/>
        <v>7.213663382322526</v>
      </c>
      <c r="L33" s="1491">
        <f t="shared" si="12"/>
        <v>0.40956107686663801</v>
      </c>
      <c r="M33" s="83"/>
      <c r="N33" s="68"/>
      <c r="O33" s="68"/>
    </row>
    <row r="34" spans="1:15">
      <c r="A34" s="200">
        <v>1855</v>
      </c>
      <c r="B34" s="210">
        <f t="shared" si="10"/>
        <v>1</v>
      </c>
      <c r="C34" s="570">
        <f t="shared" si="10"/>
        <v>6.9432325695831638</v>
      </c>
      <c r="D34" s="309">
        <f t="shared" si="10"/>
        <v>2.4301313993541074</v>
      </c>
      <c r="E34" s="309">
        <f t="shared" si="10"/>
        <v>1.0414848854374745</v>
      </c>
      <c r="F34" s="309">
        <f t="shared" si="10"/>
        <v>3.0791727047716639</v>
      </c>
      <c r="G34" s="1456">
        <f t="shared" si="10"/>
        <v>0.39244358001991797</v>
      </c>
      <c r="H34" s="570">
        <f t="shared" si="11"/>
        <v>-0.61780677862957878</v>
      </c>
      <c r="I34" s="1470">
        <f>TableUK5c!E10+TableUK5c!I10</f>
        <v>0.52563796769383986</v>
      </c>
      <c r="J34" s="1573">
        <f>TableUK5c!L10</f>
        <v>1.1434447463234185</v>
      </c>
      <c r="K34" s="210">
        <f t="shared" si="12"/>
        <v>7.5610393482127423</v>
      </c>
      <c r="L34" s="1484">
        <f t="shared" si="12"/>
        <v>0.60375935387679691</v>
      </c>
      <c r="M34" s="83"/>
    </row>
    <row r="35" spans="1:15">
      <c r="A35" s="200">
        <v>1865</v>
      </c>
      <c r="B35" s="210">
        <f t="shared" si="10"/>
        <v>1</v>
      </c>
      <c r="C35" s="570">
        <f t="shared" si="10"/>
        <v>6.4035509571704594</v>
      </c>
      <c r="D35" s="309">
        <f t="shared" si="10"/>
        <v>2.0580805142945855</v>
      </c>
      <c r="E35" s="309">
        <f t="shared" si="10"/>
        <v>1.1762089857193556</v>
      </c>
      <c r="F35" s="309">
        <f t="shared" si="10"/>
        <v>2.572600642868232</v>
      </c>
      <c r="G35" s="1456">
        <f t="shared" si="10"/>
        <v>0.5966608142882861</v>
      </c>
      <c r="H35" s="570">
        <f t="shared" si="11"/>
        <v>-0.47196669000203445</v>
      </c>
      <c r="I35" s="1470">
        <f>TableUK5c!E20+TableUK5c!I20</f>
        <v>0.36506971428728785</v>
      </c>
      <c r="J35" s="1573">
        <f>TableUK5c!L20</f>
        <v>0.83703640428932224</v>
      </c>
      <c r="K35" s="210">
        <f t="shared" si="12"/>
        <v>6.8755176471724946</v>
      </c>
      <c r="L35" s="1484">
        <f t="shared" si="12"/>
        <v>0.57042142857388733</v>
      </c>
      <c r="M35" s="83"/>
    </row>
    <row r="36" spans="1:15">
      <c r="A36" s="200">
        <v>1875</v>
      </c>
      <c r="B36" s="210">
        <f t="shared" si="10"/>
        <v>1</v>
      </c>
      <c r="C36" s="570">
        <f t="shared" si="10"/>
        <v>6.7203658180781707</v>
      </c>
      <c r="D36" s="309">
        <f t="shared" si="10"/>
        <v>1.7186256621920093</v>
      </c>
      <c r="E36" s="309">
        <f t="shared" si="10"/>
        <v>1.215968330997834</v>
      </c>
      <c r="F36" s="309">
        <f t="shared" si="10"/>
        <v>2.7855950568563053</v>
      </c>
      <c r="G36" s="1456">
        <f t="shared" si="10"/>
        <v>1.0001767680320213</v>
      </c>
      <c r="H36" s="570">
        <f t="shared" si="11"/>
        <v>-0.29372749894664707</v>
      </c>
      <c r="I36" s="1470">
        <f>TableUK5c!E30+TableUK5c!I30</f>
        <v>0.33814787530919926</v>
      </c>
      <c r="J36" s="1573">
        <f>TableUK5c!L30</f>
        <v>0.63187537425584639</v>
      </c>
      <c r="K36" s="210">
        <f t="shared" si="12"/>
        <v>7.0140933170248179</v>
      </c>
      <c r="L36" s="1484">
        <f t="shared" si="12"/>
        <v>0.59942100823836886</v>
      </c>
      <c r="M36" s="83"/>
    </row>
    <row r="37" spans="1:15">
      <c r="A37" s="380">
        <v>1885</v>
      </c>
      <c r="B37" s="215">
        <f t="shared" si="10"/>
        <v>1</v>
      </c>
      <c r="C37" s="571">
        <f t="shared" si="10"/>
        <v>6.387755102040817</v>
      </c>
      <c r="D37" s="1492">
        <f t="shared" si="10"/>
        <v>1.1900070372976777</v>
      </c>
      <c r="E37" s="1492">
        <f t="shared" si="10"/>
        <v>1.3560872624912035</v>
      </c>
      <c r="F37" s="1492">
        <f t="shared" si="10"/>
        <v>2.7199155524278682</v>
      </c>
      <c r="G37" s="1493">
        <f>G18/TableUK1!B$40</f>
        <v>1.38113032854761</v>
      </c>
      <c r="H37" s="571">
        <f t="shared" si="11"/>
        <v>-0.29165758315227291</v>
      </c>
      <c r="I37" s="1494">
        <f>TableUK5c!E40+TableUK5c!I40</f>
        <v>0.40514606190292657</v>
      </c>
      <c r="J37" s="1574">
        <f>TableUK5c!L40</f>
        <v>0.69680364505519943</v>
      </c>
      <c r="K37" s="215">
        <f t="shared" si="12"/>
        <v>6.6794126851930908</v>
      </c>
      <c r="L37" s="1495">
        <f t="shared" si="12"/>
        <v>0.67558057705840957</v>
      </c>
      <c r="M37" s="83"/>
    </row>
    <row r="38" spans="1:15">
      <c r="A38" s="198">
        <v>1901</v>
      </c>
      <c r="B38" s="210">
        <f t="shared" si="10"/>
        <v>1</v>
      </c>
      <c r="C38" s="570">
        <f t="shared" si="10"/>
        <v>6.2523281596452325</v>
      </c>
      <c r="D38" s="309">
        <f t="shared" si="10"/>
        <v>0.52494456762749431</v>
      </c>
      <c r="E38" s="309">
        <f t="shared" si="10"/>
        <v>1.4883592017738356</v>
      </c>
      <c r="F38" s="309">
        <f t="shared" si="10"/>
        <v>2.8</v>
      </c>
      <c r="G38" s="1456">
        <f t="shared" si="10"/>
        <v>1.4390243902439022</v>
      </c>
      <c r="H38" s="570">
        <f t="shared" si="11"/>
        <v>1.0895667386049341E-2</v>
      </c>
      <c r="I38" s="1470">
        <f>TableUK5c!E56+TableUK5c!I56</f>
        <v>0.42616728601132647</v>
      </c>
      <c r="J38" s="1573">
        <f>TableUK5c!L56</f>
        <v>0.41527161862527717</v>
      </c>
      <c r="K38" s="210">
        <f t="shared" si="12"/>
        <v>6.2414324922591833</v>
      </c>
      <c r="L38" s="1484">
        <f t="shared" si="12"/>
        <v>0.49889135254988909</v>
      </c>
      <c r="M38" s="83"/>
    </row>
    <row r="39" spans="1:15">
      <c r="A39" s="198">
        <v>1913</v>
      </c>
      <c r="B39" s="210">
        <f t="shared" si="10"/>
        <v>1</v>
      </c>
      <c r="C39" s="570">
        <f t="shared" si="10"/>
        <v>6.7933641327173424</v>
      </c>
      <c r="D39" s="309">
        <f t="shared" si="10"/>
        <v>0.32969340613187731</v>
      </c>
      <c r="E39" s="590">
        <f t="shared" si="10"/>
        <v>1.4526768288163645</v>
      </c>
      <c r="F39" s="309">
        <f t="shared" si="10"/>
        <v>3.2470291770635153</v>
      </c>
      <c r="G39" s="1456">
        <f t="shared" si="10"/>
        <v>1.7639647207055855</v>
      </c>
      <c r="H39" s="570">
        <f t="shared" si="11"/>
        <v>0.19727005459890801</v>
      </c>
      <c r="I39" s="1470">
        <f>TableUK5c!E68+TableUK5c!I68</f>
        <v>0.47039059218815615</v>
      </c>
      <c r="J39" s="1573">
        <f>TableUK5c!L68</f>
        <v>0.27312053758924815</v>
      </c>
      <c r="K39" s="210">
        <f t="shared" si="12"/>
        <v>6.5960940781184352</v>
      </c>
      <c r="L39" s="1484">
        <f t="shared" si="12"/>
        <v>0.35699286014279702</v>
      </c>
      <c r="M39" s="83"/>
    </row>
    <row r="40" spans="1:15">
      <c r="A40" s="198">
        <v>1920</v>
      </c>
      <c r="B40" s="210">
        <f t="shared" si="10"/>
        <v>1</v>
      </c>
      <c r="C40" s="1457">
        <f t="shared" si="10"/>
        <v>2.530630797168719</v>
      </c>
      <c r="D40" s="590">
        <f t="shared" si="10"/>
        <v>0.37850200114351057</v>
      </c>
      <c r="E40" s="590">
        <f t="shared" si="10"/>
        <v>0.70535544120449789</v>
      </c>
      <c r="F40" s="590">
        <f t="shared" si="10"/>
        <v>0.60629308037817176</v>
      </c>
      <c r="G40" s="1217">
        <f t="shared" si="10"/>
        <v>0.84048027444253859</v>
      </c>
      <c r="H40" s="362">
        <f t="shared" si="11"/>
        <v>-0.84148660325056834</v>
      </c>
      <c r="I40" s="1470">
        <f>TableUK5c!E75+TableUK5c!I75</f>
        <v>0.49230191861693473</v>
      </c>
      <c r="J40" s="1573">
        <f>TableUK5c!L75</f>
        <v>1.3337885218675032</v>
      </c>
      <c r="K40" s="1486">
        <f t="shared" ref="K40:L46" si="13">K21/$B21</f>
        <v>3.3721174004192873</v>
      </c>
      <c r="L40" s="652">
        <f t="shared" si="13"/>
        <v>0.30893844101391271</v>
      </c>
      <c r="M40" s="83"/>
    </row>
    <row r="41" spans="1:15">
      <c r="A41" s="198">
        <v>1950</v>
      </c>
      <c r="B41" s="210">
        <f t="shared" si="10"/>
        <v>1</v>
      </c>
      <c r="C41" s="1457">
        <f t="shared" si="10"/>
        <v>2.0792088237062445</v>
      </c>
      <c r="D41" s="590">
        <f t="shared" si="10"/>
        <v>0.17018413561574136</v>
      </c>
      <c r="E41" s="590">
        <f t="shared" si="10"/>
        <v>0.93630129258936912</v>
      </c>
      <c r="F41" s="590">
        <f t="shared" si="10"/>
        <v>1.0281075239923121</v>
      </c>
      <c r="G41" s="1217">
        <f t="shared" si="10"/>
        <v>-5.5384128491178096E-2</v>
      </c>
      <c r="H41" s="362">
        <f t="shared" si="11"/>
        <v>-1.4663142889110803</v>
      </c>
      <c r="I41" s="1470">
        <f>TableUK5c!E105+TableUK5c!I105</f>
        <v>0.62150542282765187</v>
      </c>
      <c r="J41" s="1573">
        <f>TableUK5c!L105</f>
        <v>2.087819711738732</v>
      </c>
      <c r="K41" s="1486">
        <f t="shared" si="13"/>
        <v>3.545523112617325</v>
      </c>
      <c r="L41" s="652">
        <f t="shared" si="13"/>
        <v>0.55384128491178097</v>
      </c>
      <c r="M41" s="83"/>
    </row>
    <row r="42" spans="1:15">
      <c r="A42" s="198" t="s">
        <v>406</v>
      </c>
      <c r="B42" s="210">
        <f t="shared" si="10"/>
        <v>1</v>
      </c>
      <c r="C42" s="1457">
        <f t="shared" si="10"/>
        <v>3.330994376418094</v>
      </c>
      <c r="D42" s="590">
        <f t="shared" si="10"/>
        <v>0.10342297833557475</v>
      </c>
      <c r="E42" s="590">
        <f ca="1">AVERAGE(OFFSET(TableUK6c!D9:D18,ROW(1:1)*9-9,,,))</f>
        <v>1.3437314262897608</v>
      </c>
      <c r="F42" s="590">
        <f t="shared" ca="1" si="10"/>
        <v>1.8266429357309397</v>
      </c>
      <c r="G42" s="1217">
        <f t="shared" si="10"/>
        <v>5.7197036061818272E-2</v>
      </c>
      <c r="H42" s="362">
        <f t="shared" si="11"/>
        <v>0.24125078989983986</v>
      </c>
      <c r="I42" s="683">
        <f>I23/B23</f>
        <v>1.0048935960342962</v>
      </c>
      <c r="J42" s="1217">
        <f>J23/$B23</f>
        <v>0.76364280613445623</v>
      </c>
      <c r="K42" s="1486">
        <f t="shared" si="13"/>
        <v>3.0897435865182539</v>
      </c>
      <c r="L42" s="652">
        <f t="shared" si="13"/>
        <v>0.41773011002456667</v>
      </c>
      <c r="M42" s="83"/>
    </row>
    <row r="43" spans="1:15">
      <c r="A43" s="198" t="s">
        <v>407</v>
      </c>
      <c r="B43" s="210">
        <f t="shared" si="10"/>
        <v>1</v>
      </c>
      <c r="C43" s="1457">
        <f t="shared" si="10"/>
        <v>4.0268061301694491</v>
      </c>
      <c r="D43" s="590">
        <f t="shared" si="10"/>
        <v>7.9610427536574463E-2</v>
      </c>
      <c r="E43" s="590">
        <f ca="1">AVERAGE(OFFSET(TableUK6c!D10:D19,ROW(2:2)*9-9,,,))</f>
        <v>1.7652296978324391</v>
      </c>
      <c r="F43" s="590">
        <f t="shared" ca="1" si="10"/>
        <v>2.1098802074079024</v>
      </c>
      <c r="G43" s="1217">
        <f t="shared" si="10"/>
        <v>7.2085797392532763E-2</v>
      </c>
      <c r="H43" s="362">
        <f t="shared" si="11"/>
        <v>0.41923261705316245</v>
      </c>
      <c r="I43" s="683">
        <f>I24/B24</f>
        <v>1.0648752478218275</v>
      </c>
      <c r="J43" s="1217">
        <f>J24/$B24</f>
        <v>0.64564263076866502</v>
      </c>
      <c r="K43" s="1486">
        <f t="shared" si="13"/>
        <v>3.6075735131162867</v>
      </c>
      <c r="L43" s="652">
        <f t="shared" si="13"/>
        <v>0.36715772177248196</v>
      </c>
      <c r="M43" s="83"/>
    </row>
    <row r="44" spans="1:15">
      <c r="A44" s="214" t="s">
        <v>408</v>
      </c>
      <c r="B44" s="215">
        <f t="shared" si="10"/>
        <v>1</v>
      </c>
      <c r="C44" s="2081">
        <f t="shared" si="10"/>
        <v>4.6228021940460087</v>
      </c>
      <c r="D44" s="2082">
        <f t="shared" si="10"/>
        <v>5.9480094093728245E-2</v>
      </c>
      <c r="E44" s="2082">
        <f ca="1">AVERAGE(OFFSET(TableUK6c!D11:D20,ROW(3:3)*9-9,,,))</f>
        <v>1.9264882078936019</v>
      </c>
      <c r="F44" s="2082">
        <f t="shared" ca="1" si="10"/>
        <v>2.6727520246020053</v>
      </c>
      <c r="G44" s="2083">
        <f t="shared" si="10"/>
        <v>-3.5918132543326799E-2</v>
      </c>
      <c r="H44" s="2084">
        <f t="shared" si="11"/>
        <v>0.31022660941213509</v>
      </c>
      <c r="I44" s="2085">
        <f>I25/B25</f>
        <v>0.90312684744386496</v>
      </c>
      <c r="J44" s="2083">
        <f>J25/$B25</f>
        <v>0.59290023803172986</v>
      </c>
      <c r="K44" s="2086">
        <f t="shared" si="13"/>
        <v>4.3125755846338745</v>
      </c>
      <c r="L44" s="2087">
        <f t="shared" si="13"/>
        <v>0.35262044571385343</v>
      </c>
      <c r="M44" s="83"/>
    </row>
    <row r="45" spans="1:15">
      <c r="A45" s="198" t="s">
        <v>409</v>
      </c>
      <c r="B45" s="210">
        <f t="shared" si="10"/>
        <v>1</v>
      </c>
      <c r="C45" s="1457">
        <f t="shared" si="10"/>
        <v>5.2027205690330165</v>
      </c>
      <c r="D45" s="590">
        <f t="shared" si="10"/>
        <v>4.2507803870197154E-2</v>
      </c>
      <c r="E45" s="590">
        <f ca="1">AVERAGE(OFFSET(TableUK6c!D12:D21,ROW(4:4)*9-9,,,))</f>
        <v>2.7088550313511974</v>
      </c>
      <c r="F45" s="590">
        <f t="shared" ca="1" si="10"/>
        <v>2.62905848425667</v>
      </c>
      <c r="G45" s="1217">
        <f t="shared" si="10"/>
        <v>-0.17770075044504782</v>
      </c>
      <c r="H45" s="362">
        <f t="shared" si="11"/>
        <v>0.23845950079851827</v>
      </c>
      <c r="I45" s="683">
        <f>I26/B26</f>
        <v>0.83002075846973578</v>
      </c>
      <c r="J45" s="1217">
        <f>J26/$B26</f>
        <v>0.59156125767121748</v>
      </c>
      <c r="K45" s="1486">
        <f t="shared" si="13"/>
        <v>4.9642610682344985</v>
      </c>
      <c r="L45" s="652">
        <f t="shared" si="13"/>
        <v>0.34516863149816751</v>
      </c>
      <c r="M45" s="83"/>
    </row>
    <row r="46" spans="1:15" ht="13" thickBot="1">
      <c r="A46" s="594">
        <v>2010</v>
      </c>
      <c r="B46" s="222">
        <f t="shared" si="10"/>
        <v>1</v>
      </c>
      <c r="C46" s="1458">
        <f t="shared" si="10"/>
        <v>5.2255482740227075</v>
      </c>
      <c r="D46" s="670">
        <f t="shared" si="10"/>
        <v>3.4707764992760799E-2</v>
      </c>
      <c r="E46" s="670">
        <f>TableUK6c!D49</f>
        <v>2.9959704335898802</v>
      </c>
      <c r="F46" s="670">
        <f t="shared" si="10"/>
        <v>2.3987830526556428</v>
      </c>
      <c r="G46" s="1218">
        <f t="shared" si="10"/>
        <v>-0.20391297721557575</v>
      </c>
      <c r="H46" s="1471">
        <f t="shared" si="11"/>
        <v>6.788081993446546E-3</v>
      </c>
      <c r="I46" s="1472">
        <f>I27/B27</f>
        <v>0.92462432370646952</v>
      </c>
      <c r="J46" s="1218">
        <f>J27/$B27</f>
        <v>0.91783624171302292</v>
      </c>
      <c r="K46" s="1487">
        <f t="shared" si="13"/>
        <v>5.2187601920292614</v>
      </c>
      <c r="L46" s="671">
        <f t="shared" si="13"/>
        <v>0.34516863149816746</v>
      </c>
      <c r="M46" s="83"/>
    </row>
    <row r="47" spans="1:15" ht="14" thickTop="1" thickBot="1"/>
    <row r="48" spans="1:15" ht="13" customHeight="1">
      <c r="A48" s="2400" t="s">
        <v>1312</v>
      </c>
      <c r="B48" s="2401"/>
      <c r="C48" s="2401"/>
      <c r="D48" s="2401"/>
      <c r="E48" s="2401"/>
      <c r="F48" s="2401"/>
      <c r="G48" s="2401"/>
      <c r="H48" s="2401"/>
      <c r="I48" s="2401"/>
      <c r="J48" s="2401"/>
      <c r="K48" s="2401"/>
      <c r="L48" s="2402"/>
    </row>
    <row r="49" spans="1:12" ht="13" customHeight="1" thickBot="1">
      <c r="A49" s="2403"/>
      <c r="B49" s="2404"/>
      <c r="C49" s="2404"/>
      <c r="D49" s="2404"/>
      <c r="E49" s="2404"/>
      <c r="F49" s="2404"/>
      <c r="G49" s="2404"/>
      <c r="H49" s="2404"/>
      <c r="I49" s="2404"/>
      <c r="J49" s="2404"/>
      <c r="K49" s="2404"/>
      <c r="L49" s="2405"/>
    </row>
  </sheetData>
  <mergeCells count="13">
    <mergeCell ref="E7:E8"/>
    <mergeCell ref="F7:F8"/>
    <mergeCell ref="G7:G8"/>
    <mergeCell ref="A48:L49"/>
    <mergeCell ref="A7:A8"/>
    <mergeCell ref="A9:L9"/>
    <mergeCell ref="A28:L28"/>
    <mergeCell ref="B1:C1"/>
    <mergeCell ref="A4:L4"/>
    <mergeCell ref="L7:L8"/>
    <mergeCell ref="I7:I8"/>
    <mergeCell ref="J7:J8"/>
    <mergeCell ref="D7:D8"/>
  </mergeCells>
  <phoneticPr fontId="43" type="noConversion"/>
  <hyperlinks>
    <hyperlink ref="B1" location="Index!A1" display="Back to Index"/>
  </hyperlinks>
  <printOptions horizontalCentered="1" verticalCentered="1"/>
  <pageMargins left="0.79000000000000015" right="0.79000000000000015" top="0.98" bottom="0.98" header="0.51" footer="0.51"/>
  <pageSetup paperSize="9" scale="84" orientation="portrait" horizontalDpi="4294967292" verticalDpi="4294967292"/>
  <ignoredErrors>
    <ignoredError sqref="I42:I46 E46 G37" formula="1"/>
    <ignoredError sqref="E42:E45" formula="1" emptyCellReference="1"/>
  </ignoredError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enableFormatConditionsCalculation="0">
    <tabColor theme="7" tint="0.59999389629810485"/>
    <pageSetUpPr fitToPage="1"/>
  </sheetPr>
  <dimension ref="A1:AO309"/>
  <sheetViews>
    <sheetView workbookViewId="0">
      <pane xSplit="1" ySplit="9" topLeftCell="B10" activePane="bottomRight" state="frozen"/>
      <selection activeCell="A3" sqref="A3:M3"/>
      <selection pane="topRight" activeCell="A3" sqref="A3:M3"/>
      <selection pane="bottomLeft" activeCell="A3" sqref="A3:M3"/>
      <selection pane="bottomRight" activeCell="A3" sqref="A3:P3"/>
    </sheetView>
  </sheetViews>
  <sheetFormatPr baseColWidth="10" defaultRowHeight="12" customHeight="1" x14ac:dyDescent="0"/>
  <cols>
    <col min="1" max="10" width="8.6640625" style="33" customWidth="1"/>
    <col min="11" max="11" width="8.83203125" style="33" customWidth="1"/>
    <col min="12" max="16" width="8.6640625" style="33" customWidth="1"/>
    <col min="17" max="18" width="9.6640625" style="33" customWidth="1"/>
    <col min="19" max="25" width="11.6640625" style="33" customWidth="1"/>
    <col min="26" max="29" width="11.6640625" style="65" customWidth="1"/>
    <col min="30" max="41" width="9.6640625" style="65" customWidth="1"/>
    <col min="42" max="93" width="9.6640625" style="33" customWidth="1"/>
    <col min="94" max="16384" width="10.83203125" style="33"/>
  </cols>
  <sheetData>
    <row r="1" spans="1:20" ht="12" customHeight="1">
      <c r="B1" s="2252" t="s">
        <v>1416</v>
      </c>
      <c r="C1" s="2252"/>
    </row>
    <row r="2" spans="1:20" ht="13" customHeight="1" thickBot="1"/>
    <row r="3" spans="1:20" ht="16" customHeight="1" thickTop="1">
      <c r="A3" s="2386" t="s">
        <v>1388</v>
      </c>
      <c r="B3" s="2387"/>
      <c r="C3" s="2387"/>
      <c r="D3" s="2387"/>
      <c r="E3" s="2387"/>
      <c r="F3" s="2387"/>
      <c r="G3" s="2387"/>
      <c r="H3" s="2387"/>
      <c r="I3" s="2387"/>
      <c r="J3" s="2387"/>
      <c r="K3" s="2387"/>
      <c r="L3" s="2387"/>
      <c r="M3" s="2387"/>
      <c r="N3" s="2387"/>
      <c r="O3" s="2387"/>
      <c r="P3" s="2388"/>
      <c r="Q3" s="34"/>
    </row>
    <row r="4" spans="1:20" ht="12" customHeight="1">
      <c r="A4" s="35"/>
      <c r="B4" s="36"/>
      <c r="C4" s="36"/>
      <c r="D4" s="36"/>
      <c r="E4" s="36"/>
      <c r="F4" s="36"/>
      <c r="G4" s="36"/>
      <c r="H4" s="36"/>
      <c r="I4" s="36"/>
      <c r="J4" s="36"/>
      <c r="K4" s="36"/>
      <c r="L4" s="36"/>
      <c r="M4" s="36"/>
      <c r="N4" s="36"/>
      <c r="O4" s="36"/>
      <c r="P4" s="37"/>
    </row>
    <row r="5" spans="1:20" ht="12" customHeight="1">
      <c r="A5" s="35"/>
      <c r="B5" s="38" t="s">
        <v>952</v>
      </c>
      <c r="C5" s="38" t="s">
        <v>953</v>
      </c>
      <c r="D5" s="38" t="s">
        <v>954</v>
      </c>
      <c r="E5" s="38" t="s">
        <v>955</v>
      </c>
      <c r="F5" s="38" t="s">
        <v>956</v>
      </c>
      <c r="G5" s="38" t="s">
        <v>957</v>
      </c>
      <c r="H5" s="38" t="s">
        <v>958</v>
      </c>
      <c r="I5" s="38" t="s">
        <v>959</v>
      </c>
      <c r="J5" s="38" t="s">
        <v>960</v>
      </c>
      <c r="K5" s="38" t="s">
        <v>961</v>
      </c>
      <c r="L5" s="38" t="s">
        <v>962</v>
      </c>
      <c r="M5" s="38" t="s">
        <v>963</v>
      </c>
      <c r="N5" s="38" t="s">
        <v>964</v>
      </c>
      <c r="O5" s="1083" t="s">
        <v>965</v>
      </c>
      <c r="P5" s="39" t="s">
        <v>120</v>
      </c>
      <c r="Q5" s="40"/>
    </row>
    <row r="6" spans="1:20" ht="39" customHeight="1">
      <c r="A6" s="2472"/>
      <c r="B6" s="2380" t="s">
        <v>891</v>
      </c>
      <c r="C6" s="2381"/>
      <c r="D6" s="2381"/>
      <c r="E6" s="2381"/>
      <c r="F6" s="2381"/>
      <c r="G6" s="2381"/>
      <c r="H6" s="2381"/>
      <c r="I6" s="2381"/>
      <c r="J6" s="2389"/>
      <c r="K6" s="2380" t="s">
        <v>896</v>
      </c>
      <c r="L6" s="2381"/>
      <c r="M6" s="2381"/>
      <c r="N6" s="2381"/>
      <c r="O6" s="2381"/>
      <c r="P6" s="2382"/>
      <c r="Q6" s="41"/>
    </row>
    <row r="7" spans="1:20" ht="15" customHeight="1">
      <c r="A7" s="2472"/>
      <c r="B7" s="2439" t="s">
        <v>25</v>
      </c>
      <c r="C7" s="2440"/>
      <c r="D7" s="2440"/>
      <c r="E7" s="2440"/>
      <c r="F7" s="2440"/>
      <c r="G7" s="2440"/>
      <c r="H7" s="2441"/>
      <c r="I7" s="2507" t="s">
        <v>762</v>
      </c>
      <c r="J7" s="2510" t="s">
        <v>892</v>
      </c>
      <c r="K7" s="2439" t="s">
        <v>25</v>
      </c>
      <c r="L7" s="2440"/>
      <c r="M7" s="2440"/>
      <c r="N7" s="2440"/>
      <c r="O7" s="2441"/>
      <c r="P7" s="2477" t="s">
        <v>894</v>
      </c>
      <c r="Q7" s="42"/>
    </row>
    <row r="8" spans="1:20" ht="79" customHeight="1">
      <c r="A8" s="2472"/>
      <c r="B8" s="11" t="s">
        <v>757</v>
      </c>
      <c r="C8" s="43" t="s">
        <v>970</v>
      </c>
      <c r="D8" s="1746" t="s">
        <v>1386</v>
      </c>
      <c r="E8" s="43" t="s">
        <v>971</v>
      </c>
      <c r="F8" s="44" t="s">
        <v>19</v>
      </c>
      <c r="G8" s="2396" t="s">
        <v>758</v>
      </c>
      <c r="H8" s="2513" t="s">
        <v>1387</v>
      </c>
      <c r="I8" s="2508"/>
      <c r="J8" s="2511"/>
      <c r="K8" s="11" t="s">
        <v>897</v>
      </c>
      <c r="L8" s="12" t="s">
        <v>890</v>
      </c>
      <c r="M8" s="12" t="s">
        <v>893</v>
      </c>
      <c r="N8" s="331" t="s">
        <v>969</v>
      </c>
      <c r="O8" s="324" t="s">
        <v>763</v>
      </c>
      <c r="P8" s="2478"/>
      <c r="Q8" s="46"/>
      <c r="S8" s="41"/>
      <c r="T8" s="41"/>
    </row>
    <row r="9" spans="1:20" ht="19" customHeight="1">
      <c r="A9" s="2472"/>
      <c r="B9" s="2149" t="s">
        <v>761</v>
      </c>
      <c r="C9" s="2154" t="s">
        <v>27</v>
      </c>
      <c r="D9" s="2154"/>
      <c r="E9" s="2154" t="s">
        <v>28</v>
      </c>
      <c r="F9" s="2151" t="s">
        <v>29</v>
      </c>
      <c r="G9" s="2397"/>
      <c r="H9" s="2514"/>
      <c r="I9" s="2509"/>
      <c r="J9" s="2512"/>
      <c r="K9" s="2149"/>
      <c r="L9" s="2154"/>
      <c r="M9" s="2201"/>
      <c r="N9" s="2154"/>
      <c r="O9" s="2202"/>
      <c r="P9" s="2479"/>
      <c r="Q9" s="46"/>
    </row>
    <row r="10" spans="1:20" ht="12" customHeight="1">
      <c r="A10" s="1729">
        <v>1928</v>
      </c>
      <c r="B10" s="945"/>
      <c r="C10" s="1252">
        <v>0</v>
      </c>
      <c r="D10" s="1322">
        <f>D11*DataUK1!ED87/DataUK1!ED88</f>
        <v>0</v>
      </c>
      <c r="E10" s="46"/>
      <c r="F10" s="16"/>
      <c r="G10" s="901"/>
      <c r="H10" s="1321"/>
      <c r="I10" s="1705"/>
      <c r="J10" s="1706"/>
      <c r="K10" s="1287"/>
      <c r="L10" s="1252">
        <f>TableUK6a!H83</f>
        <v>-1.1957771966314605</v>
      </c>
      <c r="M10" s="1748"/>
      <c r="N10" s="31">
        <f>TableUK6a!B83</f>
        <v>4.6330798479087454</v>
      </c>
      <c r="O10" s="332"/>
      <c r="P10" s="54"/>
      <c r="Q10" s="46"/>
    </row>
    <row r="11" spans="1:20" ht="12" customHeight="1">
      <c r="A11" s="1749">
        <v>1929</v>
      </c>
      <c r="B11" s="1344">
        <f t="shared" ref="B11:B26" si="0">B12*C11/C12</f>
        <v>0</v>
      </c>
      <c r="C11" s="1323">
        <f>(C10+D10)/(1+TableUK5a!D84)</f>
        <v>0</v>
      </c>
      <c r="D11" s="1323">
        <f>D12*DataUK1!ED88/DataUK1!ED89</f>
        <v>1.5753458376409196E-5</v>
      </c>
      <c r="E11" s="1750"/>
      <c r="F11" s="895"/>
      <c r="G11" s="902">
        <f t="shared" ref="G11:G26" si="1">G$49</f>
        <v>8.5927057475653997E-4</v>
      </c>
      <c r="H11" s="1751">
        <f t="shared" ref="H11:H26" si="2">B11-G11</f>
        <v>-8.5927057475653997E-4</v>
      </c>
      <c r="I11" s="1752"/>
      <c r="J11" s="1771">
        <f>H11/TableUK6a!M84</f>
        <v>-2.6420593841291145E-4</v>
      </c>
      <c r="K11" s="1288">
        <f t="shared" ref="K11:K26" si="3">L11+M11</f>
        <v>-1.1263195052668653</v>
      </c>
      <c r="L11" s="1253">
        <f>TableUK6a!H84</f>
        <v>-1.1254602346921088</v>
      </c>
      <c r="M11" s="1753">
        <f t="shared" ref="M11:M26" si="4">H11</f>
        <v>-8.5927057475653997E-4</v>
      </c>
      <c r="N11" s="1080">
        <f>TableUK6a!B84</f>
        <v>4.3777360159186385</v>
      </c>
      <c r="O11" s="1754">
        <f t="shared" ref="O11:O26" si="5">K11+N11</f>
        <v>3.2514165106517732</v>
      </c>
      <c r="P11" s="1755">
        <f t="shared" ref="P11:P74" si="6">K11/O11</f>
        <v>-0.3464088656673166</v>
      </c>
      <c r="Q11" s="46"/>
    </row>
    <row r="12" spans="1:20" ht="12" customHeight="1">
      <c r="A12" s="1729">
        <v>1930</v>
      </c>
      <c r="B12" s="945">
        <f t="shared" si="0"/>
        <v>9.7947963729609637E-6</v>
      </c>
      <c r="C12" s="1322">
        <f>(C11+D11)/(1+TableUK5a!D85)</f>
        <v>1.6071340566144925E-5</v>
      </c>
      <c r="D12" s="1322">
        <f>D13*DataUK1!ED89/DataUK1!ED90</f>
        <v>4.7260375129227592E-5</v>
      </c>
      <c r="E12" s="46"/>
      <c r="F12" s="16"/>
      <c r="G12" s="901">
        <f t="shared" si="1"/>
        <v>8.5927057475653997E-4</v>
      </c>
      <c r="H12" s="1321">
        <f t="shared" si="2"/>
        <v>-8.4947577838357898E-4</v>
      </c>
      <c r="I12" s="1705"/>
      <c r="J12" s="1770">
        <f>H12/TableUK6a!M85</f>
        <v>-2.5412408541385269E-4</v>
      </c>
      <c r="K12" s="1287">
        <f t="shared" si="3"/>
        <v>-1.0565579921874921</v>
      </c>
      <c r="L12" s="1252">
        <f>TableUK6a!H85</f>
        <v>-1.0557085164091085</v>
      </c>
      <c r="M12" s="1748">
        <f t="shared" si="4"/>
        <v>-8.4947577838357898E-4</v>
      </c>
      <c r="N12" s="31">
        <f>TableUK6a!B85</f>
        <v>4.3984683221165009</v>
      </c>
      <c r="O12" s="332">
        <f t="shared" si="5"/>
        <v>3.3419103299290089</v>
      </c>
      <c r="P12" s="54">
        <f t="shared" si="6"/>
        <v>-0.31615390237293894</v>
      </c>
      <c r="Q12" s="46"/>
    </row>
    <row r="13" spans="1:20" ht="12" customHeight="1">
      <c r="A13" s="1729">
        <v>1931</v>
      </c>
      <c r="B13" s="945">
        <f t="shared" si="0"/>
        <v>3.9365819389235147E-5</v>
      </c>
      <c r="C13" s="1322">
        <f>(C12+D12)/(1+TableUK5a!D86)</f>
        <v>6.4591591900393531E-5</v>
      </c>
      <c r="D13" s="1322">
        <f>D14*DataUK1!ED90/DataUK1!ED91</f>
        <v>7.8767291882045985E-5</v>
      </c>
      <c r="E13" s="46"/>
      <c r="F13" s="16"/>
      <c r="G13" s="901">
        <f t="shared" si="1"/>
        <v>8.5927057475653997E-4</v>
      </c>
      <c r="H13" s="1321">
        <f t="shared" si="2"/>
        <v>-8.1990475536730483E-4</v>
      </c>
      <c r="I13" s="1705"/>
      <c r="J13" s="1770">
        <f>H13/TableUK6a!M86</f>
        <v>-2.2599470162593989E-4</v>
      </c>
      <c r="K13" s="1287">
        <f t="shared" si="3"/>
        <v>-1.1700749987124006</v>
      </c>
      <c r="L13" s="1252">
        <f>TableUK6a!H86</f>
        <v>-1.1692550939570334</v>
      </c>
      <c r="M13" s="1748">
        <f t="shared" si="4"/>
        <v>-8.1990475536730483E-4</v>
      </c>
      <c r="N13" s="31">
        <f>TableUK6a!B86</f>
        <v>4.7972372964972871</v>
      </c>
      <c r="O13" s="332">
        <f t="shared" si="5"/>
        <v>3.6271622977848867</v>
      </c>
      <c r="P13" s="54">
        <f t="shared" si="6"/>
        <v>-0.32258688822029474</v>
      </c>
      <c r="Q13" s="46"/>
    </row>
    <row r="14" spans="1:20" ht="12" customHeight="1">
      <c r="A14" s="1729">
        <v>1932</v>
      </c>
      <c r="B14" s="945">
        <f t="shared" si="0"/>
        <v>8.6287451879859807E-5</v>
      </c>
      <c r="C14" s="1322">
        <f>(C13+D13)/(1+TableUK5a!D87)</f>
        <v>1.415807917737093E-4</v>
      </c>
      <c r="D14" s="1322">
        <f>D15*DataUK1!ED91/DataUK1!ED92</f>
        <v>9.4520750258455185E-5</v>
      </c>
      <c r="E14" s="46"/>
      <c r="F14" s="16"/>
      <c r="G14" s="901">
        <f t="shared" si="1"/>
        <v>8.5927057475653997E-4</v>
      </c>
      <c r="H14" s="1321">
        <f t="shared" si="2"/>
        <v>-7.7298312287668017E-4</v>
      </c>
      <c r="I14" s="1705"/>
      <c r="J14" s="1770">
        <f>H14/TableUK6a!M87</f>
        <v>-1.9421557006920804E-4</v>
      </c>
      <c r="K14" s="1287">
        <f t="shared" si="3"/>
        <v>-1.4368722568774193</v>
      </c>
      <c r="L14" s="1252">
        <f>TableUK6a!H87</f>
        <v>-1.4360992737545426</v>
      </c>
      <c r="M14" s="1748">
        <f t="shared" si="4"/>
        <v>-7.7298312287668017E-4</v>
      </c>
      <c r="N14" s="31">
        <f>TableUK6a!B87</f>
        <v>5.4161258112830755</v>
      </c>
      <c r="O14" s="332">
        <f t="shared" si="5"/>
        <v>3.9792535544056564</v>
      </c>
      <c r="P14" s="54">
        <f t="shared" si="6"/>
        <v>-0.36109090240971875</v>
      </c>
      <c r="Q14" s="46"/>
    </row>
    <row r="15" spans="1:20" ht="12" customHeight="1">
      <c r="A15" s="1729">
        <v>1933</v>
      </c>
      <c r="B15" s="945">
        <f t="shared" si="0"/>
        <v>1.3446677246020422E-4</v>
      </c>
      <c r="C15" s="1322">
        <f>(C14+D14)/(1+TableUK5a!D88)</f>
        <v>2.2063361123095729E-4</v>
      </c>
      <c r="D15" s="1322">
        <f>D16*DataUK1!ED92/DataUK1!ED93</f>
        <v>7.8767291882045985E-5</v>
      </c>
      <c r="E15" s="46"/>
      <c r="F15" s="16"/>
      <c r="G15" s="901">
        <f t="shared" si="1"/>
        <v>8.5927057475653997E-4</v>
      </c>
      <c r="H15" s="1321">
        <f t="shared" si="2"/>
        <v>-7.248038022963357E-4</v>
      </c>
      <c r="I15" s="1705"/>
      <c r="J15" s="1770">
        <f>H15/TableUK6a!M88</f>
        <v>-1.7834484071634714E-4</v>
      </c>
      <c r="K15" s="1287">
        <f t="shared" si="3"/>
        <v>-1.597632936134207</v>
      </c>
      <c r="L15" s="1252">
        <f>TableUK6a!H88</f>
        <v>-1.5969081323319108</v>
      </c>
      <c r="M15" s="1748">
        <f t="shared" si="4"/>
        <v>-7.248038022963357E-4</v>
      </c>
      <c r="N15" s="31">
        <f>TableUK6a!B88</f>
        <v>5.6609662760105239</v>
      </c>
      <c r="O15" s="332">
        <f t="shared" si="5"/>
        <v>4.0633333398763174</v>
      </c>
      <c r="P15" s="54">
        <f t="shared" si="6"/>
        <v>-0.39318283844830632</v>
      </c>
      <c r="Q15" s="46"/>
    </row>
    <row r="16" spans="1:20" ht="12" customHeight="1">
      <c r="A16" s="1729">
        <v>1934</v>
      </c>
      <c r="B16" s="945">
        <f t="shared" si="0"/>
        <v>1.7252730675018245E-4</v>
      </c>
      <c r="C16" s="1322">
        <f>(C15+D15)/(1+TableUK5a!D89)</f>
        <v>2.8308348618622046E-4</v>
      </c>
      <c r="D16" s="1322">
        <f>D17*DataUK1!ED93/DataUK1!ED94</f>
        <v>6.3013833505636785E-5</v>
      </c>
      <c r="E16" s="46"/>
      <c r="F16" s="16"/>
      <c r="G16" s="901">
        <f t="shared" si="1"/>
        <v>8.5927057475653997E-4</v>
      </c>
      <c r="H16" s="1321">
        <f t="shared" si="2"/>
        <v>-6.8674326800635753E-4</v>
      </c>
      <c r="I16" s="1705"/>
      <c r="J16" s="1770">
        <f>H16/TableUK6a!M89</f>
        <v>-1.6692740092203904E-4</v>
      </c>
      <c r="K16" s="1287">
        <f t="shared" si="3"/>
        <v>-1.5709688805272373</v>
      </c>
      <c r="L16" s="1252">
        <f>TableUK6a!H89</f>
        <v>-1.5702821372592308</v>
      </c>
      <c r="M16" s="1748">
        <f t="shared" si="4"/>
        <v>-6.8674326800635753E-4</v>
      </c>
      <c r="N16" s="31">
        <f>TableUK6a!B89</f>
        <v>5.6843057440072364</v>
      </c>
      <c r="O16" s="332">
        <f t="shared" si="5"/>
        <v>4.1133368634799989</v>
      </c>
      <c r="P16" s="54">
        <f t="shared" si="6"/>
        <v>-0.38192079391186873</v>
      </c>
      <c r="Q16" s="46"/>
    </row>
    <row r="17" spans="1:22" ht="12" customHeight="1">
      <c r="A17" s="1729">
        <v>1935</v>
      </c>
      <c r="B17" s="945">
        <f t="shared" si="0"/>
        <v>2.0290590709267153E-4</v>
      </c>
      <c r="C17" s="1322">
        <f>(C16+D16)/(1+TableUK5a!D90)</f>
        <v>3.3292881358625899E-4</v>
      </c>
      <c r="D17" s="1322">
        <f>D18*DataUK1!ED94/DataUK1!ED95</f>
        <v>5.5137104317432186E-5</v>
      </c>
      <c r="E17" s="46"/>
      <c r="F17" s="16"/>
      <c r="G17" s="901">
        <f t="shared" si="1"/>
        <v>8.5927057475653997E-4</v>
      </c>
      <c r="H17" s="1321">
        <f t="shared" si="2"/>
        <v>-6.5636466766386841E-4</v>
      </c>
      <c r="I17" s="1705"/>
      <c r="J17" s="1770">
        <f>H17/TableUK6a!M90</f>
        <v>-1.5350474935156376E-4</v>
      </c>
      <c r="K17" s="1287">
        <f t="shared" si="3"/>
        <v>-1.4431285128135312</v>
      </c>
      <c r="L17" s="1252">
        <f>TableUK6a!H90</f>
        <v>-1.4424721481458673</v>
      </c>
      <c r="M17" s="1748">
        <f t="shared" si="4"/>
        <v>-6.5636466766386841E-4</v>
      </c>
      <c r="N17" s="31">
        <f>TableUK6a!B90</f>
        <v>5.718331171638563</v>
      </c>
      <c r="O17" s="332">
        <f t="shared" si="5"/>
        <v>4.275202658825032</v>
      </c>
      <c r="P17" s="54">
        <f t="shared" si="6"/>
        <v>-0.33755791899936527</v>
      </c>
      <c r="Q17" s="46"/>
    </row>
    <row r="18" spans="1:22" ht="12" customHeight="1">
      <c r="A18" s="1729">
        <v>1936</v>
      </c>
      <c r="B18" s="945">
        <f t="shared" si="0"/>
        <v>2.2183650853705778E-4</v>
      </c>
      <c r="C18" s="1322">
        <f>(C17+D17)/(1+TableUK5a!D91)</f>
        <v>3.6399021918878454E-4</v>
      </c>
      <c r="D18" s="1322">
        <f>D19*DataUK1!ED95/DataUK1!ED96</f>
        <v>6.3013833505636785E-5</v>
      </c>
      <c r="E18" s="46"/>
      <c r="F18" s="16"/>
      <c r="G18" s="901">
        <f t="shared" si="1"/>
        <v>8.5927057475653997E-4</v>
      </c>
      <c r="H18" s="1321">
        <f t="shared" si="2"/>
        <v>-6.3743406621948225E-4</v>
      </c>
      <c r="I18" s="1705"/>
      <c r="J18" s="1770">
        <f>H18/TableUK6a!M91</f>
        <v>-1.6154755618018489E-4</v>
      </c>
      <c r="K18" s="1287">
        <f t="shared" si="3"/>
        <v>-1.3469004264957658</v>
      </c>
      <c r="L18" s="1252">
        <f>TableUK6a!H91</f>
        <v>-1.3462629924295464</v>
      </c>
      <c r="M18" s="1748">
        <f t="shared" si="4"/>
        <v>-6.3743406621948225E-4</v>
      </c>
      <c r="N18" s="31">
        <f>TableUK6a!B91</f>
        <v>5.2920612532742295</v>
      </c>
      <c r="O18" s="332">
        <f t="shared" si="5"/>
        <v>3.9451608267784639</v>
      </c>
      <c r="P18" s="54">
        <f t="shared" si="6"/>
        <v>-0.34140570831826306</v>
      </c>
      <c r="Q18" s="46"/>
    </row>
    <row r="19" spans="1:22" ht="12" customHeight="1">
      <c r="A19" s="1729">
        <v>1937</v>
      </c>
      <c r="B19" s="945">
        <f t="shared" si="0"/>
        <v>2.5744647580519509E-4</v>
      </c>
      <c r="C19" s="1322">
        <f>(C18+D18)/(1+TableUK5a!D92)</f>
        <v>4.2241919409788744E-4</v>
      </c>
      <c r="D19" s="1322">
        <f>D20*DataUK1!ED96/DataUK1!ED97</f>
        <v>7.0890562693841385E-5</v>
      </c>
      <c r="E19" s="46"/>
      <c r="F19" s="16"/>
      <c r="G19" s="901">
        <f t="shared" si="1"/>
        <v>8.5927057475653997E-4</v>
      </c>
      <c r="H19" s="1321">
        <f t="shared" si="2"/>
        <v>-6.0182409895134488E-4</v>
      </c>
      <c r="I19" s="1705"/>
      <c r="J19" s="1770">
        <f>H19/TableUK6a!M92</f>
        <v>-1.6731619072678903E-4</v>
      </c>
      <c r="K19" s="1287">
        <f t="shared" si="3"/>
        <v>-1.1777383741587142</v>
      </c>
      <c r="L19" s="1252">
        <f>TableUK6a!H92</f>
        <v>-1.1771365500597628</v>
      </c>
      <c r="M19" s="1748">
        <f t="shared" si="4"/>
        <v>-6.0182409895134488E-4</v>
      </c>
      <c r="N19" s="31">
        <f>TableUK6a!B92</f>
        <v>4.7740634005763685</v>
      </c>
      <c r="O19" s="332">
        <f t="shared" si="5"/>
        <v>3.5963250264176541</v>
      </c>
      <c r="P19" s="54">
        <f t="shared" si="6"/>
        <v>-0.32748385240693184</v>
      </c>
      <c r="Q19" s="46"/>
    </row>
    <row r="20" spans="1:22" ht="12" customHeight="1">
      <c r="A20" s="1729">
        <v>1938</v>
      </c>
      <c r="B20" s="945">
        <f t="shared" si="0"/>
        <v>3.0270333432146247E-4</v>
      </c>
      <c r="C20" s="1322">
        <f>(C19+D19)/(1+TableUK5a!D93)</f>
        <v>4.9667682626026955E-4</v>
      </c>
      <c r="D20" s="1322">
        <f>D21*DataUK1!ED97/DataUK1!ED98</f>
        <v>7.8767291882045985E-5</v>
      </c>
      <c r="E20" s="46"/>
      <c r="F20" s="16"/>
      <c r="G20" s="901">
        <f t="shared" si="1"/>
        <v>8.5927057475653997E-4</v>
      </c>
      <c r="H20" s="1321">
        <f t="shared" si="2"/>
        <v>-5.5656724043507745E-4</v>
      </c>
      <c r="I20" s="1705"/>
      <c r="J20" s="1770">
        <f>H20/TableUK6a!M93</f>
        <v>-1.5648694797422877E-4</v>
      </c>
      <c r="K20" s="1287">
        <f t="shared" si="3"/>
        <v>-1.0840191393227547</v>
      </c>
      <c r="L20" s="1252">
        <f>TableUK6a!H93</f>
        <v>-1.0834625720823197</v>
      </c>
      <c r="M20" s="1748">
        <f t="shared" si="4"/>
        <v>-5.5656724043507745E-4</v>
      </c>
      <c r="N20" s="31">
        <f>TableUK6a!B93</f>
        <v>4.6400993883792054</v>
      </c>
      <c r="O20" s="332">
        <f t="shared" si="5"/>
        <v>3.5560802490564507</v>
      </c>
      <c r="P20" s="54">
        <f t="shared" si="6"/>
        <v>-0.30483539836042284</v>
      </c>
      <c r="Q20" s="46"/>
    </row>
    <row r="21" spans="1:22" ht="12" customHeight="1">
      <c r="A21" s="1749">
        <v>1939</v>
      </c>
      <c r="B21" s="1344">
        <f t="shared" si="0"/>
        <v>3.2906965155379798E-4</v>
      </c>
      <c r="C21" s="1323">
        <f>(C20+D20)/(1+TableUK5a!D94)</f>
        <v>5.3993878368958795E-4</v>
      </c>
      <c r="D21" s="1323">
        <f>D22*DataUK1!ED98/DataUK1!ED99</f>
        <v>2.1267168808152418E-4</v>
      </c>
      <c r="E21" s="1750"/>
      <c r="F21" s="895"/>
      <c r="G21" s="902">
        <f t="shared" si="1"/>
        <v>8.5927057475653997E-4</v>
      </c>
      <c r="H21" s="1751">
        <f t="shared" si="2"/>
        <v>-5.30200923202742E-4</v>
      </c>
      <c r="I21" s="1752"/>
      <c r="J21" s="1771">
        <f>H21/TableUK6a!M94</f>
        <v>-1.6514064416513113E-4</v>
      </c>
      <c r="K21" s="1288">
        <f t="shared" si="3"/>
        <v>-1.2047659896014049</v>
      </c>
      <c r="L21" s="1253">
        <f>TableUK6a!H94</f>
        <v>-1.2042357886782022</v>
      </c>
      <c r="M21" s="1753">
        <f t="shared" si="4"/>
        <v>-5.30200923202742E-4</v>
      </c>
      <c r="N21" s="1080">
        <f>TableUK6a!B94</f>
        <v>4.4148380355276915</v>
      </c>
      <c r="O21" s="1754">
        <f t="shared" si="5"/>
        <v>3.2100720459262866</v>
      </c>
      <c r="P21" s="1755">
        <f t="shared" si="6"/>
        <v>-0.37530808416910844</v>
      </c>
      <c r="Q21" s="46"/>
    </row>
    <row r="22" spans="1:22" ht="12" customHeight="1">
      <c r="A22" s="1729">
        <v>1940</v>
      </c>
      <c r="B22" s="945">
        <f t="shared" si="0"/>
        <v>5.8068520201486395E-2</v>
      </c>
      <c r="C22" s="1252">
        <f>C21+(C$27-C$21)/6</f>
        <v>9.5279057245784962E-2</v>
      </c>
      <c r="D22" s="1322">
        <f>D23*DataUK1!ED99/DataUK1!ED100</f>
        <v>3.4657608428100239E-4</v>
      </c>
      <c r="E22" s="46"/>
      <c r="F22" s="16"/>
      <c r="G22" s="901">
        <f t="shared" si="1"/>
        <v>8.5927057475653997E-4</v>
      </c>
      <c r="H22" s="1321">
        <f t="shared" si="2"/>
        <v>5.7209249626729852E-2</v>
      </c>
      <c r="I22" s="1705"/>
      <c r="J22" s="1770">
        <f>H22/TableUK6a!M95</f>
        <v>2.0485114194481267E-2</v>
      </c>
      <c r="K22" s="1287">
        <f t="shared" si="3"/>
        <v>-1.2731453499194503</v>
      </c>
      <c r="L22" s="1252">
        <f>TableUK6a!H95</f>
        <v>-1.3303545995461801</v>
      </c>
      <c r="M22" s="1748">
        <f t="shared" si="4"/>
        <v>5.7209249626729852E-2</v>
      </c>
      <c r="N22" s="31">
        <f>TableUK6a!B95</f>
        <v>4.1230776023860738</v>
      </c>
      <c r="O22" s="332">
        <f t="shared" si="5"/>
        <v>2.8499322524666235</v>
      </c>
      <c r="P22" s="54">
        <f t="shared" si="6"/>
        <v>-0.44672828584523011</v>
      </c>
      <c r="Q22" s="46"/>
    </row>
    <row r="23" spans="1:22" ht="12" customHeight="1">
      <c r="A23" s="1729">
        <v>1941</v>
      </c>
      <c r="B23" s="945">
        <f t="shared" si="0"/>
        <v>0.11580797075141898</v>
      </c>
      <c r="C23" s="1252">
        <f>C22+(C$27-C$21)/6</f>
        <v>0.19001817570788032</v>
      </c>
      <c r="D23" s="1322">
        <f>D24*DataUK1!ED100/DataUK1!ED101</f>
        <v>4.8048048048048058E-4</v>
      </c>
      <c r="E23" s="46"/>
      <c r="F23" s="16"/>
      <c r="G23" s="901">
        <f t="shared" si="1"/>
        <v>8.5927057475653997E-4</v>
      </c>
      <c r="H23" s="1321">
        <f t="shared" si="2"/>
        <v>0.11494870017666244</v>
      </c>
      <c r="I23" s="1705"/>
      <c r="J23" s="1770">
        <f>H23/TableUK6a!M96</f>
        <v>4.4959878133107756E-2</v>
      </c>
      <c r="K23" s="1287">
        <f t="shared" si="3"/>
        <v>-1.2799263810811063</v>
      </c>
      <c r="L23" s="1252">
        <f>TableUK6a!H96</f>
        <v>-1.3948750812577688</v>
      </c>
      <c r="M23" s="1748">
        <f t="shared" si="4"/>
        <v>0.11494870017666244</v>
      </c>
      <c r="N23" s="31">
        <f>TableUK6a!B96</f>
        <v>3.9515701825288732</v>
      </c>
      <c r="O23" s="332">
        <f t="shared" si="5"/>
        <v>2.6716438014477668</v>
      </c>
      <c r="P23" s="54">
        <f t="shared" si="6"/>
        <v>-0.47907822906164094</v>
      </c>
      <c r="Q23" s="46"/>
    </row>
    <row r="24" spans="1:22" ht="12" customHeight="1">
      <c r="A24" s="1729">
        <v>1942</v>
      </c>
      <c r="B24" s="945">
        <f t="shared" si="0"/>
        <v>0.17354742130135156</v>
      </c>
      <c r="C24" s="1252">
        <f>C23+(C$27-C$21)/6</f>
        <v>0.28475729416997569</v>
      </c>
      <c r="D24" s="1322">
        <f>D25*DataUK1!ED101/DataUK1!ED102</f>
        <v>6.1438487667995871E-4</v>
      </c>
      <c r="E24" s="46"/>
      <c r="F24" s="16"/>
      <c r="G24" s="901">
        <f t="shared" si="1"/>
        <v>8.5927057475653997E-4</v>
      </c>
      <c r="H24" s="1321">
        <f t="shared" si="2"/>
        <v>0.17268815072659502</v>
      </c>
      <c r="I24" s="1705"/>
      <c r="J24" s="1770">
        <f>H24/TableUK6a!M97</f>
        <v>7.0926550716104361E-2</v>
      </c>
      <c r="K24" s="1287">
        <f t="shared" si="3"/>
        <v>-1.2916653990871518</v>
      </c>
      <c r="L24" s="1252">
        <f>TableUK6a!H97</f>
        <v>-1.4643535498137468</v>
      </c>
      <c r="M24" s="1748">
        <f t="shared" si="4"/>
        <v>0.17268815072659502</v>
      </c>
      <c r="N24" s="31">
        <f>TableUK6a!B97</f>
        <v>3.8990997623824204</v>
      </c>
      <c r="O24" s="332">
        <f t="shared" si="5"/>
        <v>2.6074343632952686</v>
      </c>
      <c r="P24" s="54">
        <f t="shared" si="6"/>
        <v>-0.49537791526792208</v>
      </c>
      <c r="Q24" s="46"/>
    </row>
    <row r="25" spans="1:22" ht="12" customHeight="1">
      <c r="A25" s="1729">
        <v>1943</v>
      </c>
      <c r="B25" s="945">
        <f t="shared" si="0"/>
        <v>0.23128687185128416</v>
      </c>
      <c r="C25" s="1252">
        <f>C24+(C$27-C$21)/6</f>
        <v>0.37949641263207107</v>
      </c>
      <c r="D25" s="1322">
        <f>D26*DataUK1!ED102/DataUK1!ED103</f>
        <v>7.4828927287943678E-4</v>
      </c>
      <c r="E25" s="46"/>
      <c r="F25" s="16"/>
      <c r="G25" s="901">
        <f t="shared" si="1"/>
        <v>8.5927057475653997E-4</v>
      </c>
      <c r="H25" s="1321">
        <f t="shared" si="2"/>
        <v>0.23042760127652762</v>
      </c>
      <c r="I25" s="1705"/>
      <c r="J25" s="1770">
        <f>H25/TableUK6a!M98</f>
        <v>9.747823145453674E-2</v>
      </c>
      <c r="K25" s="1287">
        <f t="shared" si="3"/>
        <v>-1.3586208367433683</v>
      </c>
      <c r="L25" s="1252">
        <f>TableUK6a!H98</f>
        <v>-1.5890484380198959</v>
      </c>
      <c r="M25" s="1748">
        <f t="shared" si="4"/>
        <v>0.23042760127652762</v>
      </c>
      <c r="N25" s="31">
        <f>TableUK6a!B98</f>
        <v>3.9529362295623356</v>
      </c>
      <c r="O25" s="332">
        <f t="shared" si="5"/>
        <v>2.5943153928189675</v>
      </c>
      <c r="P25" s="54">
        <f t="shared" si="6"/>
        <v>-0.52369146808595968</v>
      </c>
      <c r="Q25" s="46"/>
      <c r="U25" s="1747"/>
    </row>
    <row r="26" spans="1:22" ht="12" customHeight="1">
      <c r="A26" s="1729">
        <v>1944</v>
      </c>
      <c r="B26" s="945">
        <f t="shared" si="0"/>
        <v>0.28902632240121673</v>
      </c>
      <c r="C26" s="1252">
        <f>C25+(C$27-C$21)/6</f>
        <v>0.47423553109416644</v>
      </c>
      <c r="D26" s="1322">
        <f>D27*DataUK1!ED103/DataUK1!ED104</f>
        <v>8.8219366907891497E-4</v>
      </c>
      <c r="E26" s="46"/>
      <c r="F26" s="16"/>
      <c r="G26" s="901">
        <f t="shared" si="1"/>
        <v>8.5927057475653997E-4</v>
      </c>
      <c r="H26" s="1321">
        <f t="shared" si="2"/>
        <v>0.28816705182646019</v>
      </c>
      <c r="I26" s="1705"/>
      <c r="J26" s="1770">
        <f>H26/TableUK6a!M99</f>
        <v>0.12426162207794771</v>
      </c>
      <c r="K26" s="1287">
        <f t="shared" si="3"/>
        <v>-1.4759506390375883</v>
      </c>
      <c r="L26" s="1252">
        <f>TableUK6a!H99</f>
        <v>-1.7641176908640483</v>
      </c>
      <c r="M26" s="1748">
        <f t="shared" si="4"/>
        <v>0.28816705182646019</v>
      </c>
      <c r="N26" s="31">
        <f>TableUK6a!B99</f>
        <v>4.0831526994823708</v>
      </c>
      <c r="O26" s="332">
        <f t="shared" si="5"/>
        <v>2.6072020604447825</v>
      </c>
      <c r="P26" s="54">
        <f t="shared" si="6"/>
        <v>-0.56610519814708748</v>
      </c>
      <c r="Q26" s="46"/>
      <c r="U26" s="1747"/>
    </row>
    <row r="27" spans="1:22" ht="12" customHeight="1">
      <c r="A27" s="1729">
        <v>1945</v>
      </c>
      <c r="B27" s="945">
        <f t="shared" ref="B27:B47" si="7">B28*C27/C28</f>
        <v>0.34676577295114935</v>
      </c>
      <c r="C27" s="1252">
        <f>C28*(1+TableUK5a!D101)-TableUK6g!D27</f>
        <v>0.56897464955626187</v>
      </c>
      <c r="D27" s="1322">
        <f>D28*DataUK1!ED104/DataUK1!ED105</f>
        <v>1.0160980652783932E-3</v>
      </c>
      <c r="E27" s="46"/>
      <c r="F27" s="16"/>
      <c r="G27" s="901">
        <f>G$49</f>
        <v>8.5927057475653997E-4</v>
      </c>
      <c r="H27" s="1321">
        <f t="shared" ref="H27:H38" si="8">B27-G27</f>
        <v>0.34590650237639281</v>
      </c>
      <c r="I27" s="1705"/>
      <c r="J27" s="1770">
        <f>H27/TableUK6a!M100</f>
        <v>0.1483450490993253</v>
      </c>
      <c r="K27" s="1287">
        <f t="shared" ref="K27:K38" si="9">L27+M27</f>
        <v>-1.6097208430703784</v>
      </c>
      <c r="L27" s="1252">
        <f>TableUK6a!H100</f>
        <v>-1.9556273454467712</v>
      </c>
      <c r="M27" s="1748">
        <f t="shared" ref="M27:M38" si="10">H27</f>
        <v>0.34590650237639281</v>
      </c>
      <c r="N27" s="31">
        <f>TableUK6a!B100</f>
        <v>4.2873971245971969</v>
      </c>
      <c r="O27" s="332">
        <f t="shared" ref="O27:O38" si="11">K27+N27</f>
        <v>2.6776762815268187</v>
      </c>
      <c r="P27" s="54">
        <f t="shared" si="6"/>
        <v>-0.60116334979540953</v>
      </c>
      <c r="Q27" s="46"/>
      <c r="T27" s="1532"/>
      <c r="U27" s="1747"/>
    </row>
    <row r="28" spans="1:22" ht="12" customHeight="1">
      <c r="A28" s="1729">
        <v>1946</v>
      </c>
      <c r="B28" s="945">
        <f t="shared" si="7"/>
        <v>0.36483726763990715</v>
      </c>
      <c r="C28" s="1252">
        <f>C29*(1+TableUK5a!D102)-TableUK6g!D28</f>
        <v>0.59862642940173794</v>
      </c>
      <c r="D28" s="1322">
        <f>D29*DataUK1!ED105/DataUK1!ED106</f>
        <v>1.1500024614778713E-3</v>
      </c>
      <c r="E28" s="46"/>
      <c r="F28" s="16"/>
      <c r="G28" s="901">
        <f t="shared" ref="G28:G48" si="12">G$49</f>
        <v>8.5927057475653997E-4</v>
      </c>
      <c r="H28" s="1321">
        <f t="shared" si="8"/>
        <v>0.3639779970651506</v>
      </c>
      <c r="I28" s="1705"/>
      <c r="J28" s="1770">
        <f>H28/TableUK6a!M101</f>
        <v>0.15217621383342869</v>
      </c>
      <c r="K28" s="1287">
        <f t="shared" si="9"/>
        <v>-1.6942538843448025</v>
      </c>
      <c r="L28" s="1252">
        <f>TableUK6a!H101</f>
        <v>-2.0582318814099532</v>
      </c>
      <c r="M28" s="1748">
        <f t="shared" si="10"/>
        <v>0.3639779970651506</v>
      </c>
      <c r="N28" s="31">
        <f>TableUK6a!B101</f>
        <v>4.4500511276395844</v>
      </c>
      <c r="O28" s="332">
        <f t="shared" si="11"/>
        <v>2.7557972432947819</v>
      </c>
      <c r="P28" s="54">
        <f t="shared" si="6"/>
        <v>-0.61479627663724012</v>
      </c>
      <c r="Q28" s="46"/>
      <c r="T28" s="1532"/>
      <c r="U28" s="1747"/>
    </row>
    <row r="29" spans="1:22" ht="12" customHeight="1">
      <c r="A29" s="1729">
        <v>1947</v>
      </c>
      <c r="B29" s="945">
        <f t="shared" si="7"/>
        <v>0.35380530681608124</v>
      </c>
      <c r="C29" s="1252">
        <f>C30*(1+TableUK5a!D103)-TableUK6g!D29</f>
        <v>0.5805251445193369</v>
      </c>
      <c r="D29" s="1322">
        <f>D30*DataUK1!ED106/DataUK1!ED107</f>
        <v>1.2839068576773495E-3</v>
      </c>
      <c r="E29" s="46"/>
      <c r="F29" s="16"/>
      <c r="G29" s="901">
        <f t="shared" si="12"/>
        <v>8.5927057475653997E-4</v>
      </c>
      <c r="H29" s="1321">
        <f t="shared" si="8"/>
        <v>0.3529460362413247</v>
      </c>
      <c r="I29" s="1705"/>
      <c r="J29" s="1770">
        <f>H29/TableUK6a!M102</f>
        <v>0.20558185649304098</v>
      </c>
      <c r="K29" s="1287">
        <f t="shared" si="9"/>
        <v>-1.9002082621542145</v>
      </c>
      <c r="L29" s="1252">
        <f>TableUK6a!H102</f>
        <v>-2.2531542983955393</v>
      </c>
      <c r="M29" s="1748">
        <f t="shared" si="10"/>
        <v>0.3529460362413247</v>
      </c>
      <c r="N29" s="31">
        <f>TableUK6a!B102</f>
        <v>3.969969401936897</v>
      </c>
      <c r="O29" s="332">
        <f t="shared" si="11"/>
        <v>2.0697611397826825</v>
      </c>
      <c r="P29" s="54">
        <f t="shared" si="6"/>
        <v>-0.91808094452567102</v>
      </c>
      <c r="Q29" s="46"/>
      <c r="T29" s="1532"/>
    </row>
    <row r="30" spans="1:22" ht="12" customHeight="1">
      <c r="A30" s="1729">
        <v>1948</v>
      </c>
      <c r="B30" s="945">
        <f t="shared" si="7"/>
        <v>0.34614452523316275</v>
      </c>
      <c r="C30" s="1252">
        <f>C31*(1+TableUK5a!D104)-TableUK6g!D30</f>
        <v>0.56795530384742565</v>
      </c>
      <c r="D30" s="1252">
        <f>(DataUK1!ED107-DataUK1!CR107)/DataUK1!B107</f>
        <v>1.4178112538768277E-3</v>
      </c>
      <c r="E30" s="46"/>
      <c r="F30" s="16"/>
      <c r="G30" s="901">
        <f t="shared" si="12"/>
        <v>8.5927057475653997E-4</v>
      </c>
      <c r="H30" s="1321">
        <f t="shared" si="8"/>
        <v>0.3452852546584062</v>
      </c>
      <c r="I30" s="1705"/>
      <c r="J30" s="1770">
        <f>H30/TableUK6a!M103</f>
        <v>0.21356750436757457</v>
      </c>
      <c r="K30" s="1287">
        <f t="shared" si="9"/>
        <v>-1.6822605253947482</v>
      </c>
      <c r="L30" s="1252">
        <f>TableUK6a!H103</f>
        <v>-2.0275457800531544</v>
      </c>
      <c r="M30" s="1748">
        <f t="shared" si="10"/>
        <v>0.3452852546584062</v>
      </c>
      <c r="N30" s="31">
        <f>TableUK6a!B103</f>
        <v>3.644295742463775</v>
      </c>
      <c r="O30" s="332">
        <f t="shared" si="11"/>
        <v>1.9620352170690267</v>
      </c>
      <c r="P30" s="54">
        <f t="shared" si="6"/>
        <v>-0.85740587669358048</v>
      </c>
      <c r="Q30" s="46"/>
      <c r="T30" s="1532"/>
    </row>
    <row r="31" spans="1:22" ht="12" customHeight="1">
      <c r="A31" s="1749">
        <v>1949</v>
      </c>
      <c r="B31" s="1344">
        <f t="shared" si="7"/>
        <v>0.33483668359077035</v>
      </c>
      <c r="C31" s="1253">
        <f>C32*(1+TableUK5a!D105)-TableUK6g!D31</f>
        <v>0.54940135262853096</v>
      </c>
      <c r="D31" s="1253">
        <f>(DataUK1!ED108-DataUK1!CR108)/DataUK1!B108</f>
        <v>7.0815629425976835E-3</v>
      </c>
      <c r="E31" s="1750"/>
      <c r="F31" s="895"/>
      <c r="G31" s="902">
        <f t="shared" si="12"/>
        <v>8.5927057475653997E-4</v>
      </c>
      <c r="H31" s="1751">
        <f t="shared" si="8"/>
        <v>0.3339774130160138</v>
      </c>
      <c r="I31" s="1752"/>
      <c r="J31" s="1771">
        <f>H31/TableUK6a!M104</f>
        <v>0.18195581729454194</v>
      </c>
      <c r="K31" s="1288">
        <f t="shared" si="9"/>
        <v>-1.3716417416697433</v>
      </c>
      <c r="L31" s="1253">
        <f>TableUK6a!H104</f>
        <v>-1.7056191546857571</v>
      </c>
      <c r="M31" s="1753">
        <f t="shared" si="10"/>
        <v>0.3339774130160138</v>
      </c>
      <c r="N31" s="1080">
        <f>TableUK6a!B104</f>
        <v>3.5411054720887676</v>
      </c>
      <c r="O31" s="1754">
        <f t="shared" si="11"/>
        <v>2.1694637304190243</v>
      </c>
      <c r="P31" s="1755">
        <f t="shared" si="6"/>
        <v>-0.63224921552609481</v>
      </c>
      <c r="Q31" s="46"/>
      <c r="T31" s="1532"/>
      <c r="U31" s="1776"/>
      <c r="V31" s="1776"/>
    </row>
    <row r="32" spans="1:22" ht="12" customHeight="1">
      <c r="A32" s="1761">
        <v>1950</v>
      </c>
      <c r="B32" s="1775">
        <f t="shared" si="7"/>
        <v>0.33034491015947104</v>
      </c>
      <c r="C32" s="1704">
        <f>C33*(1+TableUK5a!D106)-TableUK6g!D32</f>
        <v>0.5420312330454784</v>
      </c>
      <c r="D32" s="1704">
        <f>(DataUK1!ED109-DataUK1!CR109)/DataUK1!B109</f>
        <v>7.4372972545296307E-3</v>
      </c>
      <c r="E32" s="1762"/>
      <c r="F32" s="1763"/>
      <c r="G32" s="1764">
        <f t="shared" si="12"/>
        <v>8.5927057475653997E-4</v>
      </c>
      <c r="H32" s="1765">
        <f t="shared" si="8"/>
        <v>0.3294856395847145</v>
      </c>
      <c r="I32" s="1766"/>
      <c r="J32" s="1772">
        <f>H32/TableUK6a!M105</f>
        <v>0.15846683403228234</v>
      </c>
      <c r="K32" s="1767">
        <f t="shared" si="9"/>
        <v>-1.1368286493263657</v>
      </c>
      <c r="L32" s="1704">
        <f>TableUK6a!H105</f>
        <v>-1.4663142889110803</v>
      </c>
      <c r="M32" s="1768">
        <f t="shared" si="10"/>
        <v>0.3294856395847145</v>
      </c>
      <c r="N32" s="333">
        <f>TableUK6a!B105</f>
        <v>3.545523112617325</v>
      </c>
      <c r="O32" s="1757">
        <f t="shared" si="11"/>
        <v>2.408694463290959</v>
      </c>
      <c r="P32" s="58">
        <f t="shared" si="6"/>
        <v>-0.47196880577918371</v>
      </c>
      <c r="Q32" s="46"/>
      <c r="T32" s="1532"/>
    </row>
    <row r="33" spans="1:20" ht="12" customHeight="1">
      <c r="A33" s="1729">
        <v>1951</v>
      </c>
      <c r="B33" s="945">
        <f t="shared" si="7"/>
        <v>0.32768866993552653</v>
      </c>
      <c r="C33" s="1252">
        <f>C34*(1+TableUK5a!D107)-TableUK6g!D33</f>
        <v>0.53767286359715061</v>
      </c>
      <c r="D33" s="1252">
        <f>(DataUK1!ED110-DataUK1!CR110)/DataUK1!B110</f>
        <v>9.1465610370903838E-3</v>
      </c>
      <c r="E33" s="46"/>
      <c r="F33" s="16"/>
      <c r="G33" s="901">
        <f t="shared" si="12"/>
        <v>8.5927057475653997E-4</v>
      </c>
      <c r="H33" s="1321">
        <f t="shared" si="8"/>
        <v>0.32682939936076999</v>
      </c>
      <c r="I33" s="1705"/>
      <c r="J33" s="1770">
        <f>H33/TableUK6a!M106</f>
        <v>0.15702091697049003</v>
      </c>
      <c r="K33" s="1287">
        <f t="shared" si="9"/>
        <v>-0.9586171305333584</v>
      </c>
      <c r="L33" s="1252">
        <f>TableUK6a!H106</f>
        <v>-1.2854465298941284</v>
      </c>
      <c r="M33" s="1748">
        <f t="shared" si="10"/>
        <v>0.32682939936076999</v>
      </c>
      <c r="N33" s="31">
        <f>TableUK6a!B106</f>
        <v>3.3668851411728613</v>
      </c>
      <c r="O33" s="332">
        <f t="shared" si="11"/>
        <v>2.4082680106395031</v>
      </c>
      <c r="P33" s="54">
        <f t="shared" si="6"/>
        <v>-0.39805251172140205</v>
      </c>
      <c r="Q33" s="46"/>
      <c r="T33" s="1532"/>
    </row>
    <row r="34" spans="1:20" ht="12" customHeight="1">
      <c r="A34" s="1729">
        <v>1952</v>
      </c>
      <c r="B34" s="945">
        <f t="shared" si="7"/>
        <v>0.33236183779158224</v>
      </c>
      <c r="C34" s="1252">
        <f>C35*(1+TableUK5a!D108)-TableUK6g!D34</f>
        <v>0.54534061586862825</v>
      </c>
      <c r="D34" s="1252">
        <f>(DataUK1!ED111-DataUK1!CR111)/DataUK1!B111</f>
        <v>1.020545185980932E-2</v>
      </c>
      <c r="E34" s="46"/>
      <c r="F34" s="16"/>
      <c r="G34" s="901">
        <f t="shared" si="12"/>
        <v>8.5927057475653997E-4</v>
      </c>
      <c r="H34" s="1321">
        <f t="shared" si="8"/>
        <v>0.33150256721682569</v>
      </c>
      <c r="I34" s="1705"/>
      <c r="J34" s="1770">
        <f>H34/TableUK6a!M107</f>
        <v>0.15613229381936117</v>
      </c>
      <c r="K34" s="1287">
        <f t="shared" si="9"/>
        <v>-0.75373774103762359</v>
      </c>
      <c r="L34" s="1252">
        <f>TableUK6a!H107</f>
        <v>-1.0852403082544493</v>
      </c>
      <c r="M34" s="1748">
        <f t="shared" si="10"/>
        <v>0.33150256721682569</v>
      </c>
      <c r="N34" s="31">
        <f>TableUK6a!B107</f>
        <v>3.2084561984940492</v>
      </c>
      <c r="O34" s="332">
        <f t="shared" si="11"/>
        <v>2.4547184574564254</v>
      </c>
      <c r="P34" s="54">
        <f t="shared" si="6"/>
        <v>-0.30705669676621294</v>
      </c>
      <c r="Q34" s="46"/>
      <c r="T34" s="1532"/>
    </row>
    <row r="35" spans="1:20" ht="12" customHeight="1">
      <c r="A35" s="1729">
        <v>1953</v>
      </c>
      <c r="B35" s="945">
        <f t="shared" si="7"/>
        <v>0.33203485680140826</v>
      </c>
      <c r="C35" s="1252">
        <f>C36*(1+TableUK5a!D109)-TableUK6g!D35</f>
        <v>0.54480410416877834</v>
      </c>
      <c r="D35" s="1252">
        <f>(DataUK1!ED112-DataUK1!CR112)/DataUK1!B112</f>
        <v>1.3377082281675921E-2</v>
      </c>
      <c r="E35" s="46"/>
      <c r="F35" s="16"/>
      <c r="G35" s="901">
        <f t="shared" si="12"/>
        <v>8.5927057475653997E-4</v>
      </c>
      <c r="H35" s="1321">
        <f t="shared" si="8"/>
        <v>0.33117558622665172</v>
      </c>
      <c r="I35" s="1705"/>
      <c r="J35" s="1770">
        <f>H35/TableUK6a!M108</f>
        <v>0.15935511126746968</v>
      </c>
      <c r="K35" s="1287">
        <f t="shared" si="9"/>
        <v>-0.69019506874533487</v>
      </c>
      <c r="L35" s="1252">
        <f>TableUK6a!H108</f>
        <v>-1.0213706549719865</v>
      </c>
      <c r="M35" s="1748">
        <f t="shared" si="10"/>
        <v>0.33117558622665172</v>
      </c>
      <c r="N35" s="31">
        <f>TableUK6a!B108</f>
        <v>3.0995944633742778</v>
      </c>
      <c r="O35" s="332">
        <f t="shared" si="11"/>
        <v>2.4093993946289429</v>
      </c>
      <c r="P35" s="54">
        <f t="shared" si="6"/>
        <v>-0.28645938497532814</v>
      </c>
      <c r="Q35" s="46"/>
      <c r="T35" s="1532"/>
    </row>
    <row r="36" spans="1:20" ht="12" customHeight="1">
      <c r="A36" s="1729">
        <v>1954</v>
      </c>
      <c r="B36" s="945">
        <f t="shared" si="7"/>
        <v>0.32672080600445308</v>
      </c>
      <c r="C36" s="1252">
        <f>C37*(1+TableUK5a!D110)-TableUK6g!D36</f>
        <v>0.5360847886371739</v>
      </c>
      <c r="D36" s="1252">
        <f>(DataUK1!ED113-DataUK1!CR113)/DataUK1!B113</f>
        <v>1.4544375185514989E-2</v>
      </c>
      <c r="E36" s="46"/>
      <c r="F36" s="16"/>
      <c r="G36" s="901">
        <f t="shared" si="12"/>
        <v>8.5927057475653997E-4</v>
      </c>
      <c r="H36" s="1321">
        <f t="shared" si="8"/>
        <v>0.32586153542969654</v>
      </c>
      <c r="I36" s="1705"/>
      <c r="J36" s="1770">
        <f>H36/TableUK6a!M109</f>
        <v>0.15450978156676876</v>
      </c>
      <c r="K36" s="1287">
        <f t="shared" si="9"/>
        <v>-0.6210483088766291</v>
      </c>
      <c r="L36" s="1252">
        <f>TableUK6a!H109</f>
        <v>-0.94690984430632563</v>
      </c>
      <c r="M36" s="1748">
        <f t="shared" si="10"/>
        <v>0.32586153542969654</v>
      </c>
      <c r="N36" s="31">
        <f>TableUK6a!B109</f>
        <v>3.0559124726537163</v>
      </c>
      <c r="O36" s="332">
        <f t="shared" si="11"/>
        <v>2.4348641637770871</v>
      </c>
      <c r="P36" s="54">
        <f t="shared" si="6"/>
        <v>-0.25506486896305003</v>
      </c>
      <c r="Q36" s="46"/>
      <c r="T36" s="1532"/>
    </row>
    <row r="37" spans="1:20" ht="12" customHeight="1">
      <c r="A37" s="1729">
        <v>1955</v>
      </c>
      <c r="B37" s="945">
        <f t="shared" si="7"/>
        <v>0.32787187633522707</v>
      </c>
      <c r="C37" s="1252">
        <f>C38*(1+TableUK5a!D111)-TableUK6g!D37</f>
        <v>0.53797346938121893</v>
      </c>
      <c r="D37" s="1252">
        <f>(DataUK1!ED114-DataUK1!CR114)/DataUK1!B114</f>
        <v>1.3652828085817777E-2</v>
      </c>
      <c r="E37" s="46"/>
      <c r="F37" s="16"/>
      <c r="G37" s="901">
        <f t="shared" si="12"/>
        <v>8.5927057475653997E-4</v>
      </c>
      <c r="H37" s="1321">
        <f t="shared" si="8"/>
        <v>0.32701260576047053</v>
      </c>
      <c r="I37" s="1705"/>
      <c r="J37" s="1770">
        <f>H37/TableUK6a!M110</f>
        <v>0.14579805584621963</v>
      </c>
      <c r="K37" s="1287">
        <f t="shared" si="9"/>
        <v>-0.45973624137966551</v>
      </c>
      <c r="L37" s="1252">
        <f>TableUK6a!H110</f>
        <v>-0.78674884714013604</v>
      </c>
      <c r="M37" s="1748">
        <f t="shared" si="10"/>
        <v>0.32701260576047053</v>
      </c>
      <c r="N37" s="31">
        <f>TableUK6a!B110</f>
        <v>3.0296635682073827</v>
      </c>
      <c r="O37" s="332">
        <f t="shared" si="11"/>
        <v>2.5699273268277172</v>
      </c>
      <c r="P37" s="54">
        <f t="shared" si="6"/>
        <v>-0.17889075561804216</v>
      </c>
      <c r="Q37" s="46"/>
      <c r="T37" s="1532"/>
    </row>
    <row r="38" spans="1:20" ht="12" customHeight="1">
      <c r="A38" s="1729">
        <v>1956</v>
      </c>
      <c r="B38" s="945">
        <f t="shared" si="7"/>
        <v>0.33209560273812738</v>
      </c>
      <c r="C38" s="1252">
        <f>C39*(1+TableUK5a!D112)-TableUK6g!D38</f>
        <v>0.54490377634161857</v>
      </c>
      <c r="D38" s="1252">
        <f>(DataUK1!ED115-DataUK1!CR115)/DataUK1!B115</f>
        <v>1.1853392253704183E-2</v>
      </c>
      <c r="E38" s="46"/>
      <c r="F38" s="16"/>
      <c r="G38" s="901">
        <f t="shared" si="12"/>
        <v>8.5927057475653997E-4</v>
      </c>
      <c r="H38" s="1321">
        <f t="shared" si="8"/>
        <v>0.33123633216337084</v>
      </c>
      <c r="I38" s="1705"/>
      <c r="J38" s="1770">
        <f>H38/TableUK6a!M111</f>
        <v>0.14304155658530177</v>
      </c>
      <c r="K38" s="1287">
        <f t="shared" si="9"/>
        <v>-0.31782060719263311</v>
      </c>
      <c r="L38" s="1252">
        <f>TableUK6a!H111</f>
        <v>-0.64905693935600395</v>
      </c>
      <c r="M38" s="1748">
        <f t="shared" si="10"/>
        <v>0.33123633216337084</v>
      </c>
      <c r="N38" s="31">
        <f>TableUK6a!B111</f>
        <v>2.9647219815344323</v>
      </c>
      <c r="O38" s="332">
        <f t="shared" si="11"/>
        <v>2.6469013743417991</v>
      </c>
      <c r="P38" s="54">
        <f t="shared" si="6"/>
        <v>-0.12007270473825836</v>
      </c>
      <c r="Q38" s="46"/>
      <c r="T38" s="1532"/>
    </row>
    <row r="39" spans="1:20" ht="12" customHeight="1">
      <c r="A39" s="50">
        <f t="shared" ref="A39:A51" si="13">A40-1</f>
        <v>1957</v>
      </c>
      <c r="B39" s="945">
        <f t="shared" si="7"/>
        <v>0.33515964777135498</v>
      </c>
      <c r="C39" s="62">
        <f>C40*(1+TableUK5a!D113)-TableUK6g!D39</f>
        <v>0.54993127353134519</v>
      </c>
      <c r="D39" s="1252">
        <f>(DataUK1!ED116-DataUK1!CR116)/DataUK1!B116</f>
        <v>1.317157712305026E-2</v>
      </c>
      <c r="E39" s="51"/>
      <c r="F39" s="52"/>
      <c r="G39" s="62">
        <f t="shared" si="12"/>
        <v>8.5927057475653997E-4</v>
      </c>
      <c r="H39" s="334">
        <f t="shared" ref="H39:H51" si="14">B39-G39</f>
        <v>0.33430037719659844</v>
      </c>
      <c r="I39" s="325">
        <f t="shared" ref="I39:I48" si="15">G39/B39</f>
        <v>2.5637650011576933E-3</v>
      </c>
      <c r="J39" s="1773">
        <f>H39/TableUK6a!M112</f>
        <v>0.1382218752397413</v>
      </c>
      <c r="K39" s="945">
        <f t="shared" ref="K39:K48" si="16">L39+M39</f>
        <v>-0.21110781894807851</v>
      </c>
      <c r="L39" s="62">
        <f>TableUK6a!H112</f>
        <v>-0.54540819614467695</v>
      </c>
      <c r="M39" s="1769">
        <f t="shared" ref="M39:M48" si="17">H39</f>
        <v>0.33430037719659844</v>
      </c>
      <c r="N39" s="31">
        <f>TableUK6a!B112</f>
        <v>2.9639861283045859</v>
      </c>
      <c r="O39" s="332">
        <f t="shared" ref="O39:O48" si="18">K39+N39</f>
        <v>2.7528783093565075</v>
      </c>
      <c r="P39" s="54">
        <f t="shared" si="6"/>
        <v>-7.6686215380666611E-2</v>
      </c>
      <c r="Q39" s="46"/>
      <c r="T39" s="1532"/>
    </row>
    <row r="40" spans="1:20" ht="12" customHeight="1">
      <c r="A40" s="50">
        <f t="shared" si="13"/>
        <v>1958</v>
      </c>
      <c r="B40" s="945">
        <f t="shared" si="7"/>
        <v>0.34081229124372736</v>
      </c>
      <c r="C40" s="51">
        <f>0.5*(DataUK3!CD117+DataUK3!CD118)/DataUK1!$B117</f>
        <v>0.55920615326179846</v>
      </c>
      <c r="D40" s="1252">
        <f>(DataUK1!ED117-DataUK1!CR117)/DataUK1!B117</f>
        <v>1.2914253157344981E-2</v>
      </c>
      <c r="E40" s="51"/>
      <c r="F40" s="52"/>
      <c r="G40" s="62">
        <f t="shared" si="12"/>
        <v>8.5927057475653997E-4</v>
      </c>
      <c r="H40" s="61">
        <f t="shared" si="14"/>
        <v>0.33995302066897082</v>
      </c>
      <c r="I40" s="325">
        <f t="shared" si="15"/>
        <v>2.5212429153326638E-3</v>
      </c>
      <c r="J40" s="326">
        <f>H40/TableUK6a!M113</f>
        <v>0.13495739626961159</v>
      </c>
      <c r="K40" s="20">
        <f t="shared" si="16"/>
        <v>-0.14890626599030776</v>
      </c>
      <c r="L40" s="21">
        <f>TableUK6a!H113</f>
        <v>-0.48885928665927858</v>
      </c>
      <c r="M40" s="53">
        <f t="shared" si="17"/>
        <v>0.33995302066897082</v>
      </c>
      <c r="N40" s="31">
        <f>TableUK6a!B113</f>
        <v>3.0078247532857136</v>
      </c>
      <c r="O40" s="332">
        <f t="shared" si="18"/>
        <v>2.8589184872954059</v>
      </c>
      <c r="P40" s="54">
        <f t="shared" si="6"/>
        <v>-5.2084823912267632E-2</v>
      </c>
      <c r="Q40" s="46"/>
      <c r="T40" s="1532"/>
    </row>
    <row r="41" spans="1:20" ht="12" customHeight="1">
      <c r="A41" s="1073">
        <f t="shared" si="13"/>
        <v>1959</v>
      </c>
      <c r="B41" s="1344">
        <f t="shared" si="7"/>
        <v>0.34046490449508482</v>
      </c>
      <c r="C41" s="1075">
        <f>0.5*(DataUK3!CD118+DataUK3!CD119)/DataUK1!$B118</f>
        <v>0.55863615971287572</v>
      </c>
      <c r="D41" s="1253">
        <f>(DataUK1!ED118-DataUK1!CR118)/DataUK1!B118</f>
        <v>1.4445939883355765E-2</v>
      </c>
      <c r="E41" s="1075"/>
      <c r="F41" s="1076"/>
      <c r="G41" s="1314">
        <f t="shared" si="12"/>
        <v>8.5927057475653997E-4</v>
      </c>
      <c r="H41" s="1077">
        <f t="shared" si="14"/>
        <v>0.33960563392032828</v>
      </c>
      <c r="I41" s="1758">
        <f t="shared" si="15"/>
        <v>2.5238154165430141E-3</v>
      </c>
      <c r="J41" s="1759">
        <f>H41/TableUK6a!M114</f>
        <v>0.13156490250552527</v>
      </c>
      <c r="K41" s="897">
        <f t="shared" si="16"/>
        <v>-0.11543475634960865</v>
      </c>
      <c r="L41" s="898">
        <f>TableUK6a!H114</f>
        <v>-0.45504039026993692</v>
      </c>
      <c r="M41" s="1760">
        <f t="shared" si="17"/>
        <v>0.33960563392032828</v>
      </c>
      <c r="N41" s="1080">
        <f>TableUK6a!B114</f>
        <v>3.03631873618796</v>
      </c>
      <c r="O41" s="1754">
        <f t="shared" si="18"/>
        <v>2.9208839798383512</v>
      </c>
      <c r="P41" s="1755">
        <f t="shared" si="6"/>
        <v>-3.9520486656233804E-2</v>
      </c>
      <c r="Q41" s="46"/>
      <c r="T41" s="1532"/>
    </row>
    <row r="42" spans="1:20" ht="12" customHeight="1">
      <c r="A42" s="55">
        <f t="shared" si="13"/>
        <v>1960</v>
      </c>
      <c r="B42" s="1775">
        <f t="shared" si="7"/>
        <v>0.33441265755066629</v>
      </c>
      <c r="C42" s="56">
        <f>0.5*(DataUK3!CD119+DataUK3!CD120)/DataUK1!$B119</f>
        <v>0.54870560902754728</v>
      </c>
      <c r="D42" s="1704">
        <f>(DataUK1!ED119-DataUK1!CR119)/DataUK1!B119</f>
        <v>1.3690673747095919E-2</v>
      </c>
      <c r="E42" s="56"/>
      <c r="F42" s="57"/>
      <c r="G42" s="1313">
        <f t="shared" si="12"/>
        <v>8.5927057475653997E-4</v>
      </c>
      <c r="H42" s="330">
        <f t="shared" si="14"/>
        <v>0.33355338697590975</v>
      </c>
      <c r="I42" s="327">
        <f t="shared" si="15"/>
        <v>2.5694917801559391E-3</v>
      </c>
      <c r="J42" s="328">
        <f>H42/TableUK6a!M115</f>
        <v>0.1268680355169047</v>
      </c>
      <c r="K42" s="25">
        <f t="shared" si="16"/>
        <v>-7.0563478671486046E-2</v>
      </c>
      <c r="L42" s="26">
        <f>TableUK6a!H115</f>
        <v>-0.4041168656473958</v>
      </c>
      <c r="M42" s="1756">
        <f t="shared" si="17"/>
        <v>0.33355338697590975</v>
      </c>
      <c r="N42" s="333">
        <f>TableUK6a!B115</f>
        <v>3.0332533980836134</v>
      </c>
      <c r="O42" s="1757">
        <f t="shared" si="18"/>
        <v>2.9626899194121274</v>
      </c>
      <c r="P42" s="58">
        <f t="shared" si="6"/>
        <v>-2.3817368874528597E-2</v>
      </c>
      <c r="Q42" s="46"/>
      <c r="T42" s="1532"/>
    </row>
    <row r="43" spans="1:20" ht="12" customHeight="1">
      <c r="A43" s="50">
        <f t="shared" si="13"/>
        <v>1961</v>
      </c>
      <c r="B43" s="945">
        <f t="shared" si="7"/>
        <v>0.3559079471258455</v>
      </c>
      <c r="C43" s="51">
        <f>0.5*(DataUK3!CD120+DataUK3!CD121)/DataUK1!$B120</f>
        <v>0.58397516504243951</v>
      </c>
      <c r="D43" s="1252">
        <f>(DataUK1!ED120-DataUK1!CR120)/DataUK1!B120</f>
        <v>1.3399874253379442E-2</v>
      </c>
      <c r="E43" s="51"/>
      <c r="F43" s="52"/>
      <c r="G43" s="62">
        <f t="shared" si="12"/>
        <v>8.5927057475653997E-4</v>
      </c>
      <c r="H43" s="61">
        <f t="shared" si="14"/>
        <v>0.35504867655108896</v>
      </c>
      <c r="I43" s="325">
        <f t="shared" si="15"/>
        <v>2.4143056700352645E-3</v>
      </c>
      <c r="J43" s="326">
        <f>H43/TableUK6a!M116</f>
        <v>0.13047312080116169</v>
      </c>
      <c r="K43" s="20">
        <f t="shared" si="16"/>
        <v>-1.0809854796827723E-2</v>
      </c>
      <c r="L43" s="21">
        <f>TableUK6a!H116</f>
        <v>-0.36585853134791668</v>
      </c>
      <c r="M43" s="53">
        <f t="shared" si="17"/>
        <v>0.35504867655108896</v>
      </c>
      <c r="N43" s="31">
        <f>TableUK6a!B116</f>
        <v>3.0870985413280239</v>
      </c>
      <c r="O43" s="332">
        <f t="shared" si="18"/>
        <v>3.0762886865311962</v>
      </c>
      <c r="P43" s="54">
        <f t="shared" si="6"/>
        <v>-3.5139272995269007E-3</v>
      </c>
      <c r="Q43" s="46"/>
      <c r="T43" s="1532"/>
    </row>
    <row r="44" spans="1:20" ht="12" customHeight="1">
      <c r="A44" s="50">
        <f t="shared" si="13"/>
        <v>1962</v>
      </c>
      <c r="B44" s="945">
        <f t="shared" si="7"/>
        <v>0.37862429063629821</v>
      </c>
      <c r="C44" s="51">
        <f>0.5*(DataUK3!CD121+DataUK3!CD122)/DataUK1!$B121</f>
        <v>0.62124823117598871</v>
      </c>
      <c r="D44" s="1252">
        <f>(DataUK1!ED121-DataUK1!CR121)/DataUK1!B121</f>
        <v>1.1841811275787591E-2</v>
      </c>
      <c r="E44" s="51"/>
      <c r="F44" s="52"/>
      <c r="G44" s="62">
        <f t="shared" si="12"/>
        <v>8.5927057475653997E-4</v>
      </c>
      <c r="H44" s="61">
        <f t="shared" si="14"/>
        <v>0.37776502006154167</v>
      </c>
      <c r="I44" s="325">
        <f t="shared" si="15"/>
        <v>2.2694544328164738E-3</v>
      </c>
      <c r="J44" s="326">
        <f>H44/TableUK6a!M117</f>
        <v>0.13615037052613047</v>
      </c>
      <c r="K44" s="20">
        <f t="shared" si="16"/>
        <v>-2.2572834951533061E-3</v>
      </c>
      <c r="L44" s="21">
        <f>TableUK6a!H117</f>
        <v>-0.38002230355669497</v>
      </c>
      <c r="M44" s="53">
        <f t="shared" si="17"/>
        <v>0.37776502006154167</v>
      </c>
      <c r="N44" s="31">
        <f>TableUK6a!B117</f>
        <v>3.1546384768490006</v>
      </c>
      <c r="O44" s="332">
        <f t="shared" si="18"/>
        <v>3.1523811933538473</v>
      </c>
      <c r="P44" s="54">
        <f t="shared" si="6"/>
        <v>-7.1605664312181781E-4</v>
      </c>
      <c r="Q44" s="46"/>
      <c r="T44" s="1532"/>
    </row>
    <row r="45" spans="1:20" ht="12" customHeight="1">
      <c r="A45" s="50">
        <f t="shared" si="13"/>
        <v>1963</v>
      </c>
      <c r="B45" s="945">
        <f t="shared" si="7"/>
        <v>0.39078660200750232</v>
      </c>
      <c r="C45" s="51">
        <f>0.5*(DataUK3!CD122+DataUK3!CD123)/DataUK1!$B122</f>
        <v>0.6412041997000214</v>
      </c>
      <c r="D45" s="1252">
        <f>(DataUK1!ED122-DataUK1!CR122)/DataUK1!B122</f>
        <v>1.2963359760017142E-2</v>
      </c>
      <c r="E45" s="51"/>
      <c r="F45" s="52"/>
      <c r="G45" s="62">
        <f t="shared" si="12"/>
        <v>8.5927057475653997E-4</v>
      </c>
      <c r="H45" s="61">
        <f t="shared" si="14"/>
        <v>0.38992733143274577</v>
      </c>
      <c r="I45" s="325">
        <f t="shared" si="15"/>
        <v>2.1988230157901976E-3</v>
      </c>
      <c r="J45" s="326">
        <f>H45/TableUK6a!M118</f>
        <v>0.13137214477008619</v>
      </c>
      <c r="K45" s="20">
        <f t="shared" si="16"/>
        <v>3.8962868303264842E-2</v>
      </c>
      <c r="L45" s="21">
        <f>TableUK6a!H118</f>
        <v>-0.35096446312948093</v>
      </c>
      <c r="M45" s="53">
        <f t="shared" si="17"/>
        <v>0.38992733143274577</v>
      </c>
      <c r="N45" s="31">
        <f>TableUK6a!B118</f>
        <v>3.3190771640003986</v>
      </c>
      <c r="O45" s="332">
        <f t="shared" si="18"/>
        <v>3.3580400323036637</v>
      </c>
      <c r="P45" s="54">
        <f t="shared" si="6"/>
        <v>1.1602859980360555E-2</v>
      </c>
      <c r="Q45" s="46"/>
      <c r="T45" s="1532"/>
    </row>
    <row r="46" spans="1:20" ht="12" customHeight="1">
      <c r="A46" s="50">
        <f t="shared" si="13"/>
        <v>1964</v>
      </c>
      <c r="B46" s="945">
        <f t="shared" si="7"/>
        <v>0.38785100484333662</v>
      </c>
      <c r="C46" s="51">
        <f>0.5*(DataUK3!CD123+DataUK3!CD124)/DataUK1!$B123</f>
        <v>0.63638746028106263</v>
      </c>
      <c r="D46" s="1252">
        <f>(DataUK1!ED123-DataUK1!CR123)/DataUK1!B123</f>
        <v>1.5396206636747798E-2</v>
      </c>
      <c r="E46" s="51"/>
      <c r="F46" s="52"/>
      <c r="G46" s="62">
        <f t="shared" si="12"/>
        <v>8.5927057475653997E-4</v>
      </c>
      <c r="H46" s="61">
        <f t="shared" si="14"/>
        <v>0.38699173426858008</v>
      </c>
      <c r="I46" s="325">
        <f t="shared" si="15"/>
        <v>2.2154656402234209E-3</v>
      </c>
      <c r="J46" s="326">
        <f>H46/TableUK6a!M119</f>
        <v>0.1333068877640973</v>
      </c>
      <c r="K46" s="20">
        <f t="shared" si="16"/>
        <v>7.6895451959266115E-2</v>
      </c>
      <c r="L46" s="21">
        <f>TableUK6a!H119</f>
        <v>-0.31009628230931396</v>
      </c>
      <c r="M46" s="53">
        <f t="shared" si="17"/>
        <v>0.38699173426858008</v>
      </c>
      <c r="N46" s="31">
        <f>TableUK6a!B119</f>
        <v>3.2131100782161606</v>
      </c>
      <c r="O46" s="332">
        <f t="shared" si="18"/>
        <v>3.2900055301754265</v>
      </c>
      <c r="P46" s="54">
        <f t="shared" si="6"/>
        <v>2.3372438512334649E-2</v>
      </c>
      <c r="Q46" s="46"/>
      <c r="T46" s="1532"/>
    </row>
    <row r="47" spans="1:20" ht="12" customHeight="1">
      <c r="A47" s="50">
        <f t="shared" si="13"/>
        <v>1965</v>
      </c>
      <c r="B47" s="945">
        <f t="shared" si="7"/>
        <v>0.39144052658450856</v>
      </c>
      <c r="C47" s="51">
        <f>0.5*(DataUK3!CD124+DataUK3!CD125)/DataUK1!$B124</f>
        <v>0.64227716172817062</v>
      </c>
      <c r="D47" s="1252">
        <f>(DataUK1!ED124-DataUK1!CR124)/DataUK1!B124</f>
        <v>1.5724413742955825E-2</v>
      </c>
      <c r="E47" s="51"/>
      <c r="F47" s="52"/>
      <c r="G47" s="62">
        <f t="shared" si="12"/>
        <v>8.5927057475653997E-4</v>
      </c>
      <c r="H47" s="61">
        <f t="shared" si="14"/>
        <v>0.39058125600975202</v>
      </c>
      <c r="I47" s="325">
        <f t="shared" si="15"/>
        <v>2.1951497517491486E-3</v>
      </c>
      <c r="J47" s="326">
        <f>H47/TableUK6a!M120</f>
        <v>0.13738224982431319</v>
      </c>
      <c r="K47" s="20">
        <f t="shared" si="16"/>
        <v>0.15255465361217635</v>
      </c>
      <c r="L47" s="21">
        <f>TableUK6a!H120</f>
        <v>-0.23802660239757567</v>
      </c>
      <c r="M47" s="53">
        <f t="shared" si="17"/>
        <v>0.39058125600975202</v>
      </c>
      <c r="N47" s="31">
        <f>TableUK6a!B120</f>
        <v>3.0810522225867496</v>
      </c>
      <c r="O47" s="332">
        <f t="shared" si="18"/>
        <v>3.2336068761989258</v>
      </c>
      <c r="P47" s="54">
        <f t="shared" si="6"/>
        <v>4.717786034383465E-2</v>
      </c>
      <c r="Q47" s="46"/>
      <c r="T47" s="1532"/>
    </row>
    <row r="48" spans="1:20" ht="12" customHeight="1">
      <c r="A48" s="50">
        <f t="shared" si="13"/>
        <v>1966</v>
      </c>
      <c r="B48" s="945">
        <f>B49*C48/C49</f>
        <v>0.40068681902734044</v>
      </c>
      <c r="C48" s="51">
        <f>0.5*(DataUK3!CD125+DataUK3!CD126)/DataUK1!$B125</f>
        <v>0.65744851487984424</v>
      </c>
      <c r="D48" s="1252">
        <f>(DataUK1!ED125-DataUK1!CR125)/DataUK1!B125</f>
        <v>1.7557929710995904E-2</v>
      </c>
      <c r="E48" s="51"/>
      <c r="F48" s="52"/>
      <c r="G48" s="62">
        <f t="shared" si="12"/>
        <v>8.5927057475653997E-4</v>
      </c>
      <c r="H48" s="61">
        <f t="shared" si="14"/>
        <v>0.39982754845258389</v>
      </c>
      <c r="I48" s="325">
        <f t="shared" si="15"/>
        <v>2.1444942382741784E-3</v>
      </c>
      <c r="J48" s="326">
        <f>H48/TableUK6a!M121</f>
        <v>0.13710117048662823</v>
      </c>
      <c r="K48" s="20">
        <f t="shared" si="16"/>
        <v>0.20510478806817073</v>
      </c>
      <c r="L48" s="21">
        <f>TableUK6a!H121</f>
        <v>-0.19472276038441316</v>
      </c>
      <c r="M48" s="53">
        <f t="shared" si="17"/>
        <v>0.39982754845258389</v>
      </c>
      <c r="N48" s="31">
        <f>TableUK6a!B121</f>
        <v>3.1110184202495486</v>
      </c>
      <c r="O48" s="332">
        <f t="shared" si="18"/>
        <v>3.3161232083177192</v>
      </c>
      <c r="P48" s="54">
        <f t="shared" si="6"/>
        <v>6.1850774287792849E-2</v>
      </c>
      <c r="Q48" s="46"/>
      <c r="T48" s="1532"/>
    </row>
    <row r="49" spans="1:21" ht="12" customHeight="1">
      <c r="A49" s="50">
        <f t="shared" si="13"/>
        <v>1967</v>
      </c>
      <c r="B49" s="20">
        <f>C49+E49-F49</f>
        <v>0.42277476199569008</v>
      </c>
      <c r="C49" s="51">
        <f>0.5*(DataUK3!CD126+DataUK3!CD127)/DataUK1!$B126</f>
        <v>0.69369049892250201</v>
      </c>
      <c r="D49" s="1252">
        <f>(DataUK1!ED126-DataUK1!CR126)/DataUK1!B126</f>
        <v>2.0186038899042528E-2</v>
      </c>
      <c r="E49" s="51">
        <f>0.5*(DataUK3!CE126+DataUK3!CE127)/DataUK1!$B126</f>
        <v>5.6261763823344878E-2</v>
      </c>
      <c r="F49" s="52">
        <f>0.5*(DataUK3!CF126+DataUK3!CF127-DataUK3!CG126-DataUK3!CG127)/DataUK1!$B126</f>
        <v>0.32717750075015684</v>
      </c>
      <c r="G49" s="51">
        <f>0.5*(DataUK3!CG126+DataUK3!CG127)/DataUK1!$B126</f>
        <v>8.5927057475653997E-4</v>
      </c>
      <c r="H49" s="61">
        <f t="shared" si="14"/>
        <v>0.42191549142093354</v>
      </c>
      <c r="I49" s="325">
        <f>G49/B49</f>
        <v>2.0324547536858402E-3</v>
      </c>
      <c r="J49" s="326">
        <f>H49/TableUK6a!M122</f>
        <v>0.13929726005694013</v>
      </c>
      <c r="K49" s="20">
        <f>L49+M49</f>
        <v>0.29863062276657848</v>
      </c>
      <c r="L49" s="21">
        <f>TableUK6a!H122</f>
        <v>-0.12328486865435506</v>
      </c>
      <c r="M49" s="53">
        <f>H49</f>
        <v>0.42191549142093354</v>
      </c>
      <c r="N49" s="31">
        <f>TableUK6a!B122</f>
        <v>3.1521706575669901</v>
      </c>
      <c r="O49" s="332">
        <f>K49+N49</f>
        <v>3.4508012803335686</v>
      </c>
      <c r="P49" s="54">
        <f t="shared" si="6"/>
        <v>8.6539501555334894E-2</v>
      </c>
      <c r="Q49" s="46"/>
      <c r="R49" s="1747"/>
      <c r="T49" s="1532"/>
    </row>
    <row r="50" spans="1:21" ht="12" customHeight="1">
      <c r="A50" s="50">
        <f t="shared" si="13"/>
        <v>1968</v>
      </c>
      <c r="B50" s="20">
        <f>C50+E50-F50</f>
        <v>0.44137034043842821</v>
      </c>
      <c r="C50" s="51">
        <f>0.5*(DataUK3!CD127+DataUK3!CD128)/DataUK1!$B127</f>
        <v>0.72219416102636635</v>
      </c>
      <c r="D50" s="1252">
        <f>(DataUK1!ED127-DataUK1!CR127)/DataUK1!B127</f>
        <v>1.4597434084250934E-2</v>
      </c>
      <c r="E50" s="51">
        <f>0.5*(DataUK3!CE127+DataUK3!CE128)/DataUK1!$B127</f>
        <v>6.3870087887665419E-2</v>
      </c>
      <c r="F50" s="52">
        <f>0.5*(DataUK3!CF127+DataUK3!CF128-DataUK3!CG127-DataUK3!CG128)/DataUK1!$B127</f>
        <v>0.34469390847560361</v>
      </c>
      <c r="G50" s="51">
        <f>0.5*(DataUK3!CG127+DataUK3!CG128)/DataUK1!$B127</f>
        <v>8.0816244065057079E-4</v>
      </c>
      <c r="H50" s="61">
        <f t="shared" si="14"/>
        <v>0.44056217799777764</v>
      </c>
      <c r="I50" s="325">
        <f>G50/B50</f>
        <v>1.8310302406088174E-3</v>
      </c>
      <c r="J50" s="326">
        <f>H50/TableUK6a!M123</f>
        <v>0.14494344431496844</v>
      </c>
      <c r="K50" s="20">
        <f>L50+M50</f>
        <v>0.3789019092837661</v>
      </c>
      <c r="L50" s="21">
        <f>TableUK6a!H123</f>
        <v>-6.1660268714011535E-2</v>
      </c>
      <c r="M50" s="53">
        <f>H50</f>
        <v>0.44056217799777764</v>
      </c>
      <c r="N50" s="31">
        <f>TableUK6a!B123</f>
        <v>3.1012056588485031</v>
      </c>
      <c r="O50" s="332">
        <f>K50+N50</f>
        <v>3.4801075681322691</v>
      </c>
      <c r="P50" s="54">
        <f t="shared" si="6"/>
        <v>0.1088764935754897</v>
      </c>
      <c r="Q50" s="46"/>
      <c r="R50" s="1747"/>
      <c r="T50" s="1532"/>
    </row>
    <row r="51" spans="1:21" ht="12" customHeight="1">
      <c r="A51" s="1073">
        <f t="shared" si="13"/>
        <v>1969</v>
      </c>
      <c r="B51" s="897">
        <f>C51+E51-F51</f>
        <v>0.47115718351574609</v>
      </c>
      <c r="C51" s="1075">
        <f>0.5*(DataUK3!CD128+DataUK3!CD129)/DataUK1!$B128</f>
        <v>0.72684360321169905</v>
      </c>
      <c r="D51" s="1253">
        <f>(DataUK1!ED128-DataUK1!CR128)/DataUK1!B128</f>
        <v>8.4226114723372752E-3</v>
      </c>
      <c r="E51" s="1075">
        <f>0.5*(DataUK3!CE128+DataUK3!CE129)/DataUK1!$B128</f>
        <v>6.5205821783094614E-2</v>
      </c>
      <c r="F51" s="1076">
        <f>0.5*(DataUK3!CF128+DataUK3!CF129-DataUK3!CG128-DataUK3!CG129)/DataUK1!$B128</f>
        <v>0.3208922414790476</v>
      </c>
      <c r="G51" s="1075">
        <f>0.5*(DataUK3!CG128+DataUK3!CG129)/DataUK1!$B128</f>
        <v>8.4457505148436958E-4</v>
      </c>
      <c r="H51" s="1077">
        <f t="shared" si="14"/>
        <v>0.47031260846426171</v>
      </c>
      <c r="I51" s="1758">
        <f>G51/B51</f>
        <v>1.7925547588645517E-3</v>
      </c>
      <c r="J51" s="1759">
        <f>H51/TableUK6a!M124</f>
        <v>0.15480630827766154</v>
      </c>
      <c r="K51" s="897">
        <f>L51+M51</f>
        <v>0.47762454589629066</v>
      </c>
      <c r="L51" s="898">
        <f>TableUK6a!H124</f>
        <v>7.3119374320289587E-3</v>
      </c>
      <c r="M51" s="1760">
        <f>H51</f>
        <v>0.47031260846426171</v>
      </c>
      <c r="N51" s="1080">
        <f>TableUK6a!B124</f>
        <v>3.0307594027920799</v>
      </c>
      <c r="O51" s="1754">
        <f>K51+N51</f>
        <v>3.5083839486883708</v>
      </c>
      <c r="P51" s="1755">
        <f t="shared" si="6"/>
        <v>0.13613804899399717</v>
      </c>
      <c r="Q51" s="46"/>
      <c r="R51" s="1747"/>
      <c r="T51" s="1532"/>
    </row>
    <row r="52" spans="1:21" ht="12" customHeight="1">
      <c r="A52" s="55">
        <f t="shared" ref="A52:A68" si="19">A53-1</f>
        <v>1970</v>
      </c>
      <c r="B52" s="25">
        <f t="shared" ref="B52:B68" si="20">C52+E52-F52</f>
        <v>0.505983032247172</v>
      </c>
      <c r="C52" s="56">
        <f>0.5*(DataUK3!CD129+DataUK3!CD130)/DataUK1!$B129</f>
        <v>0.73607124767854126</v>
      </c>
      <c r="D52" s="1704">
        <f>(DataUK1!ED129-DataUK1!CR129)/DataUK1!B129</f>
        <v>8.5893972648995436E-3</v>
      </c>
      <c r="E52" s="56">
        <f>0.5*(DataUK3!CE129+DataUK3!CE130)/DataUK1!$B129</f>
        <v>6.5359615059935844E-2</v>
      </c>
      <c r="F52" s="57">
        <f>0.5*(DataUK3!CF129+DataUK3!CF130-DataUK3!CG129-DataUK3!CG130)/DataUK1!$B129</f>
        <v>0.29544783049130507</v>
      </c>
      <c r="G52" s="56">
        <f>0.5*(DataUK3!CG129+DataUK3!CG130)/DataUK1!$B129</f>
        <v>8.758230626371771E-4</v>
      </c>
      <c r="H52" s="330">
        <f t="shared" ref="H52:H91" si="21">B52-G52</f>
        <v>0.50510720918453478</v>
      </c>
      <c r="I52" s="327">
        <f t="shared" ref="I52:I69" si="22">G52/B52</f>
        <v>1.7309336614460596E-3</v>
      </c>
      <c r="J52" s="328">
        <f>H52/TableUK6a!M125</f>
        <v>0.16075129748012648</v>
      </c>
      <c r="K52" s="25">
        <f>L52+M52</f>
        <v>0.59121222353537051</v>
      </c>
      <c r="L52" s="26">
        <f>TableUK6a!H125</f>
        <v>8.6105014350835729E-2</v>
      </c>
      <c r="M52" s="1756">
        <f>H52</f>
        <v>0.50510720918453478</v>
      </c>
      <c r="N52" s="333">
        <f>TableUK6a!B125</f>
        <v>3.0560606608405614</v>
      </c>
      <c r="O52" s="1757">
        <f>K52+N52</f>
        <v>3.6472728843759317</v>
      </c>
      <c r="P52" s="58">
        <f t="shared" si="6"/>
        <v>0.16209706327924792</v>
      </c>
      <c r="Q52" s="48"/>
      <c r="R52" s="1747"/>
      <c r="S52" s="49"/>
      <c r="T52" s="1532"/>
      <c r="U52" s="49"/>
    </row>
    <row r="53" spans="1:21" ht="12" customHeight="1">
      <c r="A53" s="50">
        <f t="shared" si="19"/>
        <v>1971</v>
      </c>
      <c r="B53" s="20">
        <f t="shared" si="20"/>
        <v>0.54633479633479631</v>
      </c>
      <c r="C53" s="51">
        <f>0.5*(DataUK3!CD130+DataUK3!CD131)/DataUK1!$B130</f>
        <v>0.77437052437052434</v>
      </c>
      <c r="D53" s="1252">
        <f>(DataUK1!ED130-DataUK1!CR130)/DataUK1!B130</f>
        <v>7.546007546007546E-3</v>
      </c>
      <c r="E53" s="51">
        <f>0.5*(DataUK3!CE130+DataUK3!CE131)/DataUK1!$B130</f>
        <v>6.2957187957187952E-2</v>
      </c>
      <c r="F53" s="52">
        <f>0.5*(DataUK3!CF130+DataUK3!CF131-DataUK3!CG130-DataUK3!CG131)/DataUK1!$B130</f>
        <v>0.29099291599291599</v>
      </c>
      <c r="G53" s="51">
        <f>0.5*(DataUK3!CG130+DataUK3!CG131)/DataUK1!$B130</f>
        <v>9.0475090475090479E-4</v>
      </c>
      <c r="H53" s="61">
        <f t="shared" si="21"/>
        <v>0.54543004543004536</v>
      </c>
      <c r="I53" s="325">
        <f t="shared" si="22"/>
        <v>1.6560374898699835E-3</v>
      </c>
      <c r="J53" s="326">
        <f>H53/TableUK6a!M126</f>
        <v>0.1591787028608137</v>
      </c>
      <c r="K53" s="20">
        <f t="shared" ref="K53:K92" si="23">L53+M53</f>
        <v>0.69059444059444064</v>
      </c>
      <c r="L53" s="21">
        <f>TableUK6a!H126</f>
        <v>0.14516439516439528</v>
      </c>
      <c r="M53" s="53">
        <f t="shared" ref="M53:M92" si="24">H53</f>
        <v>0.54543004543004536</v>
      </c>
      <c r="N53" s="31">
        <f>TableUK6a!B126</f>
        <v>3.2813621164065081</v>
      </c>
      <c r="O53" s="332">
        <f t="shared" ref="O53:O92" si="25">K53+N53</f>
        <v>3.971956557000949</v>
      </c>
      <c r="P53" s="54">
        <f t="shared" si="6"/>
        <v>0.17386757148116402</v>
      </c>
      <c r="Q53" s="48"/>
      <c r="R53" s="1747"/>
      <c r="S53" s="49"/>
      <c r="T53" s="1532"/>
      <c r="U53" s="49"/>
    </row>
    <row r="54" spans="1:21" ht="12" customHeight="1">
      <c r="A54" s="50">
        <f t="shared" si="19"/>
        <v>1972</v>
      </c>
      <c r="B54" s="20">
        <f t="shared" si="20"/>
        <v>0.59412190207188731</v>
      </c>
      <c r="C54" s="51">
        <f>0.5*(DataUK3!CD131+DataUK3!CD132)/DataUK1!$B131</f>
        <v>0.81048171813375125</v>
      </c>
      <c r="D54" s="1252">
        <f>(DataUK1!ED131-DataUK1!CR131)/DataUK1!B131</f>
        <v>2.411174069545149E-3</v>
      </c>
      <c r="E54" s="51">
        <f>0.5*(DataUK3!CE131+DataUK3!CE132)/DataUK1!$B131</f>
        <v>6.1088817319118888E-2</v>
      </c>
      <c r="F54" s="52">
        <f>0.5*(DataUK3!CF131+DataUK3!CF132-DataUK3!CG131-DataUK3!CG132)/DataUK1!$B131</f>
        <v>0.27744863338098275</v>
      </c>
      <c r="G54" s="51">
        <f>0.5*(DataUK3!CG131+DataUK3!CG132)/DataUK1!$B131</f>
        <v>8.9557894011676976E-4</v>
      </c>
      <c r="H54" s="61">
        <f t="shared" si="21"/>
        <v>0.59322632313177059</v>
      </c>
      <c r="I54" s="325">
        <f t="shared" si="22"/>
        <v>1.5073993013784012E-3</v>
      </c>
      <c r="J54" s="326">
        <f>H54/TableUK6a!M127</f>
        <v>0.15885725046890595</v>
      </c>
      <c r="K54" s="20">
        <f t="shared" si="23"/>
        <v>0.79238930127619989</v>
      </c>
      <c r="L54" s="21">
        <f>TableUK6a!H127</f>
        <v>0.19916297814442929</v>
      </c>
      <c r="M54" s="53">
        <f t="shared" si="24"/>
        <v>0.59322632313177059</v>
      </c>
      <c r="N54" s="31">
        <f>TableUK6a!B127</f>
        <v>3.5351728572091243</v>
      </c>
      <c r="O54" s="332">
        <f t="shared" si="25"/>
        <v>4.3275621584853239</v>
      </c>
      <c r="P54" s="54">
        <f t="shared" si="6"/>
        <v>0.18310292775864864</v>
      </c>
      <c r="Q54" s="48"/>
      <c r="R54" s="1747"/>
      <c r="S54" s="49"/>
      <c r="T54" s="1532"/>
      <c r="U54" s="49"/>
    </row>
    <row r="55" spans="1:21" ht="12" customHeight="1">
      <c r="A55" s="50">
        <f t="shared" si="19"/>
        <v>1973</v>
      </c>
      <c r="B55" s="20">
        <f t="shared" si="20"/>
        <v>0.65187306132188028</v>
      </c>
      <c r="C55" s="51">
        <f>0.5*(DataUK3!CD132+DataUK3!CD133)/DataUK1!$B132</f>
        <v>0.8368378668575519</v>
      </c>
      <c r="D55" s="1252">
        <f>(DataUK1!ED132-DataUK1!CR132)/DataUK1!B132</f>
        <v>2.6097590073968025E-3</v>
      </c>
      <c r="E55" s="51">
        <f>0.5*(DataUK3!CE132+DataUK3!CE133)/DataUK1!$B132</f>
        <v>6.2395609639704128E-2</v>
      </c>
      <c r="F55" s="52">
        <f>0.5*(DataUK3!CF132+DataUK3!CF133-DataUK3!CG132-DataUK3!CG133)/DataUK1!$B132</f>
        <v>0.2473604151753758</v>
      </c>
      <c r="G55" s="51">
        <f>0.5*(DataUK3!CG132+DataUK3!CG133)/DataUK1!$B132</f>
        <v>7.9038415652588881E-4</v>
      </c>
      <c r="H55" s="61">
        <f t="shared" si="21"/>
        <v>0.6510826771653544</v>
      </c>
      <c r="I55" s="325">
        <f t="shared" si="22"/>
        <v>1.2124816983894581E-3</v>
      </c>
      <c r="J55" s="326">
        <f>H55/TableUK6a!M128</f>
        <v>0.1770289996657578</v>
      </c>
      <c r="K55" s="20">
        <f t="shared" si="23"/>
        <v>0.92736667859699373</v>
      </c>
      <c r="L55" s="21">
        <f>TableUK6a!H128</f>
        <v>0.27628400143163934</v>
      </c>
      <c r="M55" s="53">
        <f t="shared" si="24"/>
        <v>0.6510826771653544</v>
      </c>
      <c r="N55" s="31">
        <f>TableUK6a!B128</f>
        <v>3.4015466274181003</v>
      </c>
      <c r="O55" s="332">
        <f t="shared" si="25"/>
        <v>4.3289133060150942</v>
      </c>
      <c r="P55" s="54">
        <f t="shared" si="6"/>
        <v>0.214226207142657</v>
      </c>
      <c r="Q55" s="48"/>
      <c r="R55" s="1747"/>
      <c r="S55" s="49"/>
      <c r="T55" s="1532"/>
      <c r="U55" s="49"/>
    </row>
    <row r="56" spans="1:21" ht="12" customHeight="1">
      <c r="A56" s="50">
        <f t="shared" si="19"/>
        <v>1974</v>
      </c>
      <c r="B56" s="20">
        <f t="shared" si="20"/>
        <v>0.78768468929138524</v>
      </c>
      <c r="C56" s="51">
        <f>0.5*(DataUK3!CD133+DataUK3!CD134)/DataUK1!$B133</f>
        <v>0.96413865489678929</v>
      </c>
      <c r="D56" s="1252">
        <f>(DataUK1!ED133-DataUK1!CR133)/DataUK1!B133</f>
        <v>3.0115456037893264E-2</v>
      </c>
      <c r="E56" s="51">
        <f>0.5*(DataUK3!CE133+DataUK3!CE134)/DataUK1!$B133</f>
        <v>6.9583120273434343E-2</v>
      </c>
      <c r="F56" s="52">
        <f>0.5*(DataUK3!CF133+DataUK3!CF134-DataUK3!CG133-DataUK3!CG134)/DataUK1!$B133</f>
        <v>0.24603708587883844</v>
      </c>
      <c r="G56" s="51">
        <f>0.5*(DataUK3!CG133+DataUK3!CG134)/DataUK1!$B133</f>
        <v>7.2664639233522622E-4</v>
      </c>
      <c r="H56" s="61">
        <f t="shared" si="21"/>
        <v>0.78695804289905003</v>
      </c>
      <c r="I56" s="325">
        <f t="shared" si="22"/>
        <v>9.225092250922509E-4</v>
      </c>
      <c r="J56" s="326">
        <f>H56/TableUK6a!M129</f>
        <v>0.21263768065487601</v>
      </c>
      <c r="K56" s="20">
        <f t="shared" si="23"/>
        <v>1.1143391554754154</v>
      </c>
      <c r="L56" s="21">
        <f>TableUK6a!H129</f>
        <v>0.32738111257636526</v>
      </c>
      <c r="M56" s="53">
        <f t="shared" si="24"/>
        <v>0.78695804289905003</v>
      </c>
      <c r="N56" s="31">
        <f>TableUK6a!B129</f>
        <v>3.3735529856295461</v>
      </c>
      <c r="O56" s="332">
        <f t="shared" si="25"/>
        <v>4.487892141104961</v>
      </c>
      <c r="P56" s="54">
        <f t="shared" si="6"/>
        <v>0.24829900551064818</v>
      </c>
      <c r="Q56" s="48"/>
      <c r="R56" s="1747"/>
      <c r="S56" s="49"/>
      <c r="T56" s="1532"/>
      <c r="U56" s="49"/>
    </row>
    <row r="57" spans="1:21" ht="12" customHeight="1">
      <c r="A57" s="50">
        <f t="shared" si="19"/>
        <v>1975</v>
      </c>
      <c r="B57" s="20">
        <f t="shared" si="20"/>
        <v>0.71679467210913583</v>
      </c>
      <c r="C57" s="51">
        <f>0.5*(DataUK3!CD134+DataUK3!CD135)/DataUK1!$B134</f>
        <v>0.89691175680756219</v>
      </c>
      <c r="D57" s="1252">
        <f>(DataUK1!ED134-DataUK1!CR134)/DataUK1!B134</f>
        <v>3.2203662924969116E-2</v>
      </c>
      <c r="E57" s="51">
        <f>0.5*(DataUK3!CE134+DataUK3!CE135)/DataUK1!$B134</f>
        <v>6.1329824372952361E-2</v>
      </c>
      <c r="F57" s="52">
        <f>0.5*(DataUK3!CF134+DataUK3!CF135-DataUK3!CG134-DataUK3!CG135)/DataUK1!$B134</f>
        <v>0.2414469090713787</v>
      </c>
      <c r="G57" s="51">
        <f>0.5*(DataUK3!CG134+DataUK3!CG135)/DataUK1!$B134</f>
        <v>5.9616520758365107E-4</v>
      </c>
      <c r="H57" s="61">
        <f t="shared" si="21"/>
        <v>0.71619850690155218</v>
      </c>
      <c r="I57" s="325">
        <f t="shared" si="22"/>
        <v>8.3170987561816264E-4</v>
      </c>
      <c r="J57" s="326">
        <f>H57/TableUK6a!M130</f>
        <v>0.2162552251476145</v>
      </c>
      <c r="K57" s="20">
        <f t="shared" si="23"/>
        <v>1.0161233148933886</v>
      </c>
      <c r="L57" s="21">
        <f>TableUK6a!H130</f>
        <v>0.2999248079918363</v>
      </c>
      <c r="M57" s="53">
        <f t="shared" si="24"/>
        <v>0.71619850690155218</v>
      </c>
      <c r="N57" s="31">
        <f>TableUK6a!B130</f>
        <v>3.0118957799855384</v>
      </c>
      <c r="O57" s="332">
        <f t="shared" si="25"/>
        <v>4.0280190948789265</v>
      </c>
      <c r="P57" s="54">
        <f t="shared" si="6"/>
        <v>0.25226377804048894</v>
      </c>
      <c r="Q57" s="48"/>
      <c r="R57" s="1747"/>
      <c r="S57" s="49"/>
      <c r="T57" s="1532"/>
      <c r="U57" s="49"/>
    </row>
    <row r="58" spans="1:21" ht="12" customHeight="1">
      <c r="A58" s="50">
        <f t="shared" si="19"/>
        <v>1976</v>
      </c>
      <c r="B58" s="20">
        <f t="shared" si="20"/>
        <v>0.6497231916098738</v>
      </c>
      <c r="C58" s="51">
        <f>0.5*(DataUK3!CD135+DataUK3!CD136)/DataUK1!$B135</f>
        <v>0.84335203084175325</v>
      </c>
      <c r="D58" s="1252">
        <f>(DataUK1!ED135-DataUK1!CR135)/DataUK1!B135</f>
        <v>3.1280261643310006E-2</v>
      </c>
      <c r="E58" s="51">
        <f>0.5*(DataUK3!CE135+DataUK3!CE136)/DataUK1!$B135</f>
        <v>6.0993769527324548E-2</v>
      </c>
      <c r="F58" s="52">
        <f>0.5*(DataUK3!CF135+DataUK3!CF136-DataUK3!CG135-DataUK3!CG136)/DataUK1!$B135</f>
        <v>0.25462260875920412</v>
      </c>
      <c r="G58" s="51">
        <f>0.5*(DataUK3!CG135+DataUK3!CG136)/DataUK1!$B135</f>
        <v>6.6689810162430801E-4</v>
      </c>
      <c r="H58" s="61">
        <f t="shared" si="21"/>
        <v>0.64905629350824945</v>
      </c>
      <c r="I58" s="325">
        <f t="shared" si="22"/>
        <v>1.0264341957255342E-3</v>
      </c>
      <c r="J58" s="326">
        <f>H58/TableUK6a!M131</f>
        <v>0.20872370724742831</v>
      </c>
      <c r="K58" s="20">
        <f t="shared" si="23"/>
        <v>0.93091666514406823</v>
      </c>
      <c r="L58" s="21">
        <f>TableUK6a!H131</f>
        <v>0.28186037163581878</v>
      </c>
      <c r="M58" s="53">
        <f t="shared" si="24"/>
        <v>0.64905629350824945</v>
      </c>
      <c r="N58" s="31">
        <f>TableUK6a!B131</f>
        <v>2.8277830036556884</v>
      </c>
      <c r="O58" s="332">
        <f t="shared" si="25"/>
        <v>3.7586996687997565</v>
      </c>
      <c r="P58" s="54">
        <f t="shared" si="6"/>
        <v>0.24766987181003808</v>
      </c>
      <c r="Q58" s="48"/>
      <c r="R58" s="1747"/>
      <c r="S58" s="49"/>
      <c r="T58" s="1532"/>
      <c r="U58" s="49"/>
    </row>
    <row r="59" spans="1:21" ht="12" customHeight="1">
      <c r="A59" s="50">
        <f t="shared" si="19"/>
        <v>1977</v>
      </c>
      <c r="B59" s="20">
        <f t="shared" si="20"/>
        <v>0.6530161011394775</v>
      </c>
      <c r="C59" s="51">
        <f>0.5*(DataUK3!CD136+DataUK3!CD137)/DataUK1!$B136</f>
        <v>0.83734611527436686</v>
      </c>
      <c r="D59" s="1252">
        <f>(DataUK1!ED136-DataUK1!CR136)/DataUK1!B136</f>
        <v>1.899918665161051E-2</v>
      </c>
      <c r="E59" s="51">
        <f>0.5*(DataUK3!CE136+DataUK3!CE137)/DataUK1!$B136</f>
        <v>6.5221854592259765E-2</v>
      </c>
      <c r="F59" s="52">
        <f>0.5*(DataUK3!CF136+DataUK3!CF137-DataUK3!CG136-DataUK3!CG137)/DataUK1!$B136</f>
        <v>0.24955186872714924</v>
      </c>
      <c r="G59" s="51">
        <f>0.5*(DataUK3!CG136+DataUK3!CG137)/DataUK1!$B136</f>
        <v>6.909513017522525E-4</v>
      </c>
      <c r="H59" s="61">
        <f t="shared" si="21"/>
        <v>0.65232514983772527</v>
      </c>
      <c r="I59" s="325">
        <f t="shared" si="22"/>
        <v>1.0580922898326399E-3</v>
      </c>
      <c r="J59" s="326">
        <f>H59/TableUK6a!M132</f>
        <v>0.21181435138256607</v>
      </c>
      <c r="K59" s="20">
        <f t="shared" si="23"/>
        <v>0.88938461902919363</v>
      </c>
      <c r="L59" s="21">
        <f>TableUK6a!H132</f>
        <v>0.23705946919146836</v>
      </c>
      <c r="M59" s="53">
        <f t="shared" si="24"/>
        <v>0.65232514983772527</v>
      </c>
      <c r="N59" s="31">
        <f>TableUK6a!B132</f>
        <v>2.8426428530536172</v>
      </c>
      <c r="O59" s="332">
        <f t="shared" si="25"/>
        <v>3.7320274720828106</v>
      </c>
      <c r="P59" s="54">
        <f t="shared" si="6"/>
        <v>0.23831138052497672</v>
      </c>
      <c r="Q59" s="48"/>
      <c r="R59" s="1747"/>
      <c r="S59" s="49"/>
      <c r="T59" s="1532"/>
      <c r="U59" s="49"/>
    </row>
    <row r="60" spans="1:21" ht="12" customHeight="1">
      <c r="A60" s="50">
        <f t="shared" si="19"/>
        <v>1978</v>
      </c>
      <c r="B60" s="20">
        <f t="shared" si="20"/>
        <v>0.66652503437173982</v>
      </c>
      <c r="C60" s="51">
        <f>0.5*(DataUK3!CD137+DataUK3!CD138)/DataUK1!$B137</f>
        <v>0.83375823021811368</v>
      </c>
      <c r="D60" s="1252">
        <f>(DataUK1!ED137-DataUK1!CR137)/DataUK1!B137</f>
        <v>1.3423978002086485E-2</v>
      </c>
      <c r="E60" s="51">
        <f>0.5*(DataUK3!CE137+DataUK3!CE138)/DataUK1!$B137</f>
        <v>6.8021500473259125E-2</v>
      </c>
      <c r="F60" s="52">
        <f>0.5*(DataUK3!CF137+DataUK3!CF138-DataUK3!CG137-DataUK3!CG138)/DataUK1!$B137</f>
        <v>0.235254696319633</v>
      </c>
      <c r="G60" s="51">
        <f>0.5*(DataUK3!CG137+DataUK3!CG138)/DataUK1!$B137</f>
        <v>5.8725585701356218E-4</v>
      </c>
      <c r="H60" s="61">
        <f t="shared" si="21"/>
        <v>0.66593777851472624</v>
      </c>
      <c r="I60" s="325">
        <f t="shared" si="22"/>
        <v>8.8107096767506114E-4</v>
      </c>
      <c r="J60" s="326">
        <f>H60/TableUK6a!M133</f>
        <v>0.2064927422171362</v>
      </c>
      <c r="K60" s="20">
        <f t="shared" si="23"/>
        <v>0.90886479988393065</v>
      </c>
      <c r="L60" s="21">
        <f>TableUK6a!H133</f>
        <v>0.24292702136920441</v>
      </c>
      <c r="M60" s="53">
        <f t="shared" si="24"/>
        <v>0.66593777851472624</v>
      </c>
      <c r="N60" s="31">
        <f>TableUK6a!B133</f>
        <v>2.98206660971185</v>
      </c>
      <c r="O60" s="332">
        <f t="shared" si="25"/>
        <v>3.8909314095957805</v>
      </c>
      <c r="P60" s="54">
        <f t="shared" si="6"/>
        <v>0.23358540776187839</v>
      </c>
      <c r="Q60" s="48"/>
      <c r="R60" s="1747"/>
      <c r="S60" s="49"/>
      <c r="T60" s="1532"/>
      <c r="U60" s="49"/>
    </row>
    <row r="61" spans="1:21" ht="12" customHeight="1">
      <c r="A61" s="1073">
        <f t="shared" si="19"/>
        <v>1979</v>
      </c>
      <c r="B61" s="897">
        <f t="shared" si="20"/>
        <v>0.68286369263758973</v>
      </c>
      <c r="C61" s="1075">
        <f>0.5*(DataUK3!CD138+DataUK3!CD139)/DataUK1!$B138</f>
        <v>0.83424062742496308</v>
      </c>
      <c r="D61" s="1253">
        <f>(DataUK1!ED138-DataUK1!CR138)/DataUK1!B138</f>
        <v>1.1462115782178334E-2</v>
      </c>
      <c r="E61" s="1075">
        <f>0.5*(DataUK3!CE138+DataUK3!CE139)/DataUK1!$B138</f>
        <v>7.0309862158431907E-2</v>
      </c>
      <c r="F61" s="1076">
        <f>0.5*(DataUK3!CF138+DataUK3!CF139-DataUK3!CG138-DataUK3!CG139)/DataUK1!$B138</f>
        <v>0.22168679694580523</v>
      </c>
      <c r="G61" s="1075">
        <f>0.5*(DataUK3!CG138+DataUK3!CG139)/DataUK1!$B138</f>
        <v>6.1901348797810645E-4</v>
      </c>
      <c r="H61" s="1077">
        <f t="shared" si="21"/>
        <v>0.68224467914961162</v>
      </c>
      <c r="I61" s="1758">
        <f t="shared" si="22"/>
        <v>9.0649641305007864E-4</v>
      </c>
      <c r="J61" s="1759">
        <f>H61/TableUK6a!M134</f>
        <v>0.19801879627206573</v>
      </c>
      <c r="K61" s="897">
        <f t="shared" si="23"/>
        <v>0.99888340629202022</v>
      </c>
      <c r="L61" s="898">
        <f>TableUK6a!H134</f>
        <v>0.31663872714240859</v>
      </c>
      <c r="M61" s="1760">
        <f t="shared" si="24"/>
        <v>0.68224467914961162</v>
      </c>
      <c r="N61" s="1080">
        <f>TableUK6a!B134</f>
        <v>3.1287144009124104</v>
      </c>
      <c r="O61" s="1754">
        <f t="shared" si="25"/>
        <v>4.127597807204431</v>
      </c>
      <c r="P61" s="1755">
        <f t="shared" si="6"/>
        <v>0.24200114762841951</v>
      </c>
      <c r="Q61" s="48"/>
      <c r="R61" s="1747"/>
      <c r="S61" s="49"/>
      <c r="T61" s="1532"/>
      <c r="U61" s="49"/>
    </row>
    <row r="62" spans="1:21" ht="12" customHeight="1">
      <c r="A62" s="55">
        <f t="shared" si="19"/>
        <v>1980</v>
      </c>
      <c r="B62" s="25">
        <f t="shared" si="20"/>
        <v>0.70127739632247776</v>
      </c>
      <c r="C62" s="56">
        <f>0.5*(DataUK3!CD139+DataUK3!CD140)/DataUK1!$B139</f>
        <v>0.84373573768496624</v>
      </c>
      <c r="D62" s="1704">
        <f>(DataUK1!ED139-DataUK1!CR139)/DataUK1!B139</f>
        <v>7.7232020608728269E-3</v>
      </c>
      <c r="E62" s="56">
        <f>0.5*(DataUK3!CE139+DataUK3!CE140)/DataUK1!$B139</f>
        <v>6.3821641193115536E-2</v>
      </c>
      <c r="F62" s="57">
        <f>0.5*(DataUK3!CF139+DataUK3!CF140-DataUK3!CG139-DataUK3!CG140)/DataUK1!$B139</f>
        <v>0.20627998255560398</v>
      </c>
      <c r="G62" s="56">
        <f>0.5*(DataUK3!CG139+DataUK3!CG140)/DataUK1!$B139</f>
        <v>6.3388066816093464E-4</v>
      </c>
      <c r="H62" s="330">
        <f t="shared" si="21"/>
        <v>0.70064351565431682</v>
      </c>
      <c r="I62" s="327">
        <f t="shared" si="22"/>
        <v>9.0389433836742233E-4</v>
      </c>
      <c r="J62" s="328">
        <f>H62/TableUK6a!M135</f>
        <v>0.20273845077629923</v>
      </c>
      <c r="K62" s="25">
        <f t="shared" si="23"/>
        <v>1.0651553261189259</v>
      </c>
      <c r="L62" s="26">
        <f>TableUK6a!H135</f>
        <v>0.36451181046460912</v>
      </c>
      <c r="M62" s="26">
        <f t="shared" si="24"/>
        <v>0.70064351565431682</v>
      </c>
      <c r="N62" s="333">
        <f>TableUK6a!B135</f>
        <v>3.091386727634629</v>
      </c>
      <c r="O62" s="330">
        <f t="shared" si="25"/>
        <v>4.1565420537535545</v>
      </c>
      <c r="P62" s="58">
        <f t="shared" si="6"/>
        <v>0.25625996617958918</v>
      </c>
      <c r="Q62" s="48"/>
      <c r="R62" s="1747"/>
      <c r="S62" s="49"/>
      <c r="T62" s="1532"/>
      <c r="U62" s="49"/>
    </row>
    <row r="63" spans="1:21" ht="12" customHeight="1">
      <c r="A63" s="50">
        <f t="shared" si="19"/>
        <v>1981</v>
      </c>
      <c r="B63" s="20">
        <f t="shared" si="20"/>
        <v>0.71577472616538929</v>
      </c>
      <c r="C63" s="51">
        <f>0.5*(DataUK3!CD140+DataUK3!CD141)/DataUK1!$B140</f>
        <v>0.84787532130699594</v>
      </c>
      <c r="D63" s="1252">
        <f>(DataUK1!ED140-DataUK1!CR140)/DataUK1!B140</f>
        <v>-1.3894356575504252E-4</v>
      </c>
      <c r="E63" s="51">
        <f>0.5*(DataUK3!CE140+DataUK3!CE141)/DataUK1!$B140</f>
        <v>5.9396058634184755E-2</v>
      </c>
      <c r="F63" s="52">
        <f>0.5*(DataUK3!CF140+DataUK3!CF141-DataUK3!CG140-DataUK3!CG141)/DataUK1!$B140</f>
        <v>0.19149665377579142</v>
      </c>
      <c r="G63" s="51">
        <f>0.5*(DataUK3!CG140+DataUK3!CG141)/DataUK1!$B140</f>
        <v>3.2420165342843255E-4</v>
      </c>
      <c r="H63" s="61">
        <f t="shared" si="21"/>
        <v>0.71545052451196089</v>
      </c>
      <c r="I63" s="325">
        <f t="shared" si="22"/>
        <v>4.5293811247747444E-4</v>
      </c>
      <c r="J63" s="326">
        <f>H63/TableUK6a!M136</f>
        <v>0.20432906868625414</v>
      </c>
      <c r="K63" s="20">
        <f t="shared" si="23"/>
        <v>1.1184285482713108</v>
      </c>
      <c r="L63" s="21">
        <f>TableUK6a!H136</f>
        <v>0.40297802375934977</v>
      </c>
      <c r="M63" s="53">
        <f t="shared" si="24"/>
        <v>0.71545052451196089</v>
      </c>
      <c r="N63" s="31">
        <f>TableUK6a!B136</f>
        <v>3.0984842454713206</v>
      </c>
      <c r="O63" s="332">
        <f t="shared" si="25"/>
        <v>4.2169127937426314</v>
      </c>
      <c r="P63" s="54">
        <f t="shared" si="6"/>
        <v>0.26522449075326343</v>
      </c>
      <c r="Q63" s="48"/>
      <c r="R63" s="1747"/>
      <c r="S63" s="49"/>
      <c r="T63" s="1532"/>
      <c r="U63" s="49"/>
    </row>
    <row r="64" spans="1:21" ht="12" customHeight="1">
      <c r="A64" s="50">
        <f t="shared" si="19"/>
        <v>1982</v>
      </c>
      <c r="B64" s="20">
        <f t="shared" si="20"/>
        <v>0.68319605441948639</v>
      </c>
      <c r="C64" s="51">
        <f>0.5*(DataUK3!CD141+DataUK3!CD142)/DataUK1!$B141</f>
        <v>0.79846840348257875</v>
      </c>
      <c r="D64" s="1252">
        <f>(DataUK1!ED141-DataUK1!CR141)/DataUK1!B141</f>
        <v>-3.9254500008387714E-3</v>
      </c>
      <c r="E64" s="51">
        <f>0.5*(DataUK3!CE141+DataUK3!CE142)/DataUK1!$B141</f>
        <v>5.7009192934189996E-2</v>
      </c>
      <c r="F64" s="52">
        <f>0.5*(DataUK3!CF141+DataUK3!CF142-DataUK3!CG141-DataUK3!CG142)/DataUK1!$B141</f>
        <v>0.17228154199728238</v>
      </c>
      <c r="G64" s="51">
        <f>0.5*(DataUK3!CG141+DataUK3!CG142)/DataUK1!$B141</f>
        <v>7.3392494673801817E-5</v>
      </c>
      <c r="H64" s="61">
        <f t="shared" si="21"/>
        <v>0.68312266192481264</v>
      </c>
      <c r="I64" s="325">
        <f t="shared" si="22"/>
        <v>1.074252320385012E-4</v>
      </c>
      <c r="J64" s="326">
        <f>H64/TableUK6a!M137</f>
        <v>0.19448136893644918</v>
      </c>
      <c r="K64" s="20">
        <f t="shared" si="23"/>
        <v>1.0519639831574712</v>
      </c>
      <c r="L64" s="21">
        <f>TableUK6a!H137</f>
        <v>0.36884132123265845</v>
      </c>
      <c r="M64" s="53">
        <f t="shared" si="24"/>
        <v>0.68312266192481264</v>
      </c>
      <c r="N64" s="31">
        <f>TableUK6a!B137</f>
        <v>3.1436939188295252</v>
      </c>
      <c r="O64" s="332">
        <f t="shared" si="25"/>
        <v>4.195657901986996</v>
      </c>
      <c r="P64" s="54">
        <f t="shared" si="6"/>
        <v>0.25072682466777807</v>
      </c>
      <c r="Q64" s="48"/>
      <c r="R64" s="1747"/>
      <c r="S64" s="49"/>
      <c r="T64" s="1532"/>
      <c r="U64" s="49"/>
    </row>
    <row r="65" spans="1:21" ht="12" customHeight="1">
      <c r="A65" s="50">
        <f t="shared" si="19"/>
        <v>1983</v>
      </c>
      <c r="B65" s="20">
        <f t="shared" si="20"/>
        <v>0.65540973779361156</v>
      </c>
      <c r="C65" s="51">
        <f>0.5*(DataUK3!CD142+DataUK3!CD143)/DataUK1!$B142</f>
        <v>0.76207169984558243</v>
      </c>
      <c r="D65" s="1252">
        <f>(DataUK1!ED142-DataUK1!CR142)/DataUK1!B142</f>
        <v>2.2195158040907385E-3</v>
      </c>
      <c r="E65" s="51">
        <f>0.5*(DataUK3!CE142+DataUK3!CE143)/DataUK1!$B142</f>
        <v>5.5869196535278921E-2</v>
      </c>
      <c r="F65" s="52">
        <f>0.5*(DataUK3!CF142+DataUK3!CF143-DataUK3!CG142-DataUK3!CG143)/DataUK1!$B142</f>
        <v>0.16253115858724973</v>
      </c>
      <c r="G65" s="51">
        <f>0.5*(DataUK3!CG142+DataUK3!CG143)/DataUK1!$B142</f>
        <v>8.9160036574585219E-5</v>
      </c>
      <c r="H65" s="61">
        <f t="shared" si="21"/>
        <v>0.655320577757037</v>
      </c>
      <c r="I65" s="325">
        <f t="shared" si="22"/>
        <v>1.36037094710762E-4</v>
      </c>
      <c r="J65" s="326">
        <f>H65/TableUK6a!M138</f>
        <v>0.18557598558214469</v>
      </c>
      <c r="K65" s="20">
        <f t="shared" si="23"/>
        <v>0.96566390080851072</v>
      </c>
      <c r="L65" s="21">
        <f>TableUK6a!H138</f>
        <v>0.31034332305147372</v>
      </c>
      <c r="M65" s="53">
        <f t="shared" si="24"/>
        <v>0.655320577757037</v>
      </c>
      <c r="N65" s="31">
        <f>TableUK6a!B138</f>
        <v>3.2209356606021586</v>
      </c>
      <c r="O65" s="332">
        <f t="shared" si="25"/>
        <v>4.1865995614106692</v>
      </c>
      <c r="P65" s="54">
        <f t="shared" si="6"/>
        <v>0.23065590263500901</v>
      </c>
      <c r="Q65" s="48"/>
      <c r="R65" s="1747"/>
      <c r="S65" s="49"/>
      <c r="T65" s="1532"/>
      <c r="U65" s="49"/>
    </row>
    <row r="66" spans="1:21" ht="12" customHeight="1">
      <c r="A66" s="50">
        <f t="shared" si="19"/>
        <v>1984</v>
      </c>
      <c r="B66" s="20">
        <f t="shared" si="20"/>
        <v>0.6075768393434321</v>
      </c>
      <c r="C66" s="51">
        <f>0.5*(DataUK3!CD143+DataUK3!CD144)/DataUK1!$B143</f>
        <v>0.70453386417751396</v>
      </c>
      <c r="D66" s="1252">
        <f>(DataUK1!ED143-DataUK1!CR143)/DataUK1!B143</f>
        <v>2.2509293876416943E-4</v>
      </c>
      <c r="E66" s="51">
        <f>0.5*(DataUK3!CE143+DataUK3!CE144)/DataUK1!$B143</f>
        <v>5.3125450625512174E-2</v>
      </c>
      <c r="F66" s="52">
        <f>0.5*(DataUK3!CF143+DataUK3!CF144-DataUK3!CG143-DataUK3!CG144)/DataUK1!$B143</f>
        <v>0.15008247545959405</v>
      </c>
      <c r="G66" s="51">
        <f>0.5*(DataUK3!CG143+DataUK3!CG144)/DataUK1!$B143</f>
        <v>4.1501510584643738E-4</v>
      </c>
      <c r="H66" s="61">
        <f t="shared" si="21"/>
        <v>0.60716182423758569</v>
      </c>
      <c r="I66" s="325">
        <f t="shared" si="22"/>
        <v>6.830660403298398E-4</v>
      </c>
      <c r="J66" s="326">
        <f>H66/TableUK6a!M139</f>
        <v>0.16625880426487966</v>
      </c>
      <c r="K66" s="20">
        <f t="shared" si="23"/>
        <v>0.93453312559130863</v>
      </c>
      <c r="L66" s="21">
        <f>TableUK6a!H139</f>
        <v>0.32737130135372294</v>
      </c>
      <c r="M66" s="53">
        <f t="shared" si="24"/>
        <v>0.60716182423758569</v>
      </c>
      <c r="N66" s="31">
        <f>TableUK6a!B139</f>
        <v>3.3245364993920927</v>
      </c>
      <c r="O66" s="332">
        <f t="shared" si="25"/>
        <v>4.2590696249834012</v>
      </c>
      <c r="P66" s="54">
        <f t="shared" si="6"/>
        <v>0.21942189442252913</v>
      </c>
      <c r="Q66" s="48"/>
      <c r="R66" s="1747"/>
      <c r="S66" s="49"/>
      <c r="T66" s="1532"/>
      <c r="U66" s="49"/>
    </row>
    <row r="67" spans="1:21" ht="12" customHeight="1">
      <c r="A67" s="50">
        <f t="shared" si="19"/>
        <v>1985</v>
      </c>
      <c r="B67" s="20">
        <f t="shared" si="20"/>
        <v>0.55711116334633137</v>
      </c>
      <c r="C67" s="51">
        <f>0.5*(DataUK3!CD144+DataUK3!CD145)/DataUK1!$B144</f>
        <v>0.64027356944368419</v>
      </c>
      <c r="D67" s="1252">
        <f>(DataUK1!ED144-DataUK1!CR144)/DataUK1!B144</f>
        <v>-1.2396920411770957E-3</v>
      </c>
      <c r="E67" s="51">
        <f>0.5*(DataUK3!CE144+DataUK3!CE145)/DataUK1!$B144</f>
        <v>4.7491475104729827E-2</v>
      </c>
      <c r="F67" s="52">
        <f>0.5*(DataUK3!CF144+DataUK3!CF145-DataUK3!CG144-DataUK3!CG145)/DataUK1!$B144</f>
        <v>0.13065388120208268</v>
      </c>
      <c r="G67" s="51">
        <f>0.5*(DataUK3!CG144+DataUK3!CG145)/DataUK1!$B144</f>
        <v>6.665357208406722E-4</v>
      </c>
      <c r="H67" s="61">
        <f t="shared" si="21"/>
        <v>0.55644462762549074</v>
      </c>
      <c r="I67" s="325">
        <f t="shared" si="22"/>
        <v>1.196414225191744E-3</v>
      </c>
      <c r="J67" s="326">
        <f>H67/TableUK6a!M140</f>
        <v>0.14894240959660729</v>
      </c>
      <c r="K67" s="20">
        <f t="shared" si="23"/>
        <v>0.91037992536087919</v>
      </c>
      <c r="L67" s="21">
        <f>TableUK6a!H140</f>
        <v>0.35393529773538845</v>
      </c>
      <c r="M67" s="53">
        <f t="shared" si="24"/>
        <v>0.55644462762549074</v>
      </c>
      <c r="N67" s="31">
        <f>TableUK6a!B140</f>
        <v>3.3820364052372875</v>
      </c>
      <c r="O67" s="332">
        <f t="shared" si="25"/>
        <v>4.2924163305981669</v>
      </c>
      <c r="P67" s="54">
        <f t="shared" si="6"/>
        <v>0.21209031353070401</v>
      </c>
      <c r="Q67" s="48"/>
      <c r="R67" s="1747"/>
      <c r="S67" s="49"/>
      <c r="T67" s="1532"/>
      <c r="U67" s="49"/>
    </row>
    <row r="68" spans="1:21" ht="12" customHeight="1">
      <c r="A68" s="50">
        <f t="shared" si="19"/>
        <v>1986</v>
      </c>
      <c r="B68" s="20">
        <f t="shared" si="20"/>
        <v>0.53045823139182391</v>
      </c>
      <c r="C68" s="51">
        <f>0.5*(DataUK3!CD145+DataUK3!CD146)/DataUK1!$B145</f>
        <v>0.60388075306574884</v>
      </c>
      <c r="D68" s="1252">
        <f>(DataUK1!ED145-DataUK1!CR145)/DataUK1!B145</f>
        <v>-1.9398445632303701E-3</v>
      </c>
      <c r="E68" s="51">
        <f>0.5*(DataUK3!CE145+DataUK3!CE146)/DataUK1!$B145</f>
        <v>4.1682856335670988E-2</v>
      </c>
      <c r="F68" s="52">
        <f>0.5*(DataUK3!CF145+DataUK3!CF146-DataUK3!CG145-DataUK3!CG146)/DataUK1!$B145</f>
        <v>0.11510537800959596</v>
      </c>
      <c r="G68" s="51">
        <f>0.5*(DataUK3!CG145+DataUK3!CG146)/DataUK1!$B145</f>
        <v>7.0363993742942113E-4</v>
      </c>
      <c r="H68" s="61">
        <f t="shared" si="21"/>
        <v>0.52975459145439452</v>
      </c>
      <c r="I68" s="325">
        <f t="shared" si="22"/>
        <v>1.3264756691270499E-3</v>
      </c>
      <c r="J68" s="326">
        <f>H68/TableUK6a!M141</f>
        <v>0.13354974180405513</v>
      </c>
      <c r="K68" s="20">
        <f t="shared" si="23"/>
        <v>0.88671871852773276</v>
      </c>
      <c r="L68" s="21">
        <f>TableUK6a!H141</f>
        <v>0.35696412707333824</v>
      </c>
      <c r="M68" s="53">
        <f t="shared" si="24"/>
        <v>0.52975459145439452</v>
      </c>
      <c r="N68" s="31">
        <f>TableUK6a!B141</f>
        <v>3.6097570683270481</v>
      </c>
      <c r="O68" s="332">
        <f t="shared" si="25"/>
        <v>4.4964757868547807</v>
      </c>
      <c r="P68" s="54">
        <f t="shared" si="6"/>
        <v>0.19720304535387692</v>
      </c>
      <c r="Q68" s="48"/>
      <c r="R68" s="1747"/>
      <c r="S68" s="49"/>
      <c r="T68" s="1532"/>
      <c r="U68" s="49"/>
    </row>
    <row r="69" spans="1:21" ht="12" customHeight="1">
      <c r="A69" s="50">
        <f>A70-1</f>
        <v>1987</v>
      </c>
      <c r="B69" s="20">
        <f t="shared" ref="B69:B91" si="26">C69+E69-F69</f>
        <v>0.51248745270110363</v>
      </c>
      <c r="C69" s="51">
        <f>0.5*(DataUK3!CD146+DataUK3!CD147)/DataUK1!$B146</f>
        <v>0.57600738828483522</v>
      </c>
      <c r="D69" s="1252">
        <f>(DataUK1!ED146-DataUK1!CR146)/DataUK1!B146</f>
        <v>-4.711527737351371E-3</v>
      </c>
      <c r="E69" s="51">
        <f>0.5*(DataUK3!CE146+DataUK3!CE147)/DataUK1!$B146</f>
        <v>3.6559224610931723E-2</v>
      </c>
      <c r="F69" s="52">
        <f>0.5*(DataUK3!CF146+DataUK3!CF147-DataUK3!CG146-DataUK3!CG147)/DataUK1!$B146</f>
        <v>0.10007916019466336</v>
      </c>
      <c r="G69" s="51">
        <f>0.5*(DataUK3!CG146+DataUK3!CG147)/DataUK1!$B146</f>
        <v>0.10343190727104069</v>
      </c>
      <c r="H69" s="61">
        <f t="shared" si="21"/>
        <v>0.40905554543006295</v>
      </c>
      <c r="I69" s="325">
        <f t="shared" si="22"/>
        <v>0.20182329679662411</v>
      </c>
      <c r="J69" s="326">
        <f>H69/TableUK6a!M142</f>
        <v>9.6291864768686161E-2</v>
      </c>
      <c r="K69" s="20">
        <f t="shared" si="23"/>
        <v>0.86537734386263665</v>
      </c>
      <c r="L69" s="21">
        <f>TableUK6a!H142</f>
        <v>0.4563217984325737</v>
      </c>
      <c r="M69" s="53">
        <f t="shared" si="24"/>
        <v>0.40905554543006295</v>
      </c>
      <c r="N69" s="31">
        <f>TableUK6a!B142</f>
        <v>3.7917582072117519</v>
      </c>
      <c r="O69" s="332">
        <f t="shared" si="25"/>
        <v>4.6571355510743881</v>
      </c>
      <c r="P69" s="54">
        <f t="shared" si="6"/>
        <v>0.18581751258302898</v>
      </c>
      <c r="Q69" s="48"/>
      <c r="R69" s="1747"/>
      <c r="S69" s="49"/>
      <c r="T69" s="1532"/>
      <c r="U69" s="49"/>
    </row>
    <row r="70" spans="1:21" ht="12" customHeight="1">
      <c r="A70" s="50">
        <v>1988</v>
      </c>
      <c r="B70" s="20">
        <f t="shared" si="26"/>
        <v>0.50059519191605739</v>
      </c>
      <c r="C70" s="51">
        <f>0.5*(DataUK3!CD147+DataUK3!CD148)/DataUK1!$B147</f>
        <v>0.5562183614887799</v>
      </c>
      <c r="D70" s="1252">
        <f>(DataUK1!ED147-DataUK1!CR147)/DataUK1!B147</f>
        <v>-4.7033495606974536E-3</v>
      </c>
      <c r="E70" s="51">
        <f>0.5*(DataUK3!CE147+DataUK3!CE148)/DataUK1!$B147</f>
        <v>3.4144135844372467E-2</v>
      </c>
      <c r="F70" s="52">
        <f>0.5*(DataUK3!CF147+DataUK3!CF148-DataUK3!CG147-DataUK3!CG148)/DataUK1!$B147</f>
        <v>8.9767305417094975E-2</v>
      </c>
      <c r="G70" s="51">
        <f>0.5*(DataUK3!CG147+DataUK3!CG148)/DataUK1!$B147</f>
        <v>0.20350229833782657</v>
      </c>
      <c r="H70" s="61">
        <f t="shared" si="21"/>
        <v>0.29709289357823082</v>
      </c>
      <c r="I70" s="325">
        <f t="shared" ref="I70:I92" si="27">G70/B70</f>
        <v>0.40652068102953531</v>
      </c>
      <c r="J70" s="326">
        <f>H70/TableUK6a!M143</f>
        <v>6.4426234938032956E-2</v>
      </c>
      <c r="K70" s="20">
        <f t="shared" si="23"/>
        <v>0.88849182489962963</v>
      </c>
      <c r="L70" s="21">
        <f>TableUK6a!H143</f>
        <v>0.59139893132139876</v>
      </c>
      <c r="M70" s="21">
        <f t="shared" si="24"/>
        <v>0.29709289357823082</v>
      </c>
      <c r="N70" s="31">
        <f>TableUK6a!B143</f>
        <v>4.0199662037665584</v>
      </c>
      <c r="O70" s="61">
        <f t="shared" si="25"/>
        <v>4.9084580286661881</v>
      </c>
      <c r="P70" s="54">
        <f t="shared" si="6"/>
        <v>0.18101241157827852</v>
      </c>
      <c r="Q70" s="48"/>
      <c r="R70" s="1747"/>
      <c r="S70" s="49"/>
      <c r="T70" s="1532"/>
      <c r="U70" s="49"/>
    </row>
    <row r="71" spans="1:21" ht="12" customHeight="1">
      <c r="A71" s="1073">
        <v>1989</v>
      </c>
      <c r="B71" s="897">
        <f t="shared" si="26"/>
        <v>0.42742807149660011</v>
      </c>
      <c r="C71" s="1075">
        <f>0.5*(DataUK3!CD148+DataUK3!CD149)/DataUK1!$B148</f>
        <v>0.47935723936299807</v>
      </c>
      <c r="D71" s="1253">
        <f>(DataUK1!ED148-DataUK1!CR148)/DataUK1!B148</f>
        <v>-2.8284125894261223E-3</v>
      </c>
      <c r="E71" s="1075">
        <f>0.5*(DataUK3!CE148+DataUK3!CE149)/DataUK1!$B148</f>
        <v>3.0563246140556822E-2</v>
      </c>
      <c r="F71" s="1076">
        <f>0.5*(DataUK3!CF148+DataUK3!CF149-DataUK3!CG148-DataUK3!CG149)/DataUK1!$B148</f>
        <v>8.2492414006954756E-2</v>
      </c>
      <c r="G71" s="1075">
        <f>0.5*(DataUK3!CG148+DataUK3!CG149)/DataUK1!$B148</f>
        <v>0.21458504064320361</v>
      </c>
      <c r="H71" s="1077">
        <f t="shared" si="21"/>
        <v>0.21284303085339651</v>
      </c>
      <c r="I71" s="1758">
        <f t="shared" si="27"/>
        <v>0.50203778121510323</v>
      </c>
      <c r="J71" s="1759">
        <f>H71/TableUK6a!M144</f>
        <v>4.2467659765531081E-2</v>
      </c>
      <c r="K71" s="897">
        <f t="shared" si="23"/>
        <v>0.87250326696050851</v>
      </c>
      <c r="L71" s="898">
        <f>TableUK6a!H144</f>
        <v>0.659660236107112</v>
      </c>
      <c r="M71" s="898">
        <f t="shared" si="24"/>
        <v>0.21284303085339651</v>
      </c>
      <c r="N71" s="1080">
        <f>TableUK6a!B144</f>
        <v>4.3522248554785268</v>
      </c>
      <c r="O71" s="1077">
        <f t="shared" si="25"/>
        <v>5.2247281224390356</v>
      </c>
      <c r="P71" s="1755">
        <f t="shared" si="6"/>
        <v>0.16699496060154836</v>
      </c>
      <c r="Q71" s="48"/>
      <c r="R71" s="1747"/>
      <c r="S71" s="49"/>
      <c r="T71" s="1532"/>
      <c r="U71" s="49"/>
    </row>
    <row r="72" spans="1:21" ht="12" customHeight="1">
      <c r="A72" s="55">
        <v>1990</v>
      </c>
      <c r="B72" s="25">
        <f t="shared" si="26"/>
        <v>0.3182857672159155</v>
      </c>
      <c r="C72" s="56">
        <f>0.5*(DataUK3!CD149+DataUK3!CD150)/DataUK1!$B149</f>
        <v>0.36133919290264815</v>
      </c>
      <c r="D72" s="1704">
        <f>(DataUK1!ED149-DataUK1!CR149)/DataUK1!B149</f>
        <v>-2.9167481448699609E-3</v>
      </c>
      <c r="E72" s="56">
        <f>0.5*(DataUK3!CE149+DataUK3!CE150)/DataUK1!$B149</f>
        <v>2.6870310714984098E-2</v>
      </c>
      <c r="F72" s="57">
        <f>0.5*(DataUK3!CF149+DataUK3!CF150-DataUK3!CG149-DataUK3!CG150)/DataUK1!$B149</f>
        <v>6.9923736401716702E-2</v>
      </c>
      <c r="G72" s="56">
        <f>0.5*(DataUK3!CG149+DataUK3!CG150)/DataUK1!$B149</f>
        <v>0.20520465609336888</v>
      </c>
      <c r="H72" s="330">
        <f t="shared" si="21"/>
        <v>0.11308111112254662</v>
      </c>
      <c r="I72" s="327">
        <f t="shared" si="27"/>
        <v>0.644718291641876</v>
      </c>
      <c r="J72" s="328">
        <f>H72/TableUK6a!M145</f>
        <v>2.288575037987392E-2</v>
      </c>
      <c r="K72" s="25">
        <f t="shared" si="23"/>
        <v>0.76344596194024472</v>
      </c>
      <c r="L72" s="26">
        <f>TableUK6a!H145</f>
        <v>0.65036485081769813</v>
      </c>
      <c r="M72" s="26">
        <f t="shared" si="24"/>
        <v>0.11308111112254662</v>
      </c>
      <c r="N72" s="333">
        <f>TableUK6a!B145</f>
        <v>4.2907495651636935</v>
      </c>
      <c r="O72" s="330">
        <f t="shared" si="25"/>
        <v>5.0541955271039383</v>
      </c>
      <c r="P72" s="58">
        <f t="shared" si="6"/>
        <v>0.15105192465272518</v>
      </c>
      <c r="Q72" s="48"/>
      <c r="R72" s="1747"/>
      <c r="S72" s="49"/>
      <c r="T72" s="1532"/>
      <c r="U72" s="49"/>
    </row>
    <row r="73" spans="1:21" ht="12" customHeight="1">
      <c r="A73" s="50">
        <v>1991</v>
      </c>
      <c r="B73" s="20">
        <f t="shared" si="26"/>
        <v>0.25492259027859643</v>
      </c>
      <c r="C73" s="51">
        <f>0.5*(DataUK3!CD150+DataUK3!CD151)/DataUK1!$B150</f>
        <v>0.29070100986286296</v>
      </c>
      <c r="D73" s="1252">
        <f>(DataUK1!ED150-DataUK1!CR150)/DataUK1!B150</f>
        <v>-1.8605839129238869E-3</v>
      </c>
      <c r="E73" s="51">
        <f>0.5*(DataUK3!CE150+DataUK3!CE151)/DataUK1!$B150</f>
        <v>2.3997995991983968E-2</v>
      </c>
      <c r="F73" s="52">
        <f>0.5*(DataUK3!CF150+DataUK3!CF151-DataUK3!CG150-DataUK3!CG151)/DataUK1!$B150</f>
        <v>5.977641557625054E-2</v>
      </c>
      <c r="G73" s="51">
        <f>0.5*(DataUK3!CG150+DataUK3!CG151)/DataUK1!$B150</f>
        <v>0.18740814963259853</v>
      </c>
      <c r="H73" s="61">
        <f t="shared" si="21"/>
        <v>6.7514440645997903E-2</v>
      </c>
      <c r="I73" s="325">
        <f t="shared" si="27"/>
        <v>0.73515708995341056</v>
      </c>
      <c r="J73" s="326">
        <f>H73/TableUK6a!M146</f>
        <v>1.4140127309906983E-2</v>
      </c>
      <c r="K73" s="20">
        <f t="shared" si="23"/>
        <v>0.66360171323038231</v>
      </c>
      <c r="L73" s="21">
        <f>TableUK6a!H146</f>
        <v>0.59608727258438443</v>
      </c>
      <c r="M73" s="21">
        <f t="shared" si="24"/>
        <v>6.7514440645997903E-2</v>
      </c>
      <c r="N73" s="31">
        <f>TableUK6a!B146</f>
        <v>4.1785826555070926</v>
      </c>
      <c r="O73" s="61">
        <f t="shared" si="25"/>
        <v>4.8421843687374748</v>
      </c>
      <c r="P73" s="54">
        <f t="shared" si="6"/>
        <v>0.13704594098373959</v>
      </c>
      <c r="Q73" s="48"/>
      <c r="R73" s="1747"/>
      <c r="S73" s="49"/>
      <c r="T73" s="1532"/>
      <c r="U73" s="49"/>
    </row>
    <row r="74" spans="1:21" ht="12" customHeight="1">
      <c r="A74" s="50">
        <v>1992</v>
      </c>
      <c r="B74" s="20">
        <f t="shared" si="26"/>
        <v>0.23181203509566017</v>
      </c>
      <c r="C74" s="51">
        <f>0.5*(DataUK3!CD151+DataUK3!CD152)/DataUK1!$B151</f>
        <v>0.26420313736198991</v>
      </c>
      <c r="D74" s="1252">
        <f>(DataUK1!ED151-DataUK1!CR151)/DataUK1!B151</f>
        <v>1.2176121708846672E-3</v>
      </c>
      <c r="E74" s="51">
        <f>0.5*(DataUK3!CE151+DataUK3!CE152)/DataUK1!$B151</f>
        <v>2.2392093563488841E-2</v>
      </c>
      <c r="F74" s="52">
        <f>0.5*(DataUK3!CF151+DataUK3!CF152-DataUK3!CG151-DataUK3!CG152)/DataUK1!$B151</f>
        <v>5.4783195829818596E-2</v>
      </c>
      <c r="G74" s="51">
        <f>0.5*(DataUK3!CG151+DataUK3!CG152)/DataUK1!$B151</f>
        <v>0.17000746278427317</v>
      </c>
      <c r="H74" s="61">
        <f t="shared" si="21"/>
        <v>6.1804572311387002E-2</v>
      </c>
      <c r="I74" s="325">
        <f t="shared" si="27"/>
        <v>0.73338497163927419</v>
      </c>
      <c r="J74" s="326">
        <f>H74/TableUK6a!M147</f>
        <v>1.3475713822557259E-2</v>
      </c>
      <c r="K74" s="20">
        <f t="shared" si="23"/>
        <v>0.54215350891138736</v>
      </c>
      <c r="L74" s="21">
        <f>TableUK6a!H147</f>
        <v>0.48034893660000033</v>
      </c>
      <c r="M74" s="21">
        <f t="shared" si="24"/>
        <v>6.1804572311387002E-2</v>
      </c>
      <c r="N74" s="31">
        <f>TableUK6a!B147</f>
        <v>4.1060182959788873</v>
      </c>
      <c r="O74" s="61">
        <f t="shared" si="25"/>
        <v>4.6481718048902749</v>
      </c>
      <c r="P74" s="54">
        <f t="shared" si="6"/>
        <v>0.11663800988186268</v>
      </c>
      <c r="Q74" s="48"/>
      <c r="R74" s="1747"/>
      <c r="S74" s="49"/>
      <c r="T74" s="1532"/>
      <c r="U74" s="49"/>
    </row>
    <row r="75" spans="1:21" ht="12" customHeight="1">
      <c r="A75" s="50">
        <v>1993</v>
      </c>
      <c r="B75" s="20">
        <f t="shared" si="26"/>
        <v>0.2238367548515921</v>
      </c>
      <c r="C75" s="51">
        <f>0.5*(DataUK3!CD152+DataUK3!CD153)/DataUK1!$B152</f>
        <v>0.25242046657713163</v>
      </c>
      <c r="D75" s="1252">
        <f>(DataUK1!ED152-DataUK1!CR152)/DataUK1!B152</f>
        <v>-1.900843477086842E-4</v>
      </c>
      <c r="E75" s="51">
        <f>0.5*(DataUK3!CE152+DataUK3!CE153)/DataUK1!$B152</f>
        <v>2.3001982561981708E-2</v>
      </c>
      <c r="F75" s="52">
        <f>0.5*(DataUK3!CF152+DataUK3!CF153-DataUK3!CG152-DataUK3!CG153)/DataUK1!$B152</f>
        <v>5.158569428752123E-2</v>
      </c>
      <c r="G75" s="51">
        <f>0.5*(DataUK3!CG152+DataUK3!CG153)/DataUK1!$B152</f>
        <v>0.15626176924115487</v>
      </c>
      <c r="H75" s="61">
        <f t="shared" si="21"/>
        <v>6.7574985610437233E-2</v>
      </c>
      <c r="I75" s="325">
        <f t="shared" si="27"/>
        <v>0.69810594486486055</v>
      </c>
      <c r="J75" s="326">
        <f>H75/TableUK6a!M148</f>
        <v>1.4879387714867772E-2</v>
      </c>
      <c r="K75" s="20">
        <f t="shared" si="23"/>
        <v>0.40534954202107626</v>
      </c>
      <c r="L75" s="21">
        <f>TableUK6a!H148</f>
        <v>0.33777455641063903</v>
      </c>
      <c r="M75" s="21">
        <f t="shared" si="24"/>
        <v>6.7574985610437233E-2</v>
      </c>
      <c r="N75" s="31">
        <f>TableUK6a!B148</f>
        <v>4.2037419969160146</v>
      </c>
      <c r="O75" s="61">
        <f t="shared" si="25"/>
        <v>4.6090915389370908</v>
      </c>
      <c r="P75" s="54">
        <f t="shared" ref="P75:P91" si="28">K75/O75</f>
        <v>8.7945647986534564E-2</v>
      </c>
      <c r="Q75" s="48"/>
      <c r="R75" s="1747"/>
      <c r="S75" s="49"/>
      <c r="T75" s="1532"/>
      <c r="U75" s="49"/>
    </row>
    <row r="76" spans="1:21" ht="12" customHeight="1">
      <c r="A76" s="50">
        <v>1994</v>
      </c>
      <c r="B76" s="20">
        <f t="shared" si="26"/>
        <v>0.21189004220749147</v>
      </c>
      <c r="C76" s="51">
        <f>0.5*(DataUK3!CD153+DataUK3!CD154)/DataUK1!$B153</f>
        <v>0.23509920083621111</v>
      </c>
      <c r="D76" s="1252">
        <f>(DataUK1!ED153-DataUK1!CR153)/DataUK1!B153</f>
        <v>-3.9362785959062705E-4</v>
      </c>
      <c r="E76" s="51">
        <f>0.5*(DataUK3!CE153+DataUK3!CE154)/DataUK1!$B153</f>
        <v>2.3912892470130592E-2</v>
      </c>
      <c r="F76" s="52">
        <f>0.5*(DataUK3!CF153+DataUK3!CF154-DataUK3!CG153-DataUK3!CG154)/DataUK1!$B153</f>
        <v>4.7122051098850211E-2</v>
      </c>
      <c r="G76" s="51">
        <f>0.5*(DataUK3!CG153+DataUK3!CG154)/DataUK1!$B153</f>
        <v>0.13960557826909592</v>
      </c>
      <c r="H76" s="61">
        <f t="shared" si="21"/>
        <v>7.2284463938395549E-2</v>
      </c>
      <c r="I76" s="325">
        <f t="shared" si="27"/>
        <v>0.65885860805288987</v>
      </c>
      <c r="J76" s="326">
        <f>H76/TableUK6a!M149</f>
        <v>1.6503147475392822E-2</v>
      </c>
      <c r="K76" s="20">
        <f t="shared" si="23"/>
        <v>0.33724397650140908</v>
      </c>
      <c r="L76" s="21">
        <f>TableUK6a!H149</f>
        <v>0.26495951256301353</v>
      </c>
      <c r="M76" s="21">
        <f t="shared" si="24"/>
        <v>7.2284463938395549E-2</v>
      </c>
      <c r="N76" s="31">
        <f>TableUK6a!B149</f>
        <v>4.1150815702774572</v>
      </c>
      <c r="O76" s="61">
        <f t="shared" si="25"/>
        <v>4.4523255467788667</v>
      </c>
      <c r="P76" s="54">
        <f t="shared" si="28"/>
        <v>7.5745579014408704E-2</v>
      </c>
      <c r="Q76" s="48"/>
      <c r="R76" s="1747"/>
      <c r="S76" s="49"/>
      <c r="T76" s="1532"/>
      <c r="U76" s="49"/>
    </row>
    <row r="77" spans="1:21" ht="12" customHeight="1">
      <c r="A77" s="50">
        <v>1995</v>
      </c>
      <c r="B77" s="20">
        <f t="shared" si="26"/>
        <v>0.19182009151446891</v>
      </c>
      <c r="C77" s="51">
        <f>0.5*(DataUK3!CD154+DataUK3!CD155)/DataUK1!$B154</f>
        <v>0.2080426837769378</v>
      </c>
      <c r="D77" s="1252">
        <f>(DataUK1!ED154-DataUK1!CR154)/DataUK1!B154</f>
        <v>1.1748690804221384E-3</v>
      </c>
      <c r="E77" s="51">
        <f>0.5*(DataUK3!CE154+DataUK3!CE155)/DataUK1!$B154</f>
        <v>2.5256552244861515E-2</v>
      </c>
      <c r="F77" s="52">
        <f>0.5*(DataUK3!CF154+DataUK3!CF155-DataUK3!CG154-DataUK3!CG155)/DataUK1!$B154</f>
        <v>4.1479144507330402E-2</v>
      </c>
      <c r="G77" s="51">
        <f>0.5*(DataUK3!CG154+DataUK3!CG155)/DataUK1!$B154</f>
        <v>0.12589270468960742</v>
      </c>
      <c r="H77" s="61">
        <f t="shared" si="21"/>
        <v>6.5927386824861489E-2</v>
      </c>
      <c r="I77" s="325">
        <f t="shared" si="27"/>
        <v>0.65630614444843693</v>
      </c>
      <c r="J77" s="326">
        <f>H77/TableUK6a!M150</f>
        <v>1.5484356149757413E-2</v>
      </c>
      <c r="K77" s="20">
        <f t="shared" si="23"/>
        <v>0.28971566601761672</v>
      </c>
      <c r="L77" s="21">
        <f>TableUK6a!H150</f>
        <v>0.22378827919275524</v>
      </c>
      <c r="M77" s="21">
        <f t="shared" si="24"/>
        <v>6.5927386824861489E-2</v>
      </c>
      <c r="N77" s="31">
        <f>TableUK6a!B150</f>
        <v>4.0338887070017497</v>
      </c>
      <c r="O77" s="61">
        <f t="shared" si="25"/>
        <v>4.3236043730193661</v>
      </c>
      <c r="P77" s="54">
        <f t="shared" si="28"/>
        <v>6.7007903828003423E-2</v>
      </c>
      <c r="Q77" s="48"/>
      <c r="R77" s="1747"/>
      <c r="S77" s="49"/>
      <c r="T77" s="1532"/>
      <c r="U77" s="49"/>
    </row>
    <row r="78" spans="1:21" ht="12" customHeight="1">
      <c r="A78" s="50">
        <v>1996</v>
      </c>
      <c r="B78" s="20">
        <f t="shared" si="26"/>
        <v>0.17195400077875464</v>
      </c>
      <c r="C78" s="51">
        <f>0.5*(DataUK3!CD155+DataUK3!CD156)/DataUK1!$B155</f>
        <v>0.17690685099144834</v>
      </c>
      <c r="D78" s="1252">
        <f>(DataUK1!ED155-DataUK1!CR155)/DataUK1!B155</f>
        <v>1.0539536436055754E-3</v>
      </c>
      <c r="E78" s="51">
        <f>0.5*(DataUK3!CE155+DataUK3!CE156)/DataUK1!$B155</f>
        <v>2.5018956527339851E-2</v>
      </c>
      <c r="F78" s="52">
        <f>0.5*(DataUK3!CF155+DataUK3!CF156-DataUK3!CG155-DataUK3!CG156)/DataUK1!$B155</f>
        <v>2.9971806740033552E-2</v>
      </c>
      <c r="G78" s="51">
        <f>0.5*(DataUK3!CG155+DataUK3!CG156)/DataUK1!$B155</f>
        <v>0.12152890614250039</v>
      </c>
      <c r="H78" s="61">
        <f t="shared" si="21"/>
        <v>5.0425094636254247E-2</v>
      </c>
      <c r="I78" s="325">
        <f t="shared" si="27"/>
        <v>0.70675241978734815</v>
      </c>
      <c r="J78" s="326">
        <f>H78/TableUK6a!M151</f>
        <v>1.178712246391664E-2</v>
      </c>
      <c r="K78" s="20">
        <f t="shared" si="23"/>
        <v>0.2241100678921806</v>
      </c>
      <c r="L78" s="21">
        <f>TableUK6a!H151</f>
        <v>0.17368497325592636</v>
      </c>
      <c r="M78" s="21">
        <f t="shared" si="24"/>
        <v>5.0425094636254247E-2</v>
      </c>
      <c r="N78" s="31">
        <f>TableUK6a!B151</f>
        <v>4.1042967640695496</v>
      </c>
      <c r="O78" s="61">
        <f t="shared" si="25"/>
        <v>4.3284068319617299</v>
      </c>
      <c r="P78" s="54">
        <f t="shared" si="28"/>
        <v>5.1776571979628115E-2</v>
      </c>
      <c r="Q78" s="48"/>
      <c r="R78" s="1747"/>
      <c r="S78" s="49"/>
      <c r="T78" s="1532"/>
      <c r="U78" s="49"/>
    </row>
    <row r="79" spans="1:21" ht="12" customHeight="1">
      <c r="A79" s="50">
        <v>1997</v>
      </c>
      <c r="B79" s="20">
        <f t="shared" si="26"/>
        <v>0.1685116061896037</v>
      </c>
      <c r="C79" s="51">
        <f>0.5*(DataUK3!CD156+DataUK3!CD157)/DataUK1!$B156</f>
        <v>0.16416525815955677</v>
      </c>
      <c r="D79" s="1252">
        <f>(DataUK1!ED156-DataUK1!CR156)/DataUK1!B156</f>
        <v>2.1844375209910792E-4</v>
      </c>
      <c r="E79" s="51">
        <f>0.5*(DataUK3!CE156+DataUK3!CE157)/DataUK1!$B156</f>
        <v>2.766385329317609E-2</v>
      </c>
      <c r="F79" s="52">
        <f>0.5*(DataUK3!CF156+DataUK3!CF157-DataUK3!CG156-DataUK3!CG157)/DataUK1!$B156</f>
        <v>2.3317505263129153E-2</v>
      </c>
      <c r="G79" s="51">
        <f>0.5*(DataUK3!CG156+DataUK3!CG157)/DataUK1!$B156</f>
        <v>0.11913239602760037</v>
      </c>
      <c r="H79" s="61">
        <f t="shared" si="21"/>
        <v>4.9379210162003334E-2</v>
      </c>
      <c r="I79" s="325">
        <f t="shared" si="27"/>
        <v>0.70696849149699825</v>
      </c>
      <c r="J79" s="326">
        <f>H79/TableUK6a!M152</f>
        <v>1.1086719524357413E-2</v>
      </c>
      <c r="K79" s="20">
        <f t="shared" si="23"/>
        <v>0.18773602164777584</v>
      </c>
      <c r="L79" s="21">
        <f>TableUK6a!H152</f>
        <v>0.1383568114857725</v>
      </c>
      <c r="M79" s="21">
        <f t="shared" si="24"/>
        <v>4.9379210162003334E-2</v>
      </c>
      <c r="N79" s="31">
        <f>TableUK6a!B152</f>
        <v>4.3155495089111398</v>
      </c>
      <c r="O79" s="61">
        <f t="shared" si="25"/>
        <v>4.5032855305589159</v>
      </c>
      <c r="P79" s="54">
        <f t="shared" si="28"/>
        <v>4.1688678271412066E-2</v>
      </c>
      <c r="Q79" s="48"/>
      <c r="R79" s="1747"/>
      <c r="S79" s="49"/>
      <c r="T79" s="1532"/>
      <c r="U79" s="49"/>
    </row>
    <row r="80" spans="1:21" ht="12" customHeight="1">
      <c r="A80" s="50">
        <v>1998</v>
      </c>
      <c r="B80" s="20">
        <f t="shared" si="26"/>
        <v>0.16626700516368578</v>
      </c>
      <c r="C80" s="51">
        <f>0.5*(DataUK3!CD157+DataUK3!CD158)/DataUK1!$B157</f>
        <v>0.15925380175098658</v>
      </c>
      <c r="D80" s="1252">
        <f>(DataUK1!ED157-DataUK1!CR157)/DataUK1!B157</f>
        <v>-5.4528116218437099E-5</v>
      </c>
      <c r="E80" s="51">
        <f>0.5*(DataUK3!CE157+DataUK3!CE158)/DataUK1!$B157</f>
        <v>2.9402067503271689E-2</v>
      </c>
      <c r="F80" s="52">
        <f>0.5*(DataUK3!CF157+DataUK3!CF158-DataUK3!CG157-DataUK3!CG158)/DataUK1!$B157</f>
        <v>2.2388864090572468E-2</v>
      </c>
      <c r="G80" s="51">
        <f>0.5*(DataUK3!CG157+DataUK3!CG158)/DataUK1!$B157</f>
        <v>0.11199567832976576</v>
      </c>
      <c r="H80" s="61">
        <f t="shared" si="21"/>
        <v>5.4271326833920025E-2</v>
      </c>
      <c r="I80" s="325">
        <f t="shared" si="27"/>
        <v>0.67358931628983609</v>
      </c>
      <c r="J80" s="326">
        <f>H80/TableUK6a!M153</f>
        <v>1.1681466557323933E-2</v>
      </c>
      <c r="K80" s="20">
        <f t="shared" si="23"/>
        <v>0.16675585606606272</v>
      </c>
      <c r="L80" s="21">
        <f>TableUK6a!H153</f>
        <v>0.11248452923214269</v>
      </c>
      <c r="M80" s="21">
        <f t="shared" si="24"/>
        <v>5.4271326833920025E-2</v>
      </c>
      <c r="N80" s="31">
        <f>TableUK6a!B153</f>
        <v>4.5334498290606957</v>
      </c>
      <c r="O80" s="61">
        <f t="shared" si="25"/>
        <v>4.7002056851267584</v>
      </c>
      <c r="P80" s="54">
        <f t="shared" si="28"/>
        <v>3.5478416741152791E-2</v>
      </c>
      <c r="Q80" s="48"/>
      <c r="R80" s="1747"/>
      <c r="S80" s="49"/>
      <c r="T80" s="1532"/>
      <c r="U80" s="49"/>
    </row>
    <row r="81" spans="1:38" ht="12" customHeight="1">
      <c r="A81" s="1091">
        <f t="shared" ref="A81:A89" si="29">A80+1</f>
        <v>1999</v>
      </c>
      <c r="B81" s="897">
        <f t="shared" si="26"/>
        <v>0.16338105706707159</v>
      </c>
      <c r="C81" s="1075">
        <f>0.5*(DataUK3!CD158+DataUK3!CD159)/DataUK1!$B158</f>
        <v>0.15547911511921575</v>
      </c>
      <c r="D81" s="1253">
        <f>(DataUK1!ED158-DataUK1!CR158)/DataUK1!B158</f>
        <v>-8.3249006077665711E-4</v>
      </c>
      <c r="E81" s="1075">
        <f>0.5*(DataUK3!CE158+DataUK3!CE159)/DataUK1!$B158</f>
        <v>2.8648277831961513E-2</v>
      </c>
      <c r="F81" s="1076">
        <f>0.5*(DataUK3!CF158+DataUK3!CF159-DataUK3!CG158-DataUK3!CG159)/DataUK1!$B158</f>
        <v>2.0746335884105665E-2</v>
      </c>
      <c r="G81" s="1075">
        <f>0.5*(DataUK3!CG158+DataUK3!CG159)/DataUK1!$B158</f>
        <v>0.10550834992413599</v>
      </c>
      <c r="H81" s="1077">
        <f t="shared" si="21"/>
        <v>5.7872707142935603E-2</v>
      </c>
      <c r="I81" s="1758">
        <f t="shared" si="27"/>
        <v>0.6457808011416063</v>
      </c>
      <c r="J81" s="1759">
        <f>H81/TableUK6a!M154</f>
        <v>1.1428028740367819E-2</v>
      </c>
      <c r="K81" s="897">
        <f t="shared" si="23"/>
        <v>0.18228907912195483</v>
      </c>
      <c r="L81" s="898">
        <f>TableUK6a!H154</f>
        <v>0.12441637197901922</v>
      </c>
      <c r="M81" s="898">
        <f t="shared" si="24"/>
        <v>5.7872707142935603E-2</v>
      </c>
      <c r="N81" s="1080">
        <f>TableUK6a!B154</f>
        <v>4.9396859730307403</v>
      </c>
      <c r="O81" s="1077">
        <f t="shared" si="25"/>
        <v>5.1219750521526954</v>
      </c>
      <c r="P81" s="1755">
        <f t="shared" si="28"/>
        <v>3.5589606990635625E-2</v>
      </c>
      <c r="Q81" s="48"/>
      <c r="R81" s="1747"/>
      <c r="S81" s="49"/>
      <c r="T81" s="1532"/>
      <c r="U81" s="49"/>
    </row>
    <row r="82" spans="1:38" ht="12" customHeight="1">
      <c r="A82" s="55">
        <f t="shared" si="29"/>
        <v>2000</v>
      </c>
      <c r="B82" s="25">
        <f t="shared" si="26"/>
        <v>0.15351658115539266</v>
      </c>
      <c r="C82" s="56">
        <f>0.5*(DataUK3!CD159+DataUK3!CD160)/DataUK1!$B159</f>
        <v>0.14557671745600001</v>
      </c>
      <c r="D82" s="1704">
        <f>(DataUK1!ED159-DataUK1!CR159)/DataUK1!B159</f>
        <v>-1.2916469251273402E-3</v>
      </c>
      <c r="E82" s="56">
        <f>0.5*(DataUK3!CE159+DataUK3!CE160)/DataUK1!$B159</f>
        <v>2.8084342806569212E-2</v>
      </c>
      <c r="F82" s="57">
        <f>0.5*(DataUK3!CF159+DataUK3!CF160-DataUK3!CG159-DataUK3!CG160)/DataUK1!$B159</f>
        <v>2.0144479107176576E-2</v>
      </c>
      <c r="G82" s="56">
        <f>0.5*(DataUK3!CG159+DataUK3!CG160)/DataUK1!$B159</f>
        <v>9.64570646136238E-2</v>
      </c>
      <c r="H82" s="330">
        <f t="shared" si="21"/>
        <v>5.7059516541768857E-2</v>
      </c>
      <c r="I82" s="327">
        <f t="shared" si="27"/>
        <v>0.62831691461385508</v>
      </c>
      <c r="J82" s="328">
        <f>H82/TableUK6a!M155</f>
        <v>1.0727120912702545E-2</v>
      </c>
      <c r="K82" s="25">
        <f t="shared" si="23"/>
        <v>0.23069219532481741</v>
      </c>
      <c r="L82" s="26">
        <f>TableUK6a!H155</f>
        <v>0.17363267878304856</v>
      </c>
      <c r="M82" s="26">
        <f t="shared" si="24"/>
        <v>5.7059516541768857E-2</v>
      </c>
      <c r="N82" s="333">
        <f>TableUK6a!B155</f>
        <v>5.1455500736180824</v>
      </c>
      <c r="O82" s="330">
        <f t="shared" si="25"/>
        <v>5.3762422689428995</v>
      </c>
      <c r="P82" s="58">
        <f t="shared" si="28"/>
        <v>4.2909560950678126E-2</v>
      </c>
      <c r="Q82" s="48"/>
      <c r="R82" s="1747"/>
      <c r="S82" s="49"/>
      <c r="T82" s="1532"/>
      <c r="U82" s="49"/>
    </row>
    <row r="83" spans="1:38" ht="12" customHeight="1">
      <c r="A83" s="60">
        <f t="shared" si="29"/>
        <v>2001</v>
      </c>
      <c r="B83" s="20">
        <f t="shared" si="26"/>
        <v>0.15157145943243014</v>
      </c>
      <c r="C83" s="51">
        <f>0.5*(DataUK3!CD160+DataUK3!CD161)/DataUK1!$B160</f>
        <v>0.14354720738483404</v>
      </c>
      <c r="D83" s="1252">
        <f>(DataUK1!ED160-DataUK1!CR160)/DataUK1!B160</f>
        <v>-4.6056520122861251E-4</v>
      </c>
      <c r="E83" s="51">
        <f>0.5*(DataUK3!CE160+DataUK3!CE161)/DataUK1!$B160</f>
        <v>2.7109196719459865E-2</v>
      </c>
      <c r="F83" s="52">
        <f>0.5*(DataUK3!CF160+DataUK3!CF161-DataUK3!CG160-DataUK3!CG161)/DataUK1!$B160</f>
        <v>1.9084944671863741E-2</v>
      </c>
      <c r="G83" s="51">
        <f>0.5*(DataUK3!CG160+DataUK3!CG161)/DataUK1!$B160</f>
        <v>9.4246992344748412E-2</v>
      </c>
      <c r="H83" s="61">
        <f t="shared" si="21"/>
        <v>5.7324467087681727E-2</v>
      </c>
      <c r="I83" s="325">
        <f t="shared" si="27"/>
        <v>0.62179906888581016</v>
      </c>
      <c r="J83" s="329">
        <f>H83/TableUK6a!M156</f>
        <v>1.1075018630323012E-2</v>
      </c>
      <c r="K83" s="317">
        <f t="shared" si="23"/>
        <v>0.29693296473496128</v>
      </c>
      <c r="L83" s="62">
        <f>TableUK6a!H156</f>
        <v>0.23960849764727954</v>
      </c>
      <c r="M83" s="62">
        <f t="shared" si="24"/>
        <v>5.7324467087681727E-2</v>
      </c>
      <c r="N83" s="317">
        <f>TableUK6a!B156</f>
        <v>4.9364069115484535</v>
      </c>
      <c r="O83" s="334">
        <f t="shared" si="25"/>
        <v>5.2333398762834147</v>
      </c>
      <c r="P83" s="54">
        <f t="shared" si="28"/>
        <v>5.6738712133070086E-2</v>
      </c>
      <c r="Q83" s="48"/>
      <c r="R83" s="1747"/>
      <c r="S83" s="49"/>
      <c r="T83" s="1532"/>
      <c r="U83" s="49"/>
    </row>
    <row r="84" spans="1:38" ht="12" customHeight="1">
      <c r="A84" s="60">
        <f t="shared" si="29"/>
        <v>2002</v>
      </c>
      <c r="B84" s="20">
        <f t="shared" si="26"/>
        <v>0.15523632324411629</v>
      </c>
      <c r="C84" s="51">
        <f>0.5*(DataUK3!CD161+DataUK3!CD162)/DataUK1!$B161</f>
        <v>0.15175802381023595</v>
      </c>
      <c r="D84" s="1252">
        <f>(DataUK1!ED161-DataUK1!CR161)/DataUK1!B161</f>
        <v>-7.322735650274396E-5</v>
      </c>
      <c r="E84" s="51">
        <f>0.5*(DataUK3!CE161+DataUK3!CE162)/DataUK1!$B161</f>
        <v>2.6113803562975012E-2</v>
      </c>
      <c r="F84" s="52">
        <f>0.5*(DataUK3!CF161+DataUK3!CF162-DataUK3!CG161-DataUK3!CG162)/DataUK1!$B161</f>
        <v>2.2635504129094673E-2</v>
      </c>
      <c r="G84" s="51">
        <f>0.5*(DataUK3!CG161+DataUK3!CG162)/DataUK1!$B161</f>
        <v>9.5823152839932216E-2</v>
      </c>
      <c r="H84" s="61">
        <f t="shared" si="21"/>
        <v>5.9413170404184076E-2</v>
      </c>
      <c r="I84" s="325">
        <f t="shared" si="27"/>
        <v>0.61727275445222884</v>
      </c>
      <c r="J84" s="326">
        <f>H84/TableUK6a!M157</f>
        <v>1.207422611957395E-2</v>
      </c>
      <c r="K84" s="20">
        <f t="shared" si="23"/>
        <v>0.32152688320649198</v>
      </c>
      <c r="L84" s="21">
        <f>TableUK6a!H157</f>
        <v>0.26211371280230789</v>
      </c>
      <c r="M84" s="21">
        <f t="shared" si="24"/>
        <v>5.9413170404184076E-2</v>
      </c>
      <c r="N84" s="31">
        <f>TableUK6a!B157</f>
        <v>4.6585470248550154</v>
      </c>
      <c r="O84" s="61">
        <f t="shared" si="25"/>
        <v>4.9800739080615077</v>
      </c>
      <c r="P84" s="54">
        <f t="shared" si="28"/>
        <v>6.4562672992868539E-2</v>
      </c>
      <c r="Q84" s="48"/>
      <c r="R84" s="1747"/>
      <c r="S84" s="49"/>
      <c r="T84" s="1532"/>
      <c r="U84" s="49"/>
    </row>
    <row r="85" spans="1:38" ht="12" customHeight="1">
      <c r="A85" s="60">
        <f t="shared" si="29"/>
        <v>2003</v>
      </c>
      <c r="B85" s="20">
        <f t="shared" si="26"/>
        <v>0.15630706055120008</v>
      </c>
      <c r="C85" s="51">
        <f>0.5*(DataUK3!CD162+DataUK3!CD163)/DataUK1!$B162</f>
        <v>0.15428153238902573</v>
      </c>
      <c r="D85" s="1252">
        <f>(DataUK1!ED162-DataUK1!CR162)/DataUK1!B162</f>
        <v>-2.147419211971935E-3</v>
      </c>
      <c r="E85" s="51">
        <f>0.5*(DataUK3!CE162+DataUK3!CE163)/DataUK1!$B162</f>
        <v>2.4412203479382444E-2</v>
      </c>
      <c r="F85" s="52">
        <f>0.5*(DataUK3!CF162+DataUK3!CF163-DataUK3!CG162-DataUK3!CG163)/DataUK1!$B162</f>
        <v>2.2386675317208102E-2</v>
      </c>
      <c r="G85" s="51">
        <f>0.5*(DataUK3!CG162+DataUK3!CG163)/DataUK1!$B162</f>
        <v>9.8049451830211104E-2</v>
      </c>
      <c r="H85" s="61">
        <f t="shared" si="21"/>
        <v>5.8257608720988979E-2</v>
      </c>
      <c r="I85" s="325">
        <f t="shared" si="27"/>
        <v>0.62728741417342393</v>
      </c>
      <c r="J85" s="326">
        <f>H85/TableUK6a!M158</f>
        <v>1.1878733052642797E-2</v>
      </c>
      <c r="K85" s="20">
        <f t="shared" si="23"/>
        <v>0.31459788579731318</v>
      </c>
      <c r="L85" s="21">
        <f>TableUK6a!H158</f>
        <v>0.25634027707632423</v>
      </c>
      <c r="M85" s="21">
        <f t="shared" si="24"/>
        <v>5.8257608720988979E-2</v>
      </c>
      <c r="N85" s="31">
        <f>TableUK6a!B158</f>
        <v>4.6480218685169508</v>
      </c>
      <c r="O85" s="61">
        <f t="shared" si="25"/>
        <v>4.9626197543142636</v>
      </c>
      <c r="P85" s="54">
        <f t="shared" si="28"/>
        <v>6.3393510156367891E-2</v>
      </c>
      <c r="Q85" s="48"/>
      <c r="R85" s="1747"/>
      <c r="S85" s="49"/>
      <c r="T85" s="1532"/>
      <c r="U85" s="49"/>
    </row>
    <row r="86" spans="1:38" ht="12" customHeight="1">
      <c r="A86" s="60">
        <f t="shared" si="29"/>
        <v>2004</v>
      </c>
      <c r="B86" s="20">
        <f t="shared" si="26"/>
        <v>0.15757138827069556</v>
      </c>
      <c r="C86" s="51">
        <f>0.5*(DataUK3!CD163+DataUK3!CD164)/DataUK1!$B163</f>
        <v>0.153614541136644</v>
      </c>
      <c r="D86" s="1252">
        <f>(DataUK1!ED163-DataUK1!CR163)/DataUK1!B163</f>
        <v>-2.5970266487938625E-3</v>
      </c>
      <c r="E86" s="51">
        <f>0.5*(DataUK3!CE163+DataUK3!CE164)/DataUK1!$B163</f>
        <v>2.4983820441005916E-2</v>
      </c>
      <c r="F86" s="52">
        <f>0.5*(DataUK3!CF163+DataUK3!CF164-DataUK3!CG163-DataUK3!CG164)/DataUK1!$B163</f>
        <v>2.1026973306954352E-2</v>
      </c>
      <c r="G86" s="51">
        <f>0.5*(DataUK3!CG163+DataUK3!CG164)/DataUK1!$B163</f>
        <v>0.10155830818049566</v>
      </c>
      <c r="H86" s="61">
        <f t="shared" si="21"/>
        <v>5.6013080090199896E-2</v>
      </c>
      <c r="I86" s="325">
        <f t="shared" si="27"/>
        <v>0.64452251957078832</v>
      </c>
      <c r="J86" s="326">
        <f>H86/TableUK6a!M159</f>
        <v>1.1041571427831522E-2</v>
      </c>
      <c r="K86" s="20">
        <f t="shared" si="23"/>
        <v>0.31698106945502091</v>
      </c>
      <c r="L86" s="21">
        <f>TableUK6a!H159</f>
        <v>0.26096798936482102</v>
      </c>
      <c r="M86" s="21">
        <f t="shared" si="24"/>
        <v>5.6013080090199896E-2</v>
      </c>
      <c r="N86" s="31">
        <f>TableUK6a!B159</f>
        <v>4.8119584918254041</v>
      </c>
      <c r="O86" s="61">
        <f t="shared" si="25"/>
        <v>5.1289395612804247</v>
      </c>
      <c r="P86" s="54">
        <f t="shared" si="28"/>
        <v>6.1802457538783613E-2</v>
      </c>
      <c r="Q86" s="48"/>
      <c r="R86" s="1747"/>
      <c r="S86" s="49"/>
      <c r="T86" s="1532"/>
      <c r="U86" s="49"/>
    </row>
    <row r="87" spans="1:38" ht="12" customHeight="1">
      <c r="A87" s="60">
        <f t="shared" si="29"/>
        <v>2005</v>
      </c>
      <c r="B87" s="20">
        <f t="shared" si="26"/>
        <v>0.15917971068787481</v>
      </c>
      <c r="C87" s="51">
        <f>0.5*(DataUK3!CD164+DataUK3!CD165)/DataUK1!$B164</f>
        <v>0.15777439493593853</v>
      </c>
      <c r="D87" s="1252">
        <f>(DataUK1!ED164-DataUK1!CR164)/DataUK1!B164</f>
        <v>1.4324019378934861E-2</v>
      </c>
      <c r="E87" s="51">
        <f>0.5*(DataUK3!CE164+DataUK3!CE165)/DataUK1!$B164</f>
        <v>2.6066936297335967E-2</v>
      </c>
      <c r="F87" s="52">
        <f>0.5*(DataUK3!CF164+DataUK3!CF165-DataUK3!CG164-DataUK3!CG165)/DataUK1!$B164</f>
        <v>2.4661620545399703E-2</v>
      </c>
      <c r="G87" s="51">
        <f>0.5*(DataUK3!CG164+DataUK3!CG165)/DataUK1!$B164</f>
        <v>0.10963397592671252</v>
      </c>
      <c r="H87" s="61">
        <f t="shared" si="21"/>
        <v>4.9545734761162294E-2</v>
      </c>
      <c r="I87" s="325">
        <f t="shared" si="27"/>
        <v>0.6887434048783182</v>
      </c>
      <c r="J87" s="326">
        <f>H87/TableUK6a!M160</f>
        <v>9.4194063445024283E-3</v>
      </c>
      <c r="K87" s="20">
        <f t="shared" si="23"/>
        <v>0.31736215725641559</v>
      </c>
      <c r="L87" s="21">
        <f>TableUK6a!H160</f>
        <v>0.26781642249525328</v>
      </c>
      <c r="M87" s="21">
        <f t="shared" si="24"/>
        <v>4.9545734761162294E-2</v>
      </c>
      <c r="N87" s="31">
        <f>TableUK6a!B160</f>
        <v>4.9921472046264617</v>
      </c>
      <c r="O87" s="61">
        <f t="shared" si="25"/>
        <v>5.3095093618828777</v>
      </c>
      <c r="P87" s="54">
        <f t="shared" si="28"/>
        <v>5.9772407509960858E-2</v>
      </c>
      <c r="Q87" s="48"/>
      <c r="R87" s="1747"/>
      <c r="S87" s="49"/>
      <c r="T87" s="1532"/>
      <c r="U87" s="49"/>
    </row>
    <row r="88" spans="1:38" ht="12" customHeight="1">
      <c r="A88" s="60">
        <f t="shared" si="29"/>
        <v>2006</v>
      </c>
      <c r="B88" s="20">
        <f t="shared" si="26"/>
        <v>0.15456108346223688</v>
      </c>
      <c r="C88" s="51">
        <f>0.5*(DataUK3!CD165+DataUK3!CD166)/DataUK1!$B165</f>
        <v>0.15258003228192885</v>
      </c>
      <c r="D88" s="1252">
        <f>(DataUK1!ED165-DataUK1!CR165)/DataUK1!B165</f>
        <v>8.532853588001883E-4</v>
      </c>
      <c r="E88" s="51">
        <f>0.5*(DataUK3!CE165+DataUK3!CE166)/DataUK1!$B165</f>
        <v>2.6213094357387855E-2</v>
      </c>
      <c r="F88" s="52">
        <f>0.5*(DataUK3!CF165+DataUK3!CF166-DataUK3!CG165-DataUK3!CG166)/DataUK1!$B165</f>
        <v>2.4232043177079832E-2</v>
      </c>
      <c r="G88" s="51">
        <f>0.5*(DataUK3!CG165+DataUK3!CG166)/DataUK1!$B165</f>
        <v>0.1103382036451678</v>
      </c>
      <c r="H88" s="61">
        <f t="shared" si="21"/>
        <v>4.4222879817069072E-2</v>
      </c>
      <c r="I88" s="325">
        <f t="shared" si="27"/>
        <v>0.71388088885988032</v>
      </c>
      <c r="J88" s="326">
        <f>H88/TableUK6a!M161</f>
        <v>8.0899727261004271E-3</v>
      </c>
      <c r="K88" s="20">
        <f t="shared" si="23"/>
        <v>0.321206032685453</v>
      </c>
      <c r="L88" s="21">
        <f>TableUK6a!H161</f>
        <v>0.27698315286838393</v>
      </c>
      <c r="M88" s="21">
        <f t="shared" si="24"/>
        <v>4.4222879817069072E-2</v>
      </c>
      <c r="N88" s="31">
        <f>TableUK6a!B161</f>
        <v>5.1893986650077348</v>
      </c>
      <c r="O88" s="61">
        <f t="shared" si="25"/>
        <v>5.5106046976931875</v>
      </c>
      <c r="P88" s="54">
        <f t="shared" si="28"/>
        <v>5.8288708827166302E-2</v>
      </c>
      <c r="Q88" s="48"/>
      <c r="R88" s="1747"/>
      <c r="S88" s="49"/>
      <c r="T88" s="1532"/>
      <c r="U88" s="49"/>
    </row>
    <row r="89" spans="1:38" ht="12" customHeight="1">
      <c r="A89" s="60">
        <f t="shared" si="29"/>
        <v>2007</v>
      </c>
      <c r="B89" s="20">
        <f t="shared" si="26"/>
        <v>0.14612347940056342</v>
      </c>
      <c r="C89" s="51">
        <f>0.5*(DataUK3!CD166+DataUK3!CD167)/DataUK1!$B166</f>
        <v>0.14275756867724468</v>
      </c>
      <c r="D89" s="1252">
        <f>(DataUK1!ED166-DataUK1!CR166)/DataUK1!B166</f>
        <v>1.2744595937306028E-3</v>
      </c>
      <c r="E89" s="51">
        <f>0.5*(DataUK3!CE166+DataUK3!CE167)/DataUK1!$B166</f>
        <v>2.5812920345488689E-2</v>
      </c>
      <c r="F89" s="52">
        <f>0.5*(DataUK3!CF166+DataUK3!CF167-DataUK3!CG166-DataUK3!CG167)/DataUK1!$B166</f>
        <v>2.2447009622169934E-2</v>
      </c>
      <c r="G89" s="51">
        <f>0.5*(DataUK3!CG166+DataUK3!CG167)/DataUK1!$B166</f>
        <v>0.10056272897987377</v>
      </c>
      <c r="H89" s="61">
        <f t="shared" si="21"/>
        <v>4.5560750420689647E-2</v>
      </c>
      <c r="I89" s="325">
        <f t="shared" si="27"/>
        <v>0.68820376706336506</v>
      </c>
      <c r="J89" s="326">
        <f>H89/TableUK6a!M162</f>
        <v>8.2802812323133287E-3</v>
      </c>
      <c r="K89" s="20">
        <f t="shared" si="23"/>
        <v>0.32077164594883123</v>
      </c>
      <c r="L89" s="21">
        <f>TableUK6a!H162</f>
        <v>0.2752108955281416</v>
      </c>
      <c r="M89" s="21">
        <f t="shared" si="24"/>
        <v>4.5560750420689647E-2</v>
      </c>
      <c r="N89" s="31">
        <f>TableUK6a!B162</f>
        <v>5.2271083062510675</v>
      </c>
      <c r="O89" s="61">
        <f t="shared" si="25"/>
        <v>5.5478799521998985</v>
      </c>
      <c r="P89" s="54">
        <f t="shared" si="28"/>
        <v>5.7818779193597326E-2</v>
      </c>
      <c r="Q89" s="48"/>
      <c r="R89" s="1747"/>
      <c r="S89" s="49"/>
      <c r="T89" s="1532"/>
      <c r="U89" s="49"/>
    </row>
    <row r="90" spans="1:38" ht="12" customHeight="1">
      <c r="A90" s="60">
        <v>2008</v>
      </c>
      <c r="B90" s="20">
        <f t="shared" si="26"/>
        <v>0.14492096161340606</v>
      </c>
      <c r="C90" s="51">
        <f>0.5*(DataUK3!CD167+DataUK3!CD168)/DataUK1!$B167</f>
        <v>0.14292559248343725</v>
      </c>
      <c r="D90" s="1252">
        <f>(DataUK1!ED167-DataUK1!CR167)/DataUK1!B167</f>
        <v>1.9942273967264224E-3</v>
      </c>
      <c r="E90" s="51">
        <f>0.5*(DataUK3!CE167+DataUK3!CE168)/DataUK1!$B167</f>
        <v>2.3947093603858147E-2</v>
      </c>
      <c r="F90" s="52">
        <f>0.5*(DataUK3!CF167+DataUK3!CF168-DataUK3!CG167-DataUK3!CG168)/DataUK1!$B167</f>
        <v>2.1951724473889322E-2</v>
      </c>
      <c r="G90" s="51">
        <f>0.5*(DataUK3!CG167+DataUK3!CG168)/DataUK1!$B167</f>
        <v>9.8954781274356973E-2</v>
      </c>
      <c r="H90" s="61">
        <f t="shared" si="21"/>
        <v>4.596618033904909E-2</v>
      </c>
      <c r="I90" s="325">
        <f t="shared" si="27"/>
        <v>0.68281896678501652</v>
      </c>
      <c r="J90" s="326">
        <f>H90/TableUK6a!M163</f>
        <v>8.941483255706725E-3</v>
      </c>
      <c r="K90" s="20">
        <f t="shared" si="23"/>
        <v>0.28152211308943886</v>
      </c>
      <c r="L90" s="21">
        <f>TableUK6a!H163</f>
        <v>0.23555593275038977</v>
      </c>
      <c r="M90" s="21">
        <f t="shared" si="24"/>
        <v>4.596618033904909E-2</v>
      </c>
      <c r="N90" s="31">
        <f>TableUK6a!B163</f>
        <v>4.9052220595040925</v>
      </c>
      <c r="O90" s="61">
        <f t="shared" si="25"/>
        <v>5.1867441725935315</v>
      </c>
      <c r="P90" s="54">
        <f t="shared" si="28"/>
        <v>5.4277231288365077E-2</v>
      </c>
      <c r="Q90" s="48"/>
      <c r="R90" s="1747"/>
      <c r="S90" s="49"/>
      <c r="T90" s="1532"/>
      <c r="U90" s="49"/>
    </row>
    <row r="91" spans="1:38" ht="12" customHeight="1">
      <c r="A91" s="64">
        <v>2009</v>
      </c>
      <c r="B91" s="897">
        <f t="shared" si="26"/>
        <v>0.15445439706296304</v>
      </c>
      <c r="C91" s="1075">
        <f>0.5*(DataUK3!CD168+DataUK3!CD169)/DataUK1!$B168</f>
        <v>0.15531042148936289</v>
      </c>
      <c r="D91" s="1253">
        <f>(DataUK1!ED168-DataUK1!CR168)/DataUK1!B168</f>
        <v>2.6856919125427714E-3</v>
      </c>
      <c r="E91" s="1075">
        <f>0.5*(DataUK3!CE168+DataUK3!CE169)/DataUK1!$B168</f>
        <v>2.5051572780416777E-2</v>
      </c>
      <c r="F91" s="1076">
        <f>0.5*(DataUK3!CF168+DataUK3!CF169-DataUK3!CG168-DataUK3!CG169)/DataUK1!$B168</f>
        <v>2.5907597206816617E-2</v>
      </c>
      <c r="G91" s="1075">
        <f>0.5*(DataUK3!CG168+DataUK3!CG169)/DataUK1!$B168</f>
        <v>0.10559641418664123</v>
      </c>
      <c r="H91" s="1077">
        <f t="shared" si="21"/>
        <v>4.8857982876321815E-2</v>
      </c>
      <c r="I91" s="1758">
        <f t="shared" si="27"/>
        <v>0.68367373279502719</v>
      </c>
      <c r="J91" s="1759">
        <f>H91/TableUK6a!M164</f>
        <v>9.4312815832602037E-3</v>
      </c>
      <c r="K91" s="897">
        <f t="shared" si="23"/>
        <v>0.18522343154555665</v>
      </c>
      <c r="L91" s="898">
        <f>TableUK6a!H164</f>
        <v>0.13636544866923483</v>
      </c>
      <c r="M91" s="898">
        <f t="shared" si="24"/>
        <v>4.8857982876321815E-2</v>
      </c>
      <c r="N91" s="1080">
        <f>TableUK6a!B164</f>
        <v>5.0440527633202112</v>
      </c>
      <c r="O91" s="1077">
        <f t="shared" si="25"/>
        <v>5.2292761948657676</v>
      </c>
      <c r="P91" s="1755">
        <f t="shared" si="28"/>
        <v>3.5420472096580703E-2</v>
      </c>
      <c r="Q91" s="48"/>
      <c r="R91" s="1747"/>
      <c r="S91" s="49"/>
      <c r="T91" s="1532"/>
      <c r="U91" s="49"/>
    </row>
    <row r="92" spans="1:38" ht="12" customHeight="1" thickBot="1">
      <c r="A92" s="342">
        <v>2010</v>
      </c>
      <c r="B92" s="338">
        <f>C92+E92-F92</f>
        <v>0.14892745561228379</v>
      </c>
      <c r="C92" s="343">
        <f>0.5*(DataUK3!CD169+DataUK3!CD170)/DataUK1!$B169</f>
        <v>0.14952030785643527</v>
      </c>
      <c r="D92" s="1254">
        <f>(DataUK1!ED169-DataUK1!CR169)/DataUK1!B169</f>
        <v>2.3698849348472149E-3</v>
      </c>
      <c r="E92" s="343">
        <f>0.5*(DataUK3!CE169+DataUK3!CE170)/DataUK1!$B169</f>
        <v>2.4862455231273336E-2</v>
      </c>
      <c r="F92" s="583">
        <f>0.5*(DataUK3!CF169+DataUK3!CF170-DataUK3!CG169-DataUK3!CG170)/DataUK1!$B169</f>
        <v>2.5455307475424828E-2</v>
      </c>
      <c r="G92" s="343">
        <f>0.5*(DataUK3!CG169+DataUK3!CG170)/DataUK1!$B169</f>
        <v>0.1004069191495847</v>
      </c>
      <c r="H92" s="344">
        <f>B92-G92</f>
        <v>4.852053646269909E-2</v>
      </c>
      <c r="I92" s="345">
        <f t="shared" si="27"/>
        <v>0.6742001918771986</v>
      </c>
      <c r="J92" s="346">
        <f>H92/TableUK6a!M165</f>
        <v>9.2852527463777937E-3</v>
      </c>
      <c r="K92" s="338">
        <f t="shared" si="23"/>
        <v>5.5308618456145694E-2</v>
      </c>
      <c r="L92" s="339">
        <f>TableUK6a!H165</f>
        <v>6.7880819934466041E-3</v>
      </c>
      <c r="M92" s="339">
        <f t="shared" si="24"/>
        <v>4.852053646269909E-2</v>
      </c>
      <c r="N92" s="347">
        <f>TableUK6a!B165</f>
        <v>5.2187601920292614</v>
      </c>
      <c r="O92" s="344">
        <f t="shared" si="25"/>
        <v>5.2740688104854074</v>
      </c>
      <c r="P92" s="1774">
        <f>K92/O92</f>
        <v>1.0486897392424289E-2</v>
      </c>
      <c r="Q92" s="59"/>
      <c r="R92" s="1747"/>
      <c r="S92" s="49"/>
      <c r="T92" s="49"/>
      <c r="U92" s="49"/>
      <c r="V92" s="59"/>
      <c r="W92" s="59"/>
      <c r="X92" s="59"/>
      <c r="Y92" s="59"/>
      <c r="Z92" s="59"/>
      <c r="AA92" s="59"/>
      <c r="AB92" s="59"/>
      <c r="AC92" s="59"/>
      <c r="AD92" s="59"/>
      <c r="AE92" s="66"/>
      <c r="AF92" s="59"/>
      <c r="AG92" s="59"/>
      <c r="AH92" s="59"/>
      <c r="AI92" s="59"/>
      <c r="AJ92" s="59"/>
      <c r="AK92" s="59"/>
      <c r="AL92" s="59"/>
    </row>
    <row r="93" spans="1:38" ht="13" customHeight="1" thickTop="1">
      <c r="B93" s="66"/>
      <c r="C93" s="66"/>
      <c r="D93" s="66"/>
      <c r="E93" s="66"/>
      <c r="F93" s="66"/>
      <c r="G93" s="66"/>
      <c r="H93" s="67"/>
      <c r="I93" s="66"/>
      <c r="J93" s="66"/>
      <c r="K93" s="66"/>
      <c r="L93" s="66"/>
      <c r="M93" s="66"/>
      <c r="N93" s="66"/>
      <c r="O93" s="66"/>
      <c r="P93" s="66"/>
      <c r="Q93" s="66"/>
      <c r="R93" s="1747"/>
      <c r="S93" s="59"/>
      <c r="T93" s="59"/>
      <c r="U93" s="59"/>
      <c r="V93" s="59"/>
      <c r="W93" s="59"/>
      <c r="X93" s="59"/>
      <c r="Y93" s="59"/>
      <c r="Z93" s="59"/>
      <c r="AA93" s="59"/>
      <c r="AB93" s="59"/>
      <c r="AC93" s="59"/>
      <c r="AD93" s="59"/>
      <c r="AE93" s="66"/>
      <c r="AF93" s="66"/>
      <c r="AG93" s="66"/>
      <c r="AH93" s="66"/>
      <c r="AI93" s="66"/>
      <c r="AJ93" s="66"/>
      <c r="AK93" s="66"/>
      <c r="AL93" s="66"/>
    </row>
    <row r="94" spans="1:38" ht="12" customHeight="1">
      <c r="B94" s="66"/>
      <c r="C94" s="68"/>
      <c r="D94" s="68"/>
      <c r="E94" s="66"/>
      <c r="F94" s="66"/>
      <c r="G94" s="66"/>
      <c r="H94" s="66"/>
      <c r="I94" s="66"/>
      <c r="J94" s="66"/>
      <c r="K94" s="66"/>
      <c r="L94" s="66"/>
      <c r="M94" s="66"/>
      <c r="N94" s="66"/>
      <c r="O94" s="66"/>
      <c r="P94" s="66"/>
      <c r="Q94" s="66"/>
      <c r="R94" s="59"/>
      <c r="S94" s="69"/>
      <c r="T94" s="69"/>
      <c r="U94" s="69"/>
      <c r="V94" s="59"/>
      <c r="W94" s="59"/>
      <c r="X94" s="59"/>
      <c r="Y94" s="59"/>
      <c r="Z94" s="59"/>
      <c r="AA94" s="59"/>
      <c r="AB94" s="59"/>
      <c r="AC94" s="59"/>
      <c r="AD94" s="59"/>
      <c r="AE94" s="66"/>
      <c r="AF94" s="66"/>
      <c r="AG94" s="66"/>
      <c r="AH94" s="66"/>
      <c r="AI94" s="66"/>
      <c r="AJ94" s="66"/>
      <c r="AK94" s="66"/>
      <c r="AL94" s="66"/>
    </row>
    <row r="95" spans="1:38" ht="12" customHeight="1">
      <c r="B95" s="66"/>
      <c r="C95" s="68"/>
      <c r="D95" s="68"/>
      <c r="E95" s="66"/>
      <c r="F95" s="66"/>
      <c r="G95" s="66"/>
      <c r="H95" s="66"/>
      <c r="I95" s="66"/>
      <c r="J95" s="66"/>
      <c r="K95" s="66"/>
      <c r="L95" s="66"/>
      <c r="M95" s="66"/>
      <c r="N95" s="66"/>
      <c r="O95" s="66"/>
      <c r="P95" s="66"/>
      <c r="Q95" s="65"/>
      <c r="R95" s="59"/>
      <c r="S95" s="70"/>
      <c r="T95" s="69"/>
      <c r="U95" s="69"/>
      <c r="V95" s="59"/>
      <c r="W95" s="59"/>
      <c r="X95" s="59"/>
      <c r="Y95" s="59"/>
      <c r="Z95" s="59"/>
      <c r="AA95" s="59"/>
      <c r="AB95" s="59"/>
      <c r="AC95" s="59"/>
      <c r="AD95" s="59"/>
      <c r="AE95" s="66"/>
      <c r="AF95" s="66"/>
      <c r="AG95" s="66"/>
      <c r="AH95" s="66"/>
      <c r="AI95" s="66"/>
      <c r="AJ95" s="66"/>
      <c r="AK95" s="66"/>
      <c r="AL95" s="66"/>
    </row>
    <row r="96" spans="1:38" ht="12" customHeight="1">
      <c r="B96" s="66"/>
      <c r="C96" s="68"/>
      <c r="D96" s="68"/>
      <c r="E96" s="66"/>
      <c r="F96" s="66"/>
      <c r="G96" s="66"/>
      <c r="H96" s="66"/>
      <c r="I96" s="66"/>
      <c r="J96" s="66"/>
      <c r="K96" s="66"/>
      <c r="L96" s="66"/>
      <c r="M96" s="66"/>
      <c r="N96" s="66"/>
      <c r="O96" s="66"/>
      <c r="P96" s="66"/>
      <c r="Q96" s="66"/>
      <c r="R96" s="59"/>
      <c r="S96" s="71"/>
      <c r="T96" s="59"/>
      <c r="U96" s="59"/>
      <c r="V96" s="59"/>
      <c r="W96" s="59"/>
      <c r="X96" s="59"/>
      <c r="Y96" s="59"/>
      <c r="Z96" s="59"/>
      <c r="AA96" s="59"/>
      <c r="AB96" s="59"/>
      <c r="AC96" s="59"/>
      <c r="AD96" s="59"/>
      <c r="AE96" s="66"/>
      <c r="AF96" s="66"/>
      <c r="AG96" s="66"/>
      <c r="AH96" s="66"/>
      <c r="AI96" s="66"/>
      <c r="AJ96" s="66"/>
      <c r="AK96" s="66"/>
      <c r="AL96" s="66"/>
    </row>
    <row r="97" spans="2:38" ht="12" customHeight="1">
      <c r="B97" s="66"/>
      <c r="C97" s="66"/>
      <c r="D97" s="66"/>
      <c r="E97" s="66"/>
      <c r="F97" s="66"/>
      <c r="G97" s="66"/>
      <c r="H97" s="66"/>
      <c r="I97" s="66"/>
      <c r="J97" s="66"/>
      <c r="K97" s="66"/>
      <c r="L97" s="66"/>
      <c r="M97" s="66"/>
      <c r="N97" s="66"/>
      <c r="O97" s="66"/>
      <c r="P97" s="66"/>
      <c r="Q97" s="65"/>
      <c r="R97" s="59"/>
      <c r="S97" s="59"/>
      <c r="T97" s="59"/>
      <c r="U97" s="59"/>
      <c r="V97" s="59"/>
      <c r="W97" s="59"/>
      <c r="X97" s="59"/>
      <c r="Y97" s="59"/>
      <c r="Z97" s="59"/>
      <c r="AA97" s="59"/>
      <c r="AB97" s="59"/>
      <c r="AC97" s="59"/>
      <c r="AD97" s="59"/>
      <c r="AE97" s="66"/>
      <c r="AF97" s="66"/>
      <c r="AG97" s="66"/>
      <c r="AH97" s="66"/>
      <c r="AI97" s="66"/>
      <c r="AJ97" s="66"/>
      <c r="AK97" s="66"/>
      <c r="AL97" s="66"/>
    </row>
    <row r="98" spans="2:38" ht="12" customHeight="1">
      <c r="B98" s="66"/>
      <c r="C98" s="66"/>
      <c r="D98" s="66"/>
      <c r="E98" s="66"/>
      <c r="F98" s="66"/>
      <c r="G98" s="66"/>
      <c r="H98" s="66"/>
      <c r="I98" s="66"/>
      <c r="J98" s="66"/>
      <c r="K98" s="66"/>
      <c r="L98" s="66"/>
      <c r="M98" s="66"/>
      <c r="N98" s="66"/>
      <c r="O98" s="66"/>
      <c r="P98" s="66"/>
      <c r="Q98" s="65"/>
      <c r="R98" s="59"/>
      <c r="S98" s="59"/>
      <c r="T98" s="59"/>
      <c r="U98" s="59"/>
      <c r="V98" s="59"/>
      <c r="W98" s="59"/>
      <c r="X98" s="59"/>
      <c r="Y98" s="59"/>
      <c r="Z98" s="59"/>
      <c r="AA98" s="59"/>
      <c r="AB98" s="59"/>
      <c r="AC98" s="59"/>
      <c r="AD98" s="59"/>
      <c r="AE98" s="66"/>
      <c r="AF98" s="66"/>
      <c r="AG98" s="66"/>
      <c r="AH98" s="66"/>
      <c r="AI98" s="66"/>
      <c r="AJ98" s="66"/>
      <c r="AK98" s="66"/>
      <c r="AL98" s="66"/>
    </row>
    <row r="99" spans="2:38" ht="12" customHeight="1">
      <c r="B99" s="66"/>
      <c r="C99" s="66"/>
      <c r="D99" s="66"/>
      <c r="E99" s="66"/>
      <c r="F99" s="66"/>
      <c r="G99" s="66"/>
      <c r="H99" s="66"/>
      <c r="I99" s="66"/>
      <c r="J99" s="66"/>
      <c r="K99" s="66"/>
      <c r="L99" s="66"/>
      <c r="M99" s="66"/>
      <c r="N99" s="66"/>
      <c r="O99" s="66"/>
      <c r="P99" s="66"/>
      <c r="Q99" s="65"/>
      <c r="R99" s="59"/>
      <c r="S99" s="59"/>
      <c r="T99" s="59"/>
      <c r="U99" s="59"/>
      <c r="V99" s="59"/>
      <c r="W99" s="59"/>
      <c r="X99" s="59"/>
      <c r="Y99" s="59"/>
      <c r="Z99" s="59"/>
      <c r="AA99" s="59"/>
      <c r="AB99" s="59"/>
      <c r="AC99" s="59"/>
      <c r="AD99" s="59"/>
      <c r="AE99" s="66"/>
      <c r="AF99" s="66"/>
      <c r="AG99" s="66"/>
      <c r="AH99" s="66"/>
      <c r="AI99" s="66"/>
      <c r="AJ99" s="66"/>
      <c r="AK99" s="66"/>
      <c r="AL99" s="66"/>
    </row>
    <row r="100" spans="2:38" ht="12" customHeight="1">
      <c r="B100" s="66"/>
      <c r="C100" s="66"/>
      <c r="D100" s="66"/>
      <c r="E100" s="66"/>
      <c r="F100" s="66"/>
      <c r="G100" s="66"/>
      <c r="H100" s="66"/>
      <c r="I100" s="66"/>
      <c r="J100" s="66"/>
      <c r="K100" s="66"/>
      <c r="L100" s="66"/>
      <c r="M100" s="66"/>
      <c r="N100" s="66"/>
      <c r="O100" s="66"/>
      <c r="P100" s="66"/>
      <c r="Q100" s="65"/>
      <c r="R100" s="59"/>
      <c r="S100" s="59"/>
      <c r="T100" s="59"/>
      <c r="U100" s="59"/>
      <c r="V100" s="59"/>
      <c r="W100" s="59"/>
      <c r="X100" s="59"/>
      <c r="Y100" s="59"/>
      <c r="Z100" s="59"/>
      <c r="AA100" s="59"/>
      <c r="AB100" s="59"/>
      <c r="AC100" s="59"/>
      <c r="AD100" s="59"/>
      <c r="AE100" s="66"/>
      <c r="AF100" s="66"/>
      <c r="AG100" s="66"/>
      <c r="AH100" s="66"/>
      <c r="AI100" s="66"/>
      <c r="AJ100" s="66"/>
      <c r="AK100" s="66"/>
      <c r="AL100" s="66"/>
    </row>
    <row r="101" spans="2:38" ht="12" customHeight="1">
      <c r="B101" s="66"/>
      <c r="C101" s="66"/>
      <c r="D101" s="66"/>
      <c r="E101" s="66"/>
      <c r="F101" s="66"/>
      <c r="G101" s="66"/>
      <c r="H101" s="66"/>
      <c r="I101" s="66"/>
      <c r="J101" s="66"/>
      <c r="K101" s="66"/>
      <c r="L101" s="66"/>
      <c r="M101" s="66"/>
      <c r="N101" s="66"/>
      <c r="O101" s="66"/>
      <c r="P101" s="66"/>
      <c r="Q101" s="65"/>
      <c r="R101" s="59"/>
      <c r="S101" s="59"/>
      <c r="T101" s="59"/>
      <c r="U101" s="59"/>
      <c r="V101" s="59"/>
      <c r="W101" s="59"/>
      <c r="X101" s="59"/>
      <c r="Y101" s="59"/>
      <c r="Z101" s="59"/>
      <c r="AA101" s="59"/>
      <c r="AB101" s="59"/>
      <c r="AC101" s="59"/>
      <c r="AD101" s="59"/>
      <c r="AE101" s="66"/>
      <c r="AF101" s="66"/>
      <c r="AG101" s="66"/>
      <c r="AH101" s="66"/>
      <c r="AI101" s="66"/>
      <c r="AJ101" s="66"/>
      <c r="AK101" s="66"/>
      <c r="AL101" s="66"/>
    </row>
    <row r="102" spans="2:38" ht="12" customHeight="1">
      <c r="B102" s="66"/>
      <c r="C102" s="66"/>
      <c r="D102" s="66"/>
      <c r="E102" s="66"/>
      <c r="F102" s="66"/>
      <c r="G102" s="66"/>
      <c r="H102" s="66"/>
      <c r="I102" s="66"/>
      <c r="J102" s="66"/>
      <c r="K102" s="66"/>
      <c r="L102" s="66"/>
      <c r="M102" s="66"/>
      <c r="N102" s="66"/>
      <c r="O102" s="66"/>
      <c r="P102" s="66"/>
      <c r="Q102" s="65"/>
      <c r="R102" s="59"/>
      <c r="S102" s="59"/>
      <c r="T102" s="59"/>
      <c r="U102" s="59"/>
      <c r="V102" s="59"/>
      <c r="W102" s="59"/>
      <c r="X102" s="59"/>
      <c r="Y102" s="59"/>
      <c r="Z102" s="59"/>
      <c r="AA102" s="59"/>
      <c r="AB102" s="59"/>
      <c r="AC102" s="59"/>
      <c r="AD102" s="59"/>
      <c r="AE102" s="66"/>
      <c r="AF102" s="66"/>
      <c r="AG102" s="66"/>
      <c r="AH102" s="66"/>
      <c r="AI102" s="66"/>
      <c r="AJ102" s="66"/>
      <c r="AK102" s="66"/>
      <c r="AL102" s="66"/>
    </row>
    <row r="103" spans="2:38" ht="12" customHeight="1">
      <c r="B103" s="66"/>
      <c r="C103" s="66"/>
      <c r="D103" s="66"/>
      <c r="E103" s="66"/>
      <c r="F103" s="66"/>
      <c r="G103" s="66"/>
      <c r="H103" s="66"/>
      <c r="I103" s="66"/>
      <c r="J103" s="66"/>
      <c r="K103" s="66"/>
      <c r="L103" s="66"/>
      <c r="M103" s="66"/>
      <c r="N103" s="66"/>
      <c r="O103" s="66"/>
      <c r="P103" s="66"/>
      <c r="Q103" s="65"/>
      <c r="R103" s="59"/>
      <c r="S103" s="59"/>
      <c r="T103" s="59"/>
      <c r="U103" s="59"/>
      <c r="V103" s="59"/>
      <c r="W103" s="59"/>
      <c r="X103" s="59"/>
      <c r="Y103" s="59"/>
      <c r="Z103" s="59"/>
      <c r="AA103" s="59"/>
      <c r="AB103" s="59"/>
      <c r="AC103" s="59"/>
      <c r="AD103" s="59"/>
      <c r="AE103" s="59"/>
      <c r="AF103" s="66"/>
      <c r="AG103" s="66"/>
      <c r="AH103" s="66"/>
      <c r="AI103" s="66"/>
      <c r="AJ103" s="66"/>
      <c r="AK103" s="66"/>
      <c r="AL103" s="66"/>
    </row>
    <row r="104" spans="2:38" ht="12" customHeight="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row>
    <row r="105" spans="2:38" ht="15" customHeight="1">
      <c r="B105" s="66"/>
      <c r="C105" s="66"/>
      <c r="D105" s="66"/>
      <c r="E105" s="66"/>
      <c r="F105" s="66"/>
      <c r="G105" s="66"/>
      <c r="H105" s="66"/>
      <c r="I105" s="66"/>
      <c r="J105" s="66"/>
      <c r="K105" s="66"/>
      <c r="L105" s="66"/>
      <c r="M105" s="66"/>
      <c r="N105" s="66"/>
      <c r="O105" s="66"/>
      <c r="P105" s="66"/>
      <c r="Q105" s="66"/>
      <c r="R105" s="66"/>
      <c r="S105" s="72"/>
      <c r="T105" s="66"/>
      <c r="U105" s="66"/>
      <c r="V105" s="66"/>
      <c r="W105" s="66"/>
      <c r="X105" s="66"/>
      <c r="Y105" s="66"/>
      <c r="Z105" s="66"/>
      <c r="AA105" s="66"/>
      <c r="AB105" s="66"/>
      <c r="AC105" s="66"/>
      <c r="AD105" s="66"/>
      <c r="AE105" s="66"/>
      <c r="AF105" s="66"/>
      <c r="AG105" s="66"/>
      <c r="AH105" s="66"/>
      <c r="AI105" s="66"/>
      <c r="AJ105" s="66"/>
      <c r="AK105" s="66"/>
      <c r="AL105" s="66"/>
    </row>
    <row r="106" spans="2:38" ht="12" customHeight="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row>
    <row r="107" spans="2:38" ht="15" customHeight="1">
      <c r="B107" s="66"/>
      <c r="C107" s="66"/>
      <c r="D107" s="66"/>
      <c r="E107" s="66"/>
      <c r="F107" s="66"/>
      <c r="G107" s="66"/>
      <c r="H107" s="66"/>
      <c r="I107" s="66"/>
      <c r="J107" s="66"/>
      <c r="K107" s="66"/>
      <c r="L107" s="66"/>
      <c r="M107" s="66"/>
      <c r="N107" s="66"/>
      <c r="O107" s="66"/>
      <c r="P107" s="66"/>
      <c r="Q107" s="66"/>
      <c r="R107" s="66"/>
      <c r="S107" s="73"/>
      <c r="T107" s="66"/>
      <c r="U107" s="66"/>
      <c r="V107" s="66"/>
      <c r="W107" s="66"/>
      <c r="X107" s="66"/>
      <c r="Y107" s="66"/>
      <c r="Z107" s="66"/>
      <c r="AA107" s="66"/>
      <c r="AB107" s="66"/>
      <c r="AC107" s="66"/>
      <c r="AD107" s="66"/>
      <c r="AE107" s="66"/>
      <c r="AF107" s="66"/>
      <c r="AG107" s="66"/>
      <c r="AH107" s="66"/>
      <c r="AI107" s="66"/>
      <c r="AJ107" s="66"/>
      <c r="AK107" s="66"/>
      <c r="AL107" s="66"/>
    </row>
    <row r="108" spans="2:38" ht="12" customHeight="1">
      <c r="B108" s="66"/>
      <c r="C108" s="66"/>
      <c r="D108" s="66"/>
      <c r="E108" s="66"/>
      <c r="F108" s="66"/>
      <c r="G108" s="66"/>
      <c r="H108" s="66"/>
      <c r="I108" s="66"/>
      <c r="J108" s="66"/>
      <c r="K108" s="66"/>
      <c r="L108" s="66"/>
      <c r="M108" s="66"/>
      <c r="N108" s="66"/>
      <c r="O108" s="66"/>
      <c r="P108" s="66"/>
      <c r="Q108" s="74"/>
      <c r="R108" s="66"/>
      <c r="S108" s="66"/>
      <c r="T108" s="66"/>
      <c r="U108" s="66"/>
      <c r="V108" s="66"/>
      <c r="W108" s="66"/>
      <c r="X108" s="66"/>
      <c r="Y108" s="66"/>
      <c r="Z108" s="66"/>
      <c r="AA108" s="66"/>
      <c r="AB108" s="66"/>
      <c r="AC108" s="66"/>
      <c r="AD108" s="66"/>
      <c r="AE108" s="66"/>
      <c r="AF108" s="66"/>
      <c r="AG108" s="66"/>
      <c r="AH108" s="66"/>
      <c r="AI108" s="66"/>
      <c r="AJ108" s="66"/>
      <c r="AK108" s="66"/>
      <c r="AL108" s="66"/>
    </row>
    <row r="109" spans="2:38" ht="12" customHeight="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row>
    <row r="110" spans="2:38" ht="12" customHeight="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row>
    <row r="111" spans="2:38" ht="12" customHeight="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row>
    <row r="112" spans="2:38" ht="12" customHeight="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row>
    <row r="113" spans="2:38" ht="12" customHeight="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row>
    <row r="114" spans="2:38" ht="12" customHeight="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row>
    <row r="115" spans="2:38" ht="12" customHeight="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row>
    <row r="116" spans="2:38" ht="12" customHeight="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row>
    <row r="117" spans="2:38" ht="12" customHeight="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row>
    <row r="118" spans="2:38" ht="12" customHeight="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row>
    <row r="119" spans="2:38" ht="12" customHeight="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row>
    <row r="120" spans="2:38" ht="12" customHeight="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row>
    <row r="121" spans="2:38" ht="12" customHeight="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row>
    <row r="122" spans="2:38" ht="12" customHeight="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row>
    <row r="123" spans="2:38" ht="12" customHeight="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row>
    <row r="124" spans="2:38" ht="12" customHeight="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row>
    <row r="125" spans="2:38" ht="12" customHeight="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row>
    <row r="126" spans="2:38" ht="12" customHeight="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row>
    <row r="127" spans="2:38" ht="12" customHeight="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row>
    <row r="128" spans="2:38" ht="12" customHeight="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row>
    <row r="129" spans="2:38" ht="12" customHeight="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row>
    <row r="130" spans="2:38" ht="12" customHeight="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row>
    <row r="131" spans="2:38" ht="12" customHeight="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row>
    <row r="132" spans="2:38" ht="12" customHeight="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row>
    <row r="133" spans="2:38" ht="12" customHeight="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row>
    <row r="134" spans="2:38" ht="12" customHeight="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row>
    <row r="135" spans="2:38" ht="12" customHeight="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row>
    <row r="136" spans="2:38" ht="12" customHeight="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row>
    <row r="137" spans="2:38" ht="12" customHeight="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row>
    <row r="138" spans="2:38" ht="12" customHeight="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row>
    <row r="139" spans="2:38" ht="12" customHeight="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row>
    <row r="140" spans="2:38" ht="12" customHeight="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row>
    <row r="141" spans="2:38" ht="12" customHeight="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row>
    <row r="142" spans="2:38" ht="12" customHeight="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row>
    <row r="143" spans="2:38" ht="12" customHeight="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row>
    <row r="144" spans="2:38" ht="12" customHeight="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row>
    <row r="145" spans="2:38" ht="12" customHeight="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row>
    <row r="146" spans="2:38" ht="12" customHeight="1">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row>
    <row r="147" spans="2:38" ht="12" customHeight="1">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row>
    <row r="148" spans="2:38" ht="12" customHeight="1">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row>
    <row r="149" spans="2:38" ht="12" customHeight="1">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row>
    <row r="150" spans="2:38" ht="12" customHeight="1">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row>
    <row r="151" spans="2:38" ht="12" customHeight="1">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row>
    <row r="152" spans="2:38" ht="12" customHeight="1">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row>
    <row r="153" spans="2:38" ht="12" customHeight="1">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row>
    <row r="154" spans="2:38" ht="12" customHeight="1">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row>
    <row r="155" spans="2:38" ht="12" customHeight="1">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row>
    <row r="156" spans="2:38" ht="12" customHeight="1">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row>
    <row r="157" spans="2:38" ht="12" customHeight="1">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row>
    <row r="158" spans="2:38" ht="12" customHeight="1">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row>
    <row r="159" spans="2:38" ht="12" customHeight="1">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row>
    <row r="160" spans="2:38" ht="12" customHeight="1">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row>
    <row r="161" spans="2:38" ht="12" customHeight="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row>
    <row r="162" spans="2:38" ht="12" customHeight="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row>
    <row r="163" spans="2:38" ht="12" customHeight="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row>
    <row r="164" spans="2:38" ht="12" customHeight="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row>
    <row r="165" spans="2:38" ht="12" customHeight="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row>
    <row r="166" spans="2:38" ht="12" customHeight="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row>
    <row r="167" spans="2:38" ht="12" customHeight="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row>
    <row r="168" spans="2:38" ht="12" customHeight="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row>
    <row r="169" spans="2:38" ht="12" customHeight="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row>
    <row r="170" spans="2:38" ht="12" customHeight="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row>
    <row r="171" spans="2:38" ht="12" customHeight="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row>
    <row r="172" spans="2:38" ht="12" customHeight="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row>
    <row r="173" spans="2:38" ht="12" customHeight="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row>
    <row r="174" spans="2:38" ht="12" customHeight="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row>
    <row r="175" spans="2:38" ht="12" customHeight="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row>
    <row r="176" spans="2:38" ht="12" customHeight="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row>
    <row r="177" spans="2:38" ht="12" customHeight="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row>
    <row r="178" spans="2:38" ht="12" customHeight="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row>
    <row r="179" spans="2:38" ht="12" customHeight="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row>
    <row r="180" spans="2:38" ht="12" customHeight="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row>
    <row r="181" spans="2:38" ht="12" customHeight="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row>
    <row r="182" spans="2:38" ht="12" customHeight="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row>
    <row r="183" spans="2:38" ht="12" customHeight="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row>
    <row r="184" spans="2:38" ht="12" customHeight="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row>
    <row r="185" spans="2:38" ht="12" customHeight="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row>
    <row r="186" spans="2:38" ht="12" customHeight="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row>
    <row r="187" spans="2:38" ht="12" customHeight="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row>
    <row r="188" spans="2:38" ht="12" customHeight="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row>
    <row r="189" spans="2:38" ht="12" customHeight="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row>
    <row r="190" spans="2:38" ht="12" customHeight="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row>
    <row r="191" spans="2:38" ht="12" customHeight="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row>
    <row r="192" spans="2:38" ht="12" customHeight="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row>
    <row r="193" spans="2:38" ht="12" customHeight="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row>
    <row r="194" spans="2:38" ht="12" customHeight="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row>
    <row r="195" spans="2:38" ht="12" customHeight="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row>
    <row r="196" spans="2:38" ht="12" customHeight="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row>
    <row r="197" spans="2:38" ht="12" customHeight="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row>
    <row r="198" spans="2:38" ht="12" customHeight="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row>
    <row r="199" spans="2:38" ht="12" customHeight="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row>
    <row r="200" spans="2:38" ht="12" customHeight="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row>
    <row r="201" spans="2:38" ht="12" customHeight="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row>
    <row r="202" spans="2:38" ht="12" customHeight="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row>
    <row r="203" spans="2:38" ht="12" customHeight="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row>
    <row r="204" spans="2:38" ht="12" customHeight="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row>
    <row r="205" spans="2:38" ht="12" customHeight="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row>
    <row r="206" spans="2:38" ht="12" customHeight="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row>
    <row r="207" spans="2:38" ht="12" customHeight="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row>
    <row r="208" spans="2:38" ht="12" customHeight="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row>
    <row r="209" spans="2:38" ht="12" customHeight="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row>
    <row r="210" spans="2:38" ht="12" customHeight="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row>
    <row r="211" spans="2:38" ht="12" customHeight="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row>
    <row r="212" spans="2:38" ht="12" customHeight="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row>
    <row r="213" spans="2:38" ht="12" customHeight="1">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row>
    <row r="214" spans="2:38" ht="12" customHeight="1">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row>
    <row r="215" spans="2:38" ht="12" customHeight="1">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row>
    <row r="216" spans="2:38" ht="12" customHeight="1">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row>
    <row r="217" spans="2:38" ht="12" customHeight="1">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row>
    <row r="218" spans="2:38" ht="12" customHeight="1">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row>
    <row r="219" spans="2:38" ht="12" customHeight="1">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row>
    <row r="220" spans="2:38" ht="12" customHeight="1">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row>
    <row r="221" spans="2:38" ht="12" customHeight="1">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row>
    <row r="222" spans="2:38" ht="12" customHeight="1">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row>
    <row r="223" spans="2:38" ht="12" customHeight="1">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row>
    <row r="224" spans="2:38" ht="12" customHeight="1">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row>
    <row r="225" spans="2:38" ht="12" customHeight="1">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row>
    <row r="226" spans="2:38" ht="12" customHeight="1">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row>
    <row r="227" spans="2:38" ht="12" customHeight="1">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row>
    <row r="228" spans="2:38" ht="12" customHeight="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row>
    <row r="229" spans="2:38" ht="12" customHeight="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row>
    <row r="230" spans="2:38" ht="12" customHeight="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row>
    <row r="231" spans="2:38" ht="12" customHeight="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row>
    <row r="232" spans="2:38" ht="12" customHeight="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row>
    <row r="233" spans="2:38" ht="12" customHeight="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row>
    <row r="234" spans="2:38" ht="12" customHeight="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row>
    <row r="235" spans="2:38" ht="12" customHeight="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row>
    <row r="236" spans="2:38" ht="12" customHeight="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row>
    <row r="237" spans="2:38" ht="12" customHeight="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row>
    <row r="238" spans="2:38" ht="12" customHeight="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row>
    <row r="239" spans="2:38" ht="12" customHeight="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row>
    <row r="240" spans="2:38" ht="12" customHeight="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row>
    <row r="241" spans="2:38" ht="12" customHeight="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row>
    <row r="242" spans="2:38" ht="12" customHeight="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row>
    <row r="243" spans="2:38" ht="12" customHeight="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row>
    <row r="244" spans="2:38" ht="12" customHeight="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row>
    <row r="245" spans="2:38" ht="12" customHeight="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row>
    <row r="246" spans="2:38" ht="12" customHeight="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row>
    <row r="247" spans="2:38" ht="12" customHeight="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row>
    <row r="248" spans="2:38" ht="12" customHeight="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row>
    <row r="249" spans="2:38" ht="12" customHeight="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row>
    <row r="250" spans="2:38" ht="12" customHeight="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row>
    <row r="251" spans="2:38" ht="12" customHeight="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row>
    <row r="252" spans="2:38" ht="12" customHeight="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row>
    <row r="253" spans="2:38" ht="12" customHeight="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row>
    <row r="254" spans="2:38" ht="12" customHeight="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row>
    <row r="255" spans="2:38" ht="12" customHeight="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row>
    <row r="256" spans="2:38" ht="12" customHeight="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row>
    <row r="257" spans="2:38" ht="12" customHeight="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row>
    <row r="258" spans="2:38" ht="12" customHeight="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row>
    <row r="259" spans="2:38" ht="12" customHeight="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row>
    <row r="260" spans="2:38" ht="12" customHeight="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row>
    <row r="261" spans="2:38" ht="12" customHeight="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row>
    <row r="262" spans="2:38" ht="12" customHeight="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row>
    <row r="263" spans="2:38" ht="12" customHeight="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row>
    <row r="264" spans="2:38" ht="12" customHeight="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row>
    <row r="265" spans="2:38" ht="12" customHeight="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row>
    <row r="266" spans="2:38" ht="12" customHeight="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row>
    <row r="267" spans="2:38" ht="12" customHeight="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row>
    <row r="268" spans="2:38" ht="12" customHeight="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row>
    <row r="269" spans="2:38" ht="12" customHeight="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row>
    <row r="270" spans="2:38" ht="12" customHeight="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row>
    <row r="271" spans="2:38" ht="12" customHeight="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row>
    <row r="272" spans="2:38" ht="12" customHeight="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row>
    <row r="273" spans="2:38" ht="12" customHeight="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row>
    <row r="274" spans="2:38" ht="12" customHeight="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row>
    <row r="275" spans="2:38" ht="12" customHeight="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row>
    <row r="276" spans="2:38" ht="12" customHeight="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row>
    <row r="277" spans="2:38" ht="12" customHeight="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row>
    <row r="278" spans="2:38" ht="12" customHeight="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row>
    <row r="279" spans="2:38" ht="12" customHeight="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row>
    <row r="280" spans="2:38" ht="12" customHeight="1">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row>
    <row r="281" spans="2:38" ht="12" customHeight="1">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row>
    <row r="282" spans="2:38" ht="12" customHeight="1">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row>
    <row r="283" spans="2:38" ht="12" customHeight="1">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row>
    <row r="284" spans="2:38" ht="12" customHeight="1">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row>
    <row r="285" spans="2:38" ht="12" customHeight="1">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row>
    <row r="286" spans="2:38" ht="12" customHeight="1">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row>
    <row r="287" spans="2:38" ht="12" customHeight="1">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row>
    <row r="288" spans="2:38" ht="12" customHeight="1">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row>
    <row r="289" spans="2:38" ht="12" customHeight="1">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row>
    <row r="290" spans="2:38" ht="12" customHeight="1">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row>
    <row r="291" spans="2:38" ht="12" customHeight="1">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row>
    <row r="292" spans="2:38" ht="12" customHeight="1">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row>
    <row r="293" spans="2:38" ht="12" customHeight="1">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row>
    <row r="294" spans="2:38" ht="12" customHeight="1">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row>
    <row r="295" spans="2:38" ht="12" customHeight="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row>
    <row r="296" spans="2:38" ht="12" customHeight="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row>
    <row r="297" spans="2:38" ht="12" customHeight="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row>
    <row r="298" spans="2:38" ht="12" customHeight="1">
      <c r="R298" s="66"/>
      <c r="S298" s="66"/>
      <c r="T298" s="66"/>
      <c r="U298" s="66"/>
      <c r="V298" s="66"/>
      <c r="W298" s="66"/>
      <c r="X298" s="66"/>
      <c r="Y298" s="66"/>
      <c r="Z298" s="66"/>
      <c r="AA298" s="66"/>
      <c r="AB298" s="66"/>
      <c r="AC298" s="66"/>
      <c r="AD298" s="66"/>
      <c r="AE298" s="66"/>
    </row>
    <row r="299" spans="2:38" ht="12" customHeight="1">
      <c r="R299" s="66"/>
      <c r="S299" s="66"/>
      <c r="T299" s="66"/>
      <c r="U299" s="66"/>
      <c r="V299" s="66"/>
      <c r="W299" s="66"/>
      <c r="X299" s="66"/>
      <c r="Y299" s="66"/>
      <c r="Z299" s="66"/>
      <c r="AA299" s="66"/>
      <c r="AB299" s="66"/>
      <c r="AC299" s="66"/>
      <c r="AD299" s="66"/>
      <c r="AE299" s="66"/>
    </row>
    <row r="300" spans="2:38" ht="12" customHeight="1">
      <c r="R300" s="66"/>
      <c r="S300" s="66"/>
      <c r="T300" s="66"/>
      <c r="U300" s="66"/>
      <c r="V300" s="66"/>
      <c r="W300" s="66"/>
      <c r="X300" s="66"/>
      <c r="Y300" s="66"/>
      <c r="Z300" s="66"/>
      <c r="AA300" s="66"/>
      <c r="AB300" s="66"/>
      <c r="AC300" s="66"/>
      <c r="AD300" s="66"/>
      <c r="AE300" s="66"/>
    </row>
    <row r="301" spans="2:38" ht="12" customHeight="1">
      <c r="R301" s="66"/>
      <c r="S301" s="66"/>
      <c r="T301" s="66"/>
      <c r="U301" s="66"/>
      <c r="V301" s="66"/>
      <c r="W301" s="66"/>
      <c r="X301" s="66"/>
      <c r="Y301" s="66"/>
      <c r="Z301" s="66"/>
      <c r="AA301" s="66"/>
      <c r="AB301" s="66"/>
      <c r="AC301" s="66"/>
      <c r="AD301" s="66"/>
      <c r="AE301" s="66"/>
    </row>
    <row r="302" spans="2:38" ht="12" customHeight="1">
      <c r="R302" s="66"/>
      <c r="S302" s="66"/>
      <c r="T302" s="66"/>
      <c r="U302" s="66"/>
      <c r="V302" s="66"/>
      <c r="W302" s="66"/>
      <c r="X302" s="66"/>
      <c r="Y302" s="66"/>
      <c r="Z302" s="66"/>
      <c r="AA302" s="66"/>
      <c r="AB302" s="66"/>
      <c r="AC302" s="66"/>
      <c r="AD302" s="66"/>
      <c r="AE302" s="66"/>
    </row>
    <row r="303" spans="2:38" ht="12" customHeight="1">
      <c r="R303" s="66"/>
      <c r="S303" s="66"/>
      <c r="T303" s="66"/>
      <c r="U303" s="66"/>
      <c r="V303" s="66"/>
      <c r="W303" s="66"/>
      <c r="X303" s="66"/>
      <c r="Y303" s="66"/>
      <c r="Z303" s="66"/>
      <c r="AA303" s="66"/>
      <c r="AB303" s="66"/>
      <c r="AC303" s="66"/>
      <c r="AD303" s="66"/>
      <c r="AE303" s="66"/>
    </row>
    <row r="304" spans="2:38" ht="12" customHeight="1">
      <c r="R304" s="66"/>
      <c r="S304" s="66"/>
      <c r="T304" s="66"/>
      <c r="U304" s="66"/>
      <c r="V304" s="66"/>
      <c r="W304" s="66"/>
      <c r="X304" s="66"/>
      <c r="Y304" s="66"/>
      <c r="Z304" s="66"/>
      <c r="AA304" s="66"/>
      <c r="AB304" s="66"/>
      <c r="AC304" s="66"/>
      <c r="AD304" s="66"/>
      <c r="AE304" s="66"/>
    </row>
    <row r="305" spans="18:31" ht="12" customHeight="1">
      <c r="R305" s="66"/>
      <c r="S305" s="66"/>
      <c r="T305" s="66"/>
      <c r="U305" s="66"/>
      <c r="V305" s="66"/>
      <c r="W305" s="66"/>
      <c r="X305" s="66"/>
      <c r="Y305" s="66"/>
      <c r="Z305" s="66"/>
      <c r="AA305" s="66"/>
      <c r="AB305" s="66"/>
      <c r="AC305" s="66"/>
      <c r="AD305" s="66"/>
      <c r="AE305" s="66"/>
    </row>
    <row r="306" spans="18:31" ht="12" customHeight="1">
      <c r="R306" s="66"/>
      <c r="S306" s="66"/>
      <c r="T306" s="66"/>
      <c r="U306" s="66"/>
      <c r="V306" s="66"/>
      <c r="W306" s="66"/>
      <c r="X306" s="66"/>
      <c r="Y306" s="66"/>
      <c r="Z306" s="66"/>
      <c r="AA306" s="66"/>
      <c r="AB306" s="66"/>
      <c r="AC306" s="66"/>
      <c r="AD306" s="66"/>
      <c r="AE306" s="66"/>
    </row>
    <row r="307" spans="18:31" ht="12" customHeight="1">
      <c r="R307" s="66"/>
      <c r="S307" s="66"/>
      <c r="T307" s="66"/>
      <c r="U307" s="66"/>
      <c r="V307" s="66"/>
      <c r="W307" s="66"/>
      <c r="X307" s="66"/>
      <c r="Y307" s="66"/>
      <c r="Z307" s="66"/>
      <c r="AA307" s="66"/>
      <c r="AB307" s="66"/>
      <c r="AC307" s="66"/>
      <c r="AD307" s="66"/>
      <c r="AE307" s="66"/>
    </row>
    <row r="308" spans="18:31" ht="12" customHeight="1">
      <c r="R308" s="66"/>
      <c r="S308" s="66"/>
      <c r="T308" s="66"/>
      <c r="U308" s="66"/>
      <c r="V308" s="66"/>
      <c r="W308" s="66"/>
      <c r="X308" s="66"/>
      <c r="Y308" s="66"/>
      <c r="Z308" s="66"/>
      <c r="AA308" s="66"/>
      <c r="AB308" s="66"/>
      <c r="AC308" s="66"/>
      <c r="AD308" s="66"/>
      <c r="AE308" s="66"/>
    </row>
    <row r="309" spans="18:31" ht="12" customHeight="1">
      <c r="R309" s="66"/>
      <c r="S309" s="66"/>
      <c r="T309" s="66"/>
      <c r="U309" s="66"/>
      <c r="V309" s="66"/>
      <c r="W309" s="66"/>
      <c r="X309" s="66"/>
      <c r="Y309" s="66"/>
      <c r="Z309" s="66"/>
      <c r="AA309" s="66"/>
      <c r="AB309" s="66"/>
      <c r="AC309" s="66"/>
      <c r="AD309" s="66"/>
      <c r="AE309" s="66"/>
    </row>
  </sheetData>
  <mergeCells count="12">
    <mergeCell ref="A6:A9"/>
    <mergeCell ref="B6:J6"/>
    <mergeCell ref="K6:P6"/>
    <mergeCell ref="B7:H7"/>
    <mergeCell ref="I7:I9"/>
    <mergeCell ref="J7:J9"/>
    <mergeCell ref="B1:C1"/>
    <mergeCell ref="K7:O7"/>
    <mergeCell ref="P7:P9"/>
    <mergeCell ref="G8:G9"/>
    <mergeCell ref="H8:H9"/>
    <mergeCell ref="A3:P3"/>
  </mergeCells>
  <phoneticPr fontId="24" type="noConversion"/>
  <hyperlinks>
    <hyperlink ref="B1" location="Index!A1" display="Back to Index"/>
  </hyperlinks>
  <printOptions horizontalCentered="1" verticalCentered="1"/>
  <pageMargins left="0.78740157480314965" right="0.78740157480314965" top="0.98425196850393704" bottom="0.98425196850393704" header="0.51181102362204722" footer="0.51181102362204722"/>
  <pageSetup paperSize="9" scale="57"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enableFormatConditionsCalculation="0">
    <tabColor theme="7" tint="0.59999389629810485"/>
    <pageSetUpPr fitToPage="1"/>
  </sheetPr>
  <dimension ref="A1:P173"/>
  <sheetViews>
    <sheetView workbookViewId="0">
      <pane xSplit="1" ySplit="8" topLeftCell="B9" activePane="bottomRight" state="frozen"/>
      <selection activeCell="A3" sqref="A3:M3"/>
      <selection pane="topRight" activeCell="A3" sqref="A3:M3"/>
      <selection pane="bottomLeft" activeCell="A3" sqref="A3:M3"/>
      <selection pane="bottomRight" activeCell="A3" sqref="A3:J3"/>
    </sheetView>
  </sheetViews>
  <sheetFormatPr baseColWidth="10" defaultColWidth="12" defaultRowHeight="12" customHeight="1" x14ac:dyDescent="0"/>
  <cols>
    <col min="1" max="1" width="10.83203125" style="3" customWidth="1"/>
    <col min="2" max="10" width="9.33203125" style="3" customWidth="1"/>
    <col min="11" max="13" width="10.83203125" style="3" customWidth="1"/>
    <col min="14" max="16" width="11.83203125" style="3" customWidth="1"/>
    <col min="17" max="16384" width="12" style="3"/>
  </cols>
  <sheetData>
    <row r="1" spans="1:16" ht="12" customHeight="1">
      <c r="B1" s="2252" t="s">
        <v>1416</v>
      </c>
      <c r="C1" s="2252"/>
      <c r="D1" s="4"/>
      <c r="E1" s="4"/>
      <c r="F1" s="4"/>
      <c r="G1" s="4"/>
    </row>
    <row r="2" spans="1:16" ht="13" customHeight="1" thickBot="1"/>
    <row r="3" spans="1:16" ht="19" customHeight="1" thickTop="1">
      <c r="A3" s="2386" t="s">
        <v>1197</v>
      </c>
      <c r="B3" s="2387"/>
      <c r="C3" s="2387"/>
      <c r="D3" s="2387"/>
      <c r="E3" s="2387"/>
      <c r="F3" s="2387"/>
      <c r="G3" s="2387"/>
      <c r="H3" s="2387"/>
      <c r="I3" s="2387"/>
      <c r="J3" s="2388"/>
    </row>
    <row r="4" spans="1:16" ht="12" customHeight="1">
      <c r="A4" s="5"/>
      <c r="B4" s="6"/>
      <c r="C4" s="6"/>
      <c r="D4" s="6"/>
      <c r="E4" s="6"/>
      <c r="F4" s="6"/>
      <c r="G4" s="6"/>
      <c r="H4" s="6"/>
      <c r="I4" s="6"/>
      <c r="J4" s="7"/>
    </row>
    <row r="5" spans="1:16" ht="12" customHeight="1">
      <c r="A5" s="5"/>
      <c r="B5" s="908" t="s">
        <v>952</v>
      </c>
      <c r="C5" s="908" t="s">
        <v>953</v>
      </c>
      <c r="D5" s="908" t="s">
        <v>954</v>
      </c>
      <c r="E5" s="892" t="s">
        <v>955</v>
      </c>
      <c r="F5" s="892" t="s">
        <v>956</v>
      </c>
      <c r="G5" s="908" t="s">
        <v>957</v>
      </c>
      <c r="H5" s="908" t="s">
        <v>958</v>
      </c>
      <c r="I5" s="908" t="s">
        <v>959</v>
      </c>
      <c r="J5" s="1269" t="s">
        <v>960</v>
      </c>
    </row>
    <row r="6" spans="1:16" ht="16" customHeight="1">
      <c r="A6" s="5"/>
      <c r="B6" s="2439" t="s">
        <v>975</v>
      </c>
      <c r="C6" s="2440"/>
      <c r="D6" s="2440"/>
      <c r="E6" s="2440"/>
      <c r="F6" s="2440"/>
      <c r="G6" s="2440"/>
      <c r="H6" s="2440"/>
      <c r="I6" s="2441"/>
      <c r="J6" s="2515" t="s">
        <v>1174</v>
      </c>
    </row>
    <row r="7" spans="1:16" ht="38" customHeight="1">
      <c r="A7" s="2518"/>
      <c r="B7" s="2433" t="s">
        <v>1175</v>
      </c>
      <c r="C7" s="2434"/>
      <c r="D7" s="2434"/>
      <c r="E7" s="2435"/>
      <c r="F7" s="2433" t="s">
        <v>1176</v>
      </c>
      <c r="G7" s="2434"/>
      <c r="H7" s="2434"/>
      <c r="I7" s="2434"/>
      <c r="J7" s="2516"/>
    </row>
    <row r="8" spans="1:16" ht="53" customHeight="1">
      <c r="A8" s="2518"/>
      <c r="B8" s="2148" t="s">
        <v>1177</v>
      </c>
      <c r="C8" s="2209" t="s">
        <v>1181</v>
      </c>
      <c r="D8" s="2210" t="s">
        <v>1178</v>
      </c>
      <c r="E8" s="2210" t="s">
        <v>1179</v>
      </c>
      <c r="F8" s="2149" t="s">
        <v>1177</v>
      </c>
      <c r="G8" s="2210" t="s">
        <v>1180</v>
      </c>
      <c r="H8" s="2210" t="s">
        <v>1188</v>
      </c>
      <c r="I8" s="2210" t="s">
        <v>1196</v>
      </c>
      <c r="J8" s="2517"/>
    </row>
    <row r="9" spans="1:16" ht="12" customHeight="1">
      <c r="A9" s="10">
        <v>1810</v>
      </c>
      <c r="B9" s="1255">
        <f>C9+D9+E9</f>
        <v>0.11337469729822275</v>
      </c>
      <c r="C9" s="1271">
        <f>15761/(TableUK6f!B14*1000000)</f>
        <v>4.3033947549967214E-2</v>
      </c>
      <c r="D9" s="1271">
        <f>3347/(TableUK6f!B14*1000000)</f>
        <v>9.1386728284842504E-3</v>
      </c>
      <c r="E9" s="1271">
        <f>(38176-15761)/(TableUK6f!B14*1000000)</f>
        <v>6.1202076919771274E-2</v>
      </c>
      <c r="F9" s="1255">
        <f>G9+H9+I9</f>
        <v>0.11337469729822275</v>
      </c>
      <c r="G9" s="1271">
        <f>13037/(TableUK6f!B14*1000000)</f>
        <v>3.5596318394069064E-2</v>
      </c>
      <c r="H9" s="1271">
        <f>22907/(TableUK6f!B14*1000000)</f>
        <v>6.2545437251893848E-2</v>
      </c>
      <c r="I9" s="1271">
        <f>5579/(TableUK6f!B14*1000000)</f>
        <v>1.5232941652259824E-2</v>
      </c>
      <c r="J9" s="1363">
        <f>C9/TableUK5e!L21</f>
        <v>2.4196270053220156E-2</v>
      </c>
      <c r="N9" s="1286">
        <f>F9-B9</f>
        <v>0</v>
      </c>
      <c r="O9" s="1286">
        <f>B9-C9-D9-E9</f>
        <v>0</v>
      </c>
      <c r="P9" s="1286">
        <f>F9-G9-H9-I9</f>
        <v>0</v>
      </c>
    </row>
    <row r="10" spans="1:16" ht="12" customHeight="1">
      <c r="A10" s="10">
        <v>1820</v>
      </c>
      <c r="B10" s="1255">
        <f>C10+D10+E10</f>
        <v>8.2355086633820754E-2</v>
      </c>
      <c r="C10" s="1271">
        <f>20445/(TableUK2!$B22*1000000)</f>
        <v>5.3320341574148625E-2</v>
      </c>
      <c r="D10" s="1271">
        <f>6561/(TableUK2!$B22*1000000)</f>
        <v>1.7111017905012918E-2</v>
      </c>
      <c r="E10" s="1271">
        <f>(25017-20445)/(TableUK2!$B22*1000000)</f>
        <v>1.1923727154659209E-2</v>
      </c>
      <c r="F10" s="1255">
        <f>G10+H10+I10</f>
        <v>8.2355086633820754E-2</v>
      </c>
      <c r="G10" s="1271">
        <f>4257/(TableUK2!$B22*1000000)</f>
        <v>1.1102210519987806E-2</v>
      </c>
      <c r="H10" s="1271">
        <f>23892/(TableUK2!$B22*1000000)</f>
        <v>6.2310080747838538E-2</v>
      </c>
      <c r="I10" s="1271">
        <f>3429/(TableUK2!$B22*1000000)</f>
        <v>8.9427953659944066E-3</v>
      </c>
      <c r="J10" s="1363">
        <f>C10/TableUK5e!L22</f>
        <v>2.2758669875317567E-2</v>
      </c>
      <c r="N10" s="1286">
        <f>F10-B10</f>
        <v>0</v>
      </c>
      <c r="O10" s="1286">
        <f>B10-C10-D10-E10</f>
        <v>0</v>
      </c>
      <c r="P10" s="1286">
        <f>F10-G10-H10-I10</f>
        <v>0</v>
      </c>
    </row>
    <row r="11" spans="1:16" ht="12" customHeight="1">
      <c r="A11" s="10">
        <v>1830</v>
      </c>
      <c r="B11" s="1255">
        <f>C11+D11+E11</f>
        <v>8.9079231942365625E-2</v>
      </c>
      <c r="C11" s="1271">
        <f>20475/(TableUK2!$B23*1000000)</f>
        <v>5.2796192729112949E-2</v>
      </c>
      <c r="D11" s="1271">
        <f>10161/(TableUK2!$B23*1000000)</f>
        <v>2.62008358642499E-2</v>
      </c>
      <c r="E11" s="1271">
        <f>(24385-20475)/(TableUK2!$B23*1000000)</f>
        <v>1.0082203349002766E-2</v>
      </c>
      <c r="F11" s="1255">
        <f>G11+H11+I11</f>
        <v>8.9079231942365611E-2</v>
      </c>
      <c r="G11" s="1271">
        <f>11192/(TableUK2!$B23*1000000)</f>
        <v>2.885934012328362E-2</v>
      </c>
      <c r="H11" s="1271">
        <f>20758/(TableUK2!$B23*1000000)</f>
        <v>5.3525927651815706E-2</v>
      </c>
      <c r="I11" s="1271">
        <f>2596/(TableUK2!$B23*1000000)</f>
        <v>6.6939641672662869E-3</v>
      </c>
      <c r="J11" s="1363">
        <f>C11/TableUK5e!L23</f>
        <v>2.4144282776453467E-2</v>
      </c>
      <c r="N11" s="1286">
        <f>F11-B11</f>
        <v>0</v>
      </c>
      <c r="O11" s="1286">
        <f>B11-C11-D11-E11</f>
        <v>0</v>
      </c>
      <c r="P11" s="1286">
        <f>F11-G11-H11-I11</f>
        <v>0</v>
      </c>
    </row>
    <row r="12" spans="1:16" ht="12" customHeight="1">
      <c r="A12" s="10">
        <v>1840</v>
      </c>
      <c r="B12" s="1255">
        <f>C12+D12+E12</f>
        <v>5.1356361486990368E-2</v>
      </c>
      <c r="C12" s="1271">
        <f>14064/(TableUK2!$B24*1000000)</f>
        <v>2.7059638391766543E-2</v>
      </c>
      <c r="D12" s="1271">
        <f>4342/(TableUK2!$B24*1000000)</f>
        <v>8.3541631041702449E-3</v>
      </c>
      <c r="E12" s="1271">
        <f>(22350-14064)/(TableUK2!$B24*1000000)</f>
        <v>1.5942559991053581E-2</v>
      </c>
      <c r="F12" s="1255">
        <f>G12+H12+I12</f>
        <v>5.135828552271219E-2</v>
      </c>
      <c r="G12" s="1271">
        <f>7058/(TableUK2!$B24*1000000)</f>
        <v>1.3579844124650757E-2</v>
      </c>
      <c r="H12" s="1271">
        <f>16773/(TableUK2!$B24*1000000)</f>
        <v>3.2271851162194269E-2</v>
      </c>
      <c r="I12" s="1271">
        <f>2862/(TableUK2!$B24*1000000)</f>
        <v>5.5065902358671674E-3</v>
      </c>
      <c r="J12" s="1363">
        <f>C12/TableUK5e!L24</f>
        <v>1.6764811062105141E-2</v>
      </c>
      <c r="N12" s="1286">
        <f>F12-B12</f>
        <v>1.9240357218217041E-6</v>
      </c>
      <c r="O12" s="1286">
        <f>B12-C12-D12-E12</f>
        <v>0</v>
      </c>
      <c r="P12" s="1286">
        <f>F12-G12-H12-I12</f>
        <v>0</v>
      </c>
    </row>
    <row r="13" spans="1:16" ht="12" customHeight="1">
      <c r="A13" s="10">
        <v>1855</v>
      </c>
      <c r="B13" s="1255">
        <f>C13+D13+E13</f>
        <v>7.7130257457760795E-2</v>
      </c>
      <c r="C13" s="1271">
        <f>DataUK3!CR13/DataUK1!B13</f>
        <v>3.0187967693839843E-2</v>
      </c>
      <c r="D13" s="1271">
        <f>DataUK3!CT13/DataUK1!B13</f>
        <v>2.0376878193341892E-2</v>
      </c>
      <c r="E13" s="1271">
        <f>DataUK3!CS13/DataUK1!B13</f>
        <v>2.6565411570579064E-2</v>
      </c>
      <c r="F13" s="1255">
        <f>G13+H13+I13</f>
        <v>7.7130257457760795E-2</v>
      </c>
      <c r="G13" s="1271">
        <f>DataUK3!CW13/DataUK1!B13</f>
        <v>2.5206953024356268E-2</v>
      </c>
      <c r="H13" s="1271">
        <f>DataUK3!CV13/DataUK1!B13</f>
        <v>2.9886088016901444E-2</v>
      </c>
      <c r="I13" s="1271">
        <f>DataUK3!CY13/DataUK1!B13</f>
        <v>2.2037216416503084E-2</v>
      </c>
      <c r="J13" s="1363">
        <f>C13/TableUK5c!O10</f>
        <v>2.4384296513045599E-2</v>
      </c>
      <c r="N13" s="1286">
        <f>F13-B13</f>
        <v>0</v>
      </c>
      <c r="O13" s="1286">
        <f>B13-C13-D13-E13</f>
        <v>0</v>
      </c>
      <c r="P13" s="1286">
        <f>F13-G13-H13-I13</f>
        <v>0</v>
      </c>
    </row>
    <row r="14" spans="1:16" ht="12" customHeight="1">
      <c r="A14" s="10">
        <v>1856</v>
      </c>
      <c r="B14" s="1255">
        <f t="shared" ref="B14:B21" si="0">C14+D14+E14</f>
        <v>7.2406063451770294E-2</v>
      </c>
      <c r="C14" s="1271">
        <f>DataUK3!CR14/DataUK1!B14</f>
        <v>2.8789687257165124E-2</v>
      </c>
      <c r="D14" s="1271">
        <f>DataUK3!CT14/DataUK1!B14</f>
        <v>1.482668893744004E-2</v>
      </c>
      <c r="E14" s="1271">
        <f>DataUK3!CS14/DataUK1!B14</f>
        <v>2.8789687257165127E-2</v>
      </c>
      <c r="F14" s="1255">
        <f t="shared" ref="F14:F21" si="1">G14+H14+I14</f>
        <v>7.2406063451770281E-2</v>
      </c>
      <c r="G14" s="1271">
        <f>DataUK3!CW14/DataUK1!B14</f>
        <v>2.30317498057321E-2</v>
      </c>
      <c r="H14" s="1271">
        <f>DataUK3!CV14/DataUK1!B14</f>
        <v>2.8357841948307646E-2</v>
      </c>
      <c r="I14" s="1271">
        <f>DataUK3!CY14/DataUK1!B14</f>
        <v>2.1016471697730538E-2</v>
      </c>
      <c r="J14" s="1363">
        <f>C14/TableUK5c!O11</f>
        <v>2.3944926668662075E-2</v>
      </c>
      <c r="N14" s="1286">
        <f t="shared" ref="N14:N23" si="2">F14-B14</f>
        <v>0</v>
      </c>
      <c r="O14" s="1286">
        <f t="shared" ref="O14:O23" si="3">B14-C14-D14-E14</f>
        <v>0</v>
      </c>
      <c r="P14" s="1286">
        <f t="shared" ref="P14:P23" si="4">F14-G14-H14-I14</f>
        <v>0</v>
      </c>
    </row>
    <row r="15" spans="1:16" ht="12" customHeight="1">
      <c r="A15" s="10">
        <v>1857</v>
      </c>
      <c r="B15" s="1255">
        <f t="shared" si="0"/>
        <v>7.507582330179155E-2</v>
      </c>
      <c r="C15" s="1271">
        <f>DataUK3!CR15/DataUK1!B15</f>
        <v>2.9326493477262322E-2</v>
      </c>
      <c r="D15" s="1271">
        <f>DataUK3!CT15/DataUK1!B15</f>
        <v>1.4223349336472227E-2</v>
      </c>
      <c r="E15" s="1271">
        <f>DataUK3!CS15/DataUK1!B15</f>
        <v>3.1525980488057007E-2</v>
      </c>
      <c r="F15" s="1255">
        <f t="shared" si="1"/>
        <v>7.507582330179155E-2</v>
      </c>
      <c r="G15" s="1271">
        <f>DataUK3!CW15/DataUK1!B15</f>
        <v>2.5074151923059288E-2</v>
      </c>
      <c r="H15" s="1271">
        <f>DataUK3!CV15/DataUK1!B15</f>
        <v>2.8593331140330764E-2</v>
      </c>
      <c r="I15" s="1271">
        <f>DataUK3!CY15/DataUK1!B15</f>
        <v>2.1408340238401494E-2</v>
      </c>
      <c r="J15" s="1363">
        <f>C15/TableUK5c!O12</f>
        <v>2.3980815347721819E-2</v>
      </c>
      <c r="N15" s="1286">
        <f t="shared" si="2"/>
        <v>0</v>
      </c>
      <c r="O15" s="1286">
        <f t="shared" si="3"/>
        <v>0</v>
      </c>
      <c r="P15" s="1286">
        <f t="shared" si="4"/>
        <v>0</v>
      </c>
    </row>
    <row r="16" spans="1:16" ht="12" customHeight="1">
      <c r="A16" s="10">
        <v>1858</v>
      </c>
      <c r="B16" s="1255">
        <f t="shared" si="0"/>
        <v>8.1576362395560806E-2</v>
      </c>
      <c r="C16" s="1271">
        <f>DataUK3!CR16/DataUK1!B16</f>
        <v>2.9772395034876203E-2</v>
      </c>
      <c r="D16" s="1271">
        <f>DataUK3!CT16/DataUK1!B16</f>
        <v>2.5455397754819156E-2</v>
      </c>
      <c r="E16" s="1271">
        <f>DataUK3!CS16/DataUK1!B16</f>
        <v>2.6348569605865443E-2</v>
      </c>
      <c r="F16" s="1255">
        <f t="shared" si="1"/>
        <v>8.1576362395560792E-2</v>
      </c>
      <c r="G16" s="1271">
        <f>DataUK3!CW16/DataUK1!B16</f>
        <v>2.9772395034876203E-2</v>
      </c>
      <c r="H16" s="1271">
        <f>DataUK3!CV16/DataUK1!B16</f>
        <v>3.0070118985224964E-2</v>
      </c>
      <c r="I16" s="1271">
        <f>DataUK3!CY16/DataUK1!B16</f>
        <v>2.1733848375459629E-2</v>
      </c>
      <c r="J16" s="1363">
        <f>C16/TableUK5c!O13</f>
        <v>2.4097837219109585E-2</v>
      </c>
      <c r="N16" s="1286">
        <f t="shared" si="2"/>
        <v>0</v>
      </c>
      <c r="O16" s="1286">
        <f t="shared" si="3"/>
        <v>0</v>
      </c>
      <c r="P16" s="1286">
        <f t="shared" si="4"/>
        <v>0</v>
      </c>
    </row>
    <row r="17" spans="1:16" ht="12" customHeight="1">
      <c r="A17" s="893">
        <v>1859</v>
      </c>
      <c r="B17" s="1298">
        <f t="shared" si="0"/>
        <v>8.223869988472074E-2</v>
      </c>
      <c r="C17" s="1299">
        <f>DataUK3!CR17/DataUK1!B17</f>
        <v>2.8555104126639148E-2</v>
      </c>
      <c r="D17" s="1299">
        <f>DataUK3!CT17/DataUK1!B17</f>
        <v>2.4700165069542864E-2</v>
      </c>
      <c r="E17" s="1299">
        <f>DataUK3!CS17/DataUK1!B17</f>
        <v>2.8983430688538734E-2</v>
      </c>
      <c r="F17" s="1298">
        <f t="shared" si="1"/>
        <v>8.223869988472074E-2</v>
      </c>
      <c r="G17" s="1299">
        <f>DataUK3!CW17/DataUK1!B17</f>
        <v>3.0982287977403475E-2</v>
      </c>
      <c r="H17" s="1299">
        <f>DataUK3!CV17/DataUK1!B17</f>
        <v>3.0411185894870692E-2</v>
      </c>
      <c r="I17" s="1299">
        <f>DataUK3!CY17/DataUK1!B17</f>
        <v>2.0845226012446576E-2</v>
      </c>
      <c r="J17" s="1364">
        <f>C17/TableUK5c!O14</f>
        <v>2.4220405691795337E-2</v>
      </c>
      <c r="N17" s="1286">
        <f t="shared" si="2"/>
        <v>0</v>
      </c>
      <c r="O17" s="1286">
        <f t="shared" si="3"/>
        <v>0</v>
      </c>
      <c r="P17" s="1286">
        <f t="shared" si="4"/>
        <v>0</v>
      </c>
    </row>
    <row r="18" spans="1:16" ht="12" customHeight="1">
      <c r="A18" s="10">
        <v>1860</v>
      </c>
      <c r="B18" s="1255">
        <f t="shared" si="0"/>
        <v>7.7149587012072376E-2</v>
      </c>
      <c r="C18" s="1271">
        <f>DataUK3!CR18/DataUK1!B18</f>
        <v>2.7504309095212967E-2</v>
      </c>
      <c r="D18" s="1271">
        <f>DataUK3!CT18/DataUK1!B18</f>
        <v>1.9940624094029403E-2</v>
      </c>
      <c r="E18" s="1271">
        <f>DataUK3!CS18/DataUK1!B18</f>
        <v>2.9704653822830007E-2</v>
      </c>
      <c r="F18" s="1255">
        <f t="shared" si="1"/>
        <v>7.7149587012072376E-2</v>
      </c>
      <c r="G18" s="1271">
        <f>DataUK3!CW18/DataUK1!B18</f>
        <v>2.7779352186165097E-2</v>
      </c>
      <c r="H18" s="1271">
        <f>DataUK3!CV18/DataUK1!B18</f>
        <v>2.9292089186401811E-2</v>
      </c>
      <c r="I18" s="1271">
        <f>DataUK3!CY18/DataUK1!B18</f>
        <v>2.0078145639505468E-2</v>
      </c>
      <c r="J18" s="1363">
        <f>C18/TableUK5c!O15</f>
        <v>2.4319066147859919E-2</v>
      </c>
      <c r="N18" s="1286">
        <f t="shared" si="2"/>
        <v>0</v>
      </c>
      <c r="O18" s="1286">
        <f t="shared" si="3"/>
        <v>0</v>
      </c>
      <c r="P18" s="1286">
        <f t="shared" si="4"/>
        <v>0</v>
      </c>
    </row>
    <row r="19" spans="1:16" ht="12" customHeight="1">
      <c r="A19" s="10">
        <v>1861</v>
      </c>
      <c r="B19" s="1255">
        <f t="shared" si="0"/>
        <v>6.86123567296337E-2</v>
      </c>
      <c r="C19" s="1271">
        <f>DataUK3!CR19/DataUK1!B19</f>
        <v>2.6187922415890724E-2</v>
      </c>
      <c r="D19" s="1271">
        <f>DataUK3!CT19/DataUK1!B19</f>
        <v>1.597463267369334E-2</v>
      </c>
      <c r="E19" s="1271">
        <f>DataUK3!CS19/DataUK1!B19</f>
        <v>2.644980164004963E-2</v>
      </c>
      <c r="F19" s="1255">
        <f t="shared" si="1"/>
        <v>6.86123567296337E-2</v>
      </c>
      <c r="G19" s="1271">
        <f>DataUK3!CW19/DataUK1!B19</f>
        <v>2.3307250950142744E-2</v>
      </c>
      <c r="H19" s="1271">
        <f>DataUK3!CV19/DataUK1!B19</f>
        <v>2.6187922415890724E-2</v>
      </c>
      <c r="I19" s="1271">
        <f>DataUK3!CY19/DataUK1!B19</f>
        <v>1.9117183363600226E-2</v>
      </c>
      <c r="J19" s="1363">
        <f>C19/TableUK5c!O16</f>
        <v>2.4341264528692268E-2</v>
      </c>
      <c r="N19" s="1286">
        <f t="shared" si="2"/>
        <v>0</v>
      </c>
      <c r="O19" s="1286">
        <f t="shared" si="3"/>
        <v>0</v>
      </c>
      <c r="P19" s="1286">
        <f t="shared" si="4"/>
        <v>0</v>
      </c>
    </row>
    <row r="20" spans="1:16" ht="12" customHeight="1">
      <c r="A20" s="10">
        <v>1862</v>
      </c>
      <c r="B20" s="1255">
        <f t="shared" si="0"/>
        <v>7.2811590694403336E-2</v>
      </c>
      <c r="C20" s="1271">
        <f>DataUK3!CR20/DataUK1!B20</f>
        <v>2.5503184131139521E-2</v>
      </c>
      <c r="D20" s="1271">
        <f>DataUK3!CT20/DataUK1!B20</f>
        <v>1.9764967701633128E-2</v>
      </c>
      <c r="E20" s="1271">
        <f>DataUK3!CS20/DataUK1!B20</f>
        <v>2.7543438861630687E-2</v>
      </c>
      <c r="F20" s="1255">
        <f t="shared" si="1"/>
        <v>7.2811590694403322E-2</v>
      </c>
      <c r="G20" s="1271">
        <f>DataUK3!CW20/DataUK1!B20</f>
        <v>2.7670954782286379E-2</v>
      </c>
      <c r="H20" s="1271">
        <f>DataUK3!CV20/DataUK1!B20</f>
        <v>2.6523311496385104E-2</v>
      </c>
      <c r="I20" s="1271">
        <f>DataUK3!CY20/DataUK1!B20</f>
        <v>1.8617324415731849E-2</v>
      </c>
      <c r="J20" s="1363">
        <f>C20/TableUK5c!O17</f>
        <v>2.4348672997321647E-2</v>
      </c>
      <c r="N20" s="1286">
        <f t="shared" si="2"/>
        <v>0</v>
      </c>
      <c r="O20" s="1286">
        <f t="shared" si="3"/>
        <v>0</v>
      </c>
      <c r="P20" s="1286">
        <f t="shared" si="4"/>
        <v>0</v>
      </c>
    </row>
    <row r="21" spans="1:16" ht="12" customHeight="1">
      <c r="A21" s="10">
        <v>1863</v>
      </c>
      <c r="B21" s="1255">
        <f t="shared" si="0"/>
        <v>6.9376400717829079E-2</v>
      </c>
      <c r="C21" s="1271">
        <f>DataUK3!CR21/DataUK1!B21</f>
        <v>2.4514629228914869E-2</v>
      </c>
      <c r="D21" s="1271">
        <f>DataUK3!CT21/DataUK1!B21</f>
        <v>1.6915094167951263E-2</v>
      </c>
      <c r="E21" s="1271">
        <f>DataUK3!CS21/DataUK1!B21</f>
        <v>2.7946677320962954E-2</v>
      </c>
      <c r="F21" s="1255">
        <f t="shared" si="1"/>
        <v>6.9376400717829079E-2</v>
      </c>
      <c r="G21" s="1271">
        <f>DataUK3!CW21/DataUK1!B21</f>
        <v>2.6108080128794339E-2</v>
      </c>
      <c r="H21" s="1271">
        <f>DataUK3!CV21/DataUK1!B21</f>
        <v>2.537264125192689E-2</v>
      </c>
      <c r="I21" s="1271">
        <f>DataUK3!CY21/DataUK1!B21</f>
        <v>1.7895679337107853E-2</v>
      </c>
      <c r="J21" s="1363">
        <f>C21/TableUK5c!O18</f>
        <v>2.4409592970037221E-2</v>
      </c>
      <c r="N21" s="1286">
        <f t="shared" si="2"/>
        <v>0</v>
      </c>
      <c r="O21" s="1286">
        <f t="shared" si="3"/>
        <v>0</v>
      </c>
      <c r="P21" s="1286">
        <f t="shared" si="4"/>
        <v>0</v>
      </c>
    </row>
    <row r="22" spans="1:16" ht="12" customHeight="1">
      <c r="A22" s="10">
        <v>1864</v>
      </c>
      <c r="B22" s="1255">
        <f>C22+D22+E22</f>
        <v>6.5425276886437428E-2</v>
      </c>
      <c r="C22" s="1271">
        <f>DataUK3!CR22/DataUK1!B22</f>
        <v>2.3661944624389662E-2</v>
      </c>
      <c r="D22" s="1271">
        <f>DataUK3!CT22/DataUK1!B22</f>
        <v>1.5143644559609386E-2</v>
      </c>
      <c r="E22" s="1271">
        <f>DataUK3!CS22/DataUK1!B22</f>
        <v>2.6619687702438374E-2</v>
      </c>
      <c r="F22" s="1255">
        <f>G22+H22+I22</f>
        <v>6.5425276886437428E-2</v>
      </c>
      <c r="G22" s="1271">
        <f>DataUK3!CW22/DataUK1!B22</f>
        <v>2.3780254347511614E-2</v>
      </c>
      <c r="H22" s="1271">
        <f>DataUK3!CV22/DataUK1!B22</f>
        <v>2.4371802963121355E-2</v>
      </c>
      <c r="I22" s="1271">
        <f>DataUK3!CY22/DataUK1!B22</f>
        <v>1.7273219575804452E-2</v>
      </c>
      <c r="J22" s="1363">
        <f>C22/TableUK5c!O19</f>
        <v>2.4541382906926801E-2</v>
      </c>
      <c r="N22" s="1286">
        <f t="shared" si="2"/>
        <v>0</v>
      </c>
      <c r="O22" s="1286">
        <f t="shared" si="3"/>
        <v>0</v>
      </c>
      <c r="P22" s="1286">
        <f t="shared" si="4"/>
        <v>0</v>
      </c>
    </row>
    <row r="23" spans="1:16" ht="12" customHeight="1">
      <c r="A23" s="10">
        <v>1865</v>
      </c>
      <c r="B23" s="1255">
        <f>C23+D23+E23</f>
        <v>6.4343537143134483E-2</v>
      </c>
      <c r="C23" s="1271">
        <f>DataUK3!CR23/DataUK1!B23</f>
        <v>2.2816857142955491E-2</v>
      </c>
      <c r="D23" s="1271">
        <f>DataUK3!CT23/DataUK1!B23</f>
        <v>1.5629547142924513E-2</v>
      </c>
      <c r="E23" s="1271">
        <f>DataUK3!CS23/DataUK1!B23</f>
        <v>2.5897132857254482E-2</v>
      </c>
      <c r="F23" s="1255">
        <f>G23+H23+I23</f>
        <v>6.4343537143134497E-2</v>
      </c>
      <c r="G23" s="1271">
        <f>DataUK3!CW23/DataUK1!B23</f>
        <v>2.3615447142958934E-2</v>
      </c>
      <c r="H23" s="1271">
        <f>DataUK3!CV23/DataUK1!B23</f>
        <v>2.4071784285818045E-2</v>
      </c>
      <c r="I23" s="1271">
        <f>DataUK3!CY23/DataUK1!B23</f>
        <v>1.665630571435751E-2</v>
      </c>
      <c r="J23" s="1363">
        <f>C23/TableUK5c!O20</f>
        <v>2.4750943629725883E-2</v>
      </c>
      <c r="N23" s="1286">
        <f t="shared" si="2"/>
        <v>0</v>
      </c>
      <c r="O23" s="1286">
        <f t="shared" si="3"/>
        <v>0</v>
      </c>
      <c r="P23" s="1286">
        <f t="shared" si="4"/>
        <v>0</v>
      </c>
    </row>
    <row r="24" spans="1:16" ht="12" customHeight="1">
      <c r="A24" s="10">
        <v>1866</v>
      </c>
      <c r="B24" s="1255">
        <f t="shared" ref="B24:B32" si="5">C24+D24+E24</f>
        <v>6.6700906112604375E-2</v>
      </c>
      <c r="C24" s="1271">
        <f>DataUK3!CR24/DataUK1!B24</f>
        <v>2.2270753293023166E-2</v>
      </c>
      <c r="D24" s="1271">
        <f>DataUK3!CT24/DataUK1!B24</f>
        <v>1.5589527305116218E-2</v>
      </c>
      <c r="E24" s="1271">
        <f>DataUK3!CS24/DataUK1!B24</f>
        <v>2.8840625514465E-2</v>
      </c>
      <c r="F24" s="1255">
        <f t="shared" ref="F24:F32" si="6">G24+H24+I24</f>
        <v>6.6700906112604388E-2</v>
      </c>
      <c r="G24" s="1271">
        <f>DataUK3!CW24/DataUK1!B24</f>
        <v>2.4609182388790601E-2</v>
      </c>
      <c r="H24" s="1271">
        <f>DataUK3!CV24/DataUK1!B24</f>
        <v>2.5834073819906874E-2</v>
      </c>
      <c r="I24" s="1271">
        <f>DataUK3!CY24/DataUK1!B24</f>
        <v>1.625764990390691E-2</v>
      </c>
      <c r="J24" s="1363">
        <f>C24/TableUK5c!O21</f>
        <v>2.4932992582434706E-2</v>
      </c>
      <c r="N24" s="1286">
        <f t="shared" ref="N24:N32" si="7">F24-B24</f>
        <v>0</v>
      </c>
      <c r="O24" s="1286">
        <f t="shared" ref="O24:O32" si="8">B24-C24-D24-E24</f>
        <v>0</v>
      </c>
      <c r="P24" s="1286">
        <f t="shared" ref="P24:P32" si="9">F24-G24-H24-I24</f>
        <v>0</v>
      </c>
    </row>
    <row r="25" spans="1:16" ht="12" customHeight="1">
      <c r="A25" s="10">
        <v>1867</v>
      </c>
      <c r="B25" s="1255">
        <f t="shared" si="5"/>
        <v>7.183492396036667E-2</v>
      </c>
      <c r="C25" s="1271">
        <f>DataUK3!CR25/DataUK1!B25</f>
        <v>2.2589598729675052E-2</v>
      </c>
      <c r="D25" s="1271">
        <f>DataUK3!CT25/DataUK1!B25</f>
        <v>2.28154947169718E-2</v>
      </c>
      <c r="E25" s="1271">
        <f>DataUK3!CS25/DataUK1!B25</f>
        <v>2.6429830513719811E-2</v>
      </c>
      <c r="F25" s="1255">
        <f t="shared" si="6"/>
        <v>7.183492396036667E-2</v>
      </c>
      <c r="G25" s="1271">
        <f>DataUK3!CW25/DataUK1!B25</f>
        <v>2.8914686373984068E-2</v>
      </c>
      <c r="H25" s="1271">
        <f>DataUK3!CV25/DataUK1!B25</f>
        <v>2.6429830513719808E-2</v>
      </c>
      <c r="I25" s="1271">
        <f>DataUK3!CY25/DataUK1!B25</f>
        <v>1.6490407072662788E-2</v>
      </c>
      <c r="J25" s="1363">
        <f>C25/TableUK5c!O22</f>
        <v>2.5020329017326579E-2</v>
      </c>
      <c r="N25" s="1286">
        <f t="shared" si="7"/>
        <v>0</v>
      </c>
      <c r="O25" s="1286">
        <f t="shared" si="8"/>
        <v>0</v>
      </c>
      <c r="P25" s="1286">
        <f t="shared" si="9"/>
        <v>0</v>
      </c>
    </row>
    <row r="26" spans="1:16" ht="12" customHeight="1">
      <c r="A26" s="10">
        <v>1868</v>
      </c>
      <c r="B26" s="1255">
        <f t="shared" si="5"/>
        <v>7.1786519113288455E-2</v>
      </c>
      <c r="C26" s="1271">
        <f>DataUK3!CR26/DataUK1!B26</f>
        <v>2.2574377079650459E-2</v>
      </c>
      <c r="D26" s="1271">
        <f>DataUK3!CT26/DataUK1!B26</f>
        <v>2.2235761423455701E-2</v>
      </c>
      <c r="E26" s="1271">
        <f>DataUK3!CS26/DataUK1!B26</f>
        <v>2.6976380610182302E-2</v>
      </c>
      <c r="F26" s="1255">
        <f t="shared" si="6"/>
        <v>7.1786519113288455E-2</v>
      </c>
      <c r="G26" s="1271">
        <f>DataUK3!CW26/DataUK1!B26</f>
        <v>2.8330843234961326E-2</v>
      </c>
      <c r="H26" s="1271">
        <f>DataUK3!CV26/DataUK1!B26</f>
        <v>2.6976380610182298E-2</v>
      </c>
      <c r="I26" s="1271">
        <f>DataUK3!CY26/DataUK1!B26</f>
        <v>1.6479295268144834E-2</v>
      </c>
      <c r="J26" s="1363">
        <f>C26/TableUK5c!O23</f>
        <v>2.5068939583855605E-2</v>
      </c>
      <c r="N26" s="1286">
        <f t="shared" si="7"/>
        <v>0</v>
      </c>
      <c r="O26" s="1286">
        <f t="shared" si="8"/>
        <v>0</v>
      </c>
      <c r="P26" s="1286">
        <f t="shared" si="9"/>
        <v>0</v>
      </c>
    </row>
    <row r="27" spans="1:16" ht="12" customHeight="1">
      <c r="A27" s="893">
        <v>1869</v>
      </c>
      <c r="B27" s="1298">
        <f t="shared" si="5"/>
        <v>6.6912171481208205E-2</v>
      </c>
      <c r="C27" s="1299">
        <f>DataUK3!CR27/DataUK1!B27</f>
        <v>2.18310510542278E-2</v>
      </c>
      <c r="D27" s="1299">
        <f>DataUK3!CT27/DataUK1!B27</f>
        <v>1.9429635438262743E-2</v>
      </c>
      <c r="E27" s="1299">
        <f>DataUK3!CS27/DataUK1!B27</f>
        <v>2.5651484988717672E-2</v>
      </c>
      <c r="F27" s="1298">
        <f t="shared" si="6"/>
        <v>6.6912171481208219E-2</v>
      </c>
      <c r="G27" s="1299">
        <f>DataUK3!CW27/DataUK1!B27</f>
        <v>2.532401922290425E-2</v>
      </c>
      <c r="H27" s="1299">
        <f>DataUK3!CV27/DataUK1!B27</f>
        <v>2.5651484988717665E-2</v>
      </c>
      <c r="I27" s="1299">
        <f>DataUK3!CY27/DataUK1!B27</f>
        <v>1.5936667269586296E-2</v>
      </c>
      <c r="J27" s="1364">
        <f>C27/TableUK5c!O24</f>
        <v>2.5143000817147522E-2</v>
      </c>
      <c r="N27" s="1286">
        <f t="shared" si="7"/>
        <v>0</v>
      </c>
      <c r="O27" s="1286">
        <f t="shared" si="8"/>
        <v>0</v>
      </c>
      <c r="P27" s="1286">
        <f t="shared" si="9"/>
        <v>0</v>
      </c>
    </row>
    <row r="28" spans="1:16" ht="12" customHeight="1">
      <c r="A28" s="10">
        <v>1870</v>
      </c>
      <c r="B28" s="1255">
        <f t="shared" si="5"/>
        <v>6.4381778741865514E-2</v>
      </c>
      <c r="C28" s="1271">
        <f>DataUK3!CR28/DataUK1!B28</f>
        <v>2.0245842371655821E-2</v>
      </c>
      <c r="D28" s="1271">
        <f>DataUK3!CT28/DataUK1!B28</f>
        <v>2.0144613159797538E-2</v>
      </c>
      <c r="E28" s="1271">
        <f>DataUK3!CS28/DataUK1!B28</f>
        <v>2.3991323210412148E-2</v>
      </c>
      <c r="F28" s="1255">
        <f t="shared" si="6"/>
        <v>6.43817787418655E-2</v>
      </c>
      <c r="G28" s="1271">
        <f>DataUK3!CW28/DataUK1!B28</f>
        <v>2.601590744757773E-2</v>
      </c>
      <c r="H28" s="1271">
        <f>DataUK3!CV28/DataUK1!B28</f>
        <v>2.358640636297903E-2</v>
      </c>
      <c r="I28" s="1271">
        <f>DataUK3!CY28/DataUK1!B28</f>
        <v>1.4779464931308748E-2</v>
      </c>
      <c r="J28" s="1363">
        <f>C28/TableUK5c!O25</f>
        <v>2.5310048089091371E-2</v>
      </c>
      <c r="N28" s="1286">
        <f t="shared" si="7"/>
        <v>0</v>
      </c>
      <c r="O28" s="1286">
        <f t="shared" si="8"/>
        <v>0</v>
      </c>
      <c r="P28" s="1286">
        <f t="shared" si="9"/>
        <v>0</v>
      </c>
    </row>
    <row r="29" spans="1:16" ht="12" customHeight="1">
      <c r="A29" s="10">
        <v>1871</v>
      </c>
      <c r="B29" s="1255">
        <f t="shared" si="5"/>
        <v>6.3452015589990751E-2</v>
      </c>
      <c r="C29" s="1271">
        <f>DataUK3!CR29/DataUK1!B29</f>
        <v>1.882849127299429E-2</v>
      </c>
      <c r="D29" s="1271">
        <f>DataUK3!CT29/DataUK1!B29</f>
        <v>2.1558622507578461E-2</v>
      </c>
      <c r="E29" s="1271">
        <f>DataUK3!CS29/DataUK1!B29</f>
        <v>2.3064901809418E-2</v>
      </c>
      <c r="F29" s="1255">
        <f t="shared" si="6"/>
        <v>6.3452015589990751E-2</v>
      </c>
      <c r="G29" s="1271">
        <f>DataUK3!CW29/DataUK1!B29</f>
        <v>2.6736457607651892E-2</v>
      </c>
      <c r="H29" s="1271">
        <f>DataUK3!CV29/DataUK1!B29</f>
        <v>2.2970759353053032E-2</v>
      </c>
      <c r="I29" s="1271">
        <f>DataUK3!CY29/DataUK1!B29</f>
        <v>1.3744798629285833E-2</v>
      </c>
      <c r="J29" s="1363">
        <f>C29/TableUK5c!O26</f>
        <v>2.5453388482341709E-2</v>
      </c>
      <c r="N29" s="1286">
        <f t="shared" si="7"/>
        <v>0</v>
      </c>
      <c r="O29" s="1286">
        <f t="shared" si="8"/>
        <v>0</v>
      </c>
      <c r="P29" s="1286">
        <f t="shared" si="9"/>
        <v>0</v>
      </c>
    </row>
    <row r="30" spans="1:16" ht="12" customHeight="1">
      <c r="A30" s="10">
        <v>1872</v>
      </c>
      <c r="B30" s="1255">
        <f t="shared" si="5"/>
        <v>6.1018670702573774E-2</v>
      </c>
      <c r="C30" s="1271">
        <f>DataUK3!CR30/DataUK1!B30</f>
        <v>1.7686571218137326E-2</v>
      </c>
      <c r="D30" s="1271">
        <f>DataUK3!CT30/DataUK1!B30</f>
        <v>1.9366795483860368E-2</v>
      </c>
      <c r="E30" s="1271">
        <f>DataUK3!CS30/DataUK1!B30</f>
        <v>2.3965304000576077E-2</v>
      </c>
      <c r="F30" s="1255">
        <f t="shared" si="6"/>
        <v>6.101867070257376E-2</v>
      </c>
      <c r="G30" s="1271">
        <f>DataUK3!CW30/DataUK1!B30</f>
        <v>2.5557095410208432E-2</v>
      </c>
      <c r="H30" s="1271">
        <f>DataUK3!CV30/DataUK1!B30</f>
        <v>2.2550378303125087E-2</v>
      </c>
      <c r="I30" s="1271">
        <f>DataUK3!CY30/DataUK1!B30</f>
        <v>1.2911196989240247E-2</v>
      </c>
      <c r="J30" s="1363">
        <f>C30/TableUK5c!O27</f>
        <v>2.5613113914324137E-2</v>
      </c>
      <c r="N30" s="1286">
        <f t="shared" si="7"/>
        <v>0</v>
      </c>
      <c r="O30" s="1286">
        <f t="shared" si="8"/>
        <v>0</v>
      </c>
      <c r="P30" s="1286">
        <f t="shared" si="9"/>
        <v>0</v>
      </c>
    </row>
    <row r="31" spans="1:16" ht="12" customHeight="1">
      <c r="A31" s="10">
        <v>1873</v>
      </c>
      <c r="B31" s="1255">
        <f t="shared" si="5"/>
        <v>5.6909390522793632E-2</v>
      </c>
      <c r="C31" s="1271">
        <f>DataUK3!CR31/DataUK1!B31</f>
        <v>1.6567508158018524E-2</v>
      </c>
      <c r="D31" s="1271">
        <f>DataUK3!CT31/DataUK1!B31</f>
        <v>1.8141421433030283E-2</v>
      </c>
      <c r="E31" s="1271">
        <f>DataUK3!CS31/DataUK1!B31</f>
        <v>2.2200460931744825E-2</v>
      </c>
      <c r="F31" s="1255">
        <f t="shared" si="6"/>
        <v>5.6909390522793639E-2</v>
      </c>
      <c r="G31" s="1271">
        <f>DataUK3!CW31/DataUK1!B31</f>
        <v>2.3608699125176397E-2</v>
      </c>
      <c r="H31" s="1271">
        <f>DataUK3!CV31/DataUK1!B31</f>
        <v>2.1206410442263714E-2</v>
      </c>
      <c r="I31" s="1271">
        <f>DataUK3!CY31/DataUK1!B31</f>
        <v>1.2094280955353523E-2</v>
      </c>
      <c r="J31" s="1363">
        <f>C31/TableUK5c!O28</f>
        <v>2.5828113901982305E-2</v>
      </c>
      <c r="N31" s="1286">
        <f t="shared" si="7"/>
        <v>0</v>
      </c>
      <c r="O31" s="1286">
        <f t="shared" si="8"/>
        <v>0</v>
      </c>
      <c r="P31" s="1286">
        <f t="shared" si="9"/>
        <v>0</v>
      </c>
    </row>
    <row r="32" spans="1:16" ht="12" customHeight="1">
      <c r="A32" s="10">
        <v>1874</v>
      </c>
      <c r="B32" s="1255">
        <f t="shared" si="5"/>
        <v>5.5935589321387501E-2</v>
      </c>
      <c r="C32" s="1271">
        <f>DataUK3!CR32/DataUK1!B32</f>
        <v>1.6950178582238636E-2</v>
      </c>
      <c r="D32" s="1271">
        <f>DataUK3!CT32/DataUK1!B32</f>
        <v>1.8306192868817728E-2</v>
      </c>
      <c r="E32" s="1271">
        <f>DataUK3!CS32/DataUK1!B32</f>
        <v>2.0679217870331133E-2</v>
      </c>
      <c r="F32" s="1255">
        <f t="shared" si="6"/>
        <v>5.5935589321387508E-2</v>
      </c>
      <c r="G32" s="1271">
        <f>DataUK3!CW32/DataUK1!B32</f>
        <v>2.1272474120709491E-2</v>
      </c>
      <c r="H32" s="1271">
        <f>DataUK3!CV32/DataUK1!B32</f>
        <v>2.2289484835643806E-2</v>
      </c>
      <c r="I32" s="1271">
        <f>DataUK3!CY32/DataUK1!B32</f>
        <v>1.2373630365034204E-2</v>
      </c>
      <c r="J32" s="1363">
        <f>C32/TableUK5c!O29</f>
        <v>2.5999350016249593E-2</v>
      </c>
      <c r="N32" s="1286">
        <f t="shared" si="7"/>
        <v>0</v>
      </c>
      <c r="O32" s="1286">
        <f t="shared" si="8"/>
        <v>0</v>
      </c>
      <c r="P32" s="1286">
        <f t="shared" si="9"/>
        <v>0</v>
      </c>
    </row>
    <row r="33" spans="1:16" ht="12" customHeight="1">
      <c r="A33" s="10">
        <v>1875</v>
      </c>
      <c r="B33" s="1255">
        <f>C33+D33+E33</f>
        <v>5.8486364089543705E-2</v>
      </c>
      <c r="C33" s="1271">
        <f>DataUK3!CR33/DataUK1!B33</f>
        <v>1.7126314521096257E-2</v>
      </c>
      <c r="D33" s="1271">
        <f>DataUK3!CT33/DataUK1!B33</f>
        <v>1.9866524844471656E-2</v>
      </c>
      <c r="E33" s="1271">
        <f>DataUK3!CS33/DataUK1!B33</f>
        <v>2.1493524723975799E-2</v>
      </c>
      <c r="F33" s="1255">
        <f>G33+H33+I33</f>
        <v>5.8486364089543719E-2</v>
      </c>
      <c r="G33" s="1271">
        <f>DataUK3!CW33/DataUK1!B33</f>
        <v>2.2606735167847058E-2</v>
      </c>
      <c r="H33" s="1271">
        <f>DataUK3!CV33/DataUK1!B33</f>
        <v>2.3377419321296392E-2</v>
      </c>
      <c r="I33" s="1271">
        <f>DataUK3!CY33/DataUK1!B33</f>
        <v>1.2502209600400268E-2</v>
      </c>
      <c r="J33" s="1365">
        <f>C33/TableUK5c!O30</f>
        <v>2.6029804125723956E-2</v>
      </c>
      <c r="N33" s="1286">
        <f>F33-B33</f>
        <v>0</v>
      </c>
      <c r="O33" s="1286">
        <f>B33-C33-D33-E33</f>
        <v>0</v>
      </c>
      <c r="P33" s="1286">
        <f>F33-G33-H33-I33</f>
        <v>0</v>
      </c>
    </row>
    <row r="34" spans="1:16" ht="12" customHeight="1">
      <c r="A34" s="10">
        <v>1876</v>
      </c>
      <c r="B34" s="1255">
        <f t="shared" ref="B34:B42" si="10">C34+D34+E34</f>
        <v>6.2956346797551133E-2</v>
      </c>
      <c r="C34" s="1271">
        <f>DataUK3!CR34/DataUK1!B34</f>
        <v>1.7343346225220695E-2</v>
      </c>
      <c r="D34" s="1271">
        <f>DataUK3!CT34/DataUK1!B34</f>
        <v>2.4193967984182871E-2</v>
      </c>
      <c r="E34" s="1271">
        <f>DataUK3!CS34/DataUK1!B34</f>
        <v>2.1419032588147556E-2</v>
      </c>
      <c r="F34" s="1255">
        <f t="shared" ref="F34:F42" si="11">G34+H34+I34</f>
        <v>6.2956346797551133E-2</v>
      </c>
      <c r="G34" s="1271">
        <f>DataUK3!CW34/DataUK1!B34</f>
        <v>2.6275169531209355E-2</v>
      </c>
      <c r="H34" s="1271">
        <f>DataUK3!CV34/DataUK1!B34</f>
        <v>2.4020534521930665E-2</v>
      </c>
      <c r="I34" s="1271">
        <f>DataUK3!CY34/DataUK1!B34</f>
        <v>1.2660642744411109E-2</v>
      </c>
      <c r="J34" s="1365">
        <f>C34/TableUK5c!O31</f>
        <v>2.6006111436187501E-2</v>
      </c>
      <c r="N34" s="1286">
        <f t="shared" ref="N34:N42" si="12">F34-B34</f>
        <v>0</v>
      </c>
      <c r="O34" s="1286">
        <f t="shared" ref="O34:O42" si="13">B34-C34-D34-E34</f>
        <v>0</v>
      </c>
      <c r="P34" s="1286">
        <f t="shared" ref="P34:P42" si="14">F34-G34-H34-I34</f>
        <v>0</v>
      </c>
    </row>
    <row r="35" spans="1:16" ht="12" customHeight="1">
      <c r="A35" s="10">
        <v>1877</v>
      </c>
      <c r="B35" s="1255">
        <f t="shared" si="10"/>
        <v>6.1946748014159246E-2</v>
      </c>
      <c r="C35" s="1271">
        <f>DataUK3!CR35/DataUK1!B35</f>
        <v>1.7474400003994146E-2</v>
      </c>
      <c r="D35" s="1271">
        <f>DataUK3!CT35/DataUK1!B35</f>
        <v>2.140614000489283E-2</v>
      </c>
      <c r="E35" s="1271">
        <f>DataUK3!CS35/DataUK1!B35</f>
        <v>2.3066208005272267E-2</v>
      </c>
      <c r="F35" s="1255">
        <f t="shared" si="11"/>
        <v>6.1946748014159253E-2</v>
      </c>
      <c r="G35" s="1271">
        <f>DataUK3!CW35/DataUK1!B35</f>
        <v>2.4813648005671686E-2</v>
      </c>
      <c r="H35" s="1271">
        <f>DataUK3!CV35/DataUK1!B35</f>
        <v>2.4376788005571835E-2</v>
      </c>
      <c r="I35" s="1271">
        <f>DataUK3!CY35/DataUK1!B35</f>
        <v>1.2756312002915727E-2</v>
      </c>
      <c r="J35" s="1365">
        <f>C35/TableUK5c!O32</f>
        <v>2.5980774227071967E-2</v>
      </c>
      <c r="N35" s="1286">
        <f t="shared" si="12"/>
        <v>0</v>
      </c>
      <c r="O35" s="1286">
        <f t="shared" si="13"/>
        <v>0</v>
      </c>
      <c r="P35" s="1286">
        <f t="shared" si="14"/>
        <v>0</v>
      </c>
    </row>
    <row r="36" spans="1:16" ht="12" customHeight="1">
      <c r="A36" s="10">
        <v>1878</v>
      </c>
      <c r="B36" s="1255">
        <f t="shared" si="10"/>
        <v>6.4251181682572212E-2</v>
      </c>
      <c r="C36" s="1271">
        <f>DataUK3!CR36/DataUK1!B36</f>
        <v>1.797235851260761E-2</v>
      </c>
      <c r="D36" s="1271">
        <f>DataUK3!CT36/DataUK1!B36</f>
        <v>2.0578350496935714E-2</v>
      </c>
      <c r="E36" s="1271">
        <f>DataUK3!CS36/DataUK1!B36</f>
        <v>2.5700472673028885E-2</v>
      </c>
      <c r="F36" s="1255">
        <f t="shared" si="11"/>
        <v>6.4251181682572212E-2</v>
      </c>
      <c r="G36" s="1271">
        <f>DataUK3!CW36/DataUK1!B36</f>
        <v>2.588019625815496E-2</v>
      </c>
      <c r="H36" s="1271">
        <f>DataUK3!CV36/DataUK1!B36</f>
        <v>2.5251163710213693E-2</v>
      </c>
      <c r="I36" s="1271">
        <f>DataUK3!CY36/DataUK1!B36</f>
        <v>1.3119821714203556E-2</v>
      </c>
      <c r="J36" s="1365">
        <f>C36/TableUK5c!O33</f>
        <v>2.5928566798470217E-2</v>
      </c>
      <c r="N36" s="1286">
        <f t="shared" si="12"/>
        <v>0</v>
      </c>
      <c r="O36" s="1286">
        <f t="shared" si="13"/>
        <v>0</v>
      </c>
      <c r="P36" s="1286">
        <f t="shared" si="14"/>
        <v>0</v>
      </c>
    </row>
    <row r="37" spans="1:16" ht="12" customHeight="1">
      <c r="A37" s="893">
        <v>1879</v>
      </c>
      <c r="B37" s="1298">
        <f t="shared" si="10"/>
        <v>7.3918362763427725E-2</v>
      </c>
      <c r="C37" s="1299">
        <f>DataUK3!CR37/DataUK1!B37</f>
        <v>1.8387652428713368E-2</v>
      </c>
      <c r="D37" s="1299">
        <f>DataUK3!CT37/DataUK1!B37</f>
        <v>2.8776676050936423E-2</v>
      </c>
      <c r="E37" s="1299">
        <f>DataUK3!CS37/DataUK1!B37</f>
        <v>2.6754034283777942E-2</v>
      </c>
      <c r="F37" s="1298">
        <f t="shared" si="11"/>
        <v>7.3918362763427739E-2</v>
      </c>
      <c r="G37" s="1299">
        <f>DataUK3!CW37/DataUK1!B37</f>
        <v>3.3649403944545464E-2</v>
      </c>
      <c r="H37" s="1299">
        <f>DataUK3!CV37/DataUK1!B37</f>
        <v>2.6845972545921516E-2</v>
      </c>
      <c r="I37" s="1299">
        <f>DataUK3!CY37/DataUK1!B37</f>
        <v>1.3422986272960758E-2</v>
      </c>
      <c r="J37" s="1366">
        <f>C37/TableUK5c!O34</f>
        <v>2.5933609958506222E-2</v>
      </c>
      <c r="N37" s="1286">
        <f t="shared" si="12"/>
        <v>0</v>
      </c>
      <c r="O37" s="1286">
        <f t="shared" si="13"/>
        <v>0</v>
      </c>
      <c r="P37" s="1286">
        <f t="shared" si="14"/>
        <v>0</v>
      </c>
    </row>
    <row r="38" spans="1:16" ht="12" customHeight="1">
      <c r="A38" s="10">
        <v>1880</v>
      </c>
      <c r="B38" s="1255">
        <f t="shared" si="10"/>
        <v>6.5863007470367954E-2</v>
      </c>
      <c r="C38" s="1271">
        <f>DataUK3!CR38/DataUK1!B38</f>
        <v>1.7681344287347103E-2</v>
      </c>
      <c r="D38" s="1271">
        <f>DataUK3!CT38/DataUK1!B38</f>
        <v>2.360459462360838E-2</v>
      </c>
      <c r="E38" s="1271">
        <f>DataUK3!CS38/DataUK1!B38</f>
        <v>2.4577068559412472E-2</v>
      </c>
      <c r="F38" s="1255">
        <f t="shared" si="11"/>
        <v>6.5863007470367954E-2</v>
      </c>
      <c r="G38" s="1271">
        <f>DataUK3!CW38/DataUK1!B38</f>
        <v>2.917421807412272E-2</v>
      </c>
      <c r="H38" s="1271">
        <f>DataUK3!CV38/DataUK1!B38</f>
        <v>2.3781408066481852E-2</v>
      </c>
      <c r="I38" s="1271">
        <f>DataUK3!CY38/DataUK1!B38</f>
        <v>1.2907381329763384E-2</v>
      </c>
      <c r="J38" s="1365">
        <f>C38/TableUK5c!O35</f>
        <v>2.6045057950253934E-2</v>
      </c>
      <c r="N38" s="1286">
        <f t="shared" si="12"/>
        <v>0</v>
      </c>
      <c r="O38" s="1286">
        <f t="shared" si="13"/>
        <v>0</v>
      </c>
      <c r="P38" s="1286">
        <f t="shared" si="14"/>
        <v>0</v>
      </c>
    </row>
    <row r="39" spans="1:16" ht="12" customHeight="1">
      <c r="A39" s="10">
        <v>1881</v>
      </c>
      <c r="B39" s="1255">
        <f t="shared" si="10"/>
        <v>6.1921503954166873E-2</v>
      </c>
      <c r="C39" s="1271">
        <f>DataUK3!CR39/DataUK1!B39</f>
        <v>1.7058265552112088E-2</v>
      </c>
      <c r="D39" s="1271">
        <f>DataUK3!CT39/DataUK1!B39</f>
        <v>2.0043462023731702E-2</v>
      </c>
      <c r="E39" s="1271">
        <f>DataUK3!CS39/DataUK1!B39</f>
        <v>2.4819776378323079E-2</v>
      </c>
      <c r="F39" s="1255">
        <f t="shared" si="11"/>
        <v>6.1921503954166873E-2</v>
      </c>
      <c r="G39" s="1271">
        <f>DataUK3!CW39/DataUK1!B39</f>
        <v>2.7037350900097658E-2</v>
      </c>
      <c r="H39" s="1271">
        <f>DataUK3!CV39/DataUK1!B39</f>
        <v>2.2431619201027396E-2</v>
      </c>
      <c r="I39" s="1271">
        <f>DataUK3!CY39/DataUK1!B39</f>
        <v>1.2452533853041823E-2</v>
      </c>
      <c r="J39" s="1365">
        <f>C39/TableUK5c!O36</f>
        <v>2.6227788341748087E-2</v>
      </c>
      <c r="N39" s="1286">
        <f t="shared" si="12"/>
        <v>0</v>
      </c>
      <c r="O39" s="1286">
        <f t="shared" si="13"/>
        <v>0</v>
      </c>
      <c r="P39" s="1286">
        <f t="shared" si="14"/>
        <v>0</v>
      </c>
    </row>
    <row r="40" spans="1:16" ht="12" customHeight="1">
      <c r="A40" s="10">
        <v>1882</v>
      </c>
      <c r="B40" s="1255">
        <f t="shared" si="10"/>
        <v>5.7735049422472998E-2</v>
      </c>
      <c r="C40" s="1271">
        <f>DataUK3!CR40/DataUK1!B40</f>
        <v>1.6472196696853927E-2</v>
      </c>
      <c r="D40" s="1271">
        <f>DataUK3!CT40/DataUK1!B40</f>
        <v>1.7295806531696621E-2</v>
      </c>
      <c r="E40" s="1271">
        <f>DataUK3!CS40/DataUK1!B40</f>
        <v>2.3967046193922457E-2</v>
      </c>
      <c r="F40" s="1255">
        <f t="shared" si="11"/>
        <v>5.7735049422473012E-2</v>
      </c>
      <c r="G40" s="1271">
        <f>DataUK3!CW40/DataUK1!B40</f>
        <v>2.4296490127859539E-2</v>
      </c>
      <c r="H40" s="1271">
        <f>DataUK3!CV40/DataUK1!B40</f>
        <v>2.1413855705910104E-2</v>
      </c>
      <c r="I40" s="1271">
        <f>DataUK3!CY40/DataUK1!B40</f>
        <v>1.2024703588703365E-2</v>
      </c>
      <c r="J40" s="1365">
        <f>C40/TableUK5c!O37</f>
        <v>2.6423569824283264E-2</v>
      </c>
      <c r="N40" s="1286">
        <f t="shared" si="12"/>
        <v>0</v>
      </c>
      <c r="O40" s="1286">
        <f t="shared" si="13"/>
        <v>0</v>
      </c>
      <c r="P40" s="1286">
        <f t="shared" si="14"/>
        <v>0</v>
      </c>
    </row>
    <row r="41" spans="1:16" ht="12" customHeight="1">
      <c r="A41" s="10">
        <v>1883</v>
      </c>
      <c r="B41" s="1255">
        <f t="shared" si="10"/>
        <v>5.8341598393105695E-2</v>
      </c>
      <c r="C41" s="1271">
        <f>DataUK3!CR41/DataUK1!B41</f>
        <v>1.6669028112315912E-2</v>
      </c>
      <c r="D41" s="1271">
        <f>DataUK3!CT41/DataUK1!B41</f>
        <v>1.7752514939616448E-2</v>
      </c>
      <c r="E41" s="1271">
        <f>DataUK3!CS41/DataUK1!B41</f>
        <v>2.3920055341173335E-2</v>
      </c>
      <c r="F41" s="1255">
        <f t="shared" si="11"/>
        <v>5.8341598393105695E-2</v>
      </c>
      <c r="G41" s="1271">
        <f>DataUK3!CW41/DataUK1!B41</f>
        <v>2.483685188735071E-2</v>
      </c>
      <c r="H41" s="1271">
        <f>DataUK3!CV41/DataUK1!B41</f>
        <v>2.133635598376437E-2</v>
      </c>
      <c r="I41" s="1271">
        <f>DataUK3!CY41/DataUK1!B41</f>
        <v>1.2168390521990615E-2</v>
      </c>
      <c r="J41" s="1365">
        <f>C41/TableUK5c!O38</f>
        <v>2.6675558519506499E-2</v>
      </c>
      <c r="N41" s="1286">
        <f t="shared" si="12"/>
        <v>0</v>
      </c>
      <c r="O41" s="1286">
        <f t="shared" si="13"/>
        <v>0</v>
      </c>
      <c r="P41" s="1286">
        <f t="shared" si="14"/>
        <v>0</v>
      </c>
    </row>
    <row r="42" spans="1:16" ht="12" customHeight="1">
      <c r="A42" s="10">
        <v>1884</v>
      </c>
      <c r="B42" s="1255">
        <f t="shared" si="10"/>
        <v>6.0892289823386743E-2</v>
      </c>
      <c r="C42" s="1271">
        <f>DataUK3!CR42/DataUK1!B42</f>
        <v>1.7080586205718583E-2</v>
      </c>
      <c r="D42" s="1271">
        <f>DataUK3!CT42/DataUK1!B42</f>
        <v>1.8788644826290442E-2</v>
      </c>
      <c r="E42" s="1271">
        <f>DataUK3!CS42/DataUK1!B42</f>
        <v>2.5023058791377721E-2</v>
      </c>
      <c r="F42" s="1255">
        <f t="shared" si="11"/>
        <v>6.0892289823386743E-2</v>
      </c>
      <c r="G42" s="1271">
        <f>DataUK3!CW42/DataUK1!B42</f>
        <v>2.6731117411949581E-2</v>
      </c>
      <c r="H42" s="1271">
        <f>DataUK3!CV42/DataUK1!B42</f>
        <v>2.1692344481262598E-2</v>
      </c>
      <c r="I42" s="1271">
        <f>DataUK3!CY42/DataUK1!B42</f>
        <v>1.2468827930174564E-2</v>
      </c>
      <c r="J42" s="1365">
        <f>C42/TableUK5c!O39</f>
        <v>2.6926960619320095E-2</v>
      </c>
      <c r="N42" s="1286">
        <f t="shared" si="12"/>
        <v>0</v>
      </c>
      <c r="O42" s="1286">
        <f t="shared" si="13"/>
        <v>0</v>
      </c>
      <c r="P42" s="1286">
        <f t="shared" si="14"/>
        <v>0</v>
      </c>
    </row>
    <row r="43" spans="1:16" ht="12" customHeight="1">
      <c r="A43" s="10">
        <v>1885</v>
      </c>
      <c r="B43" s="1255">
        <f>C43+D43+E43</f>
        <v>6.3077972345210787E-2</v>
      </c>
      <c r="C43" s="1271">
        <f>DataUK3!CR43/DataUK1!B43</f>
        <v>1.7329113281651317E-2</v>
      </c>
      <c r="D43" s="1271">
        <f>DataUK3!CT43/DataUK1!B43</f>
        <v>1.9928480273899013E-2</v>
      </c>
      <c r="E43" s="1271">
        <f>DataUK3!CS43/DataUK1!B43</f>
        <v>2.5820378789660457E-2</v>
      </c>
      <c r="F43" s="1255">
        <f>G43+H43+I43</f>
        <v>6.3077972345210787E-2</v>
      </c>
      <c r="G43" s="1271">
        <f>DataUK3!CW43/DataUK1!B43</f>
        <v>2.9026264746765954E-2</v>
      </c>
      <c r="H43" s="1271">
        <f>DataUK3!CV43/DataUK1!B43</f>
        <v>2.1401454902839373E-2</v>
      </c>
      <c r="I43" s="1271">
        <f>DataUK3!CY43/DataUK1!B43</f>
        <v>1.2650252695605459E-2</v>
      </c>
      <c r="J43" s="1365">
        <f>C43/TableUK5c!O40</f>
        <v>2.6992374654160198E-2</v>
      </c>
      <c r="N43" s="1286">
        <f>F43-B43</f>
        <v>0</v>
      </c>
      <c r="O43" s="1286">
        <f>B43-C43-D43-E43</f>
        <v>0</v>
      </c>
      <c r="P43" s="1286">
        <f>F43-G43-H43-I43</f>
        <v>0</v>
      </c>
    </row>
    <row r="44" spans="1:16" ht="12" customHeight="1">
      <c r="A44" s="10">
        <v>1886</v>
      </c>
      <c r="B44" s="1255">
        <f t="shared" ref="B44:B58" si="15">C44+D44+E44</f>
        <v>5.8174979905670388E-2</v>
      </c>
      <c r="C44" s="1271">
        <f>DataUK3!CR44/DataUK1!B44</f>
        <v>1.6985395592896465E-2</v>
      </c>
      <c r="D44" s="1271">
        <f>DataUK3!CT44/DataUK1!B44</f>
        <v>1.6815541636967499E-2</v>
      </c>
      <c r="E44" s="1271">
        <f>DataUK3!CS44/DataUK1!B44</f>
        <v>2.4374042675806427E-2</v>
      </c>
      <c r="F44" s="1255">
        <f t="shared" ref="F44:F58" si="16">G44+H44+I44</f>
        <v>5.8174979905670388E-2</v>
      </c>
      <c r="G44" s="1271">
        <f>DataUK3!CW44/DataUK1!B44</f>
        <v>2.4798677565628837E-2</v>
      </c>
      <c r="H44" s="1271">
        <f>DataUK3!CV44/DataUK1!B44</f>
        <v>2.0976963557227134E-2</v>
      </c>
      <c r="I44" s="1271">
        <f>DataUK3!CY44/DataUK1!B44</f>
        <v>1.2399338782814419E-2</v>
      </c>
      <c r="J44" s="1365">
        <f>C44/TableUK5c!O41</f>
        <v>2.7059937762143146E-2</v>
      </c>
      <c r="N44" s="1286">
        <f t="shared" ref="N44:N58" si="17">F44-B44</f>
        <v>0</v>
      </c>
      <c r="O44" s="1286">
        <f t="shared" ref="O44:O58" si="18">B44-C44-D44-E44</f>
        <v>0</v>
      </c>
      <c r="P44" s="1286">
        <f t="shared" ref="P44:P58" si="19">F44-G44-H44-I44</f>
        <v>0</v>
      </c>
    </row>
    <row r="45" spans="1:16" ht="12" customHeight="1">
      <c r="A45" s="10">
        <v>1887</v>
      </c>
      <c r="B45" s="1255">
        <f t="shared" si="15"/>
        <v>5.5914885119318358E-2</v>
      </c>
      <c r="C45" s="1271">
        <f>DataUK3!CR45/DataUK1!B45</f>
        <v>1.634938161383578E-2</v>
      </c>
      <c r="D45" s="1271">
        <f>DataUK3!CT45/DataUK1!B45</f>
        <v>1.6758116154181678E-2</v>
      </c>
      <c r="E45" s="1271">
        <f>DataUK3!CS45/DataUK1!B45</f>
        <v>2.2807387351300907E-2</v>
      </c>
      <c r="F45" s="1255">
        <f t="shared" si="16"/>
        <v>5.5914885119318372E-2</v>
      </c>
      <c r="G45" s="1271">
        <f>DataUK3!CW45/DataUK1!B45</f>
        <v>2.4033590972338599E-2</v>
      </c>
      <c r="H45" s="1271">
        <f>DataUK3!CV45/DataUK1!B45</f>
        <v>1.9946245568879653E-2</v>
      </c>
      <c r="I45" s="1271">
        <f>DataUK3!CY45/DataUK1!B45</f>
        <v>1.193504857810012E-2</v>
      </c>
      <c r="J45" s="1365">
        <f>C45/TableUK5c!O42</f>
        <v>2.7762354247640196E-2</v>
      </c>
      <c r="N45" s="1286">
        <f t="shared" si="17"/>
        <v>0</v>
      </c>
      <c r="O45" s="1286">
        <f t="shared" si="18"/>
        <v>0</v>
      </c>
      <c r="P45" s="1286">
        <f t="shared" si="19"/>
        <v>0</v>
      </c>
    </row>
    <row r="46" spans="1:16" ht="12" customHeight="1">
      <c r="A46" s="10">
        <v>1888</v>
      </c>
      <c r="B46" s="1255">
        <f t="shared" si="15"/>
        <v>5.3692262026578369E-2</v>
      </c>
      <c r="C46" s="1271">
        <f>DataUK3!CR46/DataUK1!B46</f>
        <v>1.5362592854528864E-2</v>
      </c>
      <c r="D46" s="1271">
        <f>DataUK3!CT46/DataUK1!B46</f>
        <v>1.4901715068892997E-2</v>
      </c>
      <c r="E46" s="1271">
        <f>DataUK3!CS46/DataUK1!B46</f>
        <v>2.3427954103156512E-2</v>
      </c>
      <c r="F46" s="1255">
        <f t="shared" si="16"/>
        <v>5.3692262026578383E-2</v>
      </c>
      <c r="G46" s="1271">
        <f>DataUK3!CW46/DataUK1!B46</f>
        <v>2.3812018924519739E-2</v>
      </c>
      <c r="H46" s="1271">
        <f>DataUK3!CV46/DataUK1!B46</f>
        <v>1.866555031825257E-2</v>
      </c>
      <c r="I46" s="1271">
        <f>DataUK3!CY46/DataUK1!B46</f>
        <v>1.121469278380607E-2</v>
      </c>
      <c r="J46" s="1365">
        <f>C46/TableUK5c!O43</f>
        <v>2.8526601055484237E-2</v>
      </c>
      <c r="N46" s="1286">
        <f t="shared" si="17"/>
        <v>0</v>
      </c>
      <c r="O46" s="1286">
        <f t="shared" si="18"/>
        <v>0</v>
      </c>
      <c r="P46" s="1286">
        <f t="shared" si="19"/>
        <v>0</v>
      </c>
    </row>
    <row r="47" spans="1:16" ht="12" customHeight="1">
      <c r="A47" s="893">
        <v>1889</v>
      </c>
      <c r="B47" s="1298">
        <f t="shared" si="15"/>
        <v>5.1455877484635204E-2</v>
      </c>
      <c r="C47" s="1299">
        <f>DataUK3!CR47/DataUK1!B47</f>
        <v>1.4393252443254602E-2</v>
      </c>
      <c r="D47" s="1299">
        <f>DataUK3!CT47/DataUK1!B47</f>
        <v>1.4753083754335967E-2</v>
      </c>
      <c r="E47" s="1299">
        <f>DataUK3!CS47/DataUK1!B47</f>
        <v>2.2309541287044633E-2</v>
      </c>
      <c r="F47" s="1298">
        <f t="shared" si="16"/>
        <v>5.1455877484635204E-2</v>
      </c>
      <c r="G47" s="1299">
        <f>DataUK3!CW47/DataUK1!B47</f>
        <v>2.3389035220288731E-2</v>
      </c>
      <c r="H47" s="1299">
        <f>DataUK3!CV47/DataUK1!B47</f>
        <v>1.7559767980770614E-2</v>
      </c>
      <c r="I47" s="1299">
        <f>DataUK3!CY47/DataUK1!B47</f>
        <v>1.0507074283575859E-2</v>
      </c>
      <c r="J47" s="1366">
        <f>C47/TableUK5c!O44</f>
        <v>2.8845460445662361E-2</v>
      </c>
      <c r="N47" s="1286">
        <f t="shared" si="17"/>
        <v>0</v>
      </c>
      <c r="O47" s="1286">
        <f t="shared" si="18"/>
        <v>0</v>
      </c>
      <c r="P47" s="1286">
        <f t="shared" si="19"/>
        <v>0</v>
      </c>
    </row>
    <row r="48" spans="1:16" ht="12" customHeight="1">
      <c r="A48" s="10">
        <v>1890</v>
      </c>
      <c r="B48" s="1255">
        <f t="shared" si="15"/>
        <v>5.1090781140042216E-2</v>
      </c>
      <c r="C48" s="1271">
        <f>DataUK3!CR48/DataUK1!B48</f>
        <v>1.4074595355383532E-2</v>
      </c>
      <c r="D48" s="1271">
        <f>DataUK3!CT48/DataUK1!B48</f>
        <v>1.4637579169598874E-2</v>
      </c>
      <c r="E48" s="1271">
        <f>DataUK3!CS48/DataUK1!B48</f>
        <v>2.2378606615059811E-2</v>
      </c>
      <c r="F48" s="1255">
        <f t="shared" si="16"/>
        <v>5.109078114004223E-2</v>
      </c>
      <c r="G48" s="1271">
        <f>DataUK3!CW48/DataUK1!B48</f>
        <v>2.3504574243490499E-2</v>
      </c>
      <c r="H48" s="1271">
        <f>DataUK3!CV48/DataUK1!B48</f>
        <v>1.7311752287121746E-2</v>
      </c>
      <c r="I48" s="1271">
        <f>DataUK3!CY48/DataUK1!B48</f>
        <v>1.0274454609429979E-2</v>
      </c>
      <c r="J48" s="1365">
        <f>C48/TableUK5c!O45</f>
        <v>2.9141774734081305E-2</v>
      </c>
      <c r="N48" s="1286">
        <f t="shared" si="17"/>
        <v>0</v>
      </c>
      <c r="O48" s="1286">
        <f t="shared" si="18"/>
        <v>0</v>
      </c>
      <c r="P48" s="1286">
        <f t="shared" si="19"/>
        <v>0</v>
      </c>
    </row>
    <row r="49" spans="1:16" ht="12" customHeight="1">
      <c r="A49" s="10">
        <v>1891</v>
      </c>
      <c r="B49" s="1255">
        <f t="shared" si="15"/>
        <v>5.5778894472361812E-2</v>
      </c>
      <c r="C49" s="1271">
        <f>DataUK3!CR49/DataUK1!B49</f>
        <v>1.4357501794687724E-2</v>
      </c>
      <c r="D49" s="1271">
        <f>DataUK3!CT49/DataUK1!B49</f>
        <v>1.6798277099784636E-2</v>
      </c>
      <c r="E49" s="1271">
        <f>DataUK3!CS49/DataUK1!B49</f>
        <v>2.4623115577889449E-2</v>
      </c>
      <c r="F49" s="1255">
        <f t="shared" si="16"/>
        <v>5.5778894472361812E-2</v>
      </c>
      <c r="G49" s="1271">
        <f>DataUK3!CW49/DataUK1!B49</f>
        <v>2.7279253409906678E-2</v>
      </c>
      <c r="H49" s="1271">
        <f>DataUK3!CV49/DataUK1!B49</f>
        <v>1.8018664752333095E-2</v>
      </c>
      <c r="I49" s="1271">
        <f>DataUK3!CY49/DataUK1!B49</f>
        <v>1.0480976310122039E-2</v>
      </c>
      <c r="J49" s="1365">
        <f>C49/TableUK5c!O46</f>
        <v>2.9398794649419375E-2</v>
      </c>
      <c r="N49" s="1286">
        <f t="shared" si="17"/>
        <v>0</v>
      </c>
      <c r="O49" s="1286">
        <f t="shared" si="18"/>
        <v>0</v>
      </c>
      <c r="P49" s="1286">
        <f t="shared" si="19"/>
        <v>0</v>
      </c>
    </row>
    <row r="50" spans="1:16" ht="12" customHeight="1">
      <c r="A50" s="10">
        <v>1892</v>
      </c>
      <c r="B50" s="1255">
        <f t="shared" si="15"/>
        <v>5.6190476190476193E-2</v>
      </c>
      <c r="C50" s="1271">
        <f>DataUK3!CR50/DataUK1!B50</f>
        <v>1.4652014652014652E-2</v>
      </c>
      <c r="D50" s="1271">
        <f>DataUK3!CT50/DataUK1!B50</f>
        <v>1.7802197802197803E-2</v>
      </c>
      <c r="E50" s="1271">
        <f>DataUK3!CS50/DataUK1!B50</f>
        <v>2.3736263736263741E-2</v>
      </c>
      <c r="F50" s="1255">
        <f t="shared" si="16"/>
        <v>5.6190476190476193E-2</v>
      </c>
      <c r="G50" s="1271">
        <f>DataUK3!CW50/DataUK1!B50</f>
        <v>2.6520146520146521E-2</v>
      </c>
      <c r="H50" s="1271">
        <f>DataUK3!CV50/DataUK1!B50</f>
        <v>1.8974358974358972E-2</v>
      </c>
      <c r="I50" s="1271">
        <f>DataUK3!CY50/DataUK1!B50</f>
        <v>1.0695970695970695E-2</v>
      </c>
      <c r="J50" s="1365">
        <f>C50/TableUK5c!O47</f>
        <v>2.966918854769322E-2</v>
      </c>
      <c r="N50" s="1286">
        <f t="shared" si="17"/>
        <v>0</v>
      </c>
      <c r="O50" s="1286">
        <f t="shared" si="18"/>
        <v>0</v>
      </c>
      <c r="P50" s="1286">
        <f t="shared" si="19"/>
        <v>0</v>
      </c>
    </row>
    <row r="51" spans="1:16" ht="12" customHeight="1">
      <c r="A51" s="10">
        <v>1893</v>
      </c>
      <c r="B51" s="1255">
        <f t="shared" si="15"/>
        <v>5.5758017492711365E-2</v>
      </c>
      <c r="C51" s="1271">
        <f>DataUK3!CR51/DataUK1!B51</f>
        <v>1.4577259475218658E-2</v>
      </c>
      <c r="D51" s="1271">
        <f>DataUK3!CT51/DataUK1!B51</f>
        <v>1.793002915451895E-2</v>
      </c>
      <c r="E51" s="1271">
        <f>DataUK3!CS51/DataUK1!B51</f>
        <v>2.325072886297376E-2</v>
      </c>
      <c r="F51" s="1255">
        <f t="shared" si="16"/>
        <v>5.5758017492711372E-2</v>
      </c>
      <c r="G51" s="1271">
        <f>DataUK3!CW51/DataUK1!B51</f>
        <v>2.6239067055393587E-2</v>
      </c>
      <c r="H51" s="1271">
        <f>DataUK3!CV51/DataUK1!B51</f>
        <v>1.8877551020408161E-2</v>
      </c>
      <c r="I51" s="1271">
        <f>DataUK3!CY51/DataUK1!B51</f>
        <v>1.0641399416909621E-2</v>
      </c>
      <c r="J51" s="1365">
        <f>C51/TableUK5c!O48</f>
        <v>2.9886431560071723E-2</v>
      </c>
      <c r="N51" s="1286">
        <f t="shared" si="17"/>
        <v>0</v>
      </c>
      <c r="O51" s="1286">
        <f t="shared" si="18"/>
        <v>0</v>
      </c>
      <c r="P51" s="1286">
        <f t="shared" si="19"/>
        <v>0</v>
      </c>
    </row>
    <row r="52" spans="1:16" ht="12" customHeight="1">
      <c r="A52" s="10">
        <v>1894</v>
      </c>
      <c r="B52" s="1255">
        <f t="shared" si="15"/>
        <v>5.4986338797814206E-2</v>
      </c>
      <c r="C52" s="1271">
        <f>DataUK3!CR52/DataUK1!B52</f>
        <v>1.3661202185792349E-2</v>
      </c>
      <c r="D52" s="1271">
        <f>DataUK3!CT52/DataUK1!B52</f>
        <v>2.1789617486338796E-2</v>
      </c>
      <c r="E52" s="1271">
        <f>DataUK3!CS52/DataUK1!B52</f>
        <v>1.9535519125683062E-2</v>
      </c>
      <c r="F52" s="1255">
        <f t="shared" si="16"/>
        <v>5.4986338797814206E-2</v>
      </c>
      <c r="G52" s="1271">
        <f>DataUK3!CW52/DataUK1!B52</f>
        <v>2.7732240437158471E-2</v>
      </c>
      <c r="H52" s="1271">
        <f>DataUK3!CV52/DataUK1!B52</f>
        <v>1.7281420765027321E-2</v>
      </c>
      <c r="I52" s="1271">
        <f>DataUK3!CY52/DataUK1!B52</f>
        <v>9.9726775956284156E-3</v>
      </c>
      <c r="J52" s="1365">
        <f>C52/TableUK5c!O49</f>
        <v>3.0159089195506295E-2</v>
      </c>
      <c r="N52" s="1286">
        <f t="shared" si="17"/>
        <v>0</v>
      </c>
      <c r="O52" s="1286">
        <f t="shared" si="18"/>
        <v>0</v>
      </c>
      <c r="P52" s="1286">
        <f t="shared" si="19"/>
        <v>0</v>
      </c>
    </row>
    <row r="53" spans="1:16" ht="12" customHeight="1">
      <c r="A53" s="10">
        <v>1895</v>
      </c>
      <c r="B53" s="1255">
        <f t="shared" si="15"/>
        <v>5.8988015978695074E-2</v>
      </c>
      <c r="C53" s="1271">
        <f>DataUK3!CR53/DataUK1!B53</f>
        <v>1.3315579227696406E-2</v>
      </c>
      <c r="D53" s="1271">
        <f>DataUK3!CT53/DataUK1!B53</f>
        <v>2.4234354194407458E-2</v>
      </c>
      <c r="E53" s="1271">
        <f>DataUK3!CS53/DataUK1!B53</f>
        <v>2.1438082556591211E-2</v>
      </c>
      <c r="F53" s="1255">
        <f t="shared" si="16"/>
        <v>5.8988015978695088E-2</v>
      </c>
      <c r="G53" s="1271">
        <f>DataUK3!CW53/DataUK1!B53</f>
        <v>3.2090545938748341E-2</v>
      </c>
      <c r="H53" s="1271">
        <f>DataUK3!CV53/DataUK1!B53</f>
        <v>1.7177097203728366E-2</v>
      </c>
      <c r="I53" s="1271">
        <f>DataUK3!CY53/DataUK1!B53</f>
        <v>9.7203728362183772E-3</v>
      </c>
      <c r="J53" s="1365">
        <f>C53/TableUK5c!O50</f>
        <v>3.0504079920689389E-2</v>
      </c>
      <c r="N53" s="1286">
        <f t="shared" si="17"/>
        <v>0</v>
      </c>
      <c r="O53" s="1286">
        <f t="shared" si="18"/>
        <v>0</v>
      </c>
      <c r="P53" s="1286">
        <f t="shared" si="19"/>
        <v>0</v>
      </c>
    </row>
    <row r="54" spans="1:16" ht="12" customHeight="1">
      <c r="A54" s="10">
        <v>1896</v>
      </c>
      <c r="B54" s="1255">
        <f t="shared" si="15"/>
        <v>6.543450064850842E-2</v>
      </c>
      <c r="C54" s="1271">
        <f>DataUK3!CR54/DataUK1!B54</f>
        <v>1.2970168612191959E-2</v>
      </c>
      <c r="D54" s="1271">
        <f>DataUK3!CT54/DataUK1!B54</f>
        <v>2.7237354085603113E-2</v>
      </c>
      <c r="E54" s="1271">
        <f>DataUK3!CS54/DataUK1!B54</f>
        <v>2.5226977950713353E-2</v>
      </c>
      <c r="F54" s="1255">
        <f t="shared" si="16"/>
        <v>6.5434500648508434E-2</v>
      </c>
      <c r="G54" s="1271">
        <f>DataUK3!CW54/DataUK1!B54</f>
        <v>3.8780804150453957E-2</v>
      </c>
      <c r="H54" s="1271">
        <f>DataUK3!CV54/DataUK1!B54</f>
        <v>1.7185473411154346E-2</v>
      </c>
      <c r="I54" s="1271">
        <f>DataUK3!CY54/DataUK1!B54</f>
        <v>9.468223086900129E-3</v>
      </c>
      <c r="J54" s="1365">
        <f>C54/TableUK5c!O51</f>
        <v>3.0828516377649329E-2</v>
      </c>
      <c r="N54" s="1286">
        <f t="shared" si="17"/>
        <v>0</v>
      </c>
      <c r="O54" s="1286">
        <f t="shared" si="18"/>
        <v>0</v>
      </c>
      <c r="P54" s="1286">
        <f t="shared" si="19"/>
        <v>0</v>
      </c>
    </row>
    <row r="55" spans="1:16" ht="12" customHeight="1">
      <c r="A55" s="10">
        <v>1897</v>
      </c>
      <c r="B55" s="1255">
        <f t="shared" si="15"/>
        <v>5.7465495608531994E-2</v>
      </c>
      <c r="C55" s="1271">
        <f>DataUK3!CR55/DataUK1!B55</f>
        <v>1.2547051442910916E-2</v>
      </c>
      <c r="D55" s="1271">
        <f>DataUK3!CT55/DataUK1!B55</f>
        <v>2.0828105395232121E-2</v>
      </c>
      <c r="E55" s="1271">
        <f>DataUK3!CS55/DataUK1!B55</f>
        <v>2.4090338770388953E-2</v>
      </c>
      <c r="F55" s="1255">
        <f t="shared" si="16"/>
        <v>5.7465495608531994E-2</v>
      </c>
      <c r="G55" s="1271">
        <f>DataUK3!CW55/DataUK1!B55</f>
        <v>3.124215809284818E-2</v>
      </c>
      <c r="H55" s="1271">
        <f>DataUK3!CV55/DataUK1!B55</f>
        <v>1.7063989962358844E-2</v>
      </c>
      <c r="I55" s="1271">
        <f>DataUK3!CY55/DataUK1!B55</f>
        <v>9.1593475533249692E-3</v>
      </c>
      <c r="J55" s="1365">
        <f>C55/TableUK5c!O52</f>
        <v>3.1152647975077882E-2</v>
      </c>
      <c r="N55" s="1286">
        <f t="shared" si="17"/>
        <v>0</v>
      </c>
      <c r="O55" s="1286">
        <f t="shared" si="18"/>
        <v>0</v>
      </c>
      <c r="P55" s="1286">
        <f t="shared" si="19"/>
        <v>0</v>
      </c>
    </row>
    <row r="56" spans="1:16" ht="12" customHeight="1">
      <c r="A56" s="10">
        <v>1898</v>
      </c>
      <c r="B56" s="1255">
        <f t="shared" si="15"/>
        <v>5.4648390941597139E-2</v>
      </c>
      <c r="C56" s="1271">
        <f>DataUK3!CR56/DataUK1!B56</f>
        <v>1.1918951132300359E-2</v>
      </c>
      <c r="D56" s="1271">
        <f>DataUK3!CT56/DataUK1!B56</f>
        <v>1.8593563766388561E-2</v>
      </c>
      <c r="E56" s="1271">
        <f>DataUK3!CS56/DataUK1!B56</f>
        <v>2.4135876042908219E-2</v>
      </c>
      <c r="F56" s="1255">
        <f t="shared" si="16"/>
        <v>5.4648390941597146E-2</v>
      </c>
      <c r="G56" s="1271">
        <f>DataUK3!CW56/DataUK1!B56</f>
        <v>2.9618593563766393E-2</v>
      </c>
      <c r="H56" s="1271">
        <f>DataUK3!CV56/DataUK1!B56</f>
        <v>1.6328963051251491E-2</v>
      </c>
      <c r="I56" s="1271">
        <f>DataUK3!CY56/DataUK1!B56</f>
        <v>8.7008343265792612E-3</v>
      </c>
      <c r="J56" s="1365">
        <f>C56/TableUK5c!O53</f>
        <v>3.1392246115209542E-2</v>
      </c>
      <c r="N56" s="1286">
        <f t="shared" si="17"/>
        <v>0</v>
      </c>
      <c r="O56" s="1286">
        <f t="shared" si="18"/>
        <v>0</v>
      </c>
      <c r="P56" s="1286">
        <f t="shared" si="19"/>
        <v>0</v>
      </c>
    </row>
    <row r="57" spans="1:16" ht="12" customHeight="1">
      <c r="A57" s="893">
        <v>1899</v>
      </c>
      <c r="B57" s="1298">
        <f t="shared" si="15"/>
        <v>5.2033898305084744E-2</v>
      </c>
      <c r="C57" s="1299">
        <f>DataUK3!CR57/DataUK1!B57</f>
        <v>1.1299435028248588E-2</v>
      </c>
      <c r="D57" s="1299">
        <f>DataUK3!CT57/DataUK1!B57</f>
        <v>1.7118644067796611E-2</v>
      </c>
      <c r="E57" s="1299">
        <f>DataUK3!CS57/DataUK1!B57</f>
        <v>2.3615819209039546E-2</v>
      </c>
      <c r="F57" s="1298">
        <f t="shared" si="16"/>
        <v>5.2033898305084744E-2</v>
      </c>
      <c r="G57" s="1299">
        <f>DataUK3!CW57/DataUK1!B57</f>
        <v>2.8022598870056498E-2</v>
      </c>
      <c r="H57" s="1299">
        <f>DataUK3!CV57/DataUK1!B57</f>
        <v>1.5762711864406777E-2</v>
      </c>
      <c r="I57" s="1299">
        <f>DataUK3!CY57/DataUK1!B57</f>
        <v>8.2485875706214684E-3</v>
      </c>
      <c r="J57" s="1366">
        <f>C57/TableUK5c!O54</f>
        <v>3.1389782625755314E-2</v>
      </c>
      <c r="N57" s="1286">
        <f t="shared" si="17"/>
        <v>0</v>
      </c>
      <c r="O57" s="1286">
        <f t="shared" si="18"/>
        <v>0</v>
      </c>
      <c r="P57" s="1286">
        <f t="shared" si="19"/>
        <v>0</v>
      </c>
    </row>
    <row r="58" spans="1:16" ht="12" customHeight="1">
      <c r="A58" s="10">
        <v>1900</v>
      </c>
      <c r="B58" s="1255">
        <f t="shared" si="15"/>
        <v>5.1453647833241904E-2</v>
      </c>
      <c r="C58" s="1271">
        <f>DataUK3!CR58/DataUK1!B58</f>
        <v>1.0970927043335164E-2</v>
      </c>
      <c r="D58" s="1271">
        <f>DataUK3!CT58/DataUK1!B58</f>
        <v>1.7388919363686233E-2</v>
      </c>
      <c r="E58" s="1271">
        <f>DataUK3!CS58/DataUK1!B58</f>
        <v>2.3093801426220507E-2</v>
      </c>
      <c r="F58" s="1255">
        <f t="shared" si="16"/>
        <v>5.1453647833241911E-2</v>
      </c>
      <c r="G58" s="1271">
        <f>DataUK3!CW58/DataUK1!B58</f>
        <v>2.7317608337904555E-2</v>
      </c>
      <c r="H58" s="1271">
        <f>DataUK3!CV58/DataUK1!B58</f>
        <v>1.612726275370269E-2</v>
      </c>
      <c r="I58" s="1271">
        <f>DataUK3!CY58/DataUK1!B58</f>
        <v>8.008776741634669E-3</v>
      </c>
      <c r="J58" s="1365">
        <f>C58/TableUK5c!O55</f>
        <v>2.978850163836759E-2</v>
      </c>
      <c r="N58" s="1286">
        <f t="shared" si="17"/>
        <v>0</v>
      </c>
      <c r="O58" s="1286">
        <f t="shared" si="18"/>
        <v>0</v>
      </c>
      <c r="P58" s="1286">
        <f t="shared" si="19"/>
        <v>0</v>
      </c>
    </row>
    <row r="59" spans="1:16" ht="12" customHeight="1">
      <c r="A59" s="10">
        <v>1901</v>
      </c>
      <c r="B59" s="1255">
        <f>C59+D59+E59</f>
        <v>5.2439024390243894E-2</v>
      </c>
      <c r="C59" s="1271">
        <f>DataUK3!CR59/DataUK1!B59</f>
        <v>1.1086474501108647E-2</v>
      </c>
      <c r="D59" s="1271">
        <f>DataUK3!CT59/DataUK1!B59</f>
        <v>1.8736141906873609E-2</v>
      </c>
      <c r="E59" s="1271">
        <f>DataUK3!CS59/DataUK1!B59</f>
        <v>2.2616407982261635E-2</v>
      </c>
      <c r="F59" s="1255">
        <f>G59+H59+I59</f>
        <v>5.2439024390243894E-2</v>
      </c>
      <c r="G59" s="1271">
        <f>DataUK3!CW59/DataUK1!B59</f>
        <v>2.7937915742793789E-2</v>
      </c>
      <c r="H59" s="1271">
        <f>DataUK3!CV59/DataUK1!B59</f>
        <v>1.6407982261640797E-2</v>
      </c>
      <c r="I59" s="1271">
        <f>DataUK3!CY59/DataUK1!B59</f>
        <v>8.0931263858093107E-3</v>
      </c>
      <c r="J59" s="1365">
        <f>C59/TableUK5c!O56</f>
        <v>2.7227554284936357E-2</v>
      </c>
      <c r="N59" s="1286">
        <f>F59-B59</f>
        <v>0</v>
      </c>
      <c r="O59" s="1286">
        <f>B59-C59-D59-E59</f>
        <v>0</v>
      </c>
      <c r="P59" s="1286">
        <f>F59-G59-H59-I59</f>
        <v>0</v>
      </c>
    </row>
    <row r="60" spans="1:16" ht="12" customHeight="1">
      <c r="A60" s="10">
        <v>1902</v>
      </c>
      <c r="B60" s="1255">
        <f t="shared" ref="B60:B70" si="20">C60+D60+E60</f>
        <v>5.2373158756137475E-2</v>
      </c>
      <c r="C60" s="1271">
        <f>DataUK3!CR60/DataUK1!B60</f>
        <v>1.0911074740861976E-2</v>
      </c>
      <c r="D60" s="1271">
        <f>DataUK3!CT60/DataUK1!B60</f>
        <v>1.8221494817239496E-2</v>
      </c>
      <c r="E60" s="1271">
        <f>DataUK3!CS60/DataUK1!B60</f>
        <v>2.3240589198036007E-2</v>
      </c>
      <c r="F60" s="1255">
        <f t="shared" ref="F60:F70" si="21">G60+H60+I60</f>
        <v>5.2373158756137475E-2</v>
      </c>
      <c r="G60" s="1271">
        <f>DataUK3!CW60/DataUK1!B60</f>
        <v>2.8368794326241134E-2</v>
      </c>
      <c r="H60" s="1271">
        <f>DataUK3!CV60/DataUK1!B60</f>
        <v>1.6039279869067103E-2</v>
      </c>
      <c r="I60" s="1271">
        <f>DataUK3!CY60/DataUK1!B60</f>
        <v>7.9650845608292414E-3</v>
      </c>
      <c r="J60" s="1365">
        <f>C60/TableUK5c!O57</f>
        <v>2.558362647905341E-2</v>
      </c>
      <c r="N60" s="1286">
        <f t="shared" ref="N60:N70" si="22">F60-B60</f>
        <v>0</v>
      </c>
      <c r="O60" s="1286">
        <f t="shared" ref="O60:O70" si="23">B60-C60-D60-E60</f>
        <v>0</v>
      </c>
      <c r="P60" s="1286">
        <f t="shared" ref="P60:P70" si="24">F60-G60-H60-I60</f>
        <v>0</v>
      </c>
    </row>
    <row r="61" spans="1:16" ht="12" customHeight="1">
      <c r="A61" s="10">
        <v>1903</v>
      </c>
      <c r="B61" s="1255">
        <f t="shared" si="20"/>
        <v>5.1798561151079128E-2</v>
      </c>
      <c r="C61" s="1271">
        <f>DataUK3!CR61/DataUK1!B61</f>
        <v>1.1068068622025456E-2</v>
      </c>
      <c r="D61" s="1271">
        <f>DataUK3!CT61/DataUK1!B61</f>
        <v>1.787493082457111E-2</v>
      </c>
      <c r="E61" s="1271">
        <f>DataUK3!CS61/DataUK1!B61</f>
        <v>2.2855561704482566E-2</v>
      </c>
      <c r="F61" s="1255">
        <f t="shared" si="21"/>
        <v>5.1798561151079135E-2</v>
      </c>
      <c r="G61" s="1271">
        <f>DataUK3!CW61/DataUK1!B61</f>
        <v>2.7725511898173769E-2</v>
      </c>
      <c r="H61" s="1271">
        <f>DataUK3!CV61/DataUK1!B61</f>
        <v>1.5993359158826784E-2</v>
      </c>
      <c r="I61" s="1271">
        <f>DataUK3!CY61/DataUK1!B61</f>
        <v>8.0796900940785839E-3</v>
      </c>
      <c r="J61" s="1365">
        <f>C61/TableUK5c!O58</f>
        <v>2.5113008538422903E-2</v>
      </c>
      <c r="N61" s="1286">
        <f t="shared" si="22"/>
        <v>0</v>
      </c>
      <c r="O61" s="1286">
        <f t="shared" si="23"/>
        <v>0</v>
      </c>
      <c r="P61" s="1286">
        <f t="shared" si="24"/>
        <v>0</v>
      </c>
    </row>
    <row r="62" spans="1:16" ht="12" customHeight="1">
      <c r="A62" s="10">
        <v>1904</v>
      </c>
      <c r="B62" s="1255">
        <f t="shared" si="20"/>
        <v>5.1557285873192436E-2</v>
      </c>
      <c r="C62" s="1271">
        <f>DataUK3!CR62/DataUK1!B62</f>
        <v>1.1123470522803117E-2</v>
      </c>
      <c r="D62" s="1271">
        <f>DataUK3!CT62/DataUK1!B62</f>
        <v>1.8075639599555063E-2</v>
      </c>
      <c r="E62" s="1271">
        <f>DataUK3!CS62/DataUK1!B62</f>
        <v>2.2358175750834257E-2</v>
      </c>
      <c r="F62" s="1255">
        <f t="shared" si="21"/>
        <v>5.1557285873192436E-2</v>
      </c>
      <c r="G62" s="1271">
        <f>DataUK3!CW62/DataUK1!B62</f>
        <v>2.7697441601779758E-2</v>
      </c>
      <c r="H62" s="1271">
        <f>DataUK3!CV62/DataUK1!B62</f>
        <v>1.5739710789766409E-2</v>
      </c>
      <c r="I62" s="1271">
        <f>DataUK3!CY62/DataUK1!B62</f>
        <v>8.1201334816462748E-3</v>
      </c>
      <c r="J62" s="1365">
        <f>C62/TableUK5c!O59</f>
        <v>2.513826043237808E-2</v>
      </c>
      <c r="N62" s="1286">
        <f t="shared" si="22"/>
        <v>0</v>
      </c>
      <c r="O62" s="1286">
        <f t="shared" si="23"/>
        <v>0</v>
      </c>
      <c r="P62" s="1286">
        <f t="shared" si="24"/>
        <v>0</v>
      </c>
    </row>
    <row r="63" spans="1:16" ht="12" customHeight="1">
      <c r="A63" s="10">
        <v>1905</v>
      </c>
      <c r="B63" s="1255">
        <f t="shared" si="20"/>
        <v>5.1997868939797548E-2</v>
      </c>
      <c r="C63" s="1271">
        <f>DataUK3!CR63/DataUK1!B63</f>
        <v>1.0655301012253596E-2</v>
      </c>
      <c r="D63" s="1271">
        <f>DataUK3!CT63/DataUK1!B63</f>
        <v>1.8060735215769844E-2</v>
      </c>
      <c r="E63" s="1271">
        <f>DataUK3!CS63/DataUK1!B63</f>
        <v>2.3281832711774104E-2</v>
      </c>
      <c r="F63" s="1255">
        <f t="shared" si="21"/>
        <v>5.1997868939797555E-2</v>
      </c>
      <c r="G63" s="1271">
        <f>DataUK3!CW63/DataUK1!B63</f>
        <v>2.8822589238145978E-2</v>
      </c>
      <c r="H63" s="1271">
        <f>DataUK3!CV63/DataUK1!B63</f>
        <v>1.5396909962706446E-2</v>
      </c>
      <c r="I63" s="1271">
        <f>DataUK3!CY63/DataUK1!B63</f>
        <v>7.778369738945125E-3</v>
      </c>
      <c r="J63" s="1365">
        <f>C63/TableUK5c!O60</f>
        <v>2.5225452481553889E-2</v>
      </c>
      <c r="N63" s="1286">
        <f t="shared" si="22"/>
        <v>0</v>
      </c>
      <c r="O63" s="1286">
        <f t="shared" si="23"/>
        <v>0</v>
      </c>
      <c r="P63" s="1286">
        <f t="shared" si="24"/>
        <v>0</v>
      </c>
    </row>
    <row r="64" spans="1:16" ht="12" customHeight="1">
      <c r="A64" s="10">
        <v>1906</v>
      </c>
      <c r="B64" s="1255">
        <f t="shared" si="20"/>
        <v>4.9191919191919189E-2</v>
      </c>
      <c r="C64" s="1271">
        <f>DataUK3!CR64/DataUK1!B64</f>
        <v>1.0101010101010102E-2</v>
      </c>
      <c r="D64" s="1271">
        <f>DataUK3!CT64/DataUK1!B64</f>
        <v>1.6414141414141416E-2</v>
      </c>
      <c r="E64" s="1271">
        <f>DataUK3!CS64/DataUK1!B64</f>
        <v>2.2676767676767674E-2</v>
      </c>
      <c r="F64" s="1255">
        <f t="shared" si="21"/>
        <v>4.9191919191919196E-2</v>
      </c>
      <c r="G64" s="1271">
        <f>DataUK3!CW64/DataUK1!B64</f>
        <v>2.7222222222222224E-2</v>
      </c>
      <c r="H64" s="1271">
        <f>DataUK3!CV64/DataUK1!B64</f>
        <v>1.4595959595959596E-2</v>
      </c>
      <c r="I64" s="1271">
        <f>DataUK3!CY64/DataUK1!B64</f>
        <v>7.3737373737373744E-3</v>
      </c>
      <c r="J64" s="1365">
        <f>C64/TableUK5c!O61</f>
        <v>2.5506950644050501E-2</v>
      </c>
      <c r="N64" s="1286">
        <f t="shared" si="22"/>
        <v>0</v>
      </c>
      <c r="O64" s="1286">
        <f t="shared" si="23"/>
        <v>0</v>
      </c>
      <c r="P64" s="1286">
        <f t="shared" si="24"/>
        <v>0</v>
      </c>
    </row>
    <row r="65" spans="1:16" ht="12" customHeight="1">
      <c r="A65" s="10">
        <v>1907</v>
      </c>
      <c r="B65" s="1255">
        <f t="shared" si="20"/>
        <v>4.6820809248554911E-2</v>
      </c>
      <c r="C65" s="1271">
        <f>DataUK3!CR65/DataUK1!B65</f>
        <v>9.6339113680154135E-3</v>
      </c>
      <c r="D65" s="1271">
        <f>DataUK3!CT65/DataUK1!B65</f>
        <v>1.6184971098265898E-2</v>
      </c>
      <c r="E65" s="1271">
        <f>DataUK3!CS65/DataUK1!B65</f>
        <v>2.1001926782273597E-2</v>
      </c>
      <c r="F65" s="1255">
        <f t="shared" si="21"/>
        <v>4.6820809248554911E-2</v>
      </c>
      <c r="G65" s="1271">
        <f>DataUK3!CW65/DataUK1!B65</f>
        <v>2.5867052023121388E-2</v>
      </c>
      <c r="H65" s="1271">
        <f>DataUK3!CV65/DataUK1!B65</f>
        <v>1.3921001926782273E-2</v>
      </c>
      <c r="I65" s="1271">
        <f>DataUK3!CY65/DataUK1!B65</f>
        <v>7.0327552986512521E-3</v>
      </c>
      <c r="J65" s="1365">
        <f>C65/TableUK5c!O62</f>
        <v>2.5948751216347713E-2</v>
      </c>
      <c r="N65" s="1286">
        <f t="shared" si="22"/>
        <v>0</v>
      </c>
      <c r="O65" s="1286">
        <f t="shared" si="23"/>
        <v>0</v>
      </c>
      <c r="P65" s="1286">
        <f t="shared" si="24"/>
        <v>0</v>
      </c>
    </row>
    <row r="66" spans="1:16" ht="12" customHeight="1">
      <c r="A66" s="10">
        <v>1908</v>
      </c>
      <c r="B66" s="1255">
        <f t="shared" si="20"/>
        <v>4.8864209994952036E-2</v>
      </c>
      <c r="C66" s="1271">
        <f>DataUK3!CR66/DataUK1!B66</f>
        <v>1.0095911155981827E-2</v>
      </c>
      <c r="D66" s="1271">
        <f>DataUK3!CT66/DataUK1!B66</f>
        <v>1.8021201413427564E-2</v>
      </c>
      <c r="E66" s="1271">
        <f>DataUK3!CS66/DataUK1!B66</f>
        <v>2.0747097425542645E-2</v>
      </c>
      <c r="F66" s="1255">
        <f t="shared" si="21"/>
        <v>4.8864209994952043E-2</v>
      </c>
      <c r="G66" s="1271">
        <f>DataUK3!CW66/DataUK1!B66</f>
        <v>2.690560323069157E-2</v>
      </c>
      <c r="H66" s="1271">
        <f>DataUK3!CV66/DataUK1!B66</f>
        <v>1.458859162039374E-2</v>
      </c>
      <c r="I66" s="1271">
        <f>DataUK3!CY66/DataUK1!B66</f>
        <v>7.3700151438667342E-3</v>
      </c>
      <c r="J66" s="1365">
        <f>C66/TableUK5c!O63</f>
        <v>2.6378264310208385E-2</v>
      </c>
      <c r="N66" s="1286">
        <f t="shared" si="22"/>
        <v>0</v>
      </c>
      <c r="O66" s="1286">
        <f t="shared" si="23"/>
        <v>0</v>
      </c>
      <c r="P66" s="1286">
        <f t="shared" si="24"/>
        <v>0</v>
      </c>
    </row>
    <row r="67" spans="1:16" ht="12" customHeight="1">
      <c r="A67" s="893">
        <v>1909</v>
      </c>
      <c r="B67" s="1298">
        <f t="shared" si="20"/>
        <v>4.8757455268389663E-2</v>
      </c>
      <c r="C67" s="1299">
        <f>DataUK3!CR67/DataUK1!B67</f>
        <v>9.9403578528827041E-3</v>
      </c>
      <c r="D67" s="1299">
        <f>DataUK3!CT67/DataUK1!B67</f>
        <v>1.7842942345924453E-2</v>
      </c>
      <c r="E67" s="1299">
        <f>DataUK3!CS67/DataUK1!B67</f>
        <v>2.0974155069582504E-2</v>
      </c>
      <c r="F67" s="1298">
        <f t="shared" si="21"/>
        <v>4.8757455268389663E-2</v>
      </c>
      <c r="G67" s="1299">
        <f>DataUK3!CW67/DataUK1!B67</f>
        <v>2.698807157057654E-2</v>
      </c>
      <c r="H67" s="1299">
        <f>DataUK3!CV67/DataUK1!B67</f>
        <v>1.4512922465208748E-2</v>
      </c>
      <c r="I67" s="1299">
        <f>DataUK3!CY67/DataUK1!B67</f>
        <v>7.2564612326043738E-3</v>
      </c>
      <c r="J67" s="1366">
        <f>C67/TableUK5c!O64</f>
        <v>2.6374785704866153E-2</v>
      </c>
      <c r="N67" s="1286">
        <f t="shared" si="22"/>
        <v>0</v>
      </c>
      <c r="O67" s="1286">
        <f t="shared" si="23"/>
        <v>0</v>
      </c>
      <c r="P67" s="1286">
        <f t="shared" si="24"/>
        <v>0</v>
      </c>
    </row>
    <row r="68" spans="1:16" ht="12" customHeight="1">
      <c r="A68" s="10">
        <v>1910</v>
      </c>
      <c r="B68" s="1255">
        <f t="shared" si="20"/>
        <v>4.6369245372567626E-2</v>
      </c>
      <c r="C68" s="1271">
        <f>DataUK3!CR68/DataUK1!B68</f>
        <v>9.4921689606074985E-3</v>
      </c>
      <c r="D68" s="1271">
        <f>DataUK3!CT68/DataUK1!B68</f>
        <v>1.6943521594684388E-2</v>
      </c>
      <c r="E68" s="1271">
        <f>DataUK3!CS68/DataUK1!B68</f>
        <v>1.9933554817275739E-2</v>
      </c>
      <c r="F68" s="1255">
        <f t="shared" si="21"/>
        <v>4.6369245372567626E-2</v>
      </c>
      <c r="G68" s="1271">
        <f>DataUK3!CW68/DataUK1!B68</f>
        <v>2.6008542952064544E-2</v>
      </c>
      <c r="H68" s="1271">
        <f>DataUK3!CV68/DataUK1!B68</f>
        <v>1.3431419079259611E-2</v>
      </c>
      <c r="I68" s="1271">
        <f>DataUK3!CY68/DataUK1!B68</f>
        <v>6.9292833412434741E-3</v>
      </c>
      <c r="J68" s="1365">
        <f>C68/TableUK5c!O65</f>
        <v>2.6745119015779618E-2</v>
      </c>
      <c r="N68" s="1286">
        <f t="shared" si="22"/>
        <v>0</v>
      </c>
      <c r="O68" s="1286">
        <f t="shared" si="23"/>
        <v>0</v>
      </c>
      <c r="P68" s="1286">
        <f t="shared" si="24"/>
        <v>0</v>
      </c>
    </row>
    <row r="69" spans="1:16" ht="12" customHeight="1">
      <c r="A69" s="10">
        <v>1911</v>
      </c>
      <c r="B69" s="1255">
        <f t="shared" si="20"/>
        <v>4.5027372262773716E-2</v>
      </c>
      <c r="C69" s="1271">
        <f>DataUK3!CR69/DataUK1!B69</f>
        <v>9.1240875912408752E-3</v>
      </c>
      <c r="D69" s="1271">
        <f>DataUK3!CT69/DataUK1!B69</f>
        <v>1.6925182481751826E-2</v>
      </c>
      <c r="E69" s="1271">
        <f>DataUK3!CS69/DataUK1!B69</f>
        <v>1.8978102189781017E-2</v>
      </c>
      <c r="F69" s="1255">
        <f t="shared" si="21"/>
        <v>4.5027372262773722E-2</v>
      </c>
      <c r="G69" s="1271">
        <f>DataUK3!CW69/DataUK1!B69</f>
        <v>2.5319343065693431E-2</v>
      </c>
      <c r="H69" s="1271">
        <f>DataUK3!CV69/DataUK1!B69</f>
        <v>1.3047445255474454E-2</v>
      </c>
      <c r="I69" s="1271">
        <f>DataUK3!CY69/DataUK1!B69</f>
        <v>6.6605839416058396E-3</v>
      </c>
      <c r="J69" s="1365">
        <f>C69/TableUK5c!O66</f>
        <v>2.7557698932139163E-2</v>
      </c>
      <c r="N69" s="1286">
        <f t="shared" si="22"/>
        <v>0</v>
      </c>
      <c r="O69" s="1286">
        <f t="shared" si="23"/>
        <v>0</v>
      </c>
      <c r="P69" s="1286">
        <f t="shared" si="24"/>
        <v>0</v>
      </c>
    </row>
    <row r="70" spans="1:16" ht="12" customHeight="1">
      <c r="A70" s="10">
        <v>1912</v>
      </c>
      <c r="B70" s="1255">
        <f t="shared" si="20"/>
        <v>4.4704861111111119E-2</v>
      </c>
      <c r="C70" s="1271">
        <f>DataUK3!CR70/DataUK1!B70</f>
        <v>8.6805555555555577E-3</v>
      </c>
      <c r="D70" s="1271">
        <f>DataUK3!CT70/DataUK1!B70</f>
        <v>1.623263888888889E-2</v>
      </c>
      <c r="E70" s="1271">
        <f>DataUK3!CS70/DataUK1!B70</f>
        <v>1.9791666666666673E-2</v>
      </c>
      <c r="F70" s="1255">
        <f t="shared" si="21"/>
        <v>4.4704861111111119E-2</v>
      </c>
      <c r="G70" s="1271">
        <f>DataUK3!CW70/DataUK1!B70</f>
        <v>2.5868055555555561E-2</v>
      </c>
      <c r="H70" s="1271">
        <f>DataUK3!CV70/DataUK1!B70</f>
        <v>1.2500000000000002E-2</v>
      </c>
      <c r="I70" s="1271">
        <f>DataUK3!CY70/DataUK1!B70</f>
        <v>6.3368055555555565E-3</v>
      </c>
      <c r="J70" s="1365">
        <f>C70/TableUK5c!O67</f>
        <v>2.7977897461005811E-2</v>
      </c>
      <c r="N70" s="1286">
        <f t="shared" si="22"/>
        <v>0</v>
      </c>
      <c r="O70" s="1286">
        <f t="shared" si="23"/>
        <v>0</v>
      </c>
      <c r="P70" s="1286">
        <f t="shared" si="24"/>
        <v>0</v>
      </c>
    </row>
    <row r="71" spans="1:16" ht="12" customHeight="1">
      <c r="A71" s="10">
        <v>1913</v>
      </c>
      <c r="B71" s="1287">
        <f>DataUK3!CQ71/DataUK1!B71</f>
        <v>4.1243175136497258E-2</v>
      </c>
      <c r="C71" s="1271">
        <f>DataUK3!CR71/DataUK1!B71</f>
        <v>8.3998320033599316E-3</v>
      </c>
      <c r="D71" s="1271">
        <f>DataUK3!CT71/DataUK1!B71</f>
        <v>1.5203695926081477E-2</v>
      </c>
      <c r="E71" s="1271">
        <f>DataUK3!CS71/DataUK1!B71</f>
        <v>1.763964720705585E-2</v>
      </c>
      <c r="F71" s="1255">
        <f>DataUK3!CU71/DataUK1!B71</f>
        <v>4.1243175136497258E-2</v>
      </c>
      <c r="G71" s="1271">
        <f>DataUK3!CW71/DataUK1!B71</f>
        <v>2.305753884922301E-2</v>
      </c>
      <c r="H71" s="1271">
        <f>DataUK3!CV71/DataUK1!B71</f>
        <v>1.20537589248215E-2</v>
      </c>
      <c r="I71" s="1271">
        <f>DataUK3!CY71/DataUK1!B71</f>
        <v>6.1318773624527492E-3</v>
      </c>
      <c r="J71" s="1365">
        <f>C71/TableUK5c!O68</f>
        <v>2.8218694885361554E-2</v>
      </c>
      <c r="N71" s="1286">
        <f t="shared" ref="N71:N102" si="25">F71-B71</f>
        <v>0</v>
      </c>
      <c r="O71" s="1286">
        <f t="shared" ref="O71:O102" si="26">B71-C71-D71-E71</f>
        <v>0</v>
      </c>
      <c r="P71" s="1286">
        <f t="shared" ref="P71:P102" si="27">F71-G71-H71-I71</f>
        <v>0</v>
      </c>
    </row>
    <row r="72" spans="1:16" ht="12" customHeight="1">
      <c r="A72" s="10">
        <v>1914</v>
      </c>
      <c r="B72" s="1284">
        <f>DataUK3!CQ72/DataUK1!B72</f>
        <v>5.9339314845024471E-2</v>
      </c>
      <c r="C72" s="944">
        <f>DataUK3!CR72/DataUK1!B72</f>
        <v>1.2887438825448613E-2</v>
      </c>
      <c r="D72" s="1271">
        <f>DataUK3!CT72/DataUK1!B72</f>
        <v>1.8719412724306689E-2</v>
      </c>
      <c r="E72" s="63">
        <f>DataUK3!CS72/DataUK1!B72</f>
        <v>2.7732463295269169E-2</v>
      </c>
      <c r="F72" s="1284">
        <f>DataUK3!CU72/DataUK1!B72</f>
        <v>5.9339314845024471E-2</v>
      </c>
      <c r="G72" s="944">
        <f>DataUK3!CW72/DataUK1!B72</f>
        <v>4.0497553017944533E-2</v>
      </c>
      <c r="H72" s="944">
        <f>DataUK3!CV72/DataUK1!B72</f>
        <v>1.2887438825448613E-2</v>
      </c>
      <c r="I72" s="944">
        <f>DataUK3!CY72/DataUK1!B72</f>
        <v>5.954323001631321E-3</v>
      </c>
      <c r="J72" s="1365">
        <f>C72/TableUK5c!O69</f>
        <v>3.3829354458837384E-2</v>
      </c>
      <c r="N72" s="1286">
        <f t="shared" si="25"/>
        <v>0</v>
      </c>
      <c r="O72" s="1286">
        <f t="shared" si="26"/>
        <v>0</v>
      </c>
      <c r="P72" s="1286">
        <f t="shared" si="27"/>
        <v>0</v>
      </c>
    </row>
    <row r="73" spans="1:16" ht="12" customHeight="1">
      <c r="A73" s="10">
        <v>1915</v>
      </c>
      <c r="B73" s="1287">
        <f>DataUK3!CQ73/DataUK1!B73</f>
        <v>8.1196581196581186E-2</v>
      </c>
      <c r="C73" s="1252">
        <f>DataUK3!CR73/DataUK1!B73</f>
        <v>3.4188034188034191E-2</v>
      </c>
      <c r="D73" s="1271">
        <f>DataUK3!CT73/DataUK1!B73</f>
        <v>2.0068376068376071E-2</v>
      </c>
      <c r="E73" s="1252">
        <f>DataUK3!CS73/DataUK1!B73</f>
        <v>2.694017094017093E-2</v>
      </c>
      <c r="F73" s="1257">
        <f>DataUK3!CU73/DataUK1!B73</f>
        <v>8.1196581196581186E-2</v>
      </c>
      <c r="G73" s="1256">
        <f>DataUK3!CW73/DataUK1!B73</f>
        <v>6.4649572649572648E-2</v>
      </c>
      <c r="H73" s="1252">
        <f>DataUK3!CV73/DataUK1!B73</f>
        <v>1.1555555555555555E-2</v>
      </c>
      <c r="I73" s="1256">
        <f>DataUK3!CY73/DataUK1!B73</f>
        <v>4.9914529914529913E-3</v>
      </c>
      <c r="J73" s="1365">
        <f>C73/TableUK5c!O70</f>
        <v>5.9669431350319241E-2</v>
      </c>
      <c r="N73" s="1286">
        <f t="shared" si="25"/>
        <v>0</v>
      </c>
      <c r="O73" s="1286">
        <f t="shared" si="26"/>
        <v>0</v>
      </c>
      <c r="P73" s="1286">
        <f t="shared" si="27"/>
        <v>-8.6736173798840355E-18</v>
      </c>
    </row>
    <row r="74" spans="1:16" ht="12" customHeight="1">
      <c r="A74" s="10">
        <v>1916</v>
      </c>
      <c r="B74" s="1287">
        <f>DataUK3!CQ74/DataUK1!B74</f>
        <v>5.7211132977227998E-2</v>
      </c>
      <c r="C74" s="1252">
        <f>DataUK3!CR74/DataUK1!B74</f>
        <v>2.8113578858588697E-2</v>
      </c>
      <c r="D74" s="1271">
        <f>DataUK3!CT74/DataUK1!B74</f>
        <v>1.5462468372223785E-2</v>
      </c>
      <c r="E74" s="1252">
        <f>DataUK3!CS74/DataUK1!B74</f>
        <v>1.3635085746415518E-2</v>
      </c>
      <c r="F74" s="1257">
        <f>DataUK3!CU74/DataUK1!B74</f>
        <v>5.7211132977227998E-2</v>
      </c>
      <c r="G74" s="1256">
        <f>DataUK3!CW74/DataUK1!B74</f>
        <v>4.3126229969075065E-2</v>
      </c>
      <c r="H74" s="1252">
        <f>DataUK3!CV74/DataUK1!B74</f>
        <v>9.9803204947989874E-3</v>
      </c>
      <c r="I74" s="1256">
        <f>DataUK3!CY74/DataUK1!B74</f>
        <v>4.1045825133539495E-3</v>
      </c>
      <c r="J74" s="1365">
        <f>C74/TableUK5c!O71</f>
        <v>3.1982601464803147E-2</v>
      </c>
      <c r="N74" s="1286">
        <f t="shared" si="25"/>
        <v>0</v>
      </c>
      <c r="O74" s="1286">
        <f t="shared" si="26"/>
        <v>0</v>
      </c>
      <c r="P74" s="1286">
        <f t="shared" si="27"/>
        <v>0</v>
      </c>
    </row>
    <row r="75" spans="1:16" ht="12" customHeight="1">
      <c r="A75" s="10">
        <v>1917</v>
      </c>
      <c r="B75" s="1287">
        <f>DataUK3!CQ75/DataUK1!B75</f>
        <v>5.5981778949892105E-2</v>
      </c>
      <c r="C75" s="1252">
        <f>DataUK3!CR75/DataUK1!B75</f>
        <v>2.3975065931431311E-2</v>
      </c>
      <c r="D75" s="1271">
        <f>DataUK3!CT75/DataUK1!B75</f>
        <v>1.2754735075521459E-2</v>
      </c>
      <c r="E75" s="1252">
        <f>DataUK3!CS75/DataUK1!B75</f>
        <v>1.9251977942939334E-2</v>
      </c>
      <c r="F75" s="1257">
        <f>DataUK3!CU75/DataUK1!B75</f>
        <v>5.5981778949892105E-2</v>
      </c>
      <c r="G75" s="1256">
        <f>DataUK3!CW75/DataUK1!B75</f>
        <v>4.2843442819467753E-2</v>
      </c>
      <c r="H75" s="1252">
        <f>DataUK3!CV75/DataUK1!B75</f>
        <v>9.637976504435387E-3</v>
      </c>
      <c r="I75" s="1256">
        <f>DataUK3!CY75/DataUK1!B75</f>
        <v>3.5003596259889714E-3</v>
      </c>
      <c r="J75" s="1365">
        <f>C75/TableUK5c!O72</f>
        <v>2.0030646889741301E-2</v>
      </c>
      <c r="N75" s="1286">
        <f t="shared" si="25"/>
        <v>0</v>
      </c>
      <c r="O75" s="1286">
        <f t="shared" si="26"/>
        <v>0</v>
      </c>
      <c r="P75" s="1286">
        <f t="shared" si="27"/>
        <v>-6.0715321659188248E-18</v>
      </c>
    </row>
    <row r="76" spans="1:16" ht="12" customHeight="1">
      <c r="A76" s="10">
        <v>1918</v>
      </c>
      <c r="B76" s="1287">
        <f>DataUK3!CQ76/DataUK1!B76</f>
        <v>5.0240233966993939E-2</v>
      </c>
      <c r="C76" s="1252">
        <f>DataUK3!CR76/DataUK1!B76</f>
        <v>2.0889910173386254E-2</v>
      </c>
      <c r="D76" s="1271">
        <f>DataUK3!CT76/DataUK1!B76</f>
        <v>1.3703781073741381E-2</v>
      </c>
      <c r="E76" s="1252">
        <f>DataUK3!CS76/DataUK1!B76</f>
        <v>1.5646542719866301E-2</v>
      </c>
      <c r="F76" s="1257">
        <f>DataUK3!CU76/DataUK1!B76</f>
        <v>5.0240233966993939E-2</v>
      </c>
      <c r="G76" s="1256">
        <f>DataUK3!CW76/DataUK1!B76</f>
        <v>3.5742636306663883E-2</v>
      </c>
      <c r="H76" s="1252">
        <f>DataUK3!CV76/DataUK1!B76</f>
        <v>1.1447670775015666E-2</v>
      </c>
      <c r="I76" s="1256">
        <f>DataUK3!CY76/DataUK1!B76</f>
        <v>3.0499268853143931E-3</v>
      </c>
      <c r="J76" s="1365">
        <f>C76/TableUK5c!O73</f>
        <v>1.4922923102177254E-2</v>
      </c>
      <c r="N76" s="1286">
        <f t="shared" si="25"/>
        <v>0</v>
      </c>
      <c r="O76" s="1286">
        <f t="shared" si="26"/>
        <v>0</v>
      </c>
      <c r="P76" s="1286">
        <f t="shared" si="27"/>
        <v>-3.903127820947816E-18</v>
      </c>
    </row>
    <row r="77" spans="1:16" ht="12" customHeight="1">
      <c r="A77" s="893">
        <v>1919</v>
      </c>
      <c r="B77" s="1288">
        <f>DataUK3!CQ77/DataUK1!B77</f>
        <v>4.6041909196740394E-2</v>
      </c>
      <c r="C77" s="1253">
        <f>DataUK3!CR77/DataUK1!B77</f>
        <v>1.9402405898331393E-2</v>
      </c>
      <c r="D77" s="1258">
        <f>DataUK3!CT77/DataUK1!B77</f>
        <v>1.645324020178502E-2</v>
      </c>
      <c r="E77" s="1253">
        <f>DataUK3!CS77/DataUK1!B77</f>
        <v>1.0186263096623979E-2</v>
      </c>
      <c r="F77" s="1259">
        <f>DataUK3!CU77/DataUK1!B77</f>
        <v>4.6041909196740394E-2</v>
      </c>
      <c r="G77" s="1258">
        <f>DataUK3!CW77/DataUK1!B77</f>
        <v>2.8075281334885523E-2</v>
      </c>
      <c r="H77" s="1253">
        <f>DataUK3!CV77/DataUK1!B77</f>
        <v>1.5133876600698487E-2</v>
      </c>
      <c r="I77" s="1258">
        <f>DataUK3!CY77/DataUK1!B77</f>
        <v>2.8327512611563835E-3</v>
      </c>
      <c r="J77" s="1366">
        <f>C77/TableUK5c!O74</f>
        <v>1.3023631379137444E-2</v>
      </c>
      <c r="N77" s="1286">
        <f t="shared" si="25"/>
        <v>0</v>
      </c>
      <c r="O77" s="1286">
        <f t="shared" si="26"/>
        <v>0</v>
      </c>
      <c r="P77" s="1286">
        <f t="shared" si="27"/>
        <v>0</v>
      </c>
    </row>
    <row r="78" spans="1:16" ht="12" customHeight="1">
      <c r="A78" s="10">
        <v>1920</v>
      </c>
      <c r="B78" s="1287">
        <f>DataUK3!CQ79/DataUK1!B79</f>
        <v>5.0028587764436819E-2</v>
      </c>
      <c r="C78" s="1252">
        <f>DataUK3!CR79/DataUK1!B79</f>
        <v>1.905850962454736E-2</v>
      </c>
      <c r="D78" s="1256">
        <f>DataUK3!CT79/DataUK1!B79</f>
        <v>2.2088812654850392E-2</v>
      </c>
      <c r="E78" s="1252">
        <f>DataUK3!CS79/DataUK1!B79</f>
        <v>8.881265485039069E-3</v>
      </c>
      <c r="F78" s="1257">
        <f>DataUK3!CU79/DataUK1!B79</f>
        <v>5.0028587764436819E-2</v>
      </c>
      <c r="G78" s="1256">
        <f>DataUK3!CW79/DataUK1!B79</f>
        <v>2.7653897465218218E-2</v>
      </c>
      <c r="H78" s="1256">
        <f>DataUK3!CV79/DataUK1!B79</f>
        <v>1.9592147894034687E-2</v>
      </c>
      <c r="I78" s="1256">
        <f>DataUK3!CY79/DataUK1!B79</f>
        <v>2.7825424051839145E-3</v>
      </c>
      <c r="J78" s="1365">
        <f>C78/TableUK5c!O75</f>
        <v>1.3327319537176942E-2</v>
      </c>
      <c r="N78" s="1286">
        <f t="shared" si="25"/>
        <v>0</v>
      </c>
      <c r="O78" s="1286">
        <f t="shared" si="26"/>
        <v>0</v>
      </c>
      <c r="P78" s="1286">
        <f t="shared" si="27"/>
        <v>0</v>
      </c>
    </row>
    <row r="79" spans="1:16" ht="12" customHeight="1">
      <c r="A79" s="10">
        <v>1921</v>
      </c>
      <c r="B79" s="1287">
        <f>DataUK3!CQ80/DataUK1!B80</f>
        <v>6.0962566844919783E-2</v>
      </c>
      <c r="C79" s="1256">
        <f>DataUK3!CR80/DataUK1!B80</f>
        <v>2.1122994652406416E-2</v>
      </c>
      <c r="D79" s="1256">
        <f>DataUK3!CT80/DataUK1!B80</f>
        <v>2.9435015112764473E-2</v>
      </c>
      <c r="E79" s="1256">
        <f>DataUK3!CS80/DataUK1!B80</f>
        <v>1.0404557079748895E-2</v>
      </c>
      <c r="F79" s="1257">
        <f>DataUK3!CU80/DataUK1!B80</f>
        <v>6.0962566844919783E-2</v>
      </c>
      <c r="G79" s="1256">
        <f>DataUK3!CW80/DataUK1!B80</f>
        <v>3.2480818414322245E-2</v>
      </c>
      <c r="H79" s="1256">
        <f>DataUK3!CV80/DataUK1!B80</f>
        <v>2.5087189025807952E-2</v>
      </c>
      <c r="I79" s="1256">
        <f>DataUK3!CY80/DataUK1!B80</f>
        <v>3.3945594047895839E-3</v>
      </c>
      <c r="J79" s="1365">
        <f>C79/TableUK5c!O76</f>
        <v>1.4446720840112681E-2</v>
      </c>
      <c r="N79" s="1286">
        <f t="shared" si="25"/>
        <v>0</v>
      </c>
      <c r="O79" s="1286">
        <f t="shared" si="26"/>
        <v>0</v>
      </c>
      <c r="P79" s="1286">
        <f t="shared" si="27"/>
        <v>0</v>
      </c>
    </row>
    <row r="80" spans="1:16" ht="12" customHeight="1">
      <c r="A80" s="10">
        <v>1922</v>
      </c>
      <c r="B80" s="1287">
        <f>DataUK3!CQ81/DataUK1!B81</f>
        <v>6.1515892420537899E-2</v>
      </c>
      <c r="C80" s="1256">
        <f>DataUK3!CR81/DataUK1!B81</f>
        <v>1.5378973105134476E-2</v>
      </c>
      <c r="D80" s="1256">
        <f>DataUK3!CT81/DataUK1!B81</f>
        <v>3.0880195599022005E-2</v>
      </c>
      <c r="E80" s="1256">
        <f>DataUK3!CS81/DataUK1!B81</f>
        <v>1.5256723716381416E-2</v>
      </c>
      <c r="F80" s="1257">
        <f>DataUK3!CU81/DataUK1!B81</f>
        <v>6.1515892420537899E-2</v>
      </c>
      <c r="G80" s="1256">
        <f>DataUK3!CW81/DataUK1!B81</f>
        <v>3.2860635696821516E-2</v>
      </c>
      <c r="H80" s="1256">
        <f>DataUK3!CV81/DataUK1!B81</f>
        <v>2.5085574572127137E-2</v>
      </c>
      <c r="I80" s="1256">
        <f>DataUK3!CY81/DataUK1!B81</f>
        <v>3.5696821515892418E-3</v>
      </c>
      <c r="J80" s="1365">
        <f>C80/TableUK5c!O77</f>
        <v>8.5166468155337162E-3</v>
      </c>
      <c r="N80" s="1286">
        <f t="shared" si="25"/>
        <v>0</v>
      </c>
      <c r="O80" s="1286">
        <f t="shared" si="26"/>
        <v>0</v>
      </c>
      <c r="P80" s="1286">
        <f t="shared" si="27"/>
        <v>3.903127820947816E-18</v>
      </c>
    </row>
    <row r="81" spans="1:16" ht="12" customHeight="1">
      <c r="A81" s="10">
        <v>1923</v>
      </c>
      <c r="B81" s="1287">
        <f>DataUK3!CQ82/DataUK1!B82</f>
        <v>5.9762435040831487E-2</v>
      </c>
      <c r="C81" s="1256">
        <f>DataUK3!CR82/DataUK1!B82</f>
        <v>1.7297698589458059E-2</v>
      </c>
      <c r="D81" s="1256">
        <f>DataUK3!CT82/DataUK1!B82</f>
        <v>3.1130908191041824E-2</v>
      </c>
      <c r="E81" s="1256">
        <f>DataUK3!CS82/DataUK1!B82</f>
        <v>1.1333828260331602E-2</v>
      </c>
      <c r="F81" s="1257">
        <f>DataUK3!CU82/DataUK1!B82</f>
        <v>5.9762435040831487E-2</v>
      </c>
      <c r="G81" s="1256">
        <f>DataUK3!CW82/DataUK1!B82</f>
        <v>3.0932937391734722E-2</v>
      </c>
      <c r="H81" s="1256">
        <f>DataUK3!CV82/DataUK1!B82</f>
        <v>2.5216530561742147E-2</v>
      </c>
      <c r="I81" s="1256">
        <f>DataUK3!CY82/DataUK1!B82</f>
        <v>3.6129670873546156E-3</v>
      </c>
      <c r="J81" s="1365">
        <f>C81/TableUK5c!O78</f>
        <v>9.1168983744799922E-3</v>
      </c>
      <c r="N81" s="1286">
        <f t="shared" si="25"/>
        <v>0</v>
      </c>
      <c r="O81" s="1286">
        <f t="shared" si="26"/>
        <v>0</v>
      </c>
      <c r="P81" s="1286">
        <f t="shared" si="27"/>
        <v>0</v>
      </c>
    </row>
    <row r="82" spans="1:16" ht="12" customHeight="1">
      <c r="A82" s="10">
        <v>1924</v>
      </c>
      <c r="B82" s="1287">
        <f>DataUK3!CQ83/DataUK1!B83</f>
        <v>5.8934169278996869E-2</v>
      </c>
      <c r="C82" s="1256">
        <f>DataUK3!CR83/DataUK1!B83</f>
        <v>1.9013744875813841E-2</v>
      </c>
      <c r="D82" s="1256">
        <f>DataUK3!CT83/DataUK1!B83</f>
        <v>3.0479864962623584E-2</v>
      </c>
      <c r="E82" s="1256">
        <f>DataUK3!CS83/DataUK1!B83</f>
        <v>9.4405594405594425E-3</v>
      </c>
      <c r="F82" s="1257">
        <f>DataUK3!CU83/DataUK1!B83</f>
        <v>5.8934169278996869E-2</v>
      </c>
      <c r="G82" s="1256">
        <f>DataUK3!CW83/DataUK1!B83</f>
        <v>3.0648661683144441E-2</v>
      </c>
      <c r="H82" s="1256">
        <f>DataUK3!CV83/DataUK1!B83</f>
        <v>2.4764890282131663E-2</v>
      </c>
      <c r="I82" s="1256">
        <f>DataUK3!CY83/DataUK1!B83</f>
        <v>3.5206173137207618E-3</v>
      </c>
      <c r="J82" s="1365">
        <f>C82/TableUK5c!O79</f>
        <v>9.995777517421485E-3</v>
      </c>
      <c r="N82" s="1286">
        <f t="shared" si="25"/>
        <v>0</v>
      </c>
      <c r="O82" s="1286">
        <f t="shared" si="26"/>
        <v>0</v>
      </c>
      <c r="P82" s="1286">
        <f t="shared" si="27"/>
        <v>0</v>
      </c>
    </row>
    <row r="83" spans="1:16" ht="12" customHeight="1">
      <c r="A83" s="10">
        <v>1925</v>
      </c>
      <c r="B83" s="1287">
        <f>DataUK3!CQ84/DataUK1!B84</f>
        <v>5.4907036949870557E-2</v>
      </c>
      <c r="C83" s="1256">
        <f>DataUK3!CR84/DataUK1!B84</f>
        <v>1.6474464579901153E-2</v>
      </c>
      <c r="D83" s="1256">
        <f>DataUK3!CT84/DataUK1!B84</f>
        <v>3.4266886326194394E-2</v>
      </c>
      <c r="E83" s="1256">
        <f>DataUK3!CS84/DataUK1!B84</f>
        <v>4.1656860437750036E-3</v>
      </c>
      <c r="F83" s="1257">
        <f>DataUK3!CU84/DataUK1!B84</f>
        <v>5.4907036949870557E-2</v>
      </c>
      <c r="G83" s="1256">
        <f>DataUK3!CW84/DataUK1!B84</f>
        <v>2.9865850788420807E-2</v>
      </c>
      <c r="H83" s="1256">
        <f>DataUK3!CV84/DataUK1!B84</f>
        <v>2.160508354907037E-2</v>
      </c>
      <c r="I83" s="1256">
        <f>DataUK3!CY84/DataUK1!B84</f>
        <v>3.4361026123793832E-3</v>
      </c>
      <c r="J83" s="1365">
        <f>C83/TableUK5c!O80</f>
        <v>8.9309007572551027E-3</v>
      </c>
      <c r="N83" s="1286">
        <f t="shared" si="25"/>
        <v>0</v>
      </c>
      <c r="O83" s="1286">
        <f t="shared" si="26"/>
        <v>0</v>
      </c>
      <c r="P83" s="1286">
        <f t="shared" si="27"/>
        <v>-3.4694469519536142E-18</v>
      </c>
    </row>
    <row r="84" spans="1:16" ht="12" customHeight="1">
      <c r="A84" s="10">
        <v>1926</v>
      </c>
      <c r="B84" s="1287">
        <f>DataUK3!CQ85/DataUK1!B85</f>
        <v>5.3816425120772941E-2</v>
      </c>
      <c r="C84" s="1256">
        <f>DataUK3!CR85/DataUK1!B85</f>
        <v>1.2077294685990338E-2</v>
      </c>
      <c r="D84" s="1256">
        <f>DataUK3!CT85/DataUK1!B85</f>
        <v>3.5893719806763286E-2</v>
      </c>
      <c r="E84" s="1256">
        <f>DataUK3!CS85/DataUK1!B85</f>
        <v>5.8454106280193211E-3</v>
      </c>
      <c r="F84" s="1257">
        <f>DataUK3!CU85/DataUK1!B85</f>
        <v>5.3816425120772941E-2</v>
      </c>
      <c r="G84" s="1256">
        <f>DataUK3!CW85/DataUK1!B85</f>
        <v>2.9879227053140098E-2</v>
      </c>
      <c r="H84" s="1256">
        <f>DataUK3!CV85/DataUK1!B85</f>
        <v>2.0410628019323671E-2</v>
      </c>
      <c r="I84" s="1256">
        <f>DataUK3!CY85/DataUK1!B85</f>
        <v>3.5265700483091788E-3</v>
      </c>
      <c r="J84" s="1365">
        <f>C84/TableUK5c!O81</f>
        <v>6.7139974252633646E-3</v>
      </c>
      <c r="N84" s="1286">
        <f t="shared" si="25"/>
        <v>0</v>
      </c>
      <c r="O84" s="1286">
        <f t="shared" si="26"/>
        <v>0</v>
      </c>
      <c r="P84" s="1286">
        <f t="shared" si="27"/>
        <v>-6.5052130349130266E-18</v>
      </c>
    </row>
    <row r="85" spans="1:16" ht="12" customHeight="1">
      <c r="A85" s="10">
        <v>1927</v>
      </c>
      <c r="B85" s="1287">
        <f>DataUK3!CQ86/DataUK1!B86</f>
        <v>4.84212900315742E-2</v>
      </c>
      <c r="C85" s="1256">
        <f>DataUK3!CR86/DataUK1!B86</f>
        <v>1.1276499774470004E-2</v>
      </c>
      <c r="D85" s="1256">
        <f>DataUK3!CT86/DataUK1!B86</f>
        <v>3.3852052322958952E-2</v>
      </c>
      <c r="E85" s="1256">
        <f>DataUK3!CS86/DataUK1!B86</f>
        <v>3.2927379341452464E-3</v>
      </c>
      <c r="F85" s="1257">
        <f>DataUK3!CU86/DataUK1!B86</f>
        <v>4.84212900315742E-2</v>
      </c>
      <c r="G85" s="1256">
        <f>DataUK3!CW86/DataUK1!B86</f>
        <v>2.6928281461434372E-2</v>
      </c>
      <c r="H85" s="1256">
        <f>DataUK3!CV86/DataUK1!B86</f>
        <v>1.8200270635994588E-2</v>
      </c>
      <c r="I85" s="1256">
        <f>DataUK3!CY86/DataUK1!B86</f>
        <v>3.2927379341452412E-3</v>
      </c>
      <c r="J85" s="1365">
        <f>C85/TableUK5c!O82</f>
        <v>6.1090847198395437E-3</v>
      </c>
      <c r="N85" s="1286">
        <f t="shared" si="25"/>
        <v>0</v>
      </c>
      <c r="O85" s="1286">
        <f t="shared" si="26"/>
        <v>0</v>
      </c>
      <c r="P85" s="1286">
        <f t="shared" si="27"/>
        <v>0</v>
      </c>
    </row>
    <row r="86" spans="1:16" ht="12" customHeight="1">
      <c r="A86" s="10">
        <v>1928</v>
      </c>
      <c r="B86" s="1287">
        <f>DataUK3!CQ87/DataUK1!B87</f>
        <v>4.714828897338403E-2</v>
      </c>
      <c r="C86" s="1256">
        <f>DataUK3!CR87/DataUK1!B87</f>
        <v>8.9465443972265718E-3</v>
      </c>
      <c r="D86" s="1256">
        <f>DataUK3!CT87/DataUK1!B87</f>
        <v>3.636770297472601E-2</v>
      </c>
      <c r="E86" s="1256">
        <f>DataUK3!CS87/DataUK1!B87</f>
        <v>1.8340416014314446E-3</v>
      </c>
      <c r="F86" s="1257">
        <f>DataUK3!CU87/DataUK1!B87</f>
        <v>4.714828897338403E-2</v>
      </c>
      <c r="G86" s="1256">
        <f>DataUK3!CW87/DataUK1!B87</f>
        <v>2.6258107805859989E-2</v>
      </c>
      <c r="H86" s="1256">
        <f>DataUK3!CV87/DataUK1!B87</f>
        <v>1.7624692462536343E-2</v>
      </c>
      <c r="I86" s="1256">
        <f>DataUK3!CY87/DataUK1!B87</f>
        <v>3.2654887049876984E-3</v>
      </c>
      <c r="J86" s="1365">
        <f>C86/TableUK5c!O83</f>
        <v>5.2018408011202041E-3</v>
      </c>
      <c r="N86" s="1286">
        <f t="shared" si="25"/>
        <v>0</v>
      </c>
      <c r="O86" s="1286">
        <f t="shared" si="26"/>
        <v>3.2526065174565133E-18</v>
      </c>
      <c r="P86" s="1286">
        <f t="shared" si="27"/>
        <v>0</v>
      </c>
    </row>
    <row r="87" spans="1:16" ht="12" customHeight="1">
      <c r="A87" s="893">
        <v>1929</v>
      </c>
      <c r="B87" s="1288">
        <f>DataUK3!CQ88/DataUK1!B88</f>
        <v>0.10862259562237454</v>
      </c>
      <c r="C87" s="1258">
        <f>DataUK3!CR88/DataUK1!B88</f>
        <v>6.7919522440857832E-2</v>
      </c>
      <c r="D87" s="1258">
        <f>DataUK3!CT88/DataUK1!B88</f>
        <v>3.2478443510944068E-2</v>
      </c>
      <c r="E87" s="1258">
        <f>DataUK3!CS88/DataUK1!B88</f>
        <v>8.2246296705726449E-3</v>
      </c>
      <c r="F87" s="1259">
        <f>DataUK3!CU88/DataUK1!B88</f>
        <v>0.10862259562237454</v>
      </c>
      <c r="G87" s="1258">
        <f>DataUK3!CW88/DataUK1!B88</f>
        <v>2.5292947158965289E-2</v>
      </c>
      <c r="H87" s="1258">
        <f>DataUK3!CV88/DataUK1!B88</f>
        <v>8.0101702409904926E-2</v>
      </c>
      <c r="I87" s="1258">
        <f>DataUK3!CY88/DataUK1!B88</f>
        <v>3.2279460535043114E-3</v>
      </c>
      <c r="J87" s="1366">
        <f>C87/TableUK5c!O84</f>
        <v>3.9911439739907788E-2</v>
      </c>
      <c r="N87" s="1286">
        <f t="shared" si="25"/>
        <v>0</v>
      </c>
      <c r="O87" s="1286">
        <f t="shared" si="26"/>
        <v>0</v>
      </c>
      <c r="P87" s="1286">
        <f t="shared" si="27"/>
        <v>2.3852447794681098E-17</v>
      </c>
    </row>
    <row r="88" spans="1:16" ht="12" customHeight="1">
      <c r="A88" s="10">
        <v>1930</v>
      </c>
      <c r="B88" s="1287">
        <f>DataUK3!CQ89/DataUK1!B89</f>
        <v>0.11350661406358785</v>
      </c>
      <c r="C88" s="1256">
        <f>DataUK3!CR89/DataUK1!B89</f>
        <v>7.5771640751914601E-2</v>
      </c>
      <c r="D88" s="1256">
        <f>DataUK3!CT89/DataUK1!B89</f>
        <v>3.5994430262241819E-2</v>
      </c>
      <c r="E88" s="1256">
        <f>DataUK3!CS89/DataUK1!B89</f>
        <v>1.7405430494314292E-3</v>
      </c>
      <c r="F88" s="1257">
        <f>DataUK3!CU89/DataUK1!B89</f>
        <v>0.11350661406358785</v>
      </c>
      <c r="G88" s="1256">
        <f>DataUK3!CW89/DataUK1!B89</f>
        <v>2.6897191923880251E-2</v>
      </c>
      <c r="H88" s="1256">
        <f>DataUK3!CV89/DataUK1!B89</f>
        <v>8.322116500348109E-2</v>
      </c>
      <c r="I88" s="1256">
        <f>DataUK3!CY89/DataUK1!B89</f>
        <v>3.3882571362265027E-3</v>
      </c>
      <c r="J88" s="1365">
        <f>C88/TableUK5c!O85</f>
        <v>4.515618595580894E-2</v>
      </c>
      <c r="N88" s="1286">
        <f t="shared" si="25"/>
        <v>0</v>
      </c>
      <c r="O88" s="1286">
        <f t="shared" si="26"/>
        <v>0</v>
      </c>
      <c r="P88" s="1286">
        <f t="shared" si="27"/>
        <v>5.2041704279304213E-18</v>
      </c>
    </row>
    <row r="89" spans="1:16" ht="12" customHeight="1">
      <c r="A89" s="10">
        <v>1931</v>
      </c>
      <c r="B89" s="1287">
        <f>DataUK3!CQ90/DataUK1!B90</f>
        <v>0.1203009373458313</v>
      </c>
      <c r="C89" s="1256">
        <f>DataUK3!CR90/DataUK1!B90</f>
        <v>8.0217069560927487E-2</v>
      </c>
      <c r="D89" s="1256">
        <f>DataUK3!CT90/DataUK1!B90</f>
        <v>3.44597927972373E-2</v>
      </c>
      <c r="E89" s="1256">
        <f>DataUK3!CS90/DataUK1!B90</f>
        <v>5.6240749876665195E-3</v>
      </c>
      <c r="F89" s="1257">
        <f>DataUK3!CU90/DataUK1!B90</f>
        <v>0.1203009373458313</v>
      </c>
      <c r="G89" s="1256">
        <f>DataUK3!CW90/DataUK1!B90</f>
        <v>2.9181055747409968E-2</v>
      </c>
      <c r="H89" s="1256">
        <f>DataUK3!CV90/DataUK1!B90</f>
        <v>8.7518500246669961E-2</v>
      </c>
      <c r="I89" s="1256">
        <f>DataUK3!CY90/DataUK1!B90</f>
        <v>3.6013813517513571E-3</v>
      </c>
      <c r="J89" s="1365">
        <f>C89/TableUK5c!O86</f>
        <v>4.5388697022242484E-2</v>
      </c>
      <c r="N89" s="1286">
        <f t="shared" si="25"/>
        <v>0</v>
      </c>
      <c r="O89" s="1286">
        <f t="shared" si="26"/>
        <v>0</v>
      </c>
      <c r="P89" s="1286">
        <f t="shared" si="27"/>
        <v>2.1684043449710089E-17</v>
      </c>
    </row>
    <row r="90" spans="1:16" ht="12" customHeight="1">
      <c r="A90" s="10">
        <v>1932</v>
      </c>
      <c r="B90" s="1287">
        <f>DataUK3!CQ91/DataUK1!B91</f>
        <v>0.12628557164253623</v>
      </c>
      <c r="C90" s="1256">
        <f>DataUK3!CR91/DataUK1!B91</f>
        <v>7.239141288067899E-2</v>
      </c>
      <c r="D90" s="1256">
        <f>DataUK3!CT91/DataUK1!B91</f>
        <v>3.2551173240139793E-2</v>
      </c>
      <c r="E90" s="1256">
        <f>DataUK3!CS91/DataUK1!B91</f>
        <v>2.1342985521717435E-2</v>
      </c>
      <c r="F90" s="1257">
        <f>DataUK3!CU91/DataUK1!B91</f>
        <v>0.12628557164253623</v>
      </c>
      <c r="G90" s="1256">
        <f>DataUK3!CW91/DataUK1!B91</f>
        <v>3.2900649026460317E-2</v>
      </c>
      <c r="H90" s="1256">
        <f>DataUK3!CV91/DataUK1!B91</f>
        <v>8.9740389415876198E-2</v>
      </c>
      <c r="I90" s="1256">
        <f>DataUK3!CY91/DataUK1!B91</f>
        <v>3.6445332001997007E-3</v>
      </c>
      <c r="J90" s="1365">
        <f>C90/TableUK5c!O87</f>
        <v>3.7848912194364419E-2</v>
      </c>
      <c r="N90" s="1286">
        <f t="shared" si="25"/>
        <v>0</v>
      </c>
      <c r="O90" s="1286">
        <f t="shared" si="26"/>
        <v>0</v>
      </c>
      <c r="P90" s="1286">
        <f t="shared" si="27"/>
        <v>2.2551405187698492E-17</v>
      </c>
    </row>
    <row r="91" spans="1:16" ht="12" customHeight="1">
      <c r="A91" s="10">
        <v>1933</v>
      </c>
      <c r="B91" s="1287">
        <f>DataUK3!CQ92/DataUK1!B92</f>
        <v>0.13001674240612293</v>
      </c>
      <c r="C91" s="1256">
        <f>DataUK3!CR92/DataUK1!B92</f>
        <v>7.1753169098301844E-2</v>
      </c>
      <c r="D91" s="1256">
        <f>DataUK3!CT92/DataUK1!B92</f>
        <v>4.2238698875867016E-2</v>
      </c>
      <c r="E91" s="1256">
        <f>DataUK3!CS92/DataUK1!B92</f>
        <v>1.6024874431954085E-2</v>
      </c>
      <c r="F91" s="1257">
        <f>DataUK3!CU92/DataUK1!B92</f>
        <v>0.13001674240612293</v>
      </c>
      <c r="G91" s="1256">
        <f>DataUK3!CW92/DataUK1!B92</f>
        <v>3.774216694570677E-2</v>
      </c>
      <c r="H91" s="1256">
        <f>DataUK3!CV92/DataUK1!B92</f>
        <v>8.8782587897632145E-2</v>
      </c>
      <c r="I91" s="1256">
        <f>DataUK3!CY92/DataUK1!B92</f>
        <v>3.4919875627840227E-3</v>
      </c>
      <c r="J91" s="1365">
        <f>C91/TableUK5c!O88</f>
        <v>3.6178903267795319E-2</v>
      </c>
      <c r="N91" s="1286">
        <f t="shared" si="25"/>
        <v>0</v>
      </c>
      <c r="O91" s="1286">
        <f t="shared" si="26"/>
        <v>0</v>
      </c>
      <c r="P91" s="1286">
        <f t="shared" si="27"/>
        <v>-6.9388939039072284E-18</v>
      </c>
    </row>
    <row r="92" spans="1:16" ht="12" customHeight="1">
      <c r="A92" s="10">
        <v>1934</v>
      </c>
      <c r="B92" s="1287">
        <f>DataUK3!CQ93/DataUK1!B93</f>
        <v>0.12408412483039349</v>
      </c>
      <c r="C92" s="1256">
        <f>DataUK3!CR93/DataUK1!B93</f>
        <v>6.7842605156037988E-2</v>
      </c>
      <c r="D92" s="1256">
        <f>DataUK3!CT93/DataUK1!B93</f>
        <v>4.3306196291270915E-2</v>
      </c>
      <c r="E92" s="1256">
        <f>DataUK3!CS93/DataUK1!B93</f>
        <v>1.2935323383084587E-2</v>
      </c>
      <c r="F92" s="1257">
        <f>DataUK3!CU93/DataUK1!B93</f>
        <v>0.12408412483039349</v>
      </c>
      <c r="G92" s="1256">
        <f>DataUK3!CW93/DataUK1!B93</f>
        <v>3.5187697874265039E-2</v>
      </c>
      <c r="H92" s="1256">
        <f>DataUK3!CV93/DataUK1!B93</f>
        <v>8.5594753505201265E-2</v>
      </c>
      <c r="I92" s="1256">
        <f>DataUK3!CY93/DataUK1!B93</f>
        <v>3.3016734509271821E-3</v>
      </c>
      <c r="J92" s="1365">
        <f>C92/TableUK5c!O89</f>
        <v>3.5605785820118856E-2</v>
      </c>
      <c r="N92" s="1286">
        <f t="shared" si="25"/>
        <v>0</v>
      </c>
      <c r="O92" s="1286">
        <f t="shared" si="26"/>
        <v>0</v>
      </c>
      <c r="P92" s="1286">
        <f t="shared" si="27"/>
        <v>7.3725747729014302E-18</v>
      </c>
    </row>
    <row r="93" spans="1:16" ht="12" customHeight="1">
      <c r="A93" s="10">
        <v>1935</v>
      </c>
      <c r="B93" s="1287">
        <f>DataUK3!CQ94/DataUK1!B94</f>
        <v>0.120925205361003</v>
      </c>
      <c r="C93" s="1256">
        <f>DataUK3!CR94/DataUK1!B94</f>
        <v>6.9174232598357102E-2</v>
      </c>
      <c r="D93" s="1256">
        <f>DataUK3!CT94/DataUK1!B94</f>
        <v>4.1872027669693029E-2</v>
      </c>
      <c r="E93" s="1256">
        <f>DataUK3!CS94/DataUK1!B94</f>
        <v>9.8789450929528712E-3</v>
      </c>
      <c r="F93" s="1257">
        <f>DataUK3!CU94/DataUK1!B94</f>
        <v>0.120925205361003</v>
      </c>
      <c r="G93" s="1256">
        <f>DataUK3!CW94/DataUK1!B94</f>
        <v>3.2447038478166879E-2</v>
      </c>
      <c r="H93" s="1256">
        <f>DataUK3!CV94/DataUK1!B94</f>
        <v>8.5322092520536075E-2</v>
      </c>
      <c r="I93" s="1256">
        <f>DataUK3!CY94/DataUK1!B94</f>
        <v>3.1560743623000424E-3</v>
      </c>
      <c r="J93" s="1365">
        <f>C93/TableUK5c!O90</f>
        <v>3.8710257725883969E-2</v>
      </c>
      <c r="N93" s="1286">
        <f t="shared" si="25"/>
        <v>0</v>
      </c>
      <c r="O93" s="1286">
        <f t="shared" si="26"/>
        <v>0</v>
      </c>
      <c r="P93" s="1286">
        <f t="shared" si="27"/>
        <v>3.4694469519536142E-18</v>
      </c>
    </row>
    <row r="94" spans="1:16" ht="12" customHeight="1">
      <c r="A94" s="10">
        <v>1936</v>
      </c>
      <c r="B94" s="1287">
        <f>DataUK3!CQ95/DataUK1!B95</f>
        <v>0.12031029619181947</v>
      </c>
      <c r="C94" s="1256">
        <f>DataUK3!CR95/DataUK1!B95</f>
        <v>6.5484585935925849E-2</v>
      </c>
      <c r="D94" s="1256">
        <f>DataUK3!CT95/DataUK1!B95</f>
        <v>4.5839210155148094E-2</v>
      </c>
      <c r="E94" s="1256">
        <f>DataUK3!CS95/DataUK1!B95</f>
        <v>8.986500100745521E-3</v>
      </c>
      <c r="F94" s="1257">
        <f>DataUK3!CU95/DataUK1!B95</f>
        <v>0.12031029619181947</v>
      </c>
      <c r="G94" s="1256">
        <f>DataUK3!CW95/DataUK1!B95</f>
        <v>3.04855933910941E-2</v>
      </c>
      <c r="H94" s="1256">
        <f>DataUK3!CV95/DataUK1!B95</f>
        <v>8.6882933709449925E-2</v>
      </c>
      <c r="I94" s="1256">
        <f>DataUK3!CY95/DataUK1!B95</f>
        <v>2.9417690912754381E-3</v>
      </c>
      <c r="J94" s="1365">
        <f>C94/TableUK5c!O91</f>
        <v>3.8317894512170637E-2</v>
      </c>
      <c r="N94" s="1286">
        <f t="shared" si="25"/>
        <v>0</v>
      </c>
      <c r="O94" s="1286">
        <f t="shared" si="26"/>
        <v>0</v>
      </c>
      <c r="P94" s="1286">
        <f t="shared" si="27"/>
        <v>1.8214596497756474E-17</v>
      </c>
    </row>
    <row r="95" spans="1:16" ht="12" customHeight="1">
      <c r="A95" s="10">
        <v>1937</v>
      </c>
      <c r="B95" s="1287">
        <f>DataUK3!CQ96/DataUK1!B96</f>
        <v>0.12451488952929876</v>
      </c>
      <c r="C95" s="1256">
        <f>DataUK3!CR96/DataUK1!B96</f>
        <v>6.2439961575408258E-2</v>
      </c>
      <c r="D95" s="1256">
        <f>DataUK3!CT96/DataUK1!B96</f>
        <v>6.174831892411143E-2</v>
      </c>
      <c r="E95" s="1256">
        <f>DataUK3!CS96/DataUK1!B96</f>
        <v>3.2660902977906734E-4</v>
      </c>
      <c r="F95" s="1257">
        <f>DataUK3!CU96/DataUK1!B96</f>
        <v>0.12451488952929876</v>
      </c>
      <c r="G95" s="1256">
        <f>DataUK3!CW96/DataUK1!B96</f>
        <v>2.9567723342939483E-2</v>
      </c>
      <c r="H95" s="1256">
        <f>DataUK3!CV96/DataUK1!B96</f>
        <v>9.2142170989433239E-2</v>
      </c>
      <c r="I95" s="1256">
        <f>DataUK3!CY96/DataUK1!B96</f>
        <v>2.8049951969260326E-3</v>
      </c>
      <c r="J95" s="1365">
        <f>C95/TableUK5c!O92</f>
        <v>3.8594116570717943E-2</v>
      </c>
      <c r="N95" s="1286">
        <f t="shared" si="25"/>
        <v>0</v>
      </c>
      <c r="O95" s="1286">
        <f t="shared" si="26"/>
        <v>6.2341624917916505E-18</v>
      </c>
      <c r="P95" s="1286">
        <f t="shared" si="27"/>
        <v>0</v>
      </c>
    </row>
    <row r="96" spans="1:16" ht="12" customHeight="1">
      <c r="A96" s="10">
        <v>1938</v>
      </c>
      <c r="B96" s="1287">
        <f>DataUK3!CQ97/DataUK1!B97</f>
        <v>0.12631880733944953</v>
      </c>
      <c r="C96" s="1256">
        <f>DataUK3!CR97/DataUK1!B97</f>
        <v>5.7339449541284407E-2</v>
      </c>
      <c r="D96" s="1256">
        <f>DataUK3!CT97/DataUK1!B97</f>
        <v>6.2385321100917428E-2</v>
      </c>
      <c r="E96" s="1256">
        <f>DataUK3!CS97/DataUK1!B97</f>
        <v>6.5940366972477068E-3</v>
      </c>
      <c r="F96" s="1257">
        <f>DataUK3!CU97/DataUK1!B97</f>
        <v>0.12631880733944953</v>
      </c>
      <c r="G96" s="1256">
        <f>DataUK3!CW97/DataUK1!B97</f>
        <v>3.0714831804281344E-2</v>
      </c>
      <c r="H96" s="1256">
        <f>DataUK3!CV97/DataUK1!B97</f>
        <v>9.2813455657492355E-2</v>
      </c>
      <c r="I96" s="1256">
        <f>DataUK3!CY97/DataUK1!B97</f>
        <v>2.7905198776758408E-3</v>
      </c>
      <c r="J96" s="1365">
        <f>C96/TableUK5c!O93</f>
        <v>3.6285716787422005E-2</v>
      </c>
      <c r="N96" s="1286">
        <f t="shared" si="25"/>
        <v>0</v>
      </c>
      <c r="O96" s="1286">
        <f t="shared" si="26"/>
        <v>-1.214306433183765E-17</v>
      </c>
      <c r="P96" s="1286">
        <f t="shared" si="27"/>
        <v>-1.474514954580286E-17</v>
      </c>
    </row>
    <row r="97" spans="1:16" ht="12" customHeight="1">
      <c r="A97" s="893">
        <v>1939</v>
      </c>
      <c r="B97" s="1288">
        <f>DataUK3!CQ98/DataUK1!B98</f>
        <v>0.11908742598397774</v>
      </c>
      <c r="C97" s="1258">
        <f>DataUK3!CR98/DataUK1!B98</f>
        <v>6.9662138627655884E-2</v>
      </c>
      <c r="D97" s="1258">
        <f>DataUK3!CT98/DataUK1!B98</f>
        <v>3.6833855799373046E-2</v>
      </c>
      <c r="E97" s="1258">
        <f>DataUK3!CS98/DataUK1!B98</f>
        <v>1.2591431556948812E-2</v>
      </c>
      <c r="F97" s="1259">
        <f>DataUK3!CU98/DataUK1!B98</f>
        <v>0.11908742598397774</v>
      </c>
      <c r="G97" s="1258">
        <f>DataUK3!CW98/DataUK1!B98</f>
        <v>2.819575060954372E-2</v>
      </c>
      <c r="H97" s="1258">
        <f>DataUK3!CV98/DataUK1!B98</f>
        <v>8.8349007314524566E-2</v>
      </c>
      <c r="I97" s="1258">
        <f>DataUK3!CY98/DataUK1!B98</f>
        <v>2.5426680599094395E-3</v>
      </c>
      <c r="J97" s="1366">
        <f>C97/TableUK5c!O94</f>
        <v>4.193120336164189E-2</v>
      </c>
      <c r="N97" s="1286">
        <f t="shared" si="25"/>
        <v>0</v>
      </c>
      <c r="O97" s="1286">
        <f t="shared" si="26"/>
        <v>0</v>
      </c>
      <c r="P97" s="1286">
        <f t="shared" si="27"/>
        <v>1.0842021724855044E-17</v>
      </c>
    </row>
    <row r="98" spans="1:16" ht="12" customHeight="1">
      <c r="A98" s="10">
        <v>1940</v>
      </c>
      <c r="B98" s="1287">
        <f>DataUK3!CQ99/DataUK1!B99</f>
        <v>0.11340070298769772</v>
      </c>
      <c r="C98" s="1256">
        <f>DataUK3!CR99/DataUK1!B99</f>
        <v>8.5432532708455383E-2</v>
      </c>
      <c r="D98" s="1256">
        <f>DataUK3!CT99/DataUK1!B99</f>
        <v>0</v>
      </c>
      <c r="E98" s="1256">
        <f>DataUK3!CS99/DataUK1!B99</f>
        <v>2.7968170279242342E-2</v>
      </c>
      <c r="F98" s="1257">
        <f>DataUK3!CU99/DataUK1!B99</f>
        <v>0.11340070298769772</v>
      </c>
      <c r="G98" s="1256">
        <f>DataUK3!CW99/DataUK1!B99</f>
        <v>2.7094317516110134E-2</v>
      </c>
      <c r="H98" s="1256">
        <f>DataUK3!CV99/DataUK1!B99</f>
        <v>8.4168131224370252E-2</v>
      </c>
      <c r="I98" s="1256">
        <f>DataUK3!CY99/DataUK1!B99</f>
        <v>2.1382542472173404E-3</v>
      </c>
      <c r="J98" s="1365">
        <f>C98/TableUK5c!O95</f>
        <v>4.7543708082705451E-2</v>
      </c>
      <c r="N98" s="1286">
        <f t="shared" si="25"/>
        <v>0</v>
      </c>
      <c r="O98" s="1286">
        <f t="shared" si="26"/>
        <v>0</v>
      </c>
      <c r="P98" s="1286">
        <f t="shared" si="27"/>
        <v>-4.3368086899420177E-18</v>
      </c>
    </row>
    <row r="99" spans="1:16" ht="12" customHeight="1">
      <c r="A99" s="10">
        <v>1941</v>
      </c>
      <c r="B99" s="1287">
        <f>DataUK3!CQ100/DataUK1!B100</f>
        <v>0.10830808080808081</v>
      </c>
      <c r="C99" s="1256">
        <f>DataUK3!CR100/DataUK1!B100</f>
        <v>9.6801346801346805E-2</v>
      </c>
      <c r="D99" s="1256">
        <f>DataUK3!CT100/DataUK1!B100</f>
        <v>0</v>
      </c>
      <c r="E99" s="1256">
        <f>DataUK3!CS100/DataUK1!B100</f>
        <v>1.1506734006734005E-2</v>
      </c>
      <c r="F99" s="1257">
        <f>DataUK3!CU100/DataUK1!B100</f>
        <v>0.10830808080808081</v>
      </c>
      <c r="G99" s="1256">
        <f>DataUK3!CW100/DataUK1!B100</f>
        <v>2.4255050505050505E-2</v>
      </c>
      <c r="H99" s="1256">
        <f>DataUK3!CV100/DataUK1!B100</f>
        <v>8.2209595959595969E-2</v>
      </c>
      <c r="I99" s="1256">
        <f>DataUK3!CY100/DataUK1!B100</f>
        <v>1.8434343434343434E-3</v>
      </c>
      <c r="J99" s="1365">
        <f>C99/TableUK5c!O96</f>
        <v>5.1278916634438572E-2</v>
      </c>
      <c r="N99" s="1286">
        <f t="shared" si="25"/>
        <v>0</v>
      </c>
      <c r="O99" s="1286">
        <f t="shared" si="26"/>
        <v>0</v>
      </c>
      <c r="P99" s="1286">
        <f t="shared" si="27"/>
        <v>-1.951563910473908E-18</v>
      </c>
    </row>
    <row r="100" spans="1:16" ht="12" customHeight="1">
      <c r="A100" s="10">
        <v>1942</v>
      </c>
      <c r="B100" s="1287">
        <f>DataUK3!CQ101/DataUK1!B101</f>
        <v>0.11728735632183908</v>
      </c>
      <c r="C100" s="1256">
        <f>DataUK3!CR101/DataUK1!B101</f>
        <v>0.10919540229885059</v>
      </c>
      <c r="D100" s="1256">
        <f>DataUK3!CT101/DataUK1!B101</f>
        <v>0</v>
      </c>
      <c r="E100" s="1256">
        <f>DataUK3!CS101/DataUK1!B101</f>
        <v>8.0919540229884897E-3</v>
      </c>
      <c r="F100" s="1257">
        <f>DataUK3!CU101/DataUK1!B101</f>
        <v>0.11728735632183908</v>
      </c>
      <c r="G100" s="1256">
        <f>DataUK3!CW101/DataUK1!B101</f>
        <v>2.2701149425287358E-2</v>
      </c>
      <c r="H100" s="1256">
        <f>DataUK3!CV101/DataUK1!B101</f>
        <v>9.2908045977011494E-2</v>
      </c>
      <c r="I100" s="1256">
        <f>DataUK3!CY101/DataUK1!B101</f>
        <v>1.6781609195402299E-3</v>
      </c>
      <c r="J100" s="1365">
        <f>C100/TableUK5c!O97</f>
        <v>5.5380155620887071E-2</v>
      </c>
      <c r="N100" s="1286">
        <f t="shared" si="25"/>
        <v>0</v>
      </c>
      <c r="O100" s="1286">
        <f t="shared" si="26"/>
        <v>0</v>
      </c>
      <c r="P100" s="1286">
        <f t="shared" si="27"/>
        <v>3.6862873864507151E-18</v>
      </c>
    </row>
    <row r="101" spans="1:16" ht="12" customHeight="1">
      <c r="A101" s="10">
        <v>1943</v>
      </c>
      <c r="B101" s="1287">
        <f>DataUK3!CQ102/DataUK1!B102</f>
        <v>0.13110167646418464</v>
      </c>
      <c r="C101" s="1256">
        <f>DataUK3!CR102/DataUK1!B102</f>
        <v>0.12337615211553815</v>
      </c>
      <c r="D101" s="1256">
        <f>DataUK3!CT102/DataUK1!B102</f>
        <v>0</v>
      </c>
      <c r="E101" s="1256">
        <f>DataUK3!CS102/DataUK1!B102</f>
        <v>7.7255243486464694E-3</v>
      </c>
      <c r="F101" s="1257">
        <f>DataUK3!CU102/DataUK1!B102</f>
        <v>0.13110167646418464</v>
      </c>
      <c r="G101" s="1256">
        <f>DataUK3!CW102/DataUK1!B102</f>
        <v>2.4319616808186371E-2</v>
      </c>
      <c r="H101" s="1256">
        <f>DataUK3!CV102/DataUK1!B102</f>
        <v>0.10519268451992161</v>
      </c>
      <c r="I101" s="1256">
        <f>DataUK3!CY102/DataUK1!B102</f>
        <v>1.5893751360766383E-3</v>
      </c>
      <c r="J101" s="1365">
        <f>C101/TableUK5c!O98</f>
        <v>5.8416420768194068E-2</v>
      </c>
      <c r="N101" s="1286">
        <f t="shared" si="25"/>
        <v>0</v>
      </c>
      <c r="O101" s="1286">
        <f t="shared" si="26"/>
        <v>1.474514954580286E-17</v>
      </c>
      <c r="P101" s="1286">
        <f t="shared" si="27"/>
        <v>1.5612511283791264E-17</v>
      </c>
    </row>
    <row r="102" spans="1:16" ht="12" customHeight="1">
      <c r="A102" s="10">
        <v>1944</v>
      </c>
      <c r="B102" s="1287">
        <f>DataUK3!CQ103/DataUK1!B103</f>
        <v>0.14940273037542662</v>
      </c>
      <c r="C102" s="1256">
        <f>DataUK3!CR103/DataUK1!B103</f>
        <v>0.14042946530147896</v>
      </c>
      <c r="D102" s="1256">
        <f>DataUK3!CT103/DataUK1!B103</f>
        <v>0</v>
      </c>
      <c r="E102" s="1256">
        <f>DataUK3!CS103/DataUK1!B103</f>
        <v>8.9732650739476547E-3</v>
      </c>
      <c r="F102" s="1257">
        <f>DataUK3!CU103/DataUK1!B103</f>
        <v>0.14940273037542662</v>
      </c>
      <c r="G102" s="1256">
        <f>DataUK3!CW103/DataUK1!B103</f>
        <v>2.6717150170648463E-2</v>
      </c>
      <c r="H102" s="1256">
        <f>DataUK3!CV103/DataUK1!B103</f>
        <v>0.12112841296928328</v>
      </c>
      <c r="I102" s="1256">
        <f>DataUK3!CY103/DataUK1!B103</f>
        <v>1.5571672354948805E-3</v>
      </c>
      <c r="J102" s="1365">
        <f>C102/TableUK5c!O99</f>
        <v>6.1014992278883642E-2</v>
      </c>
      <c r="N102" s="1286">
        <f t="shared" si="25"/>
        <v>0</v>
      </c>
      <c r="O102" s="1286">
        <f t="shared" si="26"/>
        <v>0</v>
      </c>
      <c r="P102" s="1286">
        <f t="shared" si="27"/>
        <v>-8.6736173798840355E-18</v>
      </c>
    </row>
    <row r="103" spans="1:16" ht="12" customHeight="1">
      <c r="A103" s="10">
        <v>1945</v>
      </c>
      <c r="B103" s="1287">
        <f>DataUK3!CQ104/DataUK1!B104</f>
        <v>0.16795632817468731</v>
      </c>
      <c r="C103" s="1256">
        <f>DataUK3!CR104/DataUK1!B104</f>
        <v>0.158999364002544</v>
      </c>
      <c r="D103" s="1256">
        <f>DataUK3!CT104/DataUK1!B104</f>
        <v>0</v>
      </c>
      <c r="E103" s="1256">
        <f>DataUK3!CS104/DataUK1!B104</f>
        <v>8.9569641721433113E-3</v>
      </c>
      <c r="F103" s="1257">
        <f>DataUK3!CU104/DataUK1!B104</f>
        <v>0.16795632817468731</v>
      </c>
      <c r="G103" s="1256">
        <f>DataUK3!CW104/DataUK1!B104</f>
        <v>3.0284078863684543E-2</v>
      </c>
      <c r="H103" s="1256">
        <f>DataUK3!CV104/DataUK1!B104</f>
        <v>0.13612465550137801</v>
      </c>
      <c r="I103" s="1256">
        <f>DataUK3!CY104/DataUK1!B104</f>
        <v>1.5475938096247614E-3</v>
      </c>
      <c r="J103" s="1365">
        <f>C103/TableUK5c!O100</f>
        <v>6.4375325460663144E-2</v>
      </c>
      <c r="N103" s="1286">
        <f t="shared" ref="N103:N126" si="28">F103-B103</f>
        <v>0</v>
      </c>
      <c r="O103" s="1286">
        <f t="shared" ref="O103:O126" si="29">B103-C103-D103-E103</f>
        <v>0</v>
      </c>
      <c r="P103" s="1286">
        <f t="shared" ref="P103:P126" si="30">F103-G103-H103-I103</f>
        <v>8.4567769453869346E-18</v>
      </c>
    </row>
    <row r="104" spans="1:16" ht="12" customHeight="1">
      <c r="A104" s="10">
        <v>1946</v>
      </c>
      <c r="B104" s="1287">
        <f>DataUK3!CQ105/DataUK1!B105</f>
        <v>0.18309387490547693</v>
      </c>
      <c r="C104" s="1256">
        <f>DataUK3!CR105/DataUK1!B105</f>
        <v>0.17554283245111807</v>
      </c>
      <c r="D104" s="1256">
        <f>DataUK3!CT105/DataUK1!B105</f>
        <v>0</v>
      </c>
      <c r="E104" s="1256">
        <f>DataUK3!CS105/DataUK1!B105</f>
        <v>7.5510424543588492E-3</v>
      </c>
      <c r="F104" s="1257">
        <f>DataUK3!CU105/DataUK1!B105</f>
        <v>0.18309387490547693</v>
      </c>
      <c r="G104" s="1256">
        <f>DataUK3!CW105/DataUK1!B105</f>
        <v>3.4838500594144971E-2</v>
      </c>
      <c r="H104" s="1256">
        <f>DataUK3!CV105/DataUK1!B105</f>
        <v>0.14667818947823269</v>
      </c>
      <c r="I104" s="1256">
        <f>DataUK3!CY105/DataUK1!B105</f>
        <v>1.5771848330992761E-3</v>
      </c>
      <c r="J104" s="1365">
        <f>C104/TableUK5c!O101</f>
        <v>6.6851863732355674E-2</v>
      </c>
      <c r="N104" s="1286">
        <f t="shared" si="28"/>
        <v>0</v>
      </c>
      <c r="O104" s="1286">
        <f t="shared" si="29"/>
        <v>1.474514954580286E-17</v>
      </c>
      <c r="P104" s="1286">
        <f t="shared" si="30"/>
        <v>-1.0625181290357943E-17</v>
      </c>
    </row>
    <row r="105" spans="1:16" ht="12" customHeight="1">
      <c r="A105" s="10">
        <v>1947</v>
      </c>
      <c r="B105" s="1287">
        <f>DataUK3!CQ106/DataUK1!B106</f>
        <v>0.17541271856989354</v>
      </c>
      <c r="C105" s="1256">
        <f>DataUK3!CR106/DataUK1!B106</f>
        <v>0.17094852007424052</v>
      </c>
      <c r="D105" s="1256">
        <f>DataUK3!CT106/DataUK1!B106</f>
        <v>0</v>
      </c>
      <c r="E105" s="1256">
        <f>DataUK3!CS106/DataUK1!B106</f>
        <v>4.4641984956530064E-3</v>
      </c>
      <c r="F105" s="1257">
        <f>DataUK3!CU106/DataUK1!B106</f>
        <v>0.17541271856989354</v>
      </c>
      <c r="G105" s="1256">
        <f>DataUK3!CW106/DataUK1!B106</f>
        <v>3.8859040734590219E-2</v>
      </c>
      <c r="H105" s="1256">
        <f>DataUK3!CV106/DataUK1!B106</f>
        <v>0.13512747875354109</v>
      </c>
      <c r="I105" s="1256">
        <f>DataUK3!CY106/DataUK1!B106</f>
        <v>1.4261990817622352E-3</v>
      </c>
      <c r="J105" s="1365">
        <f>C105/TableUK5c!O102</f>
        <v>6.1403536456813762E-2</v>
      </c>
      <c r="N105" s="1286">
        <f t="shared" si="28"/>
        <v>0</v>
      </c>
      <c r="O105" s="1286">
        <f t="shared" si="29"/>
        <v>1.474514954580286E-17</v>
      </c>
      <c r="P105" s="1286">
        <f t="shared" si="30"/>
        <v>-1.0191500421363742E-17</v>
      </c>
    </row>
    <row r="106" spans="1:16" ht="12" customHeight="1">
      <c r="A106" s="10">
        <v>1948</v>
      </c>
      <c r="B106" s="1287">
        <f>DataUK3!CQ107/DataUK1!B107</f>
        <v>0.14979175897208685</v>
      </c>
      <c r="C106" s="1256">
        <f>DataUK3!CR107/DataUK1!B107</f>
        <v>0.14178112538768275</v>
      </c>
      <c r="D106" s="1256">
        <f>DataUK3!CT107/DataUK1!B107</f>
        <v>0</v>
      </c>
      <c r="E106" s="1256">
        <f>DataUK3!CS107/DataUK1!B107</f>
        <v>8.0106335844040838E-3</v>
      </c>
      <c r="F106" s="1257">
        <f>DataUK3!CU107/DataUK1!B107</f>
        <v>0.14979175897208685</v>
      </c>
      <c r="G106" s="1256">
        <f>DataUK3!CW107/DataUK1!B107</f>
        <v>3.7403633141338058E-2</v>
      </c>
      <c r="H106" s="1256">
        <f>DataUK3!CV107/DataUK1!B107</f>
        <v>0.11109437306158618</v>
      </c>
      <c r="I106" s="1256">
        <f>DataUK3!CY107/DataUK1!B107</f>
        <v>1.2937527691626051E-3</v>
      </c>
      <c r="J106" s="1365">
        <f>C106/TableUK5c!O103</f>
        <v>5.6801783819182584E-2</v>
      </c>
      <c r="N106" s="1286">
        <f t="shared" si="28"/>
        <v>0</v>
      </c>
      <c r="O106" s="1286">
        <f t="shared" si="29"/>
        <v>1.3877787807814457E-17</v>
      </c>
      <c r="P106" s="1286">
        <f t="shared" si="30"/>
        <v>1.2576745200831851E-17</v>
      </c>
    </row>
    <row r="107" spans="1:16" ht="12" customHeight="1">
      <c r="A107" s="893">
        <v>1949</v>
      </c>
      <c r="B107" s="1288">
        <f>DataUK3!CQ108/DataUK1!B108</f>
        <v>0.14293093393318337</v>
      </c>
      <c r="C107" s="1258">
        <f>DataUK3!CR108/DataUK1!B108</f>
        <v>0.13330000833125052</v>
      </c>
      <c r="D107" s="1258">
        <f>DataUK3!CT108/DataUK1!B108</f>
        <v>0</v>
      </c>
      <c r="E107" s="1258">
        <f>DataUK3!CS108/DataUK1!B108</f>
        <v>9.6309256019328424E-3</v>
      </c>
      <c r="F107" s="1259">
        <f>DataUK3!CU108/DataUK1!B108</f>
        <v>0.14293093393318337</v>
      </c>
      <c r="G107" s="1258">
        <f>DataUK3!CW108/DataUK1!B108</f>
        <v>3.5991002249437638E-2</v>
      </c>
      <c r="H107" s="1258">
        <f>DataUK3!CV108/DataUK1!B108</f>
        <v>0.10572356910772307</v>
      </c>
      <c r="I107" s="1258">
        <f>DataUK3!CY108/DataUK1!B108</f>
        <v>1.2163625760226609E-3</v>
      </c>
      <c r="J107" s="1366">
        <f>C107/TableUK5c!O104</f>
        <v>5.8725106926903019E-2</v>
      </c>
      <c r="N107" s="1286">
        <f t="shared" si="28"/>
        <v>0</v>
      </c>
      <c r="O107" s="1286">
        <f t="shared" si="29"/>
        <v>0</v>
      </c>
      <c r="P107" s="1286">
        <f t="shared" si="30"/>
        <v>1.1709383462843448E-17</v>
      </c>
    </row>
    <row r="108" spans="1:16" ht="12" customHeight="1">
      <c r="A108" s="10">
        <v>1950</v>
      </c>
      <c r="B108" s="1287">
        <f>DataUK3!CQ109/DataUK1!B109</f>
        <v>0.15023340454149853</v>
      </c>
      <c r="C108" s="1256">
        <f>DataUK3!CR109/DataUK1!B109</f>
        <v>0.13846032122794524</v>
      </c>
      <c r="D108" s="1256">
        <f>DataUK3!CT109/DataUK1!B109</f>
        <v>0</v>
      </c>
      <c r="E108" s="1275">
        <f>DataUK3!CS109/DataUK1!B109</f>
        <v>1.1773083313553284E-2</v>
      </c>
      <c r="F108" s="1257">
        <f>DataUK3!CU109/DataUK1!B109</f>
        <v>0.15023340454149853</v>
      </c>
      <c r="G108" s="1256">
        <f>DataUK3!CW109/DataUK1!B109</f>
        <v>4.721892554790727E-2</v>
      </c>
      <c r="H108" s="1256">
        <f>DataUK3!CV109/DataUK1!B109</f>
        <v>0.10185932431363241</v>
      </c>
      <c r="I108" s="1256">
        <f>DataUK3!CY109/DataUK1!B109</f>
        <v>1.1551546799588575E-3</v>
      </c>
      <c r="J108" s="1365">
        <f>C108/TableUK5c!O105</f>
        <v>6.4141039636097325E-2</v>
      </c>
      <c r="N108" s="1286">
        <f t="shared" si="28"/>
        <v>0</v>
      </c>
      <c r="O108" s="1286">
        <f t="shared" si="29"/>
        <v>0</v>
      </c>
      <c r="P108" s="1286">
        <f t="shared" si="30"/>
        <v>-1.2793585635328952E-17</v>
      </c>
    </row>
    <row r="109" spans="1:16" ht="12" customHeight="1">
      <c r="A109" s="10">
        <v>1951</v>
      </c>
      <c r="B109" s="1287">
        <f>DataUK3!CQ110/DataUK1!B110</f>
        <v>0.12698595606769894</v>
      </c>
      <c r="C109" s="1256">
        <f>DataUK3!CR110/DataUK1!B110</f>
        <v>0.12243428159884766</v>
      </c>
      <c r="D109" s="1256">
        <f>DataUK3!CT110/DataUK1!B110</f>
        <v>0</v>
      </c>
      <c r="E109" s="1256">
        <f>DataUK3!CS110/DataUK1!B110</f>
        <v>4.5516744688512811E-3</v>
      </c>
      <c r="F109" s="1257">
        <f>DataUK3!CU110/DataUK1!B110</f>
        <v>0.12698595606769894</v>
      </c>
      <c r="G109" s="1256">
        <f>DataUK3!CW110/DataUK1!B110</f>
        <v>2.9254591285559951E-2</v>
      </c>
      <c r="H109" s="1256">
        <f>DataUK3!CV110/DataUK1!B110</f>
        <v>9.6679870363701834E-2</v>
      </c>
      <c r="I109" s="1256">
        <f>DataUK3!CY110/DataUK1!B110</f>
        <v>1.0514944184371623E-3</v>
      </c>
      <c r="J109" s="1365">
        <f>C109/TableUK5c!O106</f>
        <v>5.9732454465818569E-2</v>
      </c>
      <c r="N109" s="1286">
        <f t="shared" si="28"/>
        <v>0</v>
      </c>
      <c r="O109" s="1286">
        <f t="shared" si="29"/>
        <v>0</v>
      </c>
      <c r="P109" s="1286">
        <f t="shared" si="30"/>
        <v>-2.3852447794681098E-18</v>
      </c>
    </row>
    <row r="110" spans="1:16" ht="12" customHeight="1">
      <c r="A110" s="10">
        <v>1952</v>
      </c>
      <c r="B110" s="1287">
        <f>DataUK3!CQ111/DataUK1!B111</f>
        <v>0.12263327514435343</v>
      </c>
      <c r="C110" s="1256">
        <f>DataUK3!CR111/DataUK1!B111</f>
        <v>0.11951121256881966</v>
      </c>
      <c r="D110" s="1256">
        <f>DataUK3!CT111/DataUK1!B111</f>
        <v>0</v>
      </c>
      <c r="E110" s="1256">
        <f>DataUK3!CS111/DataUK1!B111</f>
        <v>3.1220625755337718E-3</v>
      </c>
      <c r="F110" s="1257">
        <f>DataUK3!CU111/DataUK1!B111</f>
        <v>0.12263327514435343</v>
      </c>
      <c r="G110" s="1256">
        <f>DataUK3!CW111/DataUK1!B111</f>
        <v>2.5292063918356384E-2</v>
      </c>
      <c r="H110" s="1256">
        <f>DataUK3!CV111/DataUK1!B111</f>
        <v>9.6360950718410096E-2</v>
      </c>
      <c r="I110" s="1256">
        <f>DataUK3!CY111/DataUK1!B111</f>
        <v>9.8026050758694768E-4</v>
      </c>
      <c r="J110" s="1365">
        <f>C110/TableUK5c!O107</f>
        <v>6.3894851431137087E-2</v>
      </c>
      <c r="N110" s="1286">
        <f t="shared" si="28"/>
        <v>0</v>
      </c>
      <c r="O110" s="1286">
        <f t="shared" si="29"/>
        <v>-3.4694469519536142E-18</v>
      </c>
      <c r="P110" s="1286">
        <f t="shared" si="30"/>
        <v>7.589415207398531E-18</v>
      </c>
    </row>
    <row r="111" spans="1:16" ht="12" customHeight="1">
      <c r="A111" s="10">
        <v>1953</v>
      </c>
      <c r="B111" s="1287">
        <f>DataUK3!CQ112/DataUK1!B112</f>
        <v>0.12221731448763251</v>
      </c>
      <c r="C111" s="1256">
        <f>DataUK3!CR112/DataUK1!B112</f>
        <v>0.11736496718828875</v>
      </c>
      <c r="D111" s="1256">
        <f>DataUK3!CT112/DataUK1!B112</f>
        <v>0</v>
      </c>
      <c r="E111" s="1256">
        <f>DataUK3!CS112/DataUK1!B112</f>
        <v>4.8523472993437719E-3</v>
      </c>
      <c r="F111" s="1257">
        <f>DataUK3!CU112/DataUK1!B112</f>
        <v>0.12221731448763251</v>
      </c>
      <c r="G111" s="1256">
        <f>DataUK3!CW112/DataUK1!B112</f>
        <v>2.4634023220595658E-2</v>
      </c>
      <c r="H111" s="1256">
        <f>DataUK3!CV112/DataUK1!B112</f>
        <v>9.6662039374053516E-2</v>
      </c>
      <c r="I111" s="1256">
        <f>DataUK3!CY112/DataUK1!B112</f>
        <v>9.2125189298334178E-4</v>
      </c>
      <c r="J111" s="1365">
        <f>C111/TableUK5c!O108</f>
        <v>6.6422229786919959E-2</v>
      </c>
      <c r="N111" s="1286">
        <f t="shared" si="28"/>
        <v>0</v>
      </c>
      <c r="O111" s="1286">
        <f t="shared" si="29"/>
        <v>-6.9388939039072284E-18</v>
      </c>
      <c r="P111" s="1286">
        <f t="shared" si="30"/>
        <v>-3.7947076036992655E-18</v>
      </c>
    </row>
    <row r="112" spans="1:16" ht="12" customHeight="1">
      <c r="A112" s="10">
        <v>1954</v>
      </c>
      <c r="B112" s="1287">
        <f>DataUK3!CQ113/DataUK1!B113</f>
        <v>0.11954289106559809</v>
      </c>
      <c r="C112" s="1256">
        <f>DataUK3!CR113/DataUK1!B113</f>
        <v>0.11516770555060848</v>
      </c>
      <c r="D112" s="1256">
        <f>DataUK3!CT113/DataUK1!B113</f>
        <v>0</v>
      </c>
      <c r="E112" s="1256">
        <f>DataUK3!CS113/DataUK1!B113</f>
        <v>4.3751855149896006E-3</v>
      </c>
      <c r="F112" s="1257">
        <f>DataUK3!CU113/DataUK1!B113</f>
        <v>0.11954289106559809</v>
      </c>
      <c r="G112" s="1256">
        <f>DataUK3!CW113/DataUK1!B113</f>
        <v>2.1893737013950729E-2</v>
      </c>
      <c r="H112" s="1256">
        <f>DataUK3!CV113/DataUK1!B113</f>
        <v>9.6782428020184025E-2</v>
      </c>
      <c r="I112" s="1256">
        <f>DataUK3!CY113/DataUK1!B113</f>
        <v>8.6672603146334219E-4</v>
      </c>
      <c r="J112" s="1365">
        <f>C112/TableUK5c!O109</f>
        <v>6.8209271729209167E-2</v>
      </c>
      <c r="N112" s="1286">
        <f t="shared" si="28"/>
        <v>0</v>
      </c>
      <c r="O112" s="1286">
        <f t="shared" si="29"/>
        <v>9.540979117872439E-18</v>
      </c>
      <c r="P112" s="1286">
        <f t="shared" si="30"/>
        <v>1.8431436932253575E-18</v>
      </c>
    </row>
    <row r="113" spans="1:16" ht="12" customHeight="1">
      <c r="A113" s="10">
        <v>1955</v>
      </c>
      <c r="B113" s="1287">
        <f>DataUK3!CQ114/DataUK1!B114</f>
        <v>0.11787127333519085</v>
      </c>
      <c r="C113" s="1256">
        <f>DataUK3!CR114/DataUK1!B114</f>
        <v>0.11256617442184452</v>
      </c>
      <c r="D113" s="1256">
        <f>DataUK3!CT114/DataUK1!B114</f>
        <v>0</v>
      </c>
      <c r="E113" s="1256">
        <f>DataUK3!CS114/DataUK1!B114</f>
        <v>5.3050989133463259E-3</v>
      </c>
      <c r="F113" s="1257">
        <f>DataUK3!CU114/DataUK1!B114</f>
        <v>0.11787127333519085</v>
      </c>
      <c r="G113" s="1256">
        <f>DataUK3!CW114/DataUK1!B114</f>
        <v>1.8980217330732796E-2</v>
      </c>
      <c r="H113" s="1256">
        <f>DataUK3!CV114/DataUK1!B114</f>
        <v>9.8077458902201167E-2</v>
      </c>
      <c r="I113" s="1256">
        <f>DataUK3!CY114/DataUK1!B114</f>
        <v>8.1359710225689609E-4</v>
      </c>
      <c r="J113" s="1365">
        <f>C113/TableUK5c!O110</f>
        <v>7.0263917445240062E-2</v>
      </c>
      <c r="N113" s="1286">
        <f t="shared" si="28"/>
        <v>0</v>
      </c>
      <c r="O113" s="1286">
        <f t="shared" si="29"/>
        <v>0</v>
      </c>
      <c r="P113" s="1286">
        <f t="shared" si="30"/>
        <v>-1.3335686721571705E-17</v>
      </c>
    </row>
    <row r="114" spans="1:16" ht="12" customHeight="1">
      <c r="A114" s="10">
        <v>1956</v>
      </c>
      <c r="B114" s="1287">
        <f>DataUK3!CQ115/DataUK1!B115</f>
        <v>0.11474915518585908</v>
      </c>
      <c r="C114" s="1256">
        <f>DataUK3!CR115/DataUK1!B115</f>
        <v>0.10917598128411747</v>
      </c>
      <c r="D114" s="1256">
        <f>DataUK3!CT115/DataUK1!B115</f>
        <v>0</v>
      </c>
      <c r="E114" s="1256">
        <f>DataUK3!CS115/DataUK1!B115</f>
        <v>5.5731739017416066E-3</v>
      </c>
      <c r="F114" s="1257">
        <f>DataUK3!CU115/DataUK1!B115</f>
        <v>0.11474915518585908</v>
      </c>
      <c r="G114" s="1256">
        <f>DataUK3!CW115/DataUK1!B115</f>
        <v>1.6506368598908236E-2</v>
      </c>
      <c r="H114" s="1256">
        <f>DataUK3!CV115/DataUK1!B115</f>
        <v>9.7483753574213655E-2</v>
      </c>
      <c r="I114" s="1256">
        <f>DataUK3!CY115/DataUK1!B115</f>
        <v>7.5903301273719768E-4</v>
      </c>
      <c r="J114" s="1365">
        <f>C114/TableUK5c!O111</f>
        <v>7.2391338302270139E-2</v>
      </c>
      <c r="N114" s="1286">
        <f t="shared" si="28"/>
        <v>0</v>
      </c>
      <c r="O114" s="1286">
        <f t="shared" si="29"/>
        <v>0</v>
      </c>
      <c r="P114" s="1286">
        <f t="shared" si="30"/>
        <v>-5.2041704279304213E-18</v>
      </c>
    </row>
    <row r="115" spans="1:16" ht="12" customHeight="1">
      <c r="A115" s="10">
        <v>1957</v>
      </c>
      <c r="B115" s="1287">
        <f>DataUK3!CQ116/DataUK1!B116</f>
        <v>0.11312205991582075</v>
      </c>
      <c r="C115" s="1256">
        <f>DataUK3!CR116/DataUK1!B116</f>
        <v>0.10794751176033672</v>
      </c>
      <c r="D115" s="1256">
        <f>DataUK3!CT116/DataUK1!B116</f>
        <v>0</v>
      </c>
      <c r="E115" s="1256">
        <f>DataUK3!CS116/DataUK1!B116</f>
        <v>5.1745481554840303E-3</v>
      </c>
      <c r="F115" s="1257">
        <f>DataUK3!CU116/DataUK1!B116</f>
        <v>0.11312205991582075</v>
      </c>
      <c r="G115" s="1256">
        <f>DataUK3!CW116/DataUK1!B116</f>
        <v>1.5033424114879922E-2</v>
      </c>
      <c r="H115" s="1256">
        <f>DataUK3!CV116/DataUK1!B116</f>
        <v>9.7365684575389952E-2</v>
      </c>
      <c r="I115" s="1256">
        <f>DataUK3!CY116/DataUK1!B116</f>
        <v>7.2295122555087886E-4</v>
      </c>
      <c r="J115" s="1365">
        <f>C115/TableUK5c!O112</f>
        <v>7.6449572485643491E-2</v>
      </c>
      <c r="N115" s="1286">
        <f t="shared" si="28"/>
        <v>0</v>
      </c>
      <c r="O115" s="1286">
        <f t="shared" si="29"/>
        <v>0</v>
      </c>
      <c r="P115" s="1286">
        <f t="shared" si="30"/>
        <v>-9.7578195523695399E-18</v>
      </c>
    </row>
    <row r="116" spans="1:16" ht="12" customHeight="1">
      <c r="A116" s="10">
        <v>1958</v>
      </c>
      <c r="B116" s="1287">
        <f>DataUK3!CQ117/DataUK1!B117</f>
        <v>0.11167980248789287</v>
      </c>
      <c r="C116" s="1256">
        <f>DataUK3!CR117/DataUK1!B117</f>
        <v>0.10730225049852815</v>
      </c>
      <c r="D116" s="1256">
        <f>DataUK3!CT117/DataUK1!B117</f>
        <v>0</v>
      </c>
      <c r="E116" s="1256">
        <f>DataUK3!CS117/DataUK1!B117</f>
        <v>4.3775519893647242E-3</v>
      </c>
      <c r="F116" s="1257">
        <f>DataUK3!CU117/DataUK1!B117</f>
        <v>0.11167980248789287</v>
      </c>
      <c r="G116" s="1256">
        <f>DataUK3!CW117/DataUK1!B117</f>
        <v>1.4386098186307093E-2</v>
      </c>
      <c r="H116" s="1256">
        <f>DataUK3!CV117/DataUK1!B117</f>
        <v>9.6600512771816541E-2</v>
      </c>
      <c r="I116" s="1256">
        <f>DataUK3!CY117/DataUK1!B117</f>
        <v>6.9319152976925267E-4</v>
      </c>
      <c r="J116" s="1365">
        <f>C116/TableUK5c!O113</f>
        <v>7.9364523469739823E-2</v>
      </c>
      <c r="N116" s="1286">
        <f t="shared" si="28"/>
        <v>0</v>
      </c>
      <c r="O116" s="1286">
        <f t="shared" si="29"/>
        <v>0</v>
      </c>
      <c r="P116" s="1286">
        <f t="shared" si="30"/>
        <v>-1.4528309111305759E-17</v>
      </c>
    </row>
    <row r="117" spans="1:16" ht="12" customHeight="1">
      <c r="A117" s="893">
        <v>1959</v>
      </c>
      <c r="B117" s="1288">
        <f>DataUK3!CQ118/DataUK1!B118</f>
        <v>0.10915208613728129</v>
      </c>
      <c r="C117" s="1258">
        <f>DataUK3!CR118/DataUK1!B118</f>
        <v>0.10497981157469717</v>
      </c>
      <c r="D117" s="1258">
        <f>DataUK3!CT118/DataUK1!B118</f>
        <v>0</v>
      </c>
      <c r="E117" s="1258">
        <f>DataUK3!CS118/DataUK1!B118</f>
        <v>4.1722745625841183E-3</v>
      </c>
      <c r="F117" s="1259">
        <f>DataUK3!CU118/DataUK1!B118</f>
        <v>0.10915208613728129</v>
      </c>
      <c r="G117" s="1258">
        <f>DataUK3!CW118/DataUK1!B118</f>
        <v>1.408254822790489E-2</v>
      </c>
      <c r="H117" s="1258">
        <f>DataUK3!CV118/DataUK1!B118</f>
        <v>9.4414535666218033E-2</v>
      </c>
      <c r="I117" s="1258">
        <f>DataUK3!CY118/DataUK1!B118</f>
        <v>6.5500224315836694E-4</v>
      </c>
      <c r="J117" s="1366">
        <f>C117/TableUK5c!O114</f>
        <v>8.0244054197545656E-2</v>
      </c>
      <c r="N117" s="1286">
        <f t="shared" si="28"/>
        <v>0</v>
      </c>
      <c r="O117" s="1286">
        <f t="shared" si="29"/>
        <v>0</v>
      </c>
      <c r="P117" s="1286">
        <f t="shared" si="30"/>
        <v>3.2526065174565133E-18</v>
      </c>
    </row>
    <row r="118" spans="1:16" ht="12" customHeight="1">
      <c r="A118" s="10">
        <v>1960</v>
      </c>
      <c r="B118" s="1287">
        <f>DataUK3!CQ119/DataUK1!B119</f>
        <v>0.10903999336209756</v>
      </c>
      <c r="C118" s="1256">
        <f>DataUK3!CR119/DataUK1!B119</f>
        <v>0.10039827414537006</v>
      </c>
      <c r="D118" s="1256">
        <f>DataUK3!CT119/DataUK1!B119</f>
        <v>0</v>
      </c>
      <c r="E118" s="1256">
        <f>DataUK3!CS119/DataUK1!B119</f>
        <v>8.6417192167275031E-3</v>
      </c>
      <c r="F118" s="1257">
        <f>DataUK3!CU119/DataUK1!B119</f>
        <v>0.10903999336209756</v>
      </c>
      <c r="G118" s="1256">
        <f>DataUK3!CW119/DataUK1!B119</f>
        <v>1.6719216727514107E-2</v>
      </c>
      <c r="H118" s="1256">
        <f>DataUK3!CV119/DataUK1!B119</f>
        <v>9.1715068038499825E-2</v>
      </c>
      <c r="I118" s="1256">
        <f>DataUK3!CY119/DataUK1!B119</f>
        <v>6.0570859608363758E-4</v>
      </c>
      <c r="J118" s="1365">
        <f>C118/TableUK5c!O115</f>
        <v>7.9945611528098551E-2</v>
      </c>
      <c r="N118" s="1286">
        <f t="shared" si="28"/>
        <v>0</v>
      </c>
      <c r="O118" s="1286">
        <f t="shared" si="29"/>
        <v>0</v>
      </c>
      <c r="P118" s="1286">
        <f t="shared" si="30"/>
        <v>0</v>
      </c>
    </row>
    <row r="119" spans="1:16" ht="12" customHeight="1">
      <c r="A119" s="10">
        <v>1961</v>
      </c>
      <c r="B119" s="1287">
        <f>DataUK3!CQ120/DataUK1!B120</f>
        <v>0.11148223828984596</v>
      </c>
      <c r="C119" s="1256">
        <f>DataUK3!CR120/DataUK1!B120</f>
        <v>9.8239547312165998E-2</v>
      </c>
      <c r="D119" s="1256">
        <f>DataUK3!CT120/DataUK1!B120</f>
        <v>0</v>
      </c>
      <c r="E119" s="1256">
        <f>DataUK3!CS120/DataUK1!B120</f>
        <v>1.3242690977679959E-2</v>
      </c>
      <c r="F119" s="1257">
        <f>DataUK3!CU120/DataUK1!B120</f>
        <v>0.11148223828984596</v>
      </c>
      <c r="G119" s="1256">
        <f>DataUK3!CW120/DataUK1!B120</f>
        <v>2.0284501729016038E-2</v>
      </c>
      <c r="H119" s="1256">
        <f>DataUK3!CV120/DataUK1!B120</f>
        <v>9.0624017604526888E-2</v>
      </c>
      <c r="I119" s="1256">
        <f>DataUK3!CY120/DataUK1!B120</f>
        <v>5.7371895630304941E-4</v>
      </c>
      <c r="J119" s="1365">
        <f>C119/TableUK5c!O116</f>
        <v>8.3194534954588381E-2</v>
      </c>
      <c r="N119" s="1286">
        <f t="shared" si="28"/>
        <v>0</v>
      </c>
      <c r="O119" s="1286">
        <f t="shared" si="29"/>
        <v>0</v>
      </c>
      <c r="P119" s="1286">
        <f t="shared" si="30"/>
        <v>-1.1817803680091998E-17</v>
      </c>
    </row>
    <row r="120" spans="1:16" ht="12" customHeight="1">
      <c r="A120" s="10">
        <v>1962</v>
      </c>
      <c r="B120" s="1287">
        <f>DataUK3!CQ121/DataUK1!B121</f>
        <v>0.10591345795784614</v>
      </c>
      <c r="C120" s="1256">
        <f>DataUK3!CR121/DataUK1!B121</f>
        <v>9.8474880630239237E-2</v>
      </c>
      <c r="D120" s="1256">
        <f>DataUK3!CT121/DataUK1!B121</f>
        <v>0</v>
      </c>
      <c r="E120" s="1256">
        <f>DataUK3!CS121/DataUK1!B121</f>
        <v>7.4385773276069087E-3</v>
      </c>
      <c r="F120" s="1257">
        <f>DataUK3!CU121/DataUK1!B121</f>
        <v>0.10591345795784614</v>
      </c>
      <c r="G120" s="1256">
        <f>DataUK3!CW121/DataUK1!B121</f>
        <v>1.8704848439711031E-2</v>
      </c>
      <c r="H120" s="1256">
        <f>DataUK3!CV121/DataUK1!B121</f>
        <v>8.6664928874655558E-2</v>
      </c>
      <c r="I120" s="1256">
        <f>DataUK3!CY121/DataUK1!B121</f>
        <v>5.4368064347955615E-4</v>
      </c>
      <c r="J120" s="1365">
        <f>C120/TableUK5c!O117</f>
        <v>8.5642621997823978E-2</v>
      </c>
      <c r="N120" s="1286">
        <f t="shared" si="28"/>
        <v>0</v>
      </c>
      <c r="O120" s="1286">
        <f t="shared" si="29"/>
        <v>-6.9388939039072284E-18</v>
      </c>
      <c r="P120" s="1286">
        <f t="shared" si="30"/>
        <v>-4.0115480381963664E-18</v>
      </c>
    </row>
    <row r="121" spans="1:16" ht="12" customHeight="1">
      <c r="A121" s="10">
        <v>1963</v>
      </c>
      <c r="B121" s="1287">
        <f>DataUK3!CQ122/DataUK1!B122</f>
        <v>9.8103706878080135E-2</v>
      </c>
      <c r="C121" s="1256">
        <f>DataUK3!CR122/DataUK1!B122</f>
        <v>9.4636097421612747E-2</v>
      </c>
      <c r="D121" s="1256">
        <f>DataUK3!CT122/DataUK1!B122</f>
        <v>0</v>
      </c>
      <c r="E121" s="1256">
        <f>DataUK3!CS122/DataUK1!B122</f>
        <v>3.4676094564673921E-3</v>
      </c>
      <c r="F121" s="1257">
        <f>DataUK3!CU122/DataUK1!B122</f>
        <v>9.8103706878080135E-2</v>
      </c>
      <c r="G121" s="1256">
        <f>DataUK3!CW122/DataUK1!B122</f>
        <v>1.1938432969073638E-2</v>
      </c>
      <c r="H121" s="1256">
        <f>DataUK3!CV122/DataUK1!B122</f>
        <v>8.5643882579815728E-2</v>
      </c>
      <c r="I121" s="1256">
        <f>DataUK3!CY122/DataUK1!B122</f>
        <v>5.2139132919077204E-4</v>
      </c>
      <c r="J121" s="1365">
        <f>C121/TableUK5c!O118</f>
        <v>8.4607575994939205E-2</v>
      </c>
      <c r="N121" s="1286">
        <f t="shared" si="28"/>
        <v>0</v>
      </c>
      <c r="O121" s="1286">
        <f t="shared" si="29"/>
        <v>-3.903127820947816E-18</v>
      </c>
      <c r="P121" s="1286">
        <f t="shared" si="30"/>
        <v>-4.1199682554449168E-18</v>
      </c>
    </row>
    <row r="122" spans="1:16" ht="12" customHeight="1">
      <c r="A122" s="10">
        <v>1964</v>
      </c>
      <c r="B122" s="1287">
        <f>DataUK3!CQ123/DataUK1!B123</f>
        <v>9.5603891636911575E-2</v>
      </c>
      <c r="C122" s="1256">
        <f>DataUK3!CR123/DataUK1!B123</f>
        <v>9.1722082091263465E-2</v>
      </c>
      <c r="D122" s="1256">
        <f>DataUK3!CT123/DataUK1!B123</f>
        <v>0</v>
      </c>
      <c r="E122" s="1256">
        <f>DataUK3!CS123/DataUK1!B123</f>
        <v>3.8818095456481E-3</v>
      </c>
      <c r="F122" s="1257">
        <f>DataUK3!CU123/DataUK1!B123</f>
        <v>9.5603891636911575E-2</v>
      </c>
      <c r="G122" s="1256">
        <f>DataUK3!CW123/DataUK1!B123</f>
        <v>1.1209748747010842E-2</v>
      </c>
      <c r="H122" s="1256">
        <f>DataUK3!CV123/DataUK1!B123</f>
        <v>8.3915877747567716E-2</v>
      </c>
      <c r="I122" s="1256">
        <f>DataUK3!CY123/DataUK1!B123</f>
        <v>4.7826514233301665E-4</v>
      </c>
      <c r="J122" s="1365">
        <f>C122/TableUK5c!O119</f>
        <v>8.4672119693393763E-2</v>
      </c>
      <c r="N122" s="1286">
        <f t="shared" si="28"/>
        <v>0</v>
      </c>
      <c r="O122" s="1286">
        <f t="shared" si="29"/>
        <v>9.9746599868666408E-18</v>
      </c>
      <c r="P122" s="1286">
        <f t="shared" si="30"/>
        <v>-4.6620693416876691E-18</v>
      </c>
    </row>
    <row r="123" spans="1:16" ht="12" customHeight="1">
      <c r="A123" s="10">
        <v>1965</v>
      </c>
      <c r="B123" s="1287">
        <f>DataUK3!CQ124/DataUK1!B124</f>
        <v>9.594922135369327E-2</v>
      </c>
      <c r="C123" s="1256">
        <f>DataUK3!CR124/DataUK1!B124</f>
        <v>8.9209369340254627E-2</v>
      </c>
      <c r="D123" s="1256">
        <f>DataUK3!CT124/DataUK1!B124</f>
        <v>0</v>
      </c>
      <c r="E123" s="1256">
        <f>DataUK3!CS124/DataUK1!B124</f>
        <v>6.7398520134386401E-3</v>
      </c>
      <c r="F123" s="1257">
        <f>DataUK3!CU124/DataUK1!B124</f>
        <v>9.594922135369327E-2</v>
      </c>
      <c r="G123" s="1256">
        <f>DataUK3!CW124/DataUK1!B124</f>
        <v>1.2873416954493122E-2</v>
      </c>
      <c r="H123" s="1256">
        <f>DataUK3!CV124/DataUK1!B124</f>
        <v>8.2633460582924326E-2</v>
      </c>
      <c r="I123" s="1256">
        <f>DataUK3!CY124/DataUK1!B124</f>
        <v>4.423438162758286E-4</v>
      </c>
      <c r="J123" s="1365">
        <f>C123/TableUK5c!O120</f>
        <v>8.8158182572592433E-2</v>
      </c>
      <c r="N123" s="1286">
        <f t="shared" si="28"/>
        <v>0</v>
      </c>
      <c r="O123" s="1286">
        <f t="shared" si="29"/>
        <v>0</v>
      </c>
      <c r="P123" s="1286">
        <f t="shared" si="30"/>
        <v>-6.0715321659188248E-18</v>
      </c>
    </row>
    <row r="124" spans="1:16" ht="12" customHeight="1">
      <c r="A124" s="10">
        <v>1966</v>
      </c>
      <c r="B124" s="1287">
        <f>DataUK3!CQ125/DataUK1!B125</f>
        <v>9.8341591957150629E-2</v>
      </c>
      <c r="C124" s="1256">
        <f>DataUK3!CR125/DataUK1!B125</f>
        <v>8.8473889063927155E-2</v>
      </c>
      <c r="D124" s="1256">
        <f>DataUK3!CT125/DataUK1!B125</f>
        <v>0</v>
      </c>
      <c r="E124" s="1256">
        <f>DataUK3!CS125/DataUK1!B125</f>
        <v>9.8677028932234821E-3</v>
      </c>
      <c r="F124" s="1257">
        <f>DataUK3!CU125/DataUK1!B125</f>
        <v>9.8341591957150629E-2</v>
      </c>
      <c r="G124" s="1256">
        <f>DataUK3!CW125/DataUK1!B125</f>
        <v>1.5074614040615242E-2</v>
      </c>
      <c r="H124" s="1256">
        <f>DataUK3!CV125/DataUK1!B125</f>
        <v>8.2848795577578557E-2</v>
      </c>
      <c r="I124" s="1256">
        <f>DataUK3!CY125/DataUK1!B125</f>
        <v>4.1818233895683554E-4</v>
      </c>
      <c r="J124" s="1365">
        <f>C124/TableUK5c!O121</f>
        <v>9.2225091428426414E-2</v>
      </c>
      <c r="N124" s="1286">
        <f t="shared" si="28"/>
        <v>0</v>
      </c>
      <c r="O124" s="1286">
        <f t="shared" si="29"/>
        <v>0</v>
      </c>
      <c r="P124" s="1286">
        <f t="shared" si="30"/>
        <v>-1.1546753136970622E-17</v>
      </c>
    </row>
    <row r="125" spans="1:16" ht="12" customHeight="1">
      <c r="A125" s="10">
        <v>1967</v>
      </c>
      <c r="B125" s="1287">
        <f>DataUK3!CQ126/DataUK1!B126</f>
        <v>9.7959573365340016E-2</v>
      </c>
      <c r="C125" s="1256">
        <f>DataUK3!CR126/DataUK1!B126</f>
        <v>8.8200260054374993E-2</v>
      </c>
      <c r="D125" s="1256">
        <f>DataUK3!CT126/DataUK1!B126</f>
        <v>0</v>
      </c>
      <c r="E125" s="1256">
        <f>DataUK3!CS126/DataUK1!B126</f>
        <v>9.7593133109650249E-3</v>
      </c>
      <c r="F125" s="1257">
        <f>DataUK3!CU126/DataUK1!B126</f>
        <v>9.7959573365340016E-2</v>
      </c>
      <c r="G125" s="1256">
        <f>DataUK3!CW126/DataUK1!B126</f>
        <v>1.6503450721514497E-2</v>
      </c>
      <c r="H125" s="1256">
        <f>DataUK3!CV126/DataUK1!B126</f>
        <v>8.105785755203361E-2</v>
      </c>
      <c r="I125" s="1256">
        <f>DataUK3!CY126/DataUK1!B126</f>
        <v>3.9826509179192012E-4</v>
      </c>
      <c r="J125" s="1365">
        <f>C125/TableUK5c!O122</f>
        <v>9.3059404027754422E-2</v>
      </c>
      <c r="N125" s="1286">
        <f t="shared" si="28"/>
        <v>0</v>
      </c>
      <c r="O125" s="1286">
        <f t="shared" si="29"/>
        <v>0</v>
      </c>
      <c r="P125" s="1286">
        <f t="shared" si="30"/>
        <v>-1.7835125737386548E-17</v>
      </c>
    </row>
    <row r="126" spans="1:16" ht="12" customHeight="1">
      <c r="A126" s="10">
        <v>1968</v>
      </c>
      <c r="B126" s="1287">
        <f>DataUK3!CQ127/DataUK1!B127</f>
        <v>9.5908677644206478E-2</v>
      </c>
      <c r="C126" s="1256">
        <f>DataUK3!CR127/DataUK1!B127</f>
        <v>8.5306035402004682E-2</v>
      </c>
      <c r="D126" s="1256">
        <f>DataUK3!CT127/DataUK1!B127</f>
        <v>0</v>
      </c>
      <c r="E126" s="1256">
        <f>DataUK3!CS127/DataUK1!B127</f>
        <v>1.0602642242201801E-2</v>
      </c>
      <c r="F126" s="1257">
        <f>DataUK3!CU127/DataUK1!B127</f>
        <v>9.5908677644206478E-2</v>
      </c>
      <c r="G126" s="1256">
        <f>DataUK3!CW127/DataUK1!B127</f>
        <v>1.6764319628245275E-2</v>
      </c>
      <c r="H126" s="1256">
        <f>DataUK3!CV127/DataUK1!B127</f>
        <v>7.8775633902414377E-2</v>
      </c>
      <c r="I126" s="1256">
        <f>DataUK3!CY127/DataUK1!B127</f>
        <v>3.6872411354682289E-4</v>
      </c>
      <c r="J126" s="1365">
        <f>C126/TableUK5c!O123</f>
        <v>9.1737333210187733E-2</v>
      </c>
      <c r="N126" s="1286">
        <f t="shared" si="28"/>
        <v>0</v>
      </c>
      <c r="O126" s="1286">
        <f t="shared" si="29"/>
        <v>0</v>
      </c>
      <c r="P126" s="1286">
        <f t="shared" si="30"/>
        <v>2.6562953225894859E-18</v>
      </c>
    </row>
    <row r="127" spans="1:16" ht="12" customHeight="1">
      <c r="A127" s="893">
        <v>1969</v>
      </c>
      <c r="B127" s="1288">
        <f>DataUK3!CQ128/DataUK1!B128</f>
        <v>9.0494481338362215E-2</v>
      </c>
      <c r="C127" s="1258">
        <f>DataUK3!CR128/DataUK1!B128</f>
        <v>8.1500849717060925E-2</v>
      </c>
      <c r="D127" s="1258">
        <f>DataUK3!CT128/DataUK1!B128</f>
        <v>0</v>
      </c>
      <c r="E127" s="1258">
        <f>DataUK3!CS128/DataUK1!B128</f>
        <v>8.9936316213013023E-3</v>
      </c>
      <c r="F127" s="1259">
        <f>DataUK3!CU128/DataUK1!B128</f>
        <v>9.0494481338362215E-2</v>
      </c>
      <c r="G127" s="1258">
        <f>DataUK3!CW128/DataUK1!B128</f>
        <v>1.5105166948191683E-2</v>
      </c>
      <c r="H127" s="1258">
        <f>DataUK3!CV128/DataUK1!B128</f>
        <v>7.5051484369576787E-2</v>
      </c>
      <c r="I127" s="1258">
        <f>DataUK3!CY128/DataUK1!B128</f>
        <v>3.378300205937478E-4</v>
      </c>
      <c r="J127" s="1366">
        <f>C127/TableUK5c!O124</f>
        <v>9.6241076164106709E-2</v>
      </c>
      <c r="N127" s="1286">
        <f t="shared" ref="N127:N168" si="31">F127-B127</f>
        <v>0</v>
      </c>
      <c r="O127" s="1286">
        <f t="shared" ref="O127:O168" si="32">B127-C127-D127-E127</f>
        <v>0</v>
      </c>
      <c r="P127" s="1286">
        <f t="shared" ref="P127:P137" si="33">F127-G127-H127-I127</f>
        <v>-1.5720931501039814E-18</v>
      </c>
    </row>
    <row r="128" spans="1:16" ht="12" customHeight="1">
      <c r="A128" s="10">
        <v>1970</v>
      </c>
      <c r="B128" s="1289">
        <f>DataUK3!CQ129/DataUK1!B129</f>
        <v>8.521863920310653E-2</v>
      </c>
      <c r="C128" s="1277">
        <f>DataUK3!CR129/DataUK1!B129</f>
        <v>8.019584669930778E-2</v>
      </c>
      <c r="D128" s="1277">
        <f>DataUK3!CT129/DataUK1!B129</f>
        <v>0</v>
      </c>
      <c r="E128" s="1277">
        <f>DataUK3!CS129/DataUK1!B129</f>
        <v>5.0227925037987413E-3</v>
      </c>
      <c r="F128" s="717">
        <f>DataUK3!CU129/DataUK1!B129</f>
        <v>8.521863920310653E-2</v>
      </c>
      <c r="G128" s="1277">
        <f>DataUK3!CW129/DataUK1!B129</f>
        <v>1.280390005065001E-2</v>
      </c>
      <c r="H128" s="1277">
        <f>DataUK3!CV129/DataUK1!B129</f>
        <v>7.2106618267769707E-2</v>
      </c>
      <c r="I128" s="1277">
        <f>DataUK3!CY129/DataUK1!B129</f>
        <v>3.0812088468681409E-4</v>
      </c>
      <c r="J128" s="1358">
        <f>C128/TableUK5c!O125</f>
        <v>0.10420239944691104</v>
      </c>
      <c r="N128" s="1286">
        <f t="shared" si="31"/>
        <v>0</v>
      </c>
      <c r="O128" s="1286">
        <f t="shared" si="32"/>
        <v>9.540979117872439E-18</v>
      </c>
      <c r="P128" s="1286">
        <f t="shared" si="33"/>
        <v>4.7704895589362195E-18</v>
      </c>
    </row>
    <row r="129" spans="1:16" ht="12" customHeight="1">
      <c r="A129" s="10">
        <v>1971</v>
      </c>
      <c r="B129" s="1289">
        <f>AVERAGE(DataUK3!CQ130,DataUK3!CQ131)/DataUK1!B130</f>
        <v>8.4498921998922005E-2</v>
      </c>
      <c r="C129" s="1278">
        <f>AVERAGE(DataUK3!CR130,DataUK3!CR131)/DataUK1!B130</f>
        <v>7.9310079310079315E-2</v>
      </c>
      <c r="D129" s="1278">
        <f>AVERAGE(DataUK3!CT130,DataUK3!CT131)/DataUK1!B130</f>
        <v>0</v>
      </c>
      <c r="E129" s="1278">
        <f>AVERAGE(DataUK3!CS130,DataUK3!CS131)/DataUK1!B130</f>
        <v>5.188842688842692E-3</v>
      </c>
      <c r="F129" s="717">
        <f>AVERAGE(DataUK3!CU130,DataUK3!CU131)/DataUK1!B130</f>
        <v>8.4498921998922005E-2</v>
      </c>
      <c r="G129" s="1278">
        <f>AVERAGE(DataUK3!CW130,DataUK3!CW131)/DataUK1!B130</f>
        <v>1.2346962346962347E-2</v>
      </c>
      <c r="H129" s="1278">
        <f>AVERAGE(DataUK3!CV130,DataUK3!CV131)/DataUK1!B130</f>
        <v>7.1870909370909369E-2</v>
      </c>
      <c r="I129" s="1278">
        <f>AVERAGE(DataUK3!CY130,DataUK3!CY131)/DataUK1!B130</f>
        <v>2.8105028105028106E-4</v>
      </c>
      <c r="J129" s="1358">
        <f>C129/TableUK5c!O126</f>
        <v>0.10848499748935649</v>
      </c>
      <c r="N129" s="1286">
        <f t="shared" si="31"/>
        <v>0</v>
      </c>
      <c r="O129" s="1286">
        <f t="shared" si="32"/>
        <v>0</v>
      </c>
      <c r="P129" s="1286">
        <f t="shared" si="33"/>
        <v>4.1199682554449168E-18</v>
      </c>
    </row>
    <row r="130" spans="1:16" ht="12" customHeight="1">
      <c r="A130" s="10">
        <v>1972</v>
      </c>
      <c r="B130" s="1289">
        <f>AVERAGE(DataUK3!CQ131,DataUK3!CQ132)/DataUK1!B131</f>
        <v>8.0371320806709959E-2</v>
      </c>
      <c r="C130" s="1278">
        <f>AVERAGE(DataUK3!CR131,DataUK3!CR132)/DataUK1!B131</f>
        <v>7.3196355682620604E-2</v>
      </c>
      <c r="D130" s="1278">
        <f>AVERAGE(DataUK3!CT131,DataUK3!CT132)/DataUK1!B131</f>
        <v>0</v>
      </c>
      <c r="E130" s="1278">
        <f>AVERAGE(DataUK3!CS131,DataUK3!CS132)/DataUK1!B131</f>
        <v>7.1749651240893579E-3</v>
      </c>
      <c r="F130" s="717">
        <f>AVERAGE(DataUK3!CU131,DataUK3!CU132)/DataUK1!B131</f>
        <v>8.0371320806709959E-2</v>
      </c>
      <c r="G130" s="1278">
        <f>AVERAGE(DataUK3!CW131,DataUK3!CW132)/DataUK1!B131</f>
        <v>9.8169229974338218E-3</v>
      </c>
      <c r="H130" s="1278">
        <f>AVERAGE(DataUK3!CV131,DataUK3!CV132)/DataUK1!B131</f>
        <v>7.0302946799166419E-2</v>
      </c>
      <c r="I130" s="1278">
        <f>AVERAGE(DataUK3!CY131,DataUK3!CY132)/DataUK1!B131</f>
        <v>2.514510101097084E-4</v>
      </c>
      <c r="J130" s="1358">
        <f>C130/TableUK5c!O127</f>
        <v>0.10456938563082227</v>
      </c>
      <c r="N130" s="1286">
        <f t="shared" si="31"/>
        <v>0</v>
      </c>
      <c r="O130" s="1286">
        <f t="shared" si="32"/>
        <v>0</v>
      </c>
      <c r="P130" s="1286">
        <f t="shared" si="33"/>
        <v>9.9746599868666408E-18</v>
      </c>
    </row>
    <row r="131" spans="1:16" ht="12" customHeight="1">
      <c r="A131" s="10">
        <v>1973</v>
      </c>
      <c r="B131" s="1289">
        <f>AVERAGE(DataUK3!CQ132,DataUK3!CQ133)/DataUK1!B132</f>
        <v>8.7823610116917208E-2</v>
      </c>
      <c r="C131" s="1278">
        <f>AVERAGE(DataUK3!CR132,DataUK3!CR133)/DataUK1!B132</f>
        <v>7.0388928656645186E-2</v>
      </c>
      <c r="D131" s="1278">
        <f>AVERAGE(DataUK3!CT132,DataUK3!CT133)/DataUK1!B132</f>
        <v>0</v>
      </c>
      <c r="E131" s="1278">
        <f>AVERAGE(DataUK3!CS132,DataUK3!CS133)/DataUK1!B132</f>
        <v>1.7434681460272015E-2</v>
      </c>
      <c r="F131" s="717">
        <f>AVERAGE(DataUK3!CU132,DataUK3!CU133)/DataUK1!B132</f>
        <v>8.7823610116917208E-2</v>
      </c>
      <c r="G131" s="1278">
        <f>AVERAGE(DataUK3!CW132,DataUK3!CW133)/DataUK1!B132</f>
        <v>1.9252565020281557E-2</v>
      </c>
      <c r="H131" s="1278">
        <f>AVERAGE(DataUK3!CV132,DataUK3!CV133)/DataUK1!B132</f>
        <v>6.8353316630875682E-2</v>
      </c>
      <c r="I131" s="1278">
        <f>AVERAGE(DataUK3!CY132,DataUK3!CY133)/DataUK1!B132</f>
        <v>2.1772846575996181E-4</v>
      </c>
      <c r="J131" s="1358">
        <f>C131/TableUK5c!O128</f>
        <v>0.10568623424764784</v>
      </c>
      <c r="N131" s="1286">
        <f t="shared" si="31"/>
        <v>0</v>
      </c>
      <c r="O131" s="1286">
        <f t="shared" si="32"/>
        <v>0</v>
      </c>
      <c r="P131" s="1286">
        <f t="shared" si="33"/>
        <v>1.0814916670542907E-17</v>
      </c>
    </row>
    <row r="132" spans="1:16" ht="12" customHeight="1">
      <c r="A132" s="10">
        <v>1974</v>
      </c>
      <c r="B132" s="1289">
        <f>AVERAGE(DataUK3!CQ133,DataUK3!CQ134)/DataUK1!B133</f>
        <v>9.3415776300562484E-2</v>
      </c>
      <c r="C132" s="1278">
        <f>AVERAGE(DataUK3!CR133,DataUK3!CR134)/DataUK1!B133</f>
        <v>7.3606588260623843E-2</v>
      </c>
      <c r="D132" s="1265">
        <f>AVERAGE(DataUK3!CT133,DataUK3!CT134)/DataUK1!B133</f>
        <v>0</v>
      </c>
      <c r="E132" s="1265">
        <f>AVERAGE(DataUK3!CS133,DataUK3!CS134)/DataUK1!B133</f>
        <v>1.9809188039938645E-2</v>
      </c>
      <c r="F132" s="717">
        <f>AVERAGE(DataUK3!CU133,DataUK3!CU134)/DataUK1!B133</f>
        <v>9.3415776300562484E-2</v>
      </c>
      <c r="G132" s="1278">
        <f>AVERAGE(DataUK3!CW133,DataUK3!CW134)/DataUK1!B133</f>
        <v>2.3864951422343031E-2</v>
      </c>
      <c r="H132" s="1278">
        <f>AVERAGE(DataUK3!CV133,DataUK3!CV134)/DataUK1!B133</f>
        <v>6.9354361223995478E-2</v>
      </c>
      <c r="I132" s="1278">
        <f>AVERAGE(DataUK3!CY133,DataUK3!CY134)/DataUK1!B133</f>
        <v>1.9646365422396856E-4</v>
      </c>
      <c r="J132" s="1358">
        <f>C132/TableUK5c!O129</f>
        <v>0.1136473994636118</v>
      </c>
      <c r="N132" s="1286">
        <f t="shared" si="31"/>
        <v>0</v>
      </c>
      <c r="O132" s="1286">
        <f t="shared" si="32"/>
        <v>0</v>
      </c>
      <c r="P132" s="1286">
        <f t="shared" si="33"/>
        <v>5.9360068943581368E-18</v>
      </c>
    </row>
    <row r="133" spans="1:16" ht="12" customHeight="1">
      <c r="A133" s="10">
        <v>1975</v>
      </c>
      <c r="B133" s="1289">
        <f>AVERAGE(DataUK3!CQ134,DataUK3!CQ135)/DataUK1!B134</f>
        <v>8.0660615500295407E-2</v>
      </c>
      <c r="C133" s="1278">
        <f>AVERAGE(DataUK3!CR134,DataUK3!CR135)/DataUK1!B134</f>
        <v>6.9437134110317419E-2</v>
      </c>
      <c r="D133" s="1265">
        <f>AVERAGE(DataUK3!CT134,DataUK3!CT135)/DataUK1!B134</f>
        <v>0</v>
      </c>
      <c r="E133" s="1265">
        <f>AVERAGE(DataUK3!CS134,DataUK3!CS135)/DataUK1!B134</f>
        <v>1.1223481389977983E-2</v>
      </c>
      <c r="F133" s="717">
        <f>G133+H133+I133</f>
        <v>8.0660615500295393E-2</v>
      </c>
      <c r="G133" s="1278">
        <f>AVERAGE(DataUK3!CW134,DataUK3!CW135)/DataUK1!B134</f>
        <v>1.7890327085235511E-2</v>
      </c>
      <c r="H133" s="1278">
        <f>AVERAGE(DataUK3!CV134,DataUK3!CV135)/DataUK1!B134</f>
        <v>6.2613459369461305E-2</v>
      </c>
      <c r="I133" s="1278">
        <f>AVERAGE(DataUK3!CY134,DataUK3!CY135)/DataUK1!B134</f>
        <v>1.5682904559858208E-4</v>
      </c>
      <c r="J133" s="1358">
        <f>C133/TableUK5c!O130</f>
        <v>0.10020781217943914</v>
      </c>
      <c r="N133" s="1286">
        <f t="shared" si="31"/>
        <v>0</v>
      </c>
      <c r="O133" s="1286">
        <f t="shared" si="32"/>
        <v>0</v>
      </c>
      <c r="P133" s="1286">
        <f t="shared" si="33"/>
        <v>-4.391018798566293E-18</v>
      </c>
    </row>
    <row r="134" spans="1:16" ht="12" customHeight="1">
      <c r="A134" s="10">
        <v>1976</v>
      </c>
      <c r="B134" s="1289">
        <f>AVERAGE(DataUK3!CQ135,DataUK3!CQ136)/DataUK1!B135</f>
        <v>7.9514352012570566E-2</v>
      </c>
      <c r="C134" s="1278">
        <f>AVERAGE(DataUK3!CR135,DataUK3!CR136)/DataUK1!B135</f>
        <v>6.7537136175110993E-2</v>
      </c>
      <c r="D134" s="1265">
        <f>AVERAGE(DataUK3!CT135,DataUK3!CT136)/DataUK1!B135</f>
        <v>0</v>
      </c>
      <c r="E134" s="1265">
        <f>AVERAGE(DataUK3!CS135,DataUK3!CS136)/DataUK1!B135</f>
        <v>1.1977215837459577E-2</v>
      </c>
      <c r="F134" s="717">
        <f t="shared" ref="F134:F159" si="34">G134+H134+I134</f>
        <v>7.951435201257058E-2</v>
      </c>
      <c r="G134" s="1278">
        <f>AVERAGE(DataUK3!CW135,DataUK3!CW136)/DataUK1!B135</f>
        <v>1.7809833549542308E-2</v>
      </c>
      <c r="H134" s="1278">
        <f>(AVERAGE(DataUK3!CV135,DataUK3!CV136)+AVERAGE(DataUK3!CX135,DataUK3!CX136)/2)/DataUK1!B135</f>
        <v>6.1571138842703405E-2</v>
      </c>
      <c r="I134" s="1278">
        <f>AVERAGE(DataUK3!CY135,DataUK3!CY136)/DataUK1!B135</f>
        <v>1.3337962032486158E-4</v>
      </c>
      <c r="J134" s="1358">
        <f>C134/TableUK5c!O131</f>
        <v>0.10161323451482344</v>
      </c>
      <c r="N134" s="1286">
        <f t="shared" si="31"/>
        <v>0</v>
      </c>
      <c r="O134" s="1286">
        <f t="shared" si="32"/>
        <v>0</v>
      </c>
      <c r="P134" s="1286">
        <f t="shared" si="33"/>
        <v>2.2497195079074217E-18</v>
      </c>
    </row>
    <row r="135" spans="1:16" ht="12" customHeight="1">
      <c r="A135" s="10">
        <v>1977</v>
      </c>
      <c r="B135" s="1289">
        <f>AVERAGE(DataUK3!CQ136,DataUK3!CQ137)/DataUK1!B136</f>
        <v>7.8018272700711488E-2</v>
      </c>
      <c r="C135" s="1278">
        <f>AVERAGE(DataUK3!CR136,DataUK3!CR137)/DataUK1!B136</f>
        <v>6.5316613627928649E-2</v>
      </c>
      <c r="D135" s="1265">
        <f>AVERAGE(DataUK3!CT136,DataUK3!CT137)/DataUK1!B136</f>
        <v>0</v>
      </c>
      <c r="E135" s="1265">
        <f>AVERAGE(DataUK3!CS136,DataUK3!CS137)/DataUK1!B136</f>
        <v>1.2701659072782836E-2</v>
      </c>
      <c r="F135" s="717">
        <f t="shared" si="34"/>
        <v>7.8018272700711475E-2</v>
      </c>
      <c r="G135" s="1278">
        <f>AVERAGE(DataUK3!CW136,DataUK3!CW137)/DataUK1!B136</f>
        <v>1.4940341290460134E-2</v>
      </c>
      <c r="H135" s="1278">
        <f>(AVERAGE(DataUK3!CV136,DataUK3!CV137)+AVERAGE(DataUK3!CX136,DataUK3!CX137))/DataUK1!B136</f>
        <v>6.2962641250187537E-2</v>
      </c>
      <c r="I135" s="1278">
        <f>AVERAGE(DataUK3!CY136,DataUK3!CY137)/DataUK1!B136</f>
        <v>1.1529016006380442E-4</v>
      </c>
      <c r="J135" s="1358">
        <f>C135/TableUK5c!O132</f>
        <v>9.7709362209289302E-2</v>
      </c>
      <c r="N135" s="1286">
        <f t="shared" si="31"/>
        <v>0</v>
      </c>
      <c r="O135" s="1286">
        <f t="shared" si="32"/>
        <v>0</v>
      </c>
      <c r="P135" s="1286">
        <f t="shared" si="33"/>
        <v>-4.8653572490287011E-18</v>
      </c>
    </row>
    <row r="136" spans="1:16" ht="12" customHeight="1">
      <c r="A136" s="10">
        <v>1978</v>
      </c>
      <c r="B136" s="1289">
        <f>AVERAGE(DataUK3!CQ137,DataUK3!CQ138)/DataUK1!B137</f>
        <v>7.4716217243213742E-2</v>
      </c>
      <c r="C136" s="1278">
        <f>AVERAGE(DataUK3!CR137,DataUK3!CR138)/DataUK1!B137</f>
        <v>6.4318334127855967E-2</v>
      </c>
      <c r="D136" s="1265">
        <f>AVERAGE(DataUK3!CT137,DataUK3!CT138)/DataUK1!B137</f>
        <v>0</v>
      </c>
      <c r="E136" s="1265">
        <f>AVERAGE(DataUK3!CS137,DataUK3!CS138)/DataUK1!B137</f>
        <v>1.0397883115357777E-2</v>
      </c>
      <c r="F136" s="717">
        <f t="shared" si="34"/>
        <v>7.4716217243213728E-2</v>
      </c>
      <c r="G136" s="1278">
        <f>AVERAGE(DataUK3!CW137,DataUK3!CW138)/DataUK1!B137</f>
        <v>1.0995502311024519E-2</v>
      </c>
      <c r="H136" s="1278">
        <f>(AVERAGE(DataUK3!CV137,DataUK3!CV138)+AVERAGE(DataUK3!CX137,DataUK3!CX138))/DataUK1!B137</f>
        <v>6.3619845102631592E-2</v>
      </c>
      <c r="I136" s="1278">
        <f>AVERAGE(DataUK3!CY137,DataUK3!CY138)/DataUK1!B137</f>
        <v>1.0086982955762362E-4</v>
      </c>
      <c r="J136" s="1358">
        <f>C136/TableUK5c!O133</f>
        <v>9.8095093836140027E-2</v>
      </c>
      <c r="N136" s="1286">
        <f t="shared" si="31"/>
        <v>0</v>
      </c>
      <c r="O136" s="1286">
        <f t="shared" si="32"/>
        <v>0</v>
      </c>
      <c r="P136" s="1286">
        <f t="shared" si="33"/>
        <v>-3.1441863002079629E-18</v>
      </c>
    </row>
    <row r="137" spans="1:16" ht="12" customHeight="1">
      <c r="A137" s="10">
        <v>1979</v>
      </c>
      <c r="B137" s="1289">
        <f>AVERAGE(DataUK3!CQ138,DataUK3!CQ139)/DataUK1!B138</f>
        <v>6.9486485365810313E-2</v>
      </c>
      <c r="C137" s="1278">
        <f>AVERAGE(DataUK3!CR138,DataUK3!CR139)/DataUK1!B138</f>
        <v>5.9324594087088386E-2</v>
      </c>
      <c r="D137" s="1265">
        <f>AVERAGE(DataUK3!CT138,DataUK3!CT139)/DataUK1!B138</f>
        <v>0</v>
      </c>
      <c r="E137" s="1265">
        <f>AVERAGE(DataUK3!CS138,DataUK3!CS139)/DataUK1!B138</f>
        <v>1.016189127872193E-2</v>
      </c>
      <c r="F137" s="717">
        <f t="shared" si="34"/>
        <v>6.9486485365810313E-2</v>
      </c>
      <c r="G137" s="1278">
        <f>AVERAGE(DataUK3!CW138,DataUK3!CW139)/DataUK1!B138</f>
        <v>8.3966662125259904E-3</v>
      </c>
      <c r="H137" s="1278">
        <f>(AVERAGE(DataUK3!CV138,DataUK3!CV139)+AVERAGE(DataUK3!CX138,DataUK3!CX139))/DataUK1!B138</f>
        <v>6.1003334972188815E-2</v>
      </c>
      <c r="I137" s="1278">
        <f>AVERAGE(DataUK3!CY138,DataUK3!CY139)/DataUK1!B138</f>
        <v>8.6484181095505786E-5</v>
      </c>
      <c r="J137" s="1358">
        <f>C137/TableUK5c!O134</f>
        <v>9.4256291996764635E-2</v>
      </c>
      <c r="N137" s="1286">
        <f t="shared" si="31"/>
        <v>0</v>
      </c>
      <c r="O137" s="1286">
        <f t="shared" si="32"/>
        <v>0</v>
      </c>
      <c r="P137" s="1286">
        <f t="shared" si="33"/>
        <v>-1.3552527156068805E-18</v>
      </c>
    </row>
    <row r="138" spans="1:16" ht="12" customHeight="1">
      <c r="A138" s="24">
        <v>1980</v>
      </c>
      <c r="B138" s="1290">
        <f>AVERAGE(DataUK3!CQ139,DataUK3!CQ140)/DataUK1!B139</f>
        <v>6.0497570969279602E-2</v>
      </c>
      <c r="C138" s="1277">
        <f>AVERAGE(DataUK3!CR139,DataUK3!CR140)/DataUK1!B139</f>
        <v>4.8106471668069646E-2</v>
      </c>
      <c r="D138" s="1266">
        <f>AVERAGE(DataUK3!CT139,DataUK3!CT140)/DataUK1!B139</f>
        <v>0</v>
      </c>
      <c r="E138" s="1266">
        <f>AVERAGE(DataUK3!CS139,DataUK3!CS140)/DataUK1!B139</f>
        <v>1.239109930120995E-2</v>
      </c>
      <c r="F138" s="727">
        <f t="shared" si="34"/>
        <v>6.0497570969279602E-2</v>
      </c>
      <c r="G138" s="1277">
        <f>AVERAGE(DataUK3!CW139,DataUK3!CW140)/DataUK1!B139</f>
        <v>4.5842249921398794E-3</v>
      </c>
      <c r="H138" s="1277">
        <f>(AVERAGE(DataUK3!CV139,DataUK3!CV140)+AVERAGE(DataUK3!CX139,DataUK3!CX140))/DataUK1!B139</f>
        <v>5.5839308715098519E-2</v>
      </c>
      <c r="I138" s="1277">
        <f>AVERAGE(DataUK3!CY139,DataUK3!CY140)/DataUK1!B139</f>
        <v>7.4037262041197154E-5</v>
      </c>
      <c r="J138" s="1359">
        <f>C138/TableUK5c!O135</f>
        <v>8.0768081667124292E-2</v>
      </c>
      <c r="N138" s="1286">
        <f t="shared" si="31"/>
        <v>0</v>
      </c>
      <c r="O138" s="1286">
        <f t="shared" si="32"/>
        <v>0</v>
      </c>
      <c r="P138" s="1286">
        <f t="shared" ref="P138:P164" si="35">F138-G138-H138-I138</f>
        <v>3.1035287187397564E-18</v>
      </c>
    </row>
    <row r="139" spans="1:16" ht="12" customHeight="1">
      <c r="A139" s="10">
        <v>1981</v>
      </c>
      <c r="B139" s="1289">
        <f>AVERAGE(DataUK3!CQ140,DataUK3!CQ141)/DataUK1!B140</f>
        <v>5.7457795891901912E-2</v>
      </c>
      <c r="C139" s="1278">
        <f>AVERAGE(DataUK3!CR140,DataUK3!CR141)/DataUK1!B140</f>
        <v>3.6213324687955913E-2</v>
      </c>
      <c r="D139" s="1265">
        <f>AVERAGE(DataUK3!CT140,DataUK3!CT141)/DataUK1!B140</f>
        <v>0</v>
      </c>
      <c r="E139" s="1265">
        <f>AVERAGE(DataUK3!CS140,DataUK3!CS141)/DataUK1!B140</f>
        <v>2.1244471203946E-2</v>
      </c>
      <c r="F139" s="717">
        <f t="shared" si="34"/>
        <v>5.7457795891901919E-2</v>
      </c>
      <c r="G139" s="1278">
        <f>AVERAGE(DataUK3!CW140,DataUK3!CW141)/DataUK1!B140</f>
        <v>2.4129865919459048E-3</v>
      </c>
      <c r="H139" s="1278">
        <f>(AVERAGE(DataUK3!CV140,DataUK3!CV141)+AVERAGE(DataUK3!CX140,DataUK3!CX141))/DataUK1!B140</f>
        <v>5.4977190097955222E-2</v>
      </c>
      <c r="I139" s="1278">
        <f>AVERAGE(DataUK3!CY140,DataUK3!CY141)/DataUK1!B140</f>
        <v>6.7619202000787358E-5</v>
      </c>
      <c r="J139" s="1358">
        <f>C139/TableUK5c!O136</f>
        <v>6.560282211947574E-2</v>
      </c>
      <c r="N139" s="1286">
        <f t="shared" si="31"/>
        <v>0</v>
      </c>
      <c r="O139" s="1286">
        <f t="shared" si="32"/>
        <v>0</v>
      </c>
      <c r="P139" s="1286">
        <f t="shared" si="35"/>
        <v>1.6669608401964631E-18</v>
      </c>
    </row>
    <row r="140" spans="1:16" ht="12" customHeight="1">
      <c r="A140" s="10">
        <v>1982</v>
      </c>
      <c r="B140" s="1289">
        <f>AVERAGE(DataUK3!CQ141,DataUK3!CQ142)/DataUK1!B141</f>
        <v>5.6753367667041317E-2</v>
      </c>
      <c r="C140" s="1278">
        <f>AVERAGE(DataUK3!CR141,DataUK3!CR142)/DataUK1!B141</f>
        <v>2.1881448054889199E-2</v>
      </c>
      <c r="D140" s="1265">
        <f>AVERAGE(DataUK3!CT141,DataUK3!CT142)/DataUK1!B141</f>
        <v>0</v>
      </c>
      <c r="E140" s="1265">
        <f>AVERAGE(DataUK3!CS141,DataUK3!CS142)/DataUK1!B141</f>
        <v>3.4871919612152122E-2</v>
      </c>
      <c r="F140" s="717">
        <f t="shared" si="34"/>
        <v>5.675336766704131E-2</v>
      </c>
      <c r="G140" s="1278">
        <f>AVERAGE(DataUK3!CW141,DataUK3!CW142)/DataUK1!B141</f>
        <v>2.5372833872942912E-3</v>
      </c>
      <c r="H140" s="1278">
        <f>(AVERAGE(DataUK3!CV141,DataUK3!CV142)+AVERAGE(DataUK3!CX141,DataUK3!CX142))/DataUK1!B141</f>
        <v>5.4154853969904881E-2</v>
      </c>
      <c r="I140" s="1278">
        <f>AVERAGE(DataUK3!CY141,DataUK3!CY142)/DataUK1!B141</f>
        <v>6.123030984214323E-5</v>
      </c>
      <c r="J140" s="1358">
        <f>C140/TableUK5c!O137</f>
        <v>4.0047238008132299E-2</v>
      </c>
      <c r="N140" s="1286">
        <f t="shared" si="31"/>
        <v>0</v>
      </c>
      <c r="O140" s="1286">
        <f t="shared" si="32"/>
        <v>0</v>
      </c>
      <c r="P140" s="1286">
        <f t="shared" si="35"/>
        <v>-2.7782680669941051E-18</v>
      </c>
    </row>
    <row r="141" spans="1:16" ht="12" customHeight="1">
      <c r="A141" s="10">
        <v>1983</v>
      </c>
      <c r="B141" s="1289">
        <f>AVERAGE(DataUK3!CQ142,DataUK3!CQ143)/DataUK1!B142</f>
        <v>5.4127730288992343E-2</v>
      </c>
      <c r="C141" s="1278">
        <f>AVERAGE(DataUK3!CR142,DataUK3!CR143)/DataUK1!B142</f>
        <v>1.6608428089584969E-2</v>
      </c>
      <c r="D141" s="1265">
        <f>AVERAGE(DataUK3!CT142,DataUK3!CT143)/DataUK1!B142</f>
        <v>0</v>
      </c>
      <c r="E141" s="1265">
        <f>AVERAGE(DataUK3!CS142,DataUK3!CS143)/DataUK1!B142</f>
        <v>3.751930219940737E-2</v>
      </c>
      <c r="F141" s="717">
        <f t="shared" si="34"/>
        <v>5.4127730288992336E-2</v>
      </c>
      <c r="G141" s="1278">
        <f>AVERAGE(DataUK3!CW142,DataUK3!CW143)/DataUK1!B142</f>
        <v>2.6216844797037611E-3</v>
      </c>
      <c r="H141" s="1278">
        <f>(AVERAGE(DataUK3!CV142,DataUK3!CV143)+AVERAGE(DataUK3!CX142,DataUK3!CX143))/DataUK1!B142</f>
        <v>5.1450652765289047E-2</v>
      </c>
      <c r="I141" s="1278">
        <f>AVERAGE(DataUK3!CY142,DataUK3!CY143)/DataUK1!B142</f>
        <v>5.5393043999529534E-5</v>
      </c>
      <c r="J141" s="1358">
        <f>C141/TableUK5c!O138</f>
        <v>3.0266193032924438E-2</v>
      </c>
      <c r="N141" s="1286">
        <f t="shared" si="31"/>
        <v>0</v>
      </c>
      <c r="O141" s="1286">
        <f t="shared" si="32"/>
        <v>0</v>
      </c>
      <c r="P141" s="1286">
        <f t="shared" si="35"/>
        <v>-2.4868887331386258E-18</v>
      </c>
    </row>
    <row r="142" spans="1:16" ht="12" customHeight="1">
      <c r="A142" s="10">
        <v>1984</v>
      </c>
      <c r="B142" s="1289">
        <f>AVERAGE(DataUK3!CQ143,DataUK3!CQ144)/DataUK1!B143</f>
        <v>5.2251456949216922E-2</v>
      </c>
      <c r="C142" s="1278">
        <f>AVERAGE(DataUK3!CR143,DataUK3!CR144)/DataUK1!B143</f>
        <v>1.3065941679826398E-2</v>
      </c>
      <c r="D142" s="1265">
        <f>AVERAGE(DataUK3!CT143,DataUK3!CT144)/DataUK1!B143</f>
        <v>0</v>
      </c>
      <c r="E142" s="1265">
        <f>AVERAGE(DataUK3!CS143,DataUK3!CS144)/DataUK1!B143</f>
        <v>3.9185515269390528E-2</v>
      </c>
      <c r="F142" s="717">
        <f t="shared" si="34"/>
        <v>5.2251456949216922E-2</v>
      </c>
      <c r="G142" s="1278">
        <f>AVERAGE(DataUK3!CW143,DataUK3!CW144)/DataUK1!B143</f>
        <v>2.7784909628702165E-3</v>
      </c>
      <c r="H142" s="1278">
        <f>(AVERAGE(DataUK3!CV143,DataUK3!CV144)+AVERAGE(DataUK3!CX143,DataUK3!CX144))/DataUK1!B143</f>
        <v>4.942161665969113E-2</v>
      </c>
      <c r="I142" s="1278">
        <f>AVERAGE(DataUK3!CY143,DataUK3!CY144)/DataUK1!B143</f>
        <v>5.134932665557615E-5</v>
      </c>
      <c r="J142" s="1358">
        <f>C142/TableUK5c!O139</f>
        <v>2.3997709596451172E-2</v>
      </c>
      <c r="N142" s="1286">
        <f t="shared" si="31"/>
        <v>0</v>
      </c>
      <c r="O142" s="1286">
        <f t="shared" si="32"/>
        <v>0</v>
      </c>
      <c r="P142" s="1286">
        <f t="shared" si="35"/>
        <v>5.8275866771095863E-19</v>
      </c>
    </row>
    <row r="143" spans="1:16" ht="12" customHeight="1">
      <c r="A143" s="10">
        <v>1985</v>
      </c>
      <c r="B143" s="1289">
        <f>AVERAGE(DataUK3!CQ144,DataUK3!CQ145)/DataUK1!B144</f>
        <v>4.8533138417251362E-2</v>
      </c>
      <c r="C143" s="1278">
        <f>AVERAGE(DataUK3!CR144,DataUK3!CR145)/DataUK1!B144</f>
        <v>6.2226100508434735E-3</v>
      </c>
      <c r="D143" s="1265">
        <f>AVERAGE(DataUK3!CT144,DataUK3!CT145)/DataUK1!B144</f>
        <v>0</v>
      </c>
      <c r="E143" s="1265">
        <f>AVERAGE(DataUK3!CS144,DataUK3!CS145)/DataUK1!B144</f>
        <v>4.231052836640789E-2</v>
      </c>
      <c r="F143" s="717">
        <f t="shared" si="34"/>
        <v>4.8533138417251362E-2</v>
      </c>
      <c r="G143" s="1278">
        <f>AVERAGE(DataUK3!CW144,DataUK3!CW145)/DataUK1!B144</f>
        <v>2.9253512192451724E-3</v>
      </c>
      <c r="H143" s="1278">
        <f>(AVERAGE(DataUK3!CV144,DataUK3!CV145)+AVERAGE(DataUK3!CX144,DataUK3!CX145))/DataUK1!B144</f>
        <v>4.5560775499821293E-2</v>
      </c>
      <c r="I143" s="1278">
        <f>AVERAGE(DataUK3!CY144,DataUK3!CY145)/DataUK1!B144</f>
        <v>4.7011698184897654E-5</v>
      </c>
      <c r="J143" s="1358">
        <f>C143/TableUK5c!O140</f>
        <v>1.124247278225975E-2</v>
      </c>
      <c r="N143" s="1286">
        <f t="shared" si="31"/>
        <v>0</v>
      </c>
      <c r="O143" s="1286">
        <f t="shared" si="32"/>
        <v>0</v>
      </c>
      <c r="P143" s="1286">
        <f t="shared" si="35"/>
        <v>7.1150767569361228E-19</v>
      </c>
    </row>
    <row r="144" spans="1:16" ht="12" customHeight="1">
      <c r="A144" s="10">
        <v>1986</v>
      </c>
      <c r="B144" s="1289">
        <f>AVERAGE(DataUK3!CQ145,DataUK3!CQ146)/DataUK1!B145</f>
        <v>4.626469778869978E-2</v>
      </c>
      <c r="C144" s="1278">
        <f>AVERAGE(DataUK3!CR145,DataUK3!CR146)/DataUK1!B145</f>
        <v>5.754078811790699E-3</v>
      </c>
      <c r="D144" s="1265">
        <f>AVERAGE(DataUK3!CT145,DataUK3!CT146)/DataUK1!B145</f>
        <v>0</v>
      </c>
      <c r="E144" s="1265">
        <f>AVERAGE(DataUK3!CS145,DataUK3!CS146)/DataUK1!B145</f>
        <v>4.051061897690908E-2</v>
      </c>
      <c r="F144" s="717">
        <f t="shared" si="34"/>
        <v>4.6264697788699773E-2</v>
      </c>
      <c r="G144" s="1278">
        <f>AVERAGE(DataUK3!CW145,DataUK3!CW146)/DataUK1!B145</f>
        <v>3.1477845826652327E-3</v>
      </c>
      <c r="H144" s="1278">
        <f>(AVERAGE(DataUK3!CV145,DataUK3!CV146)+AVERAGE(DataUK3!CX145,DataUK3!CX146))/DataUK1!B145</f>
        <v>4.3073474968882454E-2</v>
      </c>
      <c r="I144" s="1278">
        <f>AVERAGE(DataUK3!CY145,DataUK3!CY146)/DataUK1!B145</f>
        <v>4.343823715209111E-5</v>
      </c>
      <c r="J144" s="1358">
        <f>C144/TableUK5c!O141</f>
        <v>1.0363251591862067E-2</v>
      </c>
      <c r="N144" s="1286">
        <f t="shared" si="31"/>
        <v>0</v>
      </c>
      <c r="O144" s="1286">
        <f t="shared" si="32"/>
        <v>0</v>
      </c>
      <c r="P144" s="1286">
        <f t="shared" si="35"/>
        <v>-1.6669608401964631E-18</v>
      </c>
    </row>
    <row r="145" spans="1:16" ht="12" customHeight="1">
      <c r="A145" s="10">
        <v>1987</v>
      </c>
      <c r="B145" s="1289">
        <f>AVERAGE(DataUK3!CQ146,DataUK3!CQ147)/DataUK1!B146</f>
        <v>4.6021724168885961E-2</v>
      </c>
      <c r="C145" s="1278">
        <f>AVERAGE(DataUK3!CR146,DataUK3!CR147)/DataUK1!B146</f>
        <v>1.6524350600774191E-2</v>
      </c>
      <c r="D145" s="1265">
        <f>AVERAGE(DataUK3!CT146,DataUK3!CT147)/DataUK1!B146</f>
        <v>0</v>
      </c>
      <c r="E145" s="1265">
        <f>AVERAGE(DataUK3!CS146,DataUK3!CS147)/DataUK1!B146</f>
        <v>2.949737356811177E-2</v>
      </c>
      <c r="F145" s="717">
        <f t="shared" si="34"/>
        <v>4.6021724168885968E-2</v>
      </c>
      <c r="G145" s="1278">
        <f>AVERAGE(DataUK3!CW146,DataUK3!CW147)/DataUK1!B146</f>
        <v>3.2167329961997667E-3</v>
      </c>
      <c r="H145" s="1278">
        <f>(AVERAGE(DataUK3!CV146,DataUK3!CV147)+AVERAGE(DataUK3!CX146,DataUK3!CX147))/DataUK1!B146</f>
        <v>4.2765275061274345E-2</v>
      </c>
      <c r="I145" s="1278">
        <f>AVERAGE(DataUK3!CY146,DataUK3!CY147)/DataUK1!B146</f>
        <v>3.9716111411853353E-5</v>
      </c>
      <c r="J145" s="1358">
        <f>C145/TableUK5c!O142</f>
        <v>2.9949524828996495E-2</v>
      </c>
      <c r="N145" s="1286">
        <f t="shared" si="31"/>
        <v>0</v>
      </c>
      <c r="O145" s="1286">
        <f t="shared" si="32"/>
        <v>0</v>
      </c>
      <c r="P145" s="1286">
        <f t="shared" si="35"/>
        <v>7.521652571618187E-19</v>
      </c>
    </row>
    <row r="146" spans="1:16" ht="12" customHeight="1">
      <c r="A146" s="10">
        <v>1988</v>
      </c>
      <c r="B146" s="1289">
        <f>AVERAGE(DataUK3!CQ147,DataUK3!CQ148)/DataUK1!B147</f>
        <v>4.5227312399387112E-2</v>
      </c>
      <c r="C146" s="1278">
        <f>AVERAGE(DataUK3!CR147,DataUK3!CR148)/DataUK1!B147</f>
        <v>2.7069110145658371E-2</v>
      </c>
      <c r="D146" s="1265">
        <f>AVERAGE(DataUK3!CT147,DataUK3!CT148)/DataUK1!B147</f>
        <v>0</v>
      </c>
      <c r="E146" s="1265">
        <f>AVERAGE(DataUK3!CS147,DataUK3!CS148)/DataUK1!B147</f>
        <v>1.8158202253728738E-2</v>
      </c>
      <c r="F146" s="717">
        <f t="shared" si="34"/>
        <v>4.5227312399387112E-2</v>
      </c>
      <c r="G146" s="1278">
        <f>AVERAGE(DataUK3!CW147,DataUK3!CW148)/DataUK1!B147</f>
        <v>3.1796097674508814E-3</v>
      </c>
      <c r="H146" s="1278">
        <f>(AVERAGE(DataUK3!CV147,DataUK3!CV148)+AVERAGE(DataUK3!CX147,DataUK3!CX148))/DataUK1!B147</f>
        <v>4.20123062898815E-2</v>
      </c>
      <c r="I146" s="1278">
        <f>AVERAGE(DataUK3!CY147,DataUK3!CY148)/DataUK1!B147</f>
        <v>3.5396342054733412E-5</v>
      </c>
      <c r="J146" s="1358">
        <f>C146/TableUK5c!O143</f>
        <v>5.2564192899607398E-2</v>
      </c>
      <c r="N146" s="1286">
        <f t="shared" si="31"/>
        <v>0</v>
      </c>
      <c r="O146" s="1286">
        <f t="shared" si="32"/>
        <v>0</v>
      </c>
      <c r="P146" s="1286">
        <f t="shared" si="35"/>
        <v>-1.6127507315721878E-18</v>
      </c>
    </row>
    <row r="147" spans="1:16" ht="12" customHeight="1">
      <c r="A147" s="10">
        <v>1989</v>
      </c>
      <c r="B147" s="1291">
        <f>AVERAGE(DataUK3!CQ148,DataUK3!CQ149)/DataUK1!B148</f>
        <v>4.5655496245764024E-2</v>
      </c>
      <c r="C147" s="1281">
        <f>AVERAGE(DataUK3!CR148,DataUK3!CR149)/DataUK1!B148</f>
        <v>3.0786396154953599E-2</v>
      </c>
      <c r="D147" s="1267">
        <f>AVERAGE(DataUK3!CT148,DataUK3!CT149)/DataUK1!B148</f>
        <v>0</v>
      </c>
      <c r="E147" s="1267">
        <f>AVERAGE(DataUK3!CS148,DataUK3!CS149)/DataUK1!B148</f>
        <v>1.4869100090810428E-2</v>
      </c>
      <c r="F147" s="735">
        <f t="shared" si="34"/>
        <v>4.5655496245764031E-2</v>
      </c>
      <c r="G147" s="1281">
        <f>AVERAGE(DataUK3!CW148,DataUK3!CW149)/DataUK1!B148</f>
        <v>3.487341912334714E-3</v>
      </c>
      <c r="H147" s="1281">
        <f>(AVERAGE(DataUK3!CV148,DataUK3!CV149)+AVERAGE(DataUK3!CX148,DataUK3!CX149))/DataUK1!B148</f>
        <v>4.2135816961615988E-2</v>
      </c>
      <c r="I147" s="1281">
        <f>AVERAGE(DataUK3!CY148,DataUK3!CY149)/DataUK1!B148</f>
        <v>3.2337371813329195E-5</v>
      </c>
      <c r="J147" s="1360">
        <f>C147/TableUK5c!O144</f>
        <v>6.9088826957704144E-2</v>
      </c>
      <c r="N147" s="1286">
        <f t="shared" si="31"/>
        <v>0</v>
      </c>
      <c r="O147" s="1286">
        <f t="shared" si="32"/>
        <v>0</v>
      </c>
      <c r="P147" s="1286">
        <f t="shared" si="35"/>
        <v>1.2671612890924333E-18</v>
      </c>
    </row>
    <row r="148" spans="1:16" ht="12" customHeight="1">
      <c r="A148" s="24">
        <v>1990</v>
      </c>
      <c r="B148" s="1289">
        <f>AVERAGE(DataUK3!CQ149,DataUK3!CQ150)/DataUK1!B149</f>
        <v>4.8723279437646018E-2</v>
      </c>
      <c r="C148" s="1278">
        <f>AVERAGE(DataUK3!CR149,DataUK3!CR150)/DataUK1!B149</f>
        <v>3.2561777631402902E-2</v>
      </c>
      <c r="D148" s="1265">
        <f>AVERAGE(DataUK3!CT149,DataUK3!CT150)/DataUK1!B149</f>
        <v>0</v>
      </c>
      <c r="E148" s="1265">
        <f>AVERAGE(DataUK3!CS149,DataUK3!CS150)/DataUK1!B149</f>
        <v>1.6161501806243116E-2</v>
      </c>
      <c r="F148" s="717">
        <f t="shared" si="34"/>
        <v>4.8723279437646018E-2</v>
      </c>
      <c r="G148" s="1278">
        <f>AVERAGE(DataUK3!CW149,DataUK3!CW150)/DataUK1!B149</f>
        <v>3.6248366147607629E-3</v>
      </c>
      <c r="H148" s="1278">
        <f>(AVERAGE(DataUK3!CV149,DataUK3!CV150)+AVERAGE(DataUK3!CX149,DataUK3!CX150))/DataUK1!B149</f>
        <v>4.5068390230849194E-2</v>
      </c>
      <c r="I148" s="1278">
        <f>AVERAGE(DataUK3!CY149,DataUK3!CY150)/DataUK1!B149</f>
        <v>3.0052592036063111E-5</v>
      </c>
      <c r="J148" s="1358">
        <f>C148/TableUK5c!O145</f>
        <v>8.1233517056416849E-2</v>
      </c>
      <c r="N148" s="1286">
        <f t="shared" si="31"/>
        <v>0</v>
      </c>
      <c r="O148" s="1286">
        <f t="shared" si="32"/>
        <v>0</v>
      </c>
      <c r="P148" s="1286">
        <f t="shared" si="35"/>
        <v>-1.412850956020173E-18</v>
      </c>
    </row>
    <row r="149" spans="1:16" ht="12" customHeight="1">
      <c r="A149" s="10">
        <v>1991</v>
      </c>
      <c r="B149" s="1289">
        <f>AVERAGE(DataUK3!CQ150,DataUK3!CQ151)/DataUK1!B150</f>
        <v>4.7197335848166919E-2</v>
      </c>
      <c r="C149" s="1278">
        <f>AVERAGE(DataUK3!CR150,DataUK3!CR151)/DataUK1!B150</f>
        <v>2.9282093598962632E-2</v>
      </c>
      <c r="D149" s="1265">
        <f>AVERAGE(DataUK3!CT150,DataUK3!CT151)/DataUK1!B150</f>
        <v>0</v>
      </c>
      <c r="E149" s="1265">
        <f>AVERAGE(DataUK3!CS150,DataUK3!CS151)/DataUK1!B150</f>
        <v>1.7915242249204291E-2</v>
      </c>
      <c r="F149" s="717">
        <f t="shared" si="34"/>
        <v>4.7197335848166919E-2</v>
      </c>
      <c r="G149" s="1278">
        <f>AVERAGE(DataUK3!CW150,DataUK3!CW151)/DataUK1!B150</f>
        <v>3.4618256120083303E-3</v>
      </c>
      <c r="H149" s="1278">
        <f>(AVERAGE(DataUK3!CV150,DataUK3!CV151)+AVERAGE(DataUK3!CX150,DataUK3!CX151))/DataUK1!B150</f>
        <v>4.3706825415536957E-2</v>
      </c>
      <c r="I149" s="1278">
        <f>AVERAGE(DataUK3!CY150,DataUK3!CY151)/DataUK1!B150</f>
        <v>2.8684820621635428E-5</v>
      </c>
      <c r="J149" s="1358">
        <f>C149/TableUK5c!O146</f>
        <v>7.4961560926897028E-2</v>
      </c>
      <c r="N149" s="1286">
        <f t="shared" si="31"/>
        <v>0</v>
      </c>
      <c r="O149" s="1286">
        <f t="shared" si="32"/>
        <v>0</v>
      </c>
      <c r="P149" s="1286">
        <f t="shared" si="35"/>
        <v>-1.2400562347802957E-18</v>
      </c>
    </row>
    <row r="150" spans="1:16" ht="12" customHeight="1">
      <c r="A150" s="10">
        <v>1992</v>
      </c>
      <c r="B150" s="1289">
        <f>AVERAGE(DataUK3!CQ151,DataUK3!CQ152)/DataUK1!B151</f>
        <v>4.3316880294321736E-2</v>
      </c>
      <c r="C150" s="1278">
        <f>AVERAGE(DataUK3!CR151,DataUK3!CR152)/DataUK1!B151</f>
        <v>2.2193834131670448E-2</v>
      </c>
      <c r="D150" s="1265">
        <f>AVERAGE(DataUK3!CT151,DataUK3!CT152)/DataUK1!B151</f>
        <v>0</v>
      </c>
      <c r="E150" s="1265">
        <f>AVERAGE(DataUK3!CS151,DataUK3!CS152)/DataUK1!B151</f>
        <v>2.1123046162651291E-2</v>
      </c>
      <c r="F150" s="717">
        <f t="shared" si="34"/>
        <v>4.3316880294321743E-2</v>
      </c>
      <c r="G150" s="1278">
        <f>AVERAGE(DataUK3!CW151,DataUK3!CW152)/DataUK1!B151</f>
        <v>3.045900799209955E-3</v>
      </c>
      <c r="H150" s="1278">
        <f>(AVERAGE(DataUK3!CV151,DataUK3!CV152)+AVERAGE(DataUK3!CX151,DataUK3!CX152))/DataUK1!B151</f>
        <v>4.0243672063936801E-2</v>
      </c>
      <c r="I150" s="1278">
        <f>AVERAGE(DataUK3!CY151,DataUK3!CY152)/DataUK1!B151</f>
        <v>2.7307431174986392E-5</v>
      </c>
      <c r="J150" s="1358">
        <f>C150/TableUK5c!O147</f>
        <v>5.1587145003105968E-2</v>
      </c>
      <c r="N150" s="1286">
        <f t="shared" si="31"/>
        <v>0</v>
      </c>
      <c r="O150" s="1286">
        <f t="shared" si="32"/>
        <v>0</v>
      </c>
      <c r="P150" s="1286">
        <f t="shared" si="35"/>
        <v>2.4021854384131958E-18</v>
      </c>
    </row>
    <row r="151" spans="1:16" ht="12" customHeight="1">
      <c r="A151" s="10">
        <v>1993</v>
      </c>
      <c r="B151" s="1289">
        <f>AVERAGE(DataUK3!CQ152,DataUK3!CQ153)/DataUK1!B152</f>
        <v>4.8504373716486533E-2</v>
      </c>
      <c r="C151" s="1278">
        <f>AVERAGE(DataUK3!CR152,DataUK3!CR153)/DataUK1!B152</f>
        <v>1.5362190624400435E-2</v>
      </c>
      <c r="D151" s="1265">
        <f>AVERAGE(DataUK3!CT152,DataUK3!CT153)/DataUK1!B152</f>
        <v>0</v>
      </c>
      <c r="E151" s="1265">
        <f>AVERAGE(DataUK3!CS152,DataUK3!CS153)/DataUK1!B152</f>
        <v>3.3142183092086094E-2</v>
      </c>
      <c r="F151" s="717">
        <f t="shared" si="34"/>
        <v>4.8504373716486533E-2</v>
      </c>
      <c r="G151" s="1278">
        <f>AVERAGE(DataUK3!CW152,DataUK3!CW153)/DataUK1!B152</f>
        <v>5.6021587897134165E-3</v>
      </c>
      <c r="H151" s="1278">
        <f>(AVERAGE(DataUK3!CV152,DataUK3!CV153)+AVERAGE(DataUK3!CX152,DataUK3!CX153))/DataUK1!B152</f>
        <v>4.2876278184001651E-2</v>
      </c>
      <c r="I151" s="1278">
        <f>AVERAGE(DataUK3!CY152,DataUK3!CY153)/DataUK1!B152</f>
        <v>2.593674277146532E-5</v>
      </c>
      <c r="J151" s="1358">
        <f>C151/TableUK5c!O148</f>
        <v>3.1048658318319787E-2</v>
      </c>
      <c r="N151" s="1286">
        <f t="shared" si="31"/>
        <v>0</v>
      </c>
      <c r="O151" s="1286">
        <f t="shared" si="32"/>
        <v>0</v>
      </c>
      <c r="P151" s="1286">
        <f t="shared" si="35"/>
        <v>1.2502206301473473E-18</v>
      </c>
    </row>
    <row r="152" spans="1:16" ht="12" customHeight="1">
      <c r="A152" s="10">
        <v>1994</v>
      </c>
      <c r="B152" s="1289">
        <f>AVERAGE(DataUK3!CQ153,DataUK3!CQ154)/DataUK1!B153</f>
        <v>4.736103944217309E-2</v>
      </c>
      <c r="C152" s="1278">
        <f>AVERAGE(DataUK3!CR153,DataUK3!CR154)/DataUK1!B153</f>
        <v>1.704425171013112E-2</v>
      </c>
      <c r="D152" s="1265">
        <f>AVERAGE(DataUK3!CT153,DataUK3!CT154)/DataUK1!B153</f>
        <v>0</v>
      </c>
      <c r="E152" s="1265">
        <f>AVERAGE(DataUK3!CS153,DataUK3!CS154)/DataUK1!B153</f>
        <v>3.031678773204197E-2</v>
      </c>
      <c r="F152" s="717">
        <f t="shared" si="34"/>
        <v>4.736103944217309E-2</v>
      </c>
      <c r="G152" s="1278">
        <f>AVERAGE(DataUK3!CW153,DataUK3!CW154)/DataUK1!B153</f>
        <v>6.3608938990989562E-3</v>
      </c>
      <c r="H152" s="1278">
        <f>(AVERAGE(DataUK3!CV153,DataUK3!CV154)+AVERAGE(DataUK3!CX153,DataUK3!CX154))/DataUK1!B153</f>
        <v>4.0975998623956393E-2</v>
      </c>
      <c r="I152" s="1278">
        <f>AVERAGE(DataUK3!CY153,DataUK3!CY154)/DataUK1!B153</f>
        <v>2.4146919117744345E-5</v>
      </c>
      <c r="J152" s="1358">
        <f>C152/TableUK5c!O149</f>
        <v>3.0990389390022608E-2</v>
      </c>
      <c r="N152" s="1286">
        <f t="shared" si="31"/>
        <v>0</v>
      </c>
      <c r="O152" s="1286">
        <f t="shared" si="32"/>
        <v>0</v>
      </c>
      <c r="P152" s="1286">
        <f t="shared" si="35"/>
        <v>-1.429791614965259E-18</v>
      </c>
    </row>
    <row r="153" spans="1:16" ht="12" customHeight="1">
      <c r="A153" s="10">
        <v>1995</v>
      </c>
      <c r="B153" s="1289">
        <f>AVERAGE(DataUK3!CQ154,DataUK3!CQ155)/DataUK1!B154</f>
        <v>4.3063651273793059E-2</v>
      </c>
      <c r="C153" s="1278">
        <f>AVERAGE(DataUK3!CR154,DataUK3!CR155)/DataUK1!B154</f>
        <v>2.3741754377170569E-2</v>
      </c>
      <c r="D153" s="1265">
        <f>AVERAGE(DataUK3!CT154,DataUK3!CT155)/DataUK1!B154</f>
        <v>0</v>
      </c>
      <c r="E153" s="1265">
        <f>AVERAGE(DataUK3!CS154,DataUK3!CS155)/DataUK1!B154</f>
        <v>1.9321896896622486E-2</v>
      </c>
      <c r="F153" s="717">
        <f t="shared" si="34"/>
        <v>4.3063651273793059E-2</v>
      </c>
      <c r="G153" s="1278">
        <f>AVERAGE(DataUK3!CW154,DataUK3!CW155)/DataUK1!B154</f>
        <v>4.9704794562392598E-3</v>
      </c>
      <c r="H153" s="1278">
        <f>(AVERAGE(DataUK3!CV154,DataUK3!CV155)+AVERAGE(DataUK3!CX154,DataUK3!CX155))/DataUK1!B154</f>
        <v>3.8070301032788245E-2</v>
      </c>
      <c r="I153" s="1278">
        <f>AVERAGE(DataUK3!CY154,DataUK3!CY155)/DataUK1!B154</f>
        <v>2.2870784765550957E-5</v>
      </c>
      <c r="J153" s="1358">
        <f>C153/TableUK5c!O150</f>
        <v>4.1153100259668014E-2</v>
      </c>
      <c r="N153" s="1286">
        <f t="shared" si="31"/>
        <v>0</v>
      </c>
      <c r="O153" s="1286">
        <f t="shared" si="32"/>
        <v>0</v>
      </c>
      <c r="P153" s="1286">
        <f t="shared" si="35"/>
        <v>1.4196272195982074E-18</v>
      </c>
    </row>
    <row r="154" spans="1:16" ht="12" customHeight="1">
      <c r="A154" s="10">
        <v>1996</v>
      </c>
      <c r="B154" s="1289">
        <f>AVERAGE(DataUK3!CQ155,DataUK3!CQ156)/DataUK1!B155</f>
        <v>4.0259565361227975E-2</v>
      </c>
      <c r="C154" s="1278">
        <f>AVERAGE(DataUK3!CR155,DataUK3!CR156)/DataUK1!B155</f>
        <v>2.3811301310708462E-2</v>
      </c>
      <c r="D154" s="1265">
        <f>AVERAGE(DataUK3!CT155,DataUK3!CT156)/DataUK1!B155</f>
        <v>0</v>
      </c>
      <c r="E154" s="1265">
        <f>AVERAGE(DataUK3!CS155,DataUK3!CS156)/DataUK1!B155</f>
        <v>1.6448264050519513E-2</v>
      </c>
      <c r="F154" s="717">
        <f t="shared" si="34"/>
        <v>4.0259565361227975E-2</v>
      </c>
      <c r="G154" s="1278">
        <f>AVERAGE(DataUK3!CW155,DataUK3!CW156)/DataUK1!B155</f>
        <v>4.7091234326099114E-3</v>
      </c>
      <c r="H154" s="1278">
        <f>(AVERAGE(DataUK3!CV155,DataUK3!CV156)+AVERAGE(DataUK3!CX155,DataUK3!CX156))/DataUK1!B155</f>
        <v>3.5529070090844952E-2</v>
      </c>
      <c r="I154" s="1278">
        <f>AVERAGE(DataUK3!CY155,DataUK3!CY156)/DataUK1!B155</f>
        <v>2.1371837773113055E-5</v>
      </c>
      <c r="J154" s="1358">
        <f>C154/TableUK5c!O151</f>
        <v>4.0027061290932919E-2</v>
      </c>
      <c r="N154" s="1286">
        <f t="shared" si="31"/>
        <v>0</v>
      </c>
      <c r="O154" s="1286">
        <f t="shared" si="32"/>
        <v>0</v>
      </c>
      <c r="P154" s="1286">
        <f t="shared" si="35"/>
        <v>9.1140745124562716E-19</v>
      </c>
    </row>
    <row r="155" spans="1:16" ht="12" customHeight="1">
      <c r="A155" s="10">
        <v>1997</v>
      </c>
      <c r="B155" s="1289">
        <f>AVERAGE(DataUK3!CQ156,DataUK3!CQ157)/DataUK1!B156</f>
        <v>3.6810502775600926E-2</v>
      </c>
      <c r="C155" s="1278">
        <f>AVERAGE(DataUK3!CR156,DataUK3!CR157)/DataUK1!B156</f>
        <v>2.0408107539859159E-2</v>
      </c>
      <c r="D155" s="1265">
        <f>AVERAGE(DataUK3!CT156,DataUK3!CT157)/DataUK1!B156</f>
        <v>0</v>
      </c>
      <c r="E155" s="1265">
        <f>AVERAGE(DataUK3!CS156,DataUK3!CS157)/DataUK1!B156</f>
        <v>1.6402395235741767E-2</v>
      </c>
      <c r="F155" s="717">
        <f t="shared" si="34"/>
        <v>3.6810502775600926E-2</v>
      </c>
      <c r="G155" s="1278">
        <f>AVERAGE(DataUK3!CW156,DataUK3!CW157)/DataUK1!B156</f>
        <v>4.7880139913223218E-3</v>
      </c>
      <c r="H155" s="1278">
        <f>(AVERAGE(DataUK3!CV156,DataUK3!CV157)+AVERAGE(DataUK3!CX156,DataUK3!CX157))/DataUK1!B156</f>
        <v>3.2002555791899562E-2</v>
      </c>
      <c r="I155" s="1278">
        <f>AVERAGE(DataUK3!CY156,DataUK3!CY157)/DataUK1!B156</f>
        <v>1.9932992379043597E-5</v>
      </c>
      <c r="J155" s="1358">
        <f>C155/TableUK5c!O152</f>
        <v>3.5481444798326572E-2</v>
      </c>
      <c r="N155" s="1286">
        <f t="shared" si="31"/>
        <v>0</v>
      </c>
      <c r="O155" s="1286">
        <f t="shared" si="32"/>
        <v>0</v>
      </c>
      <c r="P155" s="1286">
        <f t="shared" si="35"/>
        <v>-3.2593827810345477E-18</v>
      </c>
    </row>
    <row r="156" spans="1:16" ht="12" customHeight="1">
      <c r="A156" s="10">
        <v>1998</v>
      </c>
      <c r="B156" s="1289">
        <f>AVERAGE(DataUK3!CQ157,DataUK3!CQ158)/DataUK1!B157</f>
        <v>3.7065169975551114E-2</v>
      </c>
      <c r="C156" s="1278">
        <f>AVERAGE(DataUK3!CR157,DataUK3!CR158)/DataUK1!B157</f>
        <v>1.9727765209540137E-2</v>
      </c>
      <c r="D156" s="1265">
        <f>AVERAGE(DataUK3!CT157,DataUK3!CT158)/DataUK1!B157</f>
        <v>0</v>
      </c>
      <c r="E156" s="1265">
        <f>AVERAGE(DataUK3!CS157,DataUK3!CS158)/DataUK1!B157</f>
        <v>1.7337404766010978E-2</v>
      </c>
      <c r="F156" s="717">
        <f t="shared" si="34"/>
        <v>3.7065169975551114E-2</v>
      </c>
      <c r="G156" s="1278">
        <f>AVERAGE(DataUK3!CW157,DataUK3!CW158)/DataUK1!B157</f>
        <v>3.5614468464995486E-3</v>
      </c>
      <c r="H156" s="1278">
        <f>(AVERAGE(DataUK3!CV157,DataUK3!CV158)+AVERAGE(DataUK3!CX157,DataUK3!CX158))/DataUK1!B157</f>
        <v>3.3485208931451821E-2</v>
      </c>
      <c r="I156" s="1278">
        <f>AVERAGE(DataUK3!CY157,DataUK3!CY158)/DataUK1!B157</f>
        <v>1.8514197599748409E-5</v>
      </c>
      <c r="J156" s="1358">
        <f>C156/TableUK5c!O153</f>
        <v>3.6753326411825708E-2</v>
      </c>
      <c r="N156" s="1286">
        <f t="shared" si="31"/>
        <v>0</v>
      </c>
      <c r="O156" s="1286">
        <f t="shared" si="32"/>
        <v>0</v>
      </c>
      <c r="P156" s="1286">
        <f t="shared" si="35"/>
        <v>-2.0904773138236132E-18</v>
      </c>
    </row>
    <row r="157" spans="1:16" ht="12" customHeight="1">
      <c r="A157" s="10">
        <v>1999</v>
      </c>
      <c r="B157" s="1291">
        <f>AVERAGE(DataUK3!CQ158,DataUK3!CQ159)/DataUK1!B158</f>
        <v>6.8237940795552898E-2</v>
      </c>
      <c r="C157" s="1281">
        <f>AVERAGE(DataUK3!CR158,DataUK3!CR159)/DataUK1!B158</f>
        <v>2.2590142682937249E-2</v>
      </c>
      <c r="D157" s="1267">
        <f>AVERAGE(DataUK3!CT158,DataUK3!CT159)/DataUK1!B158</f>
        <v>0</v>
      </c>
      <c r="E157" s="1267">
        <f>AVERAGE(DataUK3!CS158,DataUK3!CS159)/DataUK1!B158</f>
        <v>4.5647798112615642E-2</v>
      </c>
      <c r="F157" s="735">
        <f t="shared" si="34"/>
        <v>6.8237940795552898E-2</v>
      </c>
      <c r="G157" s="1281">
        <f>AVERAGE(DataUK3!CW158,DataUK3!CW159)/DataUK1!B158</f>
        <v>1.9390182720582401E-3</v>
      </c>
      <c r="H157" s="1281">
        <f>(AVERAGE(DataUK3!CV158,DataUK3!CV159)+AVERAGE(DataUK3!CX158,DataUK3!CX159))/DataUK1!B158</f>
        <v>6.628110088876249E-2</v>
      </c>
      <c r="I157" s="1281">
        <f>AVERAGE(DataUK3!CY158,DataUK3!CY159)/DataUK1!B158</f>
        <v>1.7821634732168905E-5</v>
      </c>
      <c r="J157" s="1360">
        <f>C157/TableUK5c!O154</f>
        <v>4.5673459854144664E-2</v>
      </c>
      <c r="N157" s="1286">
        <f t="shared" si="31"/>
        <v>0</v>
      </c>
      <c r="O157" s="1286">
        <f t="shared" si="32"/>
        <v>0</v>
      </c>
      <c r="P157" s="1286">
        <f t="shared" si="35"/>
        <v>1.8939656700606156E-18</v>
      </c>
    </row>
    <row r="158" spans="1:16" ht="12" customHeight="1">
      <c r="A158" s="24">
        <v>2000</v>
      </c>
      <c r="B158" s="1289">
        <f>AVERAGE(DataUK3!CQ159,DataUK3!CQ160)/DataUK1!B159</f>
        <v>6.9718235621884547E-2</v>
      </c>
      <c r="C158" s="1278">
        <f>AVERAGE(DataUK3!CR159,DataUK3!CR160)/DataUK1!B159</f>
        <v>2.0252212886581817E-2</v>
      </c>
      <c r="D158" s="1265">
        <f>AVERAGE(DataUK3!CT159,DataUK3!CT160)/DataUK1!B159</f>
        <v>0</v>
      </c>
      <c r="E158" s="1265">
        <f>AVERAGE(DataUK3!CS159,DataUK3!CS160)/DataUK1!B159</f>
        <v>4.9466022735302741E-2</v>
      </c>
      <c r="F158" s="717">
        <f t="shared" si="34"/>
        <v>6.9718235621884561E-2</v>
      </c>
      <c r="G158" s="1278">
        <f>AVERAGE(DataUK3!CW159,DataUK3!CW160)/DataUK1!B159</f>
        <v>2.005817624087883E-3</v>
      </c>
      <c r="H158" s="1278">
        <f>(AVERAGE(DataUK3!CV159,DataUK3!CV160)+AVERAGE(DataUK3!CX159,DataUK3!CX160))/DataUK1!B159</f>
        <v>6.7695504952857782E-2</v>
      </c>
      <c r="I158" s="1278">
        <f>AVERAGE(DataUK3!CY159,DataUK3!CY160)/DataUK1!B159</f>
        <v>1.6913044938887144E-5</v>
      </c>
      <c r="J158" s="1358">
        <f>C158/TableUK5c!O155</f>
        <v>4.3405133968958121E-2</v>
      </c>
      <c r="N158" s="1286">
        <f t="shared" si="31"/>
        <v>0</v>
      </c>
      <c r="O158" s="1286">
        <f t="shared" si="32"/>
        <v>0</v>
      </c>
      <c r="P158" s="1286">
        <f t="shared" si="35"/>
        <v>6.0850846930748936E-18</v>
      </c>
    </row>
    <row r="159" spans="1:16" ht="12" customHeight="1">
      <c r="A159" s="10">
        <v>2001</v>
      </c>
      <c r="B159" s="1289">
        <f>AVERAGE(DataUK3!CQ160,DataUK3!CQ161)/DataUK1!B160</f>
        <v>4.6388236726127095E-2</v>
      </c>
      <c r="C159" s="1278">
        <f>AVERAGE(DataUK3!CR160,DataUK3!CR161)/DataUK1!B160</f>
        <v>1.6845172234936503E-2</v>
      </c>
      <c r="D159" s="1265">
        <f>AVERAGE(DataUK3!CT160,DataUK3!CT161)/DataUK1!B160</f>
        <v>0</v>
      </c>
      <c r="E159" s="1265">
        <f>AVERAGE(DataUK3!CS160,DataUK3!CS161)/DataUK1!B160</f>
        <v>2.9543064491190592E-2</v>
      </c>
      <c r="F159" s="717">
        <f t="shared" si="34"/>
        <v>4.6388236726127102E-2</v>
      </c>
      <c r="G159" s="1278">
        <f>AVERAGE(DataUK3!CW160,DataUK3!CW161)/DataUK1!B160</f>
        <v>2.578068543067781E-3</v>
      </c>
      <c r="H159" s="1278">
        <f>(AVERAGE(DataUK3!CV160,DataUK3!CV161)+AVERAGE(DataUK3!CX160,DataUK3!CX161))/DataUK1!B160</f>
        <v>4.3794158059397563E-2</v>
      </c>
      <c r="I159" s="1278">
        <f>AVERAGE(DataUK3!CY160,DataUK3!CY161)/DataUK1!B160</f>
        <v>1.6010123661756529E-5</v>
      </c>
      <c r="J159" s="1358">
        <f>C159/TableUK5c!O156</f>
        <v>3.8795300287373144E-2</v>
      </c>
      <c r="N159" s="1286">
        <f t="shared" si="31"/>
        <v>0</v>
      </c>
      <c r="O159" s="1286">
        <f t="shared" si="32"/>
        <v>0</v>
      </c>
      <c r="P159" s="1286">
        <f t="shared" si="35"/>
        <v>1.7177828170317211E-18</v>
      </c>
    </row>
    <row r="160" spans="1:16" ht="12" customHeight="1">
      <c r="A160" s="10">
        <v>2002</v>
      </c>
      <c r="B160" s="1289">
        <f>AVERAGE(DataUK3!CQ161,DataUK3!CQ162)/DataUK1!B161</f>
        <v>4.7856140216979877E-2</v>
      </c>
      <c r="C160" s="1278">
        <f>AVERAGE(DataUK3!CR161,DataUK3!CR162)/DataUK1!B161</f>
        <v>1.6023383248262399E-2</v>
      </c>
      <c r="D160" s="1265">
        <f>AVERAGE(DataUK3!CT161,DataUK3!CT162)/DataUK1!B161</f>
        <v>0</v>
      </c>
      <c r="E160" s="1265">
        <f>AVERAGE(DataUK3!CS161,DataUK3!CS162)/DataUK1!B161</f>
        <v>3.1832756968717478E-2</v>
      </c>
      <c r="F160" s="717">
        <f>B160</f>
        <v>4.7856140216979877E-2</v>
      </c>
      <c r="G160" s="1278">
        <f>AVERAGE(DataUK3!CW161,DataUK3!CW162)/DataUK1!B161</f>
        <v>2.540782996401546E-3</v>
      </c>
      <c r="H160" s="1278">
        <f>(AVERAGE(DataUK3!CV161,DataUK3!CV162)+AVERAGE(DataUK3!CX161,DataUK3!CX162))/DataUK1!B161</f>
        <v>4.5300299200790442E-2</v>
      </c>
      <c r="I160" s="1278">
        <f>AVERAGE(DataUK3!CY161,DataUK3!CY162)/DataUK1!B161</f>
        <v>1.5058019787888195E-5</v>
      </c>
      <c r="J160" s="1358">
        <f>C160/TableUK5c!O157</f>
        <v>3.8074482731238604E-2</v>
      </c>
      <c r="N160" s="1286">
        <f t="shared" si="31"/>
        <v>0</v>
      </c>
      <c r="O160" s="1286">
        <f t="shared" si="32"/>
        <v>0</v>
      </c>
      <c r="P160" s="1286">
        <f t="shared" si="35"/>
        <v>3.7015339795012925E-18</v>
      </c>
    </row>
    <row r="161" spans="1:16" ht="12" customHeight="1">
      <c r="A161" s="10">
        <v>2003</v>
      </c>
      <c r="B161" s="1289">
        <f>AVERAGE(DataUK3!CQ162,DataUK3!CQ163)/DataUK1!B162</f>
        <v>4.9336252243572312E-2</v>
      </c>
      <c r="C161" s="1278">
        <f>AVERAGE(DataUK3!CR162,DataUK3!CR163)/DataUK1!B162</f>
        <v>1.4858081910785465E-2</v>
      </c>
      <c r="D161" s="1265">
        <f>AVERAGE(DataUK3!CT162,DataUK3!CT163)/DataUK1!B162</f>
        <v>0</v>
      </c>
      <c r="E161" s="1265">
        <f>AVERAGE(DataUK3!CS162,DataUK3!CS163)/DataUK1!B162</f>
        <v>3.4478170332786849E-2</v>
      </c>
      <c r="F161" s="717">
        <f t="shared" ref="F161:F168" si="36">B161</f>
        <v>4.9336252243572312E-2</v>
      </c>
      <c r="G161" s="1278">
        <f>AVERAGE(DataUK3!CW162,DataUK3!CW163)/DataUK1!B162</f>
        <v>2.4271373182803554E-3</v>
      </c>
      <c r="H161" s="1278">
        <f>(AVERAGE(DataUK3!CV162,DataUK3!CV163)+AVERAGE(DataUK3!CX162,DataUK3!CX163))/DataUK1!B162</f>
        <v>4.6894934771291599E-2</v>
      </c>
      <c r="I161" s="1278">
        <f>AVERAGE(DataUK3!CY162,DataUK3!CY163)/DataUK1!B162</f>
        <v>1.4180154000357417E-5</v>
      </c>
      <c r="J161" s="1358">
        <f>C161/TableUK5c!O158</f>
        <v>3.487351308120152E-2</v>
      </c>
      <c r="N161" s="1286">
        <f t="shared" si="31"/>
        <v>0</v>
      </c>
      <c r="O161" s="1286">
        <f t="shared" si="32"/>
        <v>0</v>
      </c>
      <c r="P161" s="1286">
        <f t="shared" si="35"/>
        <v>-7.572474548453445E-19</v>
      </c>
    </row>
    <row r="162" spans="1:16" ht="12" customHeight="1">
      <c r="A162" s="10">
        <v>2004</v>
      </c>
      <c r="B162" s="1260">
        <f>AVERAGE(DataUK3!CQ163,DataUK3!CQ164)/DataUK1!B163</f>
        <v>5.1286897230760152E-2</v>
      </c>
      <c r="C162" s="1278">
        <f>AVERAGE(DataUK3!CR163,DataUK3!CR164)/DataUK1!B163</f>
        <v>1.4716023387068521E-2</v>
      </c>
      <c r="D162" s="1265">
        <f>AVERAGE(DataUK3!CT163,DataUK3!CT164)/DataUK1!B163</f>
        <v>0</v>
      </c>
      <c r="E162" s="1265">
        <f>AVERAGE(DataUK3!CS163,DataUK3!CS164)/DataUK1!B163</f>
        <v>3.6570873843691634E-2</v>
      </c>
      <c r="F162" s="717">
        <f t="shared" si="36"/>
        <v>5.1286897230760152E-2</v>
      </c>
      <c r="G162" s="1278">
        <f>AVERAGE(DataUK3!CW163,DataUK3!CW164)/DataUK1!B163</f>
        <v>2.5541577318009922E-3</v>
      </c>
      <c r="H162" s="1278">
        <f>(AVERAGE(DataUK3!CV163,DataUK3!CV164)+AVERAGE(DataUK3!CX163,DataUK3!CX164))/DataUK1!B163</f>
        <v>4.8719279580935596E-2</v>
      </c>
      <c r="I162" s="1278">
        <f>AVERAGE(DataUK3!CY163,DataUK3!CY164)/DataUK1!B163</f>
        <v>1.3459918023567762E-5</v>
      </c>
      <c r="J162" s="1358">
        <f>C162/TableUK5c!O159</f>
        <v>3.3474918023489071E-2</v>
      </c>
      <c r="N162" s="1286">
        <f t="shared" si="31"/>
        <v>0</v>
      </c>
      <c r="O162" s="1286">
        <f t="shared" si="32"/>
        <v>0</v>
      </c>
      <c r="P162" s="1286">
        <f t="shared" si="35"/>
        <v>-4.87890977618477E-19</v>
      </c>
    </row>
    <row r="163" spans="1:16" ht="12" customHeight="1">
      <c r="A163" s="10">
        <v>2005</v>
      </c>
      <c r="B163" s="1260">
        <f>AVERAGE(DataUK3!CQ164,DataUK3!CQ165)/DataUK1!B164</f>
        <v>5.3575684343920689E-2</v>
      </c>
      <c r="C163" s="1278">
        <f>AVERAGE(DataUK3!CR164,DataUK3!CR165)/DataUK1!B164</f>
        <v>1.4148135054537332E-2</v>
      </c>
      <c r="D163" s="1265">
        <f>AVERAGE(DataUK3!CT164,DataUK3!CT165)/DataUK1!B164</f>
        <v>0</v>
      </c>
      <c r="E163" s="1265">
        <f>AVERAGE(DataUK3!CS164,DataUK3!CS165)/DataUK1!B164</f>
        <v>3.9427549289383357E-2</v>
      </c>
      <c r="F163" s="717">
        <f t="shared" si="36"/>
        <v>5.3575684343920689E-2</v>
      </c>
      <c r="G163" s="1278">
        <f>AVERAGE(DataUK3!CW164,DataUK3!CW165)/DataUK1!B164</f>
        <v>2.8189860092814158E-3</v>
      </c>
      <c r="H163" s="1278">
        <f>(AVERAGE(DataUK3!CV164,DataUK3!CV165)+AVERAGE(DataUK3!CX164,DataUK3!CX165))/DataUK1!B164</f>
        <v>5.0743858778958255E-2</v>
      </c>
      <c r="I163" s="1278">
        <f>AVERAGE(DataUK3!CY164,DataUK3!CY165)/DataUK1!B164</f>
        <v>1.2839555681019707E-5</v>
      </c>
      <c r="J163" s="1358">
        <f>C163/TableUK5c!O160</f>
        <v>3.1021162638240819E-2</v>
      </c>
      <c r="N163" s="1286">
        <f t="shared" si="31"/>
        <v>0</v>
      </c>
      <c r="O163" s="1286">
        <f t="shared" si="32"/>
        <v>0</v>
      </c>
      <c r="P163" s="1286">
        <f t="shared" si="35"/>
        <v>-4.0166302358798922E-18</v>
      </c>
    </row>
    <row r="164" spans="1:16" ht="12" customHeight="1">
      <c r="A164" s="10">
        <v>2006</v>
      </c>
      <c r="B164" s="1260">
        <f>AVERAGE(DataUK3!CQ165,DataUK3!CQ166)/DataUK1!B165</f>
        <v>5.3946129531239492E-2</v>
      </c>
      <c r="C164" s="1278">
        <f>AVERAGE(DataUK3!CR165,DataUK3!CR166)/DataUK1!B165</f>
        <v>1.3027103369426323E-2</v>
      </c>
      <c r="D164" s="1265">
        <f>AVERAGE(DataUK3!CT165,DataUK3!CT166)/DataUK1!B165</f>
        <v>0</v>
      </c>
      <c r="E164" s="1265">
        <f>AVERAGE(DataUK3!CS165,DataUK3!CS166)/DataUK1!B165</f>
        <v>4.0919026161813171E-2</v>
      </c>
      <c r="F164" s="717">
        <f t="shared" si="36"/>
        <v>5.3946129531239492E-2</v>
      </c>
      <c r="G164" s="1278">
        <f>AVERAGE(DataUK3!CW165,DataUK3!CW166)/DataUK1!B165</f>
        <v>3.1373999596475887E-3</v>
      </c>
      <c r="H164" s="1278">
        <f>(AVERAGE(DataUK3!CV165,DataUK3!CV166)+AVERAGE(DataUK3!CX165,DataUK3!CX166))/DataUK1!B165</f>
        <v>5.0796455713228869E-2</v>
      </c>
      <c r="I164" s="1278">
        <f>AVERAGE(DataUK3!CY165,DataUK3!CY166)/DataUK1!B165</f>
        <v>1.2273858363037191E-5</v>
      </c>
      <c r="J164" s="1358">
        <f>C164/TableUK5c!O161</f>
        <v>2.7595882095058585E-2</v>
      </c>
      <c r="N164" s="1286">
        <f t="shared" si="31"/>
        <v>0</v>
      </c>
      <c r="O164" s="1286">
        <f t="shared" si="32"/>
        <v>0</v>
      </c>
      <c r="P164" s="1286">
        <f t="shared" si="35"/>
        <v>-3.6168306847758624E-18</v>
      </c>
    </row>
    <row r="165" spans="1:16" ht="12" customHeight="1">
      <c r="A165" s="10">
        <v>2007</v>
      </c>
      <c r="B165" s="1260">
        <f>AVERAGE(DataUK3!CQ166,DataUK3!CQ167)/DataUK1!B166</f>
        <v>6.1525323590797772E-2</v>
      </c>
      <c r="C165" s="1278">
        <f>AVERAGE(DataUK3!CR166,DataUK3!CR167)/DataUK1!B166</f>
        <v>1.219075670645026E-2</v>
      </c>
      <c r="D165" s="1265">
        <f>AVERAGE(DataUK3!CT166,DataUK3!CT167)/DataUK1!B166</f>
        <v>0</v>
      </c>
      <c r="E165" s="1265">
        <f>B165-C165-D165</f>
        <v>4.9334566884347508E-2</v>
      </c>
      <c r="F165" s="717">
        <f t="shared" si="36"/>
        <v>6.1525323590797772E-2</v>
      </c>
      <c r="G165" s="1278"/>
      <c r="H165" s="1278"/>
      <c r="I165" s="1278">
        <f>AVERAGE(DataUK3!CY166,DataUK3!CY167)/DataUK1!B166</f>
        <v>1.1485870412633827E-5</v>
      </c>
      <c r="J165" s="1358">
        <f>C165/TableUK5c!O162</f>
        <v>2.5005925792528843E-2</v>
      </c>
      <c r="N165" s="1286">
        <f t="shared" si="31"/>
        <v>0</v>
      </c>
      <c r="O165" s="1286">
        <f t="shared" si="32"/>
        <v>0</v>
      </c>
      <c r="P165" s="1286"/>
    </row>
    <row r="166" spans="1:16" ht="12" customHeight="1">
      <c r="A166" s="10">
        <v>2008</v>
      </c>
      <c r="B166" s="1260">
        <f>AVERAGE(DataUK3!CQ167,DataUK3!CQ168)/DataUK1!B167</f>
        <v>0.1258696201529618</v>
      </c>
      <c r="C166" s="1278">
        <f>DataUK3!CR168/DataUK1!B167</f>
        <v>1.1794865549493374E-2</v>
      </c>
      <c r="D166" s="1265">
        <f>AVERAGE(DataUK3!CT167,DataUK3!CT168)/DataUK1!B167</f>
        <v>0</v>
      </c>
      <c r="E166" s="1265">
        <f>B166-C166-D166</f>
        <v>0.11407475460346843</v>
      </c>
      <c r="F166" s="717">
        <f t="shared" si="36"/>
        <v>0.1258696201529618</v>
      </c>
      <c r="G166" s="1278"/>
      <c r="H166" s="1278"/>
      <c r="I166" s="1278">
        <f>AVERAGE(DataUK3!CY167,DataUK3!CY168)/DataUK1!B167</f>
        <v>1.1112870226032735E-5</v>
      </c>
      <c r="J166" s="1358">
        <f>C166/TableUK5c!O163</f>
        <v>2.2378240343732585E-2</v>
      </c>
      <c r="N166" s="1286">
        <f t="shared" si="31"/>
        <v>0</v>
      </c>
      <c r="O166" s="1286">
        <f t="shared" si="32"/>
        <v>0</v>
      </c>
      <c r="P166" s="1286"/>
    </row>
    <row r="167" spans="1:16" ht="12" customHeight="1">
      <c r="A167" s="1261">
        <v>2009</v>
      </c>
      <c r="B167" s="897">
        <f>AVERAGE(DataUK3!CQ168,DataUK3!CQ169)/DataUK1!B168</f>
        <v>0.18985800440651232</v>
      </c>
      <c r="C167" s="1282">
        <f>DataUK3!CR169/DataUK1!B168</f>
        <v>0.17183962719279008</v>
      </c>
      <c r="D167" s="898">
        <f>AVERAGE(DataUK3!CT168,DataUK3!CT169)/DataUK1!B168</f>
        <v>0</v>
      </c>
      <c r="E167" s="898">
        <f>B167-C167-D167</f>
        <v>1.8018377213722236E-2</v>
      </c>
      <c r="F167" s="1262">
        <f t="shared" si="36"/>
        <v>0.18985800440651232</v>
      </c>
      <c r="G167" s="1282"/>
      <c r="H167" s="1282"/>
      <c r="I167" s="1282">
        <f>AVERAGE(DataUK3!CY168,DataUK3!CY169)/DataUK1!B168</f>
        <v>1.1642251164823177E-5</v>
      </c>
      <c r="J167" s="1361">
        <f>C167/TableUK5c!O164</f>
        <v>0.26897538120934461</v>
      </c>
      <c r="N167" s="1286">
        <f t="shared" si="31"/>
        <v>0</v>
      </c>
      <c r="O167" s="1286">
        <f t="shared" si="32"/>
        <v>0</v>
      </c>
      <c r="P167" s="1286"/>
    </row>
    <row r="168" spans="1:16" ht="12" customHeight="1" thickBot="1">
      <c r="A168" s="1263">
        <v>2010</v>
      </c>
      <c r="B168" s="1101">
        <f>AVERAGE(DataUK3!CQ169,DataUK3!CQ170)/DataUK1!B169</f>
        <v>0.18463765907185856</v>
      </c>
      <c r="C168" s="1283">
        <f>DataUK3!CR170/DataUK1!B169</f>
        <v>0.16421245142116894</v>
      </c>
      <c r="D168" s="1268">
        <f>AVERAGE(DataUK3!CT169,DataUK3!CT170)/DataUK1!B169</f>
        <v>0</v>
      </c>
      <c r="E168" s="1268">
        <f>B168-C168-D168</f>
        <v>2.0425207650689614E-2</v>
      </c>
      <c r="F168" s="1264">
        <f t="shared" si="36"/>
        <v>0.18463765907185856</v>
      </c>
      <c r="G168" s="1283"/>
      <c r="H168" s="1283"/>
      <c r="I168" s="1283">
        <f>AVERAGE(DataUK3!CY169,DataUK3!CY170)/DataUK1!B169</f>
        <v>1.1125504838832584E-5</v>
      </c>
      <c r="J168" s="1362">
        <f>C168/TableUK5c!O165</f>
        <v>0.19697967163416405</v>
      </c>
      <c r="N168" s="1286">
        <f t="shared" si="31"/>
        <v>0</v>
      </c>
      <c r="O168" s="1286">
        <f t="shared" si="32"/>
        <v>0</v>
      </c>
      <c r="P168" s="1286"/>
    </row>
    <row r="169" spans="1:16" ht="13" customHeight="1" thickTop="1"/>
    <row r="173" spans="1:16" ht="12" customHeight="1">
      <c r="C173" s="19"/>
      <c r="E173" s="19"/>
    </row>
  </sheetData>
  <mergeCells count="7">
    <mergeCell ref="B1:C1"/>
    <mergeCell ref="B6:I6"/>
    <mergeCell ref="A3:J3"/>
    <mergeCell ref="B7:E7"/>
    <mergeCell ref="J6:J8"/>
    <mergeCell ref="A7:A8"/>
    <mergeCell ref="F7:I7"/>
  </mergeCells>
  <phoneticPr fontId="24" type="noConversion"/>
  <hyperlinks>
    <hyperlink ref="B1" location="Index!A1" display="Back to Index"/>
  </hyperlinks>
  <printOptions horizontalCentered="1" verticalCentered="1"/>
  <pageMargins left="0.79000000000000015" right="0.79000000000000015" top="0.98" bottom="0.98" header="0.51" footer="0.51"/>
  <pageSetup paperSize="9" scale="49" fitToHeight="3" orientation="portrait" horizontalDpi="4294967292" verticalDpi="4294967292"/>
  <ignoredErrors>
    <ignoredError sqref="D10:D12 G10:G12" formula="1"/>
    <ignoredError sqref="H134" emptyCellReference="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enableFormatConditionsCalculation="0">
    <tabColor theme="6" tint="0.39997558519241921"/>
    <pageSetUpPr fitToPage="1"/>
  </sheetPr>
  <dimension ref="A1:S385"/>
  <sheetViews>
    <sheetView workbookViewId="0">
      <pane xSplit="1" ySplit="9" topLeftCell="B10" activePane="bottomRight" state="frozen"/>
      <selection activeCell="B2" sqref="B2:C2"/>
      <selection pane="topRight" activeCell="B2" sqref="B2:C2"/>
      <selection pane="bottomLeft" activeCell="B2" sqref="B2:C2"/>
      <selection pane="bottomRight" activeCell="A5" sqref="A5:M5"/>
    </sheetView>
  </sheetViews>
  <sheetFormatPr baseColWidth="10" defaultColWidth="10.33203125" defaultRowHeight="12" x14ac:dyDescent="0"/>
  <cols>
    <col min="1" max="1" width="11.33203125" style="76" customWidth="1"/>
    <col min="2" max="3" width="8.33203125" style="76" customWidth="1"/>
    <col min="4" max="4" width="8.83203125" style="76" customWidth="1"/>
    <col min="5" max="13" width="8.33203125" style="76" customWidth="1"/>
    <col min="14" max="16" width="8.6640625" style="76" customWidth="1"/>
    <col min="17" max="16384" width="10.33203125" style="76"/>
  </cols>
  <sheetData>
    <row r="1" spans="1:19">
      <c r="B1" s="2252" t="s">
        <v>1416</v>
      </c>
      <c r="C1" s="2252"/>
      <c r="D1" s="75"/>
      <c r="E1" s="75"/>
      <c r="F1" s="75"/>
      <c r="G1" s="75"/>
      <c r="H1" s="75"/>
      <c r="I1" s="75"/>
      <c r="J1" s="75"/>
      <c r="K1" s="75"/>
      <c r="L1" s="75"/>
      <c r="M1" s="75"/>
    </row>
    <row r="2" spans="1:19">
      <c r="B2" s="1818"/>
      <c r="C2" s="1818"/>
      <c r="D2" s="75"/>
      <c r="E2" s="75"/>
      <c r="F2" s="75"/>
      <c r="G2" s="75"/>
      <c r="H2" s="75"/>
      <c r="I2" s="75"/>
      <c r="J2" s="75"/>
      <c r="K2" s="75"/>
      <c r="L2" s="75"/>
      <c r="M2" s="75"/>
    </row>
    <row r="3" spans="1:19">
      <c r="B3" s="1818"/>
      <c r="C3" s="1818"/>
      <c r="D3" s="75"/>
      <c r="E3" s="75"/>
      <c r="F3" s="75"/>
      <c r="G3" s="75"/>
      <c r="H3" s="75"/>
      <c r="I3" s="75"/>
      <c r="J3" s="75"/>
      <c r="K3" s="75"/>
      <c r="L3" s="75"/>
      <c r="M3" s="75"/>
    </row>
    <row r="4" spans="1:19" ht="13" thickBot="1"/>
    <row r="5" spans="1:19" ht="19.75" customHeight="1" thickTop="1">
      <c r="A5" s="2264" t="s">
        <v>1145</v>
      </c>
      <c r="B5" s="2265"/>
      <c r="C5" s="2265"/>
      <c r="D5" s="2265"/>
      <c r="E5" s="2265"/>
      <c r="F5" s="2265"/>
      <c r="G5" s="2265"/>
      <c r="H5" s="2265"/>
      <c r="I5" s="2265"/>
      <c r="J5" s="2265"/>
      <c r="K5" s="2265"/>
      <c r="L5" s="2265"/>
      <c r="M5" s="2266"/>
    </row>
    <row r="6" spans="1:19">
      <c r="A6" s="120"/>
      <c r="B6" s="83"/>
      <c r="C6" s="83"/>
      <c r="D6" s="83"/>
      <c r="E6" s="83"/>
      <c r="F6" s="83"/>
      <c r="G6" s="83"/>
      <c r="H6" s="83"/>
      <c r="I6" s="83"/>
      <c r="J6" s="83"/>
      <c r="K6" s="83"/>
      <c r="L6" s="83"/>
      <c r="M6" s="121"/>
    </row>
    <row r="7" spans="1:19">
      <c r="A7" s="120"/>
      <c r="B7" s="205" t="s">
        <v>952</v>
      </c>
      <c r="C7" s="123" t="s">
        <v>953</v>
      </c>
      <c r="D7" s="123" t="s">
        <v>954</v>
      </c>
      <c r="E7" s="205" t="s">
        <v>955</v>
      </c>
      <c r="F7" s="123" t="s">
        <v>956</v>
      </c>
      <c r="G7" s="123" t="s">
        <v>957</v>
      </c>
      <c r="H7" s="123" t="s">
        <v>958</v>
      </c>
      <c r="I7" s="123" t="s">
        <v>959</v>
      </c>
      <c r="J7" s="123" t="s">
        <v>960</v>
      </c>
      <c r="K7" s="122" t="s">
        <v>961</v>
      </c>
      <c r="L7" s="122" t="s">
        <v>962</v>
      </c>
      <c r="M7" s="289" t="s">
        <v>963</v>
      </c>
    </row>
    <row r="8" spans="1:19" ht="74" customHeight="1">
      <c r="A8" s="2521" t="s">
        <v>871</v>
      </c>
      <c r="B8" s="206" t="s">
        <v>872</v>
      </c>
      <c r="C8" s="208" t="s">
        <v>873</v>
      </c>
      <c r="D8" s="1070" t="s">
        <v>1459</v>
      </c>
      <c r="E8" s="2524" t="s">
        <v>832</v>
      </c>
      <c r="F8" s="2283" t="s">
        <v>833</v>
      </c>
      <c r="G8" s="2526" t="s">
        <v>834</v>
      </c>
      <c r="H8" s="2526" t="s">
        <v>835</v>
      </c>
      <c r="I8" s="2255" t="s">
        <v>836</v>
      </c>
      <c r="J8" s="2519" t="s">
        <v>837</v>
      </c>
      <c r="K8" s="294" t="s">
        <v>50</v>
      </c>
      <c r="L8" s="208" t="s">
        <v>184</v>
      </c>
      <c r="M8" s="2522" t="s">
        <v>840</v>
      </c>
    </row>
    <row r="9" spans="1:19" ht="26" customHeight="1">
      <c r="A9" s="2521"/>
      <c r="B9" s="2211" t="s">
        <v>830</v>
      </c>
      <c r="C9" s="1069" t="s">
        <v>831</v>
      </c>
      <c r="D9" s="1069" t="s">
        <v>828</v>
      </c>
      <c r="E9" s="2525"/>
      <c r="F9" s="2284"/>
      <c r="G9" s="2527"/>
      <c r="H9" s="2527"/>
      <c r="I9" s="2256"/>
      <c r="J9" s="2520"/>
      <c r="K9" s="1067" t="s">
        <v>838</v>
      </c>
      <c r="L9" s="1069" t="s">
        <v>839</v>
      </c>
      <c r="M9" s="2523"/>
    </row>
    <row r="10" spans="1:19">
      <c r="A10" s="198">
        <f t="shared" ref="A10:A72" si="0">A11-1</f>
        <v>1855</v>
      </c>
      <c r="B10" s="255">
        <f>DataUK1!B13</f>
        <v>662.51561558684193</v>
      </c>
      <c r="C10" s="170">
        <f>DataUK1!D13</f>
        <v>649.51561558684193</v>
      </c>
      <c r="D10" s="170">
        <f>DataUK1!C13</f>
        <v>13</v>
      </c>
      <c r="E10" s="210">
        <f>D10/B10</f>
        <v>1.9622179000995898E-2</v>
      </c>
      <c r="F10" s="203">
        <f>DataUK1!HD13/TableUK8!$B10</f>
        <v>1.9622179000995898E-2</v>
      </c>
      <c r="G10" s="203">
        <f>DataUK1!HE13/TableUK8!$B10</f>
        <v>1.9622179000995898E-2</v>
      </c>
      <c r="H10" s="203">
        <f>DataUK1!HF13/TableUK8!$B10</f>
        <v>0</v>
      </c>
      <c r="I10" s="204">
        <f>DataUK1!HG13/TableUK8!$B10</f>
        <v>0</v>
      </c>
      <c r="J10" s="203">
        <f>DataUK1!HJ13/DataUK1!CD13</f>
        <v>0</v>
      </c>
      <c r="K10" s="296">
        <f>DataUK1!E13</f>
        <v>681.34228722068565</v>
      </c>
      <c r="L10" s="170">
        <f>DataUK1!F13</f>
        <v>32.9</v>
      </c>
      <c r="M10" s="290">
        <f>L10/K10</f>
        <v>4.8287036658483141E-2</v>
      </c>
      <c r="R10" s="1433">
        <f>B10-C10-D10</f>
        <v>0</v>
      </c>
      <c r="S10" s="1244">
        <f t="shared" ref="S10:S73" si="1">E10-F10-I10-J10</f>
        <v>0</v>
      </c>
    </row>
    <row r="11" spans="1:19">
      <c r="A11" s="198">
        <f t="shared" si="0"/>
        <v>1856</v>
      </c>
      <c r="B11" s="255">
        <f>DataUK1!B14</f>
        <v>694.69320112264984</v>
      </c>
      <c r="C11" s="170">
        <f>DataUK1!D14</f>
        <v>679.69320112264984</v>
      </c>
      <c r="D11" s="170">
        <f>DataUK1!C14</f>
        <v>15</v>
      </c>
      <c r="E11" s="210">
        <f>D11/B11</f>
        <v>2.1592265442873841E-2</v>
      </c>
      <c r="F11" s="203">
        <f>DataUK1!HD14/TableUK8!$B11</f>
        <v>2.1592265442873841E-2</v>
      </c>
      <c r="G11" s="203">
        <f>DataUK1!HE14/TableUK8!$B11</f>
        <v>2.1592265442873841E-2</v>
      </c>
      <c r="H11" s="203">
        <f>DataUK1!HF14/TableUK8!$B11</f>
        <v>0</v>
      </c>
      <c r="I11" s="204">
        <f>DataUK1!HG14/TableUK8!$B11</f>
        <v>0</v>
      </c>
      <c r="J11" s="203">
        <f>DataUK1!HJ14/DataUK1!CD14</f>
        <v>0</v>
      </c>
      <c r="K11" s="296">
        <f>DataUK1!E14</f>
        <v>711.87498146205621</v>
      </c>
      <c r="L11" s="170">
        <f>DataUK1!F14</f>
        <v>33.302857142857142</v>
      </c>
      <c r="M11" s="290">
        <f>L11/K11</f>
        <v>4.678189009320062E-2</v>
      </c>
      <c r="R11" s="1433">
        <f t="shared" ref="R11:R74" si="2">B11-C11-D11</f>
        <v>0</v>
      </c>
      <c r="S11" s="1244">
        <f t="shared" si="1"/>
        <v>0</v>
      </c>
    </row>
    <row r="12" spans="1:19">
      <c r="A12" s="198">
        <f t="shared" si="0"/>
        <v>1857</v>
      </c>
      <c r="B12" s="255">
        <f>DataUK1!B15</f>
        <v>681.97720315613515</v>
      </c>
      <c r="C12" s="170">
        <f>DataUK1!D15</f>
        <v>665.97720315613515</v>
      </c>
      <c r="D12" s="170">
        <f>DataUK1!C15</f>
        <v>16</v>
      </c>
      <c r="E12" s="210">
        <f t="shared" ref="E12:E74" si="3">D12/B12</f>
        <v>2.3461194781809858E-2</v>
      </c>
      <c r="F12" s="203">
        <f>DataUK1!HD15/TableUK8!$B12</f>
        <v>2.3461194781809858E-2</v>
      </c>
      <c r="G12" s="203">
        <f>DataUK1!HE15/TableUK8!$B12</f>
        <v>2.3461194781809858E-2</v>
      </c>
      <c r="H12" s="203">
        <f>DataUK1!HF15/TableUK8!$B12</f>
        <v>0</v>
      </c>
      <c r="I12" s="204">
        <f>DataUK1!HG15/TableUK8!$B12</f>
        <v>0</v>
      </c>
      <c r="J12" s="203">
        <f>DataUK1!HJ15/DataUK1!CD15</f>
        <v>0</v>
      </c>
      <c r="K12" s="296">
        <f>DataUK1!E15</f>
        <v>697.86689866147901</v>
      </c>
      <c r="L12" s="170">
        <f>DataUK1!F15</f>
        <v>32.988571428571426</v>
      </c>
      <c r="M12" s="290">
        <f t="shared" ref="M12:M74" si="4">L12/K12</f>
        <v>4.7270577658639616E-2</v>
      </c>
      <c r="R12" s="1433">
        <f t="shared" si="2"/>
        <v>0</v>
      </c>
      <c r="S12" s="1244">
        <f t="shared" si="1"/>
        <v>0</v>
      </c>
    </row>
    <row r="13" spans="1:19">
      <c r="A13" s="198">
        <f t="shared" si="0"/>
        <v>1858</v>
      </c>
      <c r="B13" s="255">
        <f>DataUK1!B16</f>
        <v>671.76322148659688</v>
      </c>
      <c r="C13" s="170">
        <f>DataUK1!D16</f>
        <v>655.76322148659688</v>
      </c>
      <c r="D13" s="170">
        <f>DataUK1!C16</f>
        <v>16</v>
      </c>
      <c r="E13" s="210">
        <f t="shared" si="3"/>
        <v>2.3817916027900964E-2</v>
      </c>
      <c r="F13" s="203">
        <f>DataUK1!HD16/TableUK8!$B13</f>
        <v>2.3817916027900964E-2</v>
      </c>
      <c r="G13" s="203">
        <f>DataUK1!HE16/TableUK8!$B13</f>
        <v>2.3817916027900964E-2</v>
      </c>
      <c r="H13" s="203">
        <f>DataUK1!HF16/TableUK8!$B13</f>
        <v>0</v>
      </c>
      <c r="I13" s="204">
        <f>DataUK1!HG16/TableUK8!$B13</f>
        <v>0</v>
      </c>
      <c r="J13" s="203">
        <f>DataUK1!HJ16/DataUK1!CD16</f>
        <v>0</v>
      </c>
      <c r="K13" s="296">
        <f>DataUK1!E16</f>
        <v>688.06270714433003</v>
      </c>
      <c r="L13" s="170">
        <f>DataUK1!F16</f>
        <v>33.382857142857141</v>
      </c>
      <c r="M13" s="290">
        <f t="shared" si="4"/>
        <v>4.851717263010253E-2</v>
      </c>
      <c r="R13" s="1433">
        <f t="shared" si="2"/>
        <v>0</v>
      </c>
      <c r="S13" s="1244">
        <f t="shared" si="1"/>
        <v>0</v>
      </c>
    </row>
    <row r="14" spans="1:19">
      <c r="A14" s="214">
        <f t="shared" si="0"/>
        <v>1859</v>
      </c>
      <c r="B14" s="256">
        <f>DataUK1!B17</f>
        <v>700.400177541007</v>
      </c>
      <c r="C14" s="257">
        <f>DataUK1!D17</f>
        <v>683.400177541007</v>
      </c>
      <c r="D14" s="257">
        <f>DataUK1!C17</f>
        <v>17</v>
      </c>
      <c r="E14" s="215">
        <f t="shared" si="3"/>
        <v>2.4271838507643275E-2</v>
      </c>
      <c r="F14" s="216">
        <f>DataUK1!HD17/TableUK8!$B14</f>
        <v>2.4271838507643275E-2</v>
      </c>
      <c r="G14" s="216">
        <f>DataUK1!HE17/TableUK8!$B14</f>
        <v>2.4271838507643275E-2</v>
      </c>
      <c r="H14" s="216">
        <f>DataUK1!HF17/TableUK8!$B14</f>
        <v>0</v>
      </c>
      <c r="I14" s="217">
        <f>DataUK1!HG17/TableUK8!$B14</f>
        <v>0</v>
      </c>
      <c r="J14" s="216">
        <f>DataUK1!HJ17/DataUK1!CD17</f>
        <v>0</v>
      </c>
      <c r="K14" s="297">
        <f>DataUK1!E17</f>
        <v>715.31713956294516</v>
      </c>
      <c r="L14" s="257">
        <f>DataUK1!F17</f>
        <v>33.042857142857137</v>
      </c>
      <c r="M14" s="291">
        <f t="shared" si="4"/>
        <v>4.6193297092036886E-2</v>
      </c>
      <c r="R14" s="1433">
        <f t="shared" si="2"/>
        <v>0</v>
      </c>
      <c r="S14" s="1244">
        <f t="shared" si="1"/>
        <v>0</v>
      </c>
    </row>
    <row r="15" spans="1:19">
      <c r="A15" s="198">
        <f t="shared" si="0"/>
        <v>1860</v>
      </c>
      <c r="B15" s="255">
        <f>DataUK1!B18</f>
        <v>727.15878558392626</v>
      </c>
      <c r="C15" s="170">
        <f>DataUK1!D18</f>
        <v>708.15878558392626</v>
      </c>
      <c r="D15" s="170">
        <f>DataUK1!C18</f>
        <v>19</v>
      </c>
      <c r="E15" s="210">
        <f t="shared" si="3"/>
        <v>2.6129093640452319E-2</v>
      </c>
      <c r="F15" s="203">
        <f>DataUK1!HD18/TableUK8!$B15</f>
        <v>2.6129093640452319E-2</v>
      </c>
      <c r="G15" s="203">
        <f>DataUK1!HE18/TableUK8!$B15</f>
        <v>2.6129093640452319E-2</v>
      </c>
      <c r="H15" s="203">
        <f>DataUK1!HF18/TableUK8!$B15</f>
        <v>0</v>
      </c>
      <c r="I15" s="204">
        <f>DataUK1!HG18/TableUK8!$B15</f>
        <v>0</v>
      </c>
      <c r="J15" s="203">
        <f>DataUK1!HJ18/DataUK1!CD18</f>
        <v>0</v>
      </c>
      <c r="K15" s="296">
        <f>DataUK1!E18</f>
        <v>740.42222058740754</v>
      </c>
      <c r="L15" s="170">
        <f>DataUK1!F18</f>
        <v>33.428571428571423</v>
      </c>
      <c r="M15" s="290">
        <f t="shared" si="4"/>
        <v>4.5147985161832604E-2</v>
      </c>
      <c r="R15" s="1433">
        <f t="shared" si="2"/>
        <v>0</v>
      </c>
      <c r="S15" s="1244">
        <f t="shared" si="1"/>
        <v>0</v>
      </c>
    </row>
    <row r="16" spans="1:19">
      <c r="A16" s="198">
        <f t="shared" si="0"/>
        <v>1861</v>
      </c>
      <c r="B16" s="255">
        <f>DataUK1!B19</f>
        <v>763.71083136645018</v>
      </c>
      <c r="C16" s="170">
        <f>DataUK1!D19</f>
        <v>743.71083136645018</v>
      </c>
      <c r="D16" s="170">
        <f>DataUK1!C19</f>
        <v>20</v>
      </c>
      <c r="E16" s="210">
        <f t="shared" si="3"/>
        <v>2.6187922415890724E-2</v>
      </c>
      <c r="F16" s="203">
        <f>DataUK1!HD19/TableUK8!$B16</f>
        <v>2.6187922415890724E-2</v>
      </c>
      <c r="G16" s="203">
        <f>DataUK1!HE19/TableUK8!$B16</f>
        <v>2.6187922415890724E-2</v>
      </c>
      <c r="H16" s="203">
        <f>DataUK1!HF19/TableUK8!$B16</f>
        <v>0</v>
      </c>
      <c r="I16" s="204">
        <f>DataUK1!HG19/TableUK8!$B16</f>
        <v>0</v>
      </c>
      <c r="J16" s="203">
        <f>DataUK1!HJ19/DataUK1!CD19</f>
        <v>0</v>
      </c>
      <c r="K16" s="296">
        <f>DataUK1!E19</f>
        <v>776.30383302505959</v>
      </c>
      <c r="L16" s="170">
        <f>DataUK1!F19</f>
        <v>33.81428571428571</v>
      </c>
      <c r="M16" s="290">
        <f t="shared" si="4"/>
        <v>4.3558055848468495E-2</v>
      </c>
      <c r="R16" s="1433">
        <f t="shared" si="2"/>
        <v>0</v>
      </c>
      <c r="S16" s="1244">
        <f t="shared" si="1"/>
        <v>0</v>
      </c>
    </row>
    <row r="17" spans="1:19">
      <c r="A17" s="198">
        <f t="shared" si="0"/>
        <v>1862</v>
      </c>
      <c r="B17" s="255">
        <f>DataUK1!B20</f>
        <v>784.21580211938692</v>
      </c>
      <c r="C17" s="170">
        <f>DataUK1!D20</f>
        <v>763.21580211938692</v>
      </c>
      <c r="D17" s="170">
        <f>DataUK1!C20</f>
        <v>21</v>
      </c>
      <c r="E17" s="210">
        <f t="shared" si="3"/>
        <v>2.6778343337696499E-2</v>
      </c>
      <c r="F17" s="203">
        <f>DataUK1!HD20/TableUK8!$B17</f>
        <v>2.6778343337696499E-2</v>
      </c>
      <c r="G17" s="203">
        <f>DataUK1!HE20/TableUK8!$B17</f>
        <v>2.6778343337696499E-2</v>
      </c>
      <c r="H17" s="203">
        <f>DataUK1!HF20/TableUK8!$B17</f>
        <v>0</v>
      </c>
      <c r="I17" s="204">
        <f>DataUK1!HG20/TableUK8!$B17</f>
        <v>0</v>
      </c>
      <c r="J17" s="203">
        <f>DataUK1!HJ20/DataUK1!CD20</f>
        <v>0</v>
      </c>
      <c r="K17" s="296">
        <f>DataUK1!E20</f>
        <v>796.92222726884506</v>
      </c>
      <c r="L17" s="170">
        <f>DataUK1!F20</f>
        <v>34.959999999999994</v>
      </c>
      <c r="M17" s="290">
        <f t="shared" si="4"/>
        <v>4.386877264022665E-2</v>
      </c>
      <c r="R17" s="1433">
        <f t="shared" si="2"/>
        <v>0</v>
      </c>
      <c r="S17" s="1244">
        <f t="shared" si="1"/>
        <v>0</v>
      </c>
    </row>
    <row r="18" spans="1:19">
      <c r="A18" s="198">
        <f t="shared" si="0"/>
        <v>1863</v>
      </c>
      <c r="B18" s="255">
        <f>DataUK1!B21</f>
        <v>815.83938362853598</v>
      </c>
      <c r="C18" s="170">
        <f>DataUK1!D21</f>
        <v>794.83938362853598</v>
      </c>
      <c r="D18" s="170">
        <f>DataUK1!C21</f>
        <v>21</v>
      </c>
      <c r="E18" s="210">
        <f t="shared" si="3"/>
        <v>2.5740360690360613E-2</v>
      </c>
      <c r="F18" s="203">
        <f>DataUK1!HD21/TableUK8!$B18</f>
        <v>2.5740360690360613E-2</v>
      </c>
      <c r="G18" s="203">
        <f>DataUK1!HE21/TableUK8!$B18</f>
        <v>2.5740360690360613E-2</v>
      </c>
      <c r="H18" s="203">
        <f>DataUK1!HF21/TableUK8!$B18</f>
        <v>0</v>
      </c>
      <c r="I18" s="204">
        <f>DataUK1!HG21/TableUK8!$B18</f>
        <v>0</v>
      </c>
      <c r="J18" s="203">
        <f>DataUK1!HJ21/DataUK1!CD21</f>
        <v>0</v>
      </c>
      <c r="K18" s="296">
        <f>DataUK1!E21</f>
        <v>830.42466110410123</v>
      </c>
      <c r="L18" s="170">
        <f>DataUK1!F21</f>
        <v>36.891428571428563</v>
      </c>
      <c r="M18" s="290">
        <f t="shared" si="4"/>
        <v>4.4424774816271849E-2</v>
      </c>
      <c r="R18" s="1433">
        <f t="shared" si="2"/>
        <v>0</v>
      </c>
      <c r="S18" s="1244">
        <f t="shared" si="1"/>
        <v>0</v>
      </c>
    </row>
    <row r="19" spans="1:19">
      <c r="A19" s="198">
        <f t="shared" si="0"/>
        <v>1864</v>
      </c>
      <c r="B19" s="255">
        <f>DataUK1!B22</f>
        <v>845.23906709615505</v>
      </c>
      <c r="C19" s="170">
        <f>DataUK1!D22</f>
        <v>822.23906709615505</v>
      </c>
      <c r="D19" s="170">
        <f>DataUK1!C22</f>
        <v>23</v>
      </c>
      <c r="E19" s="210">
        <f t="shared" si="3"/>
        <v>2.7211236318048112E-2</v>
      </c>
      <c r="F19" s="203">
        <f>DataUK1!HD22/TableUK8!$B19</f>
        <v>2.7211236318048112E-2</v>
      </c>
      <c r="G19" s="203">
        <f>DataUK1!HE22/TableUK8!$B19</f>
        <v>2.7211236318048112E-2</v>
      </c>
      <c r="H19" s="203">
        <f>DataUK1!HF22/TableUK8!$B19</f>
        <v>0</v>
      </c>
      <c r="I19" s="204">
        <f>DataUK1!HG22/TableUK8!$B19</f>
        <v>0</v>
      </c>
      <c r="J19" s="203">
        <f>DataUK1!HJ22/DataUK1!CD22</f>
        <v>0</v>
      </c>
      <c r="K19" s="296">
        <f>DataUK1!E22</f>
        <v>859.74406316805459</v>
      </c>
      <c r="L19" s="170">
        <f>DataUK1!F22</f>
        <v>38.857142857142854</v>
      </c>
      <c r="M19" s="290">
        <f t="shared" si="4"/>
        <v>4.5196174677797608E-2</v>
      </c>
      <c r="R19" s="1433">
        <f t="shared" si="2"/>
        <v>0</v>
      </c>
      <c r="S19" s="1244">
        <f t="shared" si="1"/>
        <v>0</v>
      </c>
    </row>
    <row r="20" spans="1:19">
      <c r="A20" s="198">
        <f t="shared" si="0"/>
        <v>1865</v>
      </c>
      <c r="B20" s="255">
        <f>DataUK1!B23</f>
        <v>876.54491040080984</v>
      </c>
      <c r="C20" s="170">
        <f>DataUK1!D23</f>
        <v>852.54491040080984</v>
      </c>
      <c r="D20" s="170">
        <f>DataUK1!C23</f>
        <v>24</v>
      </c>
      <c r="E20" s="210">
        <f t="shared" si="3"/>
        <v>2.7380228571546591E-2</v>
      </c>
      <c r="F20" s="203">
        <f>DataUK1!HD23/TableUK8!$B20</f>
        <v>2.7380228571546591E-2</v>
      </c>
      <c r="G20" s="203">
        <f>DataUK1!HE23/TableUK8!$B20</f>
        <v>2.7380228571546591E-2</v>
      </c>
      <c r="H20" s="203">
        <f>DataUK1!HF23/TableUK8!$B20</f>
        <v>0</v>
      </c>
      <c r="I20" s="204">
        <f>DataUK1!HG23/TableUK8!$B20</f>
        <v>0</v>
      </c>
      <c r="J20" s="203">
        <f>DataUK1!HJ23/DataUK1!CD23</f>
        <v>0</v>
      </c>
      <c r="K20" s="296">
        <f>DataUK1!E23</f>
        <v>891.21490257737344</v>
      </c>
      <c r="L20" s="170">
        <f>DataUK1!F23</f>
        <v>40.071428571428562</v>
      </c>
      <c r="M20" s="290">
        <f t="shared" si="4"/>
        <v>4.4962700304430385E-2</v>
      </c>
      <c r="R20" s="1433">
        <f t="shared" si="2"/>
        <v>0</v>
      </c>
      <c r="S20" s="1244">
        <f t="shared" si="1"/>
        <v>0</v>
      </c>
    </row>
    <row r="21" spans="1:19">
      <c r="A21" s="198">
        <f t="shared" si="0"/>
        <v>1866</v>
      </c>
      <c r="B21" s="255">
        <f>DataUK1!B24</f>
        <v>898.03877474883018</v>
      </c>
      <c r="C21" s="170">
        <f>DataUK1!D24</f>
        <v>872.03877474883018</v>
      </c>
      <c r="D21" s="170">
        <f>DataUK1!C24</f>
        <v>26</v>
      </c>
      <c r="E21" s="210">
        <f t="shared" si="3"/>
        <v>2.8951979280930119E-2</v>
      </c>
      <c r="F21" s="203">
        <f>DataUK1!HD24/TableUK8!$B21</f>
        <v>2.8951979280930119E-2</v>
      </c>
      <c r="G21" s="203">
        <f>DataUK1!HE24/TableUK8!$B21</f>
        <v>2.8951979280930119E-2</v>
      </c>
      <c r="H21" s="203">
        <f>DataUK1!HF24/TableUK8!$B21</f>
        <v>0</v>
      </c>
      <c r="I21" s="204">
        <f>DataUK1!HG24/TableUK8!$B21</f>
        <v>0</v>
      </c>
      <c r="J21" s="203">
        <f>DataUK1!HJ24/DataUK1!CD24</f>
        <v>0</v>
      </c>
      <c r="K21" s="296">
        <f>DataUK1!E24</f>
        <v>911.90781993936071</v>
      </c>
      <c r="L21" s="170">
        <f>DataUK1!F24</f>
        <v>41.302857142857135</v>
      </c>
      <c r="M21" s="290">
        <f t="shared" si="4"/>
        <v>4.5292798504133522E-2</v>
      </c>
      <c r="R21" s="1433">
        <f t="shared" si="2"/>
        <v>0</v>
      </c>
      <c r="S21" s="1244">
        <f t="shared" si="1"/>
        <v>0</v>
      </c>
    </row>
    <row r="22" spans="1:19">
      <c r="A22" s="198">
        <f t="shared" si="0"/>
        <v>1867</v>
      </c>
      <c r="B22" s="255">
        <f>DataUK1!B25</f>
        <v>885.36322576313853</v>
      </c>
      <c r="C22" s="170">
        <f>DataUK1!D25</f>
        <v>857.36322576313853</v>
      </c>
      <c r="D22" s="170">
        <f>DataUK1!C25</f>
        <v>28</v>
      </c>
      <c r="E22" s="210">
        <f t="shared" si="3"/>
        <v>3.1625438221545073E-2</v>
      </c>
      <c r="F22" s="203">
        <f>DataUK1!HD25/TableUK8!$B22</f>
        <v>3.1625438221545073E-2</v>
      </c>
      <c r="G22" s="203">
        <f>DataUK1!HE25/TableUK8!$B22</f>
        <v>3.1625438221545073E-2</v>
      </c>
      <c r="H22" s="203">
        <f>DataUK1!HF25/TableUK8!$B22</f>
        <v>0</v>
      </c>
      <c r="I22" s="204">
        <f>DataUK1!HG25/TableUK8!$B22</f>
        <v>0</v>
      </c>
      <c r="J22" s="203">
        <f>DataUK1!HJ25/DataUK1!CD25</f>
        <v>0</v>
      </c>
      <c r="K22" s="296">
        <f>DataUK1!E25</f>
        <v>896.89888924283798</v>
      </c>
      <c r="L22" s="170">
        <f>DataUK1!F25</f>
        <v>40.945714285714281</v>
      </c>
      <c r="M22" s="290">
        <f t="shared" si="4"/>
        <v>4.5652542083401006E-2</v>
      </c>
      <c r="R22" s="1433">
        <f t="shared" si="2"/>
        <v>0</v>
      </c>
      <c r="S22" s="1244">
        <f t="shared" si="1"/>
        <v>0</v>
      </c>
    </row>
    <row r="23" spans="1:19">
      <c r="A23" s="198">
        <f t="shared" si="0"/>
        <v>1868</v>
      </c>
      <c r="B23" s="255">
        <f>DataUK1!B26</f>
        <v>885.96021628560834</v>
      </c>
      <c r="C23" s="170">
        <f>DataUK1!D26</f>
        <v>854.96021628560834</v>
      </c>
      <c r="D23" s="170">
        <f>DataUK1!C26</f>
        <v>31</v>
      </c>
      <c r="E23" s="210">
        <f t="shared" si="3"/>
        <v>3.4990284473458214E-2</v>
      </c>
      <c r="F23" s="203">
        <f>DataUK1!HD26/TableUK8!$B23</f>
        <v>3.4990284473458214E-2</v>
      </c>
      <c r="G23" s="203">
        <f>DataUK1!HE26/TableUK8!$B23</f>
        <v>3.4990284473458214E-2</v>
      </c>
      <c r="H23" s="203">
        <f>DataUK1!HF26/TableUK8!$B23</f>
        <v>0</v>
      </c>
      <c r="I23" s="204">
        <f>DataUK1!HG26/TableUK8!$B23</f>
        <v>0</v>
      </c>
      <c r="J23" s="203">
        <f>DataUK1!HJ26/DataUK1!CD26</f>
        <v>0</v>
      </c>
      <c r="K23" s="296">
        <f>DataUK1!E26</f>
        <v>894.93625539853542</v>
      </c>
      <c r="L23" s="170">
        <f>DataUK1!F26</f>
        <v>41.382857142857134</v>
      </c>
      <c r="M23" s="290">
        <f t="shared" si="4"/>
        <v>4.6241122642224845E-2</v>
      </c>
      <c r="R23" s="1433">
        <f t="shared" si="2"/>
        <v>0</v>
      </c>
      <c r="S23" s="1244">
        <f t="shared" si="1"/>
        <v>0</v>
      </c>
    </row>
    <row r="24" spans="1:19">
      <c r="A24" s="214">
        <f t="shared" si="0"/>
        <v>1869</v>
      </c>
      <c r="B24" s="256">
        <f>DataUK1!B27</f>
        <v>916.1262987439535</v>
      </c>
      <c r="C24" s="257">
        <f>DataUK1!D27</f>
        <v>883.1262987439535</v>
      </c>
      <c r="D24" s="257">
        <f>DataUK1!C27</f>
        <v>33</v>
      </c>
      <c r="E24" s="215">
        <f t="shared" si="3"/>
        <v>3.6021234239475876E-2</v>
      </c>
      <c r="F24" s="216">
        <f>DataUK1!HD27/TableUK8!$B24</f>
        <v>3.6021234239475876E-2</v>
      </c>
      <c r="G24" s="216">
        <f>DataUK1!HE27/TableUK8!$B24</f>
        <v>3.6021234239475876E-2</v>
      </c>
      <c r="H24" s="216">
        <f>DataUK1!HF27/TableUK8!$B24</f>
        <v>0</v>
      </c>
      <c r="I24" s="217">
        <f>DataUK1!HG27/TableUK8!$B24</f>
        <v>0</v>
      </c>
      <c r="J24" s="216">
        <f>DataUK1!HJ27/DataUK1!CD27</f>
        <v>0</v>
      </c>
      <c r="K24" s="297">
        <f>DataUK1!E27</f>
        <v>924.3134929709903</v>
      </c>
      <c r="L24" s="257">
        <f>DataUK1!F27</f>
        <v>42.639999999999993</v>
      </c>
      <c r="M24" s="291">
        <f t="shared" si="4"/>
        <v>4.6131534727404715E-2</v>
      </c>
      <c r="R24" s="1433">
        <f t="shared" si="2"/>
        <v>0</v>
      </c>
      <c r="S24" s="1244">
        <f t="shared" si="1"/>
        <v>0</v>
      </c>
    </row>
    <row r="25" spans="1:19">
      <c r="A25" s="198">
        <f t="shared" si="0"/>
        <v>1870</v>
      </c>
      <c r="B25" s="255">
        <f>DataUK1!B28</f>
        <v>987.85714285714289</v>
      </c>
      <c r="C25" s="170">
        <f>DataUK1!D28</f>
        <v>952.85714285714289</v>
      </c>
      <c r="D25" s="170">
        <f>DataUK1!C28</f>
        <v>35</v>
      </c>
      <c r="E25" s="210">
        <f t="shared" si="3"/>
        <v>3.5430224150397684E-2</v>
      </c>
      <c r="F25" s="203">
        <f>DataUK1!HD28/TableUK8!$B25</f>
        <v>3.5430224150397684E-2</v>
      </c>
      <c r="G25" s="203">
        <f>DataUK1!HE28/TableUK8!$B25</f>
        <v>3.7454808387563265E-2</v>
      </c>
      <c r="H25" s="203">
        <f>DataUK1!HF28/TableUK8!$B25</f>
        <v>2.0245842371655822E-3</v>
      </c>
      <c r="I25" s="204">
        <f>DataUK1!HG28/TableUK8!$B25</f>
        <v>0</v>
      </c>
      <c r="J25" s="203">
        <f>DataUK1!HJ28/DataUK1!CD28</f>
        <v>0</v>
      </c>
      <c r="K25" s="296">
        <f>DataUK1!E28</f>
        <v>995.96799999999985</v>
      </c>
      <c r="L25" s="170">
        <f>DataUK1!F28</f>
        <v>44.742857142857133</v>
      </c>
      <c r="M25" s="290">
        <f t="shared" si="4"/>
        <v>4.4923990673251687E-2</v>
      </c>
      <c r="R25" s="1433">
        <f t="shared" si="2"/>
        <v>0</v>
      </c>
      <c r="S25" s="1244">
        <f t="shared" si="1"/>
        <v>0</v>
      </c>
    </row>
    <row r="26" spans="1:19">
      <c r="A26" s="198">
        <f t="shared" si="0"/>
        <v>1871</v>
      </c>
      <c r="B26" s="255">
        <f>DataUK1!B29</f>
        <v>1062.2200000000003</v>
      </c>
      <c r="C26" s="170">
        <f>DataUK1!D29</f>
        <v>1023.2200000000001</v>
      </c>
      <c r="D26" s="170">
        <f>DataUK1!C29</f>
        <v>39</v>
      </c>
      <c r="E26" s="210">
        <f t="shared" si="3"/>
        <v>3.6715557982338866E-2</v>
      </c>
      <c r="F26" s="203">
        <f>DataUK1!HD29/TableUK8!$B26</f>
        <v>3.6715557982338866E-2</v>
      </c>
      <c r="G26" s="203">
        <f>DataUK1!HE29/TableUK8!$B26</f>
        <v>3.9539831673288013E-2</v>
      </c>
      <c r="H26" s="203">
        <f>DataUK1!HF29/TableUK8!$B26</f>
        <v>2.8242736909491434E-3</v>
      </c>
      <c r="I26" s="204">
        <f>DataUK1!HG29/TableUK8!$B26</f>
        <v>0</v>
      </c>
      <c r="J26" s="203">
        <f>DataUK1!HJ29/DataUK1!CD29</f>
        <v>0</v>
      </c>
      <c r="K26" s="296">
        <f>DataUK1!E29</f>
        <v>1068.2559999999999</v>
      </c>
      <c r="L26" s="170">
        <f>DataUK1!F29</f>
        <v>46.879999999999988</v>
      </c>
      <c r="M26" s="290">
        <f t="shared" si="4"/>
        <v>4.3884611928226937E-2</v>
      </c>
      <c r="R26" s="1433">
        <f t="shared" si="2"/>
        <v>1.1368683772161603E-13</v>
      </c>
      <c r="S26" s="1244">
        <f t="shared" si="1"/>
        <v>0</v>
      </c>
    </row>
    <row r="27" spans="1:19">
      <c r="A27" s="198">
        <f t="shared" si="0"/>
        <v>1872</v>
      </c>
      <c r="B27" s="255">
        <f>DataUK1!B30</f>
        <v>1130.8014285714287</v>
      </c>
      <c r="C27" s="170">
        <f>DataUK1!D30</f>
        <v>1086.8014285714287</v>
      </c>
      <c r="D27" s="170">
        <f>DataUK1!C30</f>
        <v>44</v>
      </c>
      <c r="E27" s="210">
        <f t="shared" si="3"/>
        <v>3.8910456679902117E-2</v>
      </c>
      <c r="F27" s="203">
        <f>DataUK1!HD30/TableUK8!$B27</f>
        <v>3.8910456679902117E-2</v>
      </c>
      <c r="G27" s="203">
        <f>DataUK1!HE30/TableUK8!$B27</f>
        <v>4.1563442362622709E-2</v>
      </c>
      <c r="H27" s="203">
        <f>DataUK1!HF30/TableUK8!$B27</f>
        <v>2.6529856827205984E-3</v>
      </c>
      <c r="I27" s="204">
        <f>DataUK1!HG30/TableUK8!$B27</f>
        <v>0</v>
      </c>
      <c r="J27" s="203">
        <f>DataUK1!HJ30/DataUK1!CD30</f>
        <v>0</v>
      </c>
      <c r="K27" s="296">
        <f>DataUK1!E30</f>
        <v>1136.528</v>
      </c>
      <c r="L27" s="170">
        <f>DataUK1!F30</f>
        <v>51.58857142857142</v>
      </c>
      <c r="M27" s="290">
        <f t="shared" si="4"/>
        <v>4.5391377448308727E-2</v>
      </c>
      <c r="R27" s="1433">
        <f t="shared" si="2"/>
        <v>0</v>
      </c>
      <c r="S27" s="1244">
        <f t="shared" si="1"/>
        <v>0</v>
      </c>
    </row>
    <row r="28" spans="1:19">
      <c r="A28" s="198">
        <f t="shared" si="0"/>
        <v>1873</v>
      </c>
      <c r="B28" s="255">
        <f>DataUK1!B31</f>
        <v>1207.1821428571429</v>
      </c>
      <c r="C28" s="170">
        <f>DataUK1!D31</f>
        <v>1155.1821428571429</v>
      </c>
      <c r="D28" s="170">
        <f>DataUK1!C31</f>
        <v>52</v>
      </c>
      <c r="E28" s="210">
        <f t="shared" si="3"/>
        <v>4.3075521210848164E-2</v>
      </c>
      <c r="F28" s="203">
        <f>DataUK1!HD31/TableUK8!$B28</f>
        <v>4.3075521210848164E-2</v>
      </c>
      <c r="G28" s="203">
        <f>DataUK1!HE31/TableUK8!$B28</f>
        <v>4.6389022842451867E-2</v>
      </c>
      <c r="H28" s="203">
        <f>DataUK1!HF31/TableUK8!$B28</f>
        <v>3.313501631603705E-3</v>
      </c>
      <c r="I28" s="204">
        <f>DataUK1!HG31/TableUK8!$B28</f>
        <v>0</v>
      </c>
      <c r="J28" s="203">
        <f>DataUK1!HJ31/DataUK1!CD31</f>
        <v>0</v>
      </c>
      <c r="K28" s="296">
        <f>DataUK1!E31</f>
        <v>1209.82</v>
      </c>
      <c r="L28" s="170">
        <f>DataUK1!F31</f>
        <v>56.382857142857134</v>
      </c>
      <c r="M28" s="290">
        <f t="shared" si="4"/>
        <v>4.660433547375406E-2</v>
      </c>
      <c r="R28" s="1433">
        <f t="shared" si="2"/>
        <v>0</v>
      </c>
      <c r="S28" s="1244">
        <f t="shared" si="1"/>
        <v>0</v>
      </c>
    </row>
    <row r="29" spans="1:19">
      <c r="A29" s="198">
        <f t="shared" si="0"/>
        <v>1874</v>
      </c>
      <c r="B29" s="255">
        <f>DataUK1!B32</f>
        <v>1179.9285714285713</v>
      </c>
      <c r="C29" s="170">
        <f>DataUK1!D32</f>
        <v>1122.9285714285713</v>
      </c>
      <c r="D29" s="170">
        <f>DataUK1!C32</f>
        <v>57</v>
      </c>
      <c r="E29" s="210">
        <f t="shared" si="3"/>
        <v>4.830800895938011E-2</v>
      </c>
      <c r="F29" s="203">
        <f>DataUK1!HD32/TableUK8!$B29</f>
        <v>4.830800895938011E-2</v>
      </c>
      <c r="G29" s="203">
        <f>DataUK1!HE32/TableUK8!$B29</f>
        <v>5.1698044675827837E-2</v>
      </c>
      <c r="H29" s="203">
        <f>DataUK1!HF32/TableUK8!$B29</f>
        <v>3.3900357164477271E-3</v>
      </c>
      <c r="I29" s="204">
        <f>DataUK1!HG32/TableUK8!$B29</f>
        <v>0</v>
      </c>
      <c r="J29" s="203">
        <f>DataUK1!HJ32/DataUK1!CD32</f>
        <v>0</v>
      </c>
      <c r="K29" s="296">
        <f>DataUK1!E32</f>
        <v>1178.6959999999999</v>
      </c>
      <c r="L29" s="170">
        <f>DataUK1!F32</f>
        <v>57.811428571428557</v>
      </c>
      <c r="M29" s="290">
        <f t="shared" si="4"/>
        <v>4.9046937099496868E-2</v>
      </c>
      <c r="R29" s="1433">
        <f t="shared" si="2"/>
        <v>0</v>
      </c>
      <c r="S29" s="1244">
        <f t="shared" si="1"/>
        <v>0</v>
      </c>
    </row>
    <row r="30" spans="1:19">
      <c r="A30" s="198">
        <f t="shared" si="0"/>
        <v>1875</v>
      </c>
      <c r="B30" s="255">
        <f>DataUK1!B33</f>
        <v>1167.7935714285713</v>
      </c>
      <c r="C30" s="170">
        <f>DataUK1!D33</f>
        <v>1109.7935714285713</v>
      </c>
      <c r="D30" s="170">
        <f>DataUK1!C33</f>
        <v>58</v>
      </c>
      <c r="E30" s="210">
        <f t="shared" si="3"/>
        <v>4.9666312111179146E-2</v>
      </c>
      <c r="F30" s="203">
        <f>DataUK1!HD33/TableUK8!$B30</f>
        <v>4.9666312111179146E-2</v>
      </c>
      <c r="G30" s="203">
        <f>DataUK1!HE33/TableUK8!$B30</f>
        <v>5.3091575015398393E-2</v>
      </c>
      <c r="H30" s="203">
        <f>DataUK1!HF33/TableUK8!$B30</f>
        <v>3.4252629042192512E-3</v>
      </c>
      <c r="I30" s="204">
        <f>DataUK1!HG33/TableUK8!$B30</f>
        <v>0</v>
      </c>
      <c r="J30" s="203">
        <f>DataUK1!HJ33/DataUK1!CD33</f>
        <v>0</v>
      </c>
      <c r="K30" s="296">
        <f>DataUK1!E33</f>
        <v>1163.636</v>
      </c>
      <c r="L30" s="170">
        <f>DataUK1!F33</f>
        <v>55.771428571428558</v>
      </c>
      <c r="M30" s="290">
        <f t="shared" si="4"/>
        <v>4.7928586406254671E-2</v>
      </c>
      <c r="R30" s="1433">
        <f t="shared" si="2"/>
        <v>0</v>
      </c>
      <c r="S30" s="1244">
        <f t="shared" si="1"/>
        <v>0</v>
      </c>
    </row>
    <row r="31" spans="1:19">
      <c r="A31" s="198">
        <f t="shared" si="0"/>
        <v>1876</v>
      </c>
      <c r="B31" s="255">
        <f>DataUK1!B34</f>
        <v>1153.1799999999998</v>
      </c>
      <c r="C31" s="170">
        <f>DataUK1!D34</f>
        <v>1096.1799999999998</v>
      </c>
      <c r="D31" s="170">
        <f>DataUK1!C34</f>
        <v>57</v>
      </c>
      <c r="E31" s="210">
        <f t="shared" si="3"/>
        <v>4.9428536741878984E-2</v>
      </c>
      <c r="F31" s="203">
        <f>DataUK1!HD34/TableUK8!$B31</f>
        <v>4.9428536741878984E-2</v>
      </c>
      <c r="G31" s="203">
        <f>DataUK1!HE34/TableUK8!$B31</f>
        <v>5.2897205986923122E-2</v>
      </c>
      <c r="H31" s="203">
        <f>DataUK1!HF34/TableUK8!$B31</f>
        <v>3.4686692450441392E-3</v>
      </c>
      <c r="I31" s="204">
        <f>DataUK1!HG34/TableUK8!$B31</f>
        <v>0</v>
      </c>
      <c r="J31" s="203">
        <f>DataUK1!HJ34/DataUK1!CD34</f>
        <v>0</v>
      </c>
      <c r="K31" s="296">
        <f>DataUK1!E34</f>
        <v>1150.5840000000001</v>
      </c>
      <c r="L31" s="170">
        <f>DataUK1!F34</f>
        <v>56.319999999999986</v>
      </c>
      <c r="M31" s="290">
        <f t="shared" si="4"/>
        <v>4.8949055436195862E-2</v>
      </c>
      <c r="R31" s="1433">
        <f t="shared" si="2"/>
        <v>0</v>
      </c>
      <c r="S31" s="1244">
        <f t="shared" si="1"/>
        <v>0</v>
      </c>
    </row>
    <row r="32" spans="1:19">
      <c r="A32" s="198">
        <f t="shared" si="0"/>
        <v>1877</v>
      </c>
      <c r="B32" s="255">
        <f>DataUK1!B35</f>
        <v>1144.5314285714287</v>
      </c>
      <c r="C32" s="170">
        <f>DataUK1!D35</f>
        <v>1089.5314285714287</v>
      </c>
      <c r="D32" s="170">
        <f>DataUK1!C35</f>
        <v>55</v>
      </c>
      <c r="E32" s="210">
        <f t="shared" si="3"/>
        <v>4.8054600010983904E-2</v>
      </c>
      <c r="F32" s="203">
        <f>DataUK1!HD35/TableUK8!$B32</f>
        <v>4.8054600010983904E-2</v>
      </c>
      <c r="G32" s="203">
        <f>DataUK1!HE35/TableUK8!$B32</f>
        <v>5.1549480011782729E-2</v>
      </c>
      <c r="H32" s="203">
        <f>DataUK1!HF35/TableUK8!$B32</f>
        <v>3.4948800007988294E-3</v>
      </c>
      <c r="I32" s="204">
        <f>DataUK1!HG35/TableUK8!$B32</f>
        <v>0</v>
      </c>
      <c r="J32" s="203">
        <f>DataUK1!HJ35/DataUK1!CD35</f>
        <v>0</v>
      </c>
      <c r="K32" s="296">
        <f>DataUK1!E35</f>
        <v>1144.56</v>
      </c>
      <c r="L32" s="170">
        <f>DataUK1!F35</f>
        <v>56.868571428571414</v>
      </c>
      <c r="M32" s="290">
        <f t="shared" si="4"/>
        <v>4.968596790781734E-2</v>
      </c>
      <c r="R32" s="1433">
        <f t="shared" si="2"/>
        <v>0</v>
      </c>
      <c r="S32" s="1244">
        <f t="shared" si="1"/>
        <v>0</v>
      </c>
    </row>
    <row r="33" spans="1:19">
      <c r="A33" s="198">
        <f t="shared" si="0"/>
        <v>1878</v>
      </c>
      <c r="B33" s="255">
        <f>DataUK1!B36</f>
        <v>1112.82</v>
      </c>
      <c r="C33" s="170">
        <f>DataUK1!D36</f>
        <v>1057.82</v>
      </c>
      <c r="D33" s="170">
        <f>DataUK1!C36</f>
        <v>55</v>
      </c>
      <c r="E33" s="210">
        <f t="shared" si="3"/>
        <v>4.9423985909670926E-2</v>
      </c>
      <c r="F33" s="203">
        <f>DataUK1!HD36/TableUK8!$B33</f>
        <v>4.9423985909670926E-2</v>
      </c>
      <c r="G33" s="203">
        <f>DataUK1!HE36/TableUK8!$B33</f>
        <v>5.3018457612192454E-2</v>
      </c>
      <c r="H33" s="203">
        <f>DataUK1!HF36/TableUK8!$B33</f>
        <v>3.594471702521522E-3</v>
      </c>
      <c r="I33" s="204">
        <f>DataUK1!HG36/TableUK8!$B33</f>
        <v>0</v>
      </c>
      <c r="J33" s="203">
        <f>DataUK1!HJ36/DataUK1!CD36</f>
        <v>0</v>
      </c>
      <c r="K33" s="296">
        <f>DataUK1!E36</f>
        <v>1112.432</v>
      </c>
      <c r="L33" s="170">
        <f>DataUK1!F36</f>
        <v>56.519999999999982</v>
      </c>
      <c r="M33" s="290">
        <f t="shared" si="4"/>
        <v>5.0807599925208898E-2</v>
      </c>
      <c r="R33" s="1433">
        <f t="shared" si="2"/>
        <v>0</v>
      </c>
      <c r="S33" s="1244">
        <f t="shared" si="1"/>
        <v>0</v>
      </c>
    </row>
    <row r="34" spans="1:19">
      <c r="A34" s="214">
        <f t="shared" si="0"/>
        <v>1879</v>
      </c>
      <c r="B34" s="256">
        <f>DataUK1!B37</f>
        <v>1087.6864285714287</v>
      </c>
      <c r="C34" s="257">
        <f>DataUK1!D37</f>
        <v>1031.6864285714287</v>
      </c>
      <c r="D34" s="257">
        <f>DataUK1!C37</f>
        <v>56</v>
      </c>
      <c r="E34" s="215">
        <f t="shared" si="3"/>
        <v>5.148542680039743E-2</v>
      </c>
      <c r="F34" s="216">
        <f>DataUK1!HD37/TableUK8!$B34</f>
        <v>5.148542680039743E-2</v>
      </c>
      <c r="G34" s="216">
        <f>DataUK1!HE37/TableUK8!$B34</f>
        <v>5.5162957286140103E-2</v>
      </c>
      <c r="H34" s="216">
        <f>DataUK1!HF37/TableUK8!$B34</f>
        <v>3.6775304857426735E-3</v>
      </c>
      <c r="I34" s="217">
        <f>DataUK1!HG37/TableUK8!$B34</f>
        <v>0</v>
      </c>
      <c r="J34" s="216">
        <f>DataUK1!HJ37/DataUK1!CD37</f>
        <v>0</v>
      </c>
      <c r="K34" s="297">
        <f>DataUK1!E37</f>
        <v>1085.3240000000001</v>
      </c>
      <c r="L34" s="257">
        <f>DataUK1!F37</f>
        <v>55.248571428571417</v>
      </c>
      <c r="M34" s="291">
        <f t="shared" si="4"/>
        <v>5.0905141163902587E-2</v>
      </c>
      <c r="R34" s="1433">
        <f t="shared" si="2"/>
        <v>0</v>
      </c>
      <c r="S34" s="1244">
        <f t="shared" si="1"/>
        <v>0</v>
      </c>
    </row>
    <row r="35" spans="1:19">
      <c r="A35" s="198">
        <f t="shared" si="0"/>
        <v>1880</v>
      </c>
      <c r="B35" s="255">
        <f>DataUK1!B38</f>
        <v>1131.1357142857144</v>
      </c>
      <c r="C35" s="170">
        <f>DataUK1!D38</f>
        <v>1073.1357142857144</v>
      </c>
      <c r="D35" s="170">
        <f>DataUK1!C38</f>
        <v>58</v>
      </c>
      <c r="E35" s="210">
        <f t="shared" si="3"/>
        <v>5.1275898433306599E-2</v>
      </c>
      <c r="F35" s="203">
        <f>DataUK1!HD38/TableUK8!$B35</f>
        <v>5.1275898433306599E-2</v>
      </c>
      <c r="G35" s="203">
        <f>DataUK1!HE38/TableUK8!$B35</f>
        <v>5.4812167290776016E-2</v>
      </c>
      <c r="H35" s="203">
        <f>DataUK1!HF38/TableUK8!$B35</f>
        <v>3.5362688574694205E-3</v>
      </c>
      <c r="I35" s="204">
        <f>DataUK1!HG38/TableUK8!$B35</f>
        <v>0</v>
      </c>
      <c r="J35" s="203">
        <f>DataUK1!HJ38/DataUK1!CD38</f>
        <v>0</v>
      </c>
      <c r="K35" s="296">
        <f>DataUK1!E38</f>
        <v>1129.5</v>
      </c>
      <c r="L35" s="170">
        <f>DataUK1!F38</f>
        <v>58.514285714285698</v>
      </c>
      <c r="M35" s="290">
        <f t="shared" si="4"/>
        <v>5.1805476506671715E-2</v>
      </c>
      <c r="R35" s="1433">
        <f t="shared" si="2"/>
        <v>0</v>
      </c>
      <c r="S35" s="1244">
        <f t="shared" si="1"/>
        <v>0</v>
      </c>
    </row>
    <row r="36" spans="1:19">
      <c r="A36" s="198">
        <f t="shared" si="0"/>
        <v>1881</v>
      </c>
      <c r="B36" s="255">
        <f>DataUK1!B39</f>
        <v>1172.4521428571429</v>
      </c>
      <c r="C36" s="170">
        <f>DataUK1!D39</f>
        <v>1113.4521428571429</v>
      </c>
      <c r="D36" s="170">
        <f>DataUK1!C39</f>
        <v>59</v>
      </c>
      <c r="E36" s="210">
        <f t="shared" si="3"/>
        <v>5.0321883378730656E-2</v>
      </c>
      <c r="F36" s="203">
        <f>DataUK1!HD39/TableUK8!$B36</f>
        <v>5.0321883378730656E-2</v>
      </c>
      <c r="G36" s="203">
        <f>DataUK1!HE39/TableUK8!$B36</f>
        <v>5.3733536489153071E-2</v>
      </c>
      <c r="H36" s="203">
        <f>DataUK1!HF39/TableUK8!$B36</f>
        <v>3.4116531104224175E-3</v>
      </c>
      <c r="I36" s="204">
        <f>DataUK1!HG39/TableUK8!$B36</f>
        <v>0</v>
      </c>
      <c r="J36" s="203">
        <f>DataUK1!HJ39/DataUK1!CD39</f>
        <v>0</v>
      </c>
      <c r="K36" s="296">
        <f>DataUK1!E39</f>
        <v>1170.664</v>
      </c>
      <c r="L36" s="170">
        <f>DataUK1!F39</f>
        <v>59.062857142857126</v>
      </c>
      <c r="M36" s="290">
        <f t="shared" si="4"/>
        <v>5.0452441642398781E-2</v>
      </c>
      <c r="R36" s="1433">
        <f t="shared" si="2"/>
        <v>0</v>
      </c>
      <c r="S36" s="1244">
        <f t="shared" si="1"/>
        <v>0</v>
      </c>
    </row>
    <row r="37" spans="1:19">
      <c r="A37" s="198">
        <f t="shared" si="0"/>
        <v>1882</v>
      </c>
      <c r="B37" s="255">
        <f>DataUK1!B40</f>
        <v>1214.1671428571431</v>
      </c>
      <c r="C37" s="170">
        <f>DataUK1!D40</f>
        <v>1151.1671428571431</v>
      </c>
      <c r="D37" s="170">
        <f>DataUK1!C40</f>
        <v>63</v>
      </c>
      <c r="E37" s="210">
        <f t="shared" si="3"/>
        <v>5.1887419595089863E-2</v>
      </c>
      <c r="F37" s="203">
        <f>DataUK1!HD40/TableUK8!$B37</f>
        <v>5.1887419595089863E-2</v>
      </c>
      <c r="G37" s="203">
        <f>DataUK1!HE40/TableUK8!$B37</f>
        <v>5.6005468769303346E-2</v>
      </c>
      <c r="H37" s="203">
        <f>DataUK1!HF40/TableUK8!$B37</f>
        <v>4.1180491742134817E-3</v>
      </c>
      <c r="I37" s="204">
        <f>DataUK1!HG40/TableUK8!$B37</f>
        <v>0</v>
      </c>
      <c r="J37" s="203">
        <f>DataUK1!HJ40/DataUK1!CD40</f>
        <v>0</v>
      </c>
      <c r="K37" s="296">
        <f>DataUK1!E40</f>
        <v>1209.82</v>
      </c>
      <c r="L37" s="170">
        <f>DataUK1!F40</f>
        <v>60.542857142857123</v>
      </c>
      <c r="M37" s="290">
        <f t="shared" si="4"/>
        <v>5.0042863519248422E-2</v>
      </c>
      <c r="R37" s="1433">
        <f t="shared" si="2"/>
        <v>0</v>
      </c>
      <c r="S37" s="1244">
        <f t="shared" si="1"/>
        <v>0</v>
      </c>
    </row>
    <row r="38" spans="1:19">
      <c r="A38" s="198">
        <f t="shared" si="0"/>
        <v>1883</v>
      </c>
      <c r="B38" s="255">
        <f>DataUK1!B41</f>
        <v>1199.83</v>
      </c>
      <c r="C38" s="170">
        <f>DataUK1!D41</f>
        <v>1135.83</v>
      </c>
      <c r="D38" s="170">
        <f>DataUK1!C41</f>
        <v>64</v>
      </c>
      <c r="E38" s="210">
        <f t="shared" si="3"/>
        <v>5.3340889959410921E-2</v>
      </c>
      <c r="F38" s="203">
        <f>DataUK1!HD41/TableUK8!$B38</f>
        <v>5.3340889959410921E-2</v>
      </c>
      <c r="G38" s="203">
        <f>DataUK1!HE41/TableUK8!$B38</f>
        <v>5.7508146987489898E-2</v>
      </c>
      <c r="H38" s="203">
        <f>DataUK1!HF41/TableUK8!$B38</f>
        <v>4.1672570280789781E-3</v>
      </c>
      <c r="I38" s="204">
        <f>DataUK1!HG41/TableUK8!$B38</f>
        <v>0</v>
      </c>
      <c r="J38" s="203">
        <f>DataUK1!HJ41/DataUK1!CD41</f>
        <v>0</v>
      </c>
      <c r="K38" s="296">
        <f>DataUK1!E41</f>
        <v>1194.76</v>
      </c>
      <c r="L38" s="170">
        <f>DataUK1!F41</f>
        <v>61.09999999999998</v>
      </c>
      <c r="M38" s="290">
        <f t="shared" si="4"/>
        <v>5.1139977903511984E-2</v>
      </c>
      <c r="R38" s="1433">
        <f t="shared" si="2"/>
        <v>0</v>
      </c>
      <c r="S38" s="1244">
        <f t="shared" si="1"/>
        <v>0</v>
      </c>
    </row>
    <row r="39" spans="1:19">
      <c r="A39" s="198">
        <f t="shared" si="0"/>
        <v>1884</v>
      </c>
      <c r="B39" s="255">
        <f>DataUK1!B42</f>
        <v>1170.9199999999998</v>
      </c>
      <c r="C39" s="170">
        <f>DataUK1!D42</f>
        <v>1103.9199999999998</v>
      </c>
      <c r="D39" s="170">
        <f>DataUK1!C42</f>
        <v>67</v>
      </c>
      <c r="E39" s="210">
        <f t="shared" si="3"/>
        <v>5.7219963789157252E-2</v>
      </c>
      <c r="F39" s="203">
        <f>DataUK1!HD42/TableUK8!$B39</f>
        <v>5.7219963789157252E-2</v>
      </c>
      <c r="G39" s="203">
        <f>DataUK1!HE42/TableUK8!$B39</f>
        <v>6.14901103405869E-2</v>
      </c>
      <c r="H39" s="203">
        <f>DataUK1!HF42/TableUK8!$B39</f>
        <v>4.2701465514296457E-3</v>
      </c>
      <c r="I39" s="204">
        <f>DataUK1!HG42/TableUK8!$B39</f>
        <v>0</v>
      </c>
      <c r="J39" s="203">
        <f>DataUK1!HJ42/DataUK1!CD42</f>
        <v>0</v>
      </c>
      <c r="K39" s="296">
        <f>DataUK1!E42</f>
        <v>1161.6279999999999</v>
      </c>
      <c r="L39" s="170">
        <f>DataUK1!F42</f>
        <v>59.759999999999984</v>
      </c>
      <c r="M39" s="290">
        <f t="shared" si="4"/>
        <v>5.1445040925322039E-2</v>
      </c>
      <c r="R39" s="1433">
        <f t="shared" si="2"/>
        <v>0</v>
      </c>
      <c r="S39" s="1244">
        <f t="shared" si="1"/>
        <v>0</v>
      </c>
    </row>
    <row r="40" spans="1:19">
      <c r="A40" s="198">
        <f t="shared" si="0"/>
        <v>1885</v>
      </c>
      <c r="B40" s="255">
        <f>DataUK1!B43</f>
        <v>1154.1271428571429</v>
      </c>
      <c r="C40" s="170">
        <f>DataUK1!D43</f>
        <v>1084.1271428571429</v>
      </c>
      <c r="D40" s="170">
        <f>DataUK1!C43</f>
        <v>70</v>
      </c>
      <c r="E40" s="210">
        <f t="shared" si="3"/>
        <v>6.0651896485779608E-2</v>
      </c>
      <c r="F40" s="203">
        <f>DataUK1!HD43/TableUK8!$B40</f>
        <v>6.0651896485779608E-2</v>
      </c>
      <c r="G40" s="203">
        <f>DataUK1!HE43/TableUK8!$B40</f>
        <v>6.4984174806192438E-2</v>
      </c>
      <c r="H40" s="203">
        <f>DataUK1!HF43/TableUK8!$B40</f>
        <v>4.3322783204128293E-3</v>
      </c>
      <c r="I40" s="204">
        <f>DataUK1!HG43/TableUK8!$B40</f>
        <v>0</v>
      </c>
      <c r="J40" s="203">
        <f>DataUK1!HJ43/DataUK1!CD43</f>
        <v>0</v>
      </c>
      <c r="K40" s="296">
        <f>DataUK1!E43</f>
        <v>1141.548</v>
      </c>
      <c r="L40" s="170">
        <f>DataUK1!F43</f>
        <v>59.342857142857127</v>
      </c>
      <c r="M40" s="290">
        <f t="shared" si="4"/>
        <v>5.1984548300077725E-2</v>
      </c>
      <c r="R40" s="1433">
        <f t="shared" si="2"/>
        <v>0</v>
      </c>
      <c r="S40" s="1244">
        <f t="shared" si="1"/>
        <v>0</v>
      </c>
    </row>
    <row r="41" spans="1:19">
      <c r="A41" s="198">
        <f t="shared" si="0"/>
        <v>1886</v>
      </c>
      <c r="B41" s="255">
        <f>DataUK1!B44</f>
        <v>1177.4821428571429</v>
      </c>
      <c r="C41" s="170">
        <f>DataUK1!D44</f>
        <v>1103.4821428571429</v>
      </c>
      <c r="D41" s="170">
        <f>DataUK1!C44</f>
        <v>74</v>
      </c>
      <c r="E41" s="210">
        <f t="shared" si="3"/>
        <v>6.2845963693716922E-2</v>
      </c>
      <c r="F41" s="203">
        <f>DataUK1!HD44/TableUK8!$B41</f>
        <v>6.2845963693716922E-2</v>
      </c>
      <c r="G41" s="203">
        <f>DataUK1!HE44/TableUK8!$B41</f>
        <v>6.794158237158586E-2</v>
      </c>
      <c r="H41" s="203">
        <f>DataUK1!HF44/TableUK8!$B41</f>
        <v>5.0956186778689395E-3</v>
      </c>
      <c r="I41" s="204">
        <f>DataUK1!HG44/TableUK8!$B41</f>
        <v>0</v>
      </c>
      <c r="J41" s="203">
        <f>DataUK1!HJ44/DataUK1!CD44</f>
        <v>0</v>
      </c>
      <c r="K41" s="296">
        <f>DataUK1!E44</f>
        <v>1159.6199999999999</v>
      </c>
      <c r="L41" s="170">
        <f>DataUK1!F44</f>
        <v>57.942857142857122</v>
      </c>
      <c r="M41" s="290">
        <f t="shared" si="4"/>
        <v>4.9967107451455758E-2</v>
      </c>
      <c r="R41" s="1433">
        <f t="shared" si="2"/>
        <v>0</v>
      </c>
      <c r="S41" s="1244">
        <f t="shared" si="1"/>
        <v>0</v>
      </c>
    </row>
    <row r="42" spans="1:19">
      <c r="A42" s="198">
        <f t="shared" si="0"/>
        <v>1887</v>
      </c>
      <c r="B42" s="255">
        <f>DataUK1!B45</f>
        <v>1223.2878571428571</v>
      </c>
      <c r="C42" s="170">
        <f>DataUK1!D45</f>
        <v>1144.2878571428571</v>
      </c>
      <c r="D42" s="170">
        <f>DataUK1!C45</f>
        <v>79</v>
      </c>
      <c r="E42" s="210">
        <f t="shared" si="3"/>
        <v>6.4580057374651334E-2</v>
      </c>
      <c r="F42" s="203">
        <f>DataUK1!HD45/TableUK8!$B42</f>
        <v>6.4580057374651334E-2</v>
      </c>
      <c r="G42" s="203">
        <f>DataUK1!HE45/TableUK8!$B42</f>
        <v>6.9484871858802075E-2</v>
      </c>
      <c r="H42" s="203">
        <f>DataUK1!HF45/TableUK8!$B42</f>
        <v>4.9048144841507347E-3</v>
      </c>
      <c r="I42" s="204">
        <f>DataUK1!HG45/TableUK8!$B42</f>
        <v>0</v>
      </c>
      <c r="J42" s="203">
        <f>DataUK1!HJ45/DataUK1!CD45</f>
        <v>0</v>
      </c>
      <c r="K42" s="296">
        <f>DataUK1!E45</f>
        <v>1200.7840000000001</v>
      </c>
      <c r="L42" s="170">
        <f>DataUK1!F45</f>
        <v>58.457142857142841</v>
      </c>
      <c r="M42" s="290">
        <f t="shared" si="4"/>
        <v>4.8682479827465083E-2</v>
      </c>
      <c r="R42" s="1433">
        <f t="shared" si="2"/>
        <v>0</v>
      </c>
      <c r="S42" s="1244">
        <f t="shared" si="1"/>
        <v>0</v>
      </c>
    </row>
    <row r="43" spans="1:19">
      <c r="A43" s="198">
        <f t="shared" si="0"/>
        <v>1888</v>
      </c>
      <c r="B43" s="255">
        <f>DataUK1!B46</f>
        <v>1301.8635714285715</v>
      </c>
      <c r="C43" s="170">
        <f>DataUK1!D46</f>
        <v>1217.8635714285715</v>
      </c>
      <c r="D43" s="170">
        <f>DataUK1!C46</f>
        <v>84</v>
      </c>
      <c r="E43" s="210">
        <f t="shared" si="3"/>
        <v>6.4522889989021226E-2</v>
      </c>
      <c r="F43" s="203">
        <f>DataUK1!HD46/TableUK8!$B43</f>
        <v>6.4522889989021226E-2</v>
      </c>
      <c r="G43" s="203">
        <f>DataUK1!HE46/TableUK8!$B43</f>
        <v>6.9131667845379885E-2</v>
      </c>
      <c r="H43" s="203">
        <f>DataUK1!HF46/TableUK8!$B43</f>
        <v>4.608777856358659E-3</v>
      </c>
      <c r="I43" s="204">
        <f>DataUK1!HG46/TableUK8!$B43</f>
        <v>0</v>
      </c>
      <c r="J43" s="203">
        <f>DataUK1!HJ46/DataUK1!CD46</f>
        <v>0</v>
      </c>
      <c r="K43" s="296">
        <f>DataUK1!E46</f>
        <v>1275.08</v>
      </c>
      <c r="L43" s="170">
        <f>DataUK1!F46</f>
        <v>58.971428571428554</v>
      </c>
      <c r="M43" s="290">
        <f t="shared" si="4"/>
        <v>4.6249198929815036E-2</v>
      </c>
      <c r="R43" s="1433">
        <f t="shared" si="2"/>
        <v>0</v>
      </c>
      <c r="S43" s="1244">
        <f t="shared" si="1"/>
        <v>0</v>
      </c>
    </row>
    <row r="44" spans="1:19">
      <c r="A44" s="214">
        <f t="shared" si="0"/>
        <v>1889</v>
      </c>
      <c r="B44" s="256">
        <f>DataUK1!B47</f>
        <v>1389.54</v>
      </c>
      <c r="C44" s="257">
        <f>DataUK1!D47</f>
        <v>1300.54</v>
      </c>
      <c r="D44" s="257">
        <f>DataUK1!C47</f>
        <v>89</v>
      </c>
      <c r="E44" s="215">
        <f t="shared" si="3"/>
        <v>6.4049973372482985E-2</v>
      </c>
      <c r="F44" s="216">
        <f>DataUK1!HD47/TableUK8!$B44</f>
        <v>6.4049973372482985E-2</v>
      </c>
      <c r="G44" s="216">
        <f>DataUK1!HE47/TableUK8!$B44</f>
        <v>6.9087611727622095E-2</v>
      </c>
      <c r="H44" s="216">
        <f>DataUK1!HF47/TableUK8!$B44</f>
        <v>5.0376383551391105E-3</v>
      </c>
      <c r="I44" s="217">
        <f>DataUK1!HG47/TableUK8!$B44</f>
        <v>0</v>
      </c>
      <c r="J44" s="216">
        <f>DataUK1!HJ47/DataUK1!CD47</f>
        <v>0</v>
      </c>
      <c r="K44" s="297">
        <f>DataUK1!E47</f>
        <v>1363</v>
      </c>
      <c r="L44" s="257">
        <f>DataUK1!F47</f>
        <v>62.45999999999998</v>
      </c>
      <c r="M44" s="291">
        <f t="shared" si="4"/>
        <v>4.5825385179750537E-2</v>
      </c>
      <c r="R44" s="1433">
        <f t="shared" si="2"/>
        <v>0</v>
      </c>
      <c r="S44" s="1244">
        <f t="shared" si="1"/>
        <v>0</v>
      </c>
    </row>
    <row r="45" spans="1:19">
      <c r="A45" s="198">
        <f t="shared" si="0"/>
        <v>1890</v>
      </c>
      <c r="B45" s="255">
        <f>DataUK1!B48</f>
        <v>1421</v>
      </c>
      <c r="C45" s="170">
        <f>DataUK1!D48</f>
        <v>1327</v>
      </c>
      <c r="D45" s="170">
        <f>DataUK1!C48</f>
        <v>94</v>
      </c>
      <c r="E45" s="210">
        <f t="shared" si="3"/>
        <v>6.615059817030261E-2</v>
      </c>
      <c r="F45" s="203">
        <f>DataUK1!HD48/TableUK8!$B45</f>
        <v>6.615059817030261E-2</v>
      </c>
      <c r="G45" s="203">
        <f>DataUK1!HE48/TableUK8!$B45</f>
        <v>7.1076706544686841E-2</v>
      </c>
      <c r="H45" s="203">
        <f>DataUK1!HF48/TableUK8!$B45</f>
        <v>4.9261083743842365E-3</v>
      </c>
      <c r="I45" s="204">
        <f>DataUK1!HG48/TableUK8!$B45</f>
        <v>0</v>
      </c>
      <c r="J45" s="203">
        <f>DataUK1!HJ48/DataUK1!CD48</f>
        <v>0</v>
      </c>
      <c r="K45" s="296">
        <f>DataUK1!E48</f>
        <v>1394</v>
      </c>
      <c r="L45" s="170">
        <f>DataUK1!F48</f>
        <v>67</v>
      </c>
      <c r="M45" s="290">
        <f t="shared" si="4"/>
        <v>4.8063127690100432E-2</v>
      </c>
      <c r="R45" s="1433">
        <f t="shared" si="2"/>
        <v>0</v>
      </c>
      <c r="S45" s="1244">
        <f t="shared" si="1"/>
        <v>0</v>
      </c>
    </row>
    <row r="46" spans="1:19">
      <c r="A46" s="198">
        <f t="shared" si="0"/>
        <v>1891</v>
      </c>
      <c r="B46" s="255">
        <f>DataUK1!B49</f>
        <v>1393</v>
      </c>
      <c r="C46" s="170">
        <f>DataUK1!D49</f>
        <v>1299</v>
      </c>
      <c r="D46" s="170">
        <f>DataUK1!C49</f>
        <v>94</v>
      </c>
      <c r="E46" s="210">
        <f t="shared" si="3"/>
        <v>6.7480258435032303E-2</v>
      </c>
      <c r="F46" s="203">
        <f>DataUK1!HD49/TableUK8!$B46</f>
        <v>6.7480258435032303E-2</v>
      </c>
      <c r="G46" s="203">
        <f>DataUK1!HE49/TableUK8!$B46</f>
        <v>7.2505384063173015E-2</v>
      </c>
      <c r="H46" s="203">
        <f>DataUK1!HF49/TableUK8!$B46</f>
        <v>5.0251256281407036E-3</v>
      </c>
      <c r="I46" s="204">
        <f>DataUK1!HG49/TableUK8!$B46</f>
        <v>0</v>
      </c>
      <c r="J46" s="203">
        <f>DataUK1!HJ49/DataUK1!CD49</f>
        <v>0</v>
      </c>
      <c r="K46" s="296">
        <f>DataUK1!E49</f>
        <v>1375</v>
      </c>
      <c r="L46" s="170">
        <f>DataUK1!F49</f>
        <v>66</v>
      </c>
      <c r="M46" s="290">
        <f t="shared" si="4"/>
        <v>4.8000000000000001E-2</v>
      </c>
      <c r="R46" s="1433">
        <f t="shared" si="2"/>
        <v>0</v>
      </c>
      <c r="S46" s="1244">
        <f t="shared" si="1"/>
        <v>0</v>
      </c>
    </row>
    <row r="47" spans="1:19">
      <c r="A47" s="198">
        <f t="shared" si="0"/>
        <v>1892</v>
      </c>
      <c r="B47" s="255">
        <f>DataUK1!B50</f>
        <v>1365</v>
      </c>
      <c r="C47" s="170">
        <f>DataUK1!D50</f>
        <v>1270</v>
      </c>
      <c r="D47" s="170">
        <f>DataUK1!C50</f>
        <v>95</v>
      </c>
      <c r="E47" s="210">
        <f t="shared" si="3"/>
        <v>6.95970695970696E-2</v>
      </c>
      <c r="F47" s="203">
        <f>DataUK1!HD50/TableUK8!$B47</f>
        <v>6.95970695970696E-2</v>
      </c>
      <c r="G47" s="203">
        <f>DataUK1!HE50/TableUK8!$B47</f>
        <v>7.4725274725274723E-2</v>
      </c>
      <c r="H47" s="203">
        <f>DataUK1!HF50/TableUK8!$B47</f>
        <v>5.1282051282051282E-3</v>
      </c>
      <c r="I47" s="204">
        <f>DataUK1!HG50/TableUK8!$B47</f>
        <v>0</v>
      </c>
      <c r="J47" s="203">
        <f>DataUK1!HJ50/DataUK1!CD50</f>
        <v>0</v>
      </c>
      <c r="K47" s="296">
        <f>DataUK1!E50</f>
        <v>1335</v>
      </c>
      <c r="L47" s="170">
        <f>DataUK1!F50</f>
        <v>65</v>
      </c>
      <c r="M47" s="290">
        <f t="shared" si="4"/>
        <v>4.8689138576779027E-2</v>
      </c>
      <c r="R47" s="1433">
        <f t="shared" si="2"/>
        <v>0</v>
      </c>
      <c r="S47" s="1244">
        <f t="shared" si="1"/>
        <v>0</v>
      </c>
    </row>
    <row r="48" spans="1:19">
      <c r="A48" s="198">
        <f t="shared" si="0"/>
        <v>1893</v>
      </c>
      <c r="B48" s="255">
        <f>DataUK1!B51</f>
        <v>1372</v>
      </c>
      <c r="C48" s="170">
        <f>DataUK1!D51</f>
        <v>1277</v>
      </c>
      <c r="D48" s="170">
        <f>DataUK1!C51</f>
        <v>95</v>
      </c>
      <c r="E48" s="210">
        <f t="shared" si="3"/>
        <v>6.9241982507288635E-2</v>
      </c>
      <c r="F48" s="203">
        <f>DataUK1!HD51/TableUK8!$B48</f>
        <v>6.9241982507288635E-2</v>
      </c>
      <c r="G48" s="203">
        <f>DataUK1!HE51/TableUK8!$B48</f>
        <v>7.4344023323615158E-2</v>
      </c>
      <c r="H48" s="203">
        <f>DataUK1!HF51/TableUK8!$B48</f>
        <v>5.1020408163265302E-3</v>
      </c>
      <c r="I48" s="204">
        <f>DataUK1!HG51/TableUK8!$B48</f>
        <v>0</v>
      </c>
      <c r="J48" s="203">
        <f>DataUK1!HJ51/DataUK1!CD51</f>
        <v>0</v>
      </c>
      <c r="K48" s="296">
        <f>DataUK1!E51</f>
        <v>1341</v>
      </c>
      <c r="L48" s="170">
        <f>DataUK1!F51</f>
        <v>64</v>
      </c>
      <c r="M48" s="290">
        <f t="shared" si="4"/>
        <v>4.7725577926920205E-2</v>
      </c>
      <c r="R48" s="1433">
        <f t="shared" si="2"/>
        <v>0</v>
      </c>
      <c r="S48" s="1244">
        <f t="shared" si="1"/>
        <v>0</v>
      </c>
    </row>
    <row r="49" spans="1:19">
      <c r="A49" s="198">
        <f t="shared" si="0"/>
        <v>1894</v>
      </c>
      <c r="B49" s="255">
        <f>DataUK1!B52</f>
        <v>1464</v>
      </c>
      <c r="C49" s="170">
        <f>DataUK1!D52</f>
        <v>1371</v>
      </c>
      <c r="D49" s="170">
        <f>DataUK1!C52</f>
        <v>93</v>
      </c>
      <c r="E49" s="210">
        <f t="shared" si="3"/>
        <v>6.3524590163934427E-2</v>
      </c>
      <c r="F49" s="203">
        <f>DataUK1!HD52/TableUK8!$B49</f>
        <v>6.3524590163934427E-2</v>
      </c>
      <c r="G49" s="203">
        <f>DataUK1!HE52/TableUK8!$B49</f>
        <v>6.8306010928961755E-2</v>
      </c>
      <c r="H49" s="203">
        <f>DataUK1!HF52/TableUK8!$B49</f>
        <v>4.7814207650273225E-3</v>
      </c>
      <c r="I49" s="204">
        <f>DataUK1!HG52/TableUK8!$B49</f>
        <v>0</v>
      </c>
      <c r="J49" s="203">
        <f>DataUK1!HJ52/DataUK1!CD52</f>
        <v>0</v>
      </c>
      <c r="K49" s="296">
        <f>DataUK1!E52</f>
        <v>1435</v>
      </c>
      <c r="L49" s="170">
        <f>DataUK1!F52</f>
        <v>64</v>
      </c>
      <c r="M49" s="290">
        <f t="shared" si="4"/>
        <v>4.4599303135888502E-2</v>
      </c>
      <c r="R49" s="1433">
        <f t="shared" si="2"/>
        <v>0</v>
      </c>
      <c r="S49" s="1244">
        <f t="shared" si="1"/>
        <v>0</v>
      </c>
    </row>
    <row r="50" spans="1:19">
      <c r="A50" s="198">
        <f t="shared" si="0"/>
        <v>1895</v>
      </c>
      <c r="B50" s="255">
        <f>DataUK1!B53</f>
        <v>1501.9999999999998</v>
      </c>
      <c r="C50" s="170">
        <f>DataUK1!D53</f>
        <v>1407.9999999999998</v>
      </c>
      <c r="D50" s="170">
        <f>DataUK1!C53</f>
        <v>94</v>
      </c>
      <c r="E50" s="210">
        <f t="shared" si="3"/>
        <v>6.2583222370173108E-2</v>
      </c>
      <c r="F50" s="203">
        <f>DataUK1!HD53/TableUK8!$B50</f>
        <v>6.2583222370173108E-2</v>
      </c>
      <c r="G50" s="203">
        <f>DataUK1!HE53/TableUK8!$B50</f>
        <v>6.7243675099866854E-2</v>
      </c>
      <c r="H50" s="203">
        <f>DataUK1!HF53/TableUK8!$B50</f>
        <v>4.6604527296937428E-3</v>
      </c>
      <c r="I50" s="204">
        <f>DataUK1!HG53/TableUK8!$B50</f>
        <v>0</v>
      </c>
      <c r="J50" s="203">
        <f>DataUK1!HJ53/DataUK1!CD53</f>
        <v>0</v>
      </c>
      <c r="K50" s="296">
        <f>DataUK1!E53</f>
        <v>1472</v>
      </c>
      <c r="L50" s="170">
        <f>DataUK1!F53</f>
        <v>64</v>
      </c>
      <c r="M50" s="290">
        <f t="shared" si="4"/>
        <v>4.3478260869565216E-2</v>
      </c>
      <c r="R50" s="1433">
        <f t="shared" si="2"/>
        <v>0</v>
      </c>
      <c r="S50" s="1244">
        <f t="shared" si="1"/>
        <v>0</v>
      </c>
    </row>
    <row r="51" spans="1:19">
      <c r="A51" s="198">
        <f t="shared" si="0"/>
        <v>1896</v>
      </c>
      <c r="B51" s="255">
        <f>DataUK1!B54</f>
        <v>1542</v>
      </c>
      <c r="C51" s="170">
        <f>DataUK1!D54</f>
        <v>1446</v>
      </c>
      <c r="D51" s="170">
        <f>DataUK1!C54</f>
        <v>96</v>
      </c>
      <c r="E51" s="210">
        <f t="shared" si="3"/>
        <v>6.2256809338521402E-2</v>
      </c>
      <c r="F51" s="203">
        <f>DataUK1!HD54/TableUK8!$B51</f>
        <v>6.2256809338521402E-2</v>
      </c>
      <c r="G51" s="203">
        <f>DataUK1!HE54/TableUK8!$B51</f>
        <v>6.6796368352788585E-2</v>
      </c>
      <c r="H51" s="203">
        <f>DataUK1!HF54/TableUK8!$B51</f>
        <v>4.5395590142671858E-3</v>
      </c>
      <c r="I51" s="204">
        <f>DataUK1!HG54/TableUK8!$B51</f>
        <v>0</v>
      </c>
      <c r="J51" s="203">
        <f>DataUK1!HJ54/DataUK1!CD54</f>
        <v>0</v>
      </c>
      <c r="K51" s="296">
        <f>DataUK1!E54</f>
        <v>1512</v>
      </c>
      <c r="L51" s="170">
        <f>DataUK1!F54</f>
        <v>66</v>
      </c>
      <c r="M51" s="290">
        <f t="shared" si="4"/>
        <v>4.3650793650793648E-2</v>
      </c>
      <c r="R51" s="1433">
        <f t="shared" si="2"/>
        <v>0</v>
      </c>
      <c r="S51" s="1244">
        <f t="shared" si="1"/>
        <v>0</v>
      </c>
    </row>
    <row r="52" spans="1:19">
      <c r="A52" s="198">
        <f t="shared" si="0"/>
        <v>1897</v>
      </c>
      <c r="B52" s="255">
        <f>DataUK1!B55</f>
        <v>1594</v>
      </c>
      <c r="C52" s="170">
        <f>DataUK1!D55</f>
        <v>1497</v>
      </c>
      <c r="D52" s="170">
        <f>DataUK1!C55</f>
        <v>97</v>
      </c>
      <c r="E52" s="210">
        <f t="shared" si="3"/>
        <v>6.0853199498117939E-2</v>
      </c>
      <c r="F52" s="203">
        <f>DataUK1!HD55/TableUK8!$B52</f>
        <v>6.0853199498117939E-2</v>
      </c>
      <c r="G52" s="203">
        <f>DataUK1!HE55/TableUK8!$B52</f>
        <v>6.5872020075282312E-2</v>
      </c>
      <c r="H52" s="203">
        <f>DataUK1!HF55/TableUK8!$B52</f>
        <v>5.018820577164366E-3</v>
      </c>
      <c r="I52" s="204">
        <f>DataUK1!HG55/TableUK8!$B52</f>
        <v>0</v>
      </c>
      <c r="J52" s="203">
        <f>DataUK1!HJ55/DataUK1!CD55</f>
        <v>0</v>
      </c>
      <c r="K52" s="296">
        <f>DataUK1!E55</f>
        <v>1566</v>
      </c>
      <c r="L52" s="170">
        <f>DataUK1!F55</f>
        <v>69</v>
      </c>
      <c r="M52" s="290">
        <f t="shared" si="4"/>
        <v>4.4061302681992334E-2</v>
      </c>
      <c r="R52" s="1433">
        <f t="shared" si="2"/>
        <v>0</v>
      </c>
      <c r="S52" s="1244">
        <f t="shared" si="1"/>
        <v>0</v>
      </c>
    </row>
    <row r="53" spans="1:19">
      <c r="A53" s="198">
        <f t="shared" si="0"/>
        <v>1898</v>
      </c>
      <c r="B53" s="255">
        <f>DataUK1!B56</f>
        <v>1677.9999999999998</v>
      </c>
      <c r="C53" s="170">
        <f>DataUK1!D56</f>
        <v>1576.9999999999998</v>
      </c>
      <c r="D53" s="170">
        <f>DataUK1!C56</f>
        <v>101</v>
      </c>
      <c r="E53" s="210">
        <f t="shared" si="3"/>
        <v>6.0190703218116814E-2</v>
      </c>
      <c r="F53" s="203">
        <f>DataUK1!HD56/TableUK8!$B53</f>
        <v>6.0190703218116814E-2</v>
      </c>
      <c r="G53" s="203">
        <f>DataUK1!HE56/TableUK8!$B53</f>
        <v>6.4958283671036954E-2</v>
      </c>
      <c r="H53" s="203">
        <f>DataUK1!HF56/TableUK8!$B53</f>
        <v>4.7675804529201437E-3</v>
      </c>
      <c r="I53" s="204">
        <f>DataUK1!HG56/TableUK8!$B53</f>
        <v>0</v>
      </c>
      <c r="J53" s="203">
        <f>DataUK1!HJ56/DataUK1!CD56</f>
        <v>0</v>
      </c>
      <c r="K53" s="296">
        <f>DataUK1!E56</f>
        <v>1650</v>
      </c>
      <c r="L53" s="170">
        <f>DataUK1!F56</f>
        <v>73</v>
      </c>
      <c r="M53" s="290">
        <f t="shared" si="4"/>
        <v>4.4242424242424243E-2</v>
      </c>
      <c r="R53" s="1433">
        <f t="shared" si="2"/>
        <v>0</v>
      </c>
      <c r="S53" s="1244">
        <f t="shared" si="1"/>
        <v>0</v>
      </c>
    </row>
    <row r="54" spans="1:19">
      <c r="A54" s="214">
        <f t="shared" si="0"/>
        <v>1899</v>
      </c>
      <c r="B54" s="256">
        <f>DataUK1!B57</f>
        <v>1770</v>
      </c>
      <c r="C54" s="257">
        <f>DataUK1!D57</f>
        <v>1667</v>
      </c>
      <c r="D54" s="257">
        <f>DataUK1!C57</f>
        <v>103</v>
      </c>
      <c r="E54" s="215">
        <f t="shared" si="3"/>
        <v>5.8192090395480227E-2</v>
      </c>
      <c r="F54" s="216">
        <f>DataUK1!HD57/TableUK8!$B54</f>
        <v>5.8192090395480227E-2</v>
      </c>
      <c r="G54" s="216">
        <f>DataUK1!HE57/TableUK8!$B54</f>
        <v>6.2711864406779658E-2</v>
      </c>
      <c r="H54" s="216">
        <f>DataUK1!HF57/TableUK8!$B54</f>
        <v>4.5197740112994352E-3</v>
      </c>
      <c r="I54" s="217">
        <f>DataUK1!HG57/TableUK8!$B54</f>
        <v>0</v>
      </c>
      <c r="J54" s="216">
        <f>DataUK1!HJ57/DataUK1!CD57</f>
        <v>0</v>
      </c>
      <c r="K54" s="297">
        <f>DataUK1!E57</f>
        <v>1747</v>
      </c>
      <c r="L54" s="257">
        <f>DataUK1!F57</f>
        <v>80</v>
      </c>
      <c r="M54" s="291">
        <f t="shared" si="4"/>
        <v>4.5792787635947338E-2</v>
      </c>
      <c r="R54" s="1433">
        <f t="shared" si="2"/>
        <v>0</v>
      </c>
      <c r="S54" s="1244">
        <f t="shared" si="1"/>
        <v>0</v>
      </c>
    </row>
    <row r="55" spans="1:19">
      <c r="A55" s="198">
        <f t="shared" si="0"/>
        <v>1900</v>
      </c>
      <c r="B55" s="255">
        <f>DataUK1!B58</f>
        <v>1822.9999999999998</v>
      </c>
      <c r="C55" s="170">
        <f>DataUK1!D58</f>
        <v>1718.9999999999998</v>
      </c>
      <c r="D55" s="170">
        <f>DataUK1!C58</f>
        <v>104</v>
      </c>
      <c r="E55" s="210">
        <f t="shared" si="3"/>
        <v>5.7048820625342847E-2</v>
      </c>
      <c r="F55" s="203">
        <f>DataUK1!HD58/TableUK8!$B55</f>
        <v>5.7048820625342847E-2</v>
      </c>
      <c r="G55" s="203">
        <f>DataUK1!HE58/TableUK8!$B55</f>
        <v>6.1437191442676911E-2</v>
      </c>
      <c r="H55" s="203">
        <f>DataUK1!HF58/TableUK8!$B55</f>
        <v>4.388370817334065E-3</v>
      </c>
      <c r="I55" s="204">
        <f>DataUK1!HG58/TableUK8!$B55</f>
        <v>0</v>
      </c>
      <c r="J55" s="203">
        <f>DataUK1!HJ58/DataUK1!CD58</f>
        <v>0</v>
      </c>
      <c r="K55" s="296">
        <f>DataUK1!E58</f>
        <v>1807</v>
      </c>
      <c r="L55" s="170">
        <f>DataUK1!F58</f>
        <v>88</v>
      </c>
      <c r="M55" s="290">
        <f t="shared" si="4"/>
        <v>4.8699501936912006E-2</v>
      </c>
      <c r="R55" s="1433">
        <f t="shared" si="2"/>
        <v>0</v>
      </c>
      <c r="S55" s="1244">
        <f t="shared" si="1"/>
        <v>0</v>
      </c>
    </row>
    <row r="56" spans="1:19">
      <c r="A56" s="198">
        <f t="shared" si="0"/>
        <v>1901</v>
      </c>
      <c r="B56" s="255">
        <f>DataUK1!B59</f>
        <v>1804.0000000000002</v>
      </c>
      <c r="C56" s="170">
        <f>DataUK1!D59</f>
        <v>1698.0000000000002</v>
      </c>
      <c r="D56" s="170">
        <f>DataUK1!C59</f>
        <v>106</v>
      </c>
      <c r="E56" s="210">
        <f t="shared" si="3"/>
        <v>5.8758314855875828E-2</v>
      </c>
      <c r="F56" s="203">
        <f>DataUK1!HD59/TableUK8!$B56</f>
        <v>5.8758314855875828E-2</v>
      </c>
      <c r="G56" s="203">
        <f>DataUK1!HE59/TableUK8!$B56</f>
        <v>6.3747228381374713E-2</v>
      </c>
      <c r="H56" s="203">
        <f>DataUK1!HF59/TableUK8!$B56</f>
        <v>4.9889135254988911E-3</v>
      </c>
      <c r="I56" s="204">
        <f>DataUK1!HG59/TableUK8!$B56</f>
        <v>0</v>
      </c>
      <c r="J56" s="203">
        <f>DataUK1!HJ59/DataUK1!CD59</f>
        <v>0</v>
      </c>
      <c r="K56" s="296">
        <f>DataUK1!E59</f>
        <v>1785</v>
      </c>
      <c r="L56" s="170">
        <f>DataUK1!F59</f>
        <v>87</v>
      </c>
      <c r="M56" s="290">
        <f t="shared" si="4"/>
        <v>4.8739495798319328E-2</v>
      </c>
      <c r="R56" s="1433">
        <f t="shared" si="2"/>
        <v>0</v>
      </c>
      <c r="S56" s="1244">
        <f t="shared" si="1"/>
        <v>0</v>
      </c>
    </row>
    <row r="57" spans="1:19">
      <c r="A57" s="198">
        <f t="shared" si="0"/>
        <v>1902</v>
      </c>
      <c r="B57" s="255">
        <f>DataUK1!B60</f>
        <v>1833</v>
      </c>
      <c r="C57" s="170">
        <f>DataUK1!D60</f>
        <v>1724</v>
      </c>
      <c r="D57" s="170">
        <f>DataUK1!C60</f>
        <v>109</v>
      </c>
      <c r="E57" s="210">
        <f t="shared" si="3"/>
        <v>5.9465357337697762E-2</v>
      </c>
      <c r="F57" s="203">
        <f>DataUK1!HD60/TableUK8!$B57</f>
        <v>5.9465357337697762E-2</v>
      </c>
      <c r="G57" s="203">
        <f>DataUK1!HE60/TableUK8!$B57</f>
        <v>6.4920894708128757E-2</v>
      </c>
      <c r="H57" s="203">
        <f>DataUK1!HF60/TableUK8!$B57</f>
        <v>5.4555373704309879E-3</v>
      </c>
      <c r="I57" s="204">
        <f>DataUK1!HG60/TableUK8!$B57</f>
        <v>0</v>
      </c>
      <c r="J57" s="203">
        <f>DataUK1!HJ60/DataUK1!CD60</f>
        <v>0</v>
      </c>
      <c r="K57" s="296">
        <f>DataUK1!E60</f>
        <v>1809</v>
      </c>
      <c r="L57" s="170">
        <f>DataUK1!F60</f>
        <v>85</v>
      </c>
      <c r="M57" s="290">
        <f t="shared" si="4"/>
        <v>4.6987285793255944E-2</v>
      </c>
      <c r="R57" s="1433">
        <f t="shared" si="2"/>
        <v>0</v>
      </c>
      <c r="S57" s="1244">
        <f t="shared" si="1"/>
        <v>0</v>
      </c>
    </row>
    <row r="58" spans="1:19">
      <c r="A58" s="198">
        <f t="shared" si="0"/>
        <v>1903</v>
      </c>
      <c r="B58" s="255">
        <f>DataUK1!B61</f>
        <v>1807</v>
      </c>
      <c r="C58" s="170">
        <f>DataUK1!D61</f>
        <v>1695</v>
      </c>
      <c r="D58" s="170">
        <f>DataUK1!C61</f>
        <v>112</v>
      </c>
      <c r="E58" s="210">
        <f t="shared" si="3"/>
        <v>6.1981184283342559E-2</v>
      </c>
      <c r="F58" s="203">
        <f>DataUK1!HD61/TableUK8!$B58</f>
        <v>6.1981184283342559E-2</v>
      </c>
      <c r="G58" s="203">
        <f>DataUK1!HE61/TableUK8!$B58</f>
        <v>6.7515218594355289E-2</v>
      </c>
      <c r="H58" s="203">
        <f>DataUK1!HF61/TableUK8!$B58</f>
        <v>5.5340343110127279E-3</v>
      </c>
      <c r="I58" s="204">
        <f>DataUK1!HG61/TableUK8!$B58</f>
        <v>0</v>
      </c>
      <c r="J58" s="203">
        <f>DataUK1!HJ61/DataUK1!CD61</f>
        <v>0</v>
      </c>
      <c r="K58" s="296">
        <f>DataUK1!E61</f>
        <v>1781</v>
      </c>
      <c r="L58" s="170">
        <f>DataUK1!F61</f>
        <v>86</v>
      </c>
      <c r="M58" s="290">
        <f t="shared" si="4"/>
        <v>4.8287478944413251E-2</v>
      </c>
      <c r="R58" s="1433">
        <f t="shared" si="2"/>
        <v>0</v>
      </c>
      <c r="S58" s="1244">
        <f t="shared" si="1"/>
        <v>0</v>
      </c>
    </row>
    <row r="59" spans="1:19">
      <c r="A59" s="198">
        <f t="shared" si="0"/>
        <v>1904</v>
      </c>
      <c r="B59" s="255">
        <f>DataUK1!B62</f>
        <v>1797.9999999999998</v>
      </c>
      <c r="C59" s="170">
        <f>DataUK1!D62</f>
        <v>1684.9999999999998</v>
      </c>
      <c r="D59" s="170">
        <f>DataUK1!C62</f>
        <v>113</v>
      </c>
      <c r="E59" s="210">
        <f t="shared" si="3"/>
        <v>6.2847608453837606E-2</v>
      </c>
      <c r="F59" s="203">
        <f>DataUK1!HD62/TableUK8!$B59</f>
        <v>6.2847608453837606E-2</v>
      </c>
      <c r="G59" s="203">
        <f>DataUK1!HE62/TableUK8!$B59</f>
        <v>6.8965517241379323E-2</v>
      </c>
      <c r="H59" s="203">
        <f>DataUK1!HF62/TableUK8!$B59</f>
        <v>6.1179087875417142E-3</v>
      </c>
      <c r="I59" s="204">
        <f>DataUK1!HG62/TableUK8!$B59</f>
        <v>0</v>
      </c>
      <c r="J59" s="203">
        <f>DataUK1!HJ62/DataUK1!CD62</f>
        <v>0</v>
      </c>
      <c r="K59" s="296">
        <f>DataUK1!E62</f>
        <v>1772</v>
      </c>
      <c r="L59" s="170">
        <f>DataUK1!F62</f>
        <v>87</v>
      </c>
      <c r="M59" s="290">
        <f t="shared" si="4"/>
        <v>4.9097065462753949E-2</v>
      </c>
      <c r="R59" s="1433">
        <f t="shared" si="2"/>
        <v>0</v>
      </c>
      <c r="S59" s="1244">
        <f t="shared" si="1"/>
        <v>0</v>
      </c>
    </row>
    <row r="60" spans="1:19">
      <c r="A60" s="198">
        <f t="shared" si="0"/>
        <v>1905</v>
      </c>
      <c r="B60" s="255">
        <f>DataUK1!B63</f>
        <v>1877</v>
      </c>
      <c r="C60" s="170">
        <f>DataUK1!D63</f>
        <v>1754</v>
      </c>
      <c r="D60" s="170">
        <f>DataUK1!C63</f>
        <v>123</v>
      </c>
      <c r="E60" s="210">
        <f t="shared" si="3"/>
        <v>6.5530101225359613E-2</v>
      </c>
      <c r="F60" s="203">
        <f>DataUK1!HD63/TableUK8!$B60</f>
        <v>6.5530101225359613E-2</v>
      </c>
      <c r="G60" s="203">
        <f>DataUK1!HE63/TableUK8!$B60</f>
        <v>7.192328183271178E-2</v>
      </c>
      <c r="H60" s="203">
        <f>DataUK1!HF63/TableUK8!$B60</f>
        <v>6.3931806073521573E-3</v>
      </c>
      <c r="I60" s="204">
        <f>DataUK1!HG63/TableUK8!$B60</f>
        <v>0</v>
      </c>
      <c r="J60" s="203">
        <f>DataUK1!HJ63/DataUK1!CD63</f>
        <v>0</v>
      </c>
      <c r="K60" s="296">
        <f>DataUK1!E63</f>
        <v>1843</v>
      </c>
      <c r="L60" s="170">
        <f>DataUK1!F63</f>
        <v>89</v>
      </c>
      <c r="M60" s="290">
        <f t="shared" si="4"/>
        <v>4.8290830168204013E-2</v>
      </c>
      <c r="R60" s="1433">
        <f t="shared" si="2"/>
        <v>0</v>
      </c>
      <c r="S60" s="1244">
        <f t="shared" si="1"/>
        <v>0</v>
      </c>
    </row>
    <row r="61" spans="1:19">
      <c r="A61" s="198">
        <f t="shared" si="0"/>
        <v>1906</v>
      </c>
      <c r="B61" s="255">
        <f>DataUK1!B64</f>
        <v>1979.9999999999998</v>
      </c>
      <c r="C61" s="170">
        <f>DataUK1!D64</f>
        <v>1845.9999999999998</v>
      </c>
      <c r="D61" s="170">
        <f>DataUK1!C64</f>
        <v>134</v>
      </c>
      <c r="E61" s="210">
        <f t="shared" si="3"/>
        <v>6.7676767676767682E-2</v>
      </c>
      <c r="F61" s="203">
        <f>DataUK1!HD64/TableUK8!$B61</f>
        <v>6.7676767676767682E-2</v>
      </c>
      <c r="G61" s="203">
        <f>DataUK1!HE64/TableUK8!$B61</f>
        <v>7.4747474747474757E-2</v>
      </c>
      <c r="H61" s="203">
        <f>DataUK1!HF64/TableUK8!$B61</f>
        <v>7.0707070707070711E-3</v>
      </c>
      <c r="I61" s="204">
        <f>DataUK1!HG64/TableUK8!$B61</f>
        <v>0</v>
      </c>
      <c r="J61" s="203">
        <f>DataUK1!HJ64/DataUK1!CD64</f>
        <v>0</v>
      </c>
      <c r="K61" s="296">
        <f>DataUK1!E64</f>
        <v>1939</v>
      </c>
      <c r="L61" s="170">
        <f>DataUK1!F64</f>
        <v>93</v>
      </c>
      <c r="M61" s="290">
        <f t="shared" si="4"/>
        <v>4.7962867457452298E-2</v>
      </c>
      <c r="R61" s="1433">
        <f t="shared" si="2"/>
        <v>0</v>
      </c>
      <c r="S61" s="1244">
        <f t="shared" si="1"/>
        <v>0</v>
      </c>
    </row>
    <row r="62" spans="1:19">
      <c r="A62" s="198">
        <f t="shared" si="0"/>
        <v>1907</v>
      </c>
      <c r="B62" s="255">
        <f>DataUK1!B65</f>
        <v>2076</v>
      </c>
      <c r="C62" s="170">
        <f>DataUK1!D65</f>
        <v>1932</v>
      </c>
      <c r="D62" s="170">
        <f>DataUK1!C65</f>
        <v>144</v>
      </c>
      <c r="E62" s="210">
        <f t="shared" si="3"/>
        <v>6.9364161849710976E-2</v>
      </c>
      <c r="F62" s="203">
        <f>DataUK1!HD65/TableUK8!$B62</f>
        <v>6.9364161849710976E-2</v>
      </c>
      <c r="G62" s="203">
        <f>DataUK1!HE65/TableUK8!$B62</f>
        <v>7.7071290944123308E-2</v>
      </c>
      <c r="H62" s="203">
        <f>DataUK1!HF65/TableUK8!$B62</f>
        <v>7.7071290944123313E-3</v>
      </c>
      <c r="I62" s="204">
        <f>DataUK1!HG65/TableUK8!$B62</f>
        <v>0</v>
      </c>
      <c r="J62" s="203">
        <f>DataUK1!HJ65/DataUK1!CD65</f>
        <v>0</v>
      </c>
      <c r="K62" s="296">
        <f>DataUK1!E65</f>
        <v>2030</v>
      </c>
      <c r="L62" s="170">
        <f>DataUK1!F65</f>
        <v>98</v>
      </c>
      <c r="M62" s="290">
        <f t="shared" si="4"/>
        <v>4.8275862068965517E-2</v>
      </c>
      <c r="R62" s="1433">
        <f t="shared" si="2"/>
        <v>0</v>
      </c>
      <c r="S62" s="1244">
        <f t="shared" si="1"/>
        <v>0</v>
      </c>
    </row>
    <row r="63" spans="1:19">
      <c r="A63" s="198">
        <f t="shared" si="0"/>
        <v>1908</v>
      </c>
      <c r="B63" s="255">
        <f>DataUK1!B66</f>
        <v>1981</v>
      </c>
      <c r="C63" s="170">
        <f>DataUK1!D66</f>
        <v>1830</v>
      </c>
      <c r="D63" s="170">
        <f>DataUK1!C66</f>
        <v>151</v>
      </c>
      <c r="E63" s="210">
        <f t="shared" si="3"/>
        <v>7.6224129227662793E-2</v>
      </c>
      <c r="F63" s="203">
        <f>DataUK1!HD66/TableUK8!$B63</f>
        <v>7.6224129227662793E-2</v>
      </c>
      <c r="G63" s="203">
        <f>DataUK1!HE66/TableUK8!$B63</f>
        <v>8.4805653710247356E-2</v>
      </c>
      <c r="H63" s="203">
        <f>DataUK1!HF66/TableUK8!$B63</f>
        <v>8.581524482584554E-3</v>
      </c>
      <c r="I63" s="204">
        <f>DataUK1!HG66/TableUK8!$B63</f>
        <v>0</v>
      </c>
      <c r="J63" s="203">
        <f>DataUK1!HJ66/DataUK1!CD66</f>
        <v>0</v>
      </c>
      <c r="K63" s="296">
        <f>DataUK1!E66</f>
        <v>1927</v>
      </c>
      <c r="L63" s="170">
        <f>DataUK1!F66</f>
        <v>97</v>
      </c>
      <c r="M63" s="290">
        <f t="shared" si="4"/>
        <v>5.0337311883757133E-2</v>
      </c>
      <c r="R63" s="1433">
        <f t="shared" si="2"/>
        <v>0</v>
      </c>
      <c r="S63" s="1244">
        <f t="shared" si="1"/>
        <v>0</v>
      </c>
    </row>
    <row r="64" spans="1:19">
      <c r="A64" s="214">
        <f t="shared" si="0"/>
        <v>1909</v>
      </c>
      <c r="B64" s="256">
        <f>DataUK1!B67</f>
        <v>2012</v>
      </c>
      <c r="C64" s="257">
        <f>DataUK1!D67</f>
        <v>1854</v>
      </c>
      <c r="D64" s="257">
        <f>DataUK1!C67</f>
        <v>158</v>
      </c>
      <c r="E64" s="215">
        <f t="shared" si="3"/>
        <v>7.8528827037773363E-2</v>
      </c>
      <c r="F64" s="216">
        <f>DataUK1!HD67/TableUK8!$B64</f>
        <v>7.8528827037773363E-2</v>
      </c>
      <c r="G64" s="216">
        <f>DataUK1!HE67/TableUK8!$B64</f>
        <v>8.6978131212723658E-2</v>
      </c>
      <c r="H64" s="216">
        <f>DataUK1!HF67/TableUK8!$B64</f>
        <v>8.4493041749502985E-3</v>
      </c>
      <c r="I64" s="217">
        <f>DataUK1!HG67/TableUK8!$B64</f>
        <v>0</v>
      </c>
      <c r="J64" s="216">
        <f>DataUK1!HJ67/DataUK1!CD67</f>
        <v>0</v>
      </c>
      <c r="K64" s="297">
        <f>DataUK1!E67</f>
        <v>1951</v>
      </c>
      <c r="L64" s="257">
        <f>DataUK1!F67</f>
        <v>97</v>
      </c>
      <c r="M64" s="291">
        <f t="shared" si="4"/>
        <v>4.9718093285494619E-2</v>
      </c>
      <c r="R64" s="1433">
        <f t="shared" si="2"/>
        <v>0</v>
      </c>
      <c r="S64" s="1244">
        <f t="shared" si="1"/>
        <v>0</v>
      </c>
    </row>
    <row r="65" spans="1:19">
      <c r="A65" s="198">
        <f t="shared" si="0"/>
        <v>1910</v>
      </c>
      <c r="B65" s="255">
        <f>DataUK1!B68</f>
        <v>2107</v>
      </c>
      <c r="C65" s="170">
        <f>DataUK1!D68</f>
        <v>1937</v>
      </c>
      <c r="D65" s="170">
        <f>DataUK1!C68</f>
        <v>170</v>
      </c>
      <c r="E65" s="210">
        <f t="shared" si="3"/>
        <v>8.0683436165163741E-2</v>
      </c>
      <c r="F65" s="203">
        <f>DataUK1!HD68/TableUK8!$B65</f>
        <v>8.0683436165163741E-2</v>
      </c>
      <c r="G65" s="203">
        <f>DataUK1!HE68/TableUK8!$B65</f>
        <v>8.9700996677740868E-2</v>
      </c>
      <c r="H65" s="203">
        <f>DataUK1!HF68/TableUK8!$B65</f>
        <v>9.017560512577124E-3</v>
      </c>
      <c r="I65" s="204">
        <f>DataUK1!HG68/TableUK8!$B65</f>
        <v>0</v>
      </c>
      <c r="J65" s="203">
        <f>DataUK1!HJ68/DataUK1!CD68</f>
        <v>0</v>
      </c>
      <c r="K65" s="296">
        <f>DataUK1!E68</f>
        <v>2037</v>
      </c>
      <c r="L65" s="170">
        <f>DataUK1!F68</f>
        <v>100</v>
      </c>
      <c r="M65" s="290">
        <f t="shared" si="4"/>
        <v>4.9091801669121256E-2</v>
      </c>
      <c r="R65" s="1433">
        <f t="shared" si="2"/>
        <v>0</v>
      </c>
      <c r="S65" s="1244">
        <f t="shared" si="1"/>
        <v>0</v>
      </c>
    </row>
    <row r="66" spans="1:19">
      <c r="A66" s="198">
        <f t="shared" si="0"/>
        <v>1911</v>
      </c>
      <c r="B66" s="255">
        <f>DataUK1!B69</f>
        <v>2192</v>
      </c>
      <c r="C66" s="170">
        <f>DataUK1!D69</f>
        <v>2015.0000000000002</v>
      </c>
      <c r="D66" s="170">
        <f>DataUK1!C69</f>
        <v>177</v>
      </c>
      <c r="E66" s="210">
        <f t="shared" si="3"/>
        <v>8.0748175182481757E-2</v>
      </c>
      <c r="F66" s="203">
        <f>DataUK1!HD69/TableUK8!$B66</f>
        <v>8.0748175182481757E-2</v>
      </c>
      <c r="G66" s="203">
        <f>DataUK1!HE69/TableUK8!$B66</f>
        <v>8.9872262773722622E-2</v>
      </c>
      <c r="H66" s="203">
        <f>DataUK1!HF69/TableUK8!$B66</f>
        <v>9.1240875912408752E-3</v>
      </c>
      <c r="I66" s="204">
        <f>DataUK1!HG69/TableUK8!$B66</f>
        <v>0</v>
      </c>
      <c r="J66" s="203">
        <f>DataUK1!HJ69/DataUK1!CD69</f>
        <v>0</v>
      </c>
      <c r="K66" s="296">
        <f>DataUK1!E69</f>
        <v>2118</v>
      </c>
      <c r="L66" s="170">
        <f>DataUK1!F69</f>
        <v>103</v>
      </c>
      <c r="M66" s="290">
        <f t="shared" si="4"/>
        <v>4.8630783758262512E-2</v>
      </c>
      <c r="R66" s="1433">
        <f t="shared" si="2"/>
        <v>-2.2737367544323206E-13</v>
      </c>
      <c r="S66" s="1244">
        <f t="shared" si="1"/>
        <v>0</v>
      </c>
    </row>
    <row r="67" spans="1:19">
      <c r="A67" s="198">
        <f t="shared" si="0"/>
        <v>1912</v>
      </c>
      <c r="B67" s="255">
        <f>DataUK1!B70</f>
        <v>2303.9999999999995</v>
      </c>
      <c r="C67" s="170">
        <f>DataUK1!D70</f>
        <v>2116.9999999999995</v>
      </c>
      <c r="D67" s="170">
        <f>DataUK1!C70</f>
        <v>187</v>
      </c>
      <c r="E67" s="210">
        <f t="shared" si="3"/>
        <v>8.1163194444444461E-2</v>
      </c>
      <c r="F67" s="203">
        <f>DataUK1!HD70/TableUK8!$B67</f>
        <v>8.1163194444444461E-2</v>
      </c>
      <c r="G67" s="203">
        <f>DataUK1!HE70/TableUK8!$B67</f>
        <v>9.071180555555558E-2</v>
      </c>
      <c r="H67" s="203">
        <f>DataUK1!HF70/TableUK8!$B67</f>
        <v>9.5486111111111136E-3</v>
      </c>
      <c r="I67" s="204">
        <f>DataUK1!HG70/TableUK8!$B67</f>
        <v>0</v>
      </c>
      <c r="J67" s="203">
        <f>DataUK1!HJ70/DataUK1!CD70</f>
        <v>0</v>
      </c>
      <c r="K67" s="296">
        <f>DataUK1!E70</f>
        <v>2227</v>
      </c>
      <c r="L67" s="170">
        <f>DataUK1!F70</f>
        <v>110</v>
      </c>
      <c r="M67" s="290">
        <f t="shared" si="4"/>
        <v>4.939380332285586E-2</v>
      </c>
      <c r="R67" s="1433">
        <f t="shared" si="2"/>
        <v>0</v>
      </c>
      <c r="S67" s="1244">
        <f t="shared" si="1"/>
        <v>0</v>
      </c>
    </row>
    <row r="68" spans="1:19">
      <c r="A68" s="198">
        <f t="shared" si="0"/>
        <v>1913</v>
      </c>
      <c r="B68" s="255">
        <f>DataUK1!B71</f>
        <v>2381.0000000000005</v>
      </c>
      <c r="C68" s="170">
        <f>DataUK1!D71</f>
        <v>2181.0000000000005</v>
      </c>
      <c r="D68" s="170">
        <f>DataUK1!C71</f>
        <v>200</v>
      </c>
      <c r="E68" s="210">
        <f t="shared" si="3"/>
        <v>8.3998320033599305E-2</v>
      </c>
      <c r="F68" s="203">
        <f>DataUK1!HD71/TableUK8!$B68</f>
        <v>8.3998320033599305E-2</v>
      </c>
      <c r="G68" s="203">
        <f>DataUK1!HE71/TableUK8!$B68</f>
        <v>9.4078118437631225E-2</v>
      </c>
      <c r="H68" s="203">
        <f>DataUK1!HF71/TableUK8!$B68</f>
        <v>1.0079798404031918E-2</v>
      </c>
      <c r="I68" s="204">
        <f>DataUK1!HG71/TableUK8!$B68</f>
        <v>0</v>
      </c>
      <c r="J68" s="203">
        <f>DataUK1!HJ71/DataUK1!CD71</f>
        <v>0</v>
      </c>
      <c r="K68" s="296">
        <f>DataUK1!E71</f>
        <v>2297</v>
      </c>
      <c r="L68" s="170">
        <f>DataUK1!F71</f>
        <v>116</v>
      </c>
      <c r="M68" s="290">
        <f t="shared" si="4"/>
        <v>5.0500653025685675E-2</v>
      </c>
      <c r="R68" s="1433">
        <f t="shared" si="2"/>
        <v>0</v>
      </c>
      <c r="S68" s="1244">
        <f t="shared" si="1"/>
        <v>0</v>
      </c>
    </row>
    <row r="69" spans="1:19">
      <c r="A69" s="198">
        <f t="shared" si="0"/>
        <v>1914</v>
      </c>
      <c r="B69" s="255">
        <f>DataUK1!B72</f>
        <v>2452</v>
      </c>
      <c r="C69" s="170">
        <f>DataUK1!D72</f>
        <v>2262</v>
      </c>
      <c r="D69" s="170">
        <f>DataUK1!C72</f>
        <v>190</v>
      </c>
      <c r="E69" s="210">
        <f t="shared" si="3"/>
        <v>7.7487765089722674E-2</v>
      </c>
      <c r="F69" s="203">
        <f>DataUK1!HD72/TableUK8!$B69</f>
        <v>7.7487765089722674E-2</v>
      </c>
      <c r="G69" s="203">
        <f>DataUK1!HE72/TableUK8!$B69</f>
        <v>8.7683523654159864E-2</v>
      </c>
      <c r="H69" s="203">
        <f>DataUK1!HF72/TableUK8!$B69</f>
        <v>1.0195758564437194E-2</v>
      </c>
      <c r="I69" s="204">
        <f>DataUK1!HG72/TableUK8!$B69</f>
        <v>0</v>
      </c>
      <c r="J69" s="203">
        <f>DataUK1!HJ72/DataUK1!CD72</f>
        <v>0</v>
      </c>
      <c r="K69" s="296">
        <f>DataUK1!E72</f>
        <v>2378</v>
      </c>
      <c r="L69" s="170">
        <f>DataUK1!F72</f>
        <v>116</v>
      </c>
      <c r="M69" s="290">
        <f t="shared" si="4"/>
        <v>4.878048780487805E-2</v>
      </c>
      <c r="R69" s="1433">
        <f t="shared" si="2"/>
        <v>0</v>
      </c>
      <c r="S69" s="1244">
        <f t="shared" si="1"/>
        <v>0</v>
      </c>
    </row>
    <row r="70" spans="1:19">
      <c r="A70" s="198">
        <f t="shared" si="0"/>
        <v>1915</v>
      </c>
      <c r="B70" s="255">
        <f>DataUK1!B73</f>
        <v>2925</v>
      </c>
      <c r="C70" s="170">
        <f>DataUK1!D73</f>
        <v>2760</v>
      </c>
      <c r="D70" s="170">
        <f>DataUK1!C73</f>
        <v>165</v>
      </c>
      <c r="E70" s="210">
        <f t="shared" si="3"/>
        <v>5.6410256410256411E-2</v>
      </c>
      <c r="F70" s="203">
        <f>DataUK1!HD73/TableUK8!$B70</f>
        <v>5.6410256410256411E-2</v>
      </c>
      <c r="G70" s="203">
        <f>DataUK1!HE73/TableUK8!$B70</f>
        <v>6.4957264957264962E-2</v>
      </c>
      <c r="H70" s="203">
        <f>DataUK1!HF73/TableUK8!$B70</f>
        <v>8.5470085470085479E-3</v>
      </c>
      <c r="I70" s="204">
        <f>DataUK1!HG73/TableUK8!$B70</f>
        <v>0</v>
      </c>
      <c r="J70" s="203">
        <f>DataUK1!HJ73/DataUK1!CD73</f>
        <v>0</v>
      </c>
      <c r="K70" s="296">
        <f>DataUK1!E73</f>
        <v>2919</v>
      </c>
      <c r="L70" s="170">
        <f>DataUK1!F73</f>
        <v>159</v>
      </c>
      <c r="M70" s="290">
        <f t="shared" si="4"/>
        <v>5.4470709146968138E-2</v>
      </c>
      <c r="R70" s="1433">
        <f t="shared" si="2"/>
        <v>0</v>
      </c>
      <c r="S70" s="1244">
        <f t="shared" si="1"/>
        <v>0</v>
      </c>
    </row>
    <row r="71" spans="1:19">
      <c r="A71" s="198">
        <f t="shared" si="0"/>
        <v>1916</v>
      </c>
      <c r="B71" s="255">
        <f>DataUK1!B74</f>
        <v>3557</v>
      </c>
      <c r="C71" s="170">
        <f>DataUK1!D74</f>
        <v>3357</v>
      </c>
      <c r="D71" s="170">
        <f>DataUK1!C74</f>
        <v>200</v>
      </c>
      <c r="E71" s="210">
        <f t="shared" si="3"/>
        <v>5.6227157717177394E-2</v>
      </c>
      <c r="F71" s="203">
        <f>DataUK1!HD74/TableUK8!$B71</f>
        <v>5.6227157717177394E-2</v>
      </c>
      <c r="G71" s="203">
        <f>DataUK1!HE74/TableUK8!$B71</f>
        <v>6.4661231374754005E-2</v>
      </c>
      <c r="H71" s="203">
        <f>DataUK1!HF74/TableUK8!$B71</f>
        <v>8.4340736575766097E-3</v>
      </c>
      <c r="I71" s="204">
        <f>DataUK1!HG74/TableUK8!$B71</f>
        <v>0</v>
      </c>
      <c r="J71" s="203">
        <f>DataUK1!HJ74/DataUK1!CD74</f>
        <v>0</v>
      </c>
      <c r="K71" s="296">
        <f>DataUK1!E74</f>
        <v>3548</v>
      </c>
      <c r="L71" s="170">
        <f>DataUK1!F74</f>
        <v>191</v>
      </c>
      <c r="M71" s="290">
        <f t="shared" si="4"/>
        <v>5.3833145434047353E-2</v>
      </c>
      <c r="R71" s="1433">
        <f t="shared" si="2"/>
        <v>0</v>
      </c>
      <c r="S71" s="1244">
        <f t="shared" si="1"/>
        <v>0</v>
      </c>
    </row>
    <row r="72" spans="1:19">
      <c r="A72" s="198">
        <f t="shared" si="0"/>
        <v>1917</v>
      </c>
      <c r="B72" s="255">
        <f>DataUK1!B75</f>
        <v>4171</v>
      </c>
      <c r="C72" s="170">
        <f>DataUK1!D75</f>
        <v>3976</v>
      </c>
      <c r="D72" s="170">
        <f>DataUK1!C75</f>
        <v>195</v>
      </c>
      <c r="E72" s="210">
        <f t="shared" si="3"/>
        <v>4.6751378566291059E-2</v>
      </c>
      <c r="F72" s="203">
        <f>DataUK1!HD75/TableUK8!$B72</f>
        <v>4.6751378566291059E-2</v>
      </c>
      <c r="G72" s="203">
        <f>DataUK1!HE75/TableUK8!$B72</f>
        <v>5.6341404938863582E-2</v>
      </c>
      <c r="H72" s="203">
        <f>DataUK1!HF75/TableUK8!$B72</f>
        <v>9.5900263725725247E-3</v>
      </c>
      <c r="I72" s="204">
        <f>DataUK1!HG75/TableUK8!$B72</f>
        <v>0</v>
      </c>
      <c r="J72" s="203">
        <f>DataUK1!HJ75/DataUK1!CD75</f>
        <v>0</v>
      </c>
      <c r="K72" s="296">
        <f>DataUK1!E75</f>
        <v>4205</v>
      </c>
      <c r="L72" s="170">
        <f>DataUK1!F75</f>
        <v>229</v>
      </c>
      <c r="M72" s="290">
        <f t="shared" si="4"/>
        <v>5.4458977407847803E-2</v>
      </c>
      <c r="R72" s="1433">
        <f t="shared" si="2"/>
        <v>0</v>
      </c>
      <c r="S72" s="1244">
        <f t="shared" si="1"/>
        <v>0</v>
      </c>
    </row>
    <row r="73" spans="1:19">
      <c r="A73" s="198">
        <f>A74-1</f>
        <v>1918</v>
      </c>
      <c r="B73" s="255">
        <f>DataUK1!B76</f>
        <v>4787</v>
      </c>
      <c r="C73" s="170">
        <f>DataUK1!D76</f>
        <v>4612</v>
      </c>
      <c r="D73" s="170">
        <f>DataUK1!C76</f>
        <v>175</v>
      </c>
      <c r="E73" s="210">
        <f t="shared" si="3"/>
        <v>3.6557342803425943E-2</v>
      </c>
      <c r="F73" s="203">
        <f>DataUK1!HD76/TableUK8!$B73</f>
        <v>3.6557342803425943E-2</v>
      </c>
      <c r="G73" s="203">
        <f>DataUK1!HE76/TableUK8!$B73</f>
        <v>5.0135784416127011E-2</v>
      </c>
      <c r="H73" s="203">
        <f>DataUK1!HF76/TableUK8!$B73</f>
        <v>1.3578441612701065E-2</v>
      </c>
      <c r="I73" s="204">
        <f>DataUK1!HG76/TableUK8!$B73</f>
        <v>0</v>
      </c>
      <c r="J73" s="203">
        <f>DataUK1!HJ76/DataUK1!CD76</f>
        <v>0</v>
      </c>
      <c r="K73" s="296">
        <f>DataUK1!E76</f>
        <v>4876</v>
      </c>
      <c r="L73" s="170">
        <f>DataUK1!F76</f>
        <v>264</v>
      </c>
      <c r="M73" s="290">
        <f t="shared" si="4"/>
        <v>5.4142739950779326E-2</v>
      </c>
      <c r="R73" s="1433">
        <f t="shared" si="2"/>
        <v>0</v>
      </c>
      <c r="S73" s="1244">
        <f t="shared" si="1"/>
        <v>0</v>
      </c>
    </row>
    <row r="74" spans="1:19">
      <c r="A74" s="198">
        <v>1919</v>
      </c>
      <c r="B74" s="255">
        <f>DataUK1!B77</f>
        <v>5154</v>
      </c>
      <c r="C74" s="170">
        <f>DataUK1!D77</f>
        <v>4989</v>
      </c>
      <c r="D74" s="170">
        <f>DataUK1!C77</f>
        <v>165</v>
      </c>
      <c r="E74" s="210">
        <f t="shared" si="3"/>
        <v>3.2013969732246801E-2</v>
      </c>
      <c r="F74" s="203">
        <f>DataUK1!HD77/TableUK8!$B74</f>
        <v>3.2013969732246801E-2</v>
      </c>
      <c r="G74" s="203">
        <f>DataUK1!HE77/TableUK8!$B74</f>
        <v>4.4625533566162202E-2</v>
      </c>
      <c r="H74" s="203">
        <f>DataUK1!HF77/TableUK8!$B74</f>
        <v>1.2611563833915405E-2</v>
      </c>
      <c r="I74" s="204">
        <f>DataUK1!HG77/TableUK8!$B74</f>
        <v>0</v>
      </c>
      <c r="J74" s="203">
        <f>DataUK1!HJ77/DataUK1!CD77</f>
        <v>0</v>
      </c>
      <c r="K74" s="296">
        <f>DataUK1!E77</f>
        <v>5310</v>
      </c>
      <c r="L74" s="170">
        <f>DataUK1!F77</f>
        <v>321</v>
      </c>
      <c r="M74" s="290">
        <f t="shared" si="4"/>
        <v>6.0451977401129946E-2</v>
      </c>
      <c r="R74" s="1433">
        <f t="shared" si="2"/>
        <v>0</v>
      </c>
      <c r="S74" s="1244">
        <f t="shared" ref="S74:S137" si="5">E74-F74-I74-J74</f>
        <v>0</v>
      </c>
    </row>
    <row r="75" spans="1:19">
      <c r="A75" s="199" t="s">
        <v>651</v>
      </c>
      <c r="B75" s="258">
        <f>DataUK1!B78</f>
        <v>5419</v>
      </c>
      <c r="C75" s="259">
        <f>DataUK1!D78</f>
        <v>5165</v>
      </c>
      <c r="D75" s="259">
        <f>DataUK1!C78</f>
        <v>254</v>
      </c>
      <c r="E75" s="211">
        <f t="shared" ref="E75:E103" si="6">D75/B75</f>
        <v>4.6872116626683891E-2</v>
      </c>
      <c r="F75" s="212">
        <f>DataUK1!HD78/TableUK8!$B75</f>
        <v>4.6872116626683891E-2</v>
      </c>
      <c r="G75" s="212">
        <f>DataUK1!HE78/TableUK8!$B75</f>
        <v>5.905148551393246E-2</v>
      </c>
      <c r="H75" s="212">
        <f>DataUK1!HF78/TableUK8!$B75</f>
        <v>1.2179368887248569E-2</v>
      </c>
      <c r="I75" s="213">
        <f>DataUK1!HG78/TableUK8!$B75</f>
        <v>0</v>
      </c>
      <c r="J75" s="212">
        <f>DataUK1!HJ78/DataUK1!CD78</f>
        <v>0</v>
      </c>
      <c r="K75" s="298">
        <f>DataUK1!E78</f>
        <v>5620</v>
      </c>
      <c r="L75" s="259">
        <f>DataUK1!F78</f>
        <v>455</v>
      </c>
      <c r="M75" s="292">
        <f t="shared" ref="M75:M103" si="7">L75/K75</f>
        <v>8.0960854092526693E-2</v>
      </c>
      <c r="R75" s="1433">
        <f t="shared" ref="R75:R138" si="8">B75-C75-D75</f>
        <v>0</v>
      </c>
      <c r="S75" s="1244">
        <f t="shared" si="5"/>
        <v>0</v>
      </c>
    </row>
    <row r="76" spans="1:19">
      <c r="A76" s="198" t="s">
        <v>652</v>
      </c>
      <c r="B76" s="255">
        <f>DataUK1!B79</f>
        <v>5247</v>
      </c>
      <c r="C76" s="170">
        <f>DataUK1!D79</f>
        <v>5001</v>
      </c>
      <c r="D76" s="170">
        <f>DataUK1!C79</f>
        <v>246</v>
      </c>
      <c r="E76" s="210">
        <f t="shared" si="6"/>
        <v>4.6883933676386505E-2</v>
      </c>
      <c r="F76" s="203">
        <f>DataUK1!HD79/TableUK8!$B76</f>
        <v>4.6883933676386505E-2</v>
      </c>
      <c r="G76" s="203">
        <f>DataUK1!HE79/TableUK8!$B76</f>
        <v>6.0415475509815131E-2</v>
      </c>
      <c r="H76" s="203">
        <f>DataUK1!HF79/TableUK8!$B76</f>
        <v>1.3531541833428626E-2</v>
      </c>
      <c r="I76" s="204">
        <f>DataUK1!HG79/TableUK8!$B76</f>
        <v>0</v>
      </c>
      <c r="J76" s="203">
        <f>DataUK1!HJ79/DataUK1!CD79</f>
        <v>0</v>
      </c>
      <c r="K76" s="296">
        <f>DataUK1!E79</f>
        <v>5436</v>
      </c>
      <c r="L76" s="170">
        <f>DataUK1!F79</f>
        <v>435</v>
      </c>
      <c r="M76" s="290">
        <f t="shared" si="7"/>
        <v>8.0022075055187644E-2</v>
      </c>
      <c r="R76" s="1433">
        <f t="shared" si="8"/>
        <v>0</v>
      </c>
      <c r="S76" s="1244">
        <f t="shared" si="5"/>
        <v>0</v>
      </c>
    </row>
    <row r="77" spans="1:19">
      <c r="A77" s="198">
        <v>1921</v>
      </c>
      <c r="B77" s="255">
        <f>DataUK1!B80</f>
        <v>4301</v>
      </c>
      <c r="C77" s="170">
        <f>DataUK1!D80</f>
        <v>4123</v>
      </c>
      <c r="D77" s="170">
        <f>DataUK1!C80</f>
        <v>178</v>
      </c>
      <c r="E77" s="210">
        <f t="shared" si="6"/>
        <v>4.138572425017438E-2</v>
      </c>
      <c r="F77" s="203">
        <f>DataUK1!HD80/TableUK8!$B77</f>
        <v>4.138572425017438E-2</v>
      </c>
      <c r="G77" s="203">
        <f>DataUK1!HE80/TableUK8!$B77</f>
        <v>5.5568472448267847E-2</v>
      </c>
      <c r="H77" s="203">
        <f>DataUK1!HF80/TableUK8!$B77</f>
        <v>1.4182748198093467E-2</v>
      </c>
      <c r="I77" s="204">
        <f>DataUK1!HG80/TableUK8!$B77</f>
        <v>0</v>
      </c>
      <c r="J77" s="203">
        <f>DataUK1!HJ80/DataUK1!CD80</f>
        <v>0</v>
      </c>
      <c r="K77" s="296">
        <f>DataUK1!E80</f>
        <v>4475</v>
      </c>
      <c r="L77" s="170">
        <f>DataUK1!F80</f>
        <v>352</v>
      </c>
      <c r="M77" s="290">
        <f t="shared" si="7"/>
        <v>7.865921787709497E-2</v>
      </c>
      <c r="R77" s="1433">
        <f t="shared" si="8"/>
        <v>0</v>
      </c>
      <c r="S77" s="1244">
        <f t="shared" si="5"/>
        <v>0</v>
      </c>
    </row>
    <row r="78" spans="1:19">
      <c r="A78" s="198">
        <f t="shared" ref="A78:A104" si="9">A77+1</f>
        <v>1922</v>
      </c>
      <c r="B78" s="255">
        <f>DataUK1!B81</f>
        <v>4090</v>
      </c>
      <c r="C78" s="170">
        <f>DataUK1!D81</f>
        <v>3913</v>
      </c>
      <c r="D78" s="170">
        <f>DataUK1!C81</f>
        <v>177</v>
      </c>
      <c r="E78" s="210">
        <f t="shared" si="6"/>
        <v>4.3276283618581907E-2</v>
      </c>
      <c r="F78" s="203">
        <f>DataUK1!HD81/TableUK8!$B78</f>
        <v>4.3276283618581907E-2</v>
      </c>
      <c r="G78" s="203">
        <f>DataUK1!HE81/TableUK8!$B78</f>
        <v>6.2591687041564786E-2</v>
      </c>
      <c r="H78" s="203">
        <f>DataUK1!HF81/TableUK8!$B78</f>
        <v>1.9315403422982887E-2</v>
      </c>
      <c r="I78" s="204">
        <f>DataUK1!HG81/TableUK8!$B78</f>
        <v>0</v>
      </c>
      <c r="J78" s="203">
        <f>DataUK1!HJ81/DataUK1!CD81</f>
        <v>0</v>
      </c>
      <c r="K78" s="296">
        <f>DataUK1!E81</f>
        <v>4227</v>
      </c>
      <c r="L78" s="170">
        <f>DataUK1!F81</f>
        <v>314</v>
      </c>
      <c r="M78" s="290">
        <f t="shared" si="7"/>
        <v>7.4284362431984857E-2</v>
      </c>
      <c r="R78" s="1433">
        <f t="shared" si="8"/>
        <v>0</v>
      </c>
      <c r="S78" s="1244">
        <f t="shared" si="5"/>
        <v>0</v>
      </c>
    </row>
    <row r="79" spans="1:19">
      <c r="A79" s="198">
        <f t="shared" si="9"/>
        <v>1923</v>
      </c>
      <c r="B79" s="255">
        <f>DataUK1!B82</f>
        <v>4040.9999999999995</v>
      </c>
      <c r="C79" s="170">
        <f>DataUK1!D82</f>
        <v>3864.9999999999995</v>
      </c>
      <c r="D79" s="170">
        <f>DataUK1!C82</f>
        <v>176</v>
      </c>
      <c r="E79" s="210">
        <f t="shared" si="6"/>
        <v>4.355357584756249E-2</v>
      </c>
      <c r="F79" s="203">
        <f>DataUK1!HD82/TableUK8!$B79</f>
        <v>4.355357584756249E-2</v>
      </c>
      <c r="G79" s="203">
        <f>DataUK1!HE82/TableUK8!$B79</f>
        <v>6.5082900272209851E-2</v>
      </c>
      <c r="H79" s="203">
        <f>DataUK1!HF82/TableUK8!$B79</f>
        <v>2.1529324424647368E-2</v>
      </c>
      <c r="I79" s="204">
        <f>DataUK1!HG82/TableUK8!$B79</f>
        <v>0</v>
      </c>
      <c r="J79" s="203">
        <f>DataUK1!HJ82/DataUK1!CD82</f>
        <v>0</v>
      </c>
      <c r="K79" s="296">
        <f>DataUK1!E82</f>
        <v>4153</v>
      </c>
      <c r="L79" s="170">
        <f>DataUK1!F82</f>
        <v>288</v>
      </c>
      <c r="M79" s="290">
        <f t="shared" si="7"/>
        <v>6.9347459667710096E-2</v>
      </c>
      <c r="R79" s="1433">
        <f t="shared" si="8"/>
        <v>0</v>
      </c>
      <c r="S79" s="1244">
        <f t="shared" si="5"/>
        <v>0</v>
      </c>
    </row>
    <row r="80" spans="1:19">
      <c r="A80" s="198">
        <f t="shared" si="9"/>
        <v>1924</v>
      </c>
      <c r="B80" s="255">
        <f>DataUK1!B83</f>
        <v>4147</v>
      </c>
      <c r="C80" s="170">
        <f>DataUK1!D83</f>
        <v>3951</v>
      </c>
      <c r="D80" s="170">
        <f>DataUK1!C83</f>
        <v>196</v>
      </c>
      <c r="E80" s="210">
        <f t="shared" si="6"/>
        <v>4.7263081745840367E-2</v>
      </c>
      <c r="F80" s="203">
        <f>DataUK1!HD83/TableUK8!$B80</f>
        <v>4.7263081745840367E-2</v>
      </c>
      <c r="G80" s="203">
        <f>DataUK1!HE83/TableUK8!$B80</f>
        <v>6.8965517241379309E-2</v>
      </c>
      <c r="H80" s="203">
        <f>DataUK1!HF83/TableUK8!$B80</f>
        <v>2.1702435495538942E-2</v>
      </c>
      <c r="I80" s="204">
        <f>DataUK1!HG83/TableUK8!$B80</f>
        <v>0</v>
      </c>
      <c r="J80" s="203">
        <f>DataUK1!HJ83/DataUK1!CD83</f>
        <v>0</v>
      </c>
      <c r="K80" s="296">
        <f>DataUK1!E83</f>
        <v>4234</v>
      </c>
      <c r="L80" s="170">
        <f>DataUK1!F83</f>
        <v>283</v>
      </c>
      <c r="M80" s="290">
        <f t="shared" si="7"/>
        <v>6.6839867737364195E-2</v>
      </c>
      <c r="R80" s="1433">
        <f t="shared" si="8"/>
        <v>0</v>
      </c>
      <c r="S80" s="1244">
        <f t="shared" si="5"/>
        <v>0</v>
      </c>
    </row>
    <row r="81" spans="1:19">
      <c r="A81" s="198">
        <f t="shared" si="9"/>
        <v>1925</v>
      </c>
      <c r="B81" s="255">
        <f>DataUK1!B84</f>
        <v>4249</v>
      </c>
      <c r="C81" s="170">
        <f>DataUK1!D84</f>
        <v>4017</v>
      </c>
      <c r="D81" s="170">
        <f>DataUK1!C84</f>
        <v>232</v>
      </c>
      <c r="E81" s="210">
        <f t="shared" si="6"/>
        <v>5.4601082607672394E-2</v>
      </c>
      <c r="F81" s="203">
        <f>DataUK1!HD84/TableUK8!$B81</f>
        <v>5.4601082607672394E-2</v>
      </c>
      <c r="G81" s="203">
        <f>DataUK1!HE84/TableUK8!$B81</f>
        <v>7.57825370675453E-2</v>
      </c>
      <c r="H81" s="203">
        <f>DataUK1!HF84/TableUK8!$B81</f>
        <v>2.1181454459872913E-2</v>
      </c>
      <c r="I81" s="204">
        <f>DataUK1!HG84/TableUK8!$B81</f>
        <v>0</v>
      </c>
      <c r="J81" s="203">
        <f>DataUK1!HJ84/DataUK1!CD84</f>
        <v>0</v>
      </c>
      <c r="K81" s="296">
        <f>DataUK1!E84</f>
        <v>4300</v>
      </c>
      <c r="L81" s="170">
        <f>DataUK1!F84</f>
        <v>283</v>
      </c>
      <c r="M81" s="290">
        <f t="shared" si="7"/>
        <v>6.5813953488372087E-2</v>
      </c>
      <c r="R81" s="1433">
        <f t="shared" si="8"/>
        <v>0</v>
      </c>
      <c r="S81" s="1244">
        <f t="shared" si="5"/>
        <v>0</v>
      </c>
    </row>
    <row r="82" spans="1:19">
      <c r="A82" s="198">
        <f t="shared" si="9"/>
        <v>1926</v>
      </c>
      <c r="B82" s="255">
        <f>DataUK1!B85</f>
        <v>4140</v>
      </c>
      <c r="C82" s="170">
        <f>DataUK1!D85</f>
        <v>3903</v>
      </c>
      <c r="D82" s="170">
        <f>DataUK1!C85</f>
        <v>237</v>
      </c>
      <c r="E82" s="210">
        <f t="shared" si="6"/>
        <v>5.7246376811594203E-2</v>
      </c>
      <c r="F82" s="203">
        <f>DataUK1!HD85/TableUK8!$B82</f>
        <v>5.7246376811594203E-2</v>
      </c>
      <c r="G82" s="203">
        <f>DataUK1!HE85/TableUK8!$B82</f>
        <v>7.8985507246376818E-2</v>
      </c>
      <c r="H82" s="203">
        <f>DataUK1!HF85/TableUK8!$B82</f>
        <v>2.1739130434782608E-2</v>
      </c>
      <c r="I82" s="204">
        <f>DataUK1!HG85/TableUK8!$B82</f>
        <v>0</v>
      </c>
      <c r="J82" s="203">
        <f>DataUK1!HJ85/DataUK1!CD85</f>
        <v>0</v>
      </c>
      <c r="K82" s="296">
        <f>DataUK1!E85</f>
        <v>4186</v>
      </c>
      <c r="L82" s="170">
        <f>DataUK1!F85</f>
        <v>283</v>
      </c>
      <c r="M82" s="290">
        <f t="shared" si="7"/>
        <v>6.760630673674152E-2</v>
      </c>
      <c r="R82" s="1433">
        <f t="shared" si="8"/>
        <v>0</v>
      </c>
      <c r="S82" s="1244">
        <f t="shared" si="5"/>
        <v>0</v>
      </c>
    </row>
    <row r="83" spans="1:19">
      <c r="A83" s="198">
        <f t="shared" si="9"/>
        <v>1927</v>
      </c>
      <c r="B83" s="255">
        <f>DataUK1!B86</f>
        <v>4434</v>
      </c>
      <c r="C83" s="170">
        <f>DataUK1!D86</f>
        <v>4195</v>
      </c>
      <c r="D83" s="170">
        <f>DataUK1!C86</f>
        <v>239</v>
      </c>
      <c r="E83" s="210">
        <f t="shared" si="6"/>
        <v>5.3901668921966621E-2</v>
      </c>
      <c r="F83" s="203">
        <f>DataUK1!HD86/TableUK8!$B83</f>
        <v>5.3901668921966621E-2</v>
      </c>
      <c r="G83" s="203">
        <f>DataUK1!HE86/TableUK8!$B83</f>
        <v>7.3973838520523236E-2</v>
      </c>
      <c r="H83" s="203">
        <f>DataUK1!HF86/TableUK8!$B83</f>
        <v>2.0072169598556608E-2</v>
      </c>
      <c r="I83" s="204">
        <f>DataUK1!HG86/TableUK8!$B83</f>
        <v>0</v>
      </c>
      <c r="J83" s="203">
        <f>DataUK1!HJ86/DataUK1!CD86</f>
        <v>0</v>
      </c>
      <c r="K83" s="296">
        <f>DataUK1!E86</f>
        <v>4474</v>
      </c>
      <c r="L83" s="170">
        <f>DataUK1!F86</f>
        <v>279</v>
      </c>
      <c r="M83" s="290">
        <f t="shared" si="7"/>
        <v>6.236030397854269E-2</v>
      </c>
      <c r="R83" s="1433">
        <f t="shared" si="8"/>
        <v>0</v>
      </c>
      <c r="S83" s="1244">
        <f t="shared" si="5"/>
        <v>0</v>
      </c>
    </row>
    <row r="84" spans="1:19">
      <c r="A84" s="198">
        <f t="shared" si="9"/>
        <v>1928</v>
      </c>
      <c r="B84" s="255">
        <f>DataUK1!B87</f>
        <v>4471</v>
      </c>
      <c r="C84" s="170">
        <f>DataUK1!D87</f>
        <v>4231</v>
      </c>
      <c r="D84" s="170">
        <f>DataUK1!C87</f>
        <v>240</v>
      </c>
      <c r="E84" s="210">
        <f t="shared" si="6"/>
        <v>5.3679266383359431E-2</v>
      </c>
      <c r="F84" s="203">
        <f>DataUK1!HD87/TableUK8!$B84</f>
        <v>5.3679266383359431E-2</v>
      </c>
      <c r="G84" s="203">
        <f>DataUK1!HE87/TableUK8!$B84</f>
        <v>7.3808991277119207E-2</v>
      </c>
      <c r="H84" s="203">
        <f>DataUK1!HF87/TableUK8!$B84</f>
        <v>2.0129724893759787E-2</v>
      </c>
      <c r="I84" s="204">
        <f>DataUK1!HG87/TableUK8!$B84</f>
        <v>0</v>
      </c>
      <c r="J84" s="203">
        <f>DataUK1!HJ87/DataUK1!CD87</f>
        <v>0</v>
      </c>
      <c r="K84" s="296">
        <f>DataUK1!E87</f>
        <v>4515</v>
      </c>
      <c r="L84" s="170">
        <f>DataUK1!F87</f>
        <v>284</v>
      </c>
      <c r="M84" s="290">
        <f t="shared" si="7"/>
        <v>6.2901439645625695E-2</v>
      </c>
      <c r="R84" s="1433">
        <f t="shared" si="8"/>
        <v>0</v>
      </c>
      <c r="S84" s="1244">
        <f t="shared" si="5"/>
        <v>0</v>
      </c>
    </row>
    <row r="85" spans="1:19">
      <c r="A85" s="214">
        <f t="shared" si="9"/>
        <v>1929</v>
      </c>
      <c r="B85" s="256">
        <f>DataUK1!B88</f>
        <v>4523</v>
      </c>
      <c r="C85" s="257">
        <f>DataUK1!D88</f>
        <v>4280</v>
      </c>
      <c r="D85" s="257">
        <f>DataUK1!C88</f>
        <v>243</v>
      </c>
      <c r="E85" s="215">
        <f t="shared" si="6"/>
        <v>5.372540349325669E-2</v>
      </c>
      <c r="F85" s="216">
        <f>DataUK1!HD88/TableUK8!$B85</f>
        <v>5.372540349325669E-2</v>
      </c>
      <c r="G85" s="216">
        <f>DataUK1!HE88/TableUK8!$B85</f>
        <v>7.3623701083351756E-2</v>
      </c>
      <c r="H85" s="216">
        <f>DataUK1!HF88/TableUK8!$B85</f>
        <v>1.9898297590095069E-2</v>
      </c>
      <c r="I85" s="217">
        <f>DataUK1!HG88/TableUK8!$B85</f>
        <v>0</v>
      </c>
      <c r="J85" s="216">
        <f>DataUK1!HJ88/DataUK1!CD88</f>
        <v>0</v>
      </c>
      <c r="K85" s="297">
        <f>DataUK1!E88</f>
        <v>4573</v>
      </c>
      <c r="L85" s="257">
        <f>DataUK1!F88</f>
        <v>293</v>
      </c>
      <c r="M85" s="291">
        <f t="shared" si="7"/>
        <v>6.4071725344412855E-2</v>
      </c>
      <c r="R85" s="1433">
        <f t="shared" si="8"/>
        <v>0</v>
      </c>
      <c r="S85" s="1244">
        <f t="shared" si="5"/>
        <v>0</v>
      </c>
    </row>
    <row r="86" spans="1:19">
      <c r="A86" s="198">
        <f t="shared" si="9"/>
        <v>1930</v>
      </c>
      <c r="B86" s="255">
        <f>DataUK1!B89</f>
        <v>4309</v>
      </c>
      <c r="C86" s="170">
        <f>DataUK1!D89</f>
        <v>4094.0000000000005</v>
      </c>
      <c r="D86" s="170">
        <f>DataUK1!C89</f>
        <v>215</v>
      </c>
      <c r="E86" s="210">
        <f t="shared" si="6"/>
        <v>4.9895567417034117E-2</v>
      </c>
      <c r="F86" s="203">
        <f>DataUK1!HD89/TableUK8!$B86</f>
        <v>4.9895567417034117E-2</v>
      </c>
      <c r="G86" s="203">
        <f>DataUK1!HE89/TableUK8!$B86</f>
        <v>6.9621721977256898E-2</v>
      </c>
      <c r="H86" s="203">
        <f>DataUK1!HF89/TableUK8!$B86</f>
        <v>1.9726154560222791E-2</v>
      </c>
      <c r="I86" s="204">
        <f>DataUK1!HG89/TableUK8!$B86</f>
        <v>0</v>
      </c>
      <c r="J86" s="203">
        <f>DataUK1!HJ89/DataUK1!CD89</f>
        <v>0</v>
      </c>
      <c r="K86" s="296">
        <f>DataUK1!E89</f>
        <v>4385</v>
      </c>
      <c r="L86" s="170">
        <f>DataUK1!F89</f>
        <v>291</v>
      </c>
      <c r="M86" s="290">
        <f t="shared" si="7"/>
        <v>6.6362599771949832E-2</v>
      </c>
      <c r="R86" s="1433">
        <f t="shared" si="8"/>
        <v>-4.5474735088646412E-13</v>
      </c>
      <c r="S86" s="1244">
        <f t="shared" si="5"/>
        <v>0</v>
      </c>
    </row>
    <row r="87" spans="1:19">
      <c r="A87" s="198">
        <f t="shared" si="9"/>
        <v>1931</v>
      </c>
      <c r="B87" s="255">
        <f>DataUK1!B90</f>
        <v>4053.9999999999995</v>
      </c>
      <c r="C87" s="170">
        <f>DataUK1!D90</f>
        <v>3890.9999999999995</v>
      </c>
      <c r="D87" s="170">
        <f>DataUK1!C90</f>
        <v>163</v>
      </c>
      <c r="E87" s="210">
        <f t="shared" si="6"/>
        <v>4.0207202762703509E-2</v>
      </c>
      <c r="F87" s="203">
        <f>DataUK1!HD90/TableUK8!$B87</f>
        <v>4.0207202762703509E-2</v>
      </c>
      <c r="G87" s="203">
        <f>DataUK1!HE90/TableUK8!$B87</f>
        <v>5.5747409965466212E-2</v>
      </c>
      <c r="H87" s="203">
        <f>DataUK1!HF90/TableUK8!$B87</f>
        <v>1.5540207202762705E-2</v>
      </c>
      <c r="I87" s="204">
        <f>DataUK1!HG90/TableUK8!$B87</f>
        <v>0</v>
      </c>
      <c r="J87" s="203">
        <f>DataUK1!HJ90/DataUK1!CD90</f>
        <v>0</v>
      </c>
      <c r="K87" s="296">
        <f>DataUK1!E90</f>
        <v>4181</v>
      </c>
      <c r="L87" s="170">
        <f>DataUK1!F90</f>
        <v>290</v>
      </c>
      <c r="M87" s="290">
        <f t="shared" si="7"/>
        <v>6.9361396795025107E-2</v>
      </c>
      <c r="R87" s="1433">
        <f t="shared" si="8"/>
        <v>0</v>
      </c>
      <c r="S87" s="1244">
        <f t="shared" si="5"/>
        <v>0</v>
      </c>
    </row>
    <row r="88" spans="1:19">
      <c r="A88" s="198">
        <f t="shared" si="9"/>
        <v>1932</v>
      </c>
      <c r="B88" s="255">
        <f>DataUK1!B91</f>
        <v>4005.9999999999995</v>
      </c>
      <c r="C88" s="170">
        <f>DataUK1!D91</f>
        <v>3878.9999999999995</v>
      </c>
      <c r="D88" s="170">
        <f>DataUK1!C91</f>
        <v>127</v>
      </c>
      <c r="E88" s="210">
        <f t="shared" si="6"/>
        <v>3.1702446330504244E-2</v>
      </c>
      <c r="F88" s="203">
        <f>DataUK1!HD91/TableUK8!$B88</f>
        <v>3.1702446330504244E-2</v>
      </c>
      <c r="G88" s="203">
        <f>DataUK1!HE91/TableUK8!$B88</f>
        <v>4.6430354468297561E-2</v>
      </c>
      <c r="H88" s="203">
        <f>DataUK1!HF91/TableUK8!$B88</f>
        <v>1.4727908137793311E-2</v>
      </c>
      <c r="I88" s="204">
        <f>DataUK1!HG91/TableUK8!$B88</f>
        <v>0</v>
      </c>
      <c r="J88" s="203">
        <f>DataUK1!HJ91/DataUK1!CD91</f>
        <v>0</v>
      </c>
      <c r="K88" s="296">
        <f>DataUK1!E91</f>
        <v>4162</v>
      </c>
      <c r="L88" s="170">
        <f>DataUK1!F91</f>
        <v>283</v>
      </c>
      <c r="M88" s="290">
        <f t="shared" si="7"/>
        <v>6.7996155694377697E-2</v>
      </c>
      <c r="R88" s="1433">
        <f t="shared" si="8"/>
        <v>0</v>
      </c>
      <c r="S88" s="1244">
        <f t="shared" si="5"/>
        <v>0</v>
      </c>
    </row>
    <row r="89" spans="1:19">
      <c r="A89" s="198">
        <f t="shared" si="9"/>
        <v>1933</v>
      </c>
      <c r="B89" s="255">
        <f>DataUK1!B92</f>
        <v>4181</v>
      </c>
      <c r="C89" s="170">
        <f>DataUK1!D92</f>
        <v>4027</v>
      </c>
      <c r="D89" s="170">
        <f>DataUK1!C92</f>
        <v>154</v>
      </c>
      <c r="E89" s="210">
        <f t="shared" si="6"/>
        <v>3.683329347046161E-2</v>
      </c>
      <c r="F89" s="203">
        <f>DataUK1!HD92/TableUK8!$B89</f>
        <v>3.683329347046161E-2</v>
      </c>
      <c r="G89" s="203">
        <f>DataUK1!HE92/TableUK8!$B89</f>
        <v>4.7596268835206887E-2</v>
      </c>
      <c r="H89" s="203">
        <f>DataUK1!HF92/TableUK8!$B89</f>
        <v>1.0762975364745277E-2</v>
      </c>
      <c r="I89" s="204">
        <f>DataUK1!HG92/TableUK8!$B89</f>
        <v>0</v>
      </c>
      <c r="J89" s="203">
        <f>DataUK1!HJ92/DataUK1!CD92</f>
        <v>0</v>
      </c>
      <c r="K89" s="296">
        <f>DataUK1!E92</f>
        <v>4310</v>
      </c>
      <c r="L89" s="170">
        <f>DataUK1!F92</f>
        <v>283</v>
      </c>
      <c r="M89" s="290">
        <f t="shared" si="7"/>
        <v>6.5661252900232017E-2</v>
      </c>
      <c r="R89" s="1433">
        <f t="shared" si="8"/>
        <v>0</v>
      </c>
      <c r="S89" s="1244">
        <f t="shared" si="5"/>
        <v>0</v>
      </c>
    </row>
    <row r="90" spans="1:19">
      <c r="A90" s="198">
        <f t="shared" si="9"/>
        <v>1934</v>
      </c>
      <c r="B90" s="255">
        <f>DataUK1!B93</f>
        <v>4422</v>
      </c>
      <c r="C90" s="170">
        <f>DataUK1!D93</f>
        <v>4255</v>
      </c>
      <c r="D90" s="170">
        <f>DataUK1!C93</f>
        <v>167</v>
      </c>
      <c r="E90" s="210">
        <f t="shared" si="6"/>
        <v>3.7765716870194484E-2</v>
      </c>
      <c r="F90" s="203">
        <f>DataUK1!HD93/TableUK8!$B90</f>
        <v>3.7765716870194484E-2</v>
      </c>
      <c r="G90" s="203">
        <f>DataUK1!HE93/TableUK8!$B90</f>
        <v>4.8168249660786977E-2</v>
      </c>
      <c r="H90" s="203">
        <f>DataUK1!HF93/TableUK8!$B90</f>
        <v>1.0402532790592492E-2</v>
      </c>
      <c r="I90" s="204">
        <f>DataUK1!HG93/TableUK8!$B90</f>
        <v>0</v>
      </c>
      <c r="J90" s="203">
        <f>DataUK1!HJ93/DataUK1!CD93</f>
        <v>0</v>
      </c>
      <c r="K90" s="296">
        <f>DataUK1!E93</f>
        <v>4537</v>
      </c>
      <c r="L90" s="170">
        <f>DataUK1!F93</f>
        <v>282</v>
      </c>
      <c r="M90" s="290">
        <f t="shared" si="7"/>
        <v>6.2155609433546394E-2</v>
      </c>
      <c r="R90" s="1433">
        <f t="shared" si="8"/>
        <v>0</v>
      </c>
      <c r="S90" s="1244">
        <f t="shared" si="5"/>
        <v>0</v>
      </c>
    </row>
    <row r="91" spans="1:19">
      <c r="A91" s="198">
        <f t="shared" si="9"/>
        <v>1935</v>
      </c>
      <c r="B91" s="255">
        <f>DataUK1!B94</f>
        <v>4626.0000000000009</v>
      </c>
      <c r="C91" s="170">
        <f>DataUK1!D94</f>
        <v>4445.0000000000009</v>
      </c>
      <c r="D91" s="170">
        <f>DataUK1!C94</f>
        <v>181</v>
      </c>
      <c r="E91" s="210">
        <f t="shared" si="6"/>
        <v>3.9126675313445734E-2</v>
      </c>
      <c r="F91" s="203">
        <f>DataUK1!HD94/TableUK8!$B91</f>
        <v>3.9126675313445734E-2</v>
      </c>
      <c r="G91" s="203">
        <f>DataUK1!HE94/TableUK8!$B91</f>
        <v>4.9935149156939029E-2</v>
      </c>
      <c r="H91" s="203">
        <f>DataUK1!HF94/TableUK8!$B91</f>
        <v>1.0808473843493297E-2</v>
      </c>
      <c r="I91" s="204">
        <f>DataUK1!HG94/TableUK8!$B91</f>
        <v>0</v>
      </c>
      <c r="J91" s="203">
        <f>DataUK1!HJ94/DataUK1!CD94</f>
        <v>0</v>
      </c>
      <c r="K91" s="296">
        <f>DataUK1!E94</f>
        <v>4743</v>
      </c>
      <c r="L91" s="170">
        <f>DataUK1!F94</f>
        <v>298</v>
      </c>
      <c r="M91" s="290">
        <f t="shared" si="7"/>
        <v>6.2829432848408182E-2</v>
      </c>
      <c r="R91" s="1433">
        <f t="shared" si="8"/>
        <v>0</v>
      </c>
      <c r="S91" s="1244">
        <f t="shared" si="5"/>
        <v>0</v>
      </c>
    </row>
    <row r="92" spans="1:19">
      <c r="A92" s="198">
        <f t="shared" si="9"/>
        <v>1936</v>
      </c>
      <c r="B92" s="255">
        <f>DataUK1!B95</f>
        <v>4963</v>
      </c>
      <c r="C92" s="170">
        <f>DataUK1!D95</f>
        <v>4768</v>
      </c>
      <c r="D92" s="170">
        <f>DataUK1!C95</f>
        <v>195</v>
      </c>
      <c r="E92" s="210">
        <f t="shared" si="6"/>
        <v>3.9290751561555509E-2</v>
      </c>
      <c r="F92" s="203">
        <f>DataUK1!HD95/TableUK8!$B92</f>
        <v>3.9290751561555509E-2</v>
      </c>
      <c r="G92" s="203">
        <f>DataUK1!HE95/TableUK8!$B92</f>
        <v>5.0775740479548657E-2</v>
      </c>
      <c r="H92" s="203">
        <f>DataUK1!HF95/TableUK8!$B92</f>
        <v>1.148498891799315E-2</v>
      </c>
      <c r="I92" s="204">
        <f>DataUK1!HG95/TableUK8!$B92</f>
        <v>0</v>
      </c>
      <c r="J92" s="203">
        <f>DataUK1!HJ95/DataUK1!CD95</f>
        <v>0</v>
      </c>
      <c r="K92" s="296">
        <f>DataUK1!E95</f>
        <v>5085</v>
      </c>
      <c r="L92" s="170">
        <f>DataUK1!F95</f>
        <v>317</v>
      </c>
      <c r="M92" s="290">
        <f t="shared" si="7"/>
        <v>6.2340216322517204E-2</v>
      </c>
      <c r="R92" s="1433">
        <f t="shared" si="8"/>
        <v>0</v>
      </c>
      <c r="S92" s="1244">
        <f t="shared" si="5"/>
        <v>0</v>
      </c>
    </row>
    <row r="93" spans="1:19">
      <c r="A93" s="198">
        <f t="shared" si="9"/>
        <v>1937</v>
      </c>
      <c r="B93" s="255">
        <f>DataUK1!B96</f>
        <v>5205</v>
      </c>
      <c r="C93" s="170">
        <f>DataUK1!D96</f>
        <v>5000</v>
      </c>
      <c r="D93" s="170">
        <f>DataUK1!C96</f>
        <v>205</v>
      </c>
      <c r="E93" s="210">
        <f t="shared" si="6"/>
        <v>3.9385206532180597E-2</v>
      </c>
      <c r="F93" s="203">
        <f>DataUK1!HD96/TableUK8!$B93</f>
        <v>3.9385206532180597E-2</v>
      </c>
      <c r="G93" s="203">
        <f>DataUK1!HE96/TableUK8!$B93</f>
        <v>5.1873198847262249E-2</v>
      </c>
      <c r="H93" s="203">
        <f>DataUK1!HF96/TableUK8!$B93</f>
        <v>1.2487992315081652E-2</v>
      </c>
      <c r="I93" s="204">
        <f>DataUK1!HG96/TableUK8!$B93</f>
        <v>0</v>
      </c>
      <c r="J93" s="203">
        <f>DataUK1!HJ96/DataUK1!CD96</f>
        <v>0</v>
      </c>
      <c r="K93" s="296">
        <f>DataUK1!E96</f>
        <v>5357</v>
      </c>
      <c r="L93" s="170">
        <f>DataUK1!F96</f>
        <v>357</v>
      </c>
      <c r="M93" s="290">
        <f t="shared" si="7"/>
        <v>6.6641777114056375E-2</v>
      </c>
      <c r="R93" s="1433">
        <f t="shared" si="8"/>
        <v>0</v>
      </c>
      <c r="S93" s="1244">
        <f t="shared" si="5"/>
        <v>0</v>
      </c>
    </row>
    <row r="94" spans="1:19">
      <c r="A94" s="198">
        <f t="shared" si="9"/>
        <v>1938</v>
      </c>
      <c r="B94" s="255">
        <f>DataUK1!B97</f>
        <v>5232</v>
      </c>
      <c r="C94" s="170">
        <f>DataUK1!D97</f>
        <v>5040</v>
      </c>
      <c r="D94" s="170">
        <f>DataUK1!C97</f>
        <v>192</v>
      </c>
      <c r="E94" s="210">
        <f t="shared" si="6"/>
        <v>3.669724770642202E-2</v>
      </c>
      <c r="F94" s="203">
        <f>DataUK1!HD97/TableUK8!$B94</f>
        <v>3.669724770642202E-2</v>
      </c>
      <c r="G94" s="203">
        <f>DataUK1!HE97/TableUK8!$B94</f>
        <v>4.8356269113149844E-2</v>
      </c>
      <c r="H94" s="203">
        <f>DataUK1!HF97/TableUK8!$B94</f>
        <v>1.1659021406727829E-2</v>
      </c>
      <c r="I94" s="204">
        <f>DataUK1!HG97/TableUK8!$B94</f>
        <v>0</v>
      </c>
      <c r="J94" s="203">
        <f>DataUK1!HJ97/DataUK1!CD97</f>
        <v>0</v>
      </c>
      <c r="K94" s="296">
        <f>DataUK1!E97</f>
        <v>5410</v>
      </c>
      <c r="L94" s="170">
        <f>DataUK1!F97</f>
        <v>370</v>
      </c>
      <c r="M94" s="290">
        <f t="shared" si="7"/>
        <v>6.839186691312385E-2</v>
      </c>
      <c r="R94" s="1433">
        <f t="shared" si="8"/>
        <v>0</v>
      </c>
      <c r="S94" s="1244">
        <f t="shared" si="5"/>
        <v>0</v>
      </c>
    </row>
    <row r="95" spans="1:19">
      <c r="A95" s="214">
        <f t="shared" si="9"/>
        <v>1939</v>
      </c>
      <c r="B95" s="256">
        <f>DataUK1!B98</f>
        <v>5741.9999999999991</v>
      </c>
      <c r="C95" s="257">
        <f>DataUK1!D98</f>
        <v>5581.9999999999991</v>
      </c>
      <c r="D95" s="257">
        <f>DataUK1!C98</f>
        <v>160</v>
      </c>
      <c r="E95" s="215">
        <f t="shared" si="6"/>
        <v>2.7864855451062352E-2</v>
      </c>
      <c r="F95" s="216">
        <f>DataUK1!HD98/TableUK8!$B95</f>
        <v>2.7864855451062352E-2</v>
      </c>
      <c r="G95" s="216">
        <f>DataUK1!HE98/TableUK8!$B95</f>
        <v>4.3538836642284924E-2</v>
      </c>
      <c r="H95" s="216">
        <f>DataUK1!HF98/TableUK8!$B95</f>
        <v>1.5673981191222573E-2</v>
      </c>
      <c r="I95" s="217">
        <f>DataUK1!HG98/TableUK8!$B95</f>
        <v>0</v>
      </c>
      <c r="J95" s="216">
        <f>DataUK1!HJ98/DataUK1!CD98</f>
        <v>0</v>
      </c>
      <c r="K95" s="297">
        <f>DataUK1!E98</f>
        <v>5972</v>
      </c>
      <c r="L95" s="257">
        <f>DataUK1!F98</f>
        <v>390</v>
      </c>
      <c r="M95" s="291">
        <f t="shared" si="7"/>
        <v>6.5304755525787003E-2</v>
      </c>
      <c r="R95" s="1433">
        <f t="shared" si="8"/>
        <v>0</v>
      </c>
      <c r="S95" s="1244">
        <f t="shared" si="5"/>
        <v>0</v>
      </c>
    </row>
    <row r="96" spans="1:19">
      <c r="A96" s="198">
        <f t="shared" si="9"/>
        <v>1940</v>
      </c>
      <c r="B96" s="255">
        <f>DataUK1!B99</f>
        <v>6828</v>
      </c>
      <c r="C96" s="170">
        <f>DataUK1!D99</f>
        <v>6668</v>
      </c>
      <c r="D96" s="170">
        <f>DataUK1!C99</f>
        <v>160</v>
      </c>
      <c r="E96" s="210">
        <f t="shared" si="6"/>
        <v>2.3432923257176334E-2</v>
      </c>
      <c r="F96" s="203">
        <f>DataUK1!HD99/TableUK8!$B96</f>
        <v>2.3432923257176334E-2</v>
      </c>
      <c r="G96" s="203">
        <f>DataUK1!HE99/TableUK8!$B96</f>
        <v>3.8078500292911543E-2</v>
      </c>
      <c r="H96" s="203">
        <f>DataUK1!HF99/TableUK8!$B96</f>
        <v>1.4645577035735208E-2</v>
      </c>
      <c r="I96" s="204">
        <f>DataUK1!HG99/TableUK8!$B96</f>
        <v>0</v>
      </c>
      <c r="J96" s="203">
        <f>DataUK1!HJ99/DataUK1!CD99</f>
        <v>0</v>
      </c>
      <c r="K96" s="296">
        <f>DataUK1!E99</f>
        <v>7108</v>
      </c>
      <c r="L96" s="170">
        <f>DataUK1!F99</f>
        <v>440</v>
      </c>
      <c r="M96" s="290">
        <f t="shared" si="7"/>
        <v>6.1902082160945414E-2</v>
      </c>
      <c r="R96" s="1433">
        <f t="shared" si="8"/>
        <v>0</v>
      </c>
      <c r="S96" s="1244">
        <f t="shared" si="5"/>
        <v>0</v>
      </c>
    </row>
    <row r="97" spans="1:19">
      <c r="A97" s="198">
        <f t="shared" si="9"/>
        <v>1941</v>
      </c>
      <c r="B97" s="255">
        <f>DataUK1!B100</f>
        <v>7920</v>
      </c>
      <c r="C97" s="170">
        <f>DataUK1!D100</f>
        <v>7780</v>
      </c>
      <c r="D97" s="170">
        <f>DataUK1!C100</f>
        <v>140</v>
      </c>
      <c r="E97" s="210">
        <f t="shared" si="6"/>
        <v>1.7676767676767676E-2</v>
      </c>
      <c r="F97" s="203">
        <f>DataUK1!HD100/TableUK8!$B97</f>
        <v>1.7676767676767676E-2</v>
      </c>
      <c r="G97" s="203">
        <f>DataUK1!HE100/TableUK8!$B97</f>
        <v>3.4090909090909088E-2</v>
      </c>
      <c r="H97" s="203">
        <f>DataUK1!HF100/TableUK8!$B97</f>
        <v>1.6414141414141416E-2</v>
      </c>
      <c r="I97" s="204">
        <f>DataUK1!HG100/TableUK8!$B97</f>
        <v>0</v>
      </c>
      <c r="J97" s="203">
        <f>DataUK1!HJ100/DataUK1!CD100</f>
        <v>0</v>
      </c>
      <c r="K97" s="296">
        <f>DataUK1!E100</f>
        <v>8280</v>
      </c>
      <c r="L97" s="170">
        <f>DataUK1!F100</f>
        <v>500</v>
      </c>
      <c r="M97" s="290">
        <f t="shared" si="7"/>
        <v>6.0386473429951688E-2</v>
      </c>
      <c r="R97" s="1433">
        <f t="shared" si="8"/>
        <v>0</v>
      </c>
      <c r="S97" s="1244">
        <f t="shared" si="5"/>
        <v>0</v>
      </c>
    </row>
    <row r="98" spans="1:19">
      <c r="A98" s="198">
        <f t="shared" si="9"/>
        <v>1942</v>
      </c>
      <c r="B98" s="255">
        <f>DataUK1!B101</f>
        <v>8700</v>
      </c>
      <c r="C98" s="170">
        <f>DataUK1!D101</f>
        <v>8600</v>
      </c>
      <c r="D98" s="170">
        <f>DataUK1!C101</f>
        <v>100</v>
      </c>
      <c r="E98" s="210">
        <f t="shared" si="6"/>
        <v>1.1494252873563218E-2</v>
      </c>
      <c r="F98" s="203">
        <f>DataUK1!HD101/TableUK8!$B98</f>
        <v>1.1494252873563218E-2</v>
      </c>
      <c r="G98" s="203">
        <f>DataUK1!HE101/TableUK8!$B98</f>
        <v>3.1034482758620689E-2</v>
      </c>
      <c r="H98" s="203">
        <f>DataUK1!HF101/TableUK8!$B98</f>
        <v>1.9540229885057471E-2</v>
      </c>
      <c r="I98" s="204">
        <f>DataUK1!HG101/TableUK8!$B98</f>
        <v>0</v>
      </c>
      <c r="J98" s="203">
        <f>DataUK1!HJ101/DataUK1!CD101</f>
        <v>0</v>
      </c>
      <c r="K98" s="296">
        <f>DataUK1!E101</f>
        <v>9130</v>
      </c>
      <c r="L98" s="170">
        <f>DataUK1!F101</f>
        <v>530</v>
      </c>
      <c r="M98" s="290">
        <f t="shared" si="7"/>
        <v>5.8050383351588172E-2</v>
      </c>
      <c r="R98" s="1433">
        <f t="shared" si="8"/>
        <v>0</v>
      </c>
      <c r="S98" s="1244">
        <f t="shared" si="5"/>
        <v>0</v>
      </c>
    </row>
    <row r="99" spans="1:19">
      <c r="A99" s="198">
        <f t="shared" si="9"/>
        <v>1943</v>
      </c>
      <c r="B99" s="255">
        <f>DataUK1!B102</f>
        <v>9186</v>
      </c>
      <c r="C99" s="170">
        <f>DataUK1!D102</f>
        <v>9096</v>
      </c>
      <c r="D99" s="170">
        <f>DataUK1!C102</f>
        <v>90</v>
      </c>
      <c r="E99" s="210">
        <f t="shared" si="6"/>
        <v>9.7975179621162638E-3</v>
      </c>
      <c r="F99" s="203">
        <f>DataUK1!HD102/TableUK8!$B99</f>
        <v>9.7975179621162638E-3</v>
      </c>
      <c r="G99" s="203">
        <f>DataUK1!HE102/TableUK8!$B99</f>
        <v>3.04811669932506E-2</v>
      </c>
      <c r="H99" s="203">
        <f>DataUK1!HF102/TableUK8!$B99</f>
        <v>2.0683649031134337E-2</v>
      </c>
      <c r="I99" s="204">
        <f>DataUK1!HG102/TableUK8!$B99</f>
        <v>0</v>
      </c>
      <c r="J99" s="203">
        <f>DataUK1!HJ102/DataUK1!CD102</f>
        <v>0</v>
      </c>
      <c r="K99" s="296">
        <f>DataUK1!E102</f>
        <v>9716</v>
      </c>
      <c r="L99" s="170">
        <f>DataUK1!F102</f>
        <v>620</v>
      </c>
      <c r="M99" s="290">
        <f t="shared" si="7"/>
        <v>6.3812268423219437E-2</v>
      </c>
      <c r="R99" s="1433">
        <f t="shared" si="8"/>
        <v>0</v>
      </c>
      <c r="S99" s="1244">
        <f t="shared" si="5"/>
        <v>0</v>
      </c>
    </row>
    <row r="100" spans="1:19">
      <c r="A100" s="198">
        <f t="shared" si="9"/>
        <v>1944</v>
      </c>
      <c r="B100" s="255">
        <f>DataUK1!B103</f>
        <v>9376</v>
      </c>
      <c r="C100" s="170">
        <f>DataUK1!D103</f>
        <v>9296</v>
      </c>
      <c r="D100" s="170">
        <f>DataUK1!C103</f>
        <v>80</v>
      </c>
      <c r="E100" s="210">
        <f t="shared" si="6"/>
        <v>8.5324232081911266E-3</v>
      </c>
      <c r="F100" s="203">
        <f>DataUK1!HD103/TableUK8!$B100</f>
        <v>8.5324232081911266E-3</v>
      </c>
      <c r="G100" s="203">
        <f>DataUK1!HE103/TableUK8!$B100</f>
        <v>3.0930034129692831E-2</v>
      </c>
      <c r="H100" s="203">
        <f>DataUK1!HF103/TableUK8!$B100</f>
        <v>2.2397610921501707E-2</v>
      </c>
      <c r="I100" s="204">
        <f>DataUK1!HG103/TableUK8!$B100</f>
        <v>0</v>
      </c>
      <c r="J100" s="203">
        <f>DataUK1!HJ103/DataUK1!CD103</f>
        <v>0</v>
      </c>
      <c r="K100" s="296">
        <f>DataUK1!E103</f>
        <v>9946</v>
      </c>
      <c r="L100" s="170">
        <f>DataUK1!F103</f>
        <v>650</v>
      </c>
      <c r="M100" s="290">
        <f t="shared" si="7"/>
        <v>6.5352905690729948E-2</v>
      </c>
      <c r="R100" s="1433">
        <f t="shared" si="8"/>
        <v>0</v>
      </c>
      <c r="S100" s="1244">
        <f t="shared" si="5"/>
        <v>0</v>
      </c>
    </row>
    <row r="101" spans="1:19">
      <c r="A101" s="198">
        <f t="shared" si="9"/>
        <v>1945</v>
      </c>
      <c r="B101" s="255">
        <f>DataUK1!B104</f>
        <v>9434</v>
      </c>
      <c r="C101" s="170">
        <f>DataUK1!D104</f>
        <v>9354</v>
      </c>
      <c r="D101" s="170">
        <f>DataUK1!C104</f>
        <v>80</v>
      </c>
      <c r="E101" s="210">
        <f t="shared" si="6"/>
        <v>8.4799660801356796E-3</v>
      </c>
      <c r="F101" s="203">
        <f>DataUK1!HD104/TableUK8!$B101</f>
        <v>8.4799660801356796E-3</v>
      </c>
      <c r="G101" s="203">
        <f>DataUK1!HE104/TableUK8!$B101</f>
        <v>3.2859868560525758E-2</v>
      </c>
      <c r="H101" s="203">
        <f>DataUK1!HF104/TableUK8!$B101</f>
        <v>2.4379902480390077E-2</v>
      </c>
      <c r="I101" s="204">
        <f>DataUK1!HG104/TableUK8!$B101</f>
        <v>0</v>
      </c>
      <c r="J101" s="203">
        <f>DataUK1!HJ104/DataUK1!CD104</f>
        <v>0</v>
      </c>
      <c r="K101" s="296">
        <f>DataUK1!E104</f>
        <v>9994</v>
      </c>
      <c r="L101" s="170">
        <f>DataUK1!F104</f>
        <v>640</v>
      </c>
      <c r="M101" s="290">
        <f t="shared" si="7"/>
        <v>6.4038423053832297E-2</v>
      </c>
      <c r="R101" s="1433">
        <f t="shared" si="8"/>
        <v>0</v>
      </c>
      <c r="S101" s="1244">
        <f t="shared" si="5"/>
        <v>0</v>
      </c>
    </row>
    <row r="102" spans="1:19">
      <c r="A102" s="198">
        <f t="shared" si="9"/>
        <v>1946</v>
      </c>
      <c r="B102" s="255">
        <f>DataUK1!B105</f>
        <v>9257</v>
      </c>
      <c r="C102" s="170">
        <f>DataUK1!D105</f>
        <v>9201</v>
      </c>
      <c r="D102" s="170">
        <f>DataUK1!C105</f>
        <v>56</v>
      </c>
      <c r="E102" s="210">
        <f t="shared" si="6"/>
        <v>6.0494760721616072E-3</v>
      </c>
      <c r="F102" s="203">
        <f>DataUK1!HD105/TableUK8!$B102</f>
        <v>8.2100032407907524E-3</v>
      </c>
      <c r="G102" s="203">
        <f>DataUK1!HE105/TableUK8!$B102</f>
        <v>2.0957113535702711E-2</v>
      </c>
      <c r="H102" s="203">
        <f>DataUK1!HF105/TableUK8!$B102</f>
        <v>1.2747110294911958E-2</v>
      </c>
      <c r="I102" s="204">
        <f>DataUK1!HG105/TableUK8!$B102</f>
        <v>-2.1605271686291456E-3</v>
      </c>
      <c r="J102" s="203">
        <f>DataUK1!HJ105/DataUK1!CD105</f>
        <v>0</v>
      </c>
      <c r="K102" s="296">
        <f>DataUK1!E105</f>
        <v>9891</v>
      </c>
      <c r="L102" s="170">
        <f>DataUK1!F105</f>
        <v>690</v>
      </c>
      <c r="M102" s="290">
        <f t="shared" si="7"/>
        <v>6.9760388231725812E-2</v>
      </c>
      <c r="R102" s="1433">
        <f t="shared" si="8"/>
        <v>0</v>
      </c>
      <c r="S102" s="1244">
        <f t="shared" si="5"/>
        <v>4.3368086899420177E-19</v>
      </c>
    </row>
    <row r="103" spans="1:19">
      <c r="A103" s="198">
        <f t="shared" si="9"/>
        <v>1947</v>
      </c>
      <c r="B103" s="255">
        <f>DataUK1!B106</f>
        <v>10236.999999999998</v>
      </c>
      <c r="C103" s="170">
        <f>DataUK1!D106</f>
        <v>10115.999999999998</v>
      </c>
      <c r="D103" s="170">
        <f>DataUK1!C106</f>
        <v>121</v>
      </c>
      <c r="E103" s="210">
        <f t="shared" si="6"/>
        <v>1.1819869102276059E-2</v>
      </c>
      <c r="F103" s="203">
        <f>DataUK1!HD106/TableUK8!$B103</f>
        <v>1.3675881605939242E-2</v>
      </c>
      <c r="G103" s="203">
        <f>DataUK1!HE106/TableUK8!$B103</f>
        <v>2.5007326365146042E-2</v>
      </c>
      <c r="H103" s="203">
        <f>DataUK1!HF106/TableUK8!$B103</f>
        <v>1.1331444759206801E-2</v>
      </c>
      <c r="I103" s="204">
        <f>DataUK1!HG106/TableUK8!$B103</f>
        <v>-1.856012503663183E-3</v>
      </c>
      <c r="J103" s="203">
        <f>DataUK1!HJ106/DataUK1!CD106</f>
        <v>0</v>
      </c>
      <c r="K103" s="296">
        <f>DataUK1!E106</f>
        <v>10886</v>
      </c>
      <c r="L103" s="170">
        <f>DataUK1!F106</f>
        <v>770</v>
      </c>
      <c r="M103" s="290">
        <f t="shared" si="7"/>
        <v>7.0733051625941581E-2</v>
      </c>
      <c r="R103" s="1433">
        <f t="shared" si="8"/>
        <v>0</v>
      </c>
      <c r="S103" s="1244">
        <f t="shared" si="5"/>
        <v>0</v>
      </c>
    </row>
    <row r="104" spans="1:19">
      <c r="A104" s="198">
        <f t="shared" si="9"/>
        <v>1948</v>
      </c>
      <c r="B104" s="255">
        <f>DataUK1!B107</f>
        <v>11285</v>
      </c>
      <c r="C104" s="170">
        <f>DataUK1!D107</f>
        <v>11082</v>
      </c>
      <c r="D104" s="170">
        <f>DataUK1!C107</f>
        <v>203</v>
      </c>
      <c r="E104" s="210">
        <f>D104/B104</f>
        <v>1.7988480283562251E-2</v>
      </c>
      <c r="F104" s="203">
        <f>DataUK1!HD107/TableUK8!$B104</f>
        <v>1.9760744350908285E-2</v>
      </c>
      <c r="G104" s="203">
        <f>DataUK1!HE107/TableUK8!$B104</f>
        <v>3.128046078865751E-2</v>
      </c>
      <c r="H104" s="203">
        <f>DataUK1!HF107/TableUK8!$B104</f>
        <v>1.1519716437749225E-2</v>
      </c>
      <c r="I104" s="204">
        <f>DataUK1!HG107/TableUK8!$B104</f>
        <v>-1.7722640673460345E-3</v>
      </c>
      <c r="J104" s="203">
        <f>DataUK1!HJ107/DataUK1!B107</f>
        <v>0</v>
      </c>
      <c r="K104" s="296">
        <f>DataUK1!E107</f>
        <v>12047</v>
      </c>
      <c r="L104" s="170">
        <f>DataUK1!F107</f>
        <v>965</v>
      </c>
      <c r="M104" s="290">
        <f>L104/K104</f>
        <v>8.0102930190088822E-2</v>
      </c>
      <c r="R104" s="1433">
        <f t="shared" si="8"/>
        <v>0</v>
      </c>
      <c r="S104" s="1244">
        <f t="shared" si="5"/>
        <v>4.3368086899420177E-19</v>
      </c>
    </row>
    <row r="105" spans="1:19">
      <c r="A105" s="214">
        <v>1949</v>
      </c>
      <c r="B105" s="256">
        <f>DataUK1!B108</f>
        <v>12003</v>
      </c>
      <c r="C105" s="257">
        <f>DataUK1!D108</f>
        <v>11817</v>
      </c>
      <c r="D105" s="257">
        <f>DataUK1!C108</f>
        <v>186</v>
      </c>
      <c r="E105" s="215">
        <f t="shared" ref="E105:E166" si="10">D105/B105</f>
        <v>1.5496125968507872E-2</v>
      </c>
      <c r="F105" s="216">
        <f>DataUK1!HD108/TableUK8!$B105</f>
        <v>1.7162376072648505E-2</v>
      </c>
      <c r="G105" s="218">
        <f>DataUK1!HE108/TableUK8!$B105</f>
        <v>2.8659501791218862E-2</v>
      </c>
      <c r="H105" s="218">
        <f>DataUK1!HF108/TableUK8!$B105</f>
        <v>1.1497125718570358E-2</v>
      </c>
      <c r="I105" s="217">
        <f>DataUK1!HG108/TableUK8!$B105</f>
        <v>-1.6662501041406314E-3</v>
      </c>
      <c r="J105" s="216">
        <f>DataUK1!HJ108/DataUK1!B108</f>
        <v>0</v>
      </c>
      <c r="K105" s="297">
        <f>DataUK1!E108</f>
        <v>12849</v>
      </c>
      <c r="L105" s="257">
        <f>DataUK1!F108</f>
        <v>1032</v>
      </c>
      <c r="M105" s="291">
        <f t="shared" ref="M105:M166" si="11">L105/K105</f>
        <v>8.0317534438477708E-2</v>
      </c>
      <c r="R105" s="1433">
        <f t="shared" si="8"/>
        <v>0</v>
      </c>
      <c r="S105" s="1244">
        <f t="shared" si="5"/>
        <v>-1.5178830414797062E-18</v>
      </c>
    </row>
    <row r="106" spans="1:19">
      <c r="A106" s="198">
        <f t="shared" ref="A106:A126" si="12">A105+1</f>
        <v>1950</v>
      </c>
      <c r="B106" s="255">
        <f>DataUK1!B109</f>
        <v>12639</v>
      </c>
      <c r="C106" s="170">
        <f>DataUK1!D109</f>
        <v>12282</v>
      </c>
      <c r="D106" s="170">
        <f>DataUK1!C109</f>
        <v>357</v>
      </c>
      <c r="E106" s="210">
        <f t="shared" si="10"/>
        <v>2.8245905530500832E-2</v>
      </c>
      <c r="F106" s="203">
        <f>DataUK1!HD109/TableUK8!$B106</f>
        <v>2.9907429385236172E-2</v>
      </c>
      <c r="G106" s="219">
        <f>DataUK1!HE109/TableUK8!$B106</f>
        <v>4.3278740406677743E-2</v>
      </c>
      <c r="H106" s="219">
        <f>DataUK1!HF109/TableUK8!$B106</f>
        <v>1.3371311021441569E-2</v>
      </c>
      <c r="I106" s="204">
        <f>DataUK1!HG109/TableUK8!$B106</f>
        <v>-1.6615238547353431E-3</v>
      </c>
      <c r="J106" s="203">
        <f>DataUK1!HJ109/DataUK1!B109</f>
        <v>0</v>
      </c>
      <c r="K106" s="296">
        <f>DataUK1!E109</f>
        <v>13395</v>
      </c>
      <c r="L106" s="170">
        <f>DataUK1!F109</f>
        <v>1113</v>
      </c>
      <c r="M106" s="290">
        <f t="shared" si="11"/>
        <v>8.3090705487122066E-2</v>
      </c>
      <c r="R106" s="1433">
        <f t="shared" si="8"/>
        <v>0</v>
      </c>
      <c r="S106" s="1244">
        <f t="shared" si="5"/>
        <v>3.4694469519536142E-18</v>
      </c>
    </row>
    <row r="107" spans="1:19">
      <c r="A107" s="198">
        <f t="shared" si="12"/>
        <v>1951</v>
      </c>
      <c r="B107" s="255">
        <f>DataUK1!B110</f>
        <v>13885.000000000002</v>
      </c>
      <c r="C107" s="170">
        <f>DataUK1!D110</f>
        <v>13584.000000000002</v>
      </c>
      <c r="D107" s="170">
        <f>DataUK1!C110</f>
        <v>301</v>
      </c>
      <c r="E107" s="210">
        <f t="shared" si="10"/>
        <v>2.1678069859560674E-2</v>
      </c>
      <c r="F107" s="203">
        <f>DataUK1!HD110/TableUK8!$B107</f>
        <v>2.3190493338134676E-2</v>
      </c>
      <c r="G107" s="219">
        <f>DataUK1!HE110/TableUK8!$B107</f>
        <v>3.9034929780338491E-2</v>
      </c>
      <c r="H107" s="219">
        <f>DataUK1!HF110/TableUK8!$B107</f>
        <v>1.5844436442203815E-2</v>
      </c>
      <c r="I107" s="204">
        <f>DataUK1!HG110/TableUK8!$B107</f>
        <v>-1.5124234785740005E-3</v>
      </c>
      <c r="J107" s="203">
        <f>DataUK1!HJ110/DataUK1!B110</f>
        <v>0</v>
      </c>
      <c r="K107" s="296">
        <f>DataUK1!E110</f>
        <v>14887.000000000002</v>
      </c>
      <c r="L107" s="170">
        <f>DataUK1!F110</f>
        <v>1303</v>
      </c>
      <c r="M107" s="290">
        <f t="shared" si="11"/>
        <v>8.7526029421643031E-2</v>
      </c>
      <c r="R107" s="1433">
        <f t="shared" si="8"/>
        <v>0</v>
      </c>
      <c r="S107" s="1244">
        <f t="shared" si="5"/>
        <v>-1.7347234759768071E-18</v>
      </c>
    </row>
    <row r="108" spans="1:19">
      <c r="A108" s="198">
        <f t="shared" si="12"/>
        <v>1952</v>
      </c>
      <c r="B108" s="255">
        <f>DataUK1!B111</f>
        <v>14894</v>
      </c>
      <c r="C108" s="170">
        <f>DataUK1!D111</f>
        <v>14685</v>
      </c>
      <c r="D108" s="170">
        <f>DataUK1!C111</f>
        <v>209</v>
      </c>
      <c r="E108" s="210">
        <f t="shared" si="10"/>
        <v>1.4032496307237814E-2</v>
      </c>
      <c r="F108" s="203">
        <f>DataUK1!HD111/TableUK8!$B108</f>
        <v>1.55096011816839E-2</v>
      </c>
      <c r="G108" s="219">
        <f>DataUK1!HE111/TableUK8!$B108</f>
        <v>3.2899154021753724E-2</v>
      </c>
      <c r="H108" s="219">
        <f>DataUK1!HF111/TableUK8!$B108</f>
        <v>1.7389552840069825E-2</v>
      </c>
      <c r="I108" s="204">
        <f>DataUK1!HG111/TableUK8!$B108</f>
        <v>-1.4771048744460858E-3</v>
      </c>
      <c r="J108" s="203">
        <f>DataUK1!HJ111/DataUK1!B111</f>
        <v>0</v>
      </c>
      <c r="K108" s="296">
        <f>DataUK1!E111</f>
        <v>16150</v>
      </c>
      <c r="L108" s="170">
        <f>DataUK1!F111</f>
        <v>1465</v>
      </c>
      <c r="M108" s="290">
        <f t="shared" si="11"/>
        <v>9.0712074303405568E-2</v>
      </c>
      <c r="R108" s="1433">
        <f t="shared" si="8"/>
        <v>0</v>
      </c>
      <c r="S108" s="1244">
        <f t="shared" si="5"/>
        <v>-8.6736173798840355E-19</v>
      </c>
    </row>
    <row r="109" spans="1:19">
      <c r="A109" s="198">
        <f t="shared" si="12"/>
        <v>1953</v>
      </c>
      <c r="B109" s="255">
        <f>DataUK1!B112</f>
        <v>15848</v>
      </c>
      <c r="C109" s="170">
        <f>DataUK1!D112</f>
        <v>15666</v>
      </c>
      <c r="D109" s="170">
        <f>DataUK1!C112</f>
        <v>182</v>
      </c>
      <c r="E109" s="210">
        <f t="shared" si="10"/>
        <v>1.1484098939929329E-2</v>
      </c>
      <c r="F109" s="203">
        <f>DataUK1!HD112/TableUK8!$B109</f>
        <v>1.306158505805149E-2</v>
      </c>
      <c r="G109" s="219">
        <f>DataUK1!HE112/TableUK8!$B109</f>
        <v>3.0603230691569915E-2</v>
      </c>
      <c r="H109" s="219">
        <f>DataUK1!HF112/TableUK8!$B109</f>
        <v>1.7541645633518427E-2</v>
      </c>
      <c r="I109" s="204">
        <f>DataUK1!HG112/TableUK8!$B109</f>
        <v>-1.5774861181221606E-3</v>
      </c>
      <c r="J109" s="203">
        <f>DataUK1!HJ112/DataUK1!B112</f>
        <v>0</v>
      </c>
      <c r="K109" s="296">
        <f>DataUK1!E112</f>
        <v>17177</v>
      </c>
      <c r="L109" s="170">
        <f>DataUK1!F112</f>
        <v>1511</v>
      </c>
      <c r="M109" s="290">
        <f t="shared" si="11"/>
        <v>8.7966466786982597E-2</v>
      </c>
      <c r="R109" s="1433">
        <f t="shared" si="8"/>
        <v>0</v>
      </c>
      <c r="S109" s="1244">
        <f t="shared" si="5"/>
        <v>-2.1684043449710089E-19</v>
      </c>
    </row>
    <row r="110" spans="1:19">
      <c r="A110" s="198">
        <f t="shared" si="12"/>
        <v>1954</v>
      </c>
      <c r="B110" s="255">
        <f>DataUK1!B113</f>
        <v>16845</v>
      </c>
      <c r="C110" s="170">
        <f>DataUK1!D113</f>
        <v>16645</v>
      </c>
      <c r="D110" s="170">
        <f>DataUK1!C113</f>
        <v>200</v>
      </c>
      <c r="E110" s="210">
        <f t="shared" si="10"/>
        <v>1.1872959335114277E-2</v>
      </c>
      <c r="F110" s="203">
        <f>DataUK1!HD113/TableUK8!$B110</f>
        <v>1.3475808845354705E-2</v>
      </c>
      <c r="G110" s="219">
        <f>DataUK1!HE113/TableUK8!$B110</f>
        <v>3.1463342238052833E-2</v>
      </c>
      <c r="H110" s="219">
        <f>DataUK1!HF113/TableUK8!$B110</f>
        <v>1.7987533392698131E-2</v>
      </c>
      <c r="I110" s="204">
        <f>DataUK1!HG113/TableUK8!$B110</f>
        <v>-1.6028495102404273E-3</v>
      </c>
      <c r="J110" s="203">
        <f>DataUK1!HJ113/DataUK1!B113</f>
        <v>0</v>
      </c>
      <c r="K110" s="296">
        <f>DataUK1!E113</f>
        <v>18234</v>
      </c>
      <c r="L110" s="170">
        <f>DataUK1!F113</f>
        <v>1589</v>
      </c>
      <c r="M110" s="290">
        <f t="shared" si="11"/>
        <v>8.7144894153778657E-2</v>
      </c>
      <c r="R110" s="1433">
        <f t="shared" si="8"/>
        <v>0</v>
      </c>
      <c r="S110" s="1244">
        <f t="shared" si="5"/>
        <v>-6.5052130349130266E-19</v>
      </c>
    </row>
    <row r="111" spans="1:19">
      <c r="A111" s="198">
        <f t="shared" si="12"/>
        <v>1955</v>
      </c>
      <c r="B111" s="255">
        <f>DataUK1!B114</f>
        <v>17945</v>
      </c>
      <c r="C111" s="170">
        <f>DataUK1!D114</f>
        <v>17823</v>
      </c>
      <c r="D111" s="170">
        <f>DataUK1!C114</f>
        <v>122</v>
      </c>
      <c r="E111" s="210">
        <f t="shared" si="10"/>
        <v>6.798551128448036E-3</v>
      </c>
      <c r="F111" s="203">
        <f>DataUK1!HD114/TableUK8!$B111</f>
        <v>8.3031485093340764E-3</v>
      </c>
      <c r="G111" s="219">
        <f>DataUK1!HE114/TableUK8!$B111</f>
        <v>2.8252995263304541E-2</v>
      </c>
      <c r="H111" s="219">
        <f>DataUK1!HF114/TableUK8!$B111</f>
        <v>1.9949846753970466E-2</v>
      </c>
      <c r="I111" s="204">
        <f>DataUK1!HG114/TableUK8!$B111</f>
        <v>-1.5045973808860407E-3</v>
      </c>
      <c r="J111" s="203">
        <f>DataUK1!HJ114/DataUK1!B114</f>
        <v>0</v>
      </c>
      <c r="K111" s="296">
        <f>DataUK1!E114</f>
        <v>19579</v>
      </c>
      <c r="L111" s="170">
        <f>DataUK1!F114</f>
        <v>1756</v>
      </c>
      <c r="M111" s="290">
        <f t="shared" si="11"/>
        <v>8.968793094642219E-2</v>
      </c>
      <c r="R111" s="1433">
        <f t="shared" si="8"/>
        <v>0</v>
      </c>
      <c r="S111" s="1244">
        <f t="shared" si="5"/>
        <v>2.1684043449710089E-19</v>
      </c>
    </row>
    <row r="112" spans="1:19">
      <c r="A112" s="198">
        <f t="shared" si="12"/>
        <v>1956</v>
      </c>
      <c r="B112" s="255">
        <f>DataUK1!B115</f>
        <v>19235.000000000004</v>
      </c>
      <c r="C112" s="170">
        <f>DataUK1!D115</f>
        <v>19062.000000000004</v>
      </c>
      <c r="D112" s="170">
        <f>DataUK1!C115</f>
        <v>173</v>
      </c>
      <c r="E112" s="210">
        <f t="shared" si="10"/>
        <v>8.9940213153106296E-3</v>
      </c>
      <c r="F112" s="203">
        <f>DataUK1!HD115/TableUK8!$B112</f>
        <v>1.0553678190798022E-2</v>
      </c>
      <c r="G112" s="219">
        <f>DataUK1!HE115/TableUK8!$B112</f>
        <v>2.9113595009097992E-2</v>
      </c>
      <c r="H112" s="219">
        <f>DataUK1!HF115/TableUK8!$B112</f>
        <v>1.8559916818299972E-2</v>
      </c>
      <c r="I112" s="204">
        <f>DataUK1!HG115/TableUK8!$B112</f>
        <v>-1.5596568754873924E-3</v>
      </c>
      <c r="J112" s="203">
        <f>DataUK1!HJ115/DataUK1!B115</f>
        <v>0</v>
      </c>
      <c r="K112" s="296">
        <f>DataUK1!E115</f>
        <v>20986.000000000004</v>
      </c>
      <c r="L112" s="170">
        <f>DataUK1!F115</f>
        <v>1924</v>
      </c>
      <c r="M112" s="290">
        <f t="shared" si="11"/>
        <v>9.1680167730868178E-2</v>
      </c>
      <c r="R112" s="1433">
        <f t="shared" si="8"/>
        <v>0</v>
      </c>
      <c r="S112" s="1244">
        <f t="shared" si="5"/>
        <v>2.1684043449710089E-19</v>
      </c>
    </row>
    <row r="113" spans="1:19">
      <c r="A113" s="198">
        <f t="shared" si="12"/>
        <v>1957</v>
      </c>
      <c r="B113" s="255">
        <f>DataUK1!B116</f>
        <v>20195</v>
      </c>
      <c r="C113" s="170">
        <f>DataUK1!D116</f>
        <v>20004</v>
      </c>
      <c r="D113" s="170">
        <f>DataUK1!C116</f>
        <v>191</v>
      </c>
      <c r="E113" s="210">
        <f t="shared" si="10"/>
        <v>9.4577865808368414E-3</v>
      </c>
      <c r="F113" s="203">
        <f>DataUK1!HD116/TableUK8!$B113</f>
        <v>1.1042337212181234E-2</v>
      </c>
      <c r="G113" s="219">
        <f>DataUK1!HE116/TableUK8!$B113</f>
        <v>2.8323842535281009E-2</v>
      </c>
      <c r="H113" s="219">
        <f>DataUK1!HF116/TableUK8!$B113</f>
        <v>1.7281505323099779E-2</v>
      </c>
      <c r="I113" s="204">
        <f>DataUK1!HG116/TableUK8!$B113</f>
        <v>-1.5845506313443922E-3</v>
      </c>
      <c r="J113" s="203">
        <f>DataUK1!HJ116/DataUK1!B116</f>
        <v>0</v>
      </c>
      <c r="K113" s="296">
        <f>DataUK1!E116</f>
        <v>22060</v>
      </c>
      <c r="L113" s="170">
        <f>DataUK1!F116</f>
        <v>2056</v>
      </c>
      <c r="M113" s="290">
        <f t="shared" si="11"/>
        <v>9.320036264732548E-2</v>
      </c>
      <c r="R113" s="1433">
        <f t="shared" si="8"/>
        <v>0</v>
      </c>
      <c r="S113" s="1244">
        <f t="shared" si="5"/>
        <v>0</v>
      </c>
    </row>
    <row r="114" spans="1:19">
      <c r="A114" s="198">
        <f t="shared" si="12"/>
        <v>1958</v>
      </c>
      <c r="B114" s="255">
        <f>DataUK1!B117</f>
        <v>21062</v>
      </c>
      <c r="C114" s="170">
        <f>DataUK1!D117</f>
        <v>20835</v>
      </c>
      <c r="D114" s="170">
        <f>DataUK1!C117</f>
        <v>227</v>
      </c>
      <c r="E114" s="210">
        <f t="shared" si="10"/>
        <v>1.077770392175482E-2</v>
      </c>
      <c r="F114" s="203">
        <f>DataUK1!HD117/TableUK8!$B114</f>
        <v>1.2391985566422941E-2</v>
      </c>
      <c r="G114" s="219">
        <f>DataUK1!HE117/TableUK8!$B114</f>
        <v>3.1715886430538409E-2</v>
      </c>
      <c r="H114" s="219">
        <f>DataUK1!HF117/TableUK8!$B114</f>
        <v>1.9323900864115468E-2</v>
      </c>
      <c r="I114" s="204">
        <f>DataUK1!HG117/TableUK8!$B114</f>
        <v>-1.6142816446681227E-3</v>
      </c>
      <c r="J114" s="203">
        <f>DataUK1!HJ117/DataUK1!B117</f>
        <v>0</v>
      </c>
      <c r="K114" s="296">
        <f>DataUK1!E117</f>
        <v>23011</v>
      </c>
      <c r="L114" s="170">
        <f>DataUK1!F117</f>
        <v>2176</v>
      </c>
      <c r="M114" s="290">
        <f t="shared" si="11"/>
        <v>9.4563469644952408E-2</v>
      </c>
      <c r="R114" s="1433">
        <f t="shared" si="8"/>
        <v>0</v>
      </c>
      <c r="S114" s="1244">
        <f t="shared" si="5"/>
        <v>1.3010426069826053E-18</v>
      </c>
    </row>
    <row r="115" spans="1:19">
      <c r="A115" s="198">
        <f t="shared" si="12"/>
        <v>1959</v>
      </c>
      <c r="B115" s="255">
        <f>DataUK1!B118</f>
        <v>22290</v>
      </c>
      <c r="C115" s="170">
        <f>DataUK1!D118</f>
        <v>22094</v>
      </c>
      <c r="D115" s="170">
        <f>DataUK1!C118</f>
        <v>196</v>
      </c>
      <c r="E115" s="210">
        <f t="shared" si="10"/>
        <v>8.793180798564379E-3</v>
      </c>
      <c r="F115" s="203">
        <f>DataUK1!HD118/TableUK8!$B115</f>
        <v>1.0453117990130103E-2</v>
      </c>
      <c r="G115" s="219">
        <f>DataUK1!HE118/TableUK8!$B115</f>
        <v>2.8981606101390757E-2</v>
      </c>
      <c r="H115" s="219">
        <f>DataUK1!HF118/TableUK8!$B115</f>
        <v>1.8528488111260656E-2</v>
      </c>
      <c r="I115" s="204">
        <f>DataUK1!HG118/TableUK8!$B115</f>
        <v>-1.6599371915657244E-3</v>
      </c>
      <c r="J115" s="203">
        <f>DataUK1!HJ118/DataUK1!B118</f>
        <v>0</v>
      </c>
      <c r="K115" s="296">
        <f>DataUK1!E118</f>
        <v>24340</v>
      </c>
      <c r="L115" s="170">
        <f>DataUK1!F118</f>
        <v>2246</v>
      </c>
      <c r="M115" s="290">
        <f t="shared" si="11"/>
        <v>9.2276088742810194E-2</v>
      </c>
      <c r="R115" s="1433">
        <f t="shared" si="8"/>
        <v>0</v>
      </c>
      <c r="S115" s="1244">
        <f t="shared" si="5"/>
        <v>8.6736173798840355E-19</v>
      </c>
    </row>
    <row r="116" spans="1:19">
      <c r="A116" s="199">
        <f t="shared" si="12"/>
        <v>1960</v>
      </c>
      <c r="B116" s="258">
        <f>DataUK1!B119</f>
        <v>24104</v>
      </c>
      <c r="C116" s="259">
        <f>DataUK1!D119</f>
        <v>23938</v>
      </c>
      <c r="D116" s="259">
        <f>DataUK1!C119</f>
        <v>166</v>
      </c>
      <c r="E116" s="211">
        <f t="shared" si="10"/>
        <v>6.8868237636906735E-3</v>
      </c>
      <c r="F116" s="212">
        <f>DataUK1!HD119/TableUK8!$B116</f>
        <v>8.3388649186856949E-3</v>
      </c>
      <c r="G116" s="220">
        <f>DataUK1!HE119/TableUK8!$B116</f>
        <v>2.7298373713906407E-2</v>
      </c>
      <c r="H116" s="220">
        <f>DataUK1!HF119/TableUK8!$B116</f>
        <v>1.8959508795220709E-2</v>
      </c>
      <c r="I116" s="213">
        <f>DataUK1!HG119/TableUK8!$B116</f>
        <v>-1.4520411549950216E-3</v>
      </c>
      <c r="J116" s="212">
        <f>DataUK1!HJ119/DataUK1!B119</f>
        <v>0</v>
      </c>
      <c r="K116" s="298">
        <f>DataUK1!E119</f>
        <v>26299</v>
      </c>
      <c r="L116" s="259">
        <f>DataUK1!F119</f>
        <v>2361</v>
      </c>
      <c r="M116" s="292">
        <f t="shared" si="11"/>
        <v>8.9775276626487696E-2</v>
      </c>
      <c r="R116" s="1433">
        <f t="shared" si="8"/>
        <v>0</v>
      </c>
      <c r="S116" s="1244">
        <f t="shared" si="5"/>
        <v>2.1684043449710089E-19</v>
      </c>
    </row>
    <row r="117" spans="1:19">
      <c r="A117" s="198">
        <f t="shared" si="12"/>
        <v>1961</v>
      </c>
      <c r="B117" s="255">
        <f>DataUK1!B120</f>
        <v>25447.999999999996</v>
      </c>
      <c r="C117" s="170">
        <f>DataUK1!D120</f>
        <v>25259.999999999996</v>
      </c>
      <c r="D117" s="170">
        <f>DataUK1!C120</f>
        <v>188</v>
      </c>
      <c r="E117" s="210">
        <f t="shared" si="10"/>
        <v>7.387613957874883E-3</v>
      </c>
      <c r="F117" s="203">
        <f>DataUK1!HD120/TableUK8!$B117</f>
        <v>8.7629676202452076E-3</v>
      </c>
      <c r="G117" s="219">
        <f>DataUK1!HE120/TableUK8!$B117</f>
        <v>2.6053127947186422E-2</v>
      </c>
      <c r="H117" s="219">
        <f>DataUK1!HF120/TableUK8!$B117</f>
        <v>1.7290160326941216E-2</v>
      </c>
      <c r="I117" s="204">
        <f>DataUK1!HG120/TableUK8!$B117</f>
        <v>-1.3753536623703239E-3</v>
      </c>
      <c r="J117" s="203">
        <f>DataUK1!HJ120/DataUK1!B120</f>
        <v>0</v>
      </c>
      <c r="K117" s="296">
        <f>DataUK1!E120</f>
        <v>27802.999999999996</v>
      </c>
      <c r="L117" s="170">
        <f>DataUK1!F120</f>
        <v>2543</v>
      </c>
      <c r="M117" s="290">
        <f t="shared" si="11"/>
        <v>9.1464949825558403E-2</v>
      </c>
      <c r="R117" s="1433">
        <f t="shared" si="8"/>
        <v>0</v>
      </c>
      <c r="S117" s="1244">
        <f t="shared" si="5"/>
        <v>-6.5052130349130266E-19</v>
      </c>
    </row>
    <row r="118" spans="1:19">
      <c r="A118" s="198">
        <f t="shared" si="12"/>
        <v>1962</v>
      </c>
      <c r="B118" s="255">
        <f>DataUK1!B121</f>
        <v>26854</v>
      </c>
      <c r="C118" s="170">
        <f>DataUK1!D121</f>
        <v>26590</v>
      </c>
      <c r="D118" s="170">
        <f>DataUK1!C121</f>
        <v>264</v>
      </c>
      <c r="E118" s="210">
        <f t="shared" si="10"/>
        <v>9.8309376629180014E-3</v>
      </c>
      <c r="F118" s="203">
        <f>DataUK1!HD121/TableUK8!$B118</f>
        <v>1.1208758471736054E-2</v>
      </c>
      <c r="G118" s="219">
        <f>DataUK1!HE121/TableUK8!$B118</f>
        <v>2.7519177776122738E-2</v>
      </c>
      <c r="H118" s="219">
        <f>DataUK1!HF121/TableUK8!$B118</f>
        <v>1.6310419304386682E-2</v>
      </c>
      <c r="I118" s="204">
        <f>DataUK1!HG121/TableUK8!$B118</f>
        <v>-1.3778208088180532E-3</v>
      </c>
      <c r="J118" s="203">
        <f>DataUK1!HJ121/DataUK1!B121</f>
        <v>0</v>
      </c>
      <c r="K118" s="296">
        <f>DataUK1!E121</f>
        <v>29268</v>
      </c>
      <c r="L118" s="170">
        <f>DataUK1!F121</f>
        <v>2678</v>
      </c>
      <c r="M118" s="290">
        <f t="shared" si="11"/>
        <v>9.1499248325816587E-2</v>
      </c>
      <c r="R118" s="1433">
        <f t="shared" si="8"/>
        <v>0</v>
      </c>
      <c r="S118" s="1244">
        <f t="shared" si="5"/>
        <v>6.5052130349130266E-19</v>
      </c>
    </row>
    <row r="119" spans="1:19">
      <c r="A119" s="198">
        <f t="shared" si="12"/>
        <v>1963</v>
      </c>
      <c r="B119" s="255">
        <f>DataUK1!B122</f>
        <v>28002</v>
      </c>
      <c r="C119" s="170">
        <f>DataUK1!D122</f>
        <v>27676</v>
      </c>
      <c r="D119" s="170">
        <f>DataUK1!C122</f>
        <v>326</v>
      </c>
      <c r="E119" s="210">
        <f t="shared" si="10"/>
        <v>1.1642025569602171E-2</v>
      </c>
      <c r="F119" s="203">
        <f>DataUK1!HD122/TableUK8!$B119</f>
        <v>1.2999071494893221E-2</v>
      </c>
      <c r="G119" s="219">
        <f>DataUK1!HE122/TableUK8!$B119</f>
        <v>2.9497893007642311E-2</v>
      </c>
      <c r="H119" s="219">
        <f>DataUK1!HF122/TableUK8!$B119</f>
        <v>1.649882151274909E-2</v>
      </c>
      <c r="I119" s="204">
        <f>DataUK1!HG122/TableUK8!$B119</f>
        <v>-1.3570459252910507E-3</v>
      </c>
      <c r="J119" s="203">
        <f>DataUK1!HJ122/DataUK1!B122</f>
        <v>0</v>
      </c>
      <c r="K119" s="296">
        <f>DataUK1!E122</f>
        <v>30511</v>
      </c>
      <c r="L119" s="170">
        <f>DataUK1!F122</f>
        <v>2835</v>
      </c>
      <c r="M119" s="290">
        <f t="shared" si="11"/>
        <v>9.291730851168431E-2</v>
      </c>
      <c r="R119" s="1433">
        <f t="shared" si="8"/>
        <v>0</v>
      </c>
      <c r="S119" s="1244">
        <f t="shared" si="5"/>
        <v>8.6736173798840355E-19</v>
      </c>
    </row>
    <row r="120" spans="1:19">
      <c r="A120" s="198">
        <f t="shared" si="12"/>
        <v>1964</v>
      </c>
      <c r="B120" s="255">
        <f>DataUK1!B123</f>
        <v>30527</v>
      </c>
      <c r="C120" s="170">
        <f>DataUK1!D123</f>
        <v>30195</v>
      </c>
      <c r="D120" s="170">
        <f>DataUK1!C123</f>
        <v>332</v>
      </c>
      <c r="E120" s="210">
        <f t="shared" si="10"/>
        <v>1.0875618305106954E-2</v>
      </c>
      <c r="F120" s="203">
        <f>DataUK1!HD123/TableUK8!$B120</f>
        <v>1.1956628558325418E-2</v>
      </c>
      <c r="G120" s="219">
        <f>DataUK1!HE123/TableUK8!$B120</f>
        <v>2.892521374520916E-2</v>
      </c>
      <c r="H120" s="219">
        <f>DataUK1!HF123/TableUK8!$B120</f>
        <v>1.6968585186883742E-2</v>
      </c>
      <c r="I120" s="204">
        <f>DataUK1!HG123/TableUK8!$B120</f>
        <v>-1.0810102532184623E-3</v>
      </c>
      <c r="J120" s="203">
        <f>DataUK1!HJ123/DataUK1!B123</f>
        <v>0</v>
      </c>
      <c r="K120" s="296">
        <f>DataUK1!E123</f>
        <v>33256</v>
      </c>
      <c r="L120" s="170">
        <f>DataUK1!F123</f>
        <v>3061</v>
      </c>
      <c r="M120" s="290">
        <f t="shared" si="11"/>
        <v>9.2043541015155161E-2</v>
      </c>
      <c r="R120" s="1433">
        <f t="shared" si="8"/>
        <v>0</v>
      </c>
      <c r="S120" s="1244">
        <f t="shared" si="5"/>
        <v>-1.5178830414797062E-18</v>
      </c>
    </row>
    <row r="121" spans="1:19">
      <c r="A121" s="198">
        <f t="shared" si="12"/>
        <v>1965</v>
      </c>
      <c r="B121" s="255">
        <f>DataUK1!B124</f>
        <v>33006</v>
      </c>
      <c r="C121" s="170">
        <f>DataUK1!D124</f>
        <v>32635</v>
      </c>
      <c r="D121" s="170">
        <f>DataUK1!C124</f>
        <v>371</v>
      </c>
      <c r="E121" s="210">
        <f t="shared" si="10"/>
        <v>1.1240380536872084E-2</v>
      </c>
      <c r="F121" s="203">
        <f>DataUK1!HD124/TableUK8!$B121</f>
        <v>1.2270496273404836E-2</v>
      </c>
      <c r="G121" s="219">
        <f>DataUK1!HE124/TableUK8!$B121</f>
        <v>2.9903653881112525E-2</v>
      </c>
      <c r="H121" s="219">
        <f>DataUK1!HF124/TableUK8!$B121</f>
        <v>1.763315760770769E-2</v>
      </c>
      <c r="I121" s="204">
        <f>DataUK1!HG124/TableUK8!$B121</f>
        <v>-1.0301157365327515E-3</v>
      </c>
      <c r="J121" s="203">
        <f>DataUK1!HJ124/DataUK1!B124</f>
        <v>0</v>
      </c>
      <c r="K121" s="296">
        <f>DataUK1!E124</f>
        <v>35948</v>
      </c>
      <c r="L121" s="170">
        <f>DataUK1!F124</f>
        <v>3313</v>
      </c>
      <c r="M121" s="290">
        <f t="shared" si="11"/>
        <v>9.2160899076443759E-2</v>
      </c>
      <c r="R121" s="1433">
        <f t="shared" si="8"/>
        <v>0</v>
      </c>
      <c r="S121" s="1244">
        <f t="shared" si="5"/>
        <v>2.1684043449710089E-19</v>
      </c>
    </row>
    <row r="122" spans="1:19">
      <c r="A122" s="198">
        <f t="shared" si="12"/>
        <v>1966</v>
      </c>
      <c r="B122" s="255">
        <f>DataUK1!B125</f>
        <v>34913</v>
      </c>
      <c r="C122" s="170">
        <f>DataUK1!D125</f>
        <v>34594</v>
      </c>
      <c r="D122" s="170">
        <f>DataUK1!C125</f>
        <v>319</v>
      </c>
      <c r="E122" s="210">
        <f t="shared" si="10"/>
        <v>9.1369976799472973E-3</v>
      </c>
      <c r="F122" s="203">
        <f>DataUK1!HD125/TableUK8!$B122</f>
        <v>1.0254060092229256E-2</v>
      </c>
      <c r="G122" s="219">
        <f>DataUK1!HE125/TableUK8!$B122</f>
        <v>2.7496920917709736E-2</v>
      </c>
      <c r="H122" s="219">
        <f>DataUK1!HF125/TableUK8!$B122</f>
        <v>1.7242860825480481E-2</v>
      </c>
      <c r="I122" s="204">
        <f>DataUK1!HG125/TableUK8!$B122</f>
        <v>-1.117062412281958E-3</v>
      </c>
      <c r="J122" s="203">
        <f>DataUK1!HJ125/DataUK1!B125</f>
        <v>0</v>
      </c>
      <c r="K122" s="296">
        <f>DataUK1!E125</f>
        <v>38176</v>
      </c>
      <c r="L122" s="170">
        <f>DataUK1!F125</f>
        <v>3582</v>
      </c>
      <c r="M122" s="290">
        <f t="shared" si="11"/>
        <v>9.3828583403185242E-2</v>
      </c>
      <c r="R122" s="1433">
        <f t="shared" si="8"/>
        <v>0</v>
      </c>
      <c r="S122" s="1244">
        <f t="shared" si="5"/>
        <v>-8.6736173798840355E-19</v>
      </c>
    </row>
    <row r="123" spans="1:19">
      <c r="A123" s="198">
        <f t="shared" si="12"/>
        <v>1967</v>
      </c>
      <c r="B123" s="255">
        <f>DataUK1!B126</f>
        <v>36659</v>
      </c>
      <c r="C123" s="170">
        <f>DataUK1!D126</f>
        <v>36344</v>
      </c>
      <c r="D123" s="170">
        <f>DataUK1!C126</f>
        <v>315</v>
      </c>
      <c r="E123" s="210">
        <f t="shared" si="10"/>
        <v>8.5927057475653993E-3</v>
      </c>
      <c r="F123" s="203">
        <f>DataUK1!HD126/TableUK8!$B123</f>
        <v>9.6565645544068306E-3</v>
      </c>
      <c r="G123" s="219">
        <f>DataUK1!HE126/TableUK8!$B123</f>
        <v>2.6787419187648327E-2</v>
      </c>
      <c r="H123" s="219">
        <f>DataUK1!HF126/TableUK8!$B123</f>
        <v>1.7130854633241495E-2</v>
      </c>
      <c r="I123" s="204">
        <f>DataUK1!HG126/TableUK8!$B123</f>
        <v>-1.0638588068414305E-3</v>
      </c>
      <c r="J123" s="203">
        <f>DataUK1!HJ126/DataUK1!B126</f>
        <v>0</v>
      </c>
      <c r="K123" s="296">
        <f>DataUK1!E126</f>
        <v>40125</v>
      </c>
      <c r="L123" s="170">
        <f>DataUK1!F126</f>
        <v>3781</v>
      </c>
      <c r="M123" s="290">
        <f t="shared" si="11"/>
        <v>9.4230529595015572E-2</v>
      </c>
      <c r="R123" s="1433">
        <f t="shared" si="8"/>
        <v>0</v>
      </c>
      <c r="S123" s="1244">
        <f t="shared" si="5"/>
        <v>-8.6736173798840355E-19</v>
      </c>
    </row>
    <row r="124" spans="1:19">
      <c r="A124" s="198">
        <f t="shared" si="12"/>
        <v>1968</v>
      </c>
      <c r="B124" s="255">
        <f>DataUK1!B127</f>
        <v>39596</v>
      </c>
      <c r="C124" s="170">
        <f>DataUK1!D127</f>
        <v>39341</v>
      </c>
      <c r="D124" s="170">
        <f>DataUK1!C127</f>
        <v>255</v>
      </c>
      <c r="E124" s="210">
        <f t="shared" si="10"/>
        <v>6.4400444489342359E-3</v>
      </c>
      <c r="F124" s="203">
        <f>DataUK1!HD127/TableUK8!$B124</f>
        <v>7.6522881099100916E-3</v>
      </c>
      <c r="G124" s="219">
        <f>DataUK1!HE127/TableUK8!$B124</f>
        <v>2.8108899888877666E-2</v>
      </c>
      <c r="H124" s="219">
        <f>DataUK1!HF127/TableUK8!$B124</f>
        <v>2.0456611778967574E-2</v>
      </c>
      <c r="I124" s="204">
        <f>DataUK1!HG127/TableUK8!$B124</f>
        <v>-1.2122436609758561E-3</v>
      </c>
      <c r="J124" s="203">
        <f>DataUK1!HJ127/DataUK1!B127</f>
        <v>0</v>
      </c>
      <c r="K124" s="296">
        <f>DataUK1!E127</f>
        <v>43455</v>
      </c>
      <c r="L124" s="170">
        <f>DataUK1!F127</f>
        <v>4114</v>
      </c>
      <c r="M124" s="290">
        <f t="shared" si="11"/>
        <v>9.4672649867679204E-2</v>
      </c>
      <c r="R124" s="1433">
        <f t="shared" si="8"/>
        <v>0</v>
      </c>
      <c r="S124" s="1244">
        <f t="shared" si="5"/>
        <v>4.3368086899420177E-19</v>
      </c>
    </row>
    <row r="125" spans="1:19">
      <c r="A125" s="214">
        <f t="shared" si="12"/>
        <v>1969</v>
      </c>
      <c r="B125" s="256">
        <f>DataUK1!B128</f>
        <v>43217</v>
      </c>
      <c r="C125" s="257">
        <f>DataUK1!D128</f>
        <v>42796</v>
      </c>
      <c r="D125" s="257">
        <f>DataUK1!C128</f>
        <v>421</v>
      </c>
      <c r="E125" s="215">
        <f t="shared" si="10"/>
        <v>9.7415368952032764E-3</v>
      </c>
      <c r="F125" s="216">
        <f>DataUK1!HD128/TableUK8!$B125</f>
        <v>1.0829071893005067E-2</v>
      </c>
      <c r="G125" s="218">
        <f>DataUK1!HE128/TableUK8!$B125</f>
        <v>3.1214568341162041E-2</v>
      </c>
      <c r="H125" s="218">
        <f>DataUK1!HF128/TableUK8!$B125</f>
        <v>2.0385496448156976E-2</v>
      </c>
      <c r="I125" s="217">
        <f>DataUK1!HG128/TableUK8!$B125</f>
        <v>-1.0875349978017909E-3</v>
      </c>
      <c r="J125" s="216">
        <f>DataUK1!HJ128/DataUK1!B128</f>
        <v>0</v>
      </c>
      <c r="K125" s="297">
        <f>DataUK1!E128</f>
        <v>47274</v>
      </c>
      <c r="L125" s="257">
        <f>DataUK1!F128</f>
        <v>4478</v>
      </c>
      <c r="M125" s="291">
        <f t="shared" si="11"/>
        <v>9.4724372805347554E-2</v>
      </c>
      <c r="R125" s="1433">
        <f t="shared" si="8"/>
        <v>0</v>
      </c>
      <c r="S125" s="1244">
        <f t="shared" si="5"/>
        <v>6.5052130349130266E-19</v>
      </c>
    </row>
    <row r="126" spans="1:19">
      <c r="A126" s="198">
        <f t="shared" si="12"/>
        <v>1970</v>
      </c>
      <c r="B126" s="255">
        <f>DataUK1!B129</f>
        <v>47384</v>
      </c>
      <c r="C126" s="170">
        <f>DataUK1!D129</f>
        <v>46913</v>
      </c>
      <c r="D126" s="170">
        <f>DataUK1!C129</f>
        <v>471</v>
      </c>
      <c r="E126" s="210">
        <f t="shared" si="10"/>
        <v>9.9400641566773588E-3</v>
      </c>
      <c r="F126" s="203">
        <f>DataUK1!HD129/TableUK8!$B126</f>
        <v>1.1121897686982948E-2</v>
      </c>
      <c r="G126" s="219">
        <f>DataUK1!HE129/TableUK8!$B126</f>
        <v>3.0917609319601552E-2</v>
      </c>
      <c r="H126" s="219">
        <f>DataUK1!HF129/TableUK8!$B126</f>
        <v>1.9795711632618604E-2</v>
      </c>
      <c r="I126" s="204">
        <f>DataUK1!HG129/TableUK8!$B126</f>
        <v>-1.1818335303055885E-3</v>
      </c>
      <c r="J126" s="203">
        <f>DataUK1!HJ129/DataUK1!B129</f>
        <v>0</v>
      </c>
      <c r="K126" s="296">
        <f>DataUK1!E129</f>
        <v>52003</v>
      </c>
      <c r="L126" s="170">
        <f>DataUK1!F129</f>
        <v>5090</v>
      </c>
      <c r="M126" s="290">
        <f t="shared" si="11"/>
        <v>9.7878968521046869E-2</v>
      </c>
      <c r="R126" s="1433">
        <f t="shared" si="8"/>
        <v>0</v>
      </c>
      <c r="S126" s="1244">
        <f t="shared" si="5"/>
        <v>-1.0842021724855044E-18</v>
      </c>
    </row>
    <row r="127" spans="1:19">
      <c r="A127" s="198">
        <v>1971</v>
      </c>
      <c r="B127" s="255">
        <f>DataUK1!B130</f>
        <v>51948</v>
      </c>
      <c r="C127" s="170">
        <f>DataUK1!D130</f>
        <v>51557</v>
      </c>
      <c r="D127" s="170">
        <f>DataUK1!C130</f>
        <v>391</v>
      </c>
      <c r="E127" s="210">
        <f t="shared" si="10"/>
        <v>7.5267575267575267E-3</v>
      </c>
      <c r="F127" s="203">
        <f>DataUK1!HD130/TableUK8!$B127</f>
        <v>8.739508739508739E-3</v>
      </c>
      <c r="G127" s="219">
        <f>DataUK1!HE130/TableUK8!$B127</f>
        <v>2.8952028952028953E-2</v>
      </c>
      <c r="H127" s="219">
        <f>DataUK1!HF130/TableUK8!$B127</f>
        <v>2.0212520212520211E-2</v>
      </c>
      <c r="I127" s="204">
        <f>DataUK1!HG130/TableUK8!$B127</f>
        <v>-1.2127512127512127E-3</v>
      </c>
      <c r="J127" s="203">
        <f>DataUK1!HJ130/DataUK1!B130</f>
        <v>0</v>
      </c>
      <c r="K127" s="296">
        <f>DataUK1!E130</f>
        <v>57484</v>
      </c>
      <c r="L127" s="170">
        <f>DataUK1!F130</f>
        <v>5927</v>
      </c>
      <c r="M127" s="290">
        <f t="shared" si="11"/>
        <v>0.1031069514995477</v>
      </c>
      <c r="R127" s="1433">
        <f t="shared" si="8"/>
        <v>0</v>
      </c>
      <c r="S127" s="1244">
        <f t="shared" si="5"/>
        <v>4.3368086899420177E-19</v>
      </c>
    </row>
    <row r="128" spans="1:19">
      <c r="A128" s="198">
        <v>1972</v>
      </c>
      <c r="B128" s="255">
        <f>DataUK1!B131</f>
        <v>58063</v>
      </c>
      <c r="C128" s="170">
        <f>DataUK1!D131</f>
        <v>57765</v>
      </c>
      <c r="D128" s="170">
        <f>DataUK1!C131</f>
        <v>298</v>
      </c>
      <c r="E128" s="210">
        <f t="shared" si="10"/>
        <v>5.1323562337461034E-3</v>
      </c>
      <c r="F128" s="203">
        <f>DataUK1!HD131/TableUK8!$B128</f>
        <v>6.0279351738628728E-3</v>
      </c>
      <c r="G128" s="219">
        <f>DataUK1!HE131/TableUK8!$B128</f>
        <v>5.7230938807846653E-2</v>
      </c>
      <c r="H128" s="219">
        <f>DataUK1!HF131/TableUK8!$B128</f>
        <v>5.1203003633983779E-2</v>
      </c>
      <c r="I128" s="204">
        <f>DataUK1!HG131/TableUK8!$B128</f>
        <v>-8.9557894011676976E-4</v>
      </c>
      <c r="J128" s="203">
        <f>DataUK1!HJ131/DataUK1!B131</f>
        <v>0</v>
      </c>
      <c r="K128" s="296">
        <f>DataUK1!E131</f>
        <v>64654</v>
      </c>
      <c r="L128" s="170">
        <f>DataUK1!F131</f>
        <v>6889</v>
      </c>
      <c r="M128" s="290">
        <f t="shared" si="11"/>
        <v>0.10655179880595168</v>
      </c>
      <c r="R128" s="1433">
        <f t="shared" si="8"/>
        <v>0</v>
      </c>
      <c r="S128" s="1244">
        <f t="shared" si="5"/>
        <v>4.3368086899420177E-19</v>
      </c>
    </row>
    <row r="129" spans="1:19">
      <c r="A129" s="198">
        <v>1973</v>
      </c>
      <c r="B129" s="255">
        <f>DataUK1!B132</f>
        <v>67056</v>
      </c>
      <c r="C129" s="170">
        <f>DataUK1!D132</f>
        <v>66308</v>
      </c>
      <c r="D129" s="170">
        <f>DataUK1!C132</f>
        <v>748</v>
      </c>
      <c r="E129" s="210">
        <f t="shared" si="10"/>
        <v>1.1154855643044619E-2</v>
      </c>
      <c r="F129" s="203">
        <f>DataUK1!HD132/TableUK8!$B129</f>
        <v>1.4465521355285135E-2</v>
      </c>
      <c r="G129" s="219">
        <f>DataUK1!HE132/TableUK8!$B129</f>
        <v>7.1388093533762825E-2</v>
      </c>
      <c r="H129" s="219">
        <f>DataUK1!HF132/TableUK8!$B129</f>
        <v>5.6922572178477689E-2</v>
      </c>
      <c r="I129" s="204">
        <f>DataUK1!HG132/TableUK8!$B129</f>
        <v>-1.0140777857313291E-3</v>
      </c>
      <c r="J129" s="203">
        <f>DataUK1!HJ132/DataUK1!B132</f>
        <v>-2.2965879265091863E-3</v>
      </c>
      <c r="K129" s="296">
        <f>DataUK1!E132</f>
        <v>74609</v>
      </c>
      <c r="L129" s="170">
        <f>DataUK1!F132</f>
        <v>8301</v>
      </c>
      <c r="M129" s="290">
        <f t="shared" si="11"/>
        <v>0.11126003565253521</v>
      </c>
      <c r="R129" s="1433">
        <f t="shared" si="8"/>
        <v>0</v>
      </c>
      <c r="S129" s="1244">
        <f t="shared" si="5"/>
        <v>0</v>
      </c>
    </row>
    <row r="130" spans="1:19">
      <c r="A130" s="198">
        <v>1974</v>
      </c>
      <c r="B130" s="255">
        <f>DataUK1!B133</f>
        <v>74314</v>
      </c>
      <c r="C130" s="170">
        <f>DataUK1!D133</f>
        <v>73503</v>
      </c>
      <c r="D130" s="170">
        <f>DataUK1!C133</f>
        <v>811</v>
      </c>
      <c r="E130" s="210">
        <f t="shared" si="10"/>
        <v>1.0913152299701268E-2</v>
      </c>
      <c r="F130" s="203">
        <f>DataUK1!HD133/TableUK8!$B130</f>
        <v>1.3590978819603305E-2</v>
      </c>
      <c r="G130" s="219">
        <f>DataUK1!HE133/TableUK8!$B130</f>
        <v>8.0805770110611727E-2</v>
      </c>
      <c r="H130" s="219">
        <f>DataUK1!HF133/TableUK8!$B130</f>
        <v>6.7214791291008422E-2</v>
      </c>
      <c r="I130" s="204">
        <f>DataUK1!HG133/TableUK8!$B130</f>
        <v>-1.2379901499044595E-3</v>
      </c>
      <c r="J130" s="203">
        <f>DataUK1!HJ133/DataUK1!B133</f>
        <v>-1.4398363699975778E-3</v>
      </c>
      <c r="K130" s="296">
        <f>DataUK1!E133</f>
        <v>83740</v>
      </c>
      <c r="L130" s="170">
        <f>DataUK1!F133</f>
        <v>10237</v>
      </c>
      <c r="M130" s="290">
        <f t="shared" si="11"/>
        <v>0.12224743252925722</v>
      </c>
      <c r="R130" s="1433">
        <f t="shared" si="8"/>
        <v>0</v>
      </c>
      <c r="S130" s="1244">
        <f t="shared" si="5"/>
        <v>0</v>
      </c>
    </row>
    <row r="131" spans="1:19">
      <c r="A131" s="198">
        <v>1975</v>
      </c>
      <c r="B131" s="255">
        <f>DataUK1!B134</f>
        <v>93095</v>
      </c>
      <c r="C131" s="170">
        <f>DataUK1!D134</f>
        <v>92977</v>
      </c>
      <c r="D131" s="170">
        <f>DataUK1!C134</f>
        <v>118</v>
      </c>
      <c r="E131" s="210">
        <f t="shared" si="10"/>
        <v>1.267522423331006E-3</v>
      </c>
      <c r="F131" s="203">
        <f>DataUK1!HD134/TableUK8!$B131</f>
        <v>2.7606208711531233E-3</v>
      </c>
      <c r="G131" s="219">
        <f>DataUK1!HE134/TableUK8!$B131</f>
        <v>6.7758741070949036E-2</v>
      </c>
      <c r="H131" s="219">
        <f>DataUK1!HF134/TableUK8!$B131</f>
        <v>6.4998120199795908E-2</v>
      </c>
      <c r="I131" s="204">
        <f>DataUK1!HG134/TableUK8!$B131</f>
        <v>-1.095654976099683E-3</v>
      </c>
      <c r="J131" s="203">
        <f>DataUK1!HJ134/DataUK1!B134</f>
        <v>-3.9744347172243405E-4</v>
      </c>
      <c r="K131" s="296">
        <f>DataUK1!E134</f>
        <v>106210</v>
      </c>
      <c r="L131" s="170">
        <f>DataUK1!F134</f>
        <v>13233</v>
      </c>
      <c r="M131" s="290">
        <f t="shared" si="11"/>
        <v>0.12459278787308163</v>
      </c>
      <c r="R131" s="1433">
        <f t="shared" si="8"/>
        <v>0</v>
      </c>
      <c r="S131" s="1244">
        <f t="shared" si="5"/>
        <v>0</v>
      </c>
    </row>
    <row r="132" spans="1:19">
      <c r="A132" s="198">
        <v>1976</v>
      </c>
      <c r="B132" s="255">
        <f>DataUK1!B135</f>
        <v>109462</v>
      </c>
      <c r="C132" s="170">
        <f>DataUK1!D135</f>
        <v>109133</v>
      </c>
      <c r="D132" s="170">
        <f>DataUK1!C135</f>
        <v>329</v>
      </c>
      <c r="E132" s="210">
        <f t="shared" si="10"/>
        <v>3.0056092525259908E-3</v>
      </c>
      <c r="F132" s="203">
        <f>DataUK1!HD135/TableUK8!$B132</f>
        <v>6.9430487292393706E-3</v>
      </c>
      <c r="G132" s="219">
        <f>DataUK1!HE135/TableUK8!$B132</f>
        <v>7.3632858891670164E-2</v>
      </c>
      <c r="H132" s="219">
        <f>DataUK1!HF135/TableUK8!$B132</f>
        <v>6.6689810162430793E-2</v>
      </c>
      <c r="I132" s="204">
        <f>DataUK1!HG135/TableUK8!$B132</f>
        <v>-1.2789826606493578E-3</v>
      </c>
      <c r="J132" s="203">
        <f>DataUK1!HJ135/DataUK1!B135</f>
        <v>-2.6584568160640224E-3</v>
      </c>
      <c r="K132" s="296">
        <f>DataUK1!E135</f>
        <v>125208</v>
      </c>
      <c r="L132" s="170">
        <f>DataUK1!F135</f>
        <v>16075</v>
      </c>
      <c r="M132" s="290">
        <f t="shared" si="11"/>
        <v>0.12838636508849274</v>
      </c>
      <c r="R132" s="1433">
        <f t="shared" si="8"/>
        <v>0</v>
      </c>
      <c r="S132" s="1244">
        <f t="shared" si="5"/>
        <v>0</v>
      </c>
    </row>
    <row r="133" spans="1:19">
      <c r="A133" s="198">
        <v>1977</v>
      </c>
      <c r="B133" s="255">
        <f>DataUK1!B136</f>
        <v>126637</v>
      </c>
      <c r="C133" s="170">
        <f>DataUK1!D136</f>
        <v>128070</v>
      </c>
      <c r="D133" s="170">
        <f>DataUK1!C136</f>
        <v>-1433</v>
      </c>
      <c r="E133" s="210">
        <f t="shared" si="10"/>
        <v>-1.1315808176125462E-2</v>
      </c>
      <c r="F133" s="203">
        <f>DataUK1!HD136/TableUK8!$B133</f>
        <v>-5.353885515291739E-3</v>
      </c>
      <c r="G133" s="219">
        <f>DataUK1!HE136/TableUK8!$B133</f>
        <v>6.6718257697197497E-2</v>
      </c>
      <c r="H133" s="219">
        <f>DataUK1!HF136/TableUK8!$B133</f>
        <v>7.207214321248924E-2</v>
      </c>
      <c r="I133" s="204">
        <f>DataUK1!HG136/TableUK8!$B133</f>
        <v>-1.2002811184724843E-3</v>
      </c>
      <c r="J133" s="203">
        <f>DataUK1!HJ136/DataUK1!B136</f>
        <v>-4.7616415423612371E-3</v>
      </c>
      <c r="K133" s="296">
        <f>DataUK1!E136</f>
        <v>147005</v>
      </c>
      <c r="L133" s="170">
        <f>DataUK1!F136</f>
        <v>18935</v>
      </c>
      <c r="M133" s="290">
        <f t="shared" si="11"/>
        <v>0.12880514268222168</v>
      </c>
      <c r="R133" s="1433">
        <f t="shared" si="8"/>
        <v>0</v>
      </c>
      <c r="S133" s="1244">
        <f t="shared" si="5"/>
        <v>0</v>
      </c>
    </row>
    <row r="134" spans="1:19">
      <c r="A134" s="198">
        <v>1978</v>
      </c>
      <c r="B134" s="255">
        <f>DataUK1!B137</f>
        <v>144741</v>
      </c>
      <c r="C134" s="170">
        <f>DataUK1!D137</f>
        <v>145838</v>
      </c>
      <c r="D134" s="170">
        <f>DataUK1!C137</f>
        <v>-1097</v>
      </c>
      <c r="E134" s="210">
        <f t="shared" si="10"/>
        <v>-7.5790550016926785E-3</v>
      </c>
      <c r="F134" s="203">
        <f>DataUK1!HD137/TableUK8!$B134</f>
        <v>-2.0726677306361018E-3</v>
      </c>
      <c r="G134" s="219">
        <f>DataUK1!HE137/TableUK8!$B134</f>
        <v>7.4249867003820622E-2</v>
      </c>
      <c r="H134" s="219">
        <f>DataUK1!HF137/TableUK8!$B134</f>
        <v>7.6322534734456715E-2</v>
      </c>
      <c r="I134" s="204">
        <f>DataUK1!HG137/TableUK8!$B134</f>
        <v>-9.6724494096351416E-4</v>
      </c>
      <c r="J134" s="203">
        <f>DataUK1!HJ137/DataUK1!B137</f>
        <v>-4.5391423300930626E-3</v>
      </c>
      <c r="K134" s="296">
        <f>DataUK1!E137</f>
        <v>167962</v>
      </c>
      <c r="L134" s="170">
        <f>DataUK1!F137</f>
        <v>22124</v>
      </c>
      <c r="M134" s="290">
        <f t="shared" si="11"/>
        <v>0.13172027006108525</v>
      </c>
      <c r="R134" s="1433">
        <f t="shared" si="8"/>
        <v>0</v>
      </c>
      <c r="S134" s="1244">
        <f t="shared" si="5"/>
        <v>0</v>
      </c>
    </row>
    <row r="135" spans="1:19" ht="12.75" customHeight="1">
      <c r="A135" s="198">
        <v>1979</v>
      </c>
      <c r="B135" s="255">
        <f>DataUK1!B138</f>
        <v>168817</v>
      </c>
      <c r="C135" s="170">
        <f>DataUK1!D138</f>
        <v>170907</v>
      </c>
      <c r="D135" s="170">
        <f>DataUK1!C138</f>
        <v>-2090</v>
      </c>
      <c r="E135" s="210">
        <f t="shared" si="10"/>
        <v>-1.238026975956213E-2</v>
      </c>
      <c r="F135" s="203">
        <f>DataUK1!HD138/TableUK8!$B135</f>
        <v>-2.025862324291985E-3</v>
      </c>
      <c r="G135" s="219">
        <f>DataUK1!HE138/TableUK8!$B135</f>
        <v>0.10017356071959578</v>
      </c>
      <c r="H135" s="219">
        <f>DataUK1!HF138/TableUK8!$B135</f>
        <v>0.10219942304388777</v>
      </c>
      <c r="I135" s="204">
        <f>DataUK1!HG138/TableUK8!$B135</f>
        <v>-7.7006462619285971E-4</v>
      </c>
      <c r="J135" s="203">
        <f>DataUK1!HJ138/DataUK1!B138</f>
        <v>-9.5843428090772852E-3</v>
      </c>
      <c r="K135" s="296">
        <f>DataUK1!E138</f>
        <v>197253</v>
      </c>
      <c r="L135" s="170">
        <f>DataUK1!F138</f>
        <v>26346</v>
      </c>
      <c r="M135" s="290">
        <f t="shared" si="11"/>
        <v>0.13356450852458518</v>
      </c>
      <c r="R135" s="1433">
        <f t="shared" si="8"/>
        <v>0</v>
      </c>
      <c r="S135" s="1244">
        <f t="shared" si="5"/>
        <v>0</v>
      </c>
    </row>
    <row r="136" spans="1:19">
      <c r="A136" s="199">
        <v>1980</v>
      </c>
      <c r="B136" s="258">
        <f>DataUK1!B139</f>
        <v>197198.00000000003</v>
      </c>
      <c r="C136" s="259">
        <f>DataUK1!D139</f>
        <v>200902.00000000003</v>
      </c>
      <c r="D136" s="259">
        <f>DataUK1!C139</f>
        <v>-3704</v>
      </c>
      <c r="E136" s="211">
        <f t="shared" si="10"/>
        <v>-1.8783151958944814E-2</v>
      </c>
      <c r="F136" s="212">
        <f>DataUK1!HD139/TableUK8!$B136</f>
        <v>-1.1501130843111997E-2</v>
      </c>
      <c r="G136" s="220">
        <f>DataUK1!HE139/TableUK8!$B136</f>
        <v>0.11615229363380966</v>
      </c>
      <c r="H136" s="220">
        <f>DataUK1!HF139/TableUK8!$B136</f>
        <v>0.12765342447692166</v>
      </c>
      <c r="I136" s="213">
        <f>DataUK1!HG139/TableUK8!$B136</f>
        <v>-4.158257183135731E-4</v>
      </c>
      <c r="J136" s="212">
        <f>DataUK1!HJ139/DataUK1!B139</f>
        <v>-6.8661953975192435E-3</v>
      </c>
      <c r="K136" s="298">
        <f>DataUK1!E139</f>
        <v>232701</v>
      </c>
      <c r="L136" s="259">
        <f>DataUK1!F139</f>
        <v>31799</v>
      </c>
      <c r="M136" s="292">
        <f t="shared" si="11"/>
        <v>0.13665175482700978</v>
      </c>
      <c r="R136" s="1433">
        <f t="shared" si="8"/>
        <v>0</v>
      </c>
      <c r="S136" s="1244">
        <f t="shared" si="5"/>
        <v>0</v>
      </c>
    </row>
    <row r="137" spans="1:19">
      <c r="A137" s="198">
        <v>1981</v>
      </c>
      <c r="B137" s="255">
        <f>DataUK1!B140</f>
        <v>215914.99999999997</v>
      </c>
      <c r="C137" s="170">
        <f>DataUK1!D140</f>
        <v>219390.99999999997</v>
      </c>
      <c r="D137" s="170">
        <f>DataUK1!C140</f>
        <v>-3476</v>
      </c>
      <c r="E137" s="210">
        <f t="shared" si="10"/>
        <v>-1.6098927818817593E-2</v>
      </c>
      <c r="F137" s="203">
        <f>DataUK1!HD140/TableUK8!$B137</f>
        <v>-8.7210244772248351E-3</v>
      </c>
      <c r="G137" s="219">
        <f>DataUK1!HE140/TableUK8!$B137</f>
        <v>0.16833476136442585</v>
      </c>
      <c r="H137" s="219">
        <f>DataUK1!HF140/TableUK8!$B137</f>
        <v>0.17705578584165069</v>
      </c>
      <c r="I137" s="204">
        <f>DataUK1!HG140/TableUK8!$B137</f>
        <v>-3.0567584466109355E-4</v>
      </c>
      <c r="J137" s="203">
        <f>DataUK1!HJ140/DataUK1!B140</f>
        <v>-7.0722274969316637E-3</v>
      </c>
      <c r="K137" s="296">
        <f>DataUK1!E140</f>
        <v>255330.99999999997</v>
      </c>
      <c r="L137" s="170">
        <f>DataUK1!F140</f>
        <v>35940</v>
      </c>
      <c r="M137" s="290">
        <f t="shared" si="11"/>
        <v>0.14075846646118179</v>
      </c>
      <c r="R137" s="1433">
        <f t="shared" si="8"/>
        <v>0</v>
      </c>
      <c r="S137" s="1244">
        <f t="shared" si="5"/>
        <v>0</v>
      </c>
    </row>
    <row r="138" spans="1:19">
      <c r="A138" s="198">
        <v>1982</v>
      </c>
      <c r="B138" s="255">
        <f>DataUK1!B141</f>
        <v>238444</v>
      </c>
      <c r="C138" s="170">
        <f>DataUK1!D141</f>
        <v>242966</v>
      </c>
      <c r="D138" s="170">
        <f>DataUK1!C141</f>
        <v>-4522</v>
      </c>
      <c r="E138" s="210">
        <f t="shared" si="10"/>
        <v>-1.896462062371039E-2</v>
      </c>
      <c r="F138" s="203">
        <f>DataUK1!HD141/TableUK8!$B138</f>
        <v>-9.7968495747429163E-3</v>
      </c>
      <c r="G138" s="219">
        <f>DataUK1!HE141/TableUK8!$B138</f>
        <v>0.18011356964318667</v>
      </c>
      <c r="H138" s="219">
        <f>DataUK1!HF141/TableUK8!$B138</f>
        <v>0.18991041921792959</v>
      </c>
      <c r="I138" s="204">
        <f>DataUK1!HG141/TableUK8!$B138</f>
        <v>-3.9841639965778128E-4</v>
      </c>
      <c r="J138" s="203">
        <f>DataUK1!HJ141/DataUK1!B141</f>
        <v>-8.7693546493096911E-3</v>
      </c>
      <c r="K138" s="296">
        <f>DataUK1!E141</f>
        <v>281647</v>
      </c>
      <c r="L138" s="170">
        <f>DataUK1!F141</f>
        <v>38681</v>
      </c>
      <c r="M138" s="290">
        <f t="shared" si="11"/>
        <v>0.13733858340404834</v>
      </c>
      <c r="N138" s="154"/>
      <c r="O138" s="154"/>
      <c r="P138" s="154"/>
      <c r="R138" s="1433">
        <f t="shared" si="8"/>
        <v>0</v>
      </c>
      <c r="S138" s="1244">
        <f t="shared" ref="S138:S165" si="13">E138-F138-I138-J138</f>
        <v>0</v>
      </c>
    </row>
    <row r="139" spans="1:19">
      <c r="A139" s="198">
        <v>1983</v>
      </c>
      <c r="B139" s="255">
        <f>DataUK1!B142</f>
        <v>263571</v>
      </c>
      <c r="C139" s="170">
        <f>DataUK1!D142</f>
        <v>266637</v>
      </c>
      <c r="D139" s="170">
        <f>DataUK1!C142</f>
        <v>-3066</v>
      </c>
      <c r="E139" s="210">
        <f t="shared" si="10"/>
        <v>-1.1632539239901204E-2</v>
      </c>
      <c r="F139" s="203">
        <f>DataUK1!HD142/TableUK8!$B139</f>
        <v>-3.9837463150346588E-3</v>
      </c>
      <c r="G139" s="219">
        <f>DataUK1!HE142/TableUK8!$B139</f>
        <v>0.15513846363977826</v>
      </c>
      <c r="H139" s="219">
        <f>DataUK1!HF142/TableUK8!$B139</f>
        <v>0.15912220995481294</v>
      </c>
      <c r="I139" s="204">
        <f>DataUK1!HG142/TableUK8!$B139</f>
        <v>-3.376699257505568E-4</v>
      </c>
      <c r="J139" s="203">
        <f>DataUK1!HJ142/DataUK1!B142</f>
        <v>-7.3111229991159876E-3</v>
      </c>
      <c r="K139" s="296">
        <f>DataUK1!E142</f>
        <v>308156</v>
      </c>
      <c r="L139" s="170">
        <f>DataUK1!F142</f>
        <v>41519</v>
      </c>
      <c r="M139" s="290">
        <f t="shared" si="11"/>
        <v>0.13473370630459897</v>
      </c>
      <c r="N139" s="154"/>
      <c r="O139" s="154"/>
      <c r="P139" s="154"/>
      <c r="R139" s="1433">
        <f t="shared" ref="R139:R166" si="14">B139-C139-D139</f>
        <v>0</v>
      </c>
      <c r="S139" s="1244">
        <f t="shared" si="13"/>
        <v>0</v>
      </c>
    </row>
    <row r="140" spans="1:19">
      <c r="A140" s="198">
        <v>1984</v>
      </c>
      <c r="B140" s="255">
        <f>DataUK1!B143</f>
        <v>284327</v>
      </c>
      <c r="C140" s="170">
        <f>DataUK1!D143</f>
        <v>286663</v>
      </c>
      <c r="D140" s="170">
        <f>DataUK1!C143</f>
        <v>-2336</v>
      </c>
      <c r="E140" s="210">
        <f t="shared" si="10"/>
        <v>-8.2158922648921835E-3</v>
      </c>
      <c r="F140" s="203">
        <f>DataUK1!HD143/TableUK8!$B140</f>
        <v>-1.146567156829988E-3</v>
      </c>
      <c r="G140" s="219">
        <f>DataUK1!HE143/TableUK8!$B140</f>
        <v>0.17496052080878707</v>
      </c>
      <c r="H140" s="219">
        <f>DataUK1!HF143/TableUK8!$B140</f>
        <v>0.17610708796561705</v>
      </c>
      <c r="I140" s="204">
        <f>DataUK1!HG143/TableUK8!$B140</f>
        <v>-3.3060525380987382E-4</v>
      </c>
      <c r="J140" s="203">
        <f>DataUK1!HJ143/DataUK1!B143</f>
        <v>-6.7387198542523223E-3</v>
      </c>
      <c r="K140" s="296">
        <f>DataUK1!E143</f>
        <v>330918</v>
      </c>
      <c r="L140" s="170">
        <f>DataUK1!F143</f>
        <v>44255</v>
      </c>
      <c r="M140" s="290">
        <f t="shared" si="11"/>
        <v>0.13373403683087653</v>
      </c>
      <c r="N140" s="154"/>
      <c r="O140" s="154"/>
      <c r="P140" s="154"/>
      <c r="R140" s="1433">
        <f t="shared" si="14"/>
        <v>0</v>
      </c>
      <c r="S140" s="1244">
        <f t="shared" si="13"/>
        <v>0</v>
      </c>
    </row>
    <row r="141" spans="1:19">
      <c r="A141" s="198">
        <v>1985</v>
      </c>
      <c r="B141" s="255">
        <f>DataUK1!B144</f>
        <v>310561</v>
      </c>
      <c r="C141" s="170">
        <f>DataUK1!D144</f>
        <v>315780</v>
      </c>
      <c r="D141" s="170">
        <f>DataUK1!C144</f>
        <v>-5219</v>
      </c>
      <c r="E141" s="210">
        <f t="shared" si="10"/>
        <v>-1.6805072111437044E-2</v>
      </c>
      <c r="F141" s="203">
        <f>DataUK1!HD144/TableUK8!$B141</f>
        <v>-8.4009260660546561E-3</v>
      </c>
      <c r="G141" s="219">
        <f>DataUK1!HE144/TableUK8!$B141</f>
        <v>0.16129520448478721</v>
      </c>
      <c r="H141" s="219">
        <f>DataUK1!HF144/TableUK8!$B141</f>
        <v>0.16969613055084187</v>
      </c>
      <c r="I141" s="204">
        <f>DataUK1!HG144/TableUK8!$B141</f>
        <v>-3.863975193279259E-4</v>
      </c>
      <c r="J141" s="203">
        <f>DataUK1!HJ144/DataUK1!B144</f>
        <v>-8.017748526054462E-3</v>
      </c>
      <c r="K141" s="296">
        <f>DataUK1!E144</f>
        <v>363526</v>
      </c>
      <c r="L141" s="170">
        <f>DataUK1!F144</f>
        <v>47746</v>
      </c>
      <c r="M141" s="290">
        <f t="shared" si="11"/>
        <v>0.13134136210339839</v>
      </c>
      <c r="N141" s="154"/>
      <c r="O141" s="154"/>
      <c r="P141" s="154"/>
      <c r="R141" s="1433">
        <f t="shared" si="14"/>
        <v>0</v>
      </c>
      <c r="S141" s="1244">
        <f t="shared" si="13"/>
        <v>0</v>
      </c>
    </row>
    <row r="142" spans="1:19">
      <c r="A142" s="198">
        <v>1986</v>
      </c>
      <c r="B142" s="255">
        <f>DataUK1!B145</f>
        <v>336109.40399999998</v>
      </c>
      <c r="C142" s="170">
        <f>DataUK1!D145</f>
        <v>339322.40399999998</v>
      </c>
      <c r="D142" s="170">
        <f>DataUK1!C145</f>
        <v>-3213</v>
      </c>
      <c r="E142" s="210">
        <f t="shared" si="10"/>
        <v>-9.5593873951827901E-3</v>
      </c>
      <c r="F142" s="203">
        <f>DataUK1!HD145/TableUK8!$B142</f>
        <v>2.1124074231496364E-4</v>
      </c>
      <c r="G142" s="219">
        <f>DataUK1!HE145/TableUK8!$B142</f>
        <v>0.13546184503662387</v>
      </c>
      <c r="H142" s="219">
        <f>DataUK1!HF145/TableUK8!$B142</f>
        <v>0.13525060429430888</v>
      </c>
      <c r="I142" s="204">
        <f>DataUK1!HG145/TableUK8!$B142</f>
        <v>-4.641345887483708E-4</v>
      </c>
      <c r="J142" s="203">
        <f>DataUK1!HJ145/DataUK1!B145</f>
        <v>-9.3064935487493835E-3</v>
      </c>
      <c r="K142" s="296">
        <f>DataUK1!E145</f>
        <v>390579.40399999998</v>
      </c>
      <c r="L142" s="170">
        <f>DataUK1!F145</f>
        <v>51257</v>
      </c>
      <c r="M142" s="290">
        <f t="shared" si="11"/>
        <v>0.13123323829947778</v>
      </c>
      <c r="N142" s="154"/>
      <c r="O142" s="154"/>
      <c r="P142" s="154"/>
      <c r="R142" s="1433">
        <f t="shared" si="14"/>
        <v>0</v>
      </c>
      <c r="S142" s="1244">
        <f t="shared" si="13"/>
        <v>0</v>
      </c>
    </row>
    <row r="143" spans="1:19">
      <c r="A143" s="198">
        <v>1987</v>
      </c>
      <c r="B143" s="255">
        <f>DataUK1!B146</f>
        <v>367609</v>
      </c>
      <c r="C143" s="170">
        <f>DataUK1!D146</f>
        <v>372416</v>
      </c>
      <c r="D143" s="170">
        <f>DataUK1!C146</f>
        <v>-4807</v>
      </c>
      <c r="E143" s="210">
        <f t="shared" si="10"/>
        <v>-1.307639366827254E-2</v>
      </c>
      <c r="F143" s="203">
        <f>DataUK1!HD146/TableUK8!$B143</f>
        <v>-1.9858055705926679E-3</v>
      </c>
      <c r="G143" s="219">
        <f>DataUK1!HE146/TableUK8!$B143</f>
        <v>0.12585926895152186</v>
      </c>
      <c r="H143" s="219">
        <f>DataUK1!HF146/TableUK8!$B143</f>
        <v>0.12784507452211452</v>
      </c>
      <c r="I143" s="204">
        <f>DataUK1!HG146/TableUK8!$B143</f>
        <v>-4.7332899901797833E-4</v>
      </c>
      <c r="J143" s="203">
        <f>DataUK1!HJ146/DataUK1!B146</f>
        <v>-1.0617259098661893E-2</v>
      </c>
      <c r="K143" s="296">
        <f>DataUK1!E146</f>
        <v>428665</v>
      </c>
      <c r="L143" s="170">
        <f>DataUK1!F146</f>
        <v>56249</v>
      </c>
      <c r="M143" s="290">
        <f t="shared" si="11"/>
        <v>0.13121901718124876</v>
      </c>
      <c r="N143" s="154"/>
      <c r="O143" s="154"/>
      <c r="P143" s="154"/>
      <c r="R143" s="1433">
        <f t="shared" si="14"/>
        <v>0</v>
      </c>
      <c r="S143" s="1244">
        <f t="shared" si="13"/>
        <v>0</v>
      </c>
    </row>
    <row r="144" spans="1:19">
      <c r="A144" s="198">
        <v>1988</v>
      </c>
      <c r="B144" s="255">
        <f>DataUK1!B147</f>
        <v>412472</v>
      </c>
      <c r="C144" s="170">
        <f>DataUK1!D147</f>
        <v>416884</v>
      </c>
      <c r="D144" s="170">
        <f>DataUK1!C147</f>
        <v>-4412</v>
      </c>
      <c r="E144" s="210">
        <f t="shared" si="10"/>
        <v>-1.0696483640101631E-2</v>
      </c>
      <c r="F144" s="203">
        <f>DataUK1!HD147/TableUK8!$B144</f>
        <v>-2.8801955041796775E-3</v>
      </c>
      <c r="G144" s="219">
        <f>DataUK1!HE147/TableUK8!$B144</f>
        <v>0.13222715723733974</v>
      </c>
      <c r="H144" s="219">
        <f>DataUK1!HF147/TableUK8!$B144</f>
        <v>0.13510735274151942</v>
      </c>
      <c r="I144" s="204">
        <f>DataUK1!HG147/TableUK8!$B144</f>
        <v>-1.5516204736321497E-4</v>
      </c>
      <c r="J144" s="203">
        <f>DataUK1!HJ147/DataUK1!B147</f>
        <v>-7.6611260885587383E-3</v>
      </c>
      <c r="K144" s="296">
        <f>DataUK1!E147</f>
        <v>478510</v>
      </c>
      <c r="L144" s="170">
        <f>DataUK1!F147</f>
        <v>61626</v>
      </c>
      <c r="M144" s="290">
        <f t="shared" si="11"/>
        <v>0.12878727717289085</v>
      </c>
      <c r="N144" s="154"/>
      <c r="O144" s="154"/>
      <c r="P144" s="154"/>
      <c r="R144" s="1433">
        <f t="shared" si="14"/>
        <v>0</v>
      </c>
      <c r="S144" s="1244">
        <f t="shared" si="13"/>
        <v>0</v>
      </c>
    </row>
    <row r="145" spans="1:19">
      <c r="A145" s="214">
        <v>1989</v>
      </c>
      <c r="B145" s="256">
        <f>DataUK1!B148</f>
        <v>451490</v>
      </c>
      <c r="C145" s="257">
        <f>DataUK1!D148</f>
        <v>458118</v>
      </c>
      <c r="D145" s="257">
        <f>DataUK1!C148</f>
        <v>-6628</v>
      </c>
      <c r="E145" s="215">
        <f t="shared" si="10"/>
        <v>-1.4680280847859311E-2</v>
      </c>
      <c r="F145" s="216">
        <f>DataUK1!HD148/TableUK8!$B145</f>
        <v>-5.1141775011628162E-3</v>
      </c>
      <c r="G145" s="218">
        <f>DataUK1!HE148/TableUK8!$B145</f>
        <v>0.15844426233139161</v>
      </c>
      <c r="H145" s="218">
        <f>DataUK1!HF148/TableUK8!$B145</f>
        <v>0.16355843983255444</v>
      </c>
      <c r="I145" s="217">
        <f>DataUK1!HG148/TableUK8!$B145</f>
        <v>-3.0565461029037188E-4</v>
      </c>
      <c r="J145" s="216">
        <f>DataUK1!HJ148/DataUK1!B148</f>
        <v>-9.2604487364061211E-3</v>
      </c>
      <c r="K145" s="297">
        <f>DataUK1!E148</f>
        <v>525274</v>
      </c>
      <c r="L145" s="257">
        <f>DataUK1!F148</f>
        <v>67156</v>
      </c>
      <c r="M145" s="291">
        <f t="shared" si="11"/>
        <v>0.12784946523147919</v>
      </c>
      <c r="N145" s="154"/>
      <c r="O145" s="154"/>
      <c r="P145" s="154"/>
      <c r="R145" s="1433">
        <f t="shared" si="14"/>
        <v>0</v>
      </c>
      <c r="S145" s="1244">
        <f t="shared" si="13"/>
        <v>0</v>
      </c>
    </row>
    <row r="146" spans="1:19">
      <c r="A146" s="198">
        <v>1990</v>
      </c>
      <c r="B146" s="255">
        <f>DataUK1!B149</f>
        <v>485815</v>
      </c>
      <c r="C146" s="170">
        <f>DataUK1!D149</f>
        <v>495658</v>
      </c>
      <c r="D146" s="170">
        <f>DataUK1!C149</f>
        <v>-9843</v>
      </c>
      <c r="E146" s="210">
        <f t="shared" si="10"/>
        <v>-2.0260798863765014E-2</v>
      </c>
      <c r="F146" s="203">
        <f>DataUK1!HD149/TableUK8!$B146</f>
        <v>-9.4398073340674956E-3</v>
      </c>
      <c r="G146" s="219">
        <f>DataUK1!HE149/TableUK8!$B146</f>
        <v>0.15716476436503607</v>
      </c>
      <c r="H146" s="219">
        <f>DataUK1!HF149/TableUK8!$B146</f>
        <v>0.16660457169910356</v>
      </c>
      <c r="I146" s="204">
        <f>DataUK1!HG149/TableUK8!$B146</f>
        <v>-2.2642363862787276E-4</v>
      </c>
      <c r="J146" s="203">
        <f>DataUK1!HJ149/DataUK1!B149</f>
        <v>-1.0594567891069646E-2</v>
      </c>
      <c r="K146" s="296">
        <f>DataUK1!E149</f>
        <v>570283</v>
      </c>
      <c r="L146" s="170">
        <f>DataUK1!F149</f>
        <v>74625</v>
      </c>
      <c r="M146" s="290">
        <f t="shared" si="11"/>
        <v>0.13085608373386548</v>
      </c>
      <c r="N146" s="154"/>
      <c r="O146" s="154"/>
      <c r="P146" s="154"/>
      <c r="R146" s="1433">
        <f t="shared" si="14"/>
        <v>0</v>
      </c>
      <c r="S146" s="1244">
        <f t="shared" si="13"/>
        <v>0</v>
      </c>
    </row>
    <row r="147" spans="1:19">
      <c r="A147" s="198">
        <v>1991</v>
      </c>
      <c r="B147" s="255">
        <f>DataUK1!B150</f>
        <v>508980</v>
      </c>
      <c r="C147" s="170">
        <f>DataUK1!D150</f>
        <v>518203</v>
      </c>
      <c r="D147" s="170">
        <f>DataUK1!C150</f>
        <v>-9223</v>
      </c>
      <c r="E147" s="210">
        <f t="shared" si="10"/>
        <v>-1.8120554835160518E-2</v>
      </c>
      <c r="F147" s="203">
        <f>DataUK1!HD150/TableUK8!$B147</f>
        <v>-1.1084914927895005E-2</v>
      </c>
      <c r="G147" s="219">
        <f>DataUK1!HE150/TableUK8!$B147</f>
        <v>0.1447050964674447</v>
      </c>
      <c r="H147" s="219">
        <f>DataUK1!HF150/TableUK8!$B147</f>
        <v>0.15579001139533971</v>
      </c>
      <c r="I147" s="204">
        <f>DataUK1!HG150/TableUK8!$B147</f>
        <v>-1.2377696569609807E-4</v>
      </c>
      <c r="J147" s="203">
        <f>DataUK1!HJ150/DataUK1!B150</f>
        <v>-6.9118629415694131E-3</v>
      </c>
      <c r="K147" s="296">
        <f>DataUK1!E150</f>
        <v>598664</v>
      </c>
      <c r="L147" s="170">
        <f>DataUK1!F150</f>
        <v>80461</v>
      </c>
      <c r="M147" s="290">
        <f t="shared" si="11"/>
        <v>0.1344009327435757</v>
      </c>
      <c r="N147" s="154"/>
      <c r="O147" s="154"/>
      <c r="P147" s="154"/>
      <c r="R147" s="1433">
        <f t="shared" si="14"/>
        <v>0</v>
      </c>
      <c r="S147" s="1244">
        <f t="shared" si="13"/>
        <v>0</v>
      </c>
    </row>
    <row r="148" spans="1:19">
      <c r="A148" s="198">
        <v>1992</v>
      </c>
      <c r="B148" s="255">
        <f>DataUK1!B151</f>
        <v>534653</v>
      </c>
      <c r="C148" s="170">
        <f>DataUK1!D151</f>
        <v>539998</v>
      </c>
      <c r="D148" s="170">
        <f>DataUK1!C151</f>
        <v>-5345</v>
      </c>
      <c r="E148" s="210">
        <f t="shared" si="10"/>
        <v>-9.9971383308426216E-3</v>
      </c>
      <c r="F148" s="203">
        <f>DataUK1!HD151/TableUK8!$B148</f>
        <v>-1.9395757622233487E-3</v>
      </c>
      <c r="G148" s="219">
        <f>DataUK1!HE151/TableUK8!$B148</f>
        <v>0.12188840238435023</v>
      </c>
      <c r="H148" s="219">
        <f>DataUK1!HF151/TableUK8!$B148</f>
        <v>0.12382797814657358</v>
      </c>
      <c r="I148" s="204">
        <f>DataUK1!HG151/TableUK8!$B148</f>
        <v>-9.1648227916050223E-5</v>
      </c>
      <c r="J148" s="203">
        <f>DataUK1!HJ151/DataUK1!B151</f>
        <v>-7.9659143407032219E-3</v>
      </c>
      <c r="K148" s="296">
        <f>DataUK1!E151</f>
        <v>622080</v>
      </c>
      <c r="L148" s="170">
        <f>DataUK1!F151</f>
        <v>82082</v>
      </c>
      <c r="M148" s="290">
        <f t="shared" si="11"/>
        <v>0.13194765946502057</v>
      </c>
      <c r="N148" s="154"/>
      <c r="O148" s="154"/>
      <c r="P148" s="154"/>
      <c r="R148" s="1433">
        <f t="shared" si="14"/>
        <v>0</v>
      </c>
      <c r="S148" s="1244">
        <f t="shared" si="13"/>
        <v>0</v>
      </c>
    </row>
    <row r="149" spans="1:19">
      <c r="A149" s="198">
        <v>1993</v>
      </c>
      <c r="B149" s="255">
        <f>DataUK1!B152</f>
        <v>562908</v>
      </c>
      <c r="C149" s="170">
        <f>DataUK1!D152</f>
        <v>569929</v>
      </c>
      <c r="D149" s="170">
        <f>DataUK1!C152</f>
        <v>-7021</v>
      </c>
      <c r="E149" s="210">
        <f t="shared" si="10"/>
        <v>-1.2472730890305343E-2</v>
      </c>
      <c r="F149" s="203">
        <f>DataUK1!HD152/TableUK8!$B149</f>
        <v>-4.5247180711590522E-3</v>
      </c>
      <c r="G149" s="219">
        <f>DataUK1!HE152/TableUK8!$B149</f>
        <v>0.12603125199855039</v>
      </c>
      <c r="H149" s="219">
        <f>DataUK1!HF152/TableUK8!$B149</f>
        <v>0.13055597006970943</v>
      </c>
      <c r="I149" s="204">
        <f>DataUK1!HG152/TableUK8!$B149</f>
        <v>6.217712308227988E-5</v>
      </c>
      <c r="J149" s="203">
        <f>DataUK1!HJ152/DataUK1!B152</f>
        <v>-8.0101899422285704E-3</v>
      </c>
      <c r="K149" s="296">
        <f>DataUK1!E152</f>
        <v>654196</v>
      </c>
      <c r="L149" s="170">
        <f>DataUK1!F152</f>
        <v>84267</v>
      </c>
      <c r="M149" s="290">
        <f t="shared" si="11"/>
        <v>0.12881002023858293</v>
      </c>
      <c r="N149" s="154"/>
      <c r="O149" s="154"/>
      <c r="P149" s="154"/>
      <c r="R149" s="1433">
        <f t="shared" si="14"/>
        <v>0</v>
      </c>
      <c r="S149" s="1244">
        <f t="shared" si="13"/>
        <v>0</v>
      </c>
    </row>
    <row r="150" spans="1:19">
      <c r="A150" s="198">
        <v>1994</v>
      </c>
      <c r="B150" s="255">
        <f>DataUK1!B153</f>
        <v>604632</v>
      </c>
      <c r="C150" s="170">
        <f>DataUK1!D153</f>
        <v>606341</v>
      </c>
      <c r="D150" s="170">
        <f>DataUK1!C153</f>
        <v>-1709</v>
      </c>
      <c r="E150" s="210">
        <f t="shared" si="10"/>
        <v>-2.8265126556318554E-3</v>
      </c>
      <c r="F150" s="203">
        <f>DataUK1!HD153/TableUK8!$B150</f>
        <v>2.5155797245266544E-3</v>
      </c>
      <c r="G150" s="219">
        <f>DataUK1!HE153/TableUK8!$B150</f>
        <v>0.1200482276822927</v>
      </c>
      <c r="H150" s="219">
        <f>DataUK1!HF153/TableUK8!$B150</f>
        <v>0.11753264795776605</v>
      </c>
      <c r="I150" s="204">
        <f>DataUK1!HG153/TableUK8!$B150</f>
        <v>-2.8116275685044788E-4</v>
      </c>
      <c r="J150" s="203">
        <f>DataUK1!HJ153/DataUK1!B153</f>
        <v>-5.0609296233080619E-3</v>
      </c>
      <c r="K150" s="296">
        <f>DataUK1!E153</f>
        <v>692987</v>
      </c>
      <c r="L150" s="170">
        <f>DataUK1!F153</f>
        <v>86646</v>
      </c>
      <c r="M150" s="290">
        <f t="shared" si="11"/>
        <v>0.1250326485201021</v>
      </c>
      <c r="N150" s="154"/>
      <c r="O150" s="154"/>
      <c r="P150" s="154"/>
      <c r="R150" s="1433">
        <f t="shared" si="14"/>
        <v>0</v>
      </c>
      <c r="S150" s="1244">
        <f t="shared" si="13"/>
        <v>0</v>
      </c>
    </row>
    <row r="151" spans="1:19">
      <c r="A151" s="198">
        <v>1995</v>
      </c>
      <c r="B151" s="255">
        <f>DataUK1!B154</f>
        <v>638369</v>
      </c>
      <c r="C151" s="170">
        <f>DataUK1!D154</f>
        <v>644136</v>
      </c>
      <c r="D151" s="170">
        <f>DataUK1!C154</f>
        <v>-5767</v>
      </c>
      <c r="E151" s="210">
        <f t="shared" si="10"/>
        <v>-9.0339599823926284E-3</v>
      </c>
      <c r="F151" s="203">
        <f>DataUK1!HD154/TableUK8!$B151</f>
        <v>-8.5530469054731668E-4</v>
      </c>
      <c r="G151" s="219">
        <f>DataUK1!HE154/TableUK8!$B151</f>
        <v>0.13391941024705148</v>
      </c>
      <c r="H151" s="219">
        <f>DataUK1!HF154/TableUK8!$B151</f>
        <v>0.13477471493759879</v>
      </c>
      <c r="I151" s="204">
        <f>DataUK1!HG154/TableUK8!$B151</f>
        <v>-4.6368166373993722E-4</v>
      </c>
      <c r="J151" s="203">
        <f>DataUK1!HJ154/DataUK1!B154</f>
        <v>-7.714973628105375E-3</v>
      </c>
      <c r="K151" s="296">
        <f>DataUK1!E154</f>
        <v>733266</v>
      </c>
      <c r="L151" s="170">
        <f>DataUK1!F154</f>
        <v>89130</v>
      </c>
      <c r="M151" s="290">
        <f t="shared" si="11"/>
        <v>0.12155206978095262</v>
      </c>
      <c r="N151" s="154"/>
      <c r="O151" s="154"/>
      <c r="P151" s="154"/>
      <c r="R151" s="1433">
        <f t="shared" si="14"/>
        <v>0</v>
      </c>
      <c r="S151" s="1244">
        <f t="shared" si="13"/>
        <v>0</v>
      </c>
    </row>
    <row r="152" spans="1:19">
      <c r="A152" s="198">
        <v>1996</v>
      </c>
      <c r="B152" s="255">
        <f>DataUK1!B155</f>
        <v>683142</v>
      </c>
      <c r="C152" s="170">
        <f>DataUK1!D155</f>
        <v>688362</v>
      </c>
      <c r="D152" s="170">
        <f>DataUK1!C155</f>
        <v>-5220</v>
      </c>
      <c r="E152" s="210">
        <f t="shared" si="10"/>
        <v>-7.6411639161404216E-3</v>
      </c>
      <c r="F152" s="203">
        <f>DataUK1!HD155/TableUK8!$B152</f>
        <v>-3.6010082823190494E-3</v>
      </c>
      <c r="G152" s="219">
        <f>DataUK1!HE155/TableUK8!$B152</f>
        <v>0.13144265760266532</v>
      </c>
      <c r="H152" s="219">
        <f>DataUK1!HF155/TableUK8!$B152</f>
        <v>0.13504366588498437</v>
      </c>
      <c r="I152" s="204">
        <f>DataUK1!HG155/TableUK8!$B152</f>
        <v>1.3613567896572016E-4</v>
      </c>
      <c r="J152" s="203">
        <f>DataUK1!HJ155/DataUK1!B155</f>
        <v>-4.1762913127870926E-3</v>
      </c>
      <c r="K152" s="296">
        <f>DataUK1!E155</f>
        <v>781726</v>
      </c>
      <c r="L152" s="170">
        <f>DataUK1!F155</f>
        <v>93364</v>
      </c>
      <c r="M152" s="290">
        <f t="shared" si="11"/>
        <v>0.11943315176929001</v>
      </c>
      <c r="N152" s="154"/>
      <c r="O152" s="154"/>
      <c r="P152" s="154"/>
      <c r="R152" s="1433">
        <f t="shared" si="14"/>
        <v>0</v>
      </c>
      <c r="S152" s="1244">
        <f t="shared" si="13"/>
        <v>0</v>
      </c>
    </row>
    <row r="153" spans="1:19">
      <c r="A153" s="198">
        <v>1997</v>
      </c>
      <c r="B153" s="255">
        <f>DataUK1!B156</f>
        <v>732454</v>
      </c>
      <c r="C153" s="170">
        <f>DataUK1!D156</f>
        <v>734838</v>
      </c>
      <c r="D153" s="170">
        <f>DataUK1!C156</f>
        <v>-2384</v>
      </c>
      <c r="E153" s="210">
        <f t="shared" si="10"/>
        <v>-3.254811906276708E-3</v>
      </c>
      <c r="F153" s="203">
        <f>DataUK1!HD156/TableUK8!$B153</f>
        <v>3.3039617504990073E-4</v>
      </c>
      <c r="G153" s="219">
        <f>DataUK1!HE156/TableUK8!$B153</f>
        <v>0.12746192934982947</v>
      </c>
      <c r="H153" s="219">
        <f>DataUK1!HF156/TableUK8!$B153</f>
        <v>0.12713153317477957</v>
      </c>
      <c r="I153" s="204">
        <f>DataUK1!HG156/TableUK8!$B153</f>
        <v>1.1331769640141224E-4</v>
      </c>
      <c r="J153" s="203">
        <f>DataUK1!HJ156/DataUK1!B156</f>
        <v>-3.6985257777280211E-3</v>
      </c>
      <c r="K153" s="296">
        <f>DataUK1!E156</f>
        <v>830015</v>
      </c>
      <c r="L153" s="170">
        <f>DataUK1!F156</f>
        <v>95177</v>
      </c>
      <c r="M153" s="290">
        <f t="shared" si="11"/>
        <v>0.11466901200580712</v>
      </c>
      <c r="N153" s="154"/>
      <c r="O153" s="154"/>
      <c r="P153" s="154"/>
      <c r="R153" s="1433">
        <f t="shared" si="14"/>
        <v>0</v>
      </c>
      <c r="S153" s="1244">
        <f t="shared" si="13"/>
        <v>0</v>
      </c>
    </row>
    <row r="154" spans="1:19">
      <c r="A154" s="198">
        <v>1998</v>
      </c>
      <c r="B154" s="255">
        <f>DataUK1!B157</f>
        <v>788584</v>
      </c>
      <c r="C154" s="170">
        <f>DataUK1!D157</f>
        <v>780193</v>
      </c>
      <c r="D154" s="170">
        <f>DataUK1!C157</f>
        <v>8391</v>
      </c>
      <c r="E154" s="210">
        <f t="shared" si="10"/>
        <v>1.0640591236951295E-2</v>
      </c>
      <c r="F154" s="203">
        <f>DataUK1!HD157/TableUK8!$B154</f>
        <v>1.4974942428454039E-2</v>
      </c>
      <c r="G154" s="219">
        <f>DataUK1!HE157/TableUK8!$B154</f>
        <v>0.13004068051089041</v>
      </c>
      <c r="H154" s="219">
        <f>DataUK1!HF157/TableUK8!$B154</f>
        <v>0.11506573808243636</v>
      </c>
      <c r="I154" s="204">
        <f>DataUK1!HG157/TableUK8!$B154</f>
        <v>-1.2680957260101651E-5</v>
      </c>
      <c r="J154" s="203">
        <f>DataUK1!HJ157/DataUK1!B157</f>
        <v>-4.3216702342426423E-3</v>
      </c>
      <c r="K154" s="296">
        <f>DataUK1!E157</f>
        <v>879150</v>
      </c>
      <c r="L154" s="170">
        <f>DataUK1!F157</f>
        <v>98957</v>
      </c>
      <c r="M154" s="290">
        <f t="shared" si="11"/>
        <v>0.11255985895467213</v>
      </c>
      <c r="N154" s="154"/>
      <c r="O154" s="154"/>
      <c r="P154" s="154"/>
      <c r="R154" s="1433">
        <f t="shared" si="14"/>
        <v>0</v>
      </c>
      <c r="S154" s="1244">
        <f t="shared" si="13"/>
        <v>0</v>
      </c>
    </row>
    <row r="155" spans="1:19">
      <c r="A155" s="200">
        <f t="shared" ref="A155:A166" si="15">A154+1</f>
        <v>1999</v>
      </c>
      <c r="B155" s="255">
        <f>DataUK1!B158</f>
        <v>819229</v>
      </c>
      <c r="C155" s="170">
        <f>DataUK1!D158</f>
        <v>823369</v>
      </c>
      <c r="D155" s="170">
        <f>DataUK1!C158</f>
        <v>-4140</v>
      </c>
      <c r="E155" s="210">
        <f t="shared" si="10"/>
        <v>-5.053532040491731E-3</v>
      </c>
      <c r="F155" s="203">
        <f>DataUK1!HD158/TableUK8!$B155</f>
        <v>-1.5172802720606815E-3</v>
      </c>
      <c r="G155" s="219">
        <f>DataUK1!HE158/TableUK8!$B155</f>
        <v>0.12296073503257331</v>
      </c>
      <c r="H155" s="219">
        <f>DataUK1!HF158/TableUK8!$B155</f>
        <v>0.124478015304634</v>
      </c>
      <c r="I155" s="204">
        <f>DataUK1!HG158/TableUK8!$B155</f>
        <v>2.4535264254561302E-4</v>
      </c>
      <c r="J155" s="203">
        <f>DataUK1!HJ158/DataUK1!B158</f>
        <v>-3.781604410976662E-3</v>
      </c>
      <c r="K155" s="296">
        <f>DataUK1!E158</f>
        <v>928872</v>
      </c>
      <c r="L155" s="170">
        <f>DataUK1!F158</f>
        <v>105503</v>
      </c>
      <c r="M155" s="290">
        <f t="shared" si="11"/>
        <v>0.11358184981353728</v>
      </c>
      <c r="N155" s="154"/>
      <c r="O155" s="154"/>
      <c r="P155" s="154"/>
      <c r="R155" s="1433">
        <f t="shared" si="14"/>
        <v>0</v>
      </c>
      <c r="S155" s="1244">
        <f t="shared" si="13"/>
        <v>0</v>
      </c>
    </row>
    <row r="156" spans="1:19">
      <c r="A156" s="201">
        <f t="shared" si="15"/>
        <v>2000</v>
      </c>
      <c r="B156" s="258">
        <f>DataUK1!B159</f>
        <v>863239</v>
      </c>
      <c r="C156" s="259">
        <f>DataUK1!D159</f>
        <v>865035</v>
      </c>
      <c r="D156" s="259">
        <f>DataUK1!C159</f>
        <v>-1796</v>
      </c>
      <c r="E156" s="211">
        <f t="shared" si="10"/>
        <v>-2.0805362130302267E-3</v>
      </c>
      <c r="F156" s="212">
        <f>DataUK1!HD159/TableUK8!$B156</f>
        <v>2.1002294845344103E-3</v>
      </c>
      <c r="G156" s="220">
        <f>DataUK1!HE159/TableUK8!$B156</f>
        <v>0.15279893517322549</v>
      </c>
      <c r="H156" s="220">
        <f>DataUK1!HF159/TableUK8!$B156</f>
        <v>0.15069870568869109</v>
      </c>
      <c r="I156" s="213">
        <f>DataUK1!HG159/TableUK8!$B156</f>
        <v>1.737641603310323E-4</v>
      </c>
      <c r="J156" s="212">
        <f>DataUK1!HJ159/DataUK1!B159</f>
        <v>-4.3545298578956696E-3</v>
      </c>
      <c r="K156" s="298">
        <f>DataUK1!E159</f>
        <v>976284</v>
      </c>
      <c r="L156" s="259">
        <f>DataUK1!F159</f>
        <v>111249</v>
      </c>
      <c r="M156" s="292">
        <f t="shared" si="11"/>
        <v>0.11395147313691507</v>
      </c>
      <c r="N156" s="154"/>
      <c r="O156" s="154"/>
      <c r="P156" s="154"/>
      <c r="R156" s="1433">
        <f t="shared" si="14"/>
        <v>0</v>
      </c>
      <c r="S156" s="1244">
        <f t="shared" si="13"/>
        <v>0</v>
      </c>
    </row>
    <row r="157" spans="1:19">
      <c r="A157" s="200">
        <f t="shared" si="15"/>
        <v>2001</v>
      </c>
      <c r="B157" s="255">
        <f>DataUK1!B160</f>
        <v>911923</v>
      </c>
      <c r="C157" s="170">
        <f>DataUK1!D160</f>
        <v>905831</v>
      </c>
      <c r="D157" s="170">
        <f>DataUK1!C160</f>
        <v>6092</v>
      </c>
      <c r="E157" s="210">
        <f t="shared" si="10"/>
        <v>6.6803885854397798E-3</v>
      </c>
      <c r="F157" s="203">
        <f>DataUK1!HD160/TableUK8!$B157</f>
        <v>1.0262927900710915E-2</v>
      </c>
      <c r="G157" s="219">
        <f>DataUK1!HE160/TableUK8!$B157</f>
        <v>0.15072215526968835</v>
      </c>
      <c r="H157" s="219">
        <f>DataUK1!HF160/TableUK8!$B157</f>
        <v>0.14045922736897742</v>
      </c>
      <c r="I157" s="204">
        <f>DataUK1!HG160/TableUK8!$B157</f>
        <v>7.2374531621639107E-5</v>
      </c>
      <c r="J157" s="203">
        <f>DataUK1!HJ160/DataUK1!B160</f>
        <v>-3.6549138468927747E-3</v>
      </c>
      <c r="K157" s="296">
        <f>DataUK1!E160</f>
        <v>1021626</v>
      </c>
      <c r="L157" s="170">
        <f>DataUK1!F160</f>
        <v>115795</v>
      </c>
      <c r="M157" s="290">
        <f t="shared" si="11"/>
        <v>0.11334382641005612</v>
      </c>
      <c r="N157" s="154"/>
      <c r="O157" s="154"/>
      <c r="P157" s="154"/>
      <c r="R157" s="1433">
        <f t="shared" si="14"/>
        <v>0</v>
      </c>
      <c r="S157" s="1244">
        <f t="shared" si="13"/>
        <v>0</v>
      </c>
    </row>
    <row r="158" spans="1:19">
      <c r="A158" s="200">
        <f t="shared" si="15"/>
        <v>2002</v>
      </c>
      <c r="B158" s="255">
        <f>DataUK1!B161</f>
        <v>969583</v>
      </c>
      <c r="C158" s="170">
        <f>DataUK1!D161</f>
        <v>953450</v>
      </c>
      <c r="D158" s="170">
        <f>DataUK1!C161</f>
        <v>16133</v>
      </c>
      <c r="E158" s="210">
        <f t="shared" si="10"/>
        <v>1.6639111865616455E-2</v>
      </c>
      <c r="F158" s="203">
        <f>DataUK1!HD161/TableUK8!$B158</f>
        <v>1.9014359781473065E-2</v>
      </c>
      <c r="G158" s="219">
        <f>DataUK1!HE161/TableUK8!$B158</f>
        <v>0.12432458077338403</v>
      </c>
      <c r="H158" s="219">
        <f>DataUK1!HF161/TableUK8!$B158</f>
        <v>0.10531022099191095</v>
      </c>
      <c r="I158" s="204">
        <f>DataUK1!HG161/TableUK8!$B158</f>
        <v>6.9101871629349943E-5</v>
      </c>
      <c r="J158" s="203">
        <f>DataUK1!HJ161/DataUK1!B161</f>
        <v>-2.4443497874859603E-3</v>
      </c>
      <c r="K158" s="296">
        <f>DataUK1!E161</f>
        <v>1075364</v>
      </c>
      <c r="L158" s="170">
        <f>DataUK1!F161</f>
        <v>121914</v>
      </c>
      <c r="M158" s="290">
        <f t="shared" si="11"/>
        <v>0.11336998448897304</v>
      </c>
      <c r="N158" s="154"/>
      <c r="O158" s="154"/>
      <c r="P158" s="154"/>
      <c r="R158" s="1433">
        <f t="shared" si="14"/>
        <v>0</v>
      </c>
      <c r="S158" s="1244">
        <f t="shared" si="13"/>
        <v>0</v>
      </c>
    </row>
    <row r="159" spans="1:19">
      <c r="A159" s="200">
        <f t="shared" si="15"/>
        <v>2003</v>
      </c>
      <c r="B159" s="255">
        <f>DataUK1!B162</f>
        <v>1029608</v>
      </c>
      <c r="C159" s="170">
        <f>DataUK1!D162</f>
        <v>1013838</v>
      </c>
      <c r="D159" s="170">
        <f>DataUK1!C162</f>
        <v>15770</v>
      </c>
      <c r="E159" s="210">
        <f t="shared" si="10"/>
        <v>1.5316508807235375E-2</v>
      </c>
      <c r="F159" s="203">
        <f>DataUK1!HD162/TableUK8!$B159</f>
        <v>1.7201692294543165E-2</v>
      </c>
      <c r="G159" s="219">
        <f>DataUK1!HE162/TableUK8!$B159</f>
        <v>0.11855871360750887</v>
      </c>
      <c r="H159" s="219">
        <f>DataUK1!HF162/TableUK8!$B159</f>
        <v>0.10135702131296571</v>
      </c>
      <c r="I159" s="204">
        <f>DataUK1!HG162/TableUK8!$B159</f>
        <v>5.7303362056238882E-5</v>
      </c>
      <c r="J159" s="203">
        <f>DataUK1!HJ162/DataUK1!B162</f>
        <v>-1.9424868493640298E-3</v>
      </c>
      <c r="K159" s="296">
        <f>DataUK1!E162</f>
        <v>1139440</v>
      </c>
      <c r="L159" s="170">
        <f>DataUK1!F162</f>
        <v>125602</v>
      </c>
      <c r="M159" s="290">
        <f t="shared" si="11"/>
        <v>0.11023134171171804</v>
      </c>
      <c r="N159" s="154"/>
      <c r="O159" s="154"/>
      <c r="P159" s="154"/>
      <c r="R159" s="1433">
        <f t="shared" si="14"/>
        <v>0</v>
      </c>
      <c r="S159" s="1244">
        <f t="shared" si="13"/>
        <v>0</v>
      </c>
    </row>
    <row r="160" spans="1:19">
      <c r="A160" s="200">
        <f t="shared" si="15"/>
        <v>2004</v>
      </c>
      <c r="B160" s="255">
        <f>DataUK1!B163</f>
        <v>1084702</v>
      </c>
      <c r="C160" s="170">
        <f>DataUK1!D163</f>
        <v>1067304</v>
      </c>
      <c r="D160" s="170">
        <f>DataUK1!C163</f>
        <v>17398</v>
      </c>
      <c r="E160" s="210">
        <f t="shared" si="10"/>
        <v>1.6039428340687119E-2</v>
      </c>
      <c r="F160" s="203">
        <f>DataUK1!HD163/TableUK8!$B160</f>
        <v>1.7076579558256554E-2</v>
      </c>
      <c r="G160" s="219">
        <f>DataUK1!HE163/TableUK8!$B160</f>
        <v>0.12665229712861228</v>
      </c>
      <c r="H160" s="219">
        <f>DataUK1!HF163/TableUK8!$B160</f>
        <v>0.10957571757035572</v>
      </c>
      <c r="I160" s="204">
        <f>DataUK1!HG163/TableUK8!$B160</f>
        <v>-4.5542462353715584E-4</v>
      </c>
      <c r="J160" s="203">
        <f>DataUK1!HJ163/DataUK1!B163</f>
        <v>-5.8172659403227798E-4</v>
      </c>
      <c r="K160" s="296">
        <f>DataUK1!E163</f>
        <v>1202368</v>
      </c>
      <c r="L160" s="170">
        <f>DataUK1!F163</f>
        <v>135064</v>
      </c>
      <c r="M160" s="290">
        <f t="shared" si="11"/>
        <v>0.11233166551338691</v>
      </c>
      <c r="N160" s="154"/>
      <c r="O160" s="154"/>
      <c r="P160" s="154"/>
      <c r="R160" s="1433">
        <f t="shared" si="14"/>
        <v>0</v>
      </c>
      <c r="S160" s="1244">
        <f t="shared" si="13"/>
        <v>-9.7578195523695399E-19</v>
      </c>
    </row>
    <row r="161" spans="1:19">
      <c r="A161" s="200">
        <f t="shared" si="15"/>
        <v>2005</v>
      </c>
      <c r="B161" s="255">
        <f>DataUK1!B164</f>
        <v>1137111</v>
      </c>
      <c r="C161" s="170">
        <f>DataUK1!D164</f>
        <v>1116022</v>
      </c>
      <c r="D161" s="170">
        <f>DataUK1!C164</f>
        <v>21089</v>
      </c>
      <c r="E161" s="210">
        <f t="shared" si="10"/>
        <v>1.8546122586097575E-2</v>
      </c>
      <c r="F161" s="203">
        <f>DataUK1!HD164/TableUK8!$B161</f>
        <v>1.97834688082342E-2</v>
      </c>
      <c r="G161" s="219">
        <f>DataUK1!HE164/TableUK8!$B161</f>
        <v>0.16325582990578758</v>
      </c>
      <c r="H161" s="219">
        <f>DataUK1!HF164/TableUK8!$B161</f>
        <v>0.14347236109755337</v>
      </c>
      <c r="I161" s="204">
        <f>DataUK1!HG164/TableUK8!$B161</f>
        <v>-5.3644718941246717E-4</v>
      </c>
      <c r="J161" s="203">
        <f>DataUK1!HJ164/DataUK1!B164</f>
        <v>-7.0089903272415796E-4</v>
      </c>
      <c r="K161" s="296">
        <f>DataUK1!E164</f>
        <v>1254291</v>
      </c>
      <c r="L161" s="170">
        <f>DataUK1!F164</f>
        <v>138269</v>
      </c>
      <c r="M161" s="290">
        <f t="shared" si="11"/>
        <v>0.11023677918441574</v>
      </c>
      <c r="N161" s="154"/>
      <c r="O161" s="154"/>
      <c r="P161" s="154"/>
      <c r="R161" s="1433">
        <f t="shared" si="14"/>
        <v>0</v>
      </c>
      <c r="S161" s="1244">
        <f t="shared" si="13"/>
        <v>0</v>
      </c>
    </row>
    <row r="162" spans="1:19">
      <c r="A162" s="200">
        <f t="shared" si="15"/>
        <v>2006</v>
      </c>
      <c r="B162" s="255">
        <f>DataUK1!B165</f>
        <v>1189520</v>
      </c>
      <c r="C162" s="170">
        <f>DataUK1!D165</f>
        <v>1181274</v>
      </c>
      <c r="D162" s="170">
        <f>DataUK1!C165</f>
        <v>8246</v>
      </c>
      <c r="E162" s="210">
        <f t="shared" si="10"/>
        <v>6.932207949424978E-3</v>
      </c>
      <c r="F162" s="203">
        <f>DataUK1!HD165/TableUK8!$B162</f>
        <v>8.8018696617122878E-3</v>
      </c>
      <c r="G162" s="219">
        <f>DataUK1!HE165/TableUK8!$B162</f>
        <v>0.19966457058309234</v>
      </c>
      <c r="H162" s="219">
        <f>DataUK1!HF165/TableUK8!$B162</f>
        <v>0.19086270092138005</v>
      </c>
      <c r="I162" s="204">
        <f>DataUK1!HG165/TableUK8!$B162</f>
        <v>-8.0536687067052262E-4</v>
      </c>
      <c r="J162" s="203">
        <f>DataUK1!HJ165/DataUK1!B165</f>
        <v>-1.0642948416167866E-3</v>
      </c>
      <c r="K162" s="296">
        <f>DataUK1!E165</f>
        <v>1328595</v>
      </c>
      <c r="L162" s="170">
        <f>DataUK1!F165</f>
        <v>147321</v>
      </c>
      <c r="M162" s="290">
        <f t="shared" si="11"/>
        <v>0.11088480688245854</v>
      </c>
      <c r="N162" s="154"/>
      <c r="O162" s="154"/>
      <c r="P162" s="154"/>
      <c r="R162" s="1433">
        <f t="shared" si="14"/>
        <v>0</v>
      </c>
      <c r="S162" s="1244">
        <f t="shared" si="13"/>
        <v>0</v>
      </c>
    </row>
    <row r="163" spans="1:19">
      <c r="A163" s="200">
        <f t="shared" si="15"/>
        <v>2007</v>
      </c>
      <c r="B163" s="255">
        <f>DataUK1!B166</f>
        <v>1271127</v>
      </c>
      <c r="C163" s="170">
        <f>DataUK1!D166</f>
        <v>1251500</v>
      </c>
      <c r="D163" s="170">
        <f>DataUK1!C166</f>
        <v>19627</v>
      </c>
      <c r="E163" s="210">
        <f t="shared" si="10"/>
        <v>1.5440628670463297E-2</v>
      </c>
      <c r="F163" s="203">
        <f>DataUK1!HD166/TableUK8!$B163</f>
        <v>1.7388506419893528E-2</v>
      </c>
      <c r="G163" s="219">
        <f>DataUK1!HE166/TableUK8!$B163</f>
        <v>0.22941374071984941</v>
      </c>
      <c r="H163" s="219">
        <f>DataUK1!HF166/TableUK8!$B163</f>
        <v>0.21202523429995587</v>
      </c>
      <c r="I163" s="204">
        <f>DataUK1!HG166/TableUK8!$B163</f>
        <v>-5.774403344433719E-4</v>
      </c>
      <c r="J163" s="203">
        <f>DataUK1!HJ166/DataUK1!B166</f>
        <v>-1.3704374149868582E-3</v>
      </c>
      <c r="K163" s="296">
        <f>DataUK1!E166</f>
        <v>1405795</v>
      </c>
      <c r="L163" s="170">
        <f>DataUK1!F166</f>
        <v>154295</v>
      </c>
      <c r="M163" s="290">
        <f t="shared" si="11"/>
        <v>0.10975640118224919</v>
      </c>
      <c r="N163" s="154"/>
      <c r="O163" s="154"/>
      <c r="P163" s="154"/>
      <c r="R163" s="1433">
        <f t="shared" si="14"/>
        <v>0</v>
      </c>
      <c r="S163" s="1244">
        <f t="shared" si="13"/>
        <v>0</v>
      </c>
    </row>
    <row r="164" spans="1:19">
      <c r="A164" s="200">
        <f t="shared" si="15"/>
        <v>2008</v>
      </c>
      <c r="B164" s="255">
        <f>DataUK1!B167</f>
        <v>1313792</v>
      </c>
      <c r="C164" s="170">
        <f>DataUK1!D167</f>
        <v>1282509</v>
      </c>
      <c r="D164" s="170">
        <f>DataUK1!C167</f>
        <v>31283</v>
      </c>
      <c r="E164" s="210">
        <f t="shared" si="10"/>
        <v>2.381122734801247E-2</v>
      </c>
      <c r="F164" s="203">
        <f>DataUK1!HD167/TableUK8!$B164</f>
        <v>2.576587465900234E-2</v>
      </c>
      <c r="G164" s="219">
        <f>DataUK1!HE167/TableUK8!$B164</f>
        <v>0.20006363259937646</v>
      </c>
      <c r="H164" s="219">
        <f>DataUK1!HF167/TableUK8!$B164</f>
        <v>0.17429775794037411</v>
      </c>
      <c r="I164" s="204">
        <f>DataUK1!HG167/TableUK8!$B164</f>
        <v>-5.4422617887763057E-4</v>
      </c>
      <c r="J164" s="203">
        <f>DataUK1!HJ167/DataUK1!B167</f>
        <v>-1.410421132112237E-3</v>
      </c>
      <c r="K164" s="296">
        <f>DataUK1!E167</f>
        <v>1433870</v>
      </c>
      <c r="L164" s="170">
        <f>DataUK1!F167</f>
        <v>151361</v>
      </c>
      <c r="M164" s="290">
        <f t="shared" si="11"/>
        <v>0.1055611736070913</v>
      </c>
      <c r="N164" s="154"/>
      <c r="O164" s="154"/>
      <c r="P164" s="154"/>
      <c r="R164" s="1433">
        <f t="shared" si="14"/>
        <v>0</v>
      </c>
      <c r="S164" s="1244">
        <f t="shared" si="13"/>
        <v>-1.951563910473908E-18</v>
      </c>
    </row>
    <row r="165" spans="1:19">
      <c r="A165" s="380">
        <f t="shared" si="15"/>
        <v>2009</v>
      </c>
      <c r="B165" s="256">
        <f>DataUK1!B168</f>
        <v>1254053</v>
      </c>
      <c r="C165" s="257">
        <f>DataUK1!D168</f>
        <v>1234442</v>
      </c>
      <c r="D165" s="257">
        <f>DataUK1!C168</f>
        <v>19611</v>
      </c>
      <c r="E165" s="215">
        <f t="shared" si="10"/>
        <v>1.5638095040640228E-2</v>
      </c>
      <c r="F165" s="216">
        <f>DataUK1!HD168/TableUK8!$B165</f>
        <v>1.6471393154834764E-2</v>
      </c>
      <c r="G165" s="218">
        <f>DataUK1!HE168/TableUK8!$B165</f>
        <v>0.13501263503217167</v>
      </c>
      <c r="H165" s="218">
        <f>DataUK1!HF168/TableUK8!$B165</f>
        <v>0.11854124187733692</v>
      </c>
      <c r="I165" s="217">
        <f>DataUK1!HG168/TableUK8!$B165</f>
        <v>-2.0653034600610979E-4</v>
      </c>
      <c r="J165" s="216">
        <f>DataUK1!HJ168/DataUK1!B168</f>
        <v>-6.2676776818842582E-4</v>
      </c>
      <c r="K165" s="297">
        <f>DataUK1!E168</f>
        <v>1393855</v>
      </c>
      <c r="L165" s="257">
        <f>DataUK1!F168</f>
        <v>159413</v>
      </c>
      <c r="M165" s="291">
        <f t="shared" si="11"/>
        <v>0.11436842426220804</v>
      </c>
      <c r="N165" s="154"/>
      <c r="O165" s="154"/>
      <c r="P165" s="154"/>
      <c r="R165" s="1433">
        <f t="shared" si="14"/>
        <v>0</v>
      </c>
      <c r="S165" s="1244">
        <f t="shared" si="13"/>
        <v>0</v>
      </c>
    </row>
    <row r="166" spans="1:19" ht="13" thickBot="1">
      <c r="A166" s="221">
        <f t="shared" si="15"/>
        <v>2010</v>
      </c>
      <c r="B166" s="260">
        <f>DataUK1!B169</f>
        <v>1312300</v>
      </c>
      <c r="C166" s="261">
        <f>DataUK1!D169</f>
        <v>1291405</v>
      </c>
      <c r="D166" s="261">
        <f>DataUK1!C169</f>
        <v>20895</v>
      </c>
      <c r="E166" s="222">
        <f t="shared" si="10"/>
        <v>1.5922426274479921E-2</v>
      </c>
      <c r="F166" s="223">
        <f>DataUK1!HD169/TableUK8!$B166</f>
        <v>1.7852625161929436E-2</v>
      </c>
      <c r="G166" s="224">
        <f>DataUK1!HE169/TableUK8!$B166</f>
        <v>0.12372628210012955</v>
      </c>
      <c r="H166" s="224">
        <f>DataUK1!HF169/TableUK8!$B166</f>
        <v>0.10587365693820011</v>
      </c>
      <c r="I166" s="225">
        <f>DataUK1!HG169/TableUK8!$B166</f>
        <v>-2.9642612207574488E-4</v>
      </c>
      <c r="J166" s="223">
        <f>DataUK1!HJ169/DataUK1!B169</f>
        <v>-1.6337727653737712E-3</v>
      </c>
      <c r="K166" s="299">
        <f>DataUK1!E169</f>
        <v>1455411</v>
      </c>
      <c r="L166" s="261">
        <f>DataUK1!F169</f>
        <v>164006</v>
      </c>
      <c r="M166" s="293">
        <f t="shared" si="11"/>
        <v>0.11268706915091338</v>
      </c>
      <c r="N166" s="154"/>
      <c r="O166" s="154"/>
      <c r="P166" s="154"/>
      <c r="R166" s="1433">
        <f t="shared" si="14"/>
        <v>0</v>
      </c>
      <c r="S166" s="1244">
        <f>E166-F166-I166-J166</f>
        <v>1.951563910473908E-18</v>
      </c>
    </row>
    <row r="167" spans="1:19" ht="13" thickTop="1">
      <c r="A167" s="87"/>
      <c r="B167" s="154"/>
      <c r="C167" s="154"/>
      <c r="D167" s="154"/>
      <c r="E167" s="154"/>
      <c r="F167" s="154"/>
      <c r="G167" s="154"/>
      <c r="H167" s="154"/>
      <c r="I167" s="154"/>
      <c r="J167" s="154"/>
      <c r="K167" s="154"/>
      <c r="L167" s="154"/>
      <c r="M167" s="154"/>
      <c r="N167" s="154"/>
      <c r="O167" s="154"/>
      <c r="P167" s="154"/>
    </row>
    <row r="168" spans="1:19">
      <c r="B168" s="118"/>
      <c r="C168" s="118"/>
      <c r="D168" s="118"/>
      <c r="E168" s="118"/>
      <c r="F168" s="118"/>
      <c r="G168" s="118"/>
      <c r="H168" s="118"/>
      <c r="I168" s="118"/>
      <c r="J168" s="118"/>
      <c r="K168" s="118"/>
      <c r="L168" s="118"/>
      <c r="M168" s="118"/>
      <c r="N168" s="154"/>
      <c r="O168" s="154"/>
      <c r="P168" s="154"/>
    </row>
    <row r="169" spans="1:19">
      <c r="B169" s="118"/>
      <c r="C169" s="118"/>
      <c r="D169" s="118"/>
      <c r="E169" s="165"/>
      <c r="F169" s="118"/>
      <c r="G169" s="118"/>
      <c r="H169" s="118"/>
      <c r="I169" s="118"/>
      <c r="J169" s="118"/>
      <c r="K169" s="118"/>
      <c r="L169" s="118"/>
      <c r="M169" s="118"/>
      <c r="N169" s="154"/>
      <c r="O169" s="154"/>
      <c r="P169" s="154"/>
    </row>
    <row r="170" spans="1:19">
      <c r="B170" s="118"/>
      <c r="C170" s="118"/>
      <c r="D170" s="118"/>
      <c r="E170" s="118"/>
      <c r="F170" s="118"/>
      <c r="G170" s="118"/>
      <c r="H170" s="118"/>
      <c r="I170" s="118"/>
      <c r="J170" s="118"/>
      <c r="K170" s="118"/>
      <c r="L170" s="118"/>
      <c r="M170" s="118"/>
      <c r="N170" s="154"/>
      <c r="O170" s="154"/>
      <c r="P170" s="154"/>
    </row>
    <row r="171" spans="1:19">
      <c r="B171" s="118"/>
      <c r="C171" s="118"/>
      <c r="D171" s="118"/>
      <c r="E171" s="118"/>
      <c r="F171" s="118"/>
      <c r="G171" s="118"/>
      <c r="H171" s="118"/>
      <c r="I171" s="118"/>
      <c r="J171" s="118"/>
      <c r="K171" s="118"/>
      <c r="L171" s="118"/>
      <c r="M171" s="118"/>
      <c r="N171" s="154"/>
      <c r="O171" s="154"/>
      <c r="P171" s="154"/>
    </row>
    <row r="172" spans="1:19">
      <c r="B172" s="118"/>
      <c r="C172" s="118"/>
      <c r="D172" s="118"/>
      <c r="E172" s="118"/>
      <c r="F172" s="118"/>
      <c r="G172" s="118"/>
      <c r="H172" s="118"/>
      <c r="I172" s="118"/>
      <c r="J172" s="118"/>
      <c r="K172" s="118"/>
      <c r="L172" s="118"/>
      <c r="M172" s="118"/>
      <c r="N172" s="154"/>
      <c r="O172" s="154"/>
      <c r="P172" s="154"/>
    </row>
    <row r="173" spans="1:19">
      <c r="B173" s="118"/>
      <c r="C173" s="118"/>
      <c r="D173" s="118"/>
      <c r="E173" s="118"/>
      <c r="F173" s="118"/>
      <c r="G173" s="118"/>
      <c r="H173" s="118"/>
      <c r="I173" s="118"/>
      <c r="J173" s="118"/>
      <c r="K173" s="118"/>
      <c r="L173" s="118"/>
      <c r="M173" s="118"/>
      <c r="N173" s="154"/>
      <c r="O173" s="154"/>
      <c r="P173" s="154"/>
    </row>
    <row r="174" spans="1:19">
      <c r="B174" s="118"/>
      <c r="C174" s="118"/>
      <c r="D174" s="118"/>
      <c r="E174" s="118"/>
      <c r="F174" s="118"/>
      <c r="G174" s="118"/>
      <c r="H174" s="118"/>
      <c r="I174" s="118"/>
      <c r="J174" s="118"/>
      <c r="K174" s="118"/>
      <c r="L174" s="118"/>
      <c r="M174" s="118"/>
      <c r="N174" s="154"/>
      <c r="O174" s="154"/>
      <c r="P174" s="154"/>
    </row>
    <row r="175" spans="1:19">
      <c r="B175" s="118"/>
      <c r="C175" s="118"/>
      <c r="D175" s="118"/>
      <c r="E175" s="118"/>
      <c r="F175" s="118"/>
      <c r="G175" s="118"/>
      <c r="H175" s="118"/>
      <c r="I175" s="118"/>
      <c r="J175" s="118"/>
      <c r="K175" s="118"/>
      <c r="L175" s="118"/>
      <c r="M175" s="118"/>
      <c r="N175" s="154"/>
      <c r="O175" s="154"/>
      <c r="P175" s="154"/>
    </row>
    <row r="176" spans="1:19">
      <c r="B176" s="118"/>
      <c r="C176" s="118"/>
      <c r="D176" s="118"/>
      <c r="E176" s="118"/>
      <c r="F176" s="118"/>
      <c r="G176" s="118"/>
      <c r="H176" s="118"/>
      <c r="I176" s="118"/>
      <c r="J176" s="118"/>
      <c r="K176" s="118"/>
      <c r="L176" s="118"/>
      <c r="M176" s="118"/>
      <c r="N176" s="154"/>
      <c r="O176" s="154"/>
      <c r="P176" s="154"/>
    </row>
    <row r="177" spans="2:16">
      <c r="B177" s="118"/>
      <c r="C177" s="118"/>
      <c r="D177" s="118"/>
      <c r="E177" s="118"/>
      <c r="F177" s="118"/>
      <c r="G177" s="118"/>
      <c r="H177" s="118"/>
      <c r="I177" s="118"/>
      <c r="J177" s="118"/>
      <c r="K177" s="118"/>
      <c r="L177" s="118"/>
      <c r="M177" s="118"/>
      <c r="N177" s="154"/>
      <c r="O177" s="154"/>
      <c r="P177" s="154"/>
    </row>
    <row r="178" spans="2:16">
      <c r="B178" s="118"/>
      <c r="C178" s="118"/>
      <c r="D178" s="118"/>
      <c r="E178" s="118"/>
      <c r="F178" s="118"/>
      <c r="G178" s="118"/>
      <c r="H178" s="118"/>
      <c r="I178" s="118"/>
      <c r="J178" s="118"/>
      <c r="K178" s="118"/>
      <c r="L178" s="118"/>
      <c r="M178" s="118"/>
      <c r="N178" s="154"/>
      <c r="O178" s="154"/>
      <c r="P178" s="154"/>
    </row>
    <row r="179" spans="2:16">
      <c r="B179" s="118"/>
      <c r="C179" s="118"/>
      <c r="D179" s="118"/>
      <c r="E179" s="118"/>
      <c r="F179" s="118"/>
      <c r="G179" s="118"/>
      <c r="H179" s="118"/>
      <c r="I179" s="118"/>
      <c r="J179" s="118"/>
      <c r="K179" s="118"/>
      <c r="L179" s="118"/>
      <c r="M179" s="118"/>
      <c r="N179" s="154"/>
      <c r="O179" s="154"/>
      <c r="P179" s="154"/>
    </row>
    <row r="180" spans="2:16">
      <c r="B180" s="118"/>
      <c r="C180" s="118"/>
      <c r="D180" s="118"/>
      <c r="E180" s="118"/>
      <c r="F180" s="118"/>
      <c r="G180" s="118"/>
      <c r="H180" s="118"/>
      <c r="I180" s="118"/>
      <c r="J180" s="118"/>
      <c r="K180" s="118"/>
      <c r="L180" s="118"/>
      <c r="M180" s="118"/>
      <c r="N180" s="118"/>
      <c r="O180" s="118"/>
      <c r="P180" s="118"/>
    </row>
    <row r="181" spans="2:16">
      <c r="B181" s="118"/>
      <c r="C181" s="118"/>
      <c r="D181" s="118"/>
      <c r="E181" s="118"/>
      <c r="F181" s="118"/>
      <c r="G181" s="118"/>
      <c r="H181" s="118"/>
      <c r="I181" s="118"/>
      <c r="J181" s="118"/>
      <c r="K181" s="118"/>
      <c r="L181" s="118"/>
      <c r="M181" s="118"/>
      <c r="N181" s="118"/>
      <c r="O181" s="118"/>
      <c r="P181" s="118"/>
    </row>
    <row r="182" spans="2:16">
      <c r="B182" s="118"/>
      <c r="C182" s="118"/>
      <c r="D182" s="118"/>
      <c r="E182" s="118"/>
      <c r="F182" s="118"/>
      <c r="G182" s="118"/>
      <c r="H182" s="118"/>
      <c r="I182" s="118"/>
      <c r="J182" s="118"/>
      <c r="K182" s="118"/>
      <c r="L182" s="118"/>
      <c r="M182" s="118"/>
      <c r="N182" s="118"/>
      <c r="O182" s="118"/>
      <c r="P182" s="118"/>
    </row>
    <row r="183" spans="2:16">
      <c r="B183" s="118"/>
      <c r="C183" s="118"/>
      <c r="D183" s="118"/>
      <c r="E183" s="118"/>
      <c r="F183" s="118"/>
      <c r="G183" s="118"/>
      <c r="H183" s="118"/>
      <c r="I183" s="118"/>
      <c r="J183" s="118"/>
      <c r="K183" s="118"/>
      <c r="L183" s="118"/>
      <c r="M183" s="118"/>
      <c r="N183" s="118"/>
      <c r="O183" s="118"/>
      <c r="P183" s="118"/>
    </row>
    <row r="184" spans="2:16">
      <c r="B184" s="118"/>
      <c r="C184" s="118"/>
      <c r="D184" s="118"/>
      <c r="E184" s="118"/>
      <c r="F184" s="118"/>
      <c r="G184" s="118"/>
      <c r="H184" s="118"/>
      <c r="I184" s="118"/>
      <c r="J184" s="118"/>
      <c r="K184" s="118"/>
      <c r="L184" s="118"/>
      <c r="M184" s="118"/>
      <c r="N184" s="118"/>
      <c r="O184" s="118"/>
      <c r="P184" s="118"/>
    </row>
    <row r="185" spans="2:16">
      <c r="B185" s="118"/>
      <c r="C185" s="118"/>
      <c r="D185" s="118"/>
      <c r="E185" s="118"/>
      <c r="F185" s="118"/>
      <c r="G185" s="118"/>
      <c r="H185" s="118"/>
      <c r="I185" s="118"/>
      <c r="J185" s="118"/>
      <c r="K185" s="118"/>
      <c r="L185" s="118"/>
      <c r="M185" s="118"/>
      <c r="N185" s="118"/>
      <c r="O185" s="118"/>
      <c r="P185" s="118"/>
    </row>
    <row r="186" spans="2:16">
      <c r="B186" s="118"/>
      <c r="C186" s="118"/>
      <c r="D186" s="118"/>
      <c r="E186" s="118"/>
      <c r="F186" s="118"/>
      <c r="G186" s="118"/>
      <c r="H186" s="118"/>
      <c r="I186" s="118"/>
      <c r="J186" s="118"/>
      <c r="K186" s="118"/>
      <c r="L186" s="118"/>
      <c r="M186" s="118"/>
      <c r="N186" s="118"/>
      <c r="O186" s="118"/>
      <c r="P186" s="118"/>
    </row>
    <row r="187" spans="2:16">
      <c r="B187" s="118"/>
      <c r="C187" s="118"/>
      <c r="D187" s="118"/>
      <c r="E187" s="118"/>
      <c r="F187" s="118"/>
      <c r="G187" s="118"/>
      <c r="H187" s="118"/>
      <c r="I187" s="118"/>
      <c r="J187" s="118"/>
      <c r="K187" s="118"/>
      <c r="L187" s="118"/>
      <c r="M187" s="118"/>
      <c r="N187" s="118"/>
      <c r="O187" s="118"/>
      <c r="P187" s="118"/>
    </row>
    <row r="188" spans="2:16">
      <c r="B188" s="118"/>
      <c r="C188" s="118"/>
      <c r="D188" s="118"/>
      <c r="E188" s="118"/>
      <c r="F188" s="118"/>
      <c r="G188" s="118"/>
      <c r="H188" s="118"/>
      <c r="I188" s="118"/>
      <c r="J188" s="118"/>
      <c r="K188" s="118"/>
      <c r="L188" s="118"/>
      <c r="M188" s="118"/>
      <c r="N188" s="118"/>
      <c r="O188" s="118"/>
      <c r="P188" s="118"/>
    </row>
    <row r="189" spans="2:16">
      <c r="B189" s="118"/>
      <c r="C189" s="118"/>
      <c r="D189" s="118"/>
      <c r="E189" s="118"/>
      <c r="F189" s="118"/>
      <c r="G189" s="118"/>
      <c r="H189" s="118"/>
      <c r="I189" s="118"/>
      <c r="J189" s="118"/>
      <c r="K189" s="118"/>
      <c r="L189" s="118"/>
      <c r="M189" s="118"/>
      <c r="N189" s="118"/>
      <c r="O189" s="118"/>
      <c r="P189" s="118"/>
    </row>
    <row r="190" spans="2:16">
      <c r="B190" s="118"/>
      <c r="C190" s="118"/>
      <c r="D190" s="118"/>
      <c r="E190" s="118"/>
      <c r="F190" s="118"/>
      <c r="G190" s="118"/>
      <c r="H190" s="118"/>
      <c r="I190" s="118"/>
      <c r="J190" s="118"/>
      <c r="K190" s="118"/>
      <c r="L190" s="118"/>
      <c r="M190" s="118"/>
      <c r="N190" s="118"/>
      <c r="O190" s="118"/>
      <c r="P190" s="118"/>
    </row>
    <row r="191" spans="2:16">
      <c r="B191" s="118"/>
      <c r="C191" s="118"/>
      <c r="D191" s="118"/>
      <c r="E191" s="118"/>
      <c r="F191" s="118"/>
      <c r="G191" s="118"/>
      <c r="H191" s="118"/>
      <c r="I191" s="118"/>
      <c r="J191" s="118"/>
      <c r="K191" s="118"/>
      <c r="L191" s="118"/>
      <c r="M191" s="118"/>
      <c r="N191" s="118"/>
      <c r="O191" s="118"/>
      <c r="P191" s="118"/>
    </row>
    <row r="192" spans="2:16">
      <c r="B192" s="118"/>
      <c r="C192" s="118"/>
      <c r="D192" s="118"/>
      <c r="E192" s="118"/>
      <c r="F192" s="118"/>
      <c r="G192" s="118"/>
      <c r="H192" s="118"/>
      <c r="I192" s="118"/>
      <c r="J192" s="118"/>
      <c r="K192" s="118"/>
      <c r="L192" s="118"/>
      <c r="M192" s="118"/>
      <c r="N192" s="118"/>
      <c r="O192" s="118"/>
      <c r="P192" s="118"/>
    </row>
    <row r="193" spans="2:16">
      <c r="B193" s="118"/>
      <c r="C193" s="118"/>
      <c r="D193" s="118"/>
      <c r="E193" s="118"/>
      <c r="F193" s="118"/>
      <c r="G193" s="118"/>
      <c r="H193" s="118"/>
      <c r="I193" s="118"/>
      <c r="J193" s="118"/>
      <c r="K193" s="118"/>
      <c r="L193" s="118"/>
      <c r="M193" s="118"/>
      <c r="N193" s="118"/>
      <c r="O193" s="118"/>
      <c r="P193" s="118"/>
    </row>
    <row r="194" spans="2:16">
      <c r="B194" s="118"/>
      <c r="C194" s="118"/>
      <c r="D194" s="118"/>
      <c r="E194" s="118"/>
      <c r="F194" s="118"/>
      <c r="G194" s="118"/>
      <c r="H194" s="118"/>
      <c r="I194" s="118"/>
      <c r="J194" s="118"/>
      <c r="K194" s="118"/>
      <c r="L194" s="118"/>
      <c r="M194" s="118"/>
      <c r="N194" s="118"/>
      <c r="O194" s="118"/>
      <c r="P194" s="118"/>
    </row>
    <row r="195" spans="2:16">
      <c r="B195" s="118"/>
      <c r="C195" s="118"/>
      <c r="D195" s="118"/>
      <c r="E195" s="118"/>
      <c r="F195" s="118"/>
      <c r="G195" s="118"/>
      <c r="H195" s="118"/>
      <c r="I195" s="118"/>
      <c r="J195" s="118"/>
      <c r="K195" s="118"/>
      <c r="L195" s="118"/>
      <c r="M195" s="118"/>
      <c r="N195" s="118"/>
      <c r="O195" s="118"/>
      <c r="P195" s="118"/>
    </row>
    <row r="196" spans="2:16">
      <c r="B196" s="118"/>
      <c r="C196" s="118"/>
      <c r="D196" s="118"/>
      <c r="E196" s="118"/>
      <c r="F196" s="118"/>
      <c r="G196" s="118"/>
      <c r="H196" s="118"/>
      <c r="I196" s="118"/>
      <c r="J196" s="118"/>
      <c r="K196" s="118"/>
      <c r="L196" s="118"/>
      <c r="M196" s="118"/>
      <c r="N196" s="118"/>
      <c r="O196" s="118"/>
      <c r="P196" s="118"/>
    </row>
    <row r="197" spans="2:16">
      <c r="B197" s="118"/>
      <c r="C197" s="118"/>
      <c r="D197" s="118"/>
      <c r="E197" s="118"/>
      <c r="F197" s="118"/>
      <c r="G197" s="118"/>
      <c r="H197" s="118"/>
      <c r="I197" s="118"/>
      <c r="J197" s="118"/>
      <c r="K197" s="118"/>
      <c r="L197" s="118"/>
      <c r="M197" s="118"/>
      <c r="N197" s="118"/>
      <c r="O197" s="118"/>
      <c r="P197" s="118"/>
    </row>
    <row r="198" spans="2:16">
      <c r="B198" s="118"/>
      <c r="C198" s="118"/>
      <c r="D198" s="118"/>
      <c r="E198" s="118"/>
      <c r="F198" s="118"/>
      <c r="G198" s="118"/>
      <c r="H198" s="118"/>
      <c r="I198" s="118"/>
      <c r="J198" s="118"/>
      <c r="K198" s="118"/>
      <c r="L198" s="118"/>
      <c r="M198" s="118"/>
      <c r="N198" s="118"/>
      <c r="O198" s="118"/>
      <c r="P198" s="118"/>
    </row>
    <row r="199" spans="2:16">
      <c r="B199" s="118"/>
      <c r="C199" s="118"/>
      <c r="D199" s="118"/>
      <c r="E199" s="118"/>
      <c r="F199" s="118"/>
      <c r="G199" s="118"/>
      <c r="H199" s="118"/>
      <c r="I199" s="118"/>
      <c r="J199" s="118"/>
      <c r="K199" s="118"/>
      <c r="L199" s="118"/>
      <c r="M199" s="118"/>
      <c r="N199" s="118"/>
      <c r="O199" s="118"/>
      <c r="P199" s="118"/>
    </row>
    <row r="200" spans="2:16">
      <c r="B200" s="118"/>
      <c r="C200" s="118"/>
      <c r="D200" s="118"/>
      <c r="E200" s="118"/>
      <c r="F200" s="118"/>
      <c r="G200" s="118"/>
      <c r="H200" s="118"/>
      <c r="I200" s="118"/>
      <c r="J200" s="118"/>
      <c r="K200" s="118"/>
      <c r="L200" s="118"/>
      <c r="M200" s="118"/>
      <c r="N200" s="118"/>
      <c r="O200" s="118"/>
      <c r="P200" s="118"/>
    </row>
    <row r="201" spans="2:16">
      <c r="B201" s="118"/>
      <c r="C201" s="118"/>
      <c r="D201" s="118"/>
      <c r="E201" s="118"/>
      <c r="F201" s="118"/>
      <c r="G201" s="118"/>
      <c r="H201" s="118"/>
      <c r="I201" s="118"/>
      <c r="J201" s="118"/>
      <c r="K201" s="118"/>
      <c r="L201" s="118"/>
      <c r="M201" s="118"/>
      <c r="N201" s="118"/>
      <c r="O201" s="118"/>
      <c r="P201" s="118"/>
    </row>
    <row r="202" spans="2:16">
      <c r="B202" s="118"/>
      <c r="C202" s="118"/>
      <c r="D202" s="118"/>
      <c r="E202" s="118"/>
      <c r="F202" s="118"/>
      <c r="G202" s="118"/>
      <c r="H202" s="118"/>
      <c r="I202" s="118"/>
      <c r="J202" s="118"/>
      <c r="K202" s="118"/>
      <c r="L202" s="118"/>
      <c r="M202" s="118"/>
      <c r="N202" s="118"/>
      <c r="O202" s="118"/>
      <c r="P202" s="118"/>
    </row>
    <row r="203" spans="2:16">
      <c r="B203" s="118"/>
      <c r="C203" s="118"/>
      <c r="D203" s="118"/>
      <c r="E203" s="118"/>
      <c r="F203" s="118"/>
      <c r="G203" s="118"/>
      <c r="H203" s="118"/>
      <c r="I203" s="118"/>
      <c r="J203" s="118"/>
      <c r="K203" s="118"/>
      <c r="L203" s="118"/>
      <c r="M203" s="118"/>
      <c r="N203" s="118"/>
      <c r="O203" s="118"/>
      <c r="P203" s="118"/>
    </row>
    <row r="204" spans="2:16">
      <c r="B204" s="118"/>
      <c r="C204" s="118"/>
      <c r="D204" s="118"/>
      <c r="E204" s="118"/>
      <c r="F204" s="118"/>
      <c r="G204" s="118"/>
      <c r="H204" s="118"/>
      <c r="I204" s="118"/>
      <c r="J204" s="118"/>
      <c r="K204" s="118"/>
      <c r="L204" s="118"/>
      <c r="M204" s="118"/>
      <c r="N204" s="118"/>
      <c r="O204" s="118"/>
      <c r="P204" s="118"/>
    </row>
    <row r="205" spans="2:16">
      <c r="B205" s="118"/>
      <c r="C205" s="118"/>
      <c r="D205" s="118"/>
      <c r="E205" s="118"/>
      <c r="F205" s="118"/>
      <c r="G205" s="118"/>
      <c r="H205" s="118"/>
      <c r="I205" s="118"/>
      <c r="J205" s="118"/>
      <c r="K205" s="118"/>
      <c r="L205" s="118"/>
      <c r="M205" s="118"/>
      <c r="N205" s="118"/>
      <c r="O205" s="118"/>
      <c r="P205" s="118"/>
    </row>
    <row r="206" spans="2:16">
      <c r="B206" s="118"/>
      <c r="C206" s="118"/>
      <c r="D206" s="118"/>
      <c r="E206" s="118"/>
      <c r="F206" s="118"/>
      <c r="G206" s="118"/>
      <c r="H206" s="118"/>
      <c r="I206" s="118"/>
      <c r="J206" s="118"/>
      <c r="K206" s="118"/>
      <c r="L206" s="118"/>
      <c r="M206" s="118"/>
      <c r="N206" s="118"/>
      <c r="O206" s="118"/>
      <c r="P206" s="118"/>
    </row>
    <row r="207" spans="2:16">
      <c r="B207" s="118"/>
      <c r="C207" s="118"/>
      <c r="D207" s="118"/>
      <c r="E207" s="118"/>
      <c r="F207" s="118"/>
      <c r="G207" s="118"/>
      <c r="H207" s="118"/>
      <c r="I207" s="118"/>
      <c r="J207" s="118"/>
      <c r="K207" s="118"/>
      <c r="L207" s="118"/>
      <c r="M207" s="118"/>
      <c r="N207" s="118"/>
      <c r="O207" s="118"/>
      <c r="P207" s="118"/>
    </row>
    <row r="208" spans="2:16">
      <c r="B208" s="118"/>
      <c r="C208" s="118"/>
      <c r="D208" s="118"/>
      <c r="E208" s="118"/>
      <c r="F208" s="118"/>
      <c r="G208" s="118"/>
      <c r="H208" s="118"/>
      <c r="I208" s="118"/>
      <c r="J208" s="118"/>
      <c r="K208" s="118"/>
      <c r="L208" s="118"/>
      <c r="M208" s="118"/>
      <c r="N208" s="118"/>
      <c r="O208" s="118"/>
      <c r="P208" s="118"/>
    </row>
    <row r="209" spans="2:16">
      <c r="B209" s="118"/>
      <c r="C209" s="118"/>
      <c r="D209" s="118"/>
      <c r="E209" s="118"/>
      <c r="F209" s="118"/>
      <c r="G209" s="118"/>
      <c r="H209" s="118"/>
      <c r="I209" s="118"/>
      <c r="J209" s="118"/>
      <c r="K209" s="118"/>
      <c r="L209" s="118"/>
      <c r="M209" s="118"/>
      <c r="N209" s="118"/>
      <c r="O209" s="118"/>
      <c r="P209" s="118"/>
    </row>
    <row r="210" spans="2:16">
      <c r="B210" s="118"/>
      <c r="C210" s="118"/>
      <c r="D210" s="118"/>
      <c r="E210" s="118"/>
      <c r="F210" s="118"/>
      <c r="G210" s="118"/>
      <c r="H210" s="118"/>
      <c r="I210" s="118"/>
      <c r="J210" s="118"/>
      <c r="K210" s="118"/>
      <c r="L210" s="118"/>
      <c r="M210" s="118"/>
      <c r="N210" s="118"/>
      <c r="O210" s="118"/>
      <c r="P210" s="118"/>
    </row>
    <row r="211" spans="2:16">
      <c r="B211" s="118"/>
      <c r="C211" s="118"/>
      <c r="D211" s="118"/>
      <c r="E211" s="118"/>
      <c r="F211" s="118"/>
      <c r="G211" s="118"/>
      <c r="H211" s="118"/>
      <c r="I211" s="118"/>
      <c r="J211" s="118"/>
      <c r="K211" s="118"/>
      <c r="L211" s="118"/>
      <c r="M211" s="118"/>
      <c r="N211" s="118"/>
      <c r="O211" s="118"/>
      <c r="P211" s="118"/>
    </row>
    <row r="212" spans="2:16">
      <c r="B212" s="118"/>
      <c r="C212" s="118"/>
      <c r="D212" s="118"/>
      <c r="E212" s="118"/>
      <c r="F212" s="118"/>
      <c r="G212" s="118"/>
      <c r="H212" s="118"/>
      <c r="I212" s="118"/>
      <c r="J212" s="118"/>
      <c r="K212" s="118"/>
      <c r="L212" s="118"/>
      <c r="M212" s="118"/>
      <c r="N212" s="118"/>
      <c r="O212" s="118"/>
      <c r="P212" s="118"/>
    </row>
    <row r="213" spans="2:16">
      <c r="B213" s="118"/>
      <c r="C213" s="118"/>
      <c r="D213" s="118"/>
      <c r="E213" s="118"/>
      <c r="F213" s="118"/>
      <c r="G213" s="118"/>
      <c r="H213" s="118"/>
      <c r="I213" s="118"/>
      <c r="J213" s="118"/>
      <c r="K213" s="118"/>
      <c r="L213" s="118"/>
      <c r="M213" s="118"/>
      <c r="N213" s="118"/>
      <c r="O213" s="118"/>
      <c r="P213" s="118"/>
    </row>
    <row r="214" spans="2:16">
      <c r="B214" s="118"/>
      <c r="C214" s="118"/>
      <c r="D214" s="118"/>
      <c r="E214" s="118"/>
      <c r="F214" s="118"/>
      <c r="G214" s="118"/>
      <c r="H214" s="118"/>
      <c r="I214" s="118"/>
      <c r="J214" s="118"/>
      <c r="K214" s="118"/>
      <c r="L214" s="118"/>
      <c r="M214" s="118"/>
      <c r="N214" s="118"/>
      <c r="O214" s="118"/>
      <c r="P214" s="118"/>
    </row>
    <row r="215" spans="2:16">
      <c r="B215" s="118"/>
      <c r="C215" s="118"/>
      <c r="D215" s="118"/>
      <c r="E215" s="118"/>
      <c r="F215" s="118"/>
      <c r="G215" s="118"/>
      <c r="H215" s="118"/>
      <c r="I215" s="118"/>
      <c r="J215" s="118"/>
      <c r="K215" s="118"/>
      <c r="L215" s="118"/>
      <c r="M215" s="118"/>
      <c r="N215" s="118"/>
      <c r="O215" s="118"/>
      <c r="P215" s="118"/>
    </row>
    <row r="216" spans="2:16">
      <c r="B216" s="118"/>
      <c r="C216" s="118"/>
      <c r="D216" s="118"/>
      <c r="E216" s="118"/>
      <c r="F216" s="118"/>
      <c r="G216" s="118"/>
      <c r="H216" s="118"/>
      <c r="I216" s="118"/>
      <c r="J216" s="118"/>
      <c r="K216" s="118"/>
      <c r="L216" s="118"/>
      <c r="M216" s="118"/>
      <c r="N216" s="118"/>
      <c r="O216" s="118"/>
      <c r="P216" s="118"/>
    </row>
    <row r="217" spans="2:16">
      <c r="B217" s="118"/>
      <c r="C217" s="118"/>
      <c r="D217" s="118"/>
      <c r="E217" s="118"/>
      <c r="F217" s="118"/>
      <c r="G217" s="118"/>
      <c r="H217" s="118"/>
      <c r="I217" s="118"/>
      <c r="J217" s="118"/>
      <c r="K217" s="118"/>
      <c r="L217" s="118"/>
      <c r="M217" s="118"/>
      <c r="N217" s="118"/>
      <c r="O217" s="118"/>
      <c r="P217" s="118"/>
    </row>
    <row r="218" spans="2:16">
      <c r="B218" s="118"/>
      <c r="C218" s="118"/>
      <c r="D218" s="118"/>
      <c r="E218" s="118"/>
      <c r="F218" s="118"/>
      <c r="G218" s="118"/>
      <c r="H218" s="118"/>
      <c r="I218" s="118"/>
      <c r="J218" s="118"/>
      <c r="K218" s="118"/>
      <c r="L218" s="118"/>
      <c r="M218" s="118"/>
      <c r="N218" s="118"/>
      <c r="O218" s="118"/>
      <c r="P218" s="118"/>
    </row>
    <row r="219" spans="2:16">
      <c r="B219" s="118"/>
      <c r="C219" s="118"/>
      <c r="D219" s="118"/>
      <c r="E219" s="118"/>
      <c r="F219" s="118"/>
      <c r="G219" s="118"/>
      <c r="H219" s="118"/>
      <c r="I219" s="118"/>
      <c r="J219" s="118"/>
      <c r="K219" s="118"/>
      <c r="L219" s="118"/>
      <c r="M219" s="118"/>
      <c r="N219" s="118"/>
      <c r="O219" s="118"/>
      <c r="P219" s="118"/>
    </row>
    <row r="220" spans="2:16">
      <c r="B220" s="118"/>
      <c r="C220" s="118"/>
      <c r="D220" s="118"/>
      <c r="E220" s="118"/>
      <c r="F220" s="118"/>
      <c r="G220" s="118"/>
      <c r="H220" s="118"/>
      <c r="I220" s="118"/>
      <c r="J220" s="118"/>
      <c r="K220" s="118"/>
      <c r="L220" s="118"/>
      <c r="M220" s="118"/>
      <c r="N220" s="118"/>
      <c r="O220" s="118"/>
      <c r="P220" s="118"/>
    </row>
    <row r="221" spans="2:16">
      <c r="B221" s="118"/>
      <c r="C221" s="118"/>
      <c r="D221" s="118"/>
      <c r="E221" s="118"/>
      <c r="F221" s="118"/>
      <c r="G221" s="118"/>
      <c r="H221" s="118"/>
      <c r="I221" s="118"/>
      <c r="J221" s="118"/>
      <c r="K221" s="118"/>
      <c r="L221" s="118"/>
      <c r="M221" s="118"/>
      <c r="N221" s="118"/>
      <c r="O221" s="118"/>
      <c r="P221" s="118"/>
    </row>
    <row r="222" spans="2:16">
      <c r="B222" s="118"/>
      <c r="C222" s="118"/>
      <c r="D222" s="118"/>
      <c r="E222" s="118"/>
      <c r="F222" s="118"/>
      <c r="G222" s="118"/>
      <c r="H222" s="118"/>
      <c r="I222" s="118"/>
      <c r="J222" s="118"/>
      <c r="K222" s="118"/>
      <c r="L222" s="118"/>
      <c r="M222" s="118"/>
      <c r="N222" s="118"/>
      <c r="O222" s="118"/>
      <c r="P222" s="118"/>
    </row>
    <row r="223" spans="2:16">
      <c r="B223" s="118"/>
      <c r="C223" s="118"/>
      <c r="D223" s="118"/>
      <c r="E223" s="118"/>
      <c r="F223" s="118"/>
      <c r="G223" s="118"/>
      <c r="H223" s="118"/>
      <c r="I223" s="118"/>
      <c r="J223" s="118"/>
      <c r="K223" s="118"/>
      <c r="L223" s="118"/>
      <c r="M223" s="118"/>
      <c r="N223" s="118"/>
      <c r="O223" s="118"/>
      <c r="P223" s="118"/>
    </row>
    <row r="224" spans="2:16">
      <c r="B224" s="118"/>
      <c r="C224" s="118"/>
      <c r="D224" s="118"/>
      <c r="E224" s="118"/>
      <c r="F224" s="118"/>
      <c r="G224" s="118"/>
      <c r="H224" s="118"/>
      <c r="I224" s="118"/>
      <c r="J224" s="118"/>
      <c r="K224" s="118"/>
      <c r="L224" s="118"/>
      <c r="M224" s="118"/>
      <c r="N224" s="118"/>
      <c r="O224" s="118"/>
      <c r="P224" s="118"/>
    </row>
    <row r="225" spans="2:16">
      <c r="B225" s="118"/>
      <c r="C225" s="118"/>
      <c r="D225" s="118"/>
      <c r="E225" s="118"/>
      <c r="F225" s="118"/>
      <c r="G225" s="118"/>
      <c r="H225" s="118"/>
      <c r="I225" s="118"/>
      <c r="J225" s="118"/>
      <c r="K225" s="118"/>
      <c r="L225" s="118"/>
      <c r="M225" s="118"/>
      <c r="N225" s="118"/>
      <c r="O225" s="118"/>
      <c r="P225" s="118"/>
    </row>
    <row r="226" spans="2:16">
      <c r="B226" s="118"/>
      <c r="C226" s="118"/>
      <c r="D226" s="118"/>
      <c r="E226" s="118"/>
      <c r="F226" s="118"/>
      <c r="G226" s="118"/>
      <c r="H226" s="118"/>
      <c r="I226" s="118"/>
      <c r="J226" s="118"/>
      <c r="K226" s="118"/>
      <c r="L226" s="118"/>
      <c r="M226" s="118"/>
      <c r="N226" s="118"/>
      <c r="O226" s="118"/>
      <c r="P226" s="118"/>
    </row>
    <row r="227" spans="2:16">
      <c r="B227" s="118"/>
      <c r="C227" s="118"/>
      <c r="D227" s="118"/>
      <c r="E227" s="118"/>
      <c r="F227" s="118"/>
      <c r="G227" s="118"/>
      <c r="H227" s="118"/>
      <c r="I227" s="118"/>
      <c r="J227" s="118"/>
      <c r="K227" s="118"/>
      <c r="L227" s="118"/>
      <c r="M227" s="118"/>
      <c r="N227" s="118"/>
      <c r="O227" s="118"/>
      <c r="P227" s="118"/>
    </row>
    <row r="228" spans="2:16">
      <c r="B228" s="118"/>
      <c r="C228" s="118"/>
      <c r="D228" s="118"/>
      <c r="E228" s="118"/>
      <c r="F228" s="118"/>
      <c r="G228" s="118"/>
      <c r="H228" s="118"/>
      <c r="I228" s="118"/>
      <c r="J228" s="118"/>
      <c r="K228" s="118"/>
      <c r="L228" s="118"/>
      <c r="M228" s="118"/>
      <c r="N228" s="118"/>
      <c r="O228" s="118"/>
      <c r="P228" s="118"/>
    </row>
    <row r="229" spans="2:16">
      <c r="B229" s="118"/>
      <c r="C229" s="118"/>
      <c r="D229" s="118"/>
      <c r="E229" s="118"/>
      <c r="F229" s="118"/>
      <c r="G229" s="118"/>
      <c r="H229" s="118"/>
      <c r="I229" s="118"/>
      <c r="J229" s="118"/>
      <c r="K229" s="118"/>
      <c r="L229" s="118"/>
      <c r="M229" s="118"/>
      <c r="N229" s="118"/>
      <c r="O229" s="118"/>
      <c r="P229" s="118"/>
    </row>
    <row r="230" spans="2:16">
      <c r="B230" s="118"/>
      <c r="C230" s="118"/>
      <c r="D230" s="118"/>
      <c r="E230" s="118"/>
      <c r="F230" s="118"/>
      <c r="G230" s="118"/>
      <c r="H230" s="118"/>
      <c r="I230" s="118"/>
      <c r="J230" s="118"/>
      <c r="K230" s="118"/>
      <c r="L230" s="118"/>
      <c r="M230" s="118"/>
      <c r="N230" s="118"/>
      <c r="O230" s="118"/>
      <c r="P230" s="118"/>
    </row>
    <row r="231" spans="2:16">
      <c r="B231" s="118"/>
      <c r="C231" s="118"/>
      <c r="D231" s="118"/>
      <c r="E231" s="118"/>
      <c r="F231" s="118"/>
      <c r="G231" s="118"/>
      <c r="H231" s="118"/>
      <c r="I231" s="118"/>
      <c r="J231" s="118"/>
      <c r="K231" s="118"/>
      <c r="L231" s="118"/>
      <c r="M231" s="118"/>
      <c r="N231" s="118"/>
      <c r="O231" s="118"/>
      <c r="P231" s="118"/>
    </row>
    <row r="232" spans="2:16">
      <c r="B232" s="118"/>
      <c r="C232" s="118"/>
      <c r="D232" s="118"/>
      <c r="E232" s="118"/>
      <c r="F232" s="118"/>
      <c r="G232" s="118"/>
      <c r="H232" s="118"/>
      <c r="I232" s="118"/>
      <c r="J232" s="118"/>
      <c r="K232" s="118"/>
      <c r="L232" s="118"/>
      <c r="M232" s="118"/>
      <c r="N232" s="118"/>
      <c r="O232" s="118"/>
      <c r="P232" s="118"/>
    </row>
    <row r="233" spans="2:16">
      <c r="B233" s="118"/>
      <c r="C233" s="118"/>
      <c r="D233" s="118"/>
      <c r="E233" s="118"/>
      <c r="F233" s="118"/>
      <c r="G233" s="118"/>
      <c r="H233" s="118"/>
      <c r="I233" s="118"/>
      <c r="J233" s="118"/>
      <c r="K233" s="118"/>
      <c r="L233" s="118"/>
      <c r="M233" s="118"/>
      <c r="N233" s="118"/>
      <c r="O233" s="118"/>
      <c r="P233" s="118"/>
    </row>
    <row r="234" spans="2:16">
      <c r="B234" s="118"/>
      <c r="C234" s="118"/>
      <c r="D234" s="118"/>
      <c r="E234" s="118"/>
      <c r="F234" s="118"/>
      <c r="G234" s="118"/>
      <c r="H234" s="118"/>
      <c r="I234" s="118"/>
      <c r="J234" s="118"/>
      <c r="K234" s="118"/>
      <c r="L234" s="118"/>
      <c r="M234" s="118"/>
      <c r="N234" s="118"/>
      <c r="O234" s="118"/>
      <c r="P234" s="118"/>
    </row>
    <row r="235" spans="2:16">
      <c r="B235" s="118"/>
      <c r="C235" s="118"/>
      <c r="D235" s="118"/>
      <c r="E235" s="118"/>
      <c r="F235" s="118"/>
      <c r="G235" s="118"/>
      <c r="H235" s="118"/>
      <c r="I235" s="118"/>
      <c r="J235" s="118"/>
      <c r="K235" s="118"/>
      <c r="L235" s="118"/>
      <c r="M235" s="118"/>
      <c r="N235" s="118"/>
      <c r="O235" s="118"/>
      <c r="P235" s="118"/>
    </row>
    <row r="236" spans="2:16">
      <c r="B236" s="118"/>
      <c r="C236" s="118"/>
      <c r="D236" s="118"/>
      <c r="E236" s="118"/>
      <c r="F236" s="118"/>
      <c r="G236" s="118"/>
      <c r="H236" s="118"/>
      <c r="I236" s="118"/>
      <c r="J236" s="118"/>
      <c r="K236" s="118"/>
      <c r="L236" s="118"/>
      <c r="M236" s="118"/>
      <c r="N236" s="118"/>
      <c r="O236" s="118"/>
      <c r="P236" s="118"/>
    </row>
    <row r="237" spans="2:16">
      <c r="B237" s="118"/>
      <c r="C237" s="118"/>
      <c r="D237" s="118"/>
      <c r="E237" s="118"/>
      <c r="F237" s="118"/>
      <c r="G237" s="118"/>
      <c r="H237" s="118"/>
      <c r="I237" s="118"/>
      <c r="J237" s="118"/>
      <c r="K237" s="118"/>
      <c r="L237" s="118"/>
      <c r="M237" s="118"/>
      <c r="N237" s="118"/>
      <c r="O237" s="118"/>
      <c r="P237" s="118"/>
    </row>
    <row r="238" spans="2:16">
      <c r="B238" s="118"/>
      <c r="C238" s="118"/>
      <c r="D238" s="118"/>
      <c r="E238" s="118"/>
      <c r="F238" s="118"/>
      <c r="G238" s="118"/>
      <c r="H238" s="118"/>
      <c r="I238" s="118"/>
      <c r="J238" s="118"/>
      <c r="K238" s="118"/>
      <c r="L238" s="118"/>
      <c r="M238" s="118"/>
      <c r="N238" s="118"/>
      <c r="O238" s="118"/>
      <c r="P238" s="118"/>
    </row>
    <row r="239" spans="2:16">
      <c r="B239" s="118"/>
      <c r="C239" s="118"/>
      <c r="D239" s="118"/>
      <c r="E239" s="118"/>
      <c r="F239" s="118"/>
      <c r="G239" s="118"/>
      <c r="H239" s="118"/>
      <c r="I239" s="118"/>
      <c r="J239" s="118"/>
      <c r="K239" s="118"/>
      <c r="L239" s="118"/>
      <c r="M239" s="118"/>
      <c r="N239" s="118"/>
      <c r="O239" s="118"/>
      <c r="P239" s="118"/>
    </row>
    <row r="240" spans="2:16">
      <c r="B240" s="118"/>
      <c r="C240" s="118"/>
      <c r="D240" s="118"/>
      <c r="E240" s="118"/>
      <c r="F240" s="118"/>
      <c r="G240" s="118"/>
      <c r="H240" s="118"/>
      <c r="I240" s="118"/>
      <c r="J240" s="118"/>
      <c r="K240" s="118"/>
      <c r="L240" s="118"/>
      <c r="M240" s="118"/>
      <c r="N240" s="118"/>
      <c r="O240" s="118"/>
      <c r="P240" s="118"/>
    </row>
    <row r="241" spans="2:16">
      <c r="B241" s="118"/>
      <c r="C241" s="118"/>
      <c r="D241" s="118"/>
      <c r="E241" s="118"/>
      <c r="F241" s="118"/>
      <c r="G241" s="118"/>
      <c r="H241" s="118"/>
      <c r="I241" s="118"/>
      <c r="J241" s="118"/>
      <c r="K241" s="118"/>
      <c r="L241" s="118"/>
      <c r="M241" s="118"/>
      <c r="N241" s="118"/>
      <c r="O241" s="118"/>
      <c r="P241" s="118"/>
    </row>
    <row r="242" spans="2:16">
      <c r="B242" s="118"/>
      <c r="C242" s="118"/>
      <c r="D242" s="118"/>
      <c r="E242" s="118"/>
      <c r="F242" s="118"/>
      <c r="G242" s="118"/>
      <c r="H242" s="118"/>
      <c r="I242" s="118"/>
      <c r="J242" s="118"/>
      <c r="K242" s="118"/>
      <c r="L242" s="118"/>
      <c r="M242" s="118"/>
      <c r="N242" s="118"/>
      <c r="O242" s="118"/>
      <c r="P242" s="118"/>
    </row>
    <row r="243" spans="2:16">
      <c r="B243" s="118"/>
      <c r="C243" s="118"/>
      <c r="D243" s="118"/>
      <c r="E243" s="118"/>
      <c r="F243" s="118"/>
      <c r="G243" s="118"/>
      <c r="H243" s="118"/>
      <c r="I243" s="118"/>
      <c r="J243" s="118"/>
      <c r="K243" s="118"/>
      <c r="L243" s="118"/>
      <c r="M243" s="118"/>
      <c r="N243" s="118"/>
      <c r="O243" s="118"/>
      <c r="P243" s="118"/>
    </row>
    <row r="244" spans="2:16">
      <c r="B244" s="118"/>
      <c r="C244" s="118"/>
      <c r="D244" s="118"/>
      <c r="E244" s="118"/>
      <c r="F244" s="118"/>
      <c r="G244" s="118"/>
      <c r="H244" s="118"/>
      <c r="I244" s="118"/>
      <c r="J244" s="118"/>
      <c r="K244" s="118"/>
      <c r="L244" s="118"/>
      <c r="M244" s="118"/>
      <c r="N244" s="118"/>
      <c r="O244" s="118"/>
      <c r="P244" s="118"/>
    </row>
    <row r="245" spans="2:16">
      <c r="B245" s="118"/>
      <c r="C245" s="118"/>
      <c r="D245" s="118"/>
      <c r="E245" s="118"/>
      <c r="F245" s="118"/>
      <c r="G245" s="118"/>
      <c r="H245" s="118"/>
      <c r="I245" s="118"/>
      <c r="J245" s="118"/>
      <c r="K245" s="118"/>
      <c r="L245" s="118"/>
      <c r="M245" s="118"/>
      <c r="N245" s="118"/>
      <c r="O245" s="118"/>
      <c r="P245" s="118"/>
    </row>
    <row r="246" spans="2:16">
      <c r="B246" s="118"/>
      <c r="C246" s="118"/>
      <c r="D246" s="118"/>
      <c r="E246" s="118"/>
      <c r="F246" s="118"/>
      <c r="G246" s="118"/>
      <c r="H246" s="118"/>
      <c r="I246" s="118"/>
      <c r="J246" s="118"/>
      <c r="K246" s="118"/>
      <c r="L246" s="118"/>
      <c r="M246" s="118"/>
      <c r="N246" s="118"/>
      <c r="O246" s="118"/>
      <c r="P246" s="118"/>
    </row>
    <row r="247" spans="2:16">
      <c r="B247" s="118"/>
      <c r="C247" s="118"/>
      <c r="D247" s="118"/>
      <c r="E247" s="118"/>
      <c r="F247" s="118"/>
      <c r="G247" s="118"/>
      <c r="H247" s="118"/>
      <c r="I247" s="118"/>
      <c r="J247" s="118"/>
      <c r="K247" s="118"/>
      <c r="L247" s="118"/>
      <c r="M247" s="118"/>
      <c r="N247" s="118"/>
      <c r="O247" s="118"/>
      <c r="P247" s="118"/>
    </row>
    <row r="248" spans="2:16">
      <c r="B248" s="118"/>
      <c r="C248" s="118"/>
      <c r="D248" s="118"/>
      <c r="E248" s="118"/>
      <c r="F248" s="118"/>
      <c r="G248" s="118"/>
      <c r="H248" s="118"/>
      <c r="I248" s="118"/>
      <c r="J248" s="118"/>
      <c r="K248" s="118"/>
      <c r="L248" s="118"/>
      <c r="M248" s="118"/>
      <c r="N248" s="118"/>
      <c r="O248" s="118"/>
      <c r="P248" s="118"/>
    </row>
    <row r="249" spans="2:16">
      <c r="B249" s="118"/>
      <c r="C249" s="118"/>
      <c r="D249" s="118"/>
      <c r="E249" s="118"/>
      <c r="F249" s="118"/>
      <c r="G249" s="118"/>
      <c r="H249" s="118"/>
      <c r="I249" s="118"/>
      <c r="J249" s="118"/>
      <c r="K249" s="118"/>
      <c r="L249" s="118"/>
      <c r="M249" s="118"/>
      <c r="N249" s="118"/>
      <c r="O249" s="118"/>
      <c r="P249" s="118"/>
    </row>
    <row r="250" spans="2:16">
      <c r="B250" s="118"/>
      <c r="C250" s="118"/>
      <c r="D250" s="118"/>
      <c r="E250" s="118"/>
      <c r="F250" s="118"/>
      <c r="G250" s="118"/>
      <c r="H250" s="118"/>
      <c r="I250" s="118"/>
      <c r="J250" s="118"/>
      <c r="K250" s="118"/>
      <c r="L250" s="118"/>
      <c r="M250" s="118"/>
      <c r="N250" s="118"/>
      <c r="O250" s="118"/>
      <c r="P250" s="118"/>
    </row>
    <row r="251" spans="2:16">
      <c r="B251" s="118"/>
      <c r="C251" s="118"/>
      <c r="D251" s="118"/>
      <c r="E251" s="118"/>
      <c r="F251" s="118"/>
      <c r="G251" s="118"/>
      <c r="H251" s="118"/>
      <c r="I251" s="118"/>
      <c r="J251" s="118"/>
      <c r="K251" s="118"/>
      <c r="L251" s="118"/>
      <c r="M251" s="118"/>
      <c r="N251" s="118"/>
      <c r="O251" s="118"/>
      <c r="P251" s="118"/>
    </row>
    <row r="252" spans="2:16">
      <c r="B252" s="118"/>
      <c r="C252" s="118"/>
      <c r="D252" s="118"/>
      <c r="E252" s="118"/>
      <c r="F252" s="118"/>
      <c r="G252" s="118"/>
      <c r="H252" s="118"/>
      <c r="I252" s="118"/>
      <c r="J252" s="118"/>
      <c r="K252" s="118"/>
      <c r="L252" s="118"/>
      <c r="M252" s="118"/>
      <c r="N252" s="118"/>
      <c r="O252" s="118"/>
      <c r="P252" s="118"/>
    </row>
    <row r="253" spans="2:16">
      <c r="B253" s="118"/>
      <c r="C253" s="118"/>
      <c r="D253" s="118"/>
      <c r="E253" s="118"/>
      <c r="F253" s="118"/>
      <c r="G253" s="118"/>
      <c r="H253" s="118"/>
      <c r="I253" s="118"/>
      <c r="J253" s="118"/>
      <c r="K253" s="118"/>
      <c r="L253" s="118"/>
      <c r="M253" s="118"/>
      <c r="N253" s="118"/>
      <c r="O253" s="118"/>
      <c r="P253" s="118"/>
    </row>
    <row r="254" spans="2:16">
      <c r="B254" s="118"/>
      <c r="C254" s="118"/>
      <c r="D254" s="118"/>
      <c r="E254" s="118"/>
      <c r="F254" s="118"/>
      <c r="G254" s="118"/>
      <c r="H254" s="118"/>
      <c r="I254" s="118"/>
      <c r="J254" s="118"/>
      <c r="K254" s="118"/>
      <c r="L254" s="118"/>
      <c r="M254" s="118"/>
      <c r="N254" s="118"/>
      <c r="O254" s="118"/>
      <c r="P254" s="118"/>
    </row>
    <row r="255" spans="2:16">
      <c r="B255" s="118"/>
      <c r="C255" s="118"/>
      <c r="D255" s="118"/>
      <c r="E255" s="118"/>
      <c r="F255" s="118"/>
      <c r="G255" s="118"/>
      <c r="H255" s="118"/>
      <c r="I255" s="118"/>
      <c r="J255" s="118"/>
      <c r="K255" s="118"/>
      <c r="L255" s="118"/>
      <c r="M255" s="118"/>
      <c r="N255" s="118"/>
      <c r="O255" s="118"/>
      <c r="P255" s="118"/>
    </row>
    <row r="256" spans="2:16">
      <c r="B256" s="118"/>
      <c r="C256" s="118"/>
      <c r="D256" s="118"/>
      <c r="E256" s="118"/>
      <c r="F256" s="118"/>
      <c r="G256" s="118"/>
      <c r="H256" s="118"/>
      <c r="I256" s="118"/>
      <c r="J256" s="118"/>
      <c r="K256" s="118"/>
      <c r="L256" s="118"/>
      <c r="M256" s="118"/>
      <c r="N256" s="118"/>
      <c r="O256" s="118"/>
      <c r="P256" s="118"/>
    </row>
    <row r="257" spans="2:16">
      <c r="B257" s="118"/>
      <c r="C257" s="118"/>
      <c r="D257" s="118"/>
      <c r="E257" s="118"/>
      <c r="F257" s="118"/>
      <c r="G257" s="118"/>
      <c r="H257" s="118"/>
      <c r="I257" s="118"/>
      <c r="J257" s="118"/>
      <c r="K257" s="118"/>
      <c r="L257" s="118"/>
      <c r="M257" s="118"/>
      <c r="N257" s="118"/>
      <c r="O257" s="118"/>
      <c r="P257" s="118"/>
    </row>
    <row r="258" spans="2:16">
      <c r="B258" s="118"/>
      <c r="C258" s="118"/>
      <c r="D258" s="118"/>
      <c r="E258" s="118"/>
      <c r="F258" s="118"/>
      <c r="G258" s="118"/>
      <c r="H258" s="118"/>
      <c r="I258" s="118"/>
      <c r="J258" s="118"/>
      <c r="K258" s="118"/>
      <c r="L258" s="118"/>
      <c r="M258" s="118"/>
      <c r="N258" s="118"/>
      <c r="O258" s="118"/>
      <c r="P258" s="118"/>
    </row>
    <row r="259" spans="2:16">
      <c r="B259" s="118"/>
      <c r="C259" s="118"/>
      <c r="D259" s="118"/>
      <c r="E259" s="118"/>
      <c r="F259" s="118"/>
      <c r="G259" s="118"/>
      <c r="H259" s="118"/>
      <c r="I259" s="118"/>
      <c r="J259" s="118"/>
      <c r="K259" s="118"/>
      <c r="L259" s="118"/>
      <c r="M259" s="118"/>
      <c r="N259" s="118"/>
      <c r="O259" s="118"/>
      <c r="P259" s="118"/>
    </row>
    <row r="260" spans="2:16">
      <c r="B260" s="118"/>
      <c r="C260" s="118"/>
      <c r="D260" s="118"/>
      <c r="E260" s="118"/>
      <c r="F260" s="118"/>
      <c r="G260" s="118"/>
      <c r="H260" s="118"/>
      <c r="I260" s="118"/>
      <c r="J260" s="118"/>
      <c r="K260" s="118"/>
      <c r="L260" s="118"/>
      <c r="M260" s="118"/>
      <c r="N260" s="118"/>
      <c r="O260" s="118"/>
      <c r="P260" s="118"/>
    </row>
    <row r="261" spans="2:16">
      <c r="B261" s="118"/>
      <c r="C261" s="118"/>
      <c r="D261" s="118"/>
      <c r="E261" s="118"/>
      <c r="F261" s="118"/>
      <c r="G261" s="118"/>
      <c r="H261" s="118"/>
      <c r="I261" s="118"/>
      <c r="J261" s="118"/>
      <c r="K261" s="118"/>
      <c r="L261" s="118"/>
      <c r="M261" s="118"/>
      <c r="N261" s="118"/>
      <c r="O261" s="118"/>
      <c r="P261" s="118"/>
    </row>
    <row r="262" spans="2:16">
      <c r="B262" s="118"/>
      <c r="C262" s="118"/>
      <c r="D262" s="118"/>
      <c r="E262" s="118"/>
      <c r="F262" s="118"/>
      <c r="G262" s="118"/>
      <c r="H262" s="118"/>
      <c r="I262" s="118"/>
      <c r="J262" s="118"/>
      <c r="K262" s="118"/>
      <c r="L262" s="118"/>
      <c r="M262" s="118"/>
      <c r="N262" s="118"/>
      <c r="O262" s="118"/>
      <c r="P262" s="118"/>
    </row>
    <row r="263" spans="2:16">
      <c r="B263" s="118"/>
      <c r="C263" s="118"/>
      <c r="D263" s="118"/>
      <c r="E263" s="118"/>
      <c r="F263" s="118"/>
      <c r="G263" s="118"/>
      <c r="H263" s="118"/>
      <c r="I263" s="118"/>
      <c r="J263" s="118"/>
      <c r="K263" s="118"/>
      <c r="L263" s="118"/>
      <c r="M263" s="118"/>
      <c r="N263" s="118"/>
      <c r="O263" s="118"/>
      <c r="P263" s="118"/>
    </row>
    <row r="264" spans="2:16">
      <c r="B264" s="118"/>
      <c r="C264" s="118"/>
      <c r="D264" s="118"/>
      <c r="E264" s="118"/>
      <c r="F264" s="118"/>
      <c r="G264" s="118"/>
      <c r="H264" s="118"/>
      <c r="I264" s="118"/>
      <c r="J264" s="118"/>
      <c r="K264" s="118"/>
      <c r="L264" s="118"/>
      <c r="M264" s="118"/>
      <c r="N264" s="118"/>
      <c r="O264" s="118"/>
      <c r="P264" s="118"/>
    </row>
    <row r="265" spans="2:16">
      <c r="B265" s="118"/>
      <c r="C265" s="118"/>
      <c r="D265" s="118"/>
      <c r="E265" s="118"/>
      <c r="F265" s="118"/>
      <c r="G265" s="118"/>
      <c r="H265" s="118"/>
      <c r="I265" s="118"/>
      <c r="J265" s="118"/>
      <c r="K265" s="118"/>
      <c r="L265" s="118"/>
      <c r="M265" s="118"/>
      <c r="N265" s="118"/>
      <c r="O265" s="118"/>
      <c r="P265" s="118"/>
    </row>
    <row r="266" spans="2:16">
      <c r="B266" s="118"/>
      <c r="C266" s="118"/>
      <c r="D266" s="118"/>
      <c r="E266" s="118"/>
      <c r="F266" s="118"/>
      <c r="G266" s="118"/>
      <c r="H266" s="118"/>
      <c r="I266" s="118"/>
      <c r="J266" s="118"/>
      <c r="K266" s="118"/>
      <c r="L266" s="118"/>
      <c r="M266" s="118"/>
      <c r="N266" s="118"/>
      <c r="O266" s="118"/>
      <c r="P266" s="118"/>
    </row>
    <row r="267" spans="2:16">
      <c r="B267" s="118"/>
      <c r="C267" s="118"/>
      <c r="D267" s="118"/>
      <c r="E267" s="118"/>
      <c r="F267" s="118"/>
      <c r="G267" s="118"/>
      <c r="H267" s="118"/>
      <c r="I267" s="118"/>
      <c r="J267" s="118"/>
      <c r="K267" s="118"/>
      <c r="L267" s="118"/>
      <c r="M267" s="118"/>
      <c r="N267" s="118"/>
      <c r="O267" s="118"/>
      <c r="P267" s="118"/>
    </row>
    <row r="268" spans="2:16">
      <c r="B268" s="118"/>
      <c r="C268" s="118"/>
      <c r="D268" s="118"/>
      <c r="E268" s="118"/>
      <c r="F268" s="118"/>
      <c r="G268" s="118"/>
      <c r="H268" s="118"/>
      <c r="I268" s="118"/>
      <c r="J268" s="118"/>
      <c r="K268" s="118"/>
      <c r="L268" s="118"/>
      <c r="M268" s="118"/>
      <c r="N268" s="118"/>
      <c r="O268" s="118"/>
      <c r="P268" s="118"/>
    </row>
    <row r="269" spans="2:16">
      <c r="B269" s="118"/>
      <c r="C269" s="118"/>
      <c r="D269" s="118"/>
      <c r="E269" s="118"/>
      <c r="F269" s="118"/>
      <c r="G269" s="118"/>
      <c r="H269" s="118"/>
      <c r="I269" s="118"/>
      <c r="J269" s="118"/>
      <c r="K269" s="118"/>
      <c r="L269" s="118"/>
      <c r="M269" s="118"/>
      <c r="N269" s="118"/>
      <c r="O269" s="118"/>
      <c r="P269" s="118"/>
    </row>
    <row r="270" spans="2:16">
      <c r="B270" s="118"/>
      <c r="C270" s="118"/>
      <c r="D270" s="118"/>
      <c r="E270" s="118"/>
      <c r="F270" s="118"/>
      <c r="G270" s="118"/>
      <c r="H270" s="118"/>
      <c r="I270" s="118"/>
      <c r="J270" s="118"/>
      <c r="K270" s="118"/>
      <c r="L270" s="118"/>
      <c r="M270" s="118"/>
      <c r="N270" s="118"/>
      <c r="O270" s="118"/>
      <c r="P270" s="118"/>
    </row>
    <row r="271" spans="2:16">
      <c r="B271" s="118"/>
      <c r="C271" s="118"/>
      <c r="D271" s="118"/>
      <c r="E271" s="118"/>
      <c r="F271" s="118"/>
      <c r="G271" s="118"/>
      <c r="H271" s="118"/>
      <c r="I271" s="118"/>
      <c r="J271" s="118"/>
      <c r="K271" s="118"/>
      <c r="L271" s="118"/>
      <c r="M271" s="118"/>
      <c r="N271" s="118"/>
      <c r="O271" s="118"/>
      <c r="P271" s="118"/>
    </row>
    <row r="272" spans="2:16">
      <c r="B272" s="118"/>
      <c r="C272" s="118"/>
      <c r="D272" s="118"/>
      <c r="E272" s="118"/>
      <c r="F272" s="118"/>
      <c r="G272" s="118"/>
      <c r="H272" s="118"/>
      <c r="I272" s="118"/>
      <c r="J272" s="118"/>
      <c r="K272" s="118"/>
      <c r="L272" s="118"/>
      <c r="M272" s="118"/>
      <c r="N272" s="118"/>
      <c r="O272" s="118"/>
      <c r="P272" s="118"/>
    </row>
    <row r="273" spans="2:16">
      <c r="B273" s="118"/>
      <c r="C273" s="118"/>
      <c r="D273" s="118"/>
      <c r="E273" s="118"/>
      <c r="F273" s="118"/>
      <c r="G273" s="118"/>
      <c r="H273" s="118"/>
      <c r="I273" s="118"/>
      <c r="J273" s="118"/>
      <c r="K273" s="118"/>
      <c r="L273" s="118"/>
      <c r="M273" s="118"/>
      <c r="N273" s="118"/>
      <c r="O273" s="118"/>
      <c r="P273" s="118"/>
    </row>
    <row r="274" spans="2:16">
      <c r="B274" s="118"/>
      <c r="C274" s="118"/>
      <c r="D274" s="118"/>
      <c r="E274" s="118"/>
      <c r="F274" s="118"/>
      <c r="G274" s="118"/>
      <c r="H274" s="118"/>
      <c r="I274" s="118"/>
      <c r="J274" s="118"/>
      <c r="K274" s="118"/>
      <c r="L274" s="118"/>
      <c r="M274" s="118"/>
      <c r="N274" s="118"/>
      <c r="O274" s="118"/>
      <c r="P274" s="118"/>
    </row>
    <row r="275" spans="2:16">
      <c r="B275" s="118"/>
      <c r="C275" s="118"/>
      <c r="D275" s="118"/>
      <c r="E275" s="118"/>
      <c r="F275" s="118"/>
      <c r="G275" s="118"/>
      <c r="H275" s="118"/>
      <c r="I275" s="118"/>
      <c r="J275" s="118"/>
      <c r="K275" s="118"/>
      <c r="L275" s="118"/>
      <c r="M275" s="118"/>
      <c r="N275" s="118"/>
      <c r="O275" s="118"/>
      <c r="P275" s="118"/>
    </row>
    <row r="276" spans="2:16">
      <c r="B276" s="118"/>
      <c r="C276" s="118"/>
      <c r="D276" s="118"/>
      <c r="E276" s="118"/>
      <c r="F276" s="118"/>
      <c r="G276" s="118"/>
      <c r="H276" s="118"/>
      <c r="I276" s="118"/>
      <c r="J276" s="118"/>
      <c r="K276" s="118"/>
      <c r="L276" s="118"/>
      <c r="M276" s="118"/>
      <c r="N276" s="118"/>
      <c r="O276" s="118"/>
      <c r="P276" s="118"/>
    </row>
    <row r="277" spans="2:16">
      <c r="B277" s="118"/>
      <c r="C277" s="118"/>
      <c r="D277" s="118"/>
      <c r="E277" s="118"/>
      <c r="F277" s="118"/>
      <c r="G277" s="118"/>
      <c r="H277" s="118"/>
      <c r="I277" s="118"/>
      <c r="J277" s="118"/>
      <c r="K277" s="118"/>
      <c r="L277" s="118"/>
      <c r="M277" s="118"/>
      <c r="N277" s="118"/>
      <c r="O277" s="118"/>
      <c r="P277" s="118"/>
    </row>
    <row r="278" spans="2:16">
      <c r="B278" s="118"/>
      <c r="C278" s="118"/>
      <c r="D278" s="118"/>
      <c r="E278" s="118"/>
      <c r="F278" s="118"/>
      <c r="G278" s="118"/>
      <c r="H278" s="118"/>
      <c r="I278" s="118"/>
      <c r="J278" s="118"/>
      <c r="K278" s="118"/>
      <c r="L278" s="118"/>
      <c r="M278" s="118"/>
      <c r="N278" s="118"/>
      <c r="O278" s="118"/>
      <c r="P278" s="118"/>
    </row>
    <row r="279" spans="2:16">
      <c r="B279" s="118"/>
      <c r="C279" s="118"/>
      <c r="D279" s="118"/>
      <c r="E279" s="118"/>
      <c r="F279" s="118"/>
      <c r="G279" s="118"/>
      <c r="H279" s="118"/>
      <c r="I279" s="118"/>
      <c r="J279" s="118"/>
      <c r="K279" s="118"/>
      <c r="L279" s="118"/>
      <c r="M279" s="118"/>
      <c r="N279" s="118"/>
      <c r="O279" s="118"/>
      <c r="P279" s="118"/>
    </row>
    <row r="280" spans="2:16">
      <c r="B280" s="118"/>
      <c r="C280" s="118"/>
      <c r="D280" s="118"/>
      <c r="E280" s="118"/>
      <c r="F280" s="118"/>
      <c r="G280" s="118"/>
      <c r="H280" s="118"/>
      <c r="I280" s="118"/>
      <c r="J280" s="118"/>
      <c r="K280" s="118"/>
      <c r="L280" s="118"/>
      <c r="M280" s="118"/>
      <c r="N280" s="118"/>
      <c r="O280" s="118"/>
      <c r="P280" s="118"/>
    </row>
    <row r="281" spans="2:16">
      <c r="B281" s="118"/>
      <c r="C281" s="118"/>
      <c r="D281" s="118"/>
      <c r="E281" s="118"/>
      <c r="F281" s="118"/>
      <c r="G281" s="118"/>
      <c r="H281" s="118"/>
      <c r="I281" s="118"/>
      <c r="J281" s="118"/>
      <c r="K281" s="118"/>
      <c r="L281" s="118"/>
      <c r="M281" s="118"/>
      <c r="N281" s="118"/>
      <c r="O281" s="118"/>
      <c r="P281" s="118"/>
    </row>
    <row r="282" spans="2:16">
      <c r="B282" s="118"/>
      <c r="C282" s="118"/>
      <c r="D282" s="118"/>
      <c r="E282" s="118"/>
      <c r="F282" s="118"/>
      <c r="G282" s="118"/>
      <c r="H282" s="118"/>
      <c r="I282" s="118"/>
      <c r="J282" s="118"/>
      <c r="K282" s="118"/>
      <c r="L282" s="118"/>
      <c r="M282" s="118"/>
      <c r="N282" s="118"/>
      <c r="O282" s="118"/>
      <c r="P282" s="118"/>
    </row>
    <row r="283" spans="2:16">
      <c r="B283" s="118"/>
      <c r="C283" s="118"/>
      <c r="D283" s="118"/>
      <c r="E283" s="118"/>
      <c r="F283" s="118"/>
      <c r="G283" s="118"/>
      <c r="H283" s="118"/>
      <c r="I283" s="118"/>
      <c r="J283" s="118"/>
      <c r="K283" s="118"/>
      <c r="L283" s="118"/>
      <c r="M283" s="118"/>
      <c r="N283" s="118"/>
      <c r="O283" s="118"/>
      <c r="P283" s="118"/>
    </row>
    <row r="284" spans="2:16">
      <c r="B284" s="118"/>
      <c r="C284" s="118"/>
      <c r="D284" s="118"/>
      <c r="E284" s="118"/>
      <c r="F284" s="118"/>
      <c r="G284" s="118"/>
      <c r="H284" s="118"/>
      <c r="I284" s="118"/>
      <c r="J284" s="118"/>
      <c r="K284" s="118"/>
      <c r="L284" s="118"/>
      <c r="M284" s="118"/>
      <c r="N284" s="118"/>
      <c r="O284" s="118"/>
      <c r="P284" s="118"/>
    </row>
    <row r="285" spans="2:16">
      <c r="B285" s="118"/>
      <c r="C285" s="118"/>
      <c r="D285" s="118"/>
      <c r="E285" s="118"/>
      <c r="F285" s="118"/>
      <c r="G285" s="118"/>
      <c r="H285" s="118"/>
      <c r="I285" s="118"/>
      <c r="J285" s="118"/>
      <c r="K285" s="118"/>
      <c r="L285" s="118"/>
      <c r="M285" s="118"/>
      <c r="N285" s="118"/>
      <c r="O285" s="118"/>
      <c r="P285" s="118"/>
    </row>
    <row r="286" spans="2:16">
      <c r="B286" s="118"/>
      <c r="C286" s="118"/>
      <c r="D286" s="118"/>
      <c r="E286" s="118"/>
      <c r="F286" s="118"/>
      <c r="G286" s="118"/>
      <c r="H286" s="118"/>
      <c r="I286" s="118"/>
      <c r="J286" s="118"/>
      <c r="K286" s="118"/>
      <c r="L286" s="118"/>
      <c r="M286" s="118"/>
      <c r="N286" s="118"/>
      <c r="O286" s="118"/>
      <c r="P286" s="118"/>
    </row>
    <row r="287" spans="2:16">
      <c r="B287" s="118"/>
      <c r="C287" s="118"/>
      <c r="D287" s="118"/>
      <c r="E287" s="118"/>
      <c r="F287" s="118"/>
      <c r="G287" s="118"/>
      <c r="H287" s="118"/>
      <c r="I287" s="118"/>
      <c r="J287" s="118"/>
      <c r="K287" s="118"/>
      <c r="L287" s="118"/>
      <c r="M287" s="118"/>
      <c r="N287" s="118"/>
      <c r="O287" s="118"/>
      <c r="P287" s="118"/>
    </row>
    <row r="288" spans="2:16">
      <c r="B288" s="118"/>
      <c r="C288" s="118"/>
      <c r="D288" s="118"/>
      <c r="E288" s="118"/>
      <c r="F288" s="118"/>
      <c r="G288" s="118"/>
      <c r="H288" s="118"/>
      <c r="I288" s="118"/>
      <c r="J288" s="118"/>
      <c r="K288" s="118"/>
      <c r="L288" s="118"/>
      <c r="M288" s="118"/>
      <c r="N288" s="118"/>
      <c r="O288" s="118"/>
      <c r="P288" s="118"/>
    </row>
    <row r="289" spans="2:16">
      <c r="B289" s="118"/>
      <c r="C289" s="118"/>
      <c r="D289" s="118"/>
      <c r="E289" s="118"/>
      <c r="F289" s="118"/>
      <c r="G289" s="118"/>
      <c r="H289" s="118"/>
      <c r="I289" s="118"/>
      <c r="J289" s="118"/>
      <c r="K289" s="118"/>
      <c r="L289" s="118"/>
      <c r="M289" s="118"/>
      <c r="N289" s="118"/>
      <c r="O289" s="118"/>
      <c r="P289" s="118"/>
    </row>
    <row r="290" spans="2:16">
      <c r="B290" s="118"/>
      <c r="C290" s="118"/>
      <c r="D290" s="118"/>
      <c r="E290" s="118"/>
      <c r="F290" s="118"/>
      <c r="G290" s="118"/>
      <c r="H290" s="118"/>
      <c r="I290" s="118"/>
      <c r="J290" s="118"/>
      <c r="K290" s="118"/>
      <c r="L290" s="118"/>
      <c r="M290" s="118"/>
      <c r="N290" s="118"/>
      <c r="O290" s="118"/>
      <c r="P290" s="118"/>
    </row>
    <row r="291" spans="2:16">
      <c r="B291" s="118"/>
      <c r="C291" s="118"/>
      <c r="D291" s="118"/>
      <c r="E291" s="118"/>
      <c r="F291" s="118"/>
      <c r="G291" s="118"/>
      <c r="H291" s="118"/>
      <c r="I291" s="118"/>
      <c r="J291" s="118"/>
      <c r="K291" s="118"/>
      <c r="L291" s="118"/>
      <c r="M291" s="118"/>
      <c r="N291" s="118"/>
      <c r="O291" s="118"/>
      <c r="P291" s="118"/>
    </row>
    <row r="292" spans="2:16">
      <c r="B292" s="118"/>
      <c r="C292" s="118"/>
      <c r="D292" s="118"/>
      <c r="E292" s="118"/>
      <c r="F292" s="118"/>
      <c r="G292" s="118"/>
      <c r="H292" s="118"/>
      <c r="I292" s="118"/>
      <c r="J292" s="118"/>
      <c r="K292" s="118"/>
      <c r="L292" s="118"/>
      <c r="M292" s="118"/>
      <c r="N292" s="118"/>
      <c r="O292" s="118"/>
      <c r="P292" s="118"/>
    </row>
    <row r="293" spans="2:16">
      <c r="B293" s="118"/>
      <c r="C293" s="118"/>
      <c r="D293" s="118"/>
      <c r="E293" s="118"/>
      <c r="F293" s="118"/>
      <c r="G293" s="118"/>
      <c r="H293" s="118"/>
      <c r="I293" s="118"/>
      <c r="J293" s="118"/>
      <c r="K293" s="118"/>
      <c r="L293" s="118"/>
      <c r="M293" s="118"/>
      <c r="N293" s="118"/>
      <c r="O293" s="118"/>
      <c r="P293" s="118"/>
    </row>
    <row r="294" spans="2:16">
      <c r="B294" s="118"/>
      <c r="C294" s="118"/>
      <c r="D294" s="118"/>
      <c r="E294" s="118"/>
      <c r="F294" s="118"/>
      <c r="G294" s="118"/>
      <c r="H294" s="118"/>
      <c r="I294" s="118"/>
      <c r="J294" s="118"/>
      <c r="K294" s="118"/>
      <c r="L294" s="118"/>
      <c r="M294" s="118"/>
      <c r="N294" s="118"/>
      <c r="O294" s="118"/>
      <c r="P294" s="118"/>
    </row>
    <row r="295" spans="2:16">
      <c r="B295" s="118"/>
      <c r="C295" s="118"/>
      <c r="D295" s="118"/>
      <c r="E295" s="118"/>
      <c r="F295" s="118"/>
      <c r="G295" s="118"/>
      <c r="H295" s="118"/>
      <c r="I295" s="118"/>
      <c r="J295" s="118"/>
      <c r="K295" s="118"/>
      <c r="L295" s="118"/>
      <c r="M295" s="118"/>
      <c r="N295" s="118"/>
      <c r="O295" s="118"/>
      <c r="P295" s="118"/>
    </row>
    <row r="296" spans="2:16">
      <c r="B296" s="118"/>
      <c r="C296" s="118"/>
      <c r="D296" s="118"/>
      <c r="E296" s="118"/>
      <c r="F296" s="118"/>
      <c r="G296" s="118"/>
      <c r="H296" s="118"/>
      <c r="I296" s="118"/>
      <c r="J296" s="118"/>
      <c r="K296" s="118"/>
      <c r="L296" s="118"/>
      <c r="M296" s="118"/>
      <c r="N296" s="118"/>
      <c r="O296" s="118"/>
      <c r="P296" s="118"/>
    </row>
    <row r="297" spans="2:16">
      <c r="B297" s="118"/>
      <c r="C297" s="118"/>
      <c r="D297" s="118"/>
      <c r="E297" s="118"/>
      <c r="F297" s="118"/>
      <c r="G297" s="118"/>
      <c r="H297" s="118"/>
      <c r="I297" s="118"/>
      <c r="J297" s="118"/>
      <c r="K297" s="118"/>
      <c r="L297" s="118"/>
      <c r="M297" s="118"/>
      <c r="N297" s="118"/>
      <c r="O297" s="118"/>
      <c r="P297" s="118"/>
    </row>
    <row r="298" spans="2:16">
      <c r="B298" s="118"/>
      <c r="C298" s="118"/>
      <c r="D298" s="118"/>
      <c r="E298" s="118"/>
      <c r="F298" s="118"/>
      <c r="G298" s="118"/>
      <c r="H298" s="118"/>
      <c r="I298" s="118"/>
      <c r="J298" s="118"/>
      <c r="K298" s="118"/>
      <c r="L298" s="118"/>
      <c r="M298" s="118"/>
      <c r="N298" s="118"/>
      <c r="O298" s="118"/>
      <c r="P298" s="118"/>
    </row>
    <row r="299" spans="2:16">
      <c r="B299" s="118"/>
      <c r="C299" s="118"/>
      <c r="D299" s="118"/>
      <c r="E299" s="118"/>
      <c r="F299" s="118"/>
      <c r="G299" s="118"/>
      <c r="H299" s="118"/>
      <c r="I299" s="118"/>
      <c r="J299" s="118"/>
      <c r="K299" s="118"/>
      <c r="L299" s="118"/>
      <c r="M299" s="118"/>
      <c r="N299" s="118"/>
      <c r="O299" s="118"/>
      <c r="P299" s="118"/>
    </row>
    <row r="300" spans="2:16">
      <c r="B300" s="118"/>
      <c r="C300" s="118"/>
      <c r="D300" s="118"/>
      <c r="E300" s="118"/>
      <c r="F300" s="118"/>
      <c r="G300" s="118"/>
      <c r="H300" s="118"/>
      <c r="I300" s="118"/>
      <c r="J300" s="118"/>
      <c r="K300" s="118"/>
      <c r="L300" s="118"/>
      <c r="M300" s="118"/>
      <c r="N300" s="118"/>
      <c r="O300" s="118"/>
      <c r="P300" s="118"/>
    </row>
    <row r="301" spans="2:16">
      <c r="B301" s="118"/>
      <c r="C301" s="118"/>
      <c r="D301" s="118"/>
      <c r="E301" s="118"/>
      <c r="F301" s="118"/>
      <c r="G301" s="118"/>
      <c r="H301" s="118"/>
      <c r="I301" s="118"/>
      <c r="J301" s="118"/>
      <c r="K301" s="118"/>
      <c r="L301" s="118"/>
      <c r="M301" s="118"/>
      <c r="N301" s="118"/>
      <c r="O301" s="118"/>
      <c r="P301" s="118"/>
    </row>
    <row r="302" spans="2:16">
      <c r="B302" s="118"/>
      <c r="C302" s="118"/>
      <c r="D302" s="118"/>
      <c r="E302" s="118"/>
      <c r="F302" s="118"/>
      <c r="G302" s="118"/>
      <c r="H302" s="118"/>
      <c r="I302" s="118"/>
      <c r="J302" s="118"/>
      <c r="K302" s="118"/>
      <c r="L302" s="118"/>
      <c r="M302" s="118"/>
      <c r="N302" s="118"/>
      <c r="O302" s="118"/>
      <c r="P302" s="118"/>
    </row>
    <row r="303" spans="2:16">
      <c r="B303" s="118"/>
      <c r="C303" s="118"/>
      <c r="D303" s="118"/>
      <c r="E303" s="118"/>
      <c r="F303" s="118"/>
      <c r="G303" s="118"/>
      <c r="H303" s="118"/>
      <c r="I303" s="118"/>
      <c r="J303" s="118"/>
      <c r="K303" s="118"/>
      <c r="L303" s="118"/>
      <c r="M303" s="118"/>
      <c r="N303" s="118"/>
      <c r="O303" s="118"/>
      <c r="P303" s="118"/>
    </row>
    <row r="304" spans="2:16">
      <c r="B304" s="118"/>
      <c r="C304" s="118"/>
      <c r="D304" s="118"/>
      <c r="E304" s="118"/>
      <c r="F304" s="118"/>
      <c r="G304" s="118"/>
      <c r="H304" s="118"/>
      <c r="I304" s="118"/>
      <c r="J304" s="118"/>
      <c r="K304" s="118"/>
      <c r="L304" s="118"/>
      <c r="M304" s="118"/>
      <c r="N304" s="118"/>
      <c r="O304" s="118"/>
      <c r="P304" s="118"/>
    </row>
    <row r="305" spans="2:16">
      <c r="B305" s="118"/>
      <c r="C305" s="118"/>
      <c r="D305" s="118"/>
      <c r="E305" s="118"/>
      <c r="F305" s="118"/>
      <c r="G305" s="118"/>
      <c r="H305" s="118"/>
      <c r="I305" s="118"/>
      <c r="J305" s="118"/>
      <c r="K305" s="118"/>
      <c r="L305" s="118"/>
      <c r="M305" s="118"/>
      <c r="N305" s="118"/>
      <c r="O305" s="118"/>
      <c r="P305" s="118"/>
    </row>
    <row r="306" spans="2:16">
      <c r="B306" s="118"/>
      <c r="C306" s="118"/>
      <c r="D306" s="118"/>
      <c r="E306" s="118"/>
      <c r="F306" s="118"/>
      <c r="G306" s="118"/>
      <c r="H306" s="118"/>
      <c r="I306" s="118"/>
      <c r="J306" s="118"/>
      <c r="K306" s="118"/>
      <c r="L306" s="118"/>
      <c r="M306" s="118"/>
      <c r="N306" s="118"/>
      <c r="O306" s="118"/>
      <c r="P306" s="118"/>
    </row>
    <row r="307" spans="2:16">
      <c r="B307" s="118"/>
      <c r="C307" s="118"/>
      <c r="D307" s="118"/>
      <c r="E307" s="118"/>
      <c r="F307" s="118"/>
      <c r="G307" s="118"/>
      <c r="H307" s="118"/>
      <c r="I307" s="118"/>
      <c r="J307" s="118"/>
      <c r="K307" s="118"/>
      <c r="L307" s="118"/>
      <c r="M307" s="118"/>
      <c r="N307" s="118"/>
      <c r="O307" s="118"/>
      <c r="P307" s="118"/>
    </row>
    <row r="308" spans="2:16">
      <c r="B308" s="118"/>
      <c r="C308" s="118"/>
      <c r="D308" s="118"/>
      <c r="E308" s="118"/>
      <c r="F308" s="118"/>
      <c r="G308" s="118"/>
      <c r="H308" s="118"/>
      <c r="I308" s="118"/>
      <c r="J308" s="118"/>
      <c r="K308" s="118"/>
      <c r="L308" s="118"/>
      <c r="M308" s="118"/>
      <c r="N308" s="118"/>
      <c r="O308" s="118"/>
      <c r="P308" s="118"/>
    </row>
    <row r="309" spans="2:16">
      <c r="B309" s="118"/>
      <c r="C309" s="118"/>
      <c r="D309" s="118"/>
      <c r="E309" s="118"/>
      <c r="F309" s="118"/>
      <c r="G309" s="118"/>
      <c r="H309" s="118"/>
      <c r="I309" s="118"/>
      <c r="J309" s="118"/>
      <c r="K309" s="118"/>
      <c r="L309" s="118"/>
      <c r="M309" s="118"/>
      <c r="N309" s="118"/>
      <c r="O309" s="118"/>
      <c r="P309" s="118"/>
    </row>
    <row r="310" spans="2:16">
      <c r="B310" s="118"/>
      <c r="C310" s="118"/>
      <c r="D310" s="118"/>
      <c r="E310" s="118"/>
      <c r="F310" s="118"/>
      <c r="G310" s="118"/>
      <c r="H310" s="118"/>
      <c r="I310" s="118"/>
      <c r="J310" s="118"/>
      <c r="K310" s="118"/>
      <c r="L310" s="118"/>
      <c r="M310" s="118"/>
      <c r="N310" s="118"/>
      <c r="O310" s="118"/>
      <c r="P310" s="118"/>
    </row>
    <row r="311" spans="2:16">
      <c r="B311" s="118"/>
      <c r="C311" s="118"/>
      <c r="D311" s="118"/>
      <c r="E311" s="118"/>
      <c r="F311" s="118"/>
      <c r="G311" s="118"/>
      <c r="H311" s="118"/>
      <c r="I311" s="118"/>
      <c r="J311" s="118"/>
      <c r="K311" s="118"/>
      <c r="L311" s="118"/>
      <c r="M311" s="118"/>
      <c r="N311" s="118"/>
      <c r="O311" s="118"/>
      <c r="P311" s="118"/>
    </row>
    <row r="312" spans="2:16">
      <c r="B312" s="118"/>
      <c r="C312" s="118"/>
      <c r="D312" s="118"/>
      <c r="E312" s="118"/>
      <c r="F312" s="118"/>
      <c r="G312" s="118"/>
      <c r="H312" s="118"/>
      <c r="I312" s="118"/>
      <c r="J312" s="118"/>
      <c r="K312" s="118"/>
      <c r="L312" s="118"/>
      <c r="M312" s="118"/>
      <c r="N312" s="118"/>
      <c r="O312" s="118"/>
      <c r="P312" s="118"/>
    </row>
    <row r="313" spans="2:16">
      <c r="B313" s="118"/>
      <c r="C313" s="118"/>
      <c r="D313" s="118"/>
      <c r="E313" s="118"/>
      <c r="F313" s="118"/>
      <c r="G313" s="118"/>
      <c r="H313" s="118"/>
      <c r="I313" s="118"/>
      <c r="J313" s="118"/>
      <c r="K313" s="118"/>
      <c r="L313" s="118"/>
      <c r="M313" s="118"/>
      <c r="N313" s="118"/>
      <c r="O313" s="118"/>
      <c r="P313" s="118"/>
    </row>
    <row r="314" spans="2:16">
      <c r="B314" s="118"/>
      <c r="C314" s="118"/>
      <c r="D314" s="118"/>
      <c r="E314" s="118"/>
      <c r="F314" s="118"/>
      <c r="G314" s="118"/>
      <c r="H314" s="118"/>
      <c r="I314" s="118"/>
      <c r="J314" s="118"/>
      <c r="K314" s="118"/>
      <c r="L314" s="118"/>
      <c r="M314" s="118"/>
      <c r="N314" s="118"/>
      <c r="O314" s="118"/>
      <c r="P314" s="118"/>
    </row>
    <row r="315" spans="2:16">
      <c r="B315" s="118"/>
      <c r="C315" s="118"/>
      <c r="D315" s="118"/>
      <c r="E315" s="118"/>
      <c r="F315" s="118"/>
      <c r="G315" s="118"/>
      <c r="H315" s="118"/>
      <c r="I315" s="118"/>
      <c r="J315" s="118"/>
      <c r="K315" s="118"/>
      <c r="L315" s="118"/>
      <c r="M315" s="118"/>
      <c r="N315" s="118"/>
      <c r="O315" s="118"/>
      <c r="P315" s="118"/>
    </row>
    <row r="316" spans="2:16">
      <c r="B316" s="118"/>
      <c r="C316" s="118"/>
      <c r="D316" s="118"/>
      <c r="E316" s="118"/>
      <c r="F316" s="118"/>
      <c r="G316" s="118"/>
      <c r="H316" s="118"/>
      <c r="I316" s="118"/>
      <c r="J316" s="118"/>
      <c r="K316" s="118"/>
      <c r="L316" s="118"/>
      <c r="M316" s="118"/>
      <c r="N316" s="118"/>
      <c r="O316" s="118"/>
      <c r="P316" s="118"/>
    </row>
    <row r="317" spans="2:16">
      <c r="B317" s="118"/>
      <c r="C317" s="118"/>
      <c r="D317" s="118"/>
      <c r="E317" s="118"/>
      <c r="F317" s="118"/>
      <c r="G317" s="118"/>
      <c r="H317" s="118"/>
      <c r="I317" s="118"/>
      <c r="J317" s="118"/>
      <c r="K317" s="118"/>
      <c r="L317" s="118"/>
      <c r="M317" s="118"/>
      <c r="N317" s="118"/>
      <c r="O317" s="118"/>
      <c r="P317" s="118"/>
    </row>
    <row r="318" spans="2:16">
      <c r="B318" s="118"/>
      <c r="C318" s="118"/>
      <c r="D318" s="118"/>
      <c r="E318" s="118"/>
      <c r="F318" s="118"/>
      <c r="G318" s="118"/>
      <c r="H318" s="118"/>
      <c r="I318" s="118"/>
      <c r="J318" s="118"/>
      <c r="K318" s="118"/>
      <c r="L318" s="118"/>
      <c r="M318" s="118"/>
      <c r="N318" s="118"/>
      <c r="O318" s="118"/>
      <c r="P318" s="118"/>
    </row>
    <row r="319" spans="2:16">
      <c r="B319" s="118"/>
      <c r="C319" s="118"/>
      <c r="D319" s="118"/>
      <c r="E319" s="118"/>
      <c r="F319" s="118"/>
      <c r="G319" s="118"/>
      <c r="H319" s="118"/>
      <c r="I319" s="118"/>
      <c r="J319" s="118"/>
      <c r="K319" s="118"/>
      <c r="L319" s="118"/>
      <c r="M319" s="118"/>
      <c r="N319" s="118"/>
      <c r="O319" s="118"/>
      <c r="P319" s="118"/>
    </row>
    <row r="320" spans="2:16">
      <c r="B320" s="118"/>
      <c r="C320" s="118"/>
      <c r="D320" s="118"/>
      <c r="E320" s="118"/>
      <c r="F320" s="118"/>
      <c r="G320" s="118"/>
      <c r="H320" s="118"/>
      <c r="I320" s="118"/>
      <c r="J320" s="118"/>
      <c r="K320" s="118"/>
      <c r="L320" s="118"/>
      <c r="M320" s="118"/>
      <c r="N320" s="118"/>
      <c r="O320" s="118"/>
      <c r="P320" s="118"/>
    </row>
    <row r="321" spans="2:16">
      <c r="B321" s="118"/>
      <c r="C321" s="118"/>
      <c r="D321" s="118"/>
      <c r="E321" s="118"/>
      <c r="F321" s="118"/>
      <c r="G321" s="118"/>
      <c r="H321" s="118"/>
      <c r="I321" s="118"/>
      <c r="J321" s="118"/>
      <c r="K321" s="118"/>
      <c r="L321" s="118"/>
      <c r="M321" s="118"/>
      <c r="N321" s="118"/>
      <c r="O321" s="118"/>
      <c r="P321" s="118"/>
    </row>
    <row r="322" spans="2:16">
      <c r="B322" s="118"/>
      <c r="C322" s="118"/>
      <c r="D322" s="118"/>
      <c r="E322" s="118"/>
      <c r="F322" s="118"/>
      <c r="G322" s="118"/>
      <c r="H322" s="118"/>
      <c r="I322" s="118"/>
      <c r="J322" s="118"/>
      <c r="K322" s="118"/>
      <c r="L322" s="118"/>
      <c r="M322" s="118"/>
      <c r="N322" s="118"/>
      <c r="O322" s="118"/>
      <c r="P322" s="118"/>
    </row>
    <row r="323" spans="2:16">
      <c r="B323" s="118"/>
      <c r="C323" s="118"/>
      <c r="D323" s="118"/>
      <c r="E323" s="118"/>
      <c r="F323" s="118"/>
      <c r="G323" s="118"/>
      <c r="H323" s="118"/>
      <c r="I323" s="118"/>
      <c r="J323" s="118"/>
      <c r="K323" s="118"/>
      <c r="L323" s="118"/>
      <c r="M323" s="118"/>
      <c r="N323" s="118"/>
      <c r="O323" s="118"/>
      <c r="P323" s="118"/>
    </row>
    <row r="324" spans="2:16">
      <c r="B324" s="118"/>
      <c r="C324" s="118"/>
      <c r="D324" s="118"/>
      <c r="E324" s="118"/>
      <c r="F324" s="118"/>
      <c r="G324" s="118"/>
      <c r="H324" s="118"/>
      <c r="I324" s="118"/>
      <c r="J324" s="118"/>
      <c r="K324" s="118"/>
      <c r="L324" s="118"/>
      <c r="M324" s="118"/>
      <c r="N324" s="118"/>
      <c r="O324" s="118"/>
      <c r="P324" s="118"/>
    </row>
    <row r="325" spans="2:16">
      <c r="B325" s="118"/>
      <c r="C325" s="118"/>
      <c r="D325" s="118"/>
      <c r="E325" s="118"/>
      <c r="F325" s="118"/>
      <c r="G325" s="118"/>
      <c r="H325" s="118"/>
      <c r="I325" s="118"/>
      <c r="J325" s="118"/>
      <c r="K325" s="118"/>
      <c r="L325" s="118"/>
      <c r="M325" s="118"/>
      <c r="N325" s="118"/>
      <c r="O325" s="118"/>
      <c r="P325" s="118"/>
    </row>
    <row r="326" spans="2:16">
      <c r="B326" s="118"/>
      <c r="C326" s="118"/>
      <c r="D326" s="118"/>
      <c r="E326" s="118"/>
      <c r="F326" s="118"/>
      <c r="G326" s="118"/>
      <c r="H326" s="118"/>
      <c r="I326" s="118"/>
      <c r="J326" s="118"/>
      <c r="K326" s="118"/>
      <c r="L326" s="118"/>
      <c r="M326" s="118"/>
      <c r="N326" s="118"/>
      <c r="O326" s="118"/>
      <c r="P326" s="118"/>
    </row>
    <row r="327" spans="2:16">
      <c r="B327" s="118"/>
      <c r="C327" s="118"/>
      <c r="D327" s="118"/>
      <c r="E327" s="118"/>
      <c r="F327" s="118"/>
      <c r="G327" s="118"/>
      <c r="H327" s="118"/>
      <c r="I327" s="118"/>
      <c r="J327" s="118"/>
      <c r="K327" s="118"/>
      <c r="L327" s="118"/>
      <c r="M327" s="118"/>
      <c r="N327" s="118"/>
      <c r="O327" s="118"/>
      <c r="P327" s="118"/>
    </row>
    <row r="328" spans="2:16">
      <c r="B328" s="118"/>
      <c r="C328" s="118"/>
      <c r="D328" s="118"/>
      <c r="E328" s="118"/>
      <c r="F328" s="118"/>
      <c r="G328" s="118"/>
      <c r="H328" s="118"/>
      <c r="I328" s="118"/>
      <c r="J328" s="118"/>
      <c r="K328" s="118"/>
      <c r="L328" s="118"/>
      <c r="M328" s="118"/>
      <c r="N328" s="118"/>
      <c r="O328" s="118"/>
      <c r="P328" s="118"/>
    </row>
    <row r="329" spans="2:16">
      <c r="B329" s="118"/>
      <c r="C329" s="118"/>
      <c r="D329" s="118"/>
      <c r="E329" s="118"/>
      <c r="F329" s="118"/>
      <c r="G329" s="118"/>
      <c r="H329" s="118"/>
      <c r="I329" s="118"/>
      <c r="J329" s="118"/>
      <c r="K329" s="118"/>
      <c r="L329" s="118"/>
      <c r="M329" s="118"/>
      <c r="N329" s="118"/>
      <c r="O329" s="118"/>
      <c r="P329" s="118"/>
    </row>
    <row r="330" spans="2:16">
      <c r="B330" s="118"/>
      <c r="C330" s="118"/>
      <c r="D330" s="118"/>
      <c r="E330" s="118"/>
      <c r="F330" s="118"/>
      <c r="G330" s="118"/>
      <c r="H330" s="118"/>
      <c r="I330" s="118"/>
      <c r="J330" s="118"/>
      <c r="K330" s="118"/>
      <c r="L330" s="118"/>
      <c r="M330" s="118"/>
      <c r="N330" s="118"/>
      <c r="O330" s="118"/>
      <c r="P330" s="118"/>
    </row>
    <row r="331" spans="2:16">
      <c r="B331" s="118"/>
      <c r="C331" s="118"/>
      <c r="D331" s="118"/>
      <c r="E331" s="118"/>
      <c r="F331" s="118"/>
      <c r="G331" s="118"/>
      <c r="H331" s="118"/>
      <c r="I331" s="118"/>
      <c r="J331" s="118"/>
      <c r="K331" s="118"/>
      <c r="L331" s="118"/>
      <c r="M331" s="118"/>
      <c r="N331" s="118"/>
      <c r="O331" s="118"/>
      <c r="P331" s="118"/>
    </row>
    <row r="332" spans="2:16">
      <c r="B332" s="118"/>
      <c r="C332" s="118"/>
      <c r="D332" s="118"/>
      <c r="E332" s="118"/>
      <c r="F332" s="118"/>
      <c r="G332" s="118"/>
      <c r="H332" s="118"/>
      <c r="I332" s="118"/>
      <c r="J332" s="118"/>
      <c r="K332" s="118"/>
      <c r="L332" s="118"/>
      <c r="M332" s="118"/>
      <c r="N332" s="118"/>
      <c r="O332" s="118"/>
      <c r="P332" s="118"/>
    </row>
    <row r="333" spans="2:16">
      <c r="B333" s="118"/>
      <c r="C333" s="118"/>
      <c r="D333" s="118"/>
      <c r="E333" s="118"/>
      <c r="F333" s="118"/>
      <c r="G333" s="118"/>
      <c r="H333" s="118"/>
      <c r="I333" s="118"/>
      <c r="J333" s="118"/>
      <c r="K333" s="118"/>
      <c r="L333" s="118"/>
      <c r="M333" s="118"/>
      <c r="N333" s="118"/>
      <c r="O333" s="118"/>
      <c r="P333" s="118"/>
    </row>
    <row r="334" spans="2:16">
      <c r="B334" s="118"/>
      <c r="C334" s="118"/>
      <c r="D334" s="118"/>
      <c r="E334" s="118"/>
      <c r="F334" s="118"/>
      <c r="G334" s="118"/>
      <c r="H334" s="118"/>
      <c r="I334" s="118"/>
      <c r="J334" s="118"/>
      <c r="K334" s="118"/>
      <c r="L334" s="118"/>
      <c r="M334" s="118"/>
      <c r="N334" s="118"/>
      <c r="O334" s="118"/>
      <c r="P334" s="118"/>
    </row>
    <row r="335" spans="2:16">
      <c r="B335" s="118"/>
      <c r="C335" s="118"/>
      <c r="D335" s="118"/>
      <c r="E335" s="118"/>
      <c r="F335" s="118"/>
      <c r="G335" s="118"/>
      <c r="H335" s="118"/>
      <c r="I335" s="118"/>
      <c r="J335" s="118"/>
      <c r="K335" s="118"/>
      <c r="L335" s="118"/>
      <c r="M335" s="118"/>
      <c r="N335" s="118"/>
      <c r="O335" s="118"/>
      <c r="P335" s="118"/>
    </row>
    <row r="336" spans="2:16">
      <c r="B336" s="118"/>
      <c r="C336" s="118"/>
      <c r="D336" s="118"/>
      <c r="E336" s="118"/>
      <c r="F336" s="118"/>
      <c r="G336" s="118"/>
      <c r="H336" s="118"/>
      <c r="I336" s="118"/>
      <c r="J336" s="118"/>
      <c r="K336" s="118"/>
      <c r="L336" s="118"/>
      <c r="M336" s="118"/>
      <c r="N336" s="118"/>
      <c r="O336" s="118"/>
      <c r="P336" s="118"/>
    </row>
    <row r="337" spans="2:16">
      <c r="B337" s="118"/>
      <c r="C337" s="118"/>
      <c r="D337" s="118"/>
      <c r="E337" s="118"/>
      <c r="F337" s="118"/>
      <c r="G337" s="118"/>
      <c r="H337" s="118"/>
      <c r="I337" s="118"/>
      <c r="J337" s="118"/>
      <c r="K337" s="118"/>
      <c r="L337" s="118"/>
      <c r="M337" s="118"/>
      <c r="N337" s="118"/>
      <c r="O337" s="118"/>
      <c r="P337" s="118"/>
    </row>
    <row r="338" spans="2:16">
      <c r="B338" s="118"/>
      <c r="C338" s="118"/>
      <c r="D338" s="118"/>
      <c r="E338" s="118"/>
      <c r="F338" s="118"/>
      <c r="G338" s="118"/>
      <c r="H338" s="118"/>
      <c r="I338" s="118"/>
      <c r="J338" s="118"/>
      <c r="K338" s="118"/>
      <c r="L338" s="118"/>
      <c r="M338" s="118"/>
      <c r="N338" s="118"/>
      <c r="O338" s="118"/>
      <c r="P338" s="118"/>
    </row>
    <row r="339" spans="2:16">
      <c r="B339" s="118"/>
      <c r="C339" s="118"/>
      <c r="D339" s="118"/>
      <c r="E339" s="118"/>
      <c r="F339" s="118"/>
      <c r="G339" s="118"/>
      <c r="H339" s="118"/>
      <c r="I339" s="118"/>
      <c r="J339" s="118"/>
      <c r="K339" s="118"/>
      <c r="L339" s="118"/>
      <c r="M339" s="118"/>
      <c r="N339" s="118"/>
      <c r="O339" s="118"/>
      <c r="P339" s="118"/>
    </row>
    <row r="340" spans="2:16">
      <c r="B340" s="118"/>
      <c r="C340" s="118"/>
      <c r="D340" s="118"/>
      <c r="E340" s="118"/>
      <c r="F340" s="118"/>
      <c r="G340" s="118"/>
      <c r="H340" s="118"/>
      <c r="I340" s="118"/>
      <c r="J340" s="118"/>
      <c r="K340" s="118"/>
      <c r="L340" s="118"/>
      <c r="M340" s="118"/>
      <c r="N340" s="118"/>
      <c r="O340" s="118"/>
      <c r="P340" s="118"/>
    </row>
    <row r="341" spans="2:16">
      <c r="B341" s="118"/>
      <c r="C341" s="118"/>
      <c r="D341" s="118"/>
      <c r="E341" s="118"/>
      <c r="F341" s="118"/>
      <c r="G341" s="118"/>
      <c r="H341" s="118"/>
      <c r="I341" s="118"/>
      <c r="J341" s="118"/>
      <c r="K341" s="118"/>
      <c r="L341" s="118"/>
      <c r="M341" s="118"/>
      <c r="N341" s="118"/>
      <c r="O341" s="118"/>
      <c r="P341" s="118"/>
    </row>
    <row r="342" spans="2:16">
      <c r="B342" s="118"/>
      <c r="C342" s="118"/>
      <c r="D342" s="118"/>
      <c r="E342" s="118"/>
      <c r="F342" s="118"/>
      <c r="G342" s="118"/>
      <c r="H342" s="118"/>
      <c r="I342" s="118"/>
      <c r="J342" s="118"/>
      <c r="K342" s="118"/>
      <c r="L342" s="118"/>
      <c r="M342" s="118"/>
      <c r="N342" s="118"/>
      <c r="O342" s="118"/>
      <c r="P342" s="118"/>
    </row>
    <row r="343" spans="2:16">
      <c r="B343" s="118"/>
      <c r="C343" s="118"/>
      <c r="D343" s="118"/>
      <c r="E343" s="118"/>
      <c r="F343" s="118"/>
      <c r="G343" s="118"/>
      <c r="H343" s="118"/>
      <c r="I343" s="118"/>
      <c r="J343" s="118"/>
      <c r="K343" s="118"/>
      <c r="L343" s="118"/>
      <c r="M343" s="118"/>
      <c r="N343" s="118"/>
      <c r="O343" s="118"/>
      <c r="P343" s="118"/>
    </row>
    <row r="344" spans="2:16">
      <c r="B344" s="118"/>
      <c r="C344" s="118"/>
      <c r="D344" s="118"/>
      <c r="E344" s="118"/>
      <c r="F344" s="118"/>
      <c r="G344" s="118"/>
      <c r="H344" s="118"/>
      <c r="I344" s="118"/>
      <c r="J344" s="118"/>
      <c r="K344" s="118"/>
      <c r="L344" s="118"/>
      <c r="M344" s="118"/>
      <c r="N344" s="118"/>
      <c r="O344" s="118"/>
      <c r="P344" s="118"/>
    </row>
    <row r="345" spans="2:16">
      <c r="B345" s="118"/>
      <c r="C345" s="118"/>
      <c r="D345" s="118"/>
      <c r="E345" s="118"/>
      <c r="F345" s="118"/>
      <c r="G345" s="118"/>
      <c r="H345" s="118"/>
      <c r="I345" s="118"/>
      <c r="J345" s="118"/>
      <c r="K345" s="118"/>
      <c r="L345" s="118"/>
      <c r="M345" s="118"/>
      <c r="N345" s="118"/>
      <c r="O345" s="118"/>
      <c r="P345" s="118"/>
    </row>
    <row r="346" spans="2:16">
      <c r="B346" s="118"/>
      <c r="C346" s="118"/>
      <c r="D346" s="118"/>
      <c r="E346" s="118"/>
      <c r="F346" s="118"/>
      <c r="G346" s="118"/>
      <c r="H346" s="118"/>
      <c r="I346" s="118"/>
      <c r="J346" s="118"/>
      <c r="K346" s="118"/>
      <c r="L346" s="118"/>
      <c r="M346" s="118"/>
      <c r="N346" s="118"/>
      <c r="O346" s="118"/>
      <c r="P346" s="118"/>
    </row>
    <row r="347" spans="2:16">
      <c r="B347" s="118"/>
      <c r="C347" s="118"/>
      <c r="D347" s="118"/>
      <c r="E347" s="118"/>
      <c r="F347" s="118"/>
      <c r="G347" s="118"/>
      <c r="H347" s="118"/>
      <c r="I347" s="118"/>
      <c r="J347" s="118"/>
      <c r="K347" s="118"/>
      <c r="L347" s="118"/>
      <c r="M347" s="118"/>
      <c r="N347" s="118"/>
      <c r="O347" s="118"/>
      <c r="P347" s="118"/>
    </row>
    <row r="348" spans="2:16">
      <c r="B348" s="118"/>
      <c r="C348" s="118"/>
      <c r="D348" s="118"/>
      <c r="E348" s="118"/>
      <c r="F348" s="118"/>
      <c r="G348" s="118"/>
      <c r="H348" s="118"/>
      <c r="I348" s="118"/>
      <c r="J348" s="118"/>
      <c r="K348" s="118"/>
      <c r="L348" s="118"/>
      <c r="M348" s="118"/>
      <c r="N348" s="118"/>
      <c r="O348" s="118"/>
      <c r="P348" s="118"/>
    </row>
    <row r="349" spans="2:16">
      <c r="B349" s="118"/>
      <c r="C349" s="118"/>
      <c r="D349" s="118"/>
      <c r="E349" s="118"/>
      <c r="F349" s="118"/>
      <c r="G349" s="118"/>
      <c r="H349" s="118"/>
      <c r="I349" s="118"/>
      <c r="J349" s="118"/>
      <c r="K349" s="118"/>
      <c r="L349" s="118"/>
      <c r="M349" s="118"/>
      <c r="N349" s="118"/>
      <c r="O349" s="118"/>
      <c r="P349" s="118"/>
    </row>
    <row r="350" spans="2:16">
      <c r="B350" s="118"/>
      <c r="C350" s="118"/>
      <c r="D350" s="118"/>
      <c r="E350" s="118"/>
      <c r="F350" s="118"/>
      <c r="G350" s="118"/>
      <c r="H350" s="118"/>
      <c r="I350" s="118"/>
      <c r="J350" s="118"/>
      <c r="K350" s="118"/>
      <c r="L350" s="118"/>
      <c r="M350" s="118"/>
      <c r="N350" s="118"/>
      <c r="O350" s="118"/>
      <c r="P350" s="118"/>
    </row>
    <row r="351" spans="2:16">
      <c r="B351" s="118"/>
      <c r="C351" s="118"/>
      <c r="D351" s="118"/>
      <c r="E351" s="118"/>
      <c r="F351" s="118"/>
      <c r="G351" s="118"/>
      <c r="H351" s="118"/>
      <c r="I351" s="118"/>
      <c r="J351" s="118"/>
      <c r="K351" s="118"/>
      <c r="L351" s="118"/>
      <c r="M351" s="118"/>
      <c r="N351" s="118"/>
      <c r="O351" s="118"/>
      <c r="P351" s="118"/>
    </row>
    <row r="352" spans="2:16">
      <c r="B352" s="118"/>
      <c r="C352" s="118"/>
      <c r="D352" s="118"/>
      <c r="E352" s="118"/>
      <c r="F352" s="118"/>
      <c r="G352" s="118"/>
      <c r="H352" s="118"/>
      <c r="I352" s="118"/>
      <c r="J352" s="118"/>
      <c r="K352" s="118"/>
      <c r="L352" s="118"/>
      <c r="M352" s="118"/>
      <c r="N352" s="118"/>
      <c r="O352" s="118"/>
      <c r="P352" s="118"/>
    </row>
    <row r="353" spans="2:16">
      <c r="B353" s="118"/>
      <c r="C353" s="118"/>
      <c r="D353" s="118"/>
      <c r="E353" s="118"/>
      <c r="F353" s="118"/>
      <c r="G353" s="118"/>
      <c r="H353" s="118"/>
      <c r="I353" s="118"/>
      <c r="J353" s="118"/>
      <c r="K353" s="118"/>
      <c r="L353" s="118"/>
      <c r="M353" s="118"/>
      <c r="N353" s="118"/>
      <c r="O353" s="118"/>
      <c r="P353" s="118"/>
    </row>
    <row r="354" spans="2:16">
      <c r="B354" s="118"/>
      <c r="C354" s="118"/>
      <c r="D354" s="118"/>
      <c r="E354" s="118"/>
      <c r="F354" s="118"/>
      <c r="G354" s="118"/>
      <c r="H354" s="118"/>
      <c r="I354" s="118"/>
      <c r="J354" s="118"/>
      <c r="K354" s="118"/>
      <c r="L354" s="118"/>
      <c r="M354" s="118"/>
      <c r="N354" s="118"/>
      <c r="O354" s="118"/>
      <c r="P354" s="118"/>
    </row>
    <row r="355" spans="2:16">
      <c r="B355" s="118"/>
      <c r="C355" s="118"/>
      <c r="D355" s="118"/>
      <c r="E355" s="118"/>
      <c r="F355" s="118"/>
      <c r="G355" s="118"/>
      <c r="H355" s="118"/>
      <c r="I355" s="118"/>
      <c r="J355" s="118"/>
      <c r="K355" s="118"/>
      <c r="L355" s="118"/>
      <c r="M355" s="118"/>
      <c r="N355" s="118"/>
      <c r="O355" s="118"/>
      <c r="P355" s="118"/>
    </row>
    <row r="356" spans="2:16">
      <c r="B356" s="118"/>
      <c r="C356" s="118"/>
      <c r="D356" s="118"/>
      <c r="E356" s="118"/>
      <c r="F356" s="118"/>
      <c r="G356" s="118"/>
      <c r="H356" s="118"/>
      <c r="I356" s="118"/>
      <c r="J356" s="118"/>
      <c r="K356" s="118"/>
      <c r="L356" s="118"/>
      <c r="M356" s="118"/>
      <c r="N356" s="118"/>
      <c r="O356" s="118"/>
      <c r="P356" s="118"/>
    </row>
    <row r="357" spans="2:16">
      <c r="B357" s="118"/>
      <c r="C357" s="118"/>
      <c r="D357" s="118"/>
      <c r="E357" s="118"/>
      <c r="F357" s="118"/>
      <c r="G357" s="118"/>
      <c r="H357" s="118"/>
      <c r="I357" s="118"/>
      <c r="J357" s="118"/>
      <c r="K357" s="118"/>
      <c r="L357" s="118"/>
      <c r="M357" s="118"/>
      <c r="N357" s="118"/>
      <c r="O357" s="118"/>
      <c r="P357" s="118"/>
    </row>
    <row r="358" spans="2:16">
      <c r="B358" s="118"/>
      <c r="C358" s="118"/>
      <c r="D358" s="118"/>
      <c r="E358" s="118"/>
      <c r="F358" s="118"/>
      <c r="G358" s="118"/>
      <c r="H358" s="118"/>
      <c r="I358" s="118"/>
      <c r="J358" s="118"/>
      <c r="K358" s="118"/>
      <c r="L358" s="118"/>
      <c r="M358" s="118"/>
      <c r="N358" s="118"/>
      <c r="O358" s="118"/>
      <c r="P358" s="118"/>
    </row>
    <row r="359" spans="2:16">
      <c r="B359" s="118"/>
      <c r="C359" s="118"/>
      <c r="D359" s="118"/>
      <c r="E359" s="118"/>
      <c r="F359" s="118"/>
      <c r="G359" s="118"/>
      <c r="H359" s="118"/>
      <c r="I359" s="118"/>
      <c r="J359" s="118"/>
      <c r="K359" s="118"/>
      <c r="L359" s="118"/>
      <c r="M359" s="118"/>
      <c r="N359" s="118"/>
      <c r="O359" s="118"/>
      <c r="P359" s="118"/>
    </row>
    <row r="360" spans="2:16">
      <c r="B360" s="118"/>
      <c r="C360" s="118"/>
      <c r="D360" s="118"/>
      <c r="E360" s="118"/>
      <c r="F360" s="118"/>
      <c r="G360" s="118"/>
      <c r="H360" s="118"/>
      <c r="I360" s="118"/>
      <c r="J360" s="118"/>
      <c r="K360" s="118"/>
      <c r="L360" s="118"/>
      <c r="M360" s="118"/>
      <c r="N360" s="118"/>
      <c r="O360" s="118"/>
      <c r="P360" s="118"/>
    </row>
    <row r="361" spans="2:16">
      <c r="B361" s="118"/>
      <c r="C361" s="118"/>
      <c r="D361" s="118"/>
      <c r="E361" s="118"/>
      <c r="F361" s="118"/>
      <c r="G361" s="118"/>
      <c r="H361" s="118"/>
      <c r="I361" s="118"/>
      <c r="J361" s="118"/>
      <c r="K361" s="118"/>
      <c r="L361" s="118"/>
      <c r="M361" s="118"/>
      <c r="N361" s="118"/>
      <c r="O361" s="118"/>
      <c r="P361" s="118"/>
    </row>
    <row r="362" spans="2:16">
      <c r="B362" s="118"/>
      <c r="C362" s="118"/>
      <c r="D362" s="118"/>
      <c r="E362" s="118"/>
      <c r="F362" s="118"/>
      <c r="G362" s="118"/>
      <c r="H362" s="118"/>
      <c r="I362" s="118"/>
      <c r="J362" s="118"/>
      <c r="K362" s="118"/>
      <c r="L362" s="118"/>
      <c r="M362" s="118"/>
      <c r="N362" s="118"/>
      <c r="O362" s="118"/>
      <c r="P362" s="118"/>
    </row>
    <row r="363" spans="2:16">
      <c r="B363" s="118"/>
      <c r="C363" s="118"/>
      <c r="D363" s="118"/>
      <c r="E363" s="118"/>
      <c r="F363" s="118"/>
      <c r="G363" s="118"/>
      <c r="H363" s="118"/>
      <c r="I363" s="118"/>
      <c r="J363" s="118"/>
      <c r="K363" s="118"/>
      <c r="L363" s="118"/>
      <c r="M363" s="118"/>
      <c r="N363" s="118"/>
      <c r="O363" s="118"/>
      <c r="P363" s="118"/>
    </row>
    <row r="364" spans="2:16">
      <c r="B364" s="118"/>
      <c r="C364" s="118"/>
      <c r="D364" s="118"/>
      <c r="E364" s="118"/>
      <c r="F364" s="118"/>
      <c r="G364" s="118"/>
      <c r="H364" s="118"/>
      <c r="I364" s="118"/>
      <c r="J364" s="118"/>
      <c r="K364" s="118"/>
      <c r="L364" s="118"/>
      <c r="M364" s="118"/>
      <c r="N364" s="118"/>
      <c r="O364" s="118"/>
      <c r="P364" s="118"/>
    </row>
    <row r="365" spans="2:16">
      <c r="B365" s="118"/>
      <c r="C365" s="118"/>
      <c r="D365" s="118"/>
      <c r="E365" s="118"/>
      <c r="F365" s="118"/>
      <c r="G365" s="118"/>
      <c r="H365" s="118"/>
      <c r="I365" s="118"/>
      <c r="J365" s="118"/>
      <c r="K365" s="118"/>
      <c r="L365" s="118"/>
      <c r="M365" s="118"/>
      <c r="N365" s="118"/>
      <c r="O365" s="118"/>
      <c r="P365" s="118"/>
    </row>
    <row r="366" spans="2:16">
      <c r="B366" s="118"/>
      <c r="C366" s="118"/>
      <c r="D366" s="118"/>
      <c r="E366" s="118"/>
      <c r="F366" s="118"/>
      <c r="G366" s="118"/>
      <c r="H366" s="118"/>
      <c r="I366" s="118"/>
      <c r="J366" s="118"/>
      <c r="K366" s="118"/>
      <c r="L366" s="118"/>
      <c r="M366" s="118"/>
      <c r="N366" s="118"/>
      <c r="O366" s="118"/>
      <c r="P366" s="118"/>
    </row>
    <row r="367" spans="2:16">
      <c r="B367" s="118"/>
      <c r="C367" s="118"/>
      <c r="D367" s="118"/>
      <c r="E367" s="118"/>
      <c r="F367" s="118"/>
      <c r="G367" s="118"/>
      <c r="H367" s="118"/>
      <c r="I367" s="118"/>
      <c r="J367" s="118"/>
      <c r="K367" s="118"/>
      <c r="L367" s="118"/>
      <c r="M367" s="118"/>
      <c r="N367" s="118"/>
      <c r="O367" s="118"/>
      <c r="P367" s="118"/>
    </row>
    <row r="368" spans="2:16">
      <c r="B368" s="118"/>
      <c r="C368" s="118"/>
      <c r="D368" s="118"/>
      <c r="E368" s="118"/>
      <c r="F368" s="118"/>
      <c r="G368" s="118"/>
      <c r="H368" s="118"/>
      <c r="I368" s="118"/>
      <c r="J368" s="118"/>
      <c r="K368" s="118"/>
      <c r="L368" s="118"/>
      <c r="M368" s="118"/>
      <c r="N368" s="118"/>
      <c r="O368" s="118"/>
      <c r="P368" s="118"/>
    </row>
    <row r="369" spans="2:16">
      <c r="B369" s="118"/>
      <c r="C369" s="118"/>
      <c r="D369" s="118"/>
      <c r="E369" s="118"/>
      <c r="F369" s="118"/>
      <c r="G369" s="118"/>
      <c r="H369" s="118"/>
      <c r="I369" s="118"/>
      <c r="J369" s="118"/>
      <c r="K369" s="118"/>
      <c r="L369" s="118"/>
      <c r="M369" s="118"/>
      <c r="N369" s="118"/>
      <c r="O369" s="118"/>
      <c r="P369" s="118"/>
    </row>
    <row r="370" spans="2:16">
      <c r="B370" s="118"/>
      <c r="C370" s="118"/>
      <c r="D370" s="118"/>
      <c r="E370" s="118"/>
      <c r="F370" s="118"/>
      <c r="G370" s="118"/>
      <c r="H370" s="118"/>
      <c r="I370" s="118"/>
      <c r="J370" s="118"/>
      <c r="K370" s="118"/>
      <c r="L370" s="118"/>
      <c r="M370" s="118"/>
      <c r="N370" s="118"/>
      <c r="O370" s="118"/>
      <c r="P370" s="118"/>
    </row>
    <row r="371" spans="2:16">
      <c r="B371" s="118"/>
      <c r="C371" s="118"/>
      <c r="D371" s="118"/>
      <c r="E371" s="118"/>
      <c r="F371" s="118"/>
      <c r="G371" s="118"/>
      <c r="H371" s="118"/>
      <c r="I371" s="118"/>
      <c r="J371" s="118"/>
      <c r="K371" s="118"/>
      <c r="L371" s="118"/>
      <c r="M371" s="118"/>
      <c r="N371" s="118"/>
      <c r="O371" s="118"/>
      <c r="P371" s="118"/>
    </row>
    <row r="372" spans="2:16">
      <c r="B372" s="118"/>
      <c r="C372" s="118"/>
      <c r="D372" s="118"/>
      <c r="E372" s="118"/>
      <c r="F372" s="118"/>
      <c r="G372" s="118"/>
      <c r="H372" s="118"/>
      <c r="I372" s="118"/>
      <c r="J372" s="118"/>
      <c r="K372" s="118"/>
      <c r="L372" s="118"/>
      <c r="M372" s="118"/>
      <c r="N372" s="118"/>
      <c r="O372" s="118"/>
      <c r="P372" s="118"/>
    </row>
    <row r="373" spans="2:16">
      <c r="B373" s="118"/>
      <c r="C373" s="118"/>
      <c r="D373" s="118"/>
      <c r="E373" s="118"/>
      <c r="F373" s="118"/>
      <c r="G373" s="118"/>
      <c r="H373" s="118"/>
      <c r="I373" s="118"/>
      <c r="J373" s="118"/>
      <c r="K373" s="118"/>
      <c r="L373" s="118"/>
      <c r="M373" s="118"/>
      <c r="N373" s="118"/>
      <c r="O373" s="118"/>
      <c r="P373" s="118"/>
    </row>
    <row r="374" spans="2:16">
      <c r="N374" s="118"/>
      <c r="O374" s="118"/>
      <c r="P374" s="118"/>
    </row>
    <row r="375" spans="2:16">
      <c r="N375" s="118"/>
      <c r="O375" s="118"/>
      <c r="P375" s="118"/>
    </row>
    <row r="376" spans="2:16">
      <c r="N376" s="118"/>
      <c r="O376" s="118"/>
      <c r="P376" s="118"/>
    </row>
    <row r="377" spans="2:16">
      <c r="N377" s="118"/>
      <c r="O377" s="118"/>
      <c r="P377" s="118"/>
    </row>
    <row r="378" spans="2:16">
      <c r="N378" s="118"/>
      <c r="O378" s="118"/>
      <c r="P378" s="118"/>
    </row>
    <row r="379" spans="2:16">
      <c r="N379" s="118"/>
      <c r="O379" s="118"/>
      <c r="P379" s="118"/>
    </row>
    <row r="380" spans="2:16">
      <c r="N380" s="118"/>
      <c r="O380" s="118"/>
      <c r="P380" s="118"/>
    </row>
    <row r="381" spans="2:16">
      <c r="N381" s="118"/>
      <c r="O381" s="118"/>
      <c r="P381" s="118"/>
    </row>
    <row r="382" spans="2:16">
      <c r="N382" s="118"/>
      <c r="O382" s="118"/>
      <c r="P382" s="118"/>
    </row>
    <row r="383" spans="2:16">
      <c r="N383" s="118"/>
      <c r="O383" s="118"/>
      <c r="P383" s="118"/>
    </row>
    <row r="384" spans="2:16">
      <c r="N384" s="118"/>
      <c r="O384" s="118"/>
      <c r="P384" s="118"/>
    </row>
    <row r="385" spans="14:16">
      <c r="N385" s="118"/>
      <c r="O385" s="118"/>
      <c r="P385" s="118"/>
    </row>
  </sheetData>
  <mergeCells count="10">
    <mergeCell ref="B1:C1"/>
    <mergeCell ref="J8:J9"/>
    <mergeCell ref="A5:M5"/>
    <mergeCell ref="A8:A9"/>
    <mergeCell ref="M8:M9"/>
    <mergeCell ref="E8:E9"/>
    <mergeCell ref="F8:F9"/>
    <mergeCell ref="I8:I9"/>
    <mergeCell ref="G8:G9"/>
    <mergeCell ref="H8:H9"/>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47" fitToHeight="2"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enableFormatConditionsCalculation="0">
    <tabColor theme="6" tint="0.39997558519241921"/>
    <pageSetUpPr fitToPage="1"/>
  </sheetPr>
  <dimension ref="A1:T385"/>
  <sheetViews>
    <sheetView workbookViewId="0">
      <pane xSplit="1" ySplit="9" topLeftCell="B10" activePane="bottomRight" state="frozen"/>
      <selection activeCell="B2" sqref="B2:C2"/>
      <selection pane="topRight" activeCell="B2" sqref="B2:C2"/>
      <selection pane="bottomLeft" activeCell="B2" sqref="B2:C2"/>
      <selection pane="bottomRight" activeCell="A4" sqref="A4:O4"/>
    </sheetView>
  </sheetViews>
  <sheetFormatPr baseColWidth="10" defaultColWidth="10.33203125" defaultRowHeight="12" x14ac:dyDescent="0"/>
  <cols>
    <col min="1" max="16" width="8.6640625" style="76" customWidth="1"/>
    <col min="17" max="16384" width="10.33203125" style="76"/>
  </cols>
  <sheetData>
    <row r="1" spans="1:20">
      <c r="A1" s="75"/>
      <c r="B1" s="2252" t="s">
        <v>1416</v>
      </c>
      <c r="C1" s="2252"/>
      <c r="D1" s="75"/>
      <c r="E1" s="75"/>
      <c r="F1" s="75"/>
      <c r="G1" s="75"/>
      <c r="H1" s="75"/>
      <c r="I1" s="75"/>
      <c r="J1" s="75"/>
      <c r="K1" s="75"/>
      <c r="L1" s="75"/>
      <c r="M1" s="75"/>
      <c r="N1" s="75"/>
    </row>
    <row r="2" spans="1:20">
      <c r="A2" s="75"/>
      <c r="B2" s="1818"/>
      <c r="C2" s="1818"/>
      <c r="D2" s="75"/>
      <c r="E2" s="75"/>
      <c r="F2" s="75"/>
      <c r="G2" s="75"/>
      <c r="H2" s="75"/>
      <c r="I2" s="75"/>
      <c r="J2" s="75"/>
      <c r="K2" s="75"/>
      <c r="L2" s="75"/>
      <c r="M2" s="75"/>
      <c r="N2" s="75"/>
    </row>
    <row r="3" spans="1:20" ht="13" thickBot="1"/>
    <row r="4" spans="1:20" ht="19.75" customHeight="1" thickTop="1">
      <c r="A4" s="2264" t="s">
        <v>1146</v>
      </c>
      <c r="B4" s="2265"/>
      <c r="C4" s="2265"/>
      <c r="D4" s="2265"/>
      <c r="E4" s="2265"/>
      <c r="F4" s="2265"/>
      <c r="G4" s="2265"/>
      <c r="H4" s="2265"/>
      <c r="I4" s="2265"/>
      <c r="J4" s="2265"/>
      <c r="K4" s="2265"/>
      <c r="L4" s="2265"/>
      <c r="M4" s="2265"/>
      <c r="N4" s="2265"/>
      <c r="O4" s="2266"/>
    </row>
    <row r="5" spans="1:20">
      <c r="A5" s="120"/>
      <c r="B5" s="83"/>
      <c r="C5" s="83"/>
      <c r="D5" s="83"/>
      <c r="E5" s="83"/>
      <c r="F5" s="83"/>
      <c r="G5" s="83"/>
      <c r="H5" s="83"/>
      <c r="I5" s="83"/>
      <c r="J5" s="83"/>
      <c r="K5" s="83"/>
      <c r="L5" s="83"/>
      <c r="M5" s="83"/>
      <c r="N5" s="83"/>
      <c r="O5" s="121"/>
    </row>
    <row r="6" spans="1:20">
      <c r="A6" s="120"/>
      <c r="B6" s="123" t="s">
        <v>952</v>
      </c>
      <c r="C6" s="123" t="s">
        <v>953</v>
      </c>
      <c r="D6" s="123" t="s">
        <v>954</v>
      </c>
      <c r="E6" s="123" t="s">
        <v>955</v>
      </c>
      <c r="F6" s="123" t="s">
        <v>956</v>
      </c>
      <c r="G6" s="123" t="s">
        <v>957</v>
      </c>
      <c r="H6" s="123" t="s">
        <v>958</v>
      </c>
      <c r="I6" s="123" t="s">
        <v>959</v>
      </c>
      <c r="J6" s="123" t="s">
        <v>960</v>
      </c>
      <c r="K6" s="123" t="s">
        <v>961</v>
      </c>
      <c r="L6" s="123" t="s">
        <v>962</v>
      </c>
      <c r="M6" s="110" t="s">
        <v>963</v>
      </c>
      <c r="N6" s="110" t="s">
        <v>964</v>
      </c>
      <c r="O6" s="124" t="s">
        <v>965</v>
      </c>
    </row>
    <row r="7" spans="1:20">
      <c r="A7" s="120"/>
      <c r="B7" s="2528" t="s">
        <v>999</v>
      </c>
      <c r="C7" s="2529"/>
      <c r="D7" s="2529"/>
      <c r="E7" s="2529"/>
      <c r="F7" s="2529"/>
      <c r="G7" s="2529"/>
      <c r="H7" s="2529"/>
      <c r="I7" s="2530" t="s">
        <v>1005</v>
      </c>
      <c r="J7" s="2529"/>
      <c r="K7" s="2529"/>
      <c r="L7" s="2529"/>
      <c r="M7" s="2529"/>
      <c r="N7" s="2529"/>
      <c r="O7" s="2531"/>
    </row>
    <row r="8" spans="1:20" ht="49.75" customHeight="1">
      <c r="A8" s="2270"/>
      <c r="B8" s="166" t="s">
        <v>185</v>
      </c>
      <c r="C8" s="1070" t="s">
        <v>238</v>
      </c>
      <c r="D8" s="2015" t="s">
        <v>1454</v>
      </c>
      <c r="E8" s="1070" t="s">
        <v>239</v>
      </c>
      <c r="F8" s="208" t="s">
        <v>186</v>
      </c>
      <c r="G8" s="1819" t="s">
        <v>187</v>
      </c>
      <c r="H8" s="268" t="s">
        <v>74</v>
      </c>
      <c r="I8" s="1070" t="s">
        <v>185</v>
      </c>
      <c r="J8" s="1070" t="s">
        <v>238</v>
      </c>
      <c r="K8" s="2015" t="s">
        <v>1454</v>
      </c>
      <c r="L8" s="1070" t="s">
        <v>239</v>
      </c>
      <c r="M8" s="208" t="s">
        <v>186</v>
      </c>
      <c r="N8" s="208" t="s">
        <v>187</v>
      </c>
      <c r="O8" s="269" t="s">
        <v>237</v>
      </c>
    </row>
    <row r="9" spans="1:20" ht="49.75" customHeight="1">
      <c r="A9" s="2270"/>
      <c r="B9" s="125" t="s">
        <v>1000</v>
      </c>
      <c r="C9" s="1069" t="s">
        <v>1001</v>
      </c>
      <c r="D9" s="1069"/>
      <c r="E9" s="1069" t="s">
        <v>1002</v>
      </c>
      <c r="F9" s="1069" t="s">
        <v>1003</v>
      </c>
      <c r="G9" s="1817" t="s">
        <v>828</v>
      </c>
      <c r="H9" s="227" t="s">
        <v>1004</v>
      </c>
      <c r="I9" s="125" t="s">
        <v>1000</v>
      </c>
      <c r="J9" s="1069" t="s">
        <v>1001</v>
      </c>
      <c r="K9" s="1069"/>
      <c r="L9" s="1069" t="s">
        <v>1002</v>
      </c>
      <c r="M9" s="1069" t="s">
        <v>1003</v>
      </c>
      <c r="N9" s="1817" t="s">
        <v>828</v>
      </c>
      <c r="O9" s="2212" t="s">
        <v>1004</v>
      </c>
      <c r="S9" s="76" t="s">
        <v>1099</v>
      </c>
    </row>
    <row r="10" spans="1:20">
      <c r="A10" s="198">
        <v>1855</v>
      </c>
      <c r="B10" s="202">
        <f>DataUK1!T13/DataUK1!B13</f>
        <v>5.4921840741161562E-2</v>
      </c>
      <c r="C10" s="308">
        <f>DataUK1!AJ13/DataUK1!B13</f>
        <v>0.63129838193696231</v>
      </c>
      <c r="D10" s="308">
        <f>DataUK1!AK13/DataUK1!B13</f>
        <v>0.2115572775984296</v>
      </c>
      <c r="E10" s="308">
        <f>DataUK1!CL13/DataUK1!B13</f>
        <v>0.18496501699918241</v>
      </c>
      <c r="F10" s="308">
        <f>DataUK1!DH13/DataUK1!$B13</f>
        <v>3.4280564925108344E-2</v>
      </c>
      <c r="G10" s="1202">
        <f>DataUK1!C13/DataUK1!$B13</f>
        <v>1.9622179000995898E-2</v>
      </c>
      <c r="H10" s="228">
        <f>DataUK1!K13/DataUK1!$B13</f>
        <v>7.4912016396589495E-2</v>
      </c>
      <c r="I10" s="203">
        <f t="shared" ref="I10:O10" si="0">B10/(1-$H10)</f>
        <v>5.9369315907909156E-2</v>
      </c>
      <c r="J10" s="203">
        <f t="shared" si="0"/>
        <v>0.68241982722326966</v>
      </c>
      <c r="K10" s="203">
        <f t="shared" si="0"/>
        <v>0.22868881808881564</v>
      </c>
      <c r="L10" s="308">
        <f t="shared" si="0"/>
        <v>0.19994316246407734</v>
      </c>
      <c r="M10" s="203">
        <f t="shared" si="0"/>
        <v>3.705654546671161E-2</v>
      </c>
      <c r="N10" s="203">
        <f t="shared" si="0"/>
        <v>2.1211148938032272E-2</v>
      </c>
      <c r="O10" s="265">
        <f t="shared" si="0"/>
        <v>8.0978261229587678E-2</v>
      </c>
      <c r="S10" s="197">
        <f>1-B10-C10-E10-F10-G10-H10</f>
        <v>0</v>
      </c>
      <c r="T10" s="197">
        <f>1-I10-J10-L10-M10-N10</f>
        <v>-5.2041704279304213E-17</v>
      </c>
    </row>
    <row r="11" spans="1:20">
      <c r="A11" s="198">
        <v>1856</v>
      </c>
      <c r="B11" s="202">
        <f>DataUK1!T14/DataUK1!B14</f>
        <v>5.0642859507657831E-2</v>
      </c>
      <c r="C11" s="308">
        <f>DataUK1!AJ14/DataUK1!B14</f>
        <v>0.62741787783974412</v>
      </c>
      <c r="D11" s="308">
        <f>DataUK1!AK14/DataUK1!B14</f>
        <v>0.20590384326324496</v>
      </c>
      <c r="E11" s="308">
        <f>DataUK1!CL14/DataUK1!B14</f>
        <v>0.19127674406247594</v>
      </c>
      <c r="F11" s="308">
        <f>DataUK1!DH14/DataUK1!$B14</f>
        <v>3.4157763470821369E-2</v>
      </c>
      <c r="G11" s="1202">
        <f>DataUK1!C14/DataUK1!$B14</f>
        <v>2.1592265442873841E-2</v>
      </c>
      <c r="H11" s="228">
        <f>DataUK1!K14/DataUK1!$B14</f>
        <v>7.4912489676426872E-2</v>
      </c>
      <c r="I11" s="203">
        <f t="shared" ref="I11:I74" si="1">B11/(1-$H11)</f>
        <v>5.4743858221525644E-2</v>
      </c>
      <c r="J11" s="203">
        <f t="shared" ref="J11:J74" si="2">C11/(1-$H11)</f>
        <v>0.67822543363523369</v>
      </c>
      <c r="K11" s="203">
        <f t="shared" ref="K11:K74" si="3">D11/(1-$H11)</f>
        <v>0.22257769234310038</v>
      </c>
      <c r="L11" s="308">
        <f t="shared" ref="L11:L74" si="4">E11/(1-$H11)</f>
        <v>0.20676610799293135</v>
      </c>
      <c r="M11" s="203">
        <f t="shared" ref="M11:M74" si="5">F11/(1-$H11)</f>
        <v>3.6923818654598213E-2</v>
      </c>
      <c r="N11" s="203">
        <f t="shared" ref="N11:N74" si="6">G11/(1-$H11)</f>
        <v>2.3340781495711029E-2</v>
      </c>
      <c r="O11" s="265">
        <f t="shared" ref="O11:O74" si="7">H11/(1-$H11)</f>
        <v>8.0978814263987092E-2</v>
      </c>
      <c r="S11" s="197">
        <f t="shared" ref="S11:S69" si="8">1-B11-C11-E11-F11-G11-H11</f>
        <v>0</v>
      </c>
      <c r="T11" s="197">
        <f t="shared" ref="T11:T69" si="9">1-I11-J11-L11-M11-N11</f>
        <v>1.0755285551056204E-16</v>
      </c>
    </row>
    <row r="12" spans="1:20">
      <c r="A12" s="198">
        <v>1857</v>
      </c>
      <c r="B12" s="202">
        <f>DataUK1!T15/DataUK1!B15</f>
        <v>5.3112231385090046E-2</v>
      </c>
      <c r="C12" s="308">
        <f>DataUK1!AJ15/DataUK1!B15</f>
        <v>0.63680050899192575</v>
      </c>
      <c r="D12" s="308">
        <f>DataUK1!AK15/DataUK1!B15</f>
        <v>0.2181891114708317</v>
      </c>
      <c r="E12" s="308">
        <f>DataUK1!CL15/DataUK1!B15</f>
        <v>0.17760340855574167</v>
      </c>
      <c r="F12" s="308">
        <f>DataUK1!DH15/DataUK1!$B15</f>
        <v>3.4109981752655255E-2</v>
      </c>
      <c r="G12" s="1202">
        <f>DataUK1!C15/DataUK1!$B15</f>
        <v>2.3461194781809858E-2</v>
      </c>
      <c r="H12" s="228">
        <f>DataUK1!K15/DataUK1!$B15</f>
        <v>7.4912674532777404E-2</v>
      </c>
      <c r="I12" s="203">
        <f t="shared" si="1"/>
        <v>5.7413208378209374E-2</v>
      </c>
      <c r="J12" s="203">
        <f t="shared" si="2"/>
        <v>0.68836799668647997</v>
      </c>
      <c r="K12" s="203">
        <f t="shared" si="3"/>
        <v>0.2358578541335366</v>
      </c>
      <c r="L12" s="308">
        <f t="shared" si="4"/>
        <v>0.19198556035349601</v>
      </c>
      <c r="M12" s="203">
        <f t="shared" si="5"/>
        <v>3.6872174997563331E-2</v>
      </c>
      <c r="N12" s="203">
        <f t="shared" si="6"/>
        <v>2.5361059584251246E-2</v>
      </c>
      <c r="O12" s="265">
        <f t="shared" si="7"/>
        <v>8.0979030271485092E-2</v>
      </c>
      <c r="S12" s="197">
        <f t="shared" si="8"/>
        <v>0</v>
      </c>
      <c r="T12" s="197">
        <f t="shared" si="9"/>
        <v>4.5102810375396984E-17</v>
      </c>
    </row>
    <row r="13" spans="1:20">
      <c r="A13" s="198">
        <v>1858</v>
      </c>
      <c r="B13" s="202">
        <f>DataUK1!T16/DataUK1!B16</f>
        <v>5.6745251465537792E-2</v>
      </c>
      <c r="C13" s="308">
        <f>DataUK1!AJ16/DataUK1!B16</f>
        <v>0.61559551664834256</v>
      </c>
      <c r="D13" s="308">
        <f>DataUK1!AK16/DataUK1!B16</f>
        <v>0.20864494440441242</v>
      </c>
      <c r="E13" s="308">
        <f>DataUK1!CL16/DataUK1!B16</f>
        <v>0.19478662327834664</v>
      </c>
      <c r="F13" s="308">
        <f>DataUK1!DH16/DataUK1!$B16</f>
        <v>3.4142124543112225E-2</v>
      </c>
      <c r="G13" s="1202">
        <f>DataUK1!C16/DataUK1!$B16</f>
        <v>2.3817916027900964E-2</v>
      </c>
      <c r="H13" s="228">
        <f>DataUK1!K16/DataUK1!$B16</f>
        <v>7.4912568036759788E-2</v>
      </c>
      <c r="I13" s="203">
        <f t="shared" si="1"/>
        <v>6.1340419840221823E-2</v>
      </c>
      <c r="J13" s="203">
        <f t="shared" si="2"/>
        <v>0.66544576801990785</v>
      </c>
      <c r="K13" s="203">
        <f t="shared" si="3"/>
        <v>0.22554078370908326</v>
      </c>
      <c r="L13" s="308">
        <f t="shared" si="4"/>
        <v>0.21056023090159851</v>
      </c>
      <c r="M13" s="203">
        <f t="shared" si="5"/>
        <v>3.6906916431298911E-2</v>
      </c>
      <c r="N13" s="203">
        <f t="shared" si="6"/>
        <v>2.5746664806972977E-2</v>
      </c>
      <c r="O13" s="265">
        <f t="shared" si="7"/>
        <v>8.0978905829234699E-2</v>
      </c>
      <c r="S13" s="197">
        <f t="shared" si="8"/>
        <v>0</v>
      </c>
      <c r="T13" s="197">
        <f t="shared" si="9"/>
        <v>-1.1102230246251565E-16</v>
      </c>
    </row>
    <row r="14" spans="1:20">
      <c r="A14" s="198">
        <v>1859</v>
      </c>
      <c r="B14" s="241">
        <f>DataUK1!T17/DataUK1!B17</f>
        <v>5.7890945640139586E-2</v>
      </c>
      <c r="C14" s="550">
        <f>DataUK1!AJ17/DataUK1!B17</f>
        <v>0.59340477782902823</v>
      </c>
      <c r="D14" s="550">
        <f>DataUK1!AK17/DataUK1!B17</f>
        <v>0.19600223472525111</v>
      </c>
      <c r="E14" s="550">
        <f>DataUK1!CL17/DataUK1!B17</f>
        <v>0.21547621888686347</v>
      </c>
      <c r="F14" s="550">
        <f>DataUK1!DH17/DataUK1!$B17</f>
        <v>3.4043259006315947E-2</v>
      </c>
      <c r="G14" s="1960">
        <f>DataUK1!C17/DataUK1!$B17</f>
        <v>2.4271838507643275E-2</v>
      </c>
      <c r="H14" s="230">
        <f>DataUK1!K17/DataUK1!$B17</f>
        <v>7.4912960130009421E-2</v>
      </c>
      <c r="I14" s="216">
        <f t="shared" si="1"/>
        <v>6.257891759922983E-2</v>
      </c>
      <c r="J14" s="216">
        <f t="shared" si="2"/>
        <v>0.64145831933006414</v>
      </c>
      <c r="K14" s="216">
        <f t="shared" si="3"/>
        <v>0.21187437103518039</v>
      </c>
      <c r="L14" s="550">
        <f t="shared" si="4"/>
        <v>0.23292534604867662</v>
      </c>
      <c r="M14" s="216">
        <f t="shared" si="5"/>
        <v>3.6800060469013053E-2</v>
      </c>
      <c r="N14" s="216">
        <f t="shared" si="6"/>
        <v>2.6237356553016219E-2</v>
      </c>
      <c r="O14" s="267">
        <f t="shared" si="7"/>
        <v>8.09793639964273E-2</v>
      </c>
      <c r="S14" s="197">
        <f t="shared" si="8"/>
        <v>0</v>
      </c>
      <c r="T14" s="197">
        <f t="shared" si="9"/>
        <v>1.1796119636642288E-16</v>
      </c>
    </row>
    <row r="15" spans="1:20">
      <c r="A15" s="198">
        <v>1860</v>
      </c>
      <c r="B15" s="202">
        <f>DataUK1!T18/DataUK1!B18</f>
        <v>5.5415376384082921E-2</v>
      </c>
      <c r="C15" s="308">
        <f>DataUK1!AJ18/DataUK1!B18</f>
        <v>0.58286983693184291</v>
      </c>
      <c r="D15" s="203">
        <f>DataUK1!AK18/DataUK1!B18</f>
        <v>0.18746937079297157</v>
      </c>
      <c r="E15" s="308">
        <f>DataUK1!CL18/DataUK1!B18</f>
        <v>0.22673100753756659</v>
      </c>
      <c r="F15" s="308">
        <f>DataUK1!DH18/DataUK1!$B18</f>
        <v>3.3941336026666692E-2</v>
      </c>
      <c r="G15" s="1202">
        <f>DataUK1!C18/DataUK1!$B18</f>
        <v>2.6129093640452319E-2</v>
      </c>
      <c r="H15" s="228">
        <f>DataUK1!K18/DataUK1!$B18</f>
        <v>7.4913349479388547E-2</v>
      </c>
      <c r="I15" s="203">
        <f t="shared" si="1"/>
        <v>5.9902903531141416E-2</v>
      </c>
      <c r="J15" s="203">
        <f t="shared" si="2"/>
        <v>0.63007053080251563</v>
      </c>
      <c r="K15" s="203">
        <f t="shared" si="3"/>
        <v>0.20265060649990932</v>
      </c>
      <c r="L15" s="308">
        <f t="shared" si="4"/>
        <v>0.24509164348006651</v>
      </c>
      <c r="M15" s="203">
        <f t="shared" si="5"/>
        <v>3.668989927329025E-2</v>
      </c>
      <c r="N15" s="203">
        <f t="shared" si="6"/>
        <v>2.8245022912986192E-2</v>
      </c>
      <c r="O15" s="265">
        <f t="shared" si="7"/>
        <v>8.0979818957747932E-2</v>
      </c>
      <c r="S15" s="197">
        <f t="shared" si="8"/>
        <v>0</v>
      </c>
      <c r="T15" s="197">
        <f t="shared" si="9"/>
        <v>5.8980598183211441E-17</v>
      </c>
    </row>
    <row r="16" spans="1:20">
      <c r="A16" s="198">
        <v>1861</v>
      </c>
      <c r="B16" s="202">
        <f>DataUK1!T19/DataUK1!B19</f>
        <v>5.5828672212835197E-2</v>
      </c>
      <c r="C16" s="308">
        <f>DataUK1!AJ19/DataUK1!B19</f>
        <v>0.58746606808522395</v>
      </c>
      <c r="D16" s="203">
        <f>DataUK1!AK19/DataUK1!B19</f>
        <v>0.19358112249826423</v>
      </c>
      <c r="E16" s="308">
        <f>DataUK1!CL19/DataUK1!B19</f>
        <v>0.22172077577352328</v>
      </c>
      <c r="F16" s="308">
        <f>DataUK1!DH19/DataUK1!$B19</f>
        <v>3.3882974250698084E-2</v>
      </c>
      <c r="G16" s="1202">
        <f>DataUK1!C19/DataUK1!$B19</f>
        <v>2.6187922415890724E-2</v>
      </c>
      <c r="H16" s="228">
        <f>DataUK1!K19/DataUK1!$B19</f>
        <v>7.4913587261828729E-2</v>
      </c>
      <c r="I16" s="203">
        <f t="shared" si="1"/>
        <v>6.0349683493445147E-2</v>
      </c>
      <c r="J16" s="203">
        <f t="shared" si="2"/>
        <v>0.63503912715178468</v>
      </c>
      <c r="K16" s="203">
        <f t="shared" si="3"/>
        <v>0.2092573405389036</v>
      </c>
      <c r="L16" s="308">
        <f t="shared" si="4"/>
        <v>0.23967574566061353</v>
      </c>
      <c r="M16" s="203">
        <f t="shared" si="5"/>
        <v>3.6626820785755111E-2</v>
      </c>
      <c r="N16" s="203">
        <f t="shared" si="6"/>
        <v>2.830862290840146E-2</v>
      </c>
      <c r="O16" s="265">
        <f t="shared" si="7"/>
        <v>8.0980096810730748E-2</v>
      </c>
      <c r="S16" s="197">
        <f t="shared" si="8"/>
        <v>0</v>
      </c>
      <c r="T16" s="197">
        <f t="shared" si="9"/>
        <v>5.8980598183211441E-17</v>
      </c>
    </row>
    <row r="17" spans="1:20">
      <c r="A17" s="198">
        <v>1862</v>
      </c>
      <c r="B17" s="202">
        <f>DataUK1!T20/DataUK1!B20</f>
        <v>5.6401283432156571E-2</v>
      </c>
      <c r="C17" s="308">
        <f>DataUK1!AJ20/DataUK1!B20</f>
        <v>0.57784386735180238</v>
      </c>
      <c r="D17" s="203">
        <f>DataUK1!AK20/DataUK1!B20</f>
        <v>0.18974368993567806</v>
      </c>
      <c r="E17" s="308">
        <f>DataUK1!CL20/DataUK1!B20</f>
        <v>0.23018944697941551</v>
      </c>
      <c r="F17" s="308">
        <f>DataUK1!DH20/DataUK1!$B20</f>
        <v>3.3873423833725283E-2</v>
      </c>
      <c r="G17" s="1202">
        <f>DataUK1!C20/DataUK1!$B20</f>
        <v>2.6778343337696499E-2</v>
      </c>
      <c r="H17" s="228">
        <f>DataUK1!K20/DataUK1!$B20</f>
        <v>7.4913635065203835E-2</v>
      </c>
      <c r="I17" s="203">
        <f t="shared" si="1"/>
        <v>6.0968667975267329E-2</v>
      </c>
      <c r="J17" s="203">
        <f t="shared" si="2"/>
        <v>0.62463775194928006</v>
      </c>
      <c r="K17" s="203">
        <f t="shared" si="3"/>
        <v>0.20510916291480738</v>
      </c>
      <c r="L17" s="308">
        <f t="shared" si="4"/>
        <v>0.2488302235387938</v>
      </c>
      <c r="M17" s="203">
        <f t="shared" si="5"/>
        <v>3.6616498867230438E-2</v>
      </c>
      <c r="N17" s="203">
        <f t="shared" si="6"/>
        <v>2.894685766942846E-2</v>
      </c>
      <c r="O17" s="265">
        <f t="shared" si="7"/>
        <v>8.0980152669836464E-2</v>
      </c>
      <c r="S17" s="197">
        <f t="shared" si="8"/>
        <v>0</v>
      </c>
      <c r="T17" s="197">
        <f t="shared" si="9"/>
        <v>-1.0755285551056204E-16</v>
      </c>
    </row>
    <row r="18" spans="1:20">
      <c r="A18" s="198">
        <v>1863</v>
      </c>
      <c r="B18" s="202">
        <f>DataUK1!T21/DataUK1!B21</f>
        <v>5.4907564268011813E-2</v>
      </c>
      <c r="C18" s="308">
        <f>DataUK1!AJ21/DataUK1!B21</f>
        <v>0.57415369767830104</v>
      </c>
      <c r="D18" s="203">
        <f>DataUK1!AK21/DataUK1!B21</f>
        <v>0.18591894807209039</v>
      </c>
      <c r="E18" s="308">
        <f>DataUK1!CL21/DataUK1!B21</f>
        <v>0.23635567415578945</v>
      </c>
      <c r="F18" s="308">
        <f>DataUK1!DH21/DataUK1!$B21</f>
        <v>3.3929254449190545E-2</v>
      </c>
      <c r="G18" s="1202">
        <f>DataUK1!C21/DataUK1!$B21</f>
        <v>2.5740360690360613E-2</v>
      </c>
      <c r="H18" s="228">
        <f>DataUK1!K21/DataUK1!$B21</f>
        <v>7.4913448758346449E-2</v>
      </c>
      <c r="I18" s="203">
        <f t="shared" si="1"/>
        <v>5.9353975251628881E-2</v>
      </c>
      <c r="J18" s="203">
        <f t="shared" si="2"/>
        <v>0.62064862677732213</v>
      </c>
      <c r="K18" s="203">
        <f t="shared" si="3"/>
        <v>0.2009746523960915</v>
      </c>
      <c r="L18" s="308">
        <f t="shared" si="4"/>
        <v>0.25549574127799424</v>
      </c>
      <c r="M18" s="203">
        <f t="shared" si="5"/>
        <v>3.6676843267963E-2</v>
      </c>
      <c r="N18" s="203">
        <f t="shared" si="6"/>
        <v>2.7824813425091778E-2</v>
      </c>
      <c r="O18" s="265">
        <f t="shared" si="7"/>
        <v>8.0979934966947067E-2</v>
      </c>
      <c r="S18" s="197">
        <f t="shared" si="8"/>
        <v>0</v>
      </c>
      <c r="T18" s="197">
        <f t="shared" si="9"/>
        <v>-3.4694469519536142E-17</v>
      </c>
    </row>
    <row r="19" spans="1:20">
      <c r="A19" s="198">
        <v>1864</v>
      </c>
      <c r="B19" s="202">
        <f>DataUK1!T22/DataUK1!B22</f>
        <v>5.5845217295132026E-2</v>
      </c>
      <c r="C19" s="308">
        <f>DataUK1!AJ22/DataUK1!B22</f>
        <v>0.54852379134281581</v>
      </c>
      <c r="D19" s="203">
        <f>DataUK1!AK22/DataUK1!B22</f>
        <v>0.1680944546116642</v>
      </c>
      <c r="E19" s="308">
        <f>DataUK1!CL22/DataUK1!B22</f>
        <v>0.25960085035028568</v>
      </c>
      <c r="F19" s="308">
        <f>DataUK1!DH22/DataUK1!$B22</f>
        <v>3.3905360689717119E-2</v>
      </c>
      <c r="G19" s="1202">
        <f>DataUK1!C22/DataUK1!$B22</f>
        <v>2.7211236318048112E-2</v>
      </c>
      <c r="H19" s="228">
        <f>DataUK1!K22/DataUK1!$B22</f>
        <v>7.4913544004001298E-2</v>
      </c>
      <c r="I19" s="203">
        <f t="shared" si="1"/>
        <v>6.0367565575269407E-2</v>
      </c>
      <c r="J19" s="203">
        <f t="shared" si="2"/>
        <v>0.59294327334221431</v>
      </c>
      <c r="K19" s="203">
        <f t="shared" si="3"/>
        <v>0.1817067513227015</v>
      </c>
      <c r="L19" s="308">
        <f t="shared" si="4"/>
        <v>0.28062333922161381</v>
      </c>
      <c r="M19" s="203">
        <f t="shared" si="5"/>
        <v>3.6651018366940367E-2</v>
      </c>
      <c r="N19" s="203">
        <f t="shared" si="6"/>
        <v>2.9414803493962093E-2</v>
      </c>
      <c r="O19" s="265">
        <f t="shared" si="7"/>
        <v>8.0980046263184419E-2</v>
      </c>
      <c r="S19" s="197">
        <f t="shared" si="8"/>
        <v>0</v>
      </c>
      <c r="T19" s="197">
        <f t="shared" si="9"/>
        <v>-3.1225022567582528E-17</v>
      </c>
    </row>
    <row r="20" spans="1:20">
      <c r="A20" s="198">
        <v>1865</v>
      </c>
      <c r="B20" s="202">
        <f>DataUK1!T23/DataUK1!B23</f>
        <v>5.7598704156687344E-2</v>
      </c>
      <c r="C20" s="308">
        <f>DataUK1!AJ23/DataUK1!B23</f>
        <v>0.53840176411111296</v>
      </c>
      <c r="D20" s="203">
        <f>DataUK1!AK23/DataUK1!B23</f>
        <v>0.16537658057214141</v>
      </c>
      <c r="E20" s="308">
        <f>DataUK1!CL23/DataUK1!B23</f>
        <v>0.2678144862521088</v>
      </c>
      <c r="F20" s="308">
        <f>DataUK1!DH23/DataUK1!$B23</f>
        <v>3.3891205192968205E-2</v>
      </c>
      <c r="G20" s="1202">
        <f>DataUK1!C23/DataUK1!$B23</f>
        <v>2.7380228571546591E-2</v>
      </c>
      <c r="H20" s="228">
        <f>DataUK1!K23/DataUK1!$B23</f>
        <v>7.4913611715576214E-2</v>
      </c>
      <c r="I20" s="203">
        <f t="shared" si="1"/>
        <v>6.2263054441330998E-2</v>
      </c>
      <c r="J20" s="203">
        <f t="shared" si="2"/>
        <v>0.58200160647653787</v>
      </c>
      <c r="K20" s="203">
        <f t="shared" si="3"/>
        <v>0.17876879680267796</v>
      </c>
      <c r="L20" s="308">
        <f t="shared" si="4"/>
        <v>0.28950213692882432</v>
      </c>
      <c r="M20" s="203">
        <f t="shared" si="5"/>
        <v>3.6635719238956234E-2</v>
      </c>
      <c r="N20" s="203">
        <f t="shared" si="6"/>
        <v>2.9597482914350656E-2</v>
      </c>
      <c r="O20" s="265">
        <f t="shared" si="7"/>
        <v>8.0980125385374857E-2</v>
      </c>
      <c r="S20" s="197">
        <f t="shared" si="8"/>
        <v>0</v>
      </c>
      <c r="T20" s="197">
        <f t="shared" si="9"/>
        <v>-3.1225022567582528E-17</v>
      </c>
    </row>
    <row r="21" spans="1:20">
      <c r="A21" s="198">
        <v>1866</v>
      </c>
      <c r="B21" s="202">
        <f>DataUK1!T24/DataUK1!B24</f>
        <v>5.5989700238354756E-2</v>
      </c>
      <c r="C21" s="308">
        <f>DataUK1!AJ24/DataUK1!B24</f>
        <v>0.53522405641533777</v>
      </c>
      <c r="D21" s="203">
        <f>DataUK1!AK24/DataUK1!B24</f>
        <v>0.16676340065815748</v>
      </c>
      <c r="E21" s="308">
        <f>DataUK1!CL24/DataUK1!B24</f>
        <v>0.27107236267075402</v>
      </c>
      <c r="F21" s="308">
        <f>DataUK1!DH24/DataUK1!$B24</f>
        <v>3.3848123473080159E-2</v>
      </c>
      <c r="G21" s="1202">
        <f>DataUK1!C24/DataUK1!$B24</f>
        <v>2.8951979280930119E-2</v>
      </c>
      <c r="H21" s="228">
        <f>DataUK1!K24/DataUK1!$B24</f>
        <v>7.4913777921543218E-2</v>
      </c>
      <c r="I21" s="203">
        <f t="shared" si="1"/>
        <v>6.0523764057969352E-2</v>
      </c>
      <c r="J21" s="203">
        <f t="shared" si="2"/>
        <v>0.57856667156150254</v>
      </c>
      <c r="K21" s="203">
        <f t="shared" si="3"/>
        <v>0.18026795414105112</v>
      </c>
      <c r="L21" s="308">
        <f t="shared" si="4"/>
        <v>0.29302388923458023</v>
      </c>
      <c r="M21" s="203">
        <f t="shared" si="5"/>
        <v>3.6589155329793129E-2</v>
      </c>
      <c r="N21" s="203">
        <f t="shared" si="6"/>
        <v>3.1296519816154708E-2</v>
      </c>
      <c r="O21" s="265">
        <f t="shared" si="7"/>
        <v>8.0980319600079134E-2</v>
      </c>
      <c r="S21" s="197">
        <f t="shared" si="8"/>
        <v>0</v>
      </c>
      <c r="T21" s="197">
        <f t="shared" si="9"/>
        <v>6.2450045135165055E-17</v>
      </c>
    </row>
    <row r="22" spans="1:20">
      <c r="A22" s="198">
        <v>1867</v>
      </c>
      <c r="B22" s="202">
        <f>DataUK1!T25/DataUK1!B25</f>
        <v>5.6960815222591415E-2</v>
      </c>
      <c r="C22" s="308">
        <f>DataUK1!AJ25/DataUK1!B25</f>
        <v>0.53392227023723837</v>
      </c>
      <c r="D22" s="203">
        <f>DataUK1!AK25/DataUK1!B25</f>
        <v>0.17348811824390439</v>
      </c>
      <c r="E22" s="308">
        <f>DataUK1!CL25/DataUK1!B25</f>
        <v>0.2688097564511247</v>
      </c>
      <c r="F22" s="308">
        <f>DataUK1!DH25/DataUK1!$B25</f>
        <v>3.3767643348478288E-2</v>
      </c>
      <c r="G22" s="1202">
        <f>DataUK1!C25/DataUK1!$B25</f>
        <v>3.1625438221545073E-2</v>
      </c>
      <c r="H22" s="228">
        <f>DataUK1!K25/DataUK1!$B25</f>
        <v>7.4914076519022169E-2</v>
      </c>
      <c r="I22" s="203">
        <f t="shared" si="1"/>
        <v>6.1573540118581946E-2</v>
      </c>
      <c r="J22" s="203">
        <f t="shared" si="2"/>
        <v>0.57715965261708713</v>
      </c>
      <c r="K22" s="203">
        <f t="shared" si="3"/>
        <v>0.18753730203902702</v>
      </c>
      <c r="L22" s="308">
        <f t="shared" si="4"/>
        <v>0.29057815023238986</v>
      </c>
      <c r="M22" s="203">
        <f t="shared" si="5"/>
        <v>3.6502169681076807E-2</v>
      </c>
      <c r="N22" s="203">
        <f t="shared" si="6"/>
        <v>3.4186487350864304E-2</v>
      </c>
      <c r="O22" s="265">
        <f t="shared" si="7"/>
        <v>8.0980668516855439E-2</v>
      </c>
      <c r="S22" s="197">
        <f t="shared" si="8"/>
        <v>0</v>
      </c>
      <c r="T22" s="197">
        <f t="shared" si="9"/>
        <v>-6.2450045135165055E-17</v>
      </c>
    </row>
    <row r="23" spans="1:20">
      <c r="A23" s="198">
        <v>1868</v>
      </c>
      <c r="B23" s="202">
        <f>DataUK1!T26/DataUK1!B26</f>
        <v>5.7960432649337687E-2</v>
      </c>
      <c r="C23" s="308">
        <f>DataUK1!AJ26/DataUK1!B26</f>
        <v>0.51936491322227696</v>
      </c>
      <c r="D23" s="203">
        <f>DataUK1!AK26/DataUK1!B26</f>
        <v>0.16903693557242264</v>
      </c>
      <c r="E23" s="308">
        <f>DataUK1!CL26/DataUK1!B26</f>
        <v>0.27909889133680177</v>
      </c>
      <c r="F23" s="308">
        <f>DataUK1!DH26/DataUK1!$B26</f>
        <v>3.3671047486028172E-2</v>
      </c>
      <c r="G23" s="1202">
        <f>DataUK1!C26/DataUK1!$B26</f>
        <v>3.4990284473458214E-2</v>
      </c>
      <c r="H23" s="228">
        <f>DataUK1!K26/DataUK1!$B26</f>
        <v>7.4914430832097256E-2</v>
      </c>
      <c r="I23" s="203">
        <f t="shared" si="1"/>
        <v>6.2654131229689394E-2</v>
      </c>
      <c r="J23" s="203">
        <f t="shared" si="2"/>
        <v>0.56142364612760742</v>
      </c>
      <c r="K23" s="203">
        <f t="shared" si="3"/>
        <v>0.18272572960409297</v>
      </c>
      <c r="L23" s="308">
        <f t="shared" si="4"/>
        <v>0.30170062169259221</v>
      </c>
      <c r="M23" s="203">
        <f t="shared" si="5"/>
        <v>3.6397765361656925E-2</v>
      </c>
      <c r="N23" s="203">
        <f t="shared" si="6"/>
        <v>3.7823835588454077E-2</v>
      </c>
      <c r="O23" s="265">
        <f t="shared" si="7"/>
        <v>8.0981082538647095E-2</v>
      </c>
      <c r="S23" s="197">
        <f t="shared" si="8"/>
        <v>0</v>
      </c>
      <c r="T23" s="197">
        <f t="shared" si="9"/>
        <v>-6.9388939039072284E-17</v>
      </c>
    </row>
    <row r="24" spans="1:20">
      <c r="A24" s="198">
        <v>1869</v>
      </c>
      <c r="B24" s="241">
        <f>DataUK1!T27/DataUK1!B27</f>
        <v>5.6713648698356413E-2</v>
      </c>
      <c r="C24" s="550">
        <f>DataUK1!AJ27/DataUK1!B27</f>
        <v>0.49363479542195787</v>
      </c>
      <c r="D24" s="216">
        <f>DataUK1!AK27/DataUK1!B27</f>
        <v>0.14670466308441082</v>
      </c>
      <c r="E24" s="550">
        <f>DataUK1!CL27/DataUK1!B27</f>
        <v>0.30508450903223006</v>
      </c>
      <c r="F24" s="550">
        <f>DataUK1!DH27/DataUK1!$B27</f>
        <v>3.3631225091935529E-2</v>
      </c>
      <c r="G24" s="1960">
        <f>DataUK1!C27/DataUK1!$B27</f>
        <v>3.6021234239475876E-2</v>
      </c>
      <c r="H24" s="230">
        <f>DataUK1!K27/DataUK1!$B27</f>
        <v>7.4914587516044268E-2</v>
      </c>
      <c r="I24" s="216">
        <f t="shared" si="1"/>
        <v>6.1306391748275492E-2</v>
      </c>
      <c r="J24" s="216">
        <f t="shared" si="2"/>
        <v>0.533609965912763</v>
      </c>
      <c r="K24" s="216">
        <f t="shared" si="3"/>
        <v>0.15858499237437193</v>
      </c>
      <c r="L24" s="550">
        <f t="shared" si="4"/>
        <v>0.32979063869685799</v>
      </c>
      <c r="M24" s="216">
        <f t="shared" si="5"/>
        <v>3.6354724264467647E-2</v>
      </c>
      <c r="N24" s="216">
        <f t="shared" si="6"/>
        <v>3.893827937763597E-2</v>
      </c>
      <c r="O24" s="267">
        <f t="shared" si="7"/>
        <v>8.0981265627019655E-2</v>
      </c>
      <c r="S24" s="197">
        <f t="shared" si="8"/>
        <v>0</v>
      </c>
      <c r="T24" s="197">
        <f t="shared" si="9"/>
        <v>-5.5511151231257827E-17</v>
      </c>
    </row>
    <row r="25" spans="1:20">
      <c r="A25" s="198">
        <v>1870</v>
      </c>
      <c r="B25" s="202">
        <f>DataUK1!T28/DataUK1!B28</f>
        <v>5.733654953000724E-2</v>
      </c>
      <c r="C25" s="308">
        <f>DataUK1!AJ28/DataUK1!B28</f>
        <v>0.49145740893790163</v>
      </c>
      <c r="D25" s="203">
        <f>DataUK1!AK28/DataUK1!B28</f>
        <v>0.15160086767895878</v>
      </c>
      <c r="E25" s="308">
        <f>DataUK1!CL28/DataUK1!B28</f>
        <v>0.30746056069333477</v>
      </c>
      <c r="F25" s="308">
        <f>DataUK1!DH28/DataUK1!$B28</f>
        <v>3.3405639913232102E-2</v>
      </c>
      <c r="G25" s="1202">
        <f>DataUK1!C28/DataUK1!$B28</f>
        <v>3.5430224150397684E-2</v>
      </c>
      <c r="H25" s="228">
        <f>DataUK1!K28/DataUK1!$B28</f>
        <v>7.4909616775126531E-2</v>
      </c>
      <c r="I25" s="203">
        <f t="shared" si="1"/>
        <v>6.1979402845083645E-2</v>
      </c>
      <c r="J25" s="203">
        <f t="shared" si="2"/>
        <v>0.53125339734337806</v>
      </c>
      <c r="K25" s="203">
        <f t="shared" si="3"/>
        <v>0.16387681725808972</v>
      </c>
      <c r="L25" s="308">
        <f t="shared" si="4"/>
        <v>0.33235732018046116</v>
      </c>
      <c r="M25" s="203">
        <f t="shared" si="5"/>
        <v>3.6110676879787397E-2</v>
      </c>
      <c r="N25" s="203">
        <f t="shared" si="6"/>
        <v>3.8299202751289667E-2</v>
      </c>
      <c r="O25" s="265">
        <f t="shared" si="7"/>
        <v>8.0975457245583859E-2</v>
      </c>
      <c r="S25" s="197">
        <f t="shared" si="8"/>
        <v>0</v>
      </c>
      <c r="T25" s="197">
        <f t="shared" si="9"/>
        <v>8.3266726846886741E-17</v>
      </c>
    </row>
    <row r="26" spans="1:20">
      <c r="A26" s="198">
        <v>1871</v>
      </c>
      <c r="B26" s="202">
        <f>DataUK1!T29/DataUK1!B29</f>
        <v>5.433661576697859E-2</v>
      </c>
      <c r="C26" s="308">
        <f>DataUK1!AJ29/DataUK1!B29</f>
        <v>0.48660156808569138</v>
      </c>
      <c r="D26" s="203">
        <f>DataUK1!AK29/DataUK1!B29</f>
        <v>0.14369904539549241</v>
      </c>
      <c r="E26" s="308">
        <f>DataUK1!CL29/DataUK1!B29</f>
        <v>0.32010755055263196</v>
      </c>
      <c r="F26" s="308">
        <f>DataUK1!DH29/DataUK1!$B29</f>
        <v>3.1631865338630411E-2</v>
      </c>
      <c r="G26" s="1202">
        <f>DataUK1!C29/DataUK1!$B29</f>
        <v>3.6715557982338866E-2</v>
      </c>
      <c r="H26" s="228">
        <f>DataUK1!K29/DataUK1!$B29</f>
        <v>7.0606842273728584E-2</v>
      </c>
      <c r="I26" s="203">
        <f t="shared" si="1"/>
        <v>5.8464617815684447E-2</v>
      </c>
      <c r="J26" s="203">
        <f t="shared" si="2"/>
        <v>0.52356913114805526</v>
      </c>
      <c r="K26" s="203">
        <f t="shared" si="3"/>
        <v>0.15461599238265022</v>
      </c>
      <c r="L26" s="308">
        <f t="shared" si="4"/>
        <v>0.34442641189199641</v>
      </c>
      <c r="M26" s="203">
        <f t="shared" si="5"/>
        <v>3.4034966876684017E-2</v>
      </c>
      <c r="N26" s="203">
        <f t="shared" si="6"/>
        <v>3.9504872267579656E-2</v>
      </c>
      <c r="O26" s="265">
        <f t="shared" si="7"/>
        <v>7.5970908206883958E-2</v>
      </c>
      <c r="S26" s="197">
        <f t="shared" si="8"/>
        <v>2.3592239273284576E-16</v>
      </c>
      <c r="T26" s="197">
        <f t="shared" si="9"/>
        <v>2.0122792321330962E-16</v>
      </c>
    </row>
    <row r="27" spans="1:20">
      <c r="A27" s="198">
        <v>1872</v>
      </c>
      <c r="B27" s="202">
        <f>DataUK1!T30/DataUK1!B30</f>
        <v>5.2029223268958424E-2</v>
      </c>
      <c r="C27" s="308">
        <f>DataUK1!AJ30/DataUK1!B30</f>
        <v>0.47073476753452231</v>
      </c>
      <c r="D27" s="203">
        <f>DataUK1!AK30/DataUK1!B30</f>
        <v>0.13668182237376525</v>
      </c>
      <c r="E27" s="308">
        <f>DataUK1!CL30/DataUK1!B30</f>
        <v>0.33910388798286667</v>
      </c>
      <c r="F27" s="308">
        <f>DataUK1!DH30/DataUK1!$B30</f>
        <v>3.0244036783014822E-2</v>
      </c>
      <c r="G27" s="1202">
        <f>DataUK1!C30/DataUK1!$B30</f>
        <v>3.8910456679902117E-2</v>
      </c>
      <c r="H27" s="228">
        <f>DataUK1!K30/DataUK1!$B30</f>
        <v>6.8977627750735571E-2</v>
      </c>
      <c r="I27" s="203">
        <f t="shared" si="1"/>
        <v>5.5883966722798085E-2</v>
      </c>
      <c r="J27" s="203">
        <f t="shared" si="2"/>
        <v>0.50561058634635214</v>
      </c>
      <c r="K27" s="203">
        <f t="shared" si="3"/>
        <v>0.14680831143031992</v>
      </c>
      <c r="L27" s="308">
        <f t="shared" si="4"/>
        <v>0.36422743221908072</v>
      </c>
      <c r="M27" s="203">
        <f t="shared" si="5"/>
        <v>3.2484758352205878E-2</v>
      </c>
      <c r="N27" s="203">
        <f t="shared" si="6"/>
        <v>4.1793256359563123E-2</v>
      </c>
      <c r="O27" s="265">
        <f t="shared" si="7"/>
        <v>7.4088045364680083E-2</v>
      </c>
      <c r="S27" s="197">
        <f t="shared" si="8"/>
        <v>0</v>
      </c>
      <c r="T27" s="197">
        <f t="shared" si="9"/>
        <v>9.0205620750793969E-17</v>
      </c>
    </row>
    <row r="28" spans="1:20">
      <c r="A28" s="198">
        <v>1873</v>
      </c>
      <c r="B28" s="202">
        <f>DataUK1!T31/DataUK1!B31</f>
        <v>5.0366715876110545E-2</v>
      </c>
      <c r="C28" s="308">
        <f>DataUK1!AJ31/DataUK1!B31</f>
        <v>0.47240010269411237</v>
      </c>
      <c r="D28" s="203">
        <f>DataUK1!AK31/DataUK1!B31</f>
        <v>0.13678134735260095</v>
      </c>
      <c r="E28" s="308">
        <f>DataUK1!CL31/DataUK1!B31</f>
        <v>0.34055123912612423</v>
      </c>
      <c r="F28" s="308">
        <f>DataUK1!DH31/DataUK1!$B31</f>
        <v>2.7336388460730564E-2</v>
      </c>
      <c r="G28" s="1202">
        <f>DataUK1!C31/DataUK1!$B31</f>
        <v>4.3075521210848164E-2</v>
      </c>
      <c r="H28" s="228">
        <f>DataUK1!K31/DataUK1!$B31</f>
        <v>6.6270032632074094E-2</v>
      </c>
      <c r="I28" s="203">
        <f t="shared" si="1"/>
        <v>5.3941415223170301E-2</v>
      </c>
      <c r="J28" s="203">
        <f t="shared" si="2"/>
        <v>0.50592796547566343</v>
      </c>
      <c r="K28" s="203">
        <f t="shared" si="3"/>
        <v>0.14648919080767145</v>
      </c>
      <c r="L28" s="308">
        <f t="shared" si="4"/>
        <v>0.36472133381998845</v>
      </c>
      <c r="M28" s="203">
        <f t="shared" si="5"/>
        <v>2.9276546127986663E-2</v>
      </c>
      <c r="N28" s="203">
        <f t="shared" si="6"/>
        <v>4.6132739353191107E-2</v>
      </c>
      <c r="O28" s="265">
        <f t="shared" si="7"/>
        <v>7.0973445158755546E-2</v>
      </c>
      <c r="S28" s="197">
        <f t="shared" si="8"/>
        <v>0</v>
      </c>
      <c r="T28" s="197">
        <f t="shared" si="9"/>
        <v>0</v>
      </c>
    </row>
    <row r="29" spans="1:20">
      <c r="A29" s="198">
        <v>1874</v>
      </c>
      <c r="B29" s="202">
        <f>DataUK1!T32/DataUK1!B32</f>
        <v>5.4082121193776873E-2</v>
      </c>
      <c r="C29" s="308">
        <f>DataUK1!AJ32/DataUK1!B32</f>
        <v>0.45457213514181072</v>
      </c>
      <c r="D29" s="203">
        <f>DataUK1!AK32/DataUK1!B32</f>
        <v>0.13343180579938255</v>
      </c>
      <c r="E29" s="308">
        <f>DataUK1!CL32/DataUK1!B32</f>
        <v>0.34574370964298262</v>
      </c>
      <c r="F29" s="308">
        <f>DataUK1!DH32/DataUK1!$B32</f>
        <v>2.9493310733095225E-2</v>
      </c>
      <c r="G29" s="1202">
        <f>DataUK1!C32/DataUK1!$B32</f>
        <v>4.830800895938011E-2</v>
      </c>
      <c r="H29" s="228">
        <f>DataUK1!K32/DataUK1!$B32</f>
        <v>6.7800714328954542E-2</v>
      </c>
      <c r="I29" s="203">
        <f t="shared" si="1"/>
        <v>5.8015621793622969E-2</v>
      </c>
      <c r="J29" s="203">
        <f t="shared" si="2"/>
        <v>0.48763407366761291</v>
      </c>
      <c r="K29" s="203">
        <f t="shared" si="3"/>
        <v>0.14313656730956556</v>
      </c>
      <c r="L29" s="308">
        <f t="shared" si="4"/>
        <v>0.37089033960597634</v>
      </c>
      <c r="M29" s="203">
        <f t="shared" si="5"/>
        <v>3.1638418079096044E-2</v>
      </c>
      <c r="N29" s="203">
        <f t="shared" si="6"/>
        <v>5.1821546853691801E-2</v>
      </c>
      <c r="O29" s="265">
        <f t="shared" si="7"/>
        <v>7.2731995584128836E-2</v>
      </c>
      <c r="S29" s="197">
        <f t="shared" si="8"/>
        <v>0</v>
      </c>
      <c r="T29" s="197">
        <f t="shared" si="9"/>
        <v>-5.5511151231257827E-17</v>
      </c>
    </row>
    <row r="30" spans="1:20">
      <c r="A30" s="198">
        <v>1875</v>
      </c>
      <c r="B30" s="202">
        <f>DataUK1!T33/DataUK1!B33</f>
        <v>5.631443913460734E-2</v>
      </c>
      <c r="C30" s="308">
        <f>DataUK1!AJ33/DataUK1!B33</f>
        <v>0.44238634525558601</v>
      </c>
      <c r="D30" s="203">
        <f>DataUK1!AK33/DataUK1!B33</f>
        <v>0.13399628481305711</v>
      </c>
      <c r="E30" s="308">
        <f>DataUK1!CL33/DataUK1!B33</f>
        <v>0.35144396355021446</v>
      </c>
      <c r="F30" s="308">
        <f>DataUK1!DH33/DataUK1!$B33</f>
        <v>3.0827366137973263E-2</v>
      </c>
      <c r="G30" s="1202">
        <f>DataUK1!C33/DataUK1!$B33</f>
        <v>4.9666312111179146E-2</v>
      </c>
      <c r="H30" s="228">
        <f>DataUK1!K33/DataUK1!$B33</f>
        <v>6.9361573810439836E-2</v>
      </c>
      <c r="I30" s="203">
        <f t="shared" si="1"/>
        <v>6.0511620356343152E-2</v>
      </c>
      <c r="J30" s="203">
        <f t="shared" si="2"/>
        <v>0.47535791861390114</v>
      </c>
      <c r="K30" s="203">
        <f t="shared" si="3"/>
        <v>0.14398318513635461</v>
      </c>
      <c r="L30" s="308">
        <f t="shared" si="4"/>
        <v>0.3776374944984589</v>
      </c>
      <c r="M30" s="203">
        <f t="shared" si="5"/>
        <v>3.312496590560305E-2</v>
      </c>
      <c r="N30" s="203">
        <f t="shared" si="6"/>
        <v>5.3368000625693808E-2</v>
      </c>
      <c r="O30" s="265">
        <f t="shared" si="7"/>
        <v>7.4531173287606861E-2</v>
      </c>
      <c r="S30" s="197">
        <f t="shared" si="8"/>
        <v>0</v>
      </c>
      <c r="T30" s="197">
        <f t="shared" si="9"/>
        <v>-6.9388939039072284E-17</v>
      </c>
    </row>
    <row r="31" spans="1:20">
      <c r="A31" s="198">
        <v>1876</v>
      </c>
      <c r="B31" s="202">
        <f>DataUK1!T34/DataUK1!B34</f>
        <v>6.1823965035814013E-2</v>
      </c>
      <c r="C31" s="308">
        <f>DataUK1!AJ34/DataUK1!B34</f>
        <v>0.43680768501980544</v>
      </c>
      <c r="D31" s="203">
        <f>DataUK1!AK34/DataUK1!B34</f>
        <v>0.13402937962850556</v>
      </c>
      <c r="E31" s="308">
        <f>DataUK1!CL34/DataUK1!B34</f>
        <v>0.3482266027756819</v>
      </c>
      <c r="F31" s="308">
        <f>DataUK1!DH34/DataUK1!$B34</f>
        <v>3.1738323592153873E-2</v>
      </c>
      <c r="G31" s="1202">
        <f>DataUK1!C34/DataUK1!$B34</f>
        <v>4.9428536741878984E-2</v>
      </c>
      <c r="H31" s="228">
        <f>DataUK1!K34/DataUK1!$B34</f>
        <v>7.1974886834665894E-2</v>
      </c>
      <c r="I31" s="203">
        <f t="shared" si="1"/>
        <v>6.6618849165560934E-2</v>
      </c>
      <c r="J31" s="203">
        <f t="shared" si="2"/>
        <v>0.47068519894890509</v>
      </c>
      <c r="K31" s="203">
        <f t="shared" si="3"/>
        <v>0.14442430245379287</v>
      </c>
      <c r="L31" s="308">
        <f t="shared" si="4"/>
        <v>0.37523402959208813</v>
      </c>
      <c r="M31" s="203">
        <f t="shared" si="5"/>
        <v>3.4199854230129514E-2</v>
      </c>
      <c r="N31" s="203">
        <f t="shared" si="6"/>
        <v>5.3262068063316459E-2</v>
      </c>
      <c r="O31" s="265">
        <f t="shared" si="7"/>
        <v>7.755704647816257E-2</v>
      </c>
      <c r="S31" s="197">
        <f t="shared" si="8"/>
        <v>0</v>
      </c>
      <c r="T31" s="197">
        <f t="shared" si="9"/>
        <v>-1.2490009027033011E-16</v>
      </c>
    </row>
    <row r="32" spans="1:20">
      <c r="A32" s="198">
        <v>1877</v>
      </c>
      <c r="B32" s="202">
        <f>DataUK1!T35/DataUK1!B35</f>
        <v>6.3916462382609479E-2</v>
      </c>
      <c r="C32" s="308">
        <f>DataUK1!AJ35/DataUK1!B35</f>
        <v>0.42788020457345338</v>
      </c>
      <c r="D32" s="203">
        <f>DataUK1!AK35/DataUK1!B35</f>
        <v>0.12917076482952475</v>
      </c>
      <c r="E32" s="308">
        <f>DataUK1!CL35/DataUK1!B35</f>
        <v>0.35425386900874867</v>
      </c>
      <c r="F32" s="308">
        <f>DataUK1!DH35/DataUK1!$B35</f>
        <v>3.2502384007429108E-2</v>
      </c>
      <c r="G32" s="1202">
        <f>DataUK1!C35/DataUK1!$B35</f>
        <v>4.8054600010983904E-2</v>
      </c>
      <c r="H32" s="228">
        <f>DataUK1!K35/DataUK1!$B35</f>
        <v>7.339248001677541E-2</v>
      </c>
      <c r="I32" s="203">
        <f t="shared" si="1"/>
        <v>6.8979002440824819E-2</v>
      </c>
      <c r="J32" s="203">
        <f t="shared" si="2"/>
        <v>0.46177070156003031</v>
      </c>
      <c r="K32" s="203">
        <f t="shared" si="3"/>
        <v>0.13940180933548141</v>
      </c>
      <c r="L32" s="308">
        <f t="shared" si="4"/>
        <v>0.38231274986324537</v>
      </c>
      <c r="M32" s="203">
        <f t="shared" si="5"/>
        <v>3.5076753972401967E-2</v>
      </c>
      <c r="N32" s="203">
        <f t="shared" si="6"/>
        <v>5.1860792163497545E-2</v>
      </c>
      <c r="O32" s="265">
        <f t="shared" si="7"/>
        <v>7.9205573486068964E-2</v>
      </c>
      <c r="S32" s="197">
        <f t="shared" si="8"/>
        <v>0</v>
      </c>
      <c r="T32" s="197">
        <f t="shared" si="9"/>
        <v>0</v>
      </c>
    </row>
    <row r="33" spans="1:20">
      <c r="A33" s="198">
        <v>1878</v>
      </c>
      <c r="B33" s="202">
        <f>DataUK1!T36/DataUK1!B36</f>
        <v>7.0070343811218364E-2</v>
      </c>
      <c r="C33" s="308">
        <f>DataUK1!AJ36/DataUK1!B36</f>
        <v>0.41588953856749572</v>
      </c>
      <c r="D33" s="203">
        <f>DataUK1!AK36/DataUK1!B36</f>
        <v>0.12595028845635414</v>
      </c>
      <c r="E33" s="308">
        <f>DataUK1!CL36/DataUK1!B36</f>
        <v>0.35372667968882604</v>
      </c>
      <c r="F33" s="308">
        <f>DataUK1!DH36/DataUK1!$B36</f>
        <v>3.4506928344206607E-2</v>
      </c>
      <c r="G33" s="1202">
        <f>DataUK1!C36/DataUK1!$B36</f>
        <v>4.9423985909670926E-2</v>
      </c>
      <c r="H33" s="228">
        <f>DataUK1!K36/DataUK1!$B36</f>
        <v>7.6382523678582351E-2</v>
      </c>
      <c r="I33" s="203">
        <f t="shared" si="1"/>
        <v>7.5865112568348561E-2</v>
      </c>
      <c r="J33" s="203">
        <f t="shared" si="2"/>
        <v>0.45028331449930981</v>
      </c>
      <c r="K33" s="203">
        <f t="shared" si="3"/>
        <v>0.13636628981728319</v>
      </c>
      <c r="L33" s="308">
        <f t="shared" si="4"/>
        <v>0.38297963037430621</v>
      </c>
      <c r="M33" s="203">
        <f t="shared" si="5"/>
        <v>3.7360627347200866E-2</v>
      </c>
      <c r="N33" s="203">
        <f t="shared" si="6"/>
        <v>5.3511315210834583E-2</v>
      </c>
      <c r="O33" s="265">
        <f t="shared" si="7"/>
        <v>8.2699305325835276E-2</v>
      </c>
      <c r="S33" s="197">
        <f t="shared" si="8"/>
        <v>0</v>
      </c>
      <c r="T33" s="197">
        <f t="shared" si="9"/>
        <v>-6.9388939039072284E-17</v>
      </c>
    </row>
    <row r="34" spans="1:20">
      <c r="A34" s="198">
        <v>1879</v>
      </c>
      <c r="B34" s="241">
        <f>DataUK1!T37/DataUK1!B37</f>
        <v>7.3593600046231805E-2</v>
      </c>
      <c r="C34" s="550">
        <f>DataUK1!AJ37/DataUK1!B37</f>
        <v>0.39500300705433544</v>
      </c>
      <c r="D34" s="216">
        <f>DataUK1!AK37/DataUK1!B37</f>
        <v>0.11120852188885845</v>
      </c>
      <c r="E34" s="550">
        <f>DataUK1!CL37/DataUK1!B37</f>
        <v>0.36646615061387383</v>
      </c>
      <c r="F34" s="550">
        <f>DataUK1!DH37/DataUK1!$B37</f>
        <v>3.8062440527436674E-2</v>
      </c>
      <c r="G34" s="1960">
        <f>DataUK1!C37/DataUK1!$B37</f>
        <v>5.148542680039743E-2</v>
      </c>
      <c r="H34" s="230">
        <f>DataUK1!K37/DataUK1!$B37</f>
        <v>7.5389374957724811E-2</v>
      </c>
      <c r="I34" s="216">
        <f t="shared" si="1"/>
        <v>7.9594153531241274E-2</v>
      </c>
      <c r="J34" s="216">
        <f t="shared" si="2"/>
        <v>0.42721011024102717</v>
      </c>
      <c r="K34" s="216">
        <f t="shared" si="3"/>
        <v>0.1202760587828782</v>
      </c>
      <c r="L34" s="550">
        <f t="shared" si="4"/>
        <v>0.39634646270382001</v>
      </c>
      <c r="M34" s="216">
        <f t="shared" si="5"/>
        <v>4.116591297628272E-2</v>
      </c>
      <c r="N34" s="216">
        <f t="shared" si="6"/>
        <v>5.5683360547628798E-2</v>
      </c>
      <c r="O34" s="267">
        <f t="shared" si="7"/>
        <v>8.1536349373313596E-2</v>
      </c>
      <c r="S34" s="197">
        <f t="shared" si="8"/>
        <v>0</v>
      </c>
      <c r="T34" s="197">
        <f t="shared" si="9"/>
        <v>7.6327832942979512E-17</v>
      </c>
    </row>
    <row r="35" spans="1:20">
      <c r="A35" s="198">
        <v>1880</v>
      </c>
      <c r="B35" s="202">
        <f>DataUK1!T38/DataUK1!B38</f>
        <v>7.2763152078505172E-2</v>
      </c>
      <c r="C35" s="308">
        <f>DataUK1!AJ38/DataUK1!B38</f>
        <v>0.3993407868173296</v>
      </c>
      <c r="D35" s="203">
        <f>DataUK1!AK38/DataUK1!B38</f>
        <v>0.11202899740463124</v>
      </c>
      <c r="E35" s="308">
        <f>DataUK1!CL38/DataUK1!B38</f>
        <v>0.36699582808930653</v>
      </c>
      <c r="F35" s="308">
        <f>DataUK1!DH38/DataUK1!$B38</f>
        <v>3.7130823003428917E-2</v>
      </c>
      <c r="G35" s="1202">
        <f>DataUK1!C38/DataUK1!$B38</f>
        <v>5.1275898433306599E-2</v>
      </c>
      <c r="H35" s="228">
        <f>DataUK1!K38/DataUK1!$B38</f>
        <v>7.2493511578123115E-2</v>
      </c>
      <c r="I35" s="203">
        <f t="shared" si="1"/>
        <v>7.8450289013405589E-2</v>
      </c>
      <c r="J35" s="203">
        <f t="shared" si="2"/>
        <v>0.4305530924067123</v>
      </c>
      <c r="K35" s="203">
        <f t="shared" si="3"/>
        <v>0.1207851360643795</v>
      </c>
      <c r="L35" s="308">
        <f t="shared" si="4"/>
        <v>0.39568006549877444</v>
      </c>
      <c r="M35" s="203">
        <f t="shared" si="5"/>
        <v>4.0032952294065179E-2</v>
      </c>
      <c r="N35" s="203">
        <f t="shared" si="6"/>
        <v>5.5283600787042392E-2</v>
      </c>
      <c r="O35" s="265">
        <f t="shared" si="7"/>
        <v>7.8159573526508208E-2</v>
      </c>
      <c r="S35" s="197">
        <f t="shared" si="8"/>
        <v>0</v>
      </c>
      <c r="T35" s="197">
        <f t="shared" si="9"/>
        <v>1.3183898417423734E-16</v>
      </c>
    </row>
    <row r="36" spans="1:20">
      <c r="A36" s="198">
        <v>1881</v>
      </c>
      <c r="B36" s="202">
        <f>DataUK1!T39/DataUK1!B39</f>
        <v>7.1383177991425795E-2</v>
      </c>
      <c r="C36" s="308">
        <f>DataUK1!AJ39/DataUK1!B39</f>
        <v>0.39933692843929341</v>
      </c>
      <c r="D36" s="203">
        <f>DataUK1!AK39/DataUK1!B39</f>
        <v>0.11053756077768631</v>
      </c>
      <c r="E36" s="308">
        <f>DataUK1!CL39/DataUK1!B39</f>
        <v>0.37012627596807501</v>
      </c>
      <c r="F36" s="308">
        <f>DataUK1!DH39/DataUK1!$B39</f>
        <v>3.6334105625998744E-2</v>
      </c>
      <c r="G36" s="1202">
        <f>DataUK1!C39/DataUK1!$B39</f>
        <v>5.0321883378730656E-2</v>
      </c>
      <c r="H36" s="228">
        <f>DataUK1!K39/DataUK1!$B39</f>
        <v>7.2497628596476363E-2</v>
      </c>
      <c r="I36" s="203">
        <f t="shared" si="1"/>
        <v>7.6962798362883625E-2</v>
      </c>
      <c r="J36" s="203">
        <f t="shared" si="2"/>
        <v>0.4305508435897637</v>
      </c>
      <c r="K36" s="203">
        <f t="shared" si="3"/>
        <v>0.1191776583928488</v>
      </c>
      <c r="L36" s="308">
        <f t="shared" si="4"/>
        <v>0.39905695918382306</v>
      </c>
      <c r="M36" s="203">
        <f t="shared" si="5"/>
        <v>3.917413771246419E-2</v>
      </c>
      <c r="N36" s="203">
        <f t="shared" si="6"/>
        <v>5.425526115106543E-2</v>
      </c>
      <c r="O36" s="265">
        <f t="shared" si="7"/>
        <v>7.8164359285433235E-2</v>
      </c>
      <c r="S36" s="197">
        <f t="shared" si="8"/>
        <v>0</v>
      </c>
      <c r="T36" s="197">
        <f t="shared" si="9"/>
        <v>0</v>
      </c>
    </row>
    <row r="37" spans="1:20">
      <c r="A37" s="198">
        <v>1882</v>
      </c>
      <c r="B37" s="202">
        <f>DataUK1!T40/DataUK1!B40</f>
        <v>6.8608181740099319E-2</v>
      </c>
      <c r="C37" s="308">
        <f>DataUK1!AJ40/DataUK1!B40</f>
        <v>0.40279733118330313</v>
      </c>
      <c r="D37" s="203">
        <f>DataUK1!AK40/DataUK1!B40</f>
        <v>0.11148382724430737</v>
      </c>
      <c r="E37" s="308">
        <f>DataUK1!CL40/DataUK1!B40</f>
        <v>0.36848473518317731</v>
      </c>
      <c r="F37" s="308">
        <f>DataUK1!DH40/DataUK1!$B40</f>
        <v>3.656827666701571E-2</v>
      </c>
      <c r="G37" s="1202">
        <f>DataUK1!C40/DataUK1!$B40</f>
        <v>5.1887419595089863E-2</v>
      </c>
      <c r="H37" s="228">
        <f>DataUK1!K40/DataUK1!$B40</f>
        <v>7.1654055631314578E-2</v>
      </c>
      <c r="I37" s="203">
        <f t="shared" si="1"/>
        <v>7.3903680148843423E-2</v>
      </c>
      <c r="J37" s="203">
        <f t="shared" si="2"/>
        <v>0.43388710170670525</v>
      </c>
      <c r="K37" s="203">
        <f t="shared" si="3"/>
        <v>0.12008866729107229</v>
      </c>
      <c r="L37" s="308">
        <f t="shared" si="4"/>
        <v>0.3969261000367299</v>
      </c>
      <c r="M37" s="203">
        <f t="shared" si="5"/>
        <v>3.9390786256823351E-2</v>
      </c>
      <c r="N37" s="203">
        <f t="shared" si="6"/>
        <v>5.5892331850898001E-2</v>
      </c>
      <c r="O37" s="265">
        <f t="shared" si="7"/>
        <v>7.7184648746478193E-2</v>
      </c>
      <c r="S37" s="197">
        <f t="shared" si="8"/>
        <v>0</v>
      </c>
      <c r="T37" s="197">
        <f t="shared" si="9"/>
        <v>9.0205620750793969E-17</v>
      </c>
    </row>
    <row r="38" spans="1:20">
      <c r="A38" s="198">
        <v>1883</v>
      </c>
      <c r="B38" s="202">
        <f>DataUK1!T41/DataUK1!B41</f>
        <v>6.9553520082011627E-2</v>
      </c>
      <c r="C38" s="308">
        <f>DataUK1!AJ41/DataUK1!B41</f>
        <v>0.3952067341270955</v>
      </c>
      <c r="D38" s="203">
        <f>DataUK1!AK41/DataUK1!B41</f>
        <v>0.10881541551719828</v>
      </c>
      <c r="E38" s="308">
        <f>DataUK1!CL41/DataUK1!B41</f>
        <v>0.37138319944682752</v>
      </c>
      <c r="F38" s="308">
        <f>DataUK1!DH41/DataUK1!$B41</f>
        <v>3.8005384096080279E-2</v>
      </c>
      <c r="G38" s="1202">
        <f>DataUK1!C41/DataUK1!$B41</f>
        <v>5.3340889959410921E-2</v>
      </c>
      <c r="H38" s="228">
        <f>DataUK1!K41/DataUK1!$B41</f>
        <v>7.2510272288574221E-2</v>
      </c>
      <c r="I38" s="203">
        <f t="shared" si="1"/>
        <v>7.4991148692971979E-2</v>
      </c>
      <c r="J38" s="203">
        <f t="shared" si="2"/>
        <v>0.42610362392073631</v>
      </c>
      <c r="K38" s="203">
        <f t="shared" si="3"/>
        <v>0.11732250208926792</v>
      </c>
      <c r="L38" s="308">
        <f t="shared" si="4"/>
        <v>0.4004175877647862</v>
      </c>
      <c r="M38" s="203">
        <f t="shared" si="5"/>
        <v>4.0976609185589895E-2</v>
      </c>
      <c r="N38" s="203">
        <f t="shared" si="6"/>
        <v>5.7511030435915642E-2</v>
      </c>
      <c r="O38" s="265">
        <f t="shared" si="7"/>
        <v>7.8179056998822827E-2</v>
      </c>
      <c r="S38" s="197">
        <f t="shared" si="8"/>
        <v>0</v>
      </c>
      <c r="T38" s="197">
        <f t="shared" si="9"/>
        <v>0</v>
      </c>
    </row>
    <row r="39" spans="1:20">
      <c r="A39" s="198">
        <v>1884</v>
      </c>
      <c r="B39" s="202">
        <f>DataUK1!T42/DataUK1!B42</f>
        <v>7.3859631742561424E-2</v>
      </c>
      <c r="C39" s="308">
        <f>DataUK1!AJ42/DataUK1!B42</f>
        <v>0.38768937491615718</v>
      </c>
      <c r="D39" s="203">
        <f>DataUK1!AK42/DataUK1!B42</f>
        <v>0.10904246233730744</v>
      </c>
      <c r="E39" s="308">
        <f>DataUK1!CL42/DataUK1!B42</f>
        <v>0.36713271369792411</v>
      </c>
      <c r="F39" s="308">
        <f>DataUK1!DH42/DataUK1!$B42</f>
        <v>3.894373654903837E-2</v>
      </c>
      <c r="G39" s="1202">
        <f>DataUK1!C42/DataUK1!$B42</f>
        <v>5.7219963789157252E-2</v>
      </c>
      <c r="H39" s="228">
        <f>DataUK1!K42/DataUK1!$B42</f>
        <v>7.515457930516177E-2</v>
      </c>
      <c r="I39" s="203">
        <f t="shared" si="1"/>
        <v>7.9861596424481984E-2</v>
      </c>
      <c r="J39" s="203">
        <f t="shared" si="2"/>
        <v>0.41919370117536547</v>
      </c>
      <c r="K39" s="203">
        <f t="shared" si="3"/>
        <v>0.11790344623794928</v>
      </c>
      <c r="L39" s="308">
        <f t="shared" si="4"/>
        <v>0.39696656920471807</v>
      </c>
      <c r="M39" s="203">
        <f t="shared" si="5"/>
        <v>4.2108373656410451E-2</v>
      </c>
      <c r="N39" s="203">
        <f t="shared" si="6"/>
        <v>6.1869759539024134E-2</v>
      </c>
      <c r="O39" s="265">
        <f t="shared" si="7"/>
        <v>8.1261773722897376E-2</v>
      </c>
      <c r="S39" s="197">
        <f t="shared" si="8"/>
        <v>0</v>
      </c>
      <c r="T39" s="197">
        <f t="shared" si="9"/>
        <v>-1.1102230246251565E-16</v>
      </c>
    </row>
    <row r="40" spans="1:20">
      <c r="A40" s="198">
        <v>1885</v>
      </c>
      <c r="B40" s="202">
        <f>DataUK1!T43/DataUK1!B43</f>
        <v>7.9007343830650001E-2</v>
      </c>
      <c r="C40" s="308">
        <f>DataUK1!AJ43/DataUK1!B43</f>
        <v>0.37650842680292973</v>
      </c>
      <c r="D40" s="203">
        <f>DataUK1!AK43/DataUK1!B43</f>
        <v>0.10563827456494643</v>
      </c>
      <c r="E40" s="308">
        <f>DataUK1!CL43/DataUK1!B43</f>
        <v>0.36530119803414562</v>
      </c>
      <c r="F40" s="308">
        <f>DataUK1!DH43/DataUK1!$B43</f>
        <v>4.3149492071311774E-2</v>
      </c>
      <c r="G40" s="1202">
        <f>DataUK1!C43/DataUK1!$B43</f>
        <v>6.0651896485779608E-2</v>
      </c>
      <c r="H40" s="228">
        <f>DataUK1!K43/DataUK1!$B43</f>
        <v>7.5381642775183222E-2</v>
      </c>
      <c r="I40" s="203">
        <f t="shared" si="1"/>
        <v>8.5448599644706955E-2</v>
      </c>
      <c r="J40" s="203">
        <f t="shared" si="2"/>
        <v>0.40720414413250006</v>
      </c>
      <c r="K40" s="203">
        <f t="shared" si="3"/>
        <v>0.11425067839017711</v>
      </c>
      <c r="L40" s="308">
        <f t="shared" si="4"/>
        <v>0.39508322020619829</v>
      </c>
      <c r="M40" s="203">
        <f t="shared" si="5"/>
        <v>4.6667353870003439E-2</v>
      </c>
      <c r="N40" s="203">
        <f t="shared" si="6"/>
        <v>6.5596682146591187E-2</v>
      </c>
      <c r="O40" s="265">
        <f t="shared" si="7"/>
        <v>8.1527304953620469E-2</v>
      </c>
      <c r="S40" s="197">
        <f t="shared" si="8"/>
        <v>0</v>
      </c>
      <c r="T40" s="197">
        <f t="shared" si="9"/>
        <v>0</v>
      </c>
    </row>
    <row r="41" spans="1:20">
      <c r="A41" s="198">
        <v>1886</v>
      </c>
      <c r="B41" s="202">
        <f>DataUK1!T44/DataUK1!B44</f>
        <v>7.9579805577882592E-2</v>
      </c>
      <c r="C41" s="308">
        <f>DataUK1!AJ44/DataUK1!B44</f>
        <v>0.37444129847180763</v>
      </c>
      <c r="D41" s="203">
        <f>DataUK1!AK44/DataUK1!B44</f>
        <v>0.10354297153429685</v>
      </c>
      <c r="E41" s="308">
        <f>DataUK1!CL44/DataUK1!B44</f>
        <v>0.36848151200454171</v>
      </c>
      <c r="F41" s="308">
        <f>DataUK1!DH44/DataUK1!$B44</f>
        <v>4.0764949422951516E-2</v>
      </c>
      <c r="G41" s="1202">
        <f>DataUK1!C44/DataUK1!$B44</f>
        <v>6.2845963693716922E-2</v>
      </c>
      <c r="H41" s="228">
        <f>DataUK1!K44/DataUK1!$B44</f>
        <v>7.3886470829099618E-2</v>
      </c>
      <c r="I41" s="203">
        <f t="shared" si="1"/>
        <v>8.5928779864738736E-2</v>
      </c>
      <c r="J41" s="203">
        <f t="shared" si="2"/>
        <v>0.40431468354319883</v>
      </c>
      <c r="K41" s="203">
        <f t="shared" si="3"/>
        <v>0.11180375652971326</v>
      </c>
      <c r="L41" s="308">
        <f t="shared" si="4"/>
        <v>0.39787941801738214</v>
      </c>
      <c r="M41" s="203">
        <f t="shared" si="5"/>
        <v>4.4017226980202072E-2</v>
      </c>
      <c r="N41" s="203">
        <f t="shared" si="6"/>
        <v>6.7859891594478194E-2</v>
      </c>
      <c r="O41" s="265">
        <f t="shared" si="7"/>
        <v>7.9781223901616252E-2</v>
      </c>
      <c r="S41" s="197">
        <f t="shared" si="8"/>
        <v>0</v>
      </c>
      <c r="T41" s="197">
        <f t="shared" si="9"/>
        <v>0</v>
      </c>
    </row>
    <row r="42" spans="1:20">
      <c r="A42" s="198">
        <v>1887</v>
      </c>
      <c r="B42" s="202">
        <f>DataUK1!T45/DataUK1!B45</f>
        <v>7.6999178443573915E-2</v>
      </c>
      <c r="C42" s="308">
        <f>DataUK1!AJ45/DataUK1!B45</f>
        <v>0.36981934902551072</v>
      </c>
      <c r="D42" s="203">
        <f>DataUK1!AK45/DataUK1!B45</f>
        <v>9.7311519365550575E-2</v>
      </c>
      <c r="E42" s="308">
        <f>DataUK1!CL45/DataUK1!B45</f>
        <v>0.37840658307901093</v>
      </c>
      <c r="F42" s="308">
        <f>DataUK1!DH45/DataUK1!$B45</f>
        <v>3.8257552976375724E-2</v>
      </c>
      <c r="G42" s="1202">
        <f>DataUK1!C45/DataUK1!$B45</f>
        <v>6.4580057374651334E-2</v>
      </c>
      <c r="H42" s="228">
        <f>DataUK1!K45/DataUK1!$B45</f>
        <v>7.1937279100877438E-2</v>
      </c>
      <c r="I42" s="203">
        <f t="shared" si="1"/>
        <v>8.2967645084349298E-2</v>
      </c>
      <c r="J42" s="203">
        <f t="shared" si="2"/>
        <v>0.39848529705753466</v>
      </c>
      <c r="K42" s="203">
        <f t="shared" si="3"/>
        <v>0.10485446422335934</v>
      </c>
      <c r="L42" s="308">
        <f t="shared" si="4"/>
        <v>0.40773815665433083</v>
      </c>
      <c r="M42" s="203">
        <f t="shared" si="5"/>
        <v>4.1223025249102964E-2</v>
      </c>
      <c r="N42" s="203">
        <f t="shared" si="6"/>
        <v>6.9585875954682352E-2</v>
      </c>
      <c r="O42" s="265">
        <f t="shared" si="7"/>
        <v>7.7513380810279087E-2</v>
      </c>
      <c r="S42" s="197">
        <f t="shared" si="8"/>
        <v>-1.1102230246251565E-16</v>
      </c>
      <c r="T42" s="197">
        <f t="shared" si="9"/>
        <v>0</v>
      </c>
    </row>
    <row r="43" spans="1:20">
      <c r="A43" s="198">
        <v>1888</v>
      </c>
      <c r="B43" s="202">
        <f>DataUK1!T46/DataUK1!B46</f>
        <v>7.3163733965979541E-2</v>
      </c>
      <c r="C43" s="308">
        <f>DataUK1!AJ46/DataUK1!B46</f>
        <v>0.36906952297740114</v>
      </c>
      <c r="D43" s="203">
        <f>DataUK1!AK46/DataUK1!B46</f>
        <v>9.217555712717318E-2</v>
      </c>
      <c r="E43" s="308">
        <f>DataUK1!CL46/DataUK1!B46</f>
        <v>0.38816371794262061</v>
      </c>
      <c r="F43" s="308">
        <f>DataUK1!DH46/DataUK1!$B46</f>
        <v>3.5948467279597537E-2</v>
      </c>
      <c r="G43" s="1202">
        <f>DataUK1!C46/DataUK1!$B46</f>
        <v>6.4522889989021226E-2</v>
      </c>
      <c r="H43" s="228">
        <f>DataUK1!K46/DataUK1!$B46</f>
        <v>6.9131667845379885E-2</v>
      </c>
      <c r="I43" s="203">
        <f t="shared" si="1"/>
        <v>7.8597296135998349E-2</v>
      </c>
      <c r="J43" s="203">
        <f t="shared" si="2"/>
        <v>0.39647876098990287</v>
      </c>
      <c r="K43" s="203">
        <f t="shared" si="3"/>
        <v>9.9021047277245366E-2</v>
      </c>
      <c r="L43" s="308">
        <f t="shared" si="4"/>
        <v>0.41699100134190131</v>
      </c>
      <c r="M43" s="203">
        <f t="shared" si="5"/>
        <v>3.861820843812569E-2</v>
      </c>
      <c r="N43" s="203">
        <f t="shared" si="6"/>
        <v>6.9314733094071754E-2</v>
      </c>
      <c r="O43" s="265">
        <f t="shared" si="7"/>
        <v>7.4265785457934025E-2</v>
      </c>
      <c r="S43" s="197">
        <f t="shared" si="8"/>
        <v>0</v>
      </c>
      <c r="T43" s="197">
        <f t="shared" si="9"/>
        <v>0</v>
      </c>
    </row>
    <row r="44" spans="1:20">
      <c r="A44" s="198">
        <v>1889</v>
      </c>
      <c r="B44" s="241">
        <f>DataUK1!T47/DataUK1!B47</f>
        <v>6.9209954373389754E-2</v>
      </c>
      <c r="C44" s="550">
        <f>DataUK1!AJ47/DataUK1!B47</f>
        <v>0.36954460198348543</v>
      </c>
      <c r="D44" s="216">
        <f>DataUK1!AK47/DataUK1!B47</f>
        <v>8.7050390776803835E-2</v>
      </c>
      <c r="E44" s="550">
        <f>DataUK1!CL47/DataUK1!B47</f>
        <v>0.3957230405456969</v>
      </c>
      <c r="F44" s="550">
        <f>DataUK1!DH47/DataUK1!$B47</f>
        <v>3.4543805863811047E-2</v>
      </c>
      <c r="G44" s="1960">
        <f>DataUK1!C47/DataUK1!$B47</f>
        <v>6.4049973372482985E-2</v>
      </c>
      <c r="H44" s="230">
        <f>DataUK1!K47/DataUK1!$B47</f>
        <v>6.6928623861133907E-2</v>
      </c>
      <c r="I44" s="216">
        <f t="shared" si="1"/>
        <v>7.4174340938189337E-2</v>
      </c>
      <c r="J44" s="216">
        <f t="shared" si="2"/>
        <v>0.39605180421748065</v>
      </c>
      <c r="K44" s="216">
        <f t="shared" si="3"/>
        <v>9.3294460641399429E-2</v>
      </c>
      <c r="L44" s="550">
        <f t="shared" si="4"/>
        <v>0.42410800573824775</v>
      </c>
      <c r="M44" s="216">
        <f t="shared" si="5"/>
        <v>3.7021611365634692E-2</v>
      </c>
      <c r="N44" s="216">
        <f t="shared" si="6"/>
        <v>6.8644237740447658E-2</v>
      </c>
      <c r="O44" s="267">
        <f t="shared" si="7"/>
        <v>7.1729372020917226E-2</v>
      </c>
      <c r="S44" s="197">
        <f t="shared" si="8"/>
        <v>0</v>
      </c>
      <c r="T44" s="197">
        <f t="shared" si="9"/>
        <v>0</v>
      </c>
    </row>
    <row r="45" spans="1:20">
      <c r="A45" s="198">
        <v>1890</v>
      </c>
      <c r="B45" s="202">
        <f>DataUK1!T48/DataUK1!B48</f>
        <v>6.8726249120337798E-2</v>
      </c>
      <c r="C45" s="308">
        <f>DataUK1!AJ48/DataUK1!B48</f>
        <v>0.35926218052739889</v>
      </c>
      <c r="D45" s="203">
        <f>DataUK1!AK48/DataUK1!B48</f>
        <v>8.9852216748768476E-2</v>
      </c>
      <c r="E45" s="308">
        <f>DataUK1!CL48/DataUK1!B48</f>
        <v>0.40311642608766085</v>
      </c>
      <c r="F45" s="308">
        <f>DataUK1!DH48/DataUK1!$B48</f>
        <v>3.5890218156228011E-2</v>
      </c>
      <c r="G45" s="1202">
        <f>DataUK1!C48/DataUK1!$B48</f>
        <v>6.615059817030261E-2</v>
      </c>
      <c r="H45" s="228">
        <f>DataUK1!K48/DataUK1!$B48</f>
        <v>6.6854327938071778E-2</v>
      </c>
      <c r="I45" s="203">
        <f t="shared" si="1"/>
        <v>7.3650075414781302E-2</v>
      </c>
      <c r="J45" s="203">
        <f t="shared" si="2"/>
        <v>0.38500117536156397</v>
      </c>
      <c r="K45" s="203">
        <f t="shared" si="3"/>
        <v>9.6289592760180995E-2</v>
      </c>
      <c r="L45" s="308">
        <f t="shared" si="4"/>
        <v>0.43199731634281002</v>
      </c>
      <c r="M45" s="203">
        <f t="shared" si="5"/>
        <v>3.8461538461538464E-2</v>
      </c>
      <c r="N45" s="203">
        <f t="shared" si="6"/>
        <v>7.0889894419306196E-2</v>
      </c>
      <c r="O45" s="265">
        <f t="shared" si="7"/>
        <v>7.1644042232277522E-2</v>
      </c>
      <c r="S45" s="197">
        <f t="shared" si="8"/>
        <v>1.1102230246251565E-16</v>
      </c>
      <c r="T45" s="197">
        <f t="shared" si="9"/>
        <v>0</v>
      </c>
    </row>
    <row r="46" spans="1:20">
      <c r="A46" s="198">
        <v>1891</v>
      </c>
      <c r="B46" s="202">
        <f>DataUK1!T49/DataUK1!B49</f>
        <v>7.0244077530509694E-2</v>
      </c>
      <c r="C46" s="308">
        <f>DataUK1!AJ49/DataUK1!B49</f>
        <v>0.33827617579234093</v>
      </c>
      <c r="D46" s="203">
        <f>DataUK1!AK49/DataUK1!B49</f>
        <v>8.7975592246949022E-2</v>
      </c>
      <c r="E46" s="308">
        <f>DataUK1!CL49/DataUK1!B49</f>
        <v>0.41761039994348098</v>
      </c>
      <c r="F46" s="308">
        <f>DataUK1!DH49/DataUK1!$B49</f>
        <v>3.7473079684134956E-2</v>
      </c>
      <c r="G46" s="1202">
        <f>DataUK1!C49/DataUK1!$B49</f>
        <v>6.7480258435032303E-2</v>
      </c>
      <c r="H46" s="228">
        <f>DataUK1!K49/DataUK1!$B49</f>
        <v>6.8916008614501076E-2</v>
      </c>
      <c r="I46" s="203">
        <f t="shared" si="1"/>
        <v>7.5443330763299926E-2</v>
      </c>
      <c r="J46" s="203">
        <f t="shared" si="2"/>
        <v>0.36331435071606083</v>
      </c>
      <c r="K46" s="203">
        <f t="shared" si="3"/>
        <v>9.4487278334618341E-2</v>
      </c>
      <c r="L46" s="308">
        <f t="shared" si="4"/>
        <v>0.4485206531389892</v>
      </c>
      <c r="M46" s="203">
        <f t="shared" si="5"/>
        <v>4.0246723207401691E-2</v>
      </c>
      <c r="N46" s="203">
        <f t="shared" si="6"/>
        <v>7.2474942174248269E-2</v>
      </c>
      <c r="O46" s="265">
        <f t="shared" si="7"/>
        <v>7.4016962220508867E-2</v>
      </c>
      <c r="S46" s="197">
        <f t="shared" si="8"/>
        <v>0</v>
      </c>
      <c r="T46" s="197">
        <f t="shared" si="9"/>
        <v>0</v>
      </c>
    </row>
    <row r="47" spans="1:20">
      <c r="A47" s="198">
        <v>1892</v>
      </c>
      <c r="B47" s="202">
        <f>DataUK1!T50/DataUK1!B50</f>
        <v>7.3956043956043951E-2</v>
      </c>
      <c r="C47" s="308">
        <f>DataUK1!AJ50/DataUK1!B50</f>
        <v>0.32140723121701992</v>
      </c>
      <c r="D47" s="203">
        <f>DataUK1!AK50/DataUK1!B50</f>
        <v>9.0476190476190474E-2</v>
      </c>
      <c r="E47" s="308">
        <f>DataUK1!CL50/DataUK1!B50</f>
        <v>0.42573562592583719</v>
      </c>
      <c r="F47" s="308">
        <f>DataUK1!DH50/DataUK1!$B50</f>
        <v>3.8241758241758239E-2</v>
      </c>
      <c r="G47" s="1202">
        <f>DataUK1!C50/DataUK1!$B50</f>
        <v>6.95970695970696E-2</v>
      </c>
      <c r="H47" s="228">
        <f>DataUK1!K50/DataUK1!$B50</f>
        <v>7.106227106227106E-2</v>
      </c>
      <c r="I47" s="203">
        <f t="shared" si="1"/>
        <v>7.9613564668769704E-2</v>
      </c>
      <c r="J47" s="203">
        <f t="shared" si="2"/>
        <v>0.34599437745365313</v>
      </c>
      <c r="K47" s="203">
        <f t="shared" si="3"/>
        <v>9.7397476340693998E-2</v>
      </c>
      <c r="L47" s="308">
        <f t="shared" si="4"/>
        <v>0.45830372980186729</v>
      </c>
      <c r="M47" s="203">
        <f t="shared" si="5"/>
        <v>4.116719242902208E-2</v>
      </c>
      <c r="N47" s="203">
        <f t="shared" si="6"/>
        <v>7.4921135646687703E-2</v>
      </c>
      <c r="O47" s="265">
        <f t="shared" si="7"/>
        <v>7.649842271293375E-2</v>
      </c>
      <c r="S47" s="197">
        <f t="shared" si="8"/>
        <v>1.1102230246251565E-16</v>
      </c>
      <c r="T47" s="197">
        <f t="shared" si="9"/>
        <v>1.1102230246251565E-16</v>
      </c>
    </row>
    <row r="48" spans="1:20">
      <c r="A48" s="198">
        <v>1893</v>
      </c>
      <c r="B48" s="202">
        <f>DataUK1!T51/DataUK1!B51</f>
        <v>7.6158892128279893E-2</v>
      </c>
      <c r="C48" s="308">
        <f>DataUK1!AJ51/DataUK1!B51</f>
        <v>0.30900081933382334</v>
      </c>
      <c r="D48" s="203">
        <f>DataUK1!AK51/DataUK1!B51</f>
        <v>8.6552478134110794E-2</v>
      </c>
      <c r="E48" s="308">
        <f>DataUK1!CL51/DataUK1!B51</f>
        <v>0.43524845180320293</v>
      </c>
      <c r="F48" s="308">
        <f>DataUK1!DH51/DataUK1!$B51</f>
        <v>3.892128279883382E-2</v>
      </c>
      <c r="G48" s="1202">
        <f>DataUK1!C51/DataUK1!$B51</f>
        <v>6.9241982507288635E-2</v>
      </c>
      <c r="H48" s="228">
        <f>DataUK1!K51/DataUK1!$B51</f>
        <v>7.1428571428571425E-2</v>
      </c>
      <c r="I48" s="203">
        <f t="shared" si="1"/>
        <v>8.2017268445839883E-2</v>
      </c>
      <c r="J48" s="203">
        <f t="shared" si="2"/>
        <v>0.33277011312873284</v>
      </c>
      <c r="K48" s="203">
        <f t="shared" si="3"/>
        <v>9.3210361067503925E-2</v>
      </c>
      <c r="L48" s="308">
        <f t="shared" si="4"/>
        <v>0.46872910194191081</v>
      </c>
      <c r="M48" s="203">
        <f t="shared" si="5"/>
        <v>4.1915227629513344E-2</v>
      </c>
      <c r="N48" s="203">
        <f t="shared" si="6"/>
        <v>7.4568288854003142E-2</v>
      </c>
      <c r="O48" s="265">
        <f t="shared" si="7"/>
        <v>7.6923076923076913E-2</v>
      </c>
      <c r="S48" s="197">
        <f t="shared" si="8"/>
        <v>0</v>
      </c>
      <c r="T48" s="197">
        <f t="shared" si="9"/>
        <v>0</v>
      </c>
    </row>
    <row r="49" spans="1:20">
      <c r="A49" s="198">
        <v>1894</v>
      </c>
      <c r="B49" s="202">
        <f>DataUK1!T52/DataUK1!B52</f>
        <v>7.5648907103825144E-2</v>
      </c>
      <c r="C49" s="308">
        <f>DataUK1!AJ52/DataUK1!B52</f>
        <v>0.32590670182569781</v>
      </c>
      <c r="D49" s="203">
        <f>DataUK1!AK52/DataUK1!B52</f>
        <v>7.851775956284153E-2</v>
      </c>
      <c r="E49" s="308">
        <f>DataUK1!CL52/DataUK1!B52</f>
        <v>0.42795258779178846</v>
      </c>
      <c r="F49" s="308">
        <f>DataUK1!DH52/DataUK1!$B52</f>
        <v>3.7295081967213116E-2</v>
      </c>
      <c r="G49" s="1202">
        <f>DataUK1!C52/DataUK1!$B52</f>
        <v>6.3524590163934427E-2</v>
      </c>
      <c r="H49" s="228">
        <f>DataUK1!K52/DataUK1!$B52</f>
        <v>6.9672131147540978E-2</v>
      </c>
      <c r="I49" s="203">
        <f t="shared" si="1"/>
        <v>8.1314243759177687E-2</v>
      </c>
      <c r="J49" s="203">
        <f t="shared" si="2"/>
        <v>0.35031381165405406</v>
      </c>
      <c r="K49" s="203">
        <f t="shared" si="3"/>
        <v>8.439794419970631E-2</v>
      </c>
      <c r="L49" s="308">
        <f t="shared" si="4"/>
        <v>0.46000190053390477</v>
      </c>
      <c r="M49" s="203">
        <f t="shared" si="5"/>
        <v>4.0088105726872249E-2</v>
      </c>
      <c r="N49" s="203">
        <f t="shared" si="6"/>
        <v>6.8281938325991193E-2</v>
      </c>
      <c r="O49" s="265">
        <f t="shared" si="7"/>
        <v>7.4889867841409691E-2</v>
      </c>
      <c r="S49" s="197">
        <f t="shared" si="8"/>
        <v>0</v>
      </c>
      <c r="T49" s="197">
        <f t="shared" si="9"/>
        <v>0</v>
      </c>
    </row>
    <row r="50" spans="1:20">
      <c r="A50" s="198">
        <v>1895</v>
      </c>
      <c r="B50" s="202">
        <f>DataUK1!T53/DataUK1!B53</f>
        <v>7.70838881491345E-2</v>
      </c>
      <c r="C50" s="308">
        <f>DataUK1!AJ53/DataUK1!B53</f>
        <v>0.31962833606515778</v>
      </c>
      <c r="D50" s="203">
        <f>DataUK1!AK53/DataUK1!B53</f>
        <v>7.7163781624500688E-2</v>
      </c>
      <c r="E50" s="308">
        <f>DataUK1!CL53/DataUK1!B53</f>
        <v>0.43071786899476233</v>
      </c>
      <c r="F50" s="308">
        <f>DataUK1!DH53/DataUK1!$B53</f>
        <v>3.8748335552596533E-2</v>
      </c>
      <c r="G50" s="1202">
        <f>DataUK1!C53/DataUK1!$B53</f>
        <v>6.2583222370173108E-2</v>
      </c>
      <c r="H50" s="228">
        <f>DataUK1!K53/DataUK1!$B53</f>
        <v>7.1238348868175774E-2</v>
      </c>
      <c r="I50" s="203">
        <f t="shared" si="1"/>
        <v>8.299641577060933E-2</v>
      </c>
      <c r="J50" s="203">
        <f t="shared" si="2"/>
        <v>0.34414463137624873</v>
      </c>
      <c r="K50" s="203">
        <f t="shared" si="3"/>
        <v>8.3082437275985688E-2</v>
      </c>
      <c r="L50" s="308">
        <f t="shared" si="4"/>
        <v>0.46375501020081222</v>
      </c>
      <c r="M50" s="203">
        <f t="shared" si="5"/>
        <v>4.1720430107526879E-2</v>
      </c>
      <c r="N50" s="203">
        <f t="shared" si="6"/>
        <v>6.7383512544802876E-2</v>
      </c>
      <c r="O50" s="265">
        <f t="shared" si="7"/>
        <v>7.6702508960573484E-2</v>
      </c>
      <c r="S50" s="197">
        <f t="shared" si="8"/>
        <v>0</v>
      </c>
      <c r="T50" s="197">
        <f t="shared" si="9"/>
        <v>0</v>
      </c>
    </row>
    <row r="51" spans="1:20">
      <c r="A51" s="198">
        <v>1896</v>
      </c>
      <c r="B51" s="202">
        <f>DataUK1!T54/DataUK1!B54</f>
        <v>7.7159533073929948E-2</v>
      </c>
      <c r="C51" s="308">
        <f>DataUK1!AJ54/DataUK1!B54</f>
        <v>0.30846318860200966</v>
      </c>
      <c r="D51" s="203">
        <f>DataUK1!AK54/DataUK1!B54</f>
        <v>7.6394293125810628E-2</v>
      </c>
      <c r="E51" s="308">
        <f>DataUK1!CL54/DataUK1!B54</f>
        <v>0.4404473172345662</v>
      </c>
      <c r="F51" s="308">
        <f>DataUK1!DH54/DataUK1!$B54</f>
        <v>3.9688715953307384E-2</v>
      </c>
      <c r="G51" s="1202">
        <f>DataUK1!C54/DataUK1!$B54</f>
        <v>6.2256809338521402E-2</v>
      </c>
      <c r="H51" s="228">
        <f>DataUK1!K54/DataUK1!$B54</f>
        <v>7.1984435797665364E-2</v>
      </c>
      <c r="I51" s="203">
        <f t="shared" si="1"/>
        <v>8.3144654088050302E-2</v>
      </c>
      <c r="J51" s="203">
        <f t="shared" si="2"/>
        <v>0.33239010260258484</v>
      </c>
      <c r="K51" s="203">
        <f t="shared" si="3"/>
        <v>8.2320055904961553E-2</v>
      </c>
      <c r="L51" s="308">
        <f t="shared" si="4"/>
        <v>0.47461199383347386</v>
      </c>
      <c r="M51" s="203">
        <f t="shared" si="5"/>
        <v>4.2767295597484267E-2</v>
      </c>
      <c r="N51" s="203">
        <f t="shared" si="6"/>
        <v>6.7085953878406712E-2</v>
      </c>
      <c r="O51" s="265">
        <f t="shared" si="7"/>
        <v>7.7568134171907749E-2</v>
      </c>
      <c r="S51" s="197">
        <f t="shared" si="8"/>
        <v>0</v>
      </c>
      <c r="T51" s="197">
        <f t="shared" si="9"/>
        <v>0</v>
      </c>
    </row>
    <row r="52" spans="1:20">
      <c r="A52" s="198">
        <v>1897</v>
      </c>
      <c r="B52" s="202">
        <f>DataUK1!T55/DataUK1!B55</f>
        <v>7.7126725219573394E-2</v>
      </c>
      <c r="C52" s="308">
        <f>DataUK1!AJ55/DataUK1!B55</f>
        <v>0.30859420198120974</v>
      </c>
      <c r="D52" s="203">
        <f>DataUK1!AK55/DataUK1!B55</f>
        <v>7.5690087829360098E-2</v>
      </c>
      <c r="E52" s="308">
        <f>DataUK1!CL55/DataUK1!B55</f>
        <v>0.44263540906019555</v>
      </c>
      <c r="F52" s="308">
        <f>DataUK1!DH55/DataUK1!$B55</f>
        <v>3.9899623588456709E-2</v>
      </c>
      <c r="G52" s="1202">
        <f>DataUK1!C55/DataUK1!$B55</f>
        <v>6.0853199498117939E-2</v>
      </c>
      <c r="H52" s="228">
        <f>DataUK1!K55/DataUK1!$B55</f>
        <v>7.0890840652446677E-2</v>
      </c>
      <c r="I52" s="203">
        <f t="shared" si="1"/>
        <v>8.3011478730587437E-2</v>
      </c>
      <c r="J52" s="203">
        <f t="shared" si="2"/>
        <v>0.3321398770817342</v>
      </c>
      <c r="K52" s="203">
        <f t="shared" si="3"/>
        <v>8.1465226198514512E-2</v>
      </c>
      <c r="L52" s="308">
        <f t="shared" si="4"/>
        <v>0.47640840110867771</v>
      </c>
      <c r="M52" s="203">
        <f t="shared" si="5"/>
        <v>4.2943956785955431E-2</v>
      </c>
      <c r="N52" s="203">
        <f t="shared" si="6"/>
        <v>6.5496286293045242E-2</v>
      </c>
      <c r="O52" s="265">
        <f t="shared" si="7"/>
        <v>7.6299797434166108E-2</v>
      </c>
      <c r="S52" s="197">
        <f t="shared" si="8"/>
        <v>0</v>
      </c>
      <c r="T52" s="197">
        <f t="shared" si="9"/>
        <v>0</v>
      </c>
    </row>
    <row r="53" spans="1:20">
      <c r="A53" s="198">
        <v>1898</v>
      </c>
      <c r="B53" s="202">
        <f>DataUK1!T56/DataUK1!B56</f>
        <v>7.5446960667461274E-2</v>
      </c>
      <c r="C53" s="308">
        <f>DataUK1!AJ56/DataUK1!B56</f>
        <v>0.30282960613337173</v>
      </c>
      <c r="D53" s="216">
        <f>DataUK1!AK56/DataUK1!B56</f>
        <v>6.963647199046484E-2</v>
      </c>
      <c r="E53" s="308">
        <f>DataUK1!CL56/DataUK1!B56</f>
        <v>0.45295108516579397</v>
      </c>
      <c r="F53" s="308">
        <f>DataUK1!DH56/DataUK1!$B56</f>
        <v>4.0047675804529212E-2</v>
      </c>
      <c r="G53" s="1202">
        <f>DataUK1!C56/DataUK1!$B56</f>
        <v>6.0190703218116814E-2</v>
      </c>
      <c r="H53" s="228">
        <f>DataUK1!K56/DataUK1!$B56</f>
        <v>6.8533969010727072E-2</v>
      </c>
      <c r="I53" s="203">
        <f t="shared" si="1"/>
        <v>8.0998080614203466E-2</v>
      </c>
      <c r="J53" s="203">
        <f t="shared" si="2"/>
        <v>0.32511073518349187</v>
      </c>
      <c r="K53" s="216">
        <f t="shared" si="3"/>
        <v>7.4760076775431866E-2</v>
      </c>
      <c r="L53" s="308">
        <f t="shared" si="4"/>
        <v>0.48627762054267581</v>
      </c>
      <c r="M53" s="203">
        <f t="shared" si="5"/>
        <v>4.2994241842610373E-2</v>
      </c>
      <c r="N53" s="203">
        <f t="shared" si="6"/>
        <v>6.4619321817018557E-2</v>
      </c>
      <c r="O53" s="265">
        <f t="shared" si="7"/>
        <v>7.3576455534229063E-2</v>
      </c>
      <c r="S53" s="197">
        <f t="shared" si="8"/>
        <v>0</v>
      </c>
      <c r="T53" s="197">
        <f t="shared" si="9"/>
        <v>0</v>
      </c>
    </row>
    <row r="54" spans="1:20">
      <c r="A54" s="198">
        <v>1899</v>
      </c>
      <c r="B54" s="237">
        <f>DataUK1!T57/DataUK1!B57</f>
        <v>7.3011299435028265E-2</v>
      </c>
      <c r="C54" s="551">
        <f>DataUK1!AJ57/DataUK1!B57</f>
        <v>0.31045704477425556</v>
      </c>
      <c r="D54" s="203">
        <f>DataUK1!AK57/DataUK1!B57</f>
        <v>6.9774011299435029E-2</v>
      </c>
      <c r="E54" s="551">
        <f>DataUK1!CL57/DataUK1!B57</f>
        <v>0.44387628855907779</v>
      </c>
      <c r="F54" s="551">
        <f>DataUK1!DH57/DataUK1!$B57</f>
        <v>4.6101694915254232E-2</v>
      </c>
      <c r="G54" s="1961">
        <f>DataUK1!C57/DataUK1!$B57</f>
        <v>5.8192090395480227E-2</v>
      </c>
      <c r="H54" s="229">
        <f>DataUK1!K57/DataUK1!$B57</f>
        <v>6.8361581920903955E-2</v>
      </c>
      <c r="I54" s="212">
        <f t="shared" si="1"/>
        <v>7.8368708308065513E-2</v>
      </c>
      <c r="J54" s="212">
        <f t="shared" si="2"/>
        <v>0.33323770118279705</v>
      </c>
      <c r="K54" s="203">
        <f t="shared" si="3"/>
        <v>7.4893875075803515E-2</v>
      </c>
      <c r="L54" s="551">
        <f t="shared" si="4"/>
        <v>0.4764469561853048</v>
      </c>
      <c r="M54" s="212">
        <f t="shared" si="5"/>
        <v>4.9484536082474218E-2</v>
      </c>
      <c r="N54" s="212">
        <f t="shared" si="6"/>
        <v>6.2462098241358399E-2</v>
      </c>
      <c r="O54" s="266">
        <f t="shared" si="7"/>
        <v>7.3377804730139481E-2</v>
      </c>
      <c r="S54" s="197">
        <f t="shared" si="8"/>
        <v>0</v>
      </c>
      <c r="T54" s="197">
        <f t="shared" si="9"/>
        <v>0</v>
      </c>
    </row>
    <row r="55" spans="1:20">
      <c r="A55" s="198">
        <v>1900</v>
      </c>
      <c r="B55" s="202">
        <f>DataUK1!T58/DataUK1!B58</f>
        <v>7.3027975863960523E-2</v>
      </c>
      <c r="C55" s="308">
        <f>DataUK1!AJ58/DataUK1!B58</f>
        <v>0.29494875044555735</v>
      </c>
      <c r="D55" s="203">
        <f>DataUK1!AK58/DataUK1!B58</f>
        <v>6.7745474492594632E-2</v>
      </c>
      <c r="E55" s="308">
        <f>DataUK1!CL58/DataUK1!B58</f>
        <v>0.44485925833118428</v>
      </c>
      <c r="F55" s="308">
        <f>DataUK1!DH58/DataUK1!$B58</f>
        <v>5.9901261656609993E-2</v>
      </c>
      <c r="G55" s="1202">
        <f>DataUK1!C58/DataUK1!$B58</f>
        <v>5.7048820625342847E-2</v>
      </c>
      <c r="H55" s="228">
        <f>DataUK1!K58/DataUK1!$B58</f>
        <v>7.0213933077345039E-2</v>
      </c>
      <c r="I55" s="203">
        <f t="shared" si="1"/>
        <v>7.8542772861356955E-2</v>
      </c>
      <c r="J55" s="203">
        <f t="shared" si="2"/>
        <v>0.31722216640840767</v>
      </c>
      <c r="K55" s="203">
        <f t="shared" si="3"/>
        <v>7.2861356932153398E-2</v>
      </c>
      <c r="L55" s="308">
        <f t="shared" si="4"/>
        <v>0.47845334981578108</v>
      </c>
      <c r="M55" s="203">
        <f t="shared" si="5"/>
        <v>6.4424778761061952E-2</v>
      </c>
      <c r="N55" s="203">
        <f t="shared" si="6"/>
        <v>6.1356932153392336E-2</v>
      </c>
      <c r="O55" s="265">
        <f t="shared" si="7"/>
        <v>7.5516224188790559E-2</v>
      </c>
      <c r="S55" s="197">
        <f t="shared" si="8"/>
        <v>0</v>
      </c>
      <c r="T55" s="197">
        <f t="shared" si="9"/>
        <v>0</v>
      </c>
    </row>
    <row r="56" spans="1:20">
      <c r="A56" s="198">
        <v>1901</v>
      </c>
      <c r="B56" s="202">
        <f>DataUK1!T59/DataUK1!B59</f>
        <v>7.5914634146341461E-2</v>
      </c>
      <c r="C56" s="308">
        <f>DataUK1!AJ59/DataUK1!B59</f>
        <v>0.28249736903565426</v>
      </c>
      <c r="D56" s="203">
        <f>DataUK1!AK59/DataUK1!B59</f>
        <v>6.8458980044345891E-2</v>
      </c>
      <c r="E56" s="308">
        <f>DataUK1!CL59/DataUK1!B59</f>
        <v>0.44025761987787115</v>
      </c>
      <c r="F56" s="308">
        <f>DataUK1!DH59/DataUK1!$B59</f>
        <v>6.718403547671839E-2</v>
      </c>
      <c r="G56" s="1202">
        <f>DataUK1!C59/DataUK1!$B59</f>
        <v>5.8758314855875828E-2</v>
      </c>
      <c r="H56" s="228">
        <f>DataUK1!K59/DataUK1!$B59</f>
        <v>7.5388026607538794E-2</v>
      </c>
      <c r="I56" s="203">
        <f t="shared" si="1"/>
        <v>8.210431654676259E-2</v>
      </c>
      <c r="J56" s="203">
        <f t="shared" si="2"/>
        <v>0.30553072766206252</v>
      </c>
      <c r="K56" s="203">
        <f t="shared" si="3"/>
        <v>7.4040767386091125E-2</v>
      </c>
      <c r="L56" s="308">
        <f t="shared" si="4"/>
        <v>0.47615392461611489</v>
      </c>
      <c r="M56" s="203">
        <f t="shared" si="5"/>
        <v>7.2661870503597112E-2</v>
      </c>
      <c r="N56" s="203">
        <f t="shared" si="6"/>
        <v>6.3549160671462823E-2</v>
      </c>
      <c r="O56" s="265">
        <f t="shared" si="7"/>
        <v>8.1534772182254189E-2</v>
      </c>
      <c r="S56" s="197">
        <f t="shared" si="8"/>
        <v>1.1102230246251565E-16</v>
      </c>
      <c r="T56" s="197">
        <f t="shared" si="9"/>
        <v>1.8041124150158794E-16</v>
      </c>
    </row>
    <row r="57" spans="1:20">
      <c r="A57" s="198">
        <v>1902</v>
      </c>
      <c r="B57" s="202">
        <f>DataUK1!T60/DataUK1!B60</f>
        <v>7.6055646481178393E-2</v>
      </c>
      <c r="C57" s="308">
        <f>DataUK1!AJ60/DataUK1!B60</f>
        <v>0.28689262131700466</v>
      </c>
      <c r="D57" s="203">
        <f>DataUK1!AK60/DataUK1!B60</f>
        <v>7.1522094926350241E-2</v>
      </c>
      <c r="E57" s="308">
        <f>DataUK1!CL60/DataUK1!B60</f>
        <v>0.43574240323291352</v>
      </c>
      <c r="F57" s="308">
        <f>DataUK1!DH60/DataUK1!$B60</f>
        <v>6.2193126022913256E-2</v>
      </c>
      <c r="G57" s="1202">
        <f>DataUK1!C60/DataUK1!$B60</f>
        <v>5.9465357337697762E-2</v>
      </c>
      <c r="H57" s="228">
        <f>DataUK1!K60/DataUK1!$B60</f>
        <v>7.9650845608292414E-2</v>
      </c>
      <c r="I57" s="203">
        <f t="shared" si="1"/>
        <v>8.263781861292234E-2</v>
      </c>
      <c r="J57" s="203">
        <f t="shared" si="2"/>
        <v>0.31172150259280945</v>
      </c>
      <c r="K57" s="203">
        <f t="shared" si="3"/>
        <v>7.771191464137521E-2</v>
      </c>
      <c r="L57" s="308">
        <f t="shared" si="4"/>
        <v>0.47345336403433935</v>
      </c>
      <c r="M57" s="203">
        <f t="shared" si="5"/>
        <v>6.7575577949021928E-2</v>
      </c>
      <c r="N57" s="203">
        <f t="shared" si="6"/>
        <v>6.4611736810906928E-2</v>
      </c>
      <c r="O57" s="265">
        <f t="shared" si="7"/>
        <v>8.6544161232957911E-2</v>
      </c>
      <c r="S57" s="197">
        <f t="shared" si="8"/>
        <v>0</v>
      </c>
      <c r="T57" s="197">
        <f t="shared" si="9"/>
        <v>0</v>
      </c>
    </row>
    <row r="58" spans="1:20">
      <c r="A58" s="198">
        <v>1903</v>
      </c>
      <c r="B58" s="202">
        <f>DataUK1!T61/DataUK1!B61</f>
        <v>7.9795240730492531E-2</v>
      </c>
      <c r="C58" s="308">
        <f>DataUK1!AJ61/DataUK1!B61</f>
        <v>0.2681313141756696</v>
      </c>
      <c r="D58" s="203">
        <f>DataUK1!AK61/DataUK1!B61</f>
        <v>6.6768123962368572E-2</v>
      </c>
      <c r="E58" s="308">
        <f>DataUK1!CL61/DataUK1!B61</f>
        <v>0.45318025195604045</v>
      </c>
      <c r="F58" s="308">
        <f>DataUK1!DH61/DataUK1!$B61</f>
        <v>5.6115107913669061E-2</v>
      </c>
      <c r="G58" s="1202">
        <f>DataUK1!C61/DataUK1!$B61</f>
        <v>6.1981184283342559E-2</v>
      </c>
      <c r="H58" s="228">
        <f>DataUK1!K61/DataUK1!$B61</f>
        <v>8.0796900940785829E-2</v>
      </c>
      <c r="I58" s="203">
        <f t="shared" si="1"/>
        <v>8.6809151113786884E-2</v>
      </c>
      <c r="J58" s="203">
        <f t="shared" si="2"/>
        <v>0.29169974997919024</v>
      </c>
      <c r="K58" s="203">
        <f t="shared" si="3"/>
        <v>7.2636965683323312E-2</v>
      </c>
      <c r="L58" s="308">
        <f t="shared" si="4"/>
        <v>0.49301427771496997</v>
      </c>
      <c r="M58" s="203">
        <f t="shared" si="5"/>
        <v>6.1047561709813361E-2</v>
      </c>
      <c r="N58" s="203">
        <f t="shared" si="6"/>
        <v>6.7429259482239615E-2</v>
      </c>
      <c r="O58" s="265">
        <f t="shared" si="7"/>
        <v>8.7898856110776635E-2</v>
      </c>
      <c r="S58" s="197">
        <f t="shared" si="8"/>
        <v>0</v>
      </c>
      <c r="T58" s="197">
        <f t="shared" si="9"/>
        <v>0</v>
      </c>
    </row>
    <row r="59" spans="1:20">
      <c r="A59" s="198">
        <v>1904</v>
      </c>
      <c r="B59" s="202">
        <f>DataUK1!T62/DataUK1!B62</f>
        <v>8.2246941045606231E-2</v>
      </c>
      <c r="C59" s="308">
        <f>DataUK1!AJ62/DataUK1!B62</f>
        <v>0.26783033115594529</v>
      </c>
      <c r="D59" s="203">
        <f>DataUK1!AK62/DataUK1!B62</f>
        <v>6.7102335928809806E-2</v>
      </c>
      <c r="E59" s="308">
        <f>DataUK1!CL62/DataUK1!B62</f>
        <v>0.44869914604094024</v>
      </c>
      <c r="F59" s="308">
        <f>DataUK1!DH62/DataUK1!$B62</f>
        <v>5.4393770856507234E-2</v>
      </c>
      <c r="G59" s="1202">
        <f>DataUK1!C62/DataUK1!$B62</f>
        <v>6.2847608453837606E-2</v>
      </c>
      <c r="H59" s="228">
        <f>DataUK1!K62/DataUK1!$B62</f>
        <v>8.398220244716352E-2</v>
      </c>
      <c r="I59" s="203">
        <f t="shared" si="1"/>
        <v>8.9787492410443231E-2</v>
      </c>
      <c r="J59" s="203">
        <f t="shared" si="2"/>
        <v>0.2923855102722463</v>
      </c>
      <c r="K59" s="203">
        <f t="shared" si="3"/>
        <v>7.3254401942926553E-2</v>
      </c>
      <c r="L59" s="308">
        <f t="shared" si="4"/>
        <v>0.48983671194997602</v>
      </c>
      <c r="M59" s="203">
        <f t="shared" si="5"/>
        <v>5.9380692167577416E-2</v>
      </c>
      <c r="N59" s="203">
        <f t="shared" si="6"/>
        <v>6.8609593199757138E-2</v>
      </c>
      <c r="O59" s="265">
        <f t="shared" si="7"/>
        <v>9.1681845780206439E-2</v>
      </c>
      <c r="S59" s="197">
        <f t="shared" si="8"/>
        <v>0</v>
      </c>
      <c r="T59" s="197">
        <f t="shared" si="9"/>
        <v>0</v>
      </c>
    </row>
    <row r="60" spans="1:20">
      <c r="A60" s="198">
        <v>1905</v>
      </c>
      <c r="B60" s="202">
        <f>DataUK1!T63/DataUK1!B63</f>
        <v>7.9366009589770914E-2</v>
      </c>
      <c r="C60" s="308">
        <f>DataUK1!AJ63/DataUK1!B63</f>
        <v>0.27623244626076515</v>
      </c>
      <c r="D60" s="203">
        <f>DataUK1!AK63/DataUK1!B63</f>
        <v>6.6302610548748003E-2</v>
      </c>
      <c r="E60" s="308">
        <f>DataUK1!CL63/DataUK1!B63</f>
        <v>0.44578673328105689</v>
      </c>
      <c r="F60" s="308">
        <f>DataUK1!DH63/DataUK1!$B63</f>
        <v>5.2104421949920085E-2</v>
      </c>
      <c r="G60" s="1202">
        <f>DataUK1!C63/DataUK1!$B63</f>
        <v>6.5530101225359613E-2</v>
      </c>
      <c r="H60" s="228">
        <f>DataUK1!K63/DataUK1!$B63</f>
        <v>8.0980287693127331E-2</v>
      </c>
      <c r="I60" s="203">
        <f t="shared" si="1"/>
        <v>8.6359420289855077E-2</v>
      </c>
      <c r="J60" s="203">
        <f t="shared" si="2"/>
        <v>0.30057292848200362</v>
      </c>
      <c r="K60" s="203">
        <f t="shared" si="3"/>
        <v>7.214492753623189E-2</v>
      </c>
      <c r="L60" s="308">
        <f t="shared" si="4"/>
        <v>0.48506765122814133</v>
      </c>
      <c r="M60" s="203">
        <f t="shared" si="5"/>
        <v>5.6695652173913043E-2</v>
      </c>
      <c r="N60" s="203">
        <f t="shared" si="6"/>
        <v>7.1304347826086953E-2</v>
      </c>
      <c r="O60" s="265">
        <f t="shared" si="7"/>
        <v>8.8115942028985511E-2</v>
      </c>
      <c r="S60" s="197">
        <f t="shared" si="8"/>
        <v>0</v>
      </c>
      <c r="T60" s="197">
        <f t="shared" si="9"/>
        <v>0</v>
      </c>
    </row>
    <row r="61" spans="1:20">
      <c r="A61" s="198">
        <v>1906</v>
      </c>
      <c r="B61" s="202">
        <f>DataUK1!T64/DataUK1!B64</f>
        <v>7.5661616161616166E-2</v>
      </c>
      <c r="C61" s="308">
        <f>DataUK1!AJ64/DataUK1!B64</f>
        <v>0.27902187805428169</v>
      </c>
      <c r="D61" s="203">
        <f>DataUK1!AK64/DataUK1!B64</f>
        <v>6.6691919191919205E-2</v>
      </c>
      <c r="E61" s="308">
        <f>DataUK1!CL64/DataUK1!B64</f>
        <v>0.45097307144066789</v>
      </c>
      <c r="F61" s="308">
        <f>DataUK1!DH64/DataUK1!$B64</f>
        <v>4.93939393939394E-2</v>
      </c>
      <c r="G61" s="1202">
        <f>DataUK1!C64/DataUK1!$B64</f>
        <v>6.7676767676767682E-2</v>
      </c>
      <c r="H61" s="228">
        <f>DataUK1!K64/DataUK1!$B64</f>
        <v>7.7272727272727285E-2</v>
      </c>
      <c r="I61" s="203">
        <f t="shared" si="1"/>
        <v>8.1997810618500283E-2</v>
      </c>
      <c r="J61" s="203">
        <f t="shared" si="2"/>
        <v>0.30238824222631511</v>
      </c>
      <c r="K61" s="203">
        <f t="shared" si="3"/>
        <v>7.2276956759715391E-2</v>
      </c>
      <c r="L61" s="308">
        <f t="shared" si="4"/>
        <v>0.48873928924604404</v>
      </c>
      <c r="M61" s="203">
        <f t="shared" si="5"/>
        <v>5.3530377668308711E-2</v>
      </c>
      <c r="N61" s="203">
        <f t="shared" si="6"/>
        <v>7.3344280240831977E-2</v>
      </c>
      <c r="O61" s="265">
        <f t="shared" si="7"/>
        <v>8.3743842364532028E-2</v>
      </c>
      <c r="S61" s="197">
        <f t="shared" si="8"/>
        <v>-1.1102230246251565E-16</v>
      </c>
      <c r="T61" s="197">
        <f t="shared" si="9"/>
        <v>-1.3877787807814457E-16</v>
      </c>
    </row>
    <row r="62" spans="1:20">
      <c r="A62" s="198">
        <v>1907</v>
      </c>
      <c r="B62" s="202">
        <f>DataUK1!T65/DataUK1!B65</f>
        <v>7.3025048169556836E-2</v>
      </c>
      <c r="C62" s="308">
        <f>DataUK1!AJ65/DataUK1!B65</f>
        <v>0.27750390795946062</v>
      </c>
      <c r="D62" s="203">
        <f>DataUK1!AK65/DataUK1!B65</f>
        <v>6.4065510597302505E-2</v>
      </c>
      <c r="E62" s="308">
        <f>DataUK1!CL65/DataUK1!B65</f>
        <v>0.45833424232955672</v>
      </c>
      <c r="F62" s="308">
        <f>DataUK1!DH65/DataUK1!$B65</f>
        <v>4.7109826589595373E-2</v>
      </c>
      <c r="G62" s="1202">
        <f>DataUK1!C65/DataUK1!$B65</f>
        <v>6.9364161849710976E-2</v>
      </c>
      <c r="H62" s="228">
        <f>DataUK1!K65/DataUK1!$B65</f>
        <v>7.466281310211946E-2</v>
      </c>
      <c r="I62" s="203">
        <f t="shared" si="1"/>
        <v>7.8917230609057781E-2</v>
      </c>
      <c r="J62" s="203">
        <f t="shared" si="2"/>
        <v>0.29989490521803236</v>
      </c>
      <c r="K62" s="203">
        <f t="shared" si="3"/>
        <v>6.9234773555439874E-2</v>
      </c>
      <c r="L62" s="308">
        <f t="shared" si="4"/>
        <v>0.49531592247587697</v>
      </c>
      <c r="M62" s="203">
        <f t="shared" si="5"/>
        <v>5.091098386257157E-2</v>
      </c>
      <c r="N62" s="203">
        <f t="shared" si="6"/>
        <v>7.4960957834461203E-2</v>
      </c>
      <c r="O62" s="265">
        <f t="shared" si="7"/>
        <v>8.068714211348256E-2</v>
      </c>
      <c r="S62" s="197">
        <f t="shared" si="8"/>
        <v>0</v>
      </c>
      <c r="T62" s="197">
        <f t="shared" si="9"/>
        <v>0</v>
      </c>
    </row>
    <row r="63" spans="1:20">
      <c r="A63" s="198">
        <v>1908</v>
      </c>
      <c r="B63" s="241">
        <f>DataUK1!T66/DataUK1!B66</f>
        <v>7.7501261988894496E-2</v>
      </c>
      <c r="C63" s="550">
        <f>DataUK1!AJ66/DataUK1!B66</f>
        <v>0.26322193383568987</v>
      </c>
      <c r="D63" s="550">
        <f>DataUK1!AK66/DataUK1!B66</f>
        <v>6.9535588086824834E-2</v>
      </c>
      <c r="E63" s="550">
        <f>DataUK1!CL66/DataUK1!B66</f>
        <v>0.45675282638642017</v>
      </c>
      <c r="F63" s="550">
        <f>DataUK1!DH66/DataUK1!$B66</f>
        <v>5.0580514891468954E-2</v>
      </c>
      <c r="G63" s="1960">
        <f>DataUK1!C66/DataUK1!$B66</f>
        <v>7.6224129227662793E-2</v>
      </c>
      <c r="H63" s="230">
        <f>DataUK1!K66/DataUK1!$B66</f>
        <v>7.5719333669863706E-2</v>
      </c>
      <c r="I63" s="216">
        <f t="shared" si="1"/>
        <v>8.3850354997269255E-2</v>
      </c>
      <c r="J63" s="216">
        <f t="shared" si="2"/>
        <v>0.28478571869388403</v>
      </c>
      <c r="K63" s="550">
        <f t="shared" si="3"/>
        <v>7.5232113599126155E-2</v>
      </c>
      <c r="L63" s="550">
        <f t="shared" si="4"/>
        <v>0.49417113548416075</v>
      </c>
      <c r="M63" s="216">
        <f t="shared" si="5"/>
        <v>5.472419442927362E-2</v>
      </c>
      <c r="N63" s="216">
        <f t="shared" si="6"/>
        <v>8.2468596395412347E-2</v>
      </c>
      <c r="O63" s="267">
        <f t="shared" si="7"/>
        <v>8.1922446750409619E-2</v>
      </c>
      <c r="S63" s="197">
        <f t="shared" si="8"/>
        <v>0</v>
      </c>
      <c r="T63" s="197">
        <f t="shared" si="9"/>
        <v>0</v>
      </c>
    </row>
    <row r="64" spans="1:20">
      <c r="A64" s="198">
        <v>1909</v>
      </c>
      <c r="B64" s="202">
        <f>DataUK1!T67/DataUK1!B67</f>
        <v>7.7082504970178933E-2</v>
      </c>
      <c r="C64" s="308">
        <f>DataUK1!AJ67/DataUK1!B67</f>
        <v>0.26210305642275961</v>
      </c>
      <c r="D64" s="203">
        <f>DataUK1!AK67/DataUK1!B67</f>
        <v>6.4214711729622259E-2</v>
      </c>
      <c r="E64" s="308">
        <f>DataUK1!CL67/DataUK1!B67</f>
        <v>0.45564545252356248</v>
      </c>
      <c r="F64" s="308">
        <f>DataUK1!DH67/DataUK1!$B67</f>
        <v>5.1590457256461233E-2</v>
      </c>
      <c r="G64" s="1202">
        <f>DataUK1!C67/DataUK1!$B67</f>
        <v>7.8528827037773363E-2</v>
      </c>
      <c r="H64" s="228">
        <f>DataUK1!K67/DataUK1!$B67</f>
        <v>7.5049701789264414E-2</v>
      </c>
      <c r="I64" s="203">
        <f t="shared" si="1"/>
        <v>8.3336915636754438E-2</v>
      </c>
      <c r="J64" s="203">
        <f t="shared" si="2"/>
        <v>0.28336988152745424</v>
      </c>
      <c r="K64" s="203">
        <f t="shared" si="3"/>
        <v>6.9425040300913482E-2</v>
      </c>
      <c r="L64" s="308">
        <f t="shared" si="4"/>
        <v>0.49261614748920352</v>
      </c>
      <c r="M64" s="203">
        <f t="shared" si="5"/>
        <v>5.5776464266523378E-2</v>
      </c>
      <c r="N64" s="203">
        <f t="shared" si="6"/>
        <v>8.490059108006448E-2</v>
      </c>
      <c r="O64" s="265">
        <f t="shared" si="7"/>
        <v>8.1139172487909722E-2</v>
      </c>
      <c r="S64" s="197">
        <f t="shared" si="8"/>
        <v>0</v>
      </c>
      <c r="T64" s="197">
        <f t="shared" si="9"/>
        <v>-1.1102230246251565E-16</v>
      </c>
    </row>
    <row r="65" spans="1:20">
      <c r="A65" s="198">
        <v>1910</v>
      </c>
      <c r="B65" s="202">
        <f>DataUK1!T68/DataUK1!B68</f>
        <v>7.4053156146179397E-2</v>
      </c>
      <c r="C65" s="308">
        <f>DataUK1!AJ68/DataUK1!B68</f>
        <v>0.26080159907471873</v>
      </c>
      <c r="D65" s="203">
        <f>DataUK1!AK68/DataUK1!B68</f>
        <v>6.0868533459895589E-2</v>
      </c>
      <c r="E65" s="308">
        <f>DataUK1!CL68/DataUK1!B68</f>
        <v>0.45479878061203971</v>
      </c>
      <c r="F65" s="308">
        <f>DataUK1!DH68/DataUK1!$B68</f>
        <v>5.1827242524916946E-2</v>
      </c>
      <c r="G65" s="1202">
        <f>DataUK1!C68/DataUK1!$B68</f>
        <v>8.0683436165163741E-2</v>
      </c>
      <c r="H65" s="228">
        <f>DataUK1!K68/DataUK1!$B68</f>
        <v>7.7835785476981487E-2</v>
      </c>
      <c r="I65" s="203">
        <f t="shared" si="1"/>
        <v>8.0303654143077705E-2</v>
      </c>
      <c r="J65" s="203">
        <f t="shared" si="2"/>
        <v>0.28281470368009898</v>
      </c>
      <c r="K65" s="203">
        <f t="shared" si="3"/>
        <v>6.6006176016469381E-2</v>
      </c>
      <c r="L65" s="308">
        <f t="shared" si="4"/>
        <v>0.4931863256559792</v>
      </c>
      <c r="M65" s="203">
        <f t="shared" si="5"/>
        <v>5.6201749871332987E-2</v>
      </c>
      <c r="N65" s="203">
        <f t="shared" si="6"/>
        <v>8.7493566649511065E-2</v>
      </c>
      <c r="O65" s="265">
        <f t="shared" si="7"/>
        <v>8.4405558414822432E-2</v>
      </c>
      <c r="S65" s="197">
        <f t="shared" si="8"/>
        <v>0</v>
      </c>
      <c r="T65" s="197">
        <f t="shared" si="9"/>
        <v>0</v>
      </c>
    </row>
    <row r="66" spans="1:20">
      <c r="A66" s="198">
        <v>1911</v>
      </c>
      <c r="B66" s="202">
        <f>DataUK1!T69/DataUK1!B69</f>
        <v>7.2454379562043786E-2</v>
      </c>
      <c r="C66" s="308">
        <f>DataUK1!AJ69/DataUK1!B69</f>
        <v>0.2668618434374892</v>
      </c>
      <c r="D66" s="203">
        <f>DataUK1!AK69/DataUK1!B69</f>
        <v>6.5875912408759132E-2</v>
      </c>
      <c r="E66" s="308">
        <f>DataUK1!CL69/DataUK1!B69</f>
        <v>0.45228961641652543</v>
      </c>
      <c r="F66" s="308">
        <f>DataUK1!DH69/DataUK1!$B69</f>
        <v>5.1459854014598544E-2</v>
      </c>
      <c r="G66" s="1202">
        <f>DataUK1!C69/DataUK1!$B69</f>
        <v>8.0748175182481757E-2</v>
      </c>
      <c r="H66" s="228">
        <f>DataUK1!K69/DataUK1!$B69</f>
        <v>7.6186131386861311E-2</v>
      </c>
      <c r="I66" s="203">
        <f t="shared" si="1"/>
        <v>7.8429629629629613E-2</v>
      </c>
      <c r="J66" s="203">
        <f t="shared" si="2"/>
        <v>0.28886970904443271</v>
      </c>
      <c r="K66" s="203">
        <f t="shared" si="3"/>
        <v>7.1308641975308645E-2</v>
      </c>
      <c r="L66" s="308">
        <f t="shared" si="4"/>
        <v>0.48958955021482653</v>
      </c>
      <c r="M66" s="203">
        <f t="shared" si="5"/>
        <v>5.5703703703703707E-2</v>
      </c>
      <c r="N66" s="203">
        <f t="shared" si="6"/>
        <v>8.7407407407407406E-2</v>
      </c>
      <c r="O66" s="265">
        <f t="shared" si="7"/>
        <v>8.2469135802469132E-2</v>
      </c>
      <c r="S66" s="197">
        <f t="shared" si="8"/>
        <v>0</v>
      </c>
      <c r="T66" s="197">
        <f t="shared" si="9"/>
        <v>0</v>
      </c>
    </row>
    <row r="67" spans="1:20">
      <c r="A67" s="198">
        <v>1912</v>
      </c>
      <c r="B67" s="202">
        <f>DataUK1!T70/DataUK1!B70</f>
        <v>6.9631076388888907E-2</v>
      </c>
      <c r="C67" s="308">
        <f>DataUK1!AJ70/DataUK1!B70</f>
        <v>0.26222414550597706</v>
      </c>
      <c r="D67" s="203">
        <f>DataUK1!AK70/DataUK1!B70</f>
        <v>6.1024305555555568E-2</v>
      </c>
      <c r="E67" s="308">
        <f>DataUK1!CL70/DataUK1!B70</f>
        <v>0.4612871392162452</v>
      </c>
      <c r="F67" s="308">
        <f>DataUK1!DH70/DataUK1!$B70</f>
        <v>5.1041666666666673E-2</v>
      </c>
      <c r="G67" s="1202">
        <f>DataUK1!C70/DataUK1!$B70</f>
        <v>8.1163194444444461E-2</v>
      </c>
      <c r="H67" s="228">
        <f>DataUK1!K70/DataUK1!$B70</f>
        <v>7.465277777777779E-2</v>
      </c>
      <c r="I67" s="203">
        <f t="shared" si="1"/>
        <v>7.5248592870544112E-2</v>
      </c>
      <c r="J67" s="203">
        <f t="shared" si="2"/>
        <v>0.28337918913966753</v>
      </c>
      <c r="K67" s="203">
        <f t="shared" si="3"/>
        <v>6.5947467166979371E-2</v>
      </c>
      <c r="L67" s="308">
        <f t="shared" si="4"/>
        <v>0.49850167389973216</v>
      </c>
      <c r="M67" s="203">
        <f t="shared" si="5"/>
        <v>5.5159474671669803E-2</v>
      </c>
      <c r="N67" s="203">
        <f t="shared" si="6"/>
        <v>8.7711069418386509E-2</v>
      </c>
      <c r="O67" s="265">
        <f t="shared" si="7"/>
        <v>8.0675422138836786E-2</v>
      </c>
      <c r="S67" s="197">
        <f t="shared" si="8"/>
        <v>0</v>
      </c>
      <c r="T67" s="197">
        <f t="shared" si="9"/>
        <v>0</v>
      </c>
    </row>
    <row r="68" spans="1:20">
      <c r="A68" s="198">
        <v>1913</v>
      </c>
      <c r="B68" s="202">
        <f>DataUK1!T71/DataUK1!B71</f>
        <v>6.8219235615287685E-2</v>
      </c>
      <c r="C68" s="308">
        <f>DataUK1!AJ71/DataUK1!B71</f>
        <v>0.25436438718785953</v>
      </c>
      <c r="D68" s="203">
        <f>DataUK1!AK71/DataUK1!B71</f>
        <v>5.665686686266274E-2</v>
      </c>
      <c r="E68" s="308">
        <f>DataUK1!CL71/DataUK1!B71</f>
        <v>0.46876455023339197</v>
      </c>
      <c r="F68" s="308">
        <f>DataUK1!DH71/DataUK1!$B71</f>
        <v>5.1154976900461988E-2</v>
      </c>
      <c r="G68" s="1202">
        <f>DataUK1!C71/DataUK1!$B71</f>
        <v>8.3998320033599305E-2</v>
      </c>
      <c r="H68" s="228">
        <f>DataUK1!K71/DataUK1!$B71</f>
        <v>7.3498530029399392E-2</v>
      </c>
      <c r="I68" s="203">
        <f t="shared" si="1"/>
        <v>7.3631006346328187E-2</v>
      </c>
      <c r="J68" s="203">
        <f t="shared" si="2"/>
        <v>0.27454288571817476</v>
      </c>
      <c r="K68" s="203">
        <f t="shared" si="3"/>
        <v>6.1151405258386214E-2</v>
      </c>
      <c r="L68" s="308">
        <f t="shared" si="4"/>
        <v>0.50595122126278613</v>
      </c>
      <c r="M68" s="203">
        <f t="shared" si="5"/>
        <v>5.5213055303717132E-2</v>
      </c>
      <c r="N68" s="203">
        <f t="shared" si="6"/>
        <v>9.0661831368993626E-2</v>
      </c>
      <c r="O68" s="265">
        <f t="shared" si="7"/>
        <v>7.9329102447869421E-2</v>
      </c>
      <c r="S68" s="197">
        <f t="shared" si="8"/>
        <v>2.0816681711721685E-16</v>
      </c>
      <c r="T68" s="197">
        <f t="shared" si="9"/>
        <v>2.2204460492503131E-16</v>
      </c>
    </row>
    <row r="69" spans="1:20">
      <c r="A69" s="198">
        <v>1914</v>
      </c>
      <c r="B69" s="202">
        <f>DataUK1!T72/DataUK1!B72</f>
        <v>6.240619902120717E-2</v>
      </c>
      <c r="C69" s="308">
        <f>DataUK1!AJ72/DataUK1!B72</f>
        <v>0.26092735879614104</v>
      </c>
      <c r="D69" s="203">
        <f>DataUK1!AK72/DataUK1!B72</f>
        <v>6.7026916802610109E-2</v>
      </c>
      <c r="E69" s="308">
        <f>DataUK1!CL72/DataUK1!B72</f>
        <v>0.45015746991511502</v>
      </c>
      <c r="F69" s="308">
        <f>DataUK1!DH72/DataUK1!$B72</f>
        <v>7.9282218597063622E-2</v>
      </c>
      <c r="G69" s="1202">
        <f>DataUK1!C72/DataUK1!$B72</f>
        <v>7.7487765089722674E-2</v>
      </c>
      <c r="H69" s="228">
        <f>DataUK1!K72/DataUK1!$B72</f>
        <v>6.9738988580750408E-2</v>
      </c>
      <c r="I69" s="203">
        <f t="shared" si="1"/>
        <v>6.7084612012275308E-2</v>
      </c>
      <c r="J69" s="203">
        <f t="shared" si="2"/>
        <v>0.28048833133193241</v>
      </c>
      <c r="K69" s="203">
        <f t="shared" si="3"/>
        <v>7.205173169662428E-2</v>
      </c>
      <c r="L69" s="308">
        <f t="shared" si="4"/>
        <v>0.48390447883904519</v>
      </c>
      <c r="M69" s="203">
        <f t="shared" si="5"/>
        <v>8.5225778167470415E-2</v>
      </c>
      <c r="N69" s="203">
        <f t="shared" si="6"/>
        <v>8.3296799649276637E-2</v>
      </c>
      <c r="O69" s="265">
        <f t="shared" si="7"/>
        <v>7.4967119684348979E-2</v>
      </c>
      <c r="S69" s="197">
        <f t="shared" si="8"/>
        <v>0</v>
      </c>
      <c r="T69" s="197">
        <f t="shared" si="9"/>
        <v>0</v>
      </c>
    </row>
    <row r="70" spans="1:20">
      <c r="A70" s="198">
        <v>1915</v>
      </c>
      <c r="B70" s="202">
        <f>DataUK1!T73/DataUK1!B73</f>
        <v>5.2499145299145303E-2</v>
      </c>
      <c r="C70" s="308">
        <f>DataUK1!AJ73/DataUK1!B73</f>
        <v>0.22927770612967216</v>
      </c>
      <c r="D70" s="203">
        <f>DataUK1!AK73/DataUK1!B73</f>
        <v>6.1059829059829061E-2</v>
      </c>
      <c r="E70" s="308">
        <f>DataUK1!CL73/DataUK1!B73</f>
        <v>0.37634280669084064</v>
      </c>
      <c r="F70" s="308">
        <f>DataUK1!DH73/DataUK1!$B73</f>
        <v>0.21435897435897436</v>
      </c>
      <c r="G70" s="1202">
        <f>DataUK1!C73/DataUK1!$B73</f>
        <v>5.6410256410256411E-2</v>
      </c>
      <c r="H70" s="228">
        <f>DataUK1!K73/DataUK1!$B73</f>
        <v>7.1111111111111111E-2</v>
      </c>
      <c r="I70" s="203">
        <f t="shared" si="1"/>
        <v>5.6518218623481789E-2</v>
      </c>
      <c r="J70" s="203">
        <f t="shared" si="2"/>
        <v>0.24683006640754179</v>
      </c>
      <c r="K70" s="203">
        <f t="shared" si="3"/>
        <v>6.5734265734265732E-2</v>
      </c>
      <c r="L70" s="308">
        <f t="shared" si="4"/>
        <v>0.40515373926047438</v>
      </c>
      <c r="M70" s="203">
        <f t="shared" si="5"/>
        <v>0.23076923076923078</v>
      </c>
      <c r="N70" s="203">
        <f t="shared" si="6"/>
        <v>6.0728744939271259E-2</v>
      </c>
      <c r="O70" s="265">
        <f t="shared" si="7"/>
        <v>7.6555023923444973E-2</v>
      </c>
      <c r="S70" s="197">
        <f t="shared" ref="S70:S83" si="10">1-B70-C70-E70-F70-G70-H70</f>
        <v>0</v>
      </c>
      <c r="T70" s="197">
        <f t="shared" ref="T70:T83" si="11">1-I70-J70-L70-M70-N70</f>
        <v>0</v>
      </c>
    </row>
    <row r="71" spans="1:20">
      <c r="A71" s="198">
        <v>1916</v>
      </c>
      <c r="B71" s="202">
        <f>DataUK1!T74/DataUK1!B74</f>
        <v>4.4270452628619616E-2</v>
      </c>
      <c r="C71" s="308">
        <f>DataUK1!AJ74/DataUK1!B74</f>
        <v>0.23182630261290574</v>
      </c>
      <c r="D71" s="203">
        <f>DataUK1!AK74/DataUK1!B74</f>
        <v>6.3030643800955855E-2</v>
      </c>
      <c r="E71" s="308">
        <f>DataUK1!CL74/DataUK1!B74</f>
        <v>0.38058021973738948</v>
      </c>
      <c r="F71" s="308">
        <f>DataUK1!DH74/DataUK1!$B74</f>
        <v>0.22468372223784086</v>
      </c>
      <c r="G71" s="1202">
        <f>DataUK1!C74/DataUK1!$B74</f>
        <v>5.6227157717177394E-2</v>
      </c>
      <c r="H71" s="228">
        <f>DataUK1!K74/DataUK1!$B74</f>
        <v>6.2412145066066911E-2</v>
      </c>
      <c r="I71" s="203">
        <f t="shared" si="1"/>
        <v>4.7217391304347822E-2</v>
      </c>
      <c r="J71" s="203">
        <f t="shared" si="2"/>
        <v>0.2472582184090272</v>
      </c>
      <c r="K71" s="203">
        <f t="shared" si="3"/>
        <v>6.7226386806596691E-2</v>
      </c>
      <c r="L71" s="308">
        <f t="shared" si="4"/>
        <v>0.4059141953840763</v>
      </c>
      <c r="M71" s="203">
        <f t="shared" si="5"/>
        <v>0.23964017991004496</v>
      </c>
      <c r="N71" s="203">
        <f t="shared" si="6"/>
        <v>5.9970014992503748E-2</v>
      </c>
      <c r="O71" s="265">
        <f t="shared" si="7"/>
        <v>6.6566716641679166E-2</v>
      </c>
      <c r="S71" s="197">
        <f t="shared" si="10"/>
        <v>0</v>
      </c>
      <c r="T71" s="197">
        <f t="shared" si="11"/>
        <v>-6.9388939039072284E-17</v>
      </c>
    </row>
    <row r="72" spans="1:20">
      <c r="A72" s="198">
        <v>1917</v>
      </c>
      <c r="B72" s="202">
        <f>DataUK1!T75/DataUK1!B75</f>
        <v>3.7197314792615677E-2</v>
      </c>
      <c r="C72" s="308">
        <f>DataUK1!AJ75/DataUK1!B75</f>
        <v>0.22641039386251291</v>
      </c>
      <c r="D72" s="203">
        <f>DataUK1!AK75/DataUK1!B75</f>
        <v>6.354591225125869E-2</v>
      </c>
      <c r="E72" s="308">
        <f>DataUK1!CL75/DataUK1!B75</f>
        <v>0.39954261500826149</v>
      </c>
      <c r="F72" s="308">
        <f>DataUK1!DH75/DataUK1!$B75</f>
        <v>0.24238791656677056</v>
      </c>
      <c r="G72" s="1202">
        <f>DataUK1!C75/DataUK1!$B75</f>
        <v>4.6751378566291059E-2</v>
      </c>
      <c r="H72" s="228">
        <f>DataUK1!K75/DataUK1!$B75</f>
        <v>4.7710381203548306E-2</v>
      </c>
      <c r="I72" s="203">
        <f t="shared" si="1"/>
        <v>3.906092648539778E-2</v>
      </c>
      <c r="J72" s="203">
        <f t="shared" si="2"/>
        <v>0.23775371419953206</v>
      </c>
      <c r="K72" s="203">
        <f t="shared" si="3"/>
        <v>6.6729607250755288E-2</v>
      </c>
      <c r="L72" s="308">
        <f t="shared" si="4"/>
        <v>0.41955998167156561</v>
      </c>
      <c r="M72" s="203">
        <f t="shared" si="5"/>
        <v>0.25453172205438068</v>
      </c>
      <c r="N72" s="203">
        <f t="shared" si="6"/>
        <v>4.9093655589123868E-2</v>
      </c>
      <c r="O72" s="265">
        <f t="shared" si="7"/>
        <v>5.0100704934541787E-2</v>
      </c>
      <c r="S72" s="197">
        <f t="shared" si="10"/>
        <v>0</v>
      </c>
      <c r="T72" s="197">
        <f t="shared" si="11"/>
        <v>0</v>
      </c>
    </row>
    <row r="73" spans="1:20">
      <c r="A73" s="198">
        <v>1918</v>
      </c>
      <c r="B73" s="202">
        <f>DataUK1!T76/DataUK1!B76</f>
        <v>3.1541675370795906E-2</v>
      </c>
      <c r="C73" s="308">
        <f>DataUK1!AJ76/DataUK1!B76</f>
        <v>0.22379057063912683</v>
      </c>
      <c r="D73" s="308">
        <f>DataUK1!AK76/DataUK1!B76</f>
        <v>6.0726968874033838E-2</v>
      </c>
      <c r="E73" s="308">
        <f>DataUK1!CL76/DataUK1!B76</f>
        <v>0.4394243865365573</v>
      </c>
      <c r="F73" s="308">
        <f>DataUK1!DH76/DataUK1!$B76</f>
        <v>0.23087528723626488</v>
      </c>
      <c r="G73" s="1202">
        <f>DataUK1!C76/DataUK1!$B76</f>
        <v>3.6557342803425943E-2</v>
      </c>
      <c r="H73" s="228">
        <f>DataUK1!K76/DataUK1!$B76</f>
        <v>3.7810737413829121E-2</v>
      </c>
      <c r="I73" s="203">
        <f t="shared" si="1"/>
        <v>3.2781155015197572E-2</v>
      </c>
      <c r="J73" s="203">
        <f t="shared" si="2"/>
        <v>0.23258477239459405</v>
      </c>
      <c r="K73" s="308">
        <f t="shared" si="3"/>
        <v>6.3113330438558393E-2</v>
      </c>
      <c r="L73" s="308">
        <f t="shared" si="4"/>
        <v>0.45669225756632648</v>
      </c>
      <c r="M73" s="203">
        <f t="shared" si="5"/>
        <v>0.23994789405123751</v>
      </c>
      <c r="N73" s="203">
        <f t="shared" si="6"/>
        <v>3.7993920972644375E-2</v>
      </c>
      <c r="O73" s="265">
        <f t="shared" si="7"/>
        <v>3.9296569691706473E-2</v>
      </c>
      <c r="S73" s="197">
        <f t="shared" si="10"/>
        <v>0</v>
      </c>
      <c r="T73" s="197">
        <f t="shared" si="11"/>
        <v>0</v>
      </c>
    </row>
    <row r="74" spans="1:20">
      <c r="A74" s="198">
        <v>1919</v>
      </c>
      <c r="B74" s="202">
        <f>DataUK1!T77/DataUK1!B77</f>
        <v>2.6484284051222357E-2</v>
      </c>
      <c r="C74" s="308">
        <f>DataUK1!AJ77/DataUK1!B77</f>
        <v>0.24037191195634283</v>
      </c>
      <c r="D74" s="550">
        <f>DataUK1!AK77/DataUK1!B77</f>
        <v>6.3591385331781144E-2</v>
      </c>
      <c r="E74" s="308">
        <f>DataUK1!CL77/DataUK1!B77</f>
        <v>0.53737352847827113</v>
      </c>
      <c r="F74" s="308">
        <f>DataUK1!DH77/DataUK1!$B77</f>
        <v>0.10884749708963912</v>
      </c>
      <c r="G74" s="1202">
        <f>DataUK1!C77/DataUK1!$B77</f>
        <v>3.2013969732246801E-2</v>
      </c>
      <c r="H74" s="228">
        <f>DataUK1!K77/DataUK1!$B77</f>
        <v>5.4908808692277843E-2</v>
      </c>
      <c r="I74" s="203">
        <f t="shared" si="1"/>
        <v>2.8022993225210437E-2</v>
      </c>
      <c r="J74" s="203">
        <f t="shared" si="2"/>
        <v>0.25433726836850562</v>
      </c>
      <c r="K74" s="550">
        <f t="shared" si="3"/>
        <v>6.7285978238554714E-2</v>
      </c>
      <c r="L74" s="308">
        <f t="shared" si="4"/>
        <v>0.56859436784582418</v>
      </c>
      <c r="M74" s="203">
        <f t="shared" si="5"/>
        <v>0.11517142270580991</v>
      </c>
      <c r="N74" s="203">
        <f t="shared" si="6"/>
        <v>3.387394785464997E-2</v>
      </c>
      <c r="O74" s="265">
        <f t="shared" si="7"/>
        <v>5.8098952987066313E-2</v>
      </c>
      <c r="S74" s="197">
        <f t="shared" si="10"/>
        <v>-1.6653345369377348E-16</v>
      </c>
      <c r="T74" s="197">
        <f t="shared" si="11"/>
        <v>0</v>
      </c>
    </row>
    <row r="75" spans="1:20">
      <c r="A75" s="199" t="s">
        <v>651</v>
      </c>
      <c r="B75" s="237">
        <f>DataUK1!T78/DataUK1!B78</f>
        <v>2.0778741465214984E-2</v>
      </c>
      <c r="C75" s="551">
        <f>DataUK1!AJ78/DataUK1!B78</f>
        <v>0.24244309510907189</v>
      </c>
      <c r="D75" s="203">
        <f>DataUK1!AK78/DataUK1!B78</f>
        <v>6.9247093559697367E-2</v>
      </c>
      <c r="E75" s="551">
        <f>DataUK1!CL78/DataUK1!B78</f>
        <v>0.56109999402176414</v>
      </c>
      <c r="F75" s="551">
        <f>DataUK1!DH78/DataUK1!$B78</f>
        <v>5.7575198376084151E-2</v>
      </c>
      <c r="G75" s="1961">
        <f>DataUK1!C78/DataUK1!$B78</f>
        <v>4.6872116626683891E-2</v>
      </c>
      <c r="H75" s="229">
        <f>DataUK1!K78/DataUK1!$B78</f>
        <v>7.1230854401181029E-2</v>
      </c>
      <c r="I75" s="212">
        <f t="shared" ref="I75:I138" si="12">B75/(1-$H75)</f>
        <v>2.2372342539241009E-2</v>
      </c>
      <c r="J75" s="212">
        <f t="shared" ref="J75:J138" si="13">C75/(1-$H75)</f>
        <v>0.26103698239540246</v>
      </c>
      <c r="K75" s="203">
        <f t="shared" ref="K75:K102" si="14">D75/(1-$H75)</f>
        <v>7.4557917742896884E-2</v>
      </c>
      <c r="L75" s="551">
        <f t="shared" ref="L75:L138" si="15">E75/(1-$H75)</f>
        <v>0.60413289640451817</v>
      </c>
      <c r="M75" s="212">
        <f t="shared" ref="M75:M138" si="16">F75/(1-$H75)</f>
        <v>6.1990860321875625E-2</v>
      </c>
      <c r="N75" s="212">
        <f t="shared" ref="N75:N138" si="17">G75/(1-$H75)</f>
        <v>5.0466918338962843E-2</v>
      </c>
      <c r="O75" s="266">
        <f t="shared" ref="O75:O138" si="18">H75/(1-$H75)</f>
        <v>7.6693820782833294E-2</v>
      </c>
      <c r="S75" s="197">
        <f t="shared" si="10"/>
        <v>0</v>
      </c>
      <c r="T75" s="197">
        <f t="shared" si="11"/>
        <v>-7.6327832942979512E-17</v>
      </c>
    </row>
    <row r="76" spans="1:20">
      <c r="A76" s="198" t="s">
        <v>652</v>
      </c>
      <c r="B76" s="202">
        <f>DataUK1!T79/DataUK1!B79</f>
        <v>1.7693920335429773E-2</v>
      </c>
      <c r="C76" s="308">
        <f>DataUK1!AJ79/DataUK1!B79</f>
        <v>0.22296975826757245</v>
      </c>
      <c r="D76" s="203">
        <f>DataUK1!AK79/DataUK1!B79</f>
        <v>5.5403087478559175E-2</v>
      </c>
      <c r="E76" s="308">
        <f>DataUK1!CL79/DataUK1!B79</f>
        <v>0.58613258592911133</v>
      </c>
      <c r="F76" s="308">
        <f>DataUK1!DH79/DataUK1!$B79</f>
        <v>5.5803316180674675E-2</v>
      </c>
      <c r="G76" s="1202">
        <f>DataUK1!C79/DataUK1!$B79</f>
        <v>4.6883933676386505E-2</v>
      </c>
      <c r="H76" s="228">
        <f>DataUK1!K79/DataUK1!$B79</f>
        <v>7.0516485610825227E-2</v>
      </c>
      <c r="I76" s="203">
        <f t="shared" si="12"/>
        <v>1.9036292802952638E-2</v>
      </c>
      <c r="J76" s="203">
        <f t="shared" si="13"/>
        <v>0.23988565134918038</v>
      </c>
      <c r="K76" s="203">
        <f t="shared" si="14"/>
        <v>5.9606315357801927E-2</v>
      </c>
      <c r="L76" s="308">
        <f t="shared" si="15"/>
        <v>0.63060030313103288</v>
      </c>
      <c r="M76" s="203">
        <f t="shared" si="16"/>
        <v>6.0036907935206073E-2</v>
      </c>
      <c r="N76" s="203">
        <f t="shared" si="17"/>
        <v>5.0440844781628046E-2</v>
      </c>
      <c r="O76" s="265">
        <f t="shared" si="18"/>
        <v>7.5866311256920227E-2</v>
      </c>
      <c r="S76" s="197">
        <f t="shared" si="10"/>
        <v>0</v>
      </c>
      <c r="T76" s="197">
        <f t="shared" si="11"/>
        <v>0</v>
      </c>
    </row>
    <row r="77" spans="1:20">
      <c r="A77" s="198">
        <v>1921</v>
      </c>
      <c r="B77" s="202">
        <f>DataUK1!T80/DataUK1!B80</f>
        <v>2.8842129737270406E-2</v>
      </c>
      <c r="C77" s="308">
        <f>DataUK1!AJ80/DataUK1!B80</f>
        <v>0.22633296753695373</v>
      </c>
      <c r="D77" s="203">
        <f>DataUK1!AK80/DataUK1!B80</f>
        <v>5.9858172518019059E-2</v>
      </c>
      <c r="E77" s="308">
        <f>DataUK1!CL80/DataUK1!B80</f>
        <v>0.54175584901733598</v>
      </c>
      <c r="F77" s="308">
        <f>DataUK1!DH80/DataUK1!$B80</f>
        <v>6.8216693792141361E-2</v>
      </c>
      <c r="G77" s="1202">
        <f>DataUK1!C80/DataUK1!$B80</f>
        <v>4.138572425017438E-2</v>
      </c>
      <c r="H77" s="228">
        <f>DataUK1!K80/DataUK1!$B80</f>
        <v>9.3466635666124162E-2</v>
      </c>
      <c r="I77" s="203">
        <f t="shared" si="12"/>
        <v>3.1815850218004621E-2</v>
      </c>
      <c r="J77" s="203">
        <f t="shared" si="13"/>
        <v>0.24966865693163323</v>
      </c>
      <c r="K77" s="203">
        <f t="shared" si="14"/>
        <v>6.6029751218261087E-2</v>
      </c>
      <c r="L77" s="308">
        <f t="shared" si="15"/>
        <v>0.5976126972617497</v>
      </c>
      <c r="M77" s="203">
        <f t="shared" si="16"/>
        <v>7.5250064119004867E-2</v>
      </c>
      <c r="N77" s="203">
        <f t="shared" si="17"/>
        <v>4.5652731469607591E-2</v>
      </c>
      <c r="O77" s="265">
        <f t="shared" si="18"/>
        <v>0.10310335983585535</v>
      </c>
      <c r="S77" s="197">
        <f t="shared" si="10"/>
        <v>0</v>
      </c>
      <c r="T77" s="197">
        <f t="shared" si="11"/>
        <v>0</v>
      </c>
    </row>
    <row r="78" spans="1:20">
      <c r="A78" s="198">
        <v>1922</v>
      </c>
      <c r="B78" s="202">
        <f>DataUK1!T81/DataUK1!B81</f>
        <v>3.4261613691931536E-2</v>
      </c>
      <c r="C78" s="308">
        <f>DataUK1!AJ81/DataUK1!B81</f>
        <v>0.24125982034551147</v>
      </c>
      <c r="D78" s="203">
        <f>DataUK1!AK81/DataUK1!B81</f>
        <v>4.970660146699267E-2</v>
      </c>
      <c r="E78" s="308">
        <f>DataUK1!CL81/DataUK1!B81</f>
        <v>0.51005313808969632</v>
      </c>
      <c r="F78" s="308">
        <f>DataUK1!DH81/DataUK1!$B81</f>
        <v>6.3814180929095354E-2</v>
      </c>
      <c r="G78" s="1202">
        <f>DataUK1!C81/DataUK1!$B81</f>
        <v>4.3276283618581907E-2</v>
      </c>
      <c r="H78" s="228">
        <f>DataUK1!K81/DataUK1!$B81</f>
        <v>0.10733496332518337</v>
      </c>
      <c r="I78" s="203">
        <f t="shared" si="12"/>
        <v>3.838126540673787E-2</v>
      </c>
      <c r="J78" s="203">
        <f t="shared" si="13"/>
        <v>0.27026914960644804</v>
      </c>
      <c r="K78" s="203">
        <f t="shared" si="14"/>
        <v>5.5683374417967682E-2</v>
      </c>
      <c r="L78" s="308">
        <f t="shared" si="15"/>
        <v>0.57138245269429144</v>
      </c>
      <c r="M78" s="203">
        <f t="shared" si="16"/>
        <v>7.1487263763352502E-2</v>
      </c>
      <c r="N78" s="203">
        <f t="shared" si="17"/>
        <v>4.8479868529170085E-2</v>
      </c>
      <c r="O78" s="265">
        <f t="shared" si="18"/>
        <v>0.12024102985483429</v>
      </c>
      <c r="S78" s="197">
        <f t="shared" si="10"/>
        <v>0</v>
      </c>
      <c r="T78" s="197">
        <f t="shared" si="11"/>
        <v>6.2450045135165055E-17</v>
      </c>
    </row>
    <row r="79" spans="1:20">
      <c r="A79" s="198">
        <v>1923</v>
      </c>
      <c r="B79" s="202">
        <f>DataUK1!T82/DataUK1!B82</f>
        <v>3.4266270725068056E-2</v>
      </c>
      <c r="C79" s="308">
        <f>DataUK1!AJ82/DataUK1!B82</f>
        <v>0.23979870562506064</v>
      </c>
      <c r="D79" s="203">
        <f>DataUK1!AK82/DataUK1!B82</f>
        <v>4.349170997277902E-2</v>
      </c>
      <c r="E79" s="308">
        <f>DataUK1!CL82/DataUK1!B82</f>
        <v>0.51138416990079927</v>
      </c>
      <c r="F79" s="308">
        <f>DataUK1!DH82/DataUK1!$B82</f>
        <v>5.8648849294729036E-2</v>
      </c>
      <c r="G79" s="1202">
        <f>DataUK1!C82/DataUK1!$B82</f>
        <v>4.355357584756249E-2</v>
      </c>
      <c r="H79" s="228">
        <f>DataUK1!K82/DataUK1!$B82</f>
        <v>0.11234842860678051</v>
      </c>
      <c r="I79" s="203">
        <f t="shared" si="12"/>
        <v>3.8603289657095072E-2</v>
      </c>
      <c r="J79" s="203">
        <f t="shared" si="13"/>
        <v>0.27014958724027599</v>
      </c>
      <c r="K79" s="203">
        <f t="shared" si="14"/>
        <v>4.899637580150544E-2</v>
      </c>
      <c r="L79" s="308">
        <f t="shared" si="15"/>
        <v>0.57610912477533593</v>
      </c>
      <c r="M79" s="203">
        <f t="shared" si="16"/>
        <v>6.6071926400892114E-2</v>
      </c>
      <c r="N79" s="203">
        <f t="shared" si="17"/>
        <v>4.9066071926400896E-2</v>
      </c>
      <c r="O79" s="265">
        <f t="shared" si="18"/>
        <v>0.12656816281014777</v>
      </c>
      <c r="S79" s="197">
        <f t="shared" si="10"/>
        <v>0</v>
      </c>
      <c r="T79" s="197">
        <f t="shared" si="11"/>
        <v>0</v>
      </c>
    </row>
    <row r="80" spans="1:20">
      <c r="A80" s="198">
        <v>1924</v>
      </c>
      <c r="B80" s="202">
        <f>DataUK1!T83/DataUK1!B83</f>
        <v>3.5317096696407042E-2</v>
      </c>
      <c r="C80" s="308">
        <f>DataUK1!AJ83/DataUK1!B83</f>
        <v>0.24043715643906452</v>
      </c>
      <c r="D80" s="203">
        <f>DataUK1!AK83/DataUK1!B83</f>
        <v>4.1005546177959977E-2</v>
      </c>
      <c r="E80" s="308">
        <f>DataUK1!CL83/DataUK1!B83</f>
        <v>0.51570945556961645</v>
      </c>
      <c r="F80" s="308">
        <f>DataUK1!DH83/DataUK1!$B83</f>
        <v>5.7583795514829984E-2</v>
      </c>
      <c r="G80" s="1202">
        <f>DataUK1!C83/DataUK1!$B83</f>
        <v>4.7263081745840367E-2</v>
      </c>
      <c r="H80" s="228">
        <f>DataUK1!K83/DataUK1!$B83</f>
        <v>0.10368941403424162</v>
      </c>
      <c r="I80" s="203">
        <f t="shared" si="12"/>
        <v>3.9402744148506863E-2</v>
      </c>
      <c r="J80" s="203">
        <f t="shared" si="13"/>
        <v>0.26825205481646502</v>
      </c>
      <c r="K80" s="203">
        <f t="shared" si="14"/>
        <v>4.574926015603982E-2</v>
      </c>
      <c r="L80" s="308">
        <f t="shared" si="15"/>
        <v>0.5753691450759213</v>
      </c>
      <c r="M80" s="203">
        <f t="shared" si="16"/>
        <v>6.4245359160613386E-2</v>
      </c>
      <c r="N80" s="203">
        <f t="shared" si="17"/>
        <v>5.2730696798493411E-2</v>
      </c>
      <c r="O80" s="265">
        <f t="shared" si="18"/>
        <v>0.11568469195587838</v>
      </c>
      <c r="S80" s="197">
        <f t="shared" si="10"/>
        <v>0</v>
      </c>
      <c r="T80" s="197">
        <f t="shared" si="11"/>
        <v>7.6327832942979512E-17</v>
      </c>
    </row>
    <row r="81" spans="1:20">
      <c r="A81" s="198">
        <v>1925</v>
      </c>
      <c r="B81" s="202">
        <f>DataUK1!T84/DataUK1!B84</f>
        <v>3.6573311367380561E-2</v>
      </c>
      <c r="C81" s="308">
        <f>DataUK1!AJ84/DataUK1!B84</f>
        <v>0.24127070041768214</v>
      </c>
      <c r="D81" s="203">
        <f>DataUK1!AK84/DataUK1!B84</f>
        <v>3.8903271357966583E-2</v>
      </c>
      <c r="E81" s="308">
        <f>DataUK1!CL84/DataUK1!B84</f>
        <v>0.5084115777654199</v>
      </c>
      <c r="F81" s="308">
        <f>DataUK1!DH84/DataUK1!$B84</f>
        <v>5.817839491645093E-2</v>
      </c>
      <c r="G81" s="1202">
        <f>DataUK1!C84/DataUK1!$B84</f>
        <v>5.4601082607672394E-2</v>
      </c>
      <c r="H81" s="228">
        <f>DataUK1!K84/DataUK1!$B84</f>
        <v>0.10096493292539421</v>
      </c>
      <c r="I81" s="203">
        <f t="shared" si="12"/>
        <v>4.0680628272251308E-2</v>
      </c>
      <c r="J81" s="203">
        <f t="shared" si="13"/>
        <v>0.26836628431275694</v>
      </c>
      <c r="K81" s="203">
        <f t="shared" si="14"/>
        <v>4.3272251308900528E-2</v>
      </c>
      <c r="L81" s="308">
        <f t="shared" si="15"/>
        <v>0.5655080612369815</v>
      </c>
      <c r="M81" s="203">
        <f t="shared" si="16"/>
        <v>6.4712041884816759E-2</v>
      </c>
      <c r="N81" s="203">
        <f t="shared" si="17"/>
        <v>6.0732984293193716E-2</v>
      </c>
      <c r="O81" s="265">
        <f t="shared" si="18"/>
        <v>0.11230366492146597</v>
      </c>
      <c r="S81" s="197">
        <f t="shared" si="10"/>
        <v>-1.2490009027033011E-16</v>
      </c>
      <c r="T81" s="197">
        <f t="shared" si="11"/>
        <v>-1.3183898417423734E-16</v>
      </c>
    </row>
    <row r="82" spans="1:20">
      <c r="A82" s="198">
        <v>1926</v>
      </c>
      <c r="B82" s="202">
        <f>DataUK1!T85/DataUK1!B85</f>
        <v>3.955072463768116E-2</v>
      </c>
      <c r="C82" s="308">
        <f>DataUK1!AJ85/DataUK1!B85</f>
        <v>0.24405494192983201</v>
      </c>
      <c r="D82" s="203">
        <f>DataUK1!AK85/DataUK1!B85</f>
        <v>4.0157004830917872E-2</v>
      </c>
      <c r="E82" s="308">
        <f>DataUK1!CL85/DataUK1!B85</f>
        <v>0.48982428512330817</v>
      </c>
      <c r="F82" s="308">
        <f>DataUK1!DH85/DataUK1!$B85</f>
        <v>6.0869565217391307E-2</v>
      </c>
      <c r="G82" s="1202">
        <f>DataUK1!C85/DataUK1!$B85</f>
        <v>5.7246376811594203E-2</v>
      </c>
      <c r="H82" s="228">
        <f>DataUK1!K85/DataUK1!$B85</f>
        <v>0.10845410628019324</v>
      </c>
      <c r="I82" s="203">
        <f t="shared" si="12"/>
        <v>4.4361961528041186E-2</v>
      </c>
      <c r="J82" s="203">
        <f t="shared" si="13"/>
        <v>0.27374355448103621</v>
      </c>
      <c r="K82" s="203">
        <f t="shared" si="14"/>
        <v>4.5041994039555673E-2</v>
      </c>
      <c r="L82" s="308">
        <f t="shared" si="15"/>
        <v>0.5494100624249515</v>
      </c>
      <c r="M82" s="203">
        <f t="shared" si="16"/>
        <v>6.8274180438905444E-2</v>
      </c>
      <c r="N82" s="203">
        <f t="shared" si="17"/>
        <v>6.4210241127065831E-2</v>
      </c>
      <c r="O82" s="265">
        <f t="shared" si="18"/>
        <v>0.12164725006773233</v>
      </c>
      <c r="S82" s="197">
        <f t="shared" si="10"/>
        <v>0</v>
      </c>
      <c r="T82" s="197">
        <f t="shared" si="11"/>
        <v>0</v>
      </c>
    </row>
    <row r="83" spans="1:20">
      <c r="A83" s="198">
        <v>1927</v>
      </c>
      <c r="B83" s="202">
        <f>DataUK1!T86/DataUK1!B86</f>
        <v>3.8624267027514654E-2</v>
      </c>
      <c r="C83" s="308">
        <f>DataUK1!AJ86/DataUK1!B86</f>
        <v>0.23120415112195114</v>
      </c>
      <c r="D83" s="203">
        <f>DataUK1!AK86/DataUK1!B86</f>
        <v>3.3852052322958952E-2</v>
      </c>
      <c r="E83" s="308">
        <f>DataUK1!CL86/DataUK1!B86</f>
        <v>0.51100153223393519</v>
      </c>
      <c r="F83" s="308">
        <f>DataUK1!DH86/DataUK1!$B86</f>
        <v>5.7239512855209736E-2</v>
      </c>
      <c r="G83" s="1202">
        <f>DataUK1!C86/DataUK1!$B86</f>
        <v>5.3901668921966621E-2</v>
      </c>
      <c r="H83" s="228">
        <f>DataUK1!K86/DataUK1!$B86</f>
        <v>0.10802886783942264</v>
      </c>
      <c r="I83" s="203">
        <f t="shared" si="12"/>
        <v>4.3302149178255367E-2</v>
      </c>
      <c r="J83" s="203">
        <f t="shared" si="13"/>
        <v>0.2592058675283771</v>
      </c>
      <c r="K83" s="203">
        <f t="shared" si="14"/>
        <v>3.7951959544879899E-2</v>
      </c>
      <c r="L83" s="308">
        <f t="shared" si="15"/>
        <v>0.57289021338186308</v>
      </c>
      <c r="M83" s="203">
        <f t="shared" si="16"/>
        <v>6.417193426042983E-2</v>
      </c>
      <c r="N83" s="203">
        <f t="shared" si="17"/>
        <v>6.0429835651074591E-2</v>
      </c>
      <c r="O83" s="265">
        <f t="shared" si="18"/>
        <v>0.12111251580278129</v>
      </c>
      <c r="S83" s="197">
        <f t="shared" si="10"/>
        <v>0</v>
      </c>
      <c r="T83" s="197">
        <f t="shared" si="11"/>
        <v>0</v>
      </c>
    </row>
    <row r="84" spans="1:20">
      <c r="A84" s="198">
        <v>1928</v>
      </c>
      <c r="B84" s="202">
        <f>DataUK1!T87/DataUK1!B87</f>
        <v>4.179154551554462E-2</v>
      </c>
      <c r="C84" s="308">
        <f>DataUK1!AJ87/DataUK1!B87</f>
        <v>0.23457705221451441</v>
      </c>
      <c r="D84" s="203">
        <f>DataUK1!AK87/DataUK1!B87</f>
        <v>3.4421829568329232E-2</v>
      </c>
      <c r="E84" s="308">
        <f>DataUK1!CL87/DataUK1!B87</f>
        <v>0.50265175565844467</v>
      </c>
      <c r="F84" s="308">
        <f>DataUK1!DH87/DataUK1!$B87</f>
        <v>5.7034220532319393E-2</v>
      </c>
      <c r="G84" s="1202">
        <f>DataUK1!C87/DataUK1!$B87</f>
        <v>5.3679266383359431E-2</v>
      </c>
      <c r="H84" s="228">
        <f>DataUK1!K87/DataUK1!$B87</f>
        <v>0.11026615969581749</v>
      </c>
      <c r="I84" s="203">
        <f t="shared" si="12"/>
        <v>4.6970839617898441E-2</v>
      </c>
      <c r="J84" s="203">
        <f t="shared" si="13"/>
        <v>0.26364856723255253</v>
      </c>
      <c r="K84" s="203">
        <f t="shared" si="14"/>
        <v>3.8687782805429859E-2</v>
      </c>
      <c r="L84" s="308">
        <f t="shared" si="15"/>
        <v>0.56494620400927753</v>
      </c>
      <c r="M84" s="203">
        <f t="shared" si="16"/>
        <v>6.4102564102564097E-2</v>
      </c>
      <c r="N84" s="203">
        <f t="shared" si="17"/>
        <v>6.0331825037707391E-2</v>
      </c>
      <c r="O84" s="265">
        <f t="shared" si="18"/>
        <v>0.12393162393162392</v>
      </c>
      <c r="S84" s="197">
        <f t="shared" ref="S84:S140" si="19">1-B84-C84-E84-F84-G84-H84</f>
        <v>0</v>
      </c>
      <c r="T84" s="197">
        <f t="shared" ref="T84:T140" si="20">1-I84-J84-L84-M84-N84</f>
        <v>-1.0408340855860843E-16</v>
      </c>
    </row>
    <row r="85" spans="1:20">
      <c r="A85" s="214">
        <v>1929</v>
      </c>
      <c r="B85" s="241">
        <f>DataUK1!T88/DataUK1!B88</f>
        <v>4.4189697103692242E-2</v>
      </c>
      <c r="C85" s="550">
        <f>DataUK1!AJ88/DataUK1!B88</f>
        <v>0.23122698455760526</v>
      </c>
      <c r="D85" s="550">
        <f>DataUK1!AK88/DataUK1!B88</f>
        <v>3.4026088879062569E-2</v>
      </c>
      <c r="E85" s="550">
        <f>DataUK1!CL88/DataUK1!B88</f>
        <v>0.50791296680211173</v>
      </c>
      <c r="F85" s="550">
        <f>DataUK1!DH88/DataUK1!$B88</f>
        <v>5.7705063011275703E-2</v>
      </c>
      <c r="G85" s="1960">
        <f>DataUK1!C88/DataUK1!$B88</f>
        <v>5.372540349325669E-2</v>
      </c>
      <c r="H85" s="230">
        <f>DataUK1!K88/DataUK1!$B88</f>
        <v>0.10523988503205838</v>
      </c>
      <c r="I85" s="216">
        <f t="shared" si="12"/>
        <v>4.9387200395354589E-2</v>
      </c>
      <c r="J85" s="216">
        <f t="shared" si="13"/>
        <v>0.25842343739907303</v>
      </c>
      <c r="K85" s="550">
        <f t="shared" si="14"/>
        <v>3.8028169014084505E-2</v>
      </c>
      <c r="L85" s="550">
        <f t="shared" si="15"/>
        <v>0.5676526683582781</v>
      </c>
      <c r="M85" s="216">
        <f t="shared" si="16"/>
        <v>6.4492216456634541E-2</v>
      </c>
      <c r="N85" s="216">
        <f t="shared" si="17"/>
        <v>6.0044477390659753E-2</v>
      </c>
      <c r="O85" s="267">
        <f t="shared" si="18"/>
        <v>0.11761798863355573</v>
      </c>
      <c r="S85" s="197">
        <f t="shared" si="19"/>
        <v>0</v>
      </c>
      <c r="T85" s="197">
        <f t="shared" si="20"/>
        <v>0</v>
      </c>
    </row>
    <row r="86" spans="1:20">
      <c r="A86" s="198">
        <v>1930</v>
      </c>
      <c r="B86" s="202">
        <f>DataUK1!T89/DataUK1!B89</f>
        <v>4.9605476908795548E-2</v>
      </c>
      <c r="C86" s="308">
        <f>DataUK1!AJ89/DataUK1!B89</f>
        <v>0.22488432801830355</v>
      </c>
      <c r="D86" s="203">
        <f>DataUK1!AK89/DataUK1!B89</f>
        <v>3.7479693664423303E-2</v>
      </c>
      <c r="E86" s="308">
        <f>DataUK1!CL89/DataUK1!B89</f>
        <v>0.50787269217199593</v>
      </c>
      <c r="F86" s="308">
        <f>DataUK1!DH89/DataUK1!$B89</f>
        <v>6.168484567184962E-2</v>
      </c>
      <c r="G86" s="1202">
        <f>DataUK1!C89/DataUK1!$B89</f>
        <v>4.9895567417034117E-2</v>
      </c>
      <c r="H86" s="228">
        <f>DataUK1!K89/DataUK1!$B89</f>
        <v>0.10605708981202135</v>
      </c>
      <c r="I86" s="203">
        <f t="shared" si="12"/>
        <v>5.5490654205607483E-2</v>
      </c>
      <c r="J86" s="203">
        <f t="shared" si="13"/>
        <v>0.25156452996647716</v>
      </c>
      <c r="K86" s="203">
        <f t="shared" si="14"/>
        <v>4.1926272066458985E-2</v>
      </c>
      <c r="L86" s="308">
        <f t="shared" si="15"/>
        <v>0.56812653960777015</v>
      </c>
      <c r="M86" s="203">
        <f t="shared" si="16"/>
        <v>6.9003115264797507E-2</v>
      </c>
      <c r="N86" s="203">
        <f t="shared" si="17"/>
        <v>5.5815160955347873E-2</v>
      </c>
      <c r="O86" s="265">
        <f t="shared" si="18"/>
        <v>0.11863966770508826</v>
      </c>
      <c r="S86" s="197">
        <f t="shared" si="19"/>
        <v>-1.9428902930940239E-16</v>
      </c>
      <c r="T86" s="197">
        <f t="shared" si="20"/>
        <v>-1.9428902930940239E-16</v>
      </c>
    </row>
    <row r="87" spans="1:20">
      <c r="A87" s="198">
        <v>1931</v>
      </c>
      <c r="B87" s="202">
        <f>DataUK1!T90/DataUK1!B90</f>
        <v>5.5596941292550571E-2</v>
      </c>
      <c r="C87" s="308">
        <f>DataUK1!AJ90/DataUK1!B90</f>
        <v>0.21534539153352161</v>
      </c>
      <c r="D87" s="203">
        <f>DataUK1!AK90/DataUK1!B90</f>
        <v>3.5853478046373954E-2</v>
      </c>
      <c r="E87" s="308">
        <f>DataUK1!CL90/DataUK1!B90</f>
        <v>0.51006408059277331</v>
      </c>
      <c r="F87" s="308">
        <f>DataUK1!DH90/DataUK1!$B90</f>
        <v>6.5564874198322659E-2</v>
      </c>
      <c r="G87" s="1202">
        <f>DataUK1!C90/DataUK1!$B90</f>
        <v>4.0207202762703509E-2</v>
      </c>
      <c r="H87" s="228">
        <f>DataUK1!K90/DataUK1!$B90</f>
        <v>0.11322150962012828</v>
      </c>
      <c r="I87" s="203">
        <f t="shared" si="12"/>
        <v>6.2695410292072332E-2</v>
      </c>
      <c r="J87" s="203">
        <f t="shared" si="13"/>
        <v>0.24284011607145944</v>
      </c>
      <c r="K87" s="203">
        <f t="shared" si="14"/>
        <v>4.0431154381084848E-2</v>
      </c>
      <c r="L87" s="308">
        <f t="shared" si="15"/>
        <v>0.57518770034022337</v>
      </c>
      <c r="M87" s="203">
        <f t="shared" si="16"/>
        <v>7.3936022253129369E-2</v>
      </c>
      <c r="N87" s="203">
        <f t="shared" si="17"/>
        <v>4.5340751043115447E-2</v>
      </c>
      <c r="O87" s="265">
        <f t="shared" si="18"/>
        <v>0.12767732962447848</v>
      </c>
      <c r="S87" s="197">
        <f t="shared" si="19"/>
        <v>0</v>
      </c>
      <c r="T87" s="197">
        <f t="shared" si="20"/>
        <v>0</v>
      </c>
    </row>
    <row r="88" spans="1:20">
      <c r="A88" s="198">
        <v>1932</v>
      </c>
      <c r="B88" s="202">
        <f>DataUK1!T91/DataUK1!B91</f>
        <v>5.9306040938592111E-2</v>
      </c>
      <c r="C88" s="308">
        <f>DataUK1!AJ91/DataUK1!B91</f>
        <v>0.21608196306397484</v>
      </c>
      <c r="D88" s="203">
        <f>DataUK1!AK91/DataUK1!B91</f>
        <v>3.5571642536195713E-2</v>
      </c>
      <c r="E88" s="308">
        <f>DataUK1!CL91/DataUK1!B91</f>
        <v>0.5060398542101141</v>
      </c>
      <c r="F88" s="308">
        <f>DataUK1!DH91/DataUK1!$B91</f>
        <v>6.4553170244633043E-2</v>
      </c>
      <c r="G88" s="1202">
        <f>DataUK1!C91/DataUK1!$B91</f>
        <v>3.1702446330504244E-2</v>
      </c>
      <c r="H88" s="228">
        <f>DataUK1!K91/DataUK1!$B91</f>
        <v>0.12231652521218174</v>
      </c>
      <c r="I88" s="203">
        <f t="shared" si="12"/>
        <v>6.7571103526734927E-2</v>
      </c>
      <c r="J88" s="203">
        <f t="shared" si="13"/>
        <v>0.24619577475377794</v>
      </c>
      <c r="K88" s="203">
        <f t="shared" si="14"/>
        <v>4.0529010238907856E-2</v>
      </c>
      <c r="L88" s="308">
        <f t="shared" si="15"/>
        <v>0.57656304208353726</v>
      </c>
      <c r="M88" s="203">
        <f t="shared" si="16"/>
        <v>7.3549488054607495E-2</v>
      </c>
      <c r="N88" s="203">
        <f t="shared" si="17"/>
        <v>3.6120591581342433E-2</v>
      </c>
      <c r="O88" s="265">
        <f t="shared" si="18"/>
        <v>0.13936291240045506</v>
      </c>
      <c r="S88" s="197">
        <f t="shared" si="19"/>
        <v>-1.3877787807814457E-16</v>
      </c>
      <c r="T88" s="197">
        <f t="shared" si="20"/>
        <v>0</v>
      </c>
    </row>
    <row r="89" spans="1:20">
      <c r="A89" s="198">
        <v>1933</v>
      </c>
      <c r="B89" s="202">
        <f>DataUK1!T92/DataUK1!B92</f>
        <v>5.7426453001674239E-2</v>
      </c>
      <c r="C89" s="308">
        <f>DataUK1!AJ92/DataUK1!B92</f>
        <v>0.22116989475608467</v>
      </c>
      <c r="D89" s="203">
        <f>DataUK1!AK92/DataUK1!B92</f>
        <v>3.8399904329107871E-2</v>
      </c>
      <c r="E89" s="308">
        <f>DataUK1!CL92/DataUK1!B92</f>
        <v>0.50662249940799098</v>
      </c>
      <c r="F89" s="308">
        <f>DataUK1!DH92/DataUK1!$B92</f>
        <v>6.1707725424539582E-2</v>
      </c>
      <c r="G89" s="1202">
        <f>DataUK1!C92/DataUK1!$B92</f>
        <v>3.683329347046161E-2</v>
      </c>
      <c r="H89" s="228">
        <f>DataUK1!K92/DataUK1!$B92</f>
        <v>0.11624013393924898</v>
      </c>
      <c r="I89" s="203">
        <f t="shared" si="12"/>
        <v>6.497970230040595E-2</v>
      </c>
      <c r="J89" s="203">
        <f t="shared" si="13"/>
        <v>0.2502601704939621</v>
      </c>
      <c r="K89" s="203">
        <f t="shared" si="14"/>
        <v>4.3450608930987823E-2</v>
      </c>
      <c r="L89" s="308">
        <f t="shared" si="15"/>
        <v>0.57325809743567258</v>
      </c>
      <c r="M89" s="203">
        <f t="shared" si="16"/>
        <v>6.9824086603518257E-2</v>
      </c>
      <c r="N89" s="203">
        <f t="shared" si="17"/>
        <v>4.1677943166441134E-2</v>
      </c>
      <c r="O89" s="265">
        <f t="shared" si="18"/>
        <v>0.13152909336941812</v>
      </c>
      <c r="S89" s="197">
        <f t="shared" si="19"/>
        <v>0</v>
      </c>
      <c r="T89" s="197">
        <f t="shared" si="20"/>
        <v>0</v>
      </c>
    </row>
    <row r="90" spans="1:20">
      <c r="A90" s="198">
        <v>1934</v>
      </c>
      <c r="B90" s="202">
        <f>DataUK1!T93/DataUK1!B93</f>
        <v>5.5049751243781093E-2</v>
      </c>
      <c r="C90" s="308">
        <f>DataUK1!AJ93/DataUK1!B93</f>
        <v>0.21078634174984243</v>
      </c>
      <c r="D90" s="203">
        <f>DataUK1!AK93/DataUK1!B93</f>
        <v>3.8670284938941653E-2</v>
      </c>
      <c r="E90" s="308">
        <f>DataUK1!CL93/DataUK1!B93</f>
        <v>0.52122858362329183</v>
      </c>
      <c r="F90" s="308">
        <f>DataUK1!DH93/DataUK1!$B93</f>
        <v>6.0515603799185878E-2</v>
      </c>
      <c r="G90" s="1202">
        <f>DataUK1!C93/DataUK1!$B93</f>
        <v>3.7765716870194484E-2</v>
      </c>
      <c r="H90" s="228">
        <f>DataUK1!K93/DataUK1!$B93</f>
        <v>0.11465400271370421</v>
      </c>
      <c r="I90" s="203">
        <f t="shared" si="12"/>
        <v>6.2178799489144315E-2</v>
      </c>
      <c r="J90" s="203">
        <f t="shared" si="13"/>
        <v>0.23808357681169942</v>
      </c>
      <c r="K90" s="203">
        <f t="shared" si="14"/>
        <v>4.3678160919540229E-2</v>
      </c>
      <c r="L90" s="308">
        <f t="shared" si="15"/>
        <v>0.588728683724699</v>
      </c>
      <c r="M90" s="203">
        <f t="shared" si="16"/>
        <v>6.8352490421455928E-2</v>
      </c>
      <c r="N90" s="203">
        <f t="shared" si="17"/>
        <v>4.2656449553001276E-2</v>
      </c>
      <c r="O90" s="265">
        <f t="shared" si="18"/>
        <v>0.12950191570881225</v>
      </c>
      <c r="S90" s="197">
        <f t="shared" si="19"/>
        <v>0</v>
      </c>
      <c r="T90" s="197">
        <f t="shared" si="20"/>
        <v>6.2450045135165055E-17</v>
      </c>
    </row>
    <row r="91" spans="1:20">
      <c r="A91" s="198">
        <v>1935</v>
      </c>
      <c r="B91" s="202">
        <f>DataUK1!T94/DataUK1!B94</f>
        <v>5.5289667099005603E-2</v>
      </c>
      <c r="C91" s="308">
        <f>DataUK1!AJ94/DataUK1!B94</f>
        <v>0.21170920708398797</v>
      </c>
      <c r="D91" s="203">
        <f>DataUK1!AK94/DataUK1!B94</f>
        <v>3.5732814526588844E-2</v>
      </c>
      <c r="E91" s="308">
        <f>DataUK1!CL94/DataUK1!B94</f>
        <v>0.51838806918060343</v>
      </c>
      <c r="F91" s="308">
        <f>DataUK1!DH94/DataUK1!$B94</f>
        <v>6.2645914396887145E-2</v>
      </c>
      <c r="G91" s="1202">
        <f>DataUK1!C94/DataUK1!$B94</f>
        <v>3.9126675313445734E-2</v>
      </c>
      <c r="H91" s="228">
        <f>DataUK1!K94/DataUK1!$B94</f>
        <v>0.11284046692607001</v>
      </c>
      <c r="I91" s="203">
        <f t="shared" si="12"/>
        <v>6.2322124756335258E-2</v>
      </c>
      <c r="J91" s="203">
        <f t="shared" si="13"/>
        <v>0.23863713254642502</v>
      </c>
      <c r="K91" s="203">
        <f t="shared" si="14"/>
        <v>4.0277777777777773E-2</v>
      </c>
      <c r="L91" s="308">
        <f t="shared" si="15"/>
        <v>0.58432339376936437</v>
      </c>
      <c r="M91" s="203">
        <f t="shared" si="16"/>
        <v>7.0614035087719282E-2</v>
      </c>
      <c r="N91" s="203">
        <f t="shared" si="17"/>
        <v>4.4103313840155936E-2</v>
      </c>
      <c r="O91" s="265">
        <f t="shared" si="18"/>
        <v>0.1271929824561403</v>
      </c>
      <c r="S91" s="197">
        <f t="shared" si="19"/>
        <v>0</v>
      </c>
      <c r="T91" s="197">
        <f t="shared" si="20"/>
        <v>1.1102230246251565E-16</v>
      </c>
    </row>
    <row r="92" spans="1:20">
      <c r="A92" s="198">
        <v>1936</v>
      </c>
      <c r="B92" s="202">
        <f>DataUK1!T95/DataUK1!B95</f>
        <v>5.261938343743703E-2</v>
      </c>
      <c r="C92" s="308">
        <f>DataUK1!AJ95/DataUK1!B95</f>
        <v>0.20775093787403223</v>
      </c>
      <c r="D92" s="203">
        <f>DataUK1!AK95/DataUK1!B95</f>
        <v>3.5603465645778758E-2</v>
      </c>
      <c r="E92" s="308">
        <f>DataUK1!CL95/DataUK1!B95</f>
        <v>0.52330890496296156</v>
      </c>
      <c r="F92" s="308">
        <f>DataUK1!DH95/DataUK1!$B95</f>
        <v>6.4799516421519238E-2</v>
      </c>
      <c r="G92" s="1202">
        <f>DataUK1!C95/DataUK1!$B95</f>
        <v>3.9290751561555509E-2</v>
      </c>
      <c r="H92" s="228">
        <f>DataUK1!K95/DataUK1!$B95</f>
        <v>0.11223050574249446</v>
      </c>
      <c r="I92" s="203">
        <f t="shared" si="12"/>
        <v>5.9271448025419879E-2</v>
      </c>
      <c r="J92" s="203">
        <f t="shared" si="13"/>
        <v>0.23401450401017296</v>
      </c>
      <c r="K92" s="203">
        <f t="shared" si="14"/>
        <v>4.010440308669995E-2</v>
      </c>
      <c r="L92" s="308">
        <f t="shared" si="15"/>
        <v>0.58946484233571905</v>
      </c>
      <c r="M92" s="203">
        <f t="shared" si="16"/>
        <v>7.2991375397185657E-2</v>
      </c>
      <c r="N92" s="203">
        <f t="shared" si="17"/>
        <v>4.4257830231502496E-2</v>
      </c>
      <c r="O92" s="265">
        <f t="shared" si="18"/>
        <v>0.12641852019972766</v>
      </c>
      <c r="S92" s="197">
        <f t="shared" si="19"/>
        <v>0</v>
      </c>
      <c r="T92" s="197">
        <f t="shared" si="20"/>
        <v>0</v>
      </c>
    </row>
    <row r="93" spans="1:20">
      <c r="A93" s="198">
        <v>1937</v>
      </c>
      <c r="B93" s="202">
        <f>DataUK1!T96/DataUK1!B96</f>
        <v>5.3185398655139299E-2</v>
      </c>
      <c r="C93" s="308">
        <f>DataUK1!AJ96/DataUK1!B96</f>
        <v>0.18901024321154594</v>
      </c>
      <c r="D93" s="203">
        <f>DataUK1!AK96/DataUK1!B96</f>
        <v>2.9202689721421711E-2</v>
      </c>
      <c r="E93" s="308">
        <f>DataUK1!CL96/DataUK1!B96</f>
        <v>0.53547967033312271</v>
      </c>
      <c r="F93" s="308">
        <f>DataUK1!DH96/DataUK1!$B96</f>
        <v>7.1123919308357347E-2</v>
      </c>
      <c r="G93" s="1202">
        <f>DataUK1!C96/DataUK1!$B96</f>
        <v>3.9385206532180597E-2</v>
      </c>
      <c r="H93" s="228">
        <f>DataUK1!K96/DataUK1!$B96</f>
        <v>0.11181556195965418</v>
      </c>
      <c r="I93" s="203">
        <f t="shared" si="12"/>
        <v>5.9881029634436519E-2</v>
      </c>
      <c r="J93" s="203">
        <f t="shared" si="13"/>
        <v>0.2128051732459651</v>
      </c>
      <c r="K93" s="203">
        <f t="shared" si="14"/>
        <v>3.2879082846636383E-2</v>
      </c>
      <c r="L93" s="308">
        <f t="shared" si="15"/>
        <v>0.60289242571574808</v>
      </c>
      <c r="M93" s="203">
        <f t="shared" si="16"/>
        <v>8.0077871512005183E-2</v>
      </c>
      <c r="N93" s="203">
        <f t="shared" si="17"/>
        <v>4.434349989184512E-2</v>
      </c>
      <c r="O93" s="265">
        <f t="shared" si="18"/>
        <v>0.12589227774172615</v>
      </c>
      <c r="S93" s="197">
        <f t="shared" si="19"/>
        <v>0</v>
      </c>
      <c r="T93" s="197">
        <f t="shared" si="20"/>
        <v>0</v>
      </c>
    </row>
    <row r="94" spans="1:20">
      <c r="A94" s="198">
        <v>1938</v>
      </c>
      <c r="B94" s="202">
        <f>DataUK1!T97/DataUK1!B97</f>
        <v>5.4644495412844031E-2</v>
      </c>
      <c r="C94" s="308">
        <f>DataUK1!AJ97/DataUK1!B97</f>
        <v>0.18351749264903169</v>
      </c>
      <c r="D94" s="203">
        <f>DataUK1!AK97/DataUK1!B97</f>
        <v>3.0867737003058105E-2</v>
      </c>
      <c r="E94" s="308">
        <f>DataUK1!CL97/DataUK1!B97</f>
        <v>0.52705207921641173</v>
      </c>
      <c r="F94" s="308">
        <f>DataUK1!DH97/DataUK1!$B97</f>
        <v>8.5894495412844038E-2</v>
      </c>
      <c r="G94" s="1202">
        <f>DataUK1!C97/DataUK1!$B97</f>
        <v>3.669724770642202E-2</v>
      </c>
      <c r="H94" s="228">
        <f>DataUK1!K97/DataUK1!$B97</f>
        <v>0.11219418960244648</v>
      </c>
      <c r="I94" s="203">
        <f t="shared" si="12"/>
        <v>6.155005382131324E-2</v>
      </c>
      <c r="J94" s="203">
        <f t="shared" si="13"/>
        <v>0.20670904661781139</v>
      </c>
      <c r="K94" s="203">
        <f t="shared" si="14"/>
        <v>3.4768568353067818E-2</v>
      </c>
      <c r="L94" s="308">
        <f t="shared" si="15"/>
        <v>0.59365693831222099</v>
      </c>
      <c r="M94" s="203">
        <f t="shared" si="16"/>
        <v>9.674919268030141E-2</v>
      </c>
      <c r="N94" s="203">
        <f t="shared" si="17"/>
        <v>4.1334768568353074E-2</v>
      </c>
      <c r="O94" s="265">
        <f t="shared" si="18"/>
        <v>0.12637244348762111</v>
      </c>
      <c r="S94" s="197">
        <f t="shared" si="19"/>
        <v>0</v>
      </c>
      <c r="T94" s="197">
        <f t="shared" si="20"/>
        <v>-1.8735013540549517E-16</v>
      </c>
    </row>
    <row r="95" spans="1:20">
      <c r="A95" s="198">
        <v>1939</v>
      </c>
      <c r="B95" s="202">
        <f>DataUK1!T98/DataUK1!B98</f>
        <v>4.772378962034135E-2</v>
      </c>
      <c r="C95" s="308">
        <f>DataUK1!AJ98/DataUK1!B98</f>
        <v>0.17609729475639871</v>
      </c>
      <c r="D95" s="550">
        <f>DataUK1!AK98/DataUK1!B98</f>
        <v>3.4578544061302688E-2</v>
      </c>
      <c r="E95" s="308">
        <f>DataUK1!CL98/DataUK1!B98</f>
        <v>0.51365714620493885</v>
      </c>
      <c r="F95" s="308">
        <f>DataUK1!DH98/DataUK1!$B98</f>
        <v>0.12319749216300942</v>
      </c>
      <c r="G95" s="1202">
        <f>DataUK1!C98/DataUK1!$B98</f>
        <v>2.7864855451062352E-2</v>
      </c>
      <c r="H95" s="228">
        <f>DataUK1!K98/DataUK1!$B98</f>
        <v>0.11145942180424941</v>
      </c>
      <c r="I95" s="203">
        <f t="shared" si="12"/>
        <v>5.3710309682477468E-2</v>
      </c>
      <c r="J95" s="203">
        <f t="shared" si="13"/>
        <v>0.19818711612921236</v>
      </c>
      <c r="K95" s="550">
        <f t="shared" si="14"/>
        <v>3.891611132889064E-2</v>
      </c>
      <c r="L95" s="308">
        <f t="shared" si="15"/>
        <v>0.57809081409422947</v>
      </c>
      <c r="M95" s="203">
        <f t="shared" si="16"/>
        <v>0.1386515092120737</v>
      </c>
      <c r="N95" s="203">
        <f t="shared" si="17"/>
        <v>3.1360250882007064E-2</v>
      </c>
      <c r="O95" s="265">
        <f t="shared" si="18"/>
        <v>0.12544100352802826</v>
      </c>
      <c r="S95" s="197">
        <f t="shared" si="19"/>
        <v>0</v>
      </c>
      <c r="T95" s="197">
        <f t="shared" si="20"/>
        <v>-6.2450045135165055E-17</v>
      </c>
    </row>
    <row r="96" spans="1:20">
      <c r="A96" s="199">
        <v>1940</v>
      </c>
      <c r="B96" s="237">
        <f>DataUK1!T99/DataUK1!B99</f>
        <v>3.5723491505565322E-2</v>
      </c>
      <c r="C96" s="551">
        <f>DataUK1!AJ99/DataUK1!B99</f>
        <v>0.15555621140051973</v>
      </c>
      <c r="D96" s="203">
        <f>DataUK1!AK99/DataUK1!B99</f>
        <v>4.1322495606326885E-2</v>
      </c>
      <c r="E96" s="551">
        <f>DataUK1!CL99/DataUK1!B99</f>
        <v>0.40828092978284286</v>
      </c>
      <c r="F96" s="551">
        <f>DataUK1!DH99/DataUK1!$B99</f>
        <v>0.25940246045694199</v>
      </c>
      <c r="G96" s="1961">
        <f>DataUK1!C99/DataUK1!$B99</f>
        <v>2.3432923257176334E-2</v>
      </c>
      <c r="H96" s="229">
        <f>DataUK1!K99/DataUK1!$B99</f>
        <v>0.11760398359695372</v>
      </c>
      <c r="I96" s="212">
        <f t="shared" si="12"/>
        <v>4.0484647302904568E-2</v>
      </c>
      <c r="J96" s="212">
        <f t="shared" si="13"/>
        <v>0.17628843343448111</v>
      </c>
      <c r="K96" s="203">
        <f t="shared" si="14"/>
        <v>4.6829875518672195E-2</v>
      </c>
      <c r="L96" s="551">
        <f t="shared" si="15"/>
        <v>0.46269579893066404</v>
      </c>
      <c r="M96" s="212">
        <f t="shared" si="16"/>
        <v>0.2939751037344398</v>
      </c>
      <c r="N96" s="212">
        <f t="shared" si="17"/>
        <v>2.6556016597510373E-2</v>
      </c>
      <c r="O96" s="266">
        <f t="shared" si="18"/>
        <v>0.13327800829875519</v>
      </c>
      <c r="S96" s="197">
        <f t="shared" si="19"/>
        <v>0</v>
      </c>
      <c r="T96" s="197">
        <f t="shared" si="20"/>
        <v>1.2836953722228372E-16</v>
      </c>
    </row>
    <row r="97" spans="1:20">
      <c r="A97" s="198">
        <v>1941</v>
      </c>
      <c r="B97" s="202">
        <f>DataUK1!T100/DataUK1!B100</f>
        <v>2.5656565656565655E-2</v>
      </c>
      <c r="C97" s="308">
        <f>DataUK1!AJ100/DataUK1!B100</f>
        <v>0.1405460803528101</v>
      </c>
      <c r="D97" s="203">
        <f>DataUK1!AK100/DataUK1!B100</f>
        <v>4.3661616161616165E-2</v>
      </c>
      <c r="E97" s="308">
        <f>DataUK1!CL100/DataUK1!B100</f>
        <v>0.3731660408593111</v>
      </c>
      <c r="F97" s="308">
        <f>DataUK1!DH100/DataUK1!$B100</f>
        <v>0.31037878787878787</v>
      </c>
      <c r="G97" s="1202">
        <f>DataUK1!C100/DataUK1!$B100</f>
        <v>1.7676767676767676E-2</v>
      </c>
      <c r="H97" s="228">
        <f>DataUK1!K100/DataUK1!$B100</f>
        <v>0.13257575757575757</v>
      </c>
      <c r="I97" s="203">
        <f t="shared" si="12"/>
        <v>2.957787481804949E-2</v>
      </c>
      <c r="J97" s="203">
        <f t="shared" si="13"/>
        <v>0.16202692232813043</v>
      </c>
      <c r="K97" s="203">
        <f t="shared" si="14"/>
        <v>5.0334788937409031E-2</v>
      </c>
      <c r="L97" s="308">
        <f t="shared" si="15"/>
        <v>0.43020015190767741</v>
      </c>
      <c r="M97" s="203">
        <f t="shared" si="16"/>
        <v>0.35781659388646286</v>
      </c>
      <c r="N97" s="203">
        <f t="shared" si="17"/>
        <v>2.0378457059679767E-2</v>
      </c>
      <c r="O97" s="265">
        <f t="shared" si="18"/>
        <v>0.15283842794759825</v>
      </c>
      <c r="S97" s="197">
        <f t="shared" si="19"/>
        <v>0</v>
      </c>
      <c r="T97" s="197">
        <f t="shared" si="20"/>
        <v>0</v>
      </c>
    </row>
    <row r="98" spans="1:20">
      <c r="A98" s="198">
        <v>1942</v>
      </c>
      <c r="B98" s="202">
        <f>DataUK1!T101/DataUK1!B101</f>
        <v>1.9850574712643676E-2</v>
      </c>
      <c r="C98" s="308">
        <f>DataUK1!AJ101/DataUK1!B101</f>
        <v>0.13380598866043258</v>
      </c>
      <c r="D98" s="203">
        <f>DataUK1!AK101/DataUK1!B101</f>
        <v>4.4005747126436782E-2</v>
      </c>
      <c r="E98" s="308">
        <f>DataUK1!CL101/DataUK1!B101</f>
        <v>0.38661929869588929</v>
      </c>
      <c r="F98" s="308">
        <f>DataUK1!DH101/DataUK1!$B101</f>
        <v>0.31593103448275861</v>
      </c>
      <c r="G98" s="1202">
        <f>DataUK1!C101/DataUK1!$B101</f>
        <v>1.1494252873563218E-2</v>
      </c>
      <c r="H98" s="228">
        <f>DataUK1!K101/DataUK1!$B101</f>
        <v>0.13229885057471263</v>
      </c>
      <c r="I98" s="203">
        <f t="shared" si="12"/>
        <v>2.2877202278447476E-2</v>
      </c>
      <c r="J98" s="203">
        <f t="shared" si="13"/>
        <v>0.15420745811971964</v>
      </c>
      <c r="K98" s="203">
        <f t="shared" si="14"/>
        <v>5.0715326533315674E-2</v>
      </c>
      <c r="L98" s="308">
        <f t="shared" si="15"/>
        <v>0.44556734649016255</v>
      </c>
      <c r="M98" s="203">
        <f t="shared" si="16"/>
        <v>0.36410120545767655</v>
      </c>
      <c r="N98" s="203">
        <f t="shared" si="17"/>
        <v>1.3246787653993907E-2</v>
      </c>
      <c r="O98" s="265">
        <f t="shared" si="18"/>
        <v>0.15247052589746987</v>
      </c>
      <c r="S98" s="197">
        <f t="shared" si="19"/>
        <v>0</v>
      </c>
      <c r="T98" s="197">
        <f t="shared" si="20"/>
        <v>-6.591949208711867E-17</v>
      </c>
    </row>
    <row r="99" spans="1:20">
      <c r="A99" s="198">
        <v>1943</v>
      </c>
      <c r="B99" s="202">
        <f>DataUK1!T102/DataUK1!B102</f>
        <v>1.9468756803831918E-2</v>
      </c>
      <c r="C99" s="308">
        <f>DataUK1!AJ102/DataUK1!B102</f>
        <v>0.13227729657057161</v>
      </c>
      <c r="D99" s="203">
        <f>DataUK1!AK102/DataUK1!B102</f>
        <v>4.4986936642717176E-2</v>
      </c>
      <c r="E99" s="308">
        <f>DataUK1!CL102/DataUK1!B102</f>
        <v>0.38038980554133789</v>
      </c>
      <c r="F99" s="308">
        <f>DataUK1!DH102/DataUK1!$B102</f>
        <v>0.32547354670150225</v>
      </c>
      <c r="G99" s="1202">
        <f>DataUK1!C102/DataUK1!$B102</f>
        <v>9.7975179621162638E-3</v>
      </c>
      <c r="H99" s="228">
        <f>DataUK1!K102/DataUK1!$B102</f>
        <v>0.13259307642064011</v>
      </c>
      <c r="I99" s="203">
        <f t="shared" si="12"/>
        <v>2.2444779116465863E-2</v>
      </c>
      <c r="J99" s="203">
        <f t="shared" si="13"/>
        <v>0.15249739536863338</v>
      </c>
      <c r="K99" s="203">
        <f t="shared" si="14"/>
        <v>5.1863704819277108E-2</v>
      </c>
      <c r="L99" s="308">
        <f t="shared" si="15"/>
        <v>0.43853674117755143</v>
      </c>
      <c r="M99" s="203">
        <f t="shared" si="16"/>
        <v>0.37522590361445779</v>
      </c>
      <c r="N99" s="203">
        <f t="shared" si="17"/>
        <v>1.1295180722891566E-2</v>
      </c>
      <c r="O99" s="265">
        <f t="shared" si="18"/>
        <v>0.15286144578313254</v>
      </c>
      <c r="S99" s="197">
        <f t="shared" si="19"/>
        <v>0</v>
      </c>
      <c r="T99" s="197">
        <f t="shared" si="20"/>
        <v>-8.1532003370909933E-17</v>
      </c>
    </row>
    <row r="100" spans="1:20">
      <c r="A100" s="198">
        <v>1944</v>
      </c>
      <c r="B100" s="202">
        <f>DataUK1!T103/DataUK1!B103</f>
        <v>1.722909556313993E-2</v>
      </c>
      <c r="C100" s="308">
        <f>DataUK1!AJ103/DataUK1!B103</f>
        <v>0.13503481135332532</v>
      </c>
      <c r="D100" s="203">
        <f>DataUK1!AK103/DataUK1!B103</f>
        <v>4.3771331058020474E-2</v>
      </c>
      <c r="E100" s="308">
        <f>DataUK1!CL103/DataUK1!B103</f>
        <v>0.38638797021664056</v>
      </c>
      <c r="F100" s="308">
        <f>DataUK1!DH103/DataUK1!$B103</f>
        <v>0.32354948805460748</v>
      </c>
      <c r="G100" s="1202">
        <f>DataUK1!C103/DataUK1!$B103</f>
        <v>8.5324232081911266E-3</v>
      </c>
      <c r="H100" s="228">
        <f>DataUK1!K103/DataUK1!$B103</f>
        <v>0.12926621160409557</v>
      </c>
      <c r="I100" s="203">
        <f t="shared" si="12"/>
        <v>1.978686918177364E-2</v>
      </c>
      <c r="J100" s="203">
        <f t="shared" si="13"/>
        <v>0.15508162558167299</v>
      </c>
      <c r="K100" s="203">
        <f t="shared" si="14"/>
        <v>5.0269475747182747E-2</v>
      </c>
      <c r="L100" s="308">
        <f t="shared" si="15"/>
        <v>0.44374982958736181</v>
      </c>
      <c r="M100" s="203">
        <f t="shared" si="16"/>
        <v>0.37158255756981867</v>
      </c>
      <c r="N100" s="203">
        <f t="shared" si="17"/>
        <v>9.7991180793728563E-3</v>
      </c>
      <c r="O100" s="265">
        <f t="shared" si="18"/>
        <v>0.14845663890249877</v>
      </c>
      <c r="S100" s="197">
        <f t="shared" si="19"/>
        <v>0</v>
      </c>
      <c r="T100" s="197">
        <f t="shared" si="20"/>
        <v>-1.9081958235744878E-17</v>
      </c>
    </row>
    <row r="101" spans="1:20">
      <c r="A101" s="198">
        <v>1945</v>
      </c>
      <c r="B101" s="202">
        <f>DataUK1!T104/DataUK1!B104</f>
        <v>1.097731609073564E-2</v>
      </c>
      <c r="C101" s="308">
        <f>DataUK1!AJ104/DataUK1!B104</f>
        <v>0.13960923640028466</v>
      </c>
      <c r="D101" s="203">
        <f>DataUK1!AK104/DataUK1!B104</f>
        <v>4.4005723977104089E-2</v>
      </c>
      <c r="E101" s="308">
        <f>DataUK1!CL104/DataUK1!B104</f>
        <v>0.45180903792661803</v>
      </c>
      <c r="F101" s="308">
        <f>DataUK1!DH104/DataUK1!$B104</f>
        <v>0.26648293406826373</v>
      </c>
      <c r="G101" s="1202">
        <f>DataUK1!C104/DataUK1!$B104</f>
        <v>8.4799660801356796E-3</v>
      </c>
      <c r="H101" s="228">
        <f>DataUK1!K104/DataUK1!$B104</f>
        <v>0.12264150943396226</v>
      </c>
      <c r="I101" s="203">
        <f t="shared" si="12"/>
        <v>1.2511779630300836E-2</v>
      </c>
      <c r="J101" s="203">
        <f t="shared" si="13"/>
        <v>0.15912450600462552</v>
      </c>
      <c r="K101" s="203">
        <f t="shared" si="14"/>
        <v>5.0157061737344445E-2</v>
      </c>
      <c r="L101" s="308">
        <f t="shared" si="15"/>
        <v>0.5149651400023818</v>
      </c>
      <c r="M101" s="203">
        <f t="shared" si="16"/>
        <v>0.3037332366799565</v>
      </c>
      <c r="N101" s="203">
        <f t="shared" si="17"/>
        <v>9.6653376827352897E-3</v>
      </c>
      <c r="O101" s="265">
        <f t="shared" si="18"/>
        <v>0.13978494623655913</v>
      </c>
      <c r="S101" s="197">
        <f t="shared" si="19"/>
        <v>0</v>
      </c>
      <c r="T101" s="197">
        <f t="shared" si="20"/>
        <v>1.3010426069826053E-16</v>
      </c>
    </row>
    <row r="102" spans="1:20">
      <c r="A102" s="198">
        <v>1946</v>
      </c>
      <c r="B102" s="202">
        <f>DataUK1!T105/DataUK1!B105</f>
        <v>1.2724424759641355E-2</v>
      </c>
      <c r="C102" s="308">
        <f>DataUK1!AJ105/DataUK1!B105</f>
        <v>0.14778661349808717</v>
      </c>
      <c r="D102" s="203">
        <f>DataUK1!AK105/DataUK1!B105</f>
        <v>4.7720643837096254E-2</v>
      </c>
      <c r="E102" s="308">
        <f>DataUK1!CL105/DataUK1!B105</f>
        <v>0.57921025373751833</v>
      </c>
      <c r="F102" s="308">
        <f>DataUK1!DH105/DataUK1!$B105</f>
        <v>0.15063195419682401</v>
      </c>
      <c r="G102" s="1202">
        <f>DataUK1!C105/DataUK1!$B105</f>
        <v>6.0494760721616072E-3</v>
      </c>
      <c r="H102" s="228">
        <f>DataUK1!K105/DataUK1!$B105</f>
        <v>0.10359727773576753</v>
      </c>
      <c r="I102" s="203">
        <f t="shared" si="12"/>
        <v>1.4194986743793688E-2</v>
      </c>
      <c r="J102" s="203">
        <f t="shared" si="13"/>
        <v>0.16486631491344816</v>
      </c>
      <c r="K102" s="203">
        <f t="shared" si="14"/>
        <v>5.3235719450469995E-2</v>
      </c>
      <c r="L102" s="308">
        <f t="shared" si="15"/>
        <v>0.64614959253412962</v>
      </c>
      <c r="M102" s="203">
        <f t="shared" si="16"/>
        <v>0.1680404916847433</v>
      </c>
      <c r="N102" s="203">
        <f t="shared" si="17"/>
        <v>6.7486141238852736E-3</v>
      </c>
      <c r="O102" s="265">
        <f t="shared" si="18"/>
        <v>0.11557001687153531</v>
      </c>
      <c r="S102" s="197">
        <f t="shared" si="19"/>
        <v>0</v>
      </c>
      <c r="T102" s="197">
        <f t="shared" si="20"/>
        <v>-7.9797279894933126E-17</v>
      </c>
    </row>
    <row r="103" spans="1:20">
      <c r="A103" s="198">
        <v>1947</v>
      </c>
      <c r="B103" s="202">
        <f>DataUK1!T106/DataUK1!B106</f>
        <v>1.0710168994822704E-2</v>
      </c>
      <c r="C103" s="308">
        <f>DataUK1!AJ106/DataUK1!B106</f>
        <v>0.13861950044967281</v>
      </c>
      <c r="D103" s="203"/>
      <c r="E103" s="308">
        <f>DataUK1!CL106/DataUK1!B106</f>
        <v>0.62740179485168501</v>
      </c>
      <c r="F103" s="308">
        <f>DataUK1!DH106/DataUK1!$B106</f>
        <v>0.10497215981244506</v>
      </c>
      <c r="G103" s="1202">
        <f>DataUK1!C106/DataUK1!$B106</f>
        <v>1.1819869102276059E-2</v>
      </c>
      <c r="H103" s="228">
        <f>DataUK1!K106/DataUK1!$B106</f>
        <v>0.10647650678909838</v>
      </c>
      <c r="I103" s="203">
        <f t="shared" si="12"/>
        <v>1.1986443642724392E-2</v>
      </c>
      <c r="J103" s="203">
        <f t="shared" si="13"/>
        <v>0.15513805904704281</v>
      </c>
      <c r="K103" s="203"/>
      <c r="L103" s="308">
        <f t="shared" si="15"/>
        <v>0.70216597506250134</v>
      </c>
      <c r="M103" s="203">
        <f t="shared" si="16"/>
        <v>0.11748114135782226</v>
      </c>
      <c r="N103" s="203">
        <f t="shared" si="17"/>
        <v>1.3228380889909262E-2</v>
      </c>
      <c r="O103" s="265">
        <f t="shared" si="18"/>
        <v>0.11916475347108343</v>
      </c>
      <c r="S103" s="197">
        <f t="shared" si="19"/>
        <v>0</v>
      </c>
      <c r="T103" s="197">
        <f t="shared" si="20"/>
        <v>-4.8572257327350599E-17</v>
      </c>
    </row>
    <row r="104" spans="1:20">
      <c r="A104" s="198">
        <v>1948</v>
      </c>
      <c r="B104" s="202">
        <f>DataUK1!T107/DataUK1!B107</f>
        <v>7.0004430660168364E-3</v>
      </c>
      <c r="C104" s="308">
        <f>DataUK1!AJ107/DataUK1!B107</f>
        <v>0.13235960518390905</v>
      </c>
      <c r="D104" s="203"/>
      <c r="E104" s="308">
        <f>DataUK1!CL107/DataUK1!B107</f>
        <v>0.62281983655290973</v>
      </c>
      <c r="F104" s="308">
        <f>DataUK1!DH107/DataUK1!$B107</f>
        <v>0.1059636685866194</v>
      </c>
      <c r="G104" s="1202">
        <f>DataUK1!C107/DataUK1!$B107</f>
        <v>1.7988480283562251E-2</v>
      </c>
      <c r="H104" s="228">
        <f>DataUK1!K107/DataUK1!$B107</f>
        <v>0.11386796632698272</v>
      </c>
      <c r="I104" s="203">
        <f t="shared" si="12"/>
        <v>7.899999999999999E-3</v>
      </c>
      <c r="J104" s="203">
        <f t="shared" si="13"/>
        <v>0.14936781445004135</v>
      </c>
      <c r="K104" s="203"/>
      <c r="L104" s="308">
        <f t="shared" si="15"/>
        <v>0.70285218554995865</v>
      </c>
      <c r="M104" s="203">
        <f t="shared" si="16"/>
        <v>0.11957999999999999</v>
      </c>
      <c r="N104" s="203">
        <f t="shared" si="17"/>
        <v>2.0299999999999999E-2</v>
      </c>
      <c r="O104" s="265">
        <f t="shared" si="18"/>
        <v>0.1285</v>
      </c>
      <c r="S104" s="197">
        <f t="shared" si="19"/>
        <v>0</v>
      </c>
      <c r="T104" s="197">
        <f t="shared" si="20"/>
        <v>0</v>
      </c>
    </row>
    <row r="105" spans="1:20">
      <c r="A105" s="214">
        <v>1949</v>
      </c>
      <c r="B105" s="241">
        <f>DataUK1!T108/DataUK1!B108</f>
        <v>6.6650004165625257E-3</v>
      </c>
      <c r="C105" s="550">
        <f>DataUK1!AJ108/DataUK1!B108</f>
        <v>0.13019692599592753</v>
      </c>
      <c r="D105" s="216"/>
      <c r="E105" s="550">
        <f>DataUK1!CL108/DataUK1!B108</f>
        <v>0.62761362136723164</v>
      </c>
      <c r="F105" s="550">
        <f>DataUK1!DH108/DataUK1!$B108</f>
        <v>0.11122219445138715</v>
      </c>
      <c r="G105" s="1960">
        <f>DataUK1!C108/DataUK1!$B108</f>
        <v>1.5496125968507872E-2</v>
      </c>
      <c r="H105" s="230">
        <f>DataUK1!K108/DataUK1!$B108</f>
        <v>0.10880613180038323</v>
      </c>
      <c r="I105" s="216">
        <f t="shared" si="12"/>
        <v>7.4787323548658495E-3</v>
      </c>
      <c r="J105" s="216">
        <f t="shared" si="13"/>
        <v>0.1460927084910833</v>
      </c>
      <c r="K105" s="216"/>
      <c r="L105" s="550">
        <f t="shared" si="15"/>
        <v>0.70423916025716382</v>
      </c>
      <c r="M105" s="216">
        <f t="shared" si="16"/>
        <v>0.12480134617182387</v>
      </c>
      <c r="N105" s="216">
        <f t="shared" si="17"/>
        <v>1.7388052725063101E-2</v>
      </c>
      <c r="O105" s="267">
        <f t="shared" si="18"/>
        <v>0.12209030569318499</v>
      </c>
      <c r="S105" s="197">
        <f t="shared" si="19"/>
        <v>1.5265566588595902E-16</v>
      </c>
      <c r="T105" s="197">
        <f t="shared" si="20"/>
        <v>0</v>
      </c>
    </row>
    <row r="106" spans="1:20">
      <c r="A106" s="198">
        <v>1950</v>
      </c>
      <c r="B106" s="202">
        <f>DataUK1!T109/DataUK1!B109</f>
        <v>8.7823403750296701E-3</v>
      </c>
      <c r="C106" s="308">
        <f>DataUK1!AJ109/DataUK1!B109</f>
        <v>0.1248486397458294</v>
      </c>
      <c r="D106" s="308"/>
      <c r="E106" s="308">
        <f>DataUK1!CL109/DataUK1!B109</f>
        <v>0.61595363891545707</v>
      </c>
      <c r="F106" s="308">
        <f>DataUK1!DH109/DataUK1!$B109</f>
        <v>0.10989793496320911</v>
      </c>
      <c r="G106" s="1202">
        <f>DataUK1!C109/DataUK1!$B109</f>
        <v>2.8245905530500832E-2</v>
      </c>
      <c r="H106" s="228">
        <f>DataUK1!K109/DataUK1!$B109</f>
        <v>0.1122715404699739</v>
      </c>
      <c r="I106" s="203">
        <f t="shared" si="12"/>
        <v>9.8930481283422463E-3</v>
      </c>
      <c r="J106" s="203">
        <f t="shared" si="13"/>
        <v>0.14063832065486076</v>
      </c>
      <c r="K106" s="203"/>
      <c r="L106" s="308">
        <f t="shared" si="15"/>
        <v>0.69385365795476484</v>
      </c>
      <c r="M106" s="203">
        <f t="shared" si="16"/>
        <v>0.12379679144385027</v>
      </c>
      <c r="N106" s="203">
        <f t="shared" si="17"/>
        <v>3.1818181818181822E-2</v>
      </c>
      <c r="O106" s="265">
        <f t="shared" si="18"/>
        <v>0.12647058823529411</v>
      </c>
      <c r="S106" s="197">
        <f t="shared" si="19"/>
        <v>0</v>
      </c>
      <c r="T106" s="197">
        <f t="shared" si="20"/>
        <v>0</v>
      </c>
    </row>
    <row r="107" spans="1:20">
      <c r="A107" s="198">
        <v>1951</v>
      </c>
      <c r="B107" s="202">
        <f>DataUK1!T110/DataUK1!B110</f>
        <v>6.9859560676989547E-3</v>
      </c>
      <c r="C107" s="308">
        <f>DataUK1!AJ110/DataUK1!B110</f>
        <v>0.11663581628733799</v>
      </c>
      <c r="D107" s="308"/>
      <c r="E107" s="308">
        <f>DataUK1!CL110/DataUK1!B110</f>
        <v>0.62159968965432566</v>
      </c>
      <c r="F107" s="308">
        <f>DataUK1!DH110/DataUK1!$B110</f>
        <v>0.11671588044652501</v>
      </c>
      <c r="G107" s="1202">
        <f>DataUK1!C110/DataUK1!$B110</f>
        <v>2.1678069859560674E-2</v>
      </c>
      <c r="H107" s="228">
        <f>DataUK1!K110/DataUK1!$B110</f>
        <v>0.11638458768455166</v>
      </c>
      <c r="I107" s="203">
        <f t="shared" si="12"/>
        <v>7.9061048170185003E-3</v>
      </c>
      <c r="J107" s="203">
        <f t="shared" si="13"/>
        <v>0.13199839507292263</v>
      </c>
      <c r="K107" s="203"/>
      <c r="L107" s="308">
        <f t="shared" si="15"/>
        <v>0.70347311849786542</v>
      </c>
      <c r="M107" s="203">
        <f t="shared" si="16"/>
        <v>0.13208900480886784</v>
      </c>
      <c r="N107" s="203">
        <f t="shared" si="17"/>
        <v>2.453337680332545E-2</v>
      </c>
      <c r="O107" s="265">
        <f t="shared" si="18"/>
        <v>0.13171407612682368</v>
      </c>
      <c r="S107" s="197">
        <f t="shared" si="19"/>
        <v>0</v>
      </c>
      <c r="T107" s="197">
        <f t="shared" si="20"/>
        <v>1.457167719820518E-16</v>
      </c>
    </row>
    <row r="108" spans="1:20">
      <c r="A108" s="198">
        <v>1952</v>
      </c>
      <c r="B108" s="202">
        <f>DataUK1!T111/DataUK1!B111</f>
        <v>6.7812541963206659E-3</v>
      </c>
      <c r="C108" s="308">
        <f>DataUK1!AJ111/DataUK1!B111</f>
        <v>0.11297699896601347</v>
      </c>
      <c r="D108" s="308"/>
      <c r="E108" s="308">
        <f>DataUK1!CL111/DataUK1!B111</f>
        <v>0.62550829712637279</v>
      </c>
      <c r="F108" s="308">
        <f>DataUK1!DH111/DataUK1!$B111</f>
        <v>0.12830670068483954</v>
      </c>
      <c r="G108" s="1202">
        <f>DataUK1!C111/DataUK1!$B111</f>
        <v>1.4032496307237814E-2</v>
      </c>
      <c r="H108" s="228">
        <f>DataUK1!K111/DataUK1!$B111</f>
        <v>0.1123942527192158</v>
      </c>
      <c r="I108" s="203">
        <f t="shared" si="12"/>
        <v>7.6399394856278367E-3</v>
      </c>
      <c r="J108" s="203">
        <f t="shared" si="13"/>
        <v>0.12728286101360095</v>
      </c>
      <c r="K108" s="203"/>
      <c r="L108" s="308">
        <f t="shared" si="15"/>
        <v>0.70471411326779099</v>
      </c>
      <c r="M108" s="203">
        <f t="shared" si="16"/>
        <v>0.144553706505295</v>
      </c>
      <c r="N108" s="203">
        <f t="shared" si="17"/>
        <v>1.5809379727685324E-2</v>
      </c>
      <c r="O108" s="265">
        <f t="shared" si="18"/>
        <v>0.12662632375189109</v>
      </c>
      <c r="S108" s="197">
        <f t="shared" si="19"/>
        <v>0</v>
      </c>
      <c r="T108" s="197">
        <f t="shared" si="20"/>
        <v>-9.3675067702747583E-17</v>
      </c>
    </row>
    <row r="109" spans="1:20">
      <c r="A109" s="198">
        <v>1953</v>
      </c>
      <c r="B109" s="202">
        <f>DataUK1!T112/DataUK1!B112</f>
        <v>8.2029278142352353E-3</v>
      </c>
      <c r="C109" s="308">
        <f>DataUK1!AJ112/DataUK1!B112</f>
        <v>0.1099953163807392</v>
      </c>
      <c r="D109" s="308"/>
      <c r="E109" s="308">
        <f>DataUK1!CL112/DataUK1!B112</f>
        <v>0.63274824747589886</v>
      </c>
      <c r="F109" s="308">
        <f>DataUK1!DH112/DataUK1!$B112</f>
        <v>0.12512619888944979</v>
      </c>
      <c r="G109" s="1202">
        <f>DataUK1!C112/DataUK1!$B112</f>
        <v>1.1484098939929329E-2</v>
      </c>
      <c r="H109" s="228">
        <f>DataUK1!K112/DataUK1!$B112</f>
        <v>0.11244321049974761</v>
      </c>
      <c r="I109" s="203">
        <f t="shared" si="12"/>
        <v>9.242144177449169E-3</v>
      </c>
      <c r="J109" s="203">
        <f t="shared" si="13"/>
        <v>0.12393045457144568</v>
      </c>
      <c r="K109" s="203"/>
      <c r="L109" s="308">
        <f t="shared" si="15"/>
        <v>0.71291015398820168</v>
      </c>
      <c r="M109" s="203">
        <f t="shared" si="16"/>
        <v>0.14097824541447462</v>
      </c>
      <c r="N109" s="203">
        <f t="shared" si="17"/>
        <v>1.2939001848428836E-2</v>
      </c>
      <c r="O109" s="265">
        <f t="shared" si="18"/>
        <v>0.12668846864780323</v>
      </c>
      <c r="S109" s="197">
        <f t="shared" si="19"/>
        <v>0</v>
      </c>
      <c r="T109" s="197">
        <f t="shared" si="20"/>
        <v>0</v>
      </c>
    </row>
    <row r="110" spans="1:20">
      <c r="A110" s="198">
        <v>1954</v>
      </c>
      <c r="B110" s="202">
        <f>DataUK1!T113/DataUK1!B113</f>
        <v>9.1421786880379937E-3</v>
      </c>
      <c r="C110" s="308">
        <f>DataUK1!AJ113/DataUK1!B113</f>
        <v>0.10598354170037765</v>
      </c>
      <c r="D110" s="308"/>
      <c r="E110" s="308">
        <f>DataUK1!CL113/DataUK1!B113</f>
        <v>0.64264216325658285</v>
      </c>
      <c r="F110" s="308">
        <f>DataUK1!DH113/DataUK1!$B113</f>
        <v>0.12071237756010683</v>
      </c>
      <c r="G110" s="1202">
        <f>DataUK1!C113/DataUK1!$B113</f>
        <v>1.1872959335114277E-2</v>
      </c>
      <c r="H110" s="228">
        <f>DataUK1!K113/DataUK1!$B113</f>
        <v>0.10964677945978035</v>
      </c>
      <c r="I110" s="203">
        <f t="shared" si="12"/>
        <v>1.0268035738098414E-2</v>
      </c>
      <c r="J110" s="203">
        <f t="shared" si="13"/>
        <v>0.11903538871468607</v>
      </c>
      <c r="K110" s="203"/>
      <c r="L110" s="308">
        <f t="shared" si="15"/>
        <v>0.72178338712209222</v>
      </c>
      <c r="M110" s="203">
        <f t="shared" si="16"/>
        <v>0.13557807707694358</v>
      </c>
      <c r="N110" s="203">
        <f t="shared" si="17"/>
        <v>1.3335111348179758E-2</v>
      </c>
      <c r="O110" s="265">
        <f t="shared" si="18"/>
        <v>0.12314975330044006</v>
      </c>
      <c r="S110" s="197">
        <f t="shared" si="19"/>
        <v>0</v>
      </c>
      <c r="T110" s="197">
        <f t="shared" si="20"/>
        <v>-9.540979117872439E-17</v>
      </c>
    </row>
    <row r="111" spans="1:20">
      <c r="A111" s="198">
        <v>1955</v>
      </c>
      <c r="B111" s="202">
        <f>DataUK1!T114/DataUK1!B114</f>
        <v>9.0275842853162445E-3</v>
      </c>
      <c r="C111" s="308">
        <f>DataUK1!AJ114/DataUK1!B114</f>
        <v>0.10336133247952141</v>
      </c>
      <c r="D111" s="308"/>
      <c r="E111" s="308">
        <f>DataUK1!CL114/DataUK1!B114</f>
        <v>0.65185739139899623</v>
      </c>
      <c r="F111" s="308">
        <f>DataUK1!DH114/DataUK1!$B114</f>
        <v>0.11588743382557815</v>
      </c>
      <c r="G111" s="1202">
        <f>DataUK1!C114/DataUK1!$B114</f>
        <v>6.798551128448036E-3</v>
      </c>
      <c r="H111" s="228">
        <f>DataUK1!K114/DataUK1!$B114</f>
        <v>0.11306770688213987</v>
      </c>
      <c r="I111" s="203">
        <f t="shared" si="12"/>
        <v>1.0178436793164112E-2</v>
      </c>
      <c r="J111" s="203">
        <f t="shared" si="13"/>
        <v>0.11653801905912363</v>
      </c>
      <c r="K111" s="203"/>
      <c r="L111" s="308">
        <f t="shared" si="15"/>
        <v>0.73495733153147691</v>
      </c>
      <c r="M111" s="203">
        <f t="shared" si="16"/>
        <v>0.13066097009298816</v>
      </c>
      <c r="N111" s="203">
        <f t="shared" si="17"/>
        <v>7.6652425232470473E-3</v>
      </c>
      <c r="O111" s="265">
        <f t="shared" si="18"/>
        <v>0.12748177934154309</v>
      </c>
      <c r="S111" s="197">
        <f t="shared" si="19"/>
        <v>0</v>
      </c>
      <c r="T111" s="197">
        <f t="shared" si="20"/>
        <v>1.3704315460216776E-16</v>
      </c>
    </row>
    <row r="112" spans="1:20">
      <c r="A112" s="198">
        <v>1956</v>
      </c>
      <c r="B112" s="202">
        <f>DataUK1!T115/DataUK1!B115</f>
        <v>8.9420327527943832E-3</v>
      </c>
      <c r="C112" s="308">
        <f>DataUK1!AJ115/DataUK1!B115</f>
        <v>0.10025161158778584</v>
      </c>
      <c r="D112" s="308"/>
      <c r="E112" s="308">
        <f>DataUK1!CL115/DataUK1!B115</f>
        <v>0.65305226156012153</v>
      </c>
      <c r="F112" s="308">
        <f>DataUK1!DH115/DataUK1!$B115</f>
        <v>0.11672472056147644</v>
      </c>
      <c r="G112" s="1202">
        <f>DataUK1!C115/DataUK1!$B115</f>
        <v>8.9940213153106296E-3</v>
      </c>
      <c r="H112" s="228">
        <f>DataUK1!K115/DataUK1!$B115</f>
        <v>0.11203535222251103</v>
      </c>
      <c r="I112" s="203">
        <f t="shared" si="12"/>
        <v>1.0070257611241215E-2</v>
      </c>
      <c r="J112" s="203">
        <f t="shared" si="13"/>
        <v>0.11290045368214641</v>
      </c>
      <c r="K112" s="203"/>
      <c r="L112" s="308">
        <f t="shared" si="15"/>
        <v>0.73544849245368482</v>
      </c>
      <c r="M112" s="203">
        <f t="shared" si="16"/>
        <v>0.13145199063231847</v>
      </c>
      <c r="N112" s="203">
        <f t="shared" si="17"/>
        <v>1.0128805620608897E-2</v>
      </c>
      <c r="O112" s="265">
        <f t="shared" si="18"/>
        <v>0.1261709601873536</v>
      </c>
      <c r="S112" s="197">
        <f t="shared" si="19"/>
        <v>1.6653345369377348E-16</v>
      </c>
      <c r="T112" s="197">
        <f t="shared" si="20"/>
        <v>1.5785983631388945E-16</v>
      </c>
    </row>
    <row r="113" spans="1:20">
      <c r="A113" s="198">
        <v>1957</v>
      </c>
      <c r="B113" s="202">
        <f>DataUK1!T116/DataUK1!B116</f>
        <v>9.2597177519187918E-3</v>
      </c>
      <c r="C113" s="308">
        <f>DataUK1!AJ116/DataUK1!B116</f>
        <v>9.9275087221446387E-2</v>
      </c>
      <c r="D113" s="308"/>
      <c r="E113" s="308">
        <f>DataUK1!CL116/DataUK1!B116</f>
        <v>0.65621884692066801</v>
      </c>
      <c r="F113" s="308">
        <f>DataUK1!DH116/DataUK1!$B116</f>
        <v>0.11610794751176032</v>
      </c>
      <c r="G113" s="1202">
        <f>DataUK1!C116/DataUK1!$B116</f>
        <v>9.4577865808368414E-3</v>
      </c>
      <c r="H113" s="228">
        <f>DataUK1!K116/DataUK1!$B116</f>
        <v>0.10968061401336965</v>
      </c>
      <c r="I113" s="203">
        <f t="shared" si="12"/>
        <v>1.0400444938820913E-2</v>
      </c>
      <c r="J113" s="203">
        <f t="shared" si="13"/>
        <v>0.11150502705434427</v>
      </c>
      <c r="K113" s="203"/>
      <c r="L113" s="308">
        <f t="shared" si="15"/>
        <v>0.73706004524821422</v>
      </c>
      <c r="M113" s="203">
        <f t="shared" si="16"/>
        <v>0.1304115684093437</v>
      </c>
      <c r="N113" s="203">
        <f t="shared" si="17"/>
        <v>1.0622914349276976E-2</v>
      </c>
      <c r="O113" s="265">
        <f t="shared" si="18"/>
        <v>0.1231924360400445</v>
      </c>
      <c r="S113" s="197">
        <f t="shared" si="19"/>
        <v>0</v>
      </c>
      <c r="T113" s="197">
        <f t="shared" si="20"/>
        <v>-5.2041704279304213E-17</v>
      </c>
    </row>
    <row r="114" spans="1:20">
      <c r="A114" s="198">
        <v>1958</v>
      </c>
      <c r="B114" s="202">
        <f>DataUK1!T117/DataUK1!B117</f>
        <v>1.1347450384578862E-2</v>
      </c>
      <c r="C114" s="308">
        <f>DataUK1!AJ117/DataUK1!B117</f>
        <v>9.5710234485087253E-2</v>
      </c>
      <c r="D114" s="308"/>
      <c r="E114" s="308">
        <f>DataUK1!CL117/DataUK1!B117</f>
        <v>0.65994449915844144</v>
      </c>
      <c r="F114" s="308">
        <f>DataUK1!DH117/DataUK1!$B117</f>
        <v>0.11349349539454943</v>
      </c>
      <c r="G114" s="1202">
        <f>DataUK1!C117/DataUK1!$B117</f>
        <v>1.077770392175482E-2</v>
      </c>
      <c r="H114" s="228">
        <f>DataUK1!K117/DataUK1!$B117</f>
        <v>0.10872661665558826</v>
      </c>
      <c r="I114" s="203">
        <f t="shared" si="12"/>
        <v>1.2731728105689323E-2</v>
      </c>
      <c r="J114" s="203">
        <f t="shared" si="13"/>
        <v>0.10738594495657935</v>
      </c>
      <c r="K114" s="203"/>
      <c r="L114" s="308">
        <f t="shared" si="15"/>
        <v>0.7404512593903203</v>
      </c>
      <c r="M114" s="203">
        <f t="shared" si="16"/>
        <v>0.12733858938845088</v>
      </c>
      <c r="N114" s="203">
        <f t="shared" si="17"/>
        <v>1.2092478158960154E-2</v>
      </c>
      <c r="O114" s="265">
        <f t="shared" si="18"/>
        <v>0.12199019816748348</v>
      </c>
      <c r="S114" s="197">
        <f t="shared" si="19"/>
        <v>0</v>
      </c>
      <c r="T114" s="197">
        <f t="shared" si="20"/>
        <v>-6.9388939039072284E-17</v>
      </c>
    </row>
    <row r="115" spans="1:20">
      <c r="A115" s="198">
        <v>1959</v>
      </c>
      <c r="B115" s="202">
        <f>DataUK1!T118/DataUK1!B118</f>
        <v>1.2157918349035441E-2</v>
      </c>
      <c r="C115" s="308">
        <f>DataUK1!AJ118/DataUK1!B118</f>
        <v>9.4722214829912749E-2</v>
      </c>
      <c r="D115" s="308"/>
      <c r="E115" s="308">
        <f>DataUK1!CL118/DataUK1!B118</f>
        <v>0.66130290854379736</v>
      </c>
      <c r="F115" s="308">
        <f>DataUK1!DH118/DataUK1!$B118</f>
        <v>0.11391655450874831</v>
      </c>
      <c r="G115" s="1202">
        <f>DataUK1!C118/DataUK1!$B118</f>
        <v>8.793180798564379E-3</v>
      </c>
      <c r="H115" s="228">
        <f>DataUK1!K118/DataUK1!$B118</f>
        <v>0.10910722296994167</v>
      </c>
      <c r="I115" s="203">
        <f t="shared" si="12"/>
        <v>1.3646892939873098E-2</v>
      </c>
      <c r="J115" s="203">
        <f t="shared" si="13"/>
        <v>0.10632280031013976</v>
      </c>
      <c r="K115" s="203"/>
      <c r="L115" s="308">
        <f t="shared" si="15"/>
        <v>0.74229236738046345</v>
      </c>
      <c r="M115" s="203">
        <f t="shared" si="16"/>
        <v>0.1278678618189143</v>
      </c>
      <c r="N115" s="203">
        <f t="shared" si="17"/>
        <v>9.8700775506093269E-3</v>
      </c>
      <c r="O115" s="265">
        <f t="shared" si="18"/>
        <v>0.12246953368919326</v>
      </c>
      <c r="S115" s="197">
        <f t="shared" si="19"/>
        <v>0</v>
      </c>
      <c r="T115" s="197">
        <f t="shared" si="20"/>
        <v>9.7144514654701197E-17</v>
      </c>
    </row>
    <row r="116" spans="1:20">
      <c r="A116" s="199">
        <v>1960</v>
      </c>
      <c r="B116" s="237">
        <f>DataUK1!T119/DataUK1!B119</f>
        <v>1.2321606372386325E-2</v>
      </c>
      <c r="C116" s="551">
        <f>DataUK1!AJ119/DataUK1!B119</f>
        <v>9.3855360201026486E-2</v>
      </c>
      <c r="D116" s="551"/>
      <c r="E116" s="551">
        <f>DataUK1!CL119/DataUK1!B119</f>
        <v>0.67317915689157226</v>
      </c>
      <c r="F116" s="551">
        <f>DataUK1!DH119/DataUK1!$B119</f>
        <v>0.11124294722867574</v>
      </c>
      <c r="G116" s="1961">
        <f>DataUK1!C119/DataUK1!$B119</f>
        <v>6.8868237636906735E-3</v>
      </c>
      <c r="H116" s="229">
        <f>DataUK1!K119/DataUK1!$B119</f>
        <v>0.10251410554264852</v>
      </c>
      <c r="I116" s="212">
        <f t="shared" si="12"/>
        <v>1.372902510054084E-2</v>
      </c>
      <c r="J116" s="212">
        <f t="shared" si="13"/>
        <v>0.10457586105882413</v>
      </c>
      <c r="K116" s="212"/>
      <c r="L116" s="551">
        <f t="shared" si="15"/>
        <v>0.75007213043565191</v>
      </c>
      <c r="M116" s="212">
        <f t="shared" si="16"/>
        <v>0.1239495215642768</v>
      </c>
      <c r="N116" s="212">
        <f t="shared" si="17"/>
        <v>7.6734618407063278E-3</v>
      </c>
      <c r="O116" s="266">
        <f t="shared" si="18"/>
        <v>0.11422363980955022</v>
      </c>
      <c r="S116" s="197">
        <f t="shared" si="19"/>
        <v>0</v>
      </c>
      <c r="T116" s="197">
        <f t="shared" si="20"/>
        <v>0</v>
      </c>
    </row>
    <row r="117" spans="1:20">
      <c r="A117" s="198">
        <v>1961</v>
      </c>
      <c r="B117" s="202">
        <f>DataUK1!T120/DataUK1!B120</f>
        <v>1.287996034145044E-2</v>
      </c>
      <c r="C117" s="308">
        <f>DataUK1!AJ120/DataUK1!B120</f>
        <v>9.4078559990844843E-2</v>
      </c>
      <c r="D117" s="308"/>
      <c r="E117" s="308">
        <f>DataUK1!CL120/DataUK1!B120</f>
        <v>0.67209680818075102</v>
      </c>
      <c r="F117" s="308">
        <f>DataUK1!DH120/DataUK1!$B120</f>
        <v>0.11201666142722416</v>
      </c>
      <c r="G117" s="1202">
        <f>DataUK1!C120/DataUK1!$B120</f>
        <v>7.387613957874883E-3</v>
      </c>
      <c r="H117" s="228">
        <f>DataUK1!K120/DataUK1!$B120</f>
        <v>0.10154039610185478</v>
      </c>
      <c r="I117" s="203">
        <f t="shared" si="12"/>
        <v>1.4335603165204287E-2</v>
      </c>
      <c r="J117" s="203">
        <f t="shared" si="13"/>
        <v>0.10471095148036301</v>
      </c>
      <c r="K117" s="203"/>
      <c r="L117" s="308">
        <f t="shared" si="15"/>
        <v>0.74805456501853362</v>
      </c>
      <c r="M117" s="203">
        <f t="shared" si="16"/>
        <v>0.12467634709587128</v>
      </c>
      <c r="N117" s="203">
        <f t="shared" si="17"/>
        <v>8.2225332400279929E-3</v>
      </c>
      <c r="O117" s="265">
        <f t="shared" si="18"/>
        <v>0.11301609517144859</v>
      </c>
      <c r="S117" s="197">
        <f t="shared" si="19"/>
        <v>0</v>
      </c>
      <c r="T117" s="197">
        <f t="shared" si="20"/>
        <v>-2.4112656316077619E-16</v>
      </c>
    </row>
    <row r="118" spans="1:20">
      <c r="A118" s="198">
        <v>1962</v>
      </c>
      <c r="B118" s="202">
        <f>DataUK1!T121/DataUK1!B121</f>
        <v>1.4429880092351233E-2</v>
      </c>
      <c r="C118" s="308">
        <f>DataUK1!AJ121/DataUK1!B121</f>
        <v>9.3180670991905509E-2</v>
      </c>
      <c r="D118" s="308"/>
      <c r="E118" s="308">
        <f>DataUK1!CL121/DataUK1!B121</f>
        <v>0.66629277802872455</v>
      </c>
      <c r="F118" s="308">
        <f>DataUK1!DH121/DataUK1!$B121</f>
        <v>0.11296641096298503</v>
      </c>
      <c r="G118" s="1202">
        <f>DataUK1!C121/DataUK1!$B121</f>
        <v>9.8309376629180014E-3</v>
      </c>
      <c r="H118" s="228">
        <f>DataUK1!K121/DataUK1!$B121</f>
        <v>0.10329932226111566</v>
      </c>
      <c r="I118" s="203">
        <f t="shared" si="12"/>
        <v>1.6092192691029902E-2</v>
      </c>
      <c r="J118" s="203">
        <f t="shared" si="13"/>
        <v>0.10391502237610591</v>
      </c>
      <c r="K118" s="203"/>
      <c r="L118" s="308">
        <f t="shared" si="15"/>
        <v>0.74304926333817978</v>
      </c>
      <c r="M118" s="203">
        <f t="shared" si="16"/>
        <v>0.12598006644518273</v>
      </c>
      <c r="N118" s="203">
        <f t="shared" si="17"/>
        <v>1.0963455149501661E-2</v>
      </c>
      <c r="O118" s="265">
        <f t="shared" si="18"/>
        <v>0.11519933554817274</v>
      </c>
      <c r="S118" s="197">
        <f t="shared" si="19"/>
        <v>0</v>
      </c>
      <c r="T118" s="197">
        <f t="shared" si="20"/>
        <v>-1.7347234759768071E-17</v>
      </c>
    </row>
    <row r="119" spans="1:20">
      <c r="A119" s="198">
        <v>1963</v>
      </c>
      <c r="B119" s="202">
        <f>DataUK1!T122/DataUK1!B122</f>
        <v>1.428518315227973E-2</v>
      </c>
      <c r="C119" s="308">
        <f>DataUK1!AJ122/DataUK1!B122</f>
        <v>9.522658012425364E-2</v>
      </c>
      <c r="D119" s="308"/>
      <c r="E119" s="308">
        <f>DataUK1!CL122/DataUK1!B122</f>
        <v>0.66161172790266809</v>
      </c>
      <c r="F119" s="308">
        <f>DataUK1!DH122/DataUK1!$B122</f>
        <v>0.11295621741304193</v>
      </c>
      <c r="G119" s="1202">
        <f>DataUK1!C122/DataUK1!$B122</f>
        <v>1.1642025569602171E-2</v>
      </c>
      <c r="H119" s="228">
        <f>DataUK1!K122/DataUK1!$B122</f>
        <v>0.10427826583815442</v>
      </c>
      <c r="I119" s="203">
        <f t="shared" si="12"/>
        <v>1.5948237725465952E-2</v>
      </c>
      <c r="J119" s="203">
        <f t="shared" si="13"/>
        <v>0.10631268226773585</v>
      </c>
      <c r="K119" s="203"/>
      <c r="L119" s="308">
        <f t="shared" si="15"/>
        <v>0.73863534027312472</v>
      </c>
      <c r="M119" s="203">
        <f t="shared" si="16"/>
        <v>0.12610637110278289</v>
      </c>
      <c r="N119" s="203">
        <f t="shared" si="17"/>
        <v>1.2997368630890679E-2</v>
      </c>
      <c r="O119" s="265">
        <f t="shared" si="18"/>
        <v>0.11641814847300853</v>
      </c>
      <c r="S119" s="197">
        <f t="shared" si="19"/>
        <v>0</v>
      </c>
      <c r="T119" s="197">
        <f t="shared" si="20"/>
        <v>-5.2041704279304213E-17</v>
      </c>
    </row>
    <row r="120" spans="1:20">
      <c r="A120" s="198">
        <v>1964</v>
      </c>
      <c r="B120" s="202">
        <f>DataUK1!T123/DataUK1!B123</f>
        <v>1.5407671897009206E-2</v>
      </c>
      <c r="C120" s="308">
        <f>DataUK1!AJ123/DataUK1!B123</f>
        <v>9.123518872703526E-2</v>
      </c>
      <c r="D120" s="308"/>
      <c r="E120" s="308">
        <f>DataUK1!CL123/DataUK1!B123</f>
        <v>0.66267610291642787</v>
      </c>
      <c r="F120" s="308">
        <f>DataUK1!DH123/DataUK1!$B123</f>
        <v>0.11065614046581715</v>
      </c>
      <c r="G120" s="1202">
        <f>DataUK1!C123/DataUK1!$B123</f>
        <v>1.0875618305106954E-2</v>
      </c>
      <c r="H120" s="228">
        <f>DataUK1!K123/DataUK1!$B123</f>
        <v>0.10914927768860354</v>
      </c>
      <c r="I120" s="203">
        <f t="shared" si="12"/>
        <v>1.7295458724030151E-2</v>
      </c>
      <c r="J120" s="203">
        <f t="shared" si="13"/>
        <v>0.10241355419269002</v>
      </c>
      <c r="K120" s="203"/>
      <c r="L120" s="308">
        <f t="shared" si="15"/>
        <v>0.74386885066114328</v>
      </c>
      <c r="M120" s="203">
        <f t="shared" si="16"/>
        <v>0.12421400992829564</v>
      </c>
      <c r="N120" s="203">
        <f t="shared" si="17"/>
        <v>1.2208126493840779E-2</v>
      </c>
      <c r="O120" s="265">
        <f t="shared" si="18"/>
        <v>0.12252252252252252</v>
      </c>
      <c r="S120" s="197">
        <f t="shared" si="19"/>
        <v>0</v>
      </c>
      <c r="T120" s="197">
        <f t="shared" si="20"/>
        <v>1.0581813203458523E-16</v>
      </c>
    </row>
    <row r="121" spans="1:20">
      <c r="A121" s="198">
        <v>1965</v>
      </c>
      <c r="B121" s="202">
        <f>DataUK1!T124/DataUK1!B124</f>
        <v>1.6941644729016724E-2</v>
      </c>
      <c r="C121" s="308">
        <f>DataUK1!AJ124/DataUK1!B124</f>
        <v>9.2387630715264374E-2</v>
      </c>
      <c r="D121" s="308"/>
      <c r="E121" s="308">
        <f>DataUK1!CL124/DataUK1!B124</f>
        <v>0.65628909697285509</v>
      </c>
      <c r="F121" s="308">
        <f>DataUK1!DH124/DataUK1!$B124</f>
        <v>0.11049506150396897</v>
      </c>
      <c r="G121" s="1202">
        <f>DataUK1!C124/DataUK1!$B124</f>
        <v>1.1240380536872084E-2</v>
      </c>
      <c r="H121" s="228">
        <f>DataUK1!K124/DataUK1!$B124</f>
        <v>0.11264618554202266</v>
      </c>
      <c r="I121" s="203">
        <f t="shared" si="12"/>
        <v>1.9092321972341095E-2</v>
      </c>
      <c r="J121" s="203">
        <f t="shared" si="13"/>
        <v>0.10411588839756951</v>
      </c>
      <c r="K121" s="203"/>
      <c r="L121" s="308">
        <f t="shared" si="15"/>
        <v>0.73960249708706827</v>
      </c>
      <c r="M121" s="203">
        <f t="shared" si="16"/>
        <v>0.12452198852772466</v>
      </c>
      <c r="N121" s="203">
        <f t="shared" si="17"/>
        <v>1.2667304015296367E-2</v>
      </c>
      <c r="O121" s="265">
        <f t="shared" si="18"/>
        <v>0.12694618956569242</v>
      </c>
      <c r="S121" s="197">
        <f t="shared" si="19"/>
        <v>1.3877787807814457E-16</v>
      </c>
      <c r="T121" s="197">
        <f t="shared" si="20"/>
        <v>1.231653667943533E-16</v>
      </c>
    </row>
    <row r="122" spans="1:20">
      <c r="A122" s="198">
        <v>1966</v>
      </c>
      <c r="B122" s="202">
        <f>DataUK1!T125/DataUK1!B125</f>
        <v>1.7721298762744642E-2</v>
      </c>
      <c r="C122" s="308">
        <f>DataUK1!AJ125/DataUK1!B125</f>
        <v>9.3229441174873709E-2</v>
      </c>
      <c r="D122" s="308"/>
      <c r="E122" s="308">
        <f>DataUK1!CL125/DataUK1!B125</f>
        <v>0.64951097919279155</v>
      </c>
      <c r="F122" s="308">
        <f>DataUK1!DH125/DataUK1!$B125</f>
        <v>0.11268009051069802</v>
      </c>
      <c r="G122" s="1202">
        <f>DataUK1!C125/DataUK1!$B125</f>
        <v>9.1369976799472973E-3</v>
      </c>
      <c r="H122" s="228">
        <f>DataUK1!K125/DataUK1!$B125</f>
        <v>0.11772119267894481</v>
      </c>
      <c r="I122" s="203">
        <f t="shared" si="12"/>
        <v>2.0085826176142053E-2</v>
      </c>
      <c r="J122" s="203">
        <f t="shared" si="13"/>
        <v>0.10566891146116825</v>
      </c>
      <c r="K122" s="203"/>
      <c r="L122" s="308">
        <f t="shared" si="15"/>
        <v>0.73617429524909683</v>
      </c>
      <c r="M122" s="203">
        <f t="shared" si="16"/>
        <v>0.12771483297081454</v>
      </c>
      <c r="N122" s="203">
        <f t="shared" si="17"/>
        <v>1.0356134142778301E-2</v>
      </c>
      <c r="O122" s="265">
        <f t="shared" si="18"/>
        <v>0.13342856215303703</v>
      </c>
      <c r="S122" s="197">
        <f t="shared" si="19"/>
        <v>0</v>
      </c>
      <c r="T122" s="197">
        <f t="shared" si="20"/>
        <v>6.0715321659188248E-17</v>
      </c>
    </row>
    <row r="123" spans="1:20">
      <c r="A123" s="198">
        <v>1967</v>
      </c>
      <c r="B123" s="202">
        <f>DataUK1!T126/DataUK1!B126</f>
        <v>1.8762582674054808E-2</v>
      </c>
      <c r="C123" s="308">
        <f>DataUK1!AJ126/DataUK1!B126</f>
        <v>9.3284858953807809E-2</v>
      </c>
      <c r="D123" s="308"/>
      <c r="E123" s="308">
        <f>DataUK1!CL126/DataUK1!B126</f>
        <v>0.64307408378199582</v>
      </c>
      <c r="F123" s="308">
        <f>DataUK1!DH126/DataUK1!$B126</f>
        <v>0.11606972366949453</v>
      </c>
      <c r="G123" s="1202">
        <f>DataUK1!C126/DataUK1!$B126</f>
        <v>8.5927057475653993E-3</v>
      </c>
      <c r="H123" s="228">
        <f>DataUK1!K126/DataUK1!$B126</f>
        <v>0.12021604517308164</v>
      </c>
      <c r="I123" s="203">
        <f t="shared" si="12"/>
        <v>2.1326352419948381E-2</v>
      </c>
      <c r="J123" s="203">
        <f t="shared" si="13"/>
        <v>0.10603155290796355</v>
      </c>
      <c r="K123" s="203"/>
      <c r="L123" s="308">
        <f t="shared" si="15"/>
        <v>0.73094545570396208</v>
      </c>
      <c r="M123" s="203">
        <f t="shared" si="16"/>
        <v>0.13192980280292693</v>
      </c>
      <c r="N123" s="203">
        <f t="shared" si="17"/>
        <v>9.7668361651990568E-3</v>
      </c>
      <c r="O123" s="265">
        <f t="shared" si="18"/>
        <v>0.13664268882549918</v>
      </c>
      <c r="S123" s="197">
        <f t="shared" si="19"/>
        <v>0</v>
      </c>
      <c r="T123" s="197">
        <f t="shared" si="20"/>
        <v>2.0816681711721685E-17</v>
      </c>
    </row>
    <row r="124" spans="1:20">
      <c r="A124" s="198">
        <v>1968</v>
      </c>
      <c r="B124" s="202">
        <f>DataUK1!T127/DataUK1!B127</f>
        <v>1.9661076876452167E-2</v>
      </c>
      <c r="C124" s="308">
        <f>DataUK1!AJ127/DataUK1!B127</f>
        <v>9.3433635359564518E-2</v>
      </c>
      <c r="D124" s="308"/>
      <c r="E124" s="308">
        <f>DataUK1!CL127/DataUK1!B127</f>
        <v>0.63763768497582296</v>
      </c>
      <c r="F124" s="308">
        <f>DataUK1!DH127/DataUK1!$B127</f>
        <v>0.11541569855540963</v>
      </c>
      <c r="G124" s="1202">
        <f>DataUK1!C127/DataUK1!$B127</f>
        <v>6.4400444489342359E-3</v>
      </c>
      <c r="H124" s="228">
        <f>DataUK1!K127/DataUK1!$B127</f>
        <v>0.12741185978381656</v>
      </c>
      <c r="I124" s="203">
        <f t="shared" si="12"/>
        <v>2.2531909351393591E-2</v>
      </c>
      <c r="J124" s="203">
        <f t="shared" si="13"/>
        <v>0.10707644426202763</v>
      </c>
      <c r="K124" s="203"/>
      <c r="L124" s="308">
        <f t="shared" si="15"/>
        <v>0.73074301103593775</v>
      </c>
      <c r="M124" s="203">
        <f t="shared" si="16"/>
        <v>0.13226824115076263</v>
      </c>
      <c r="N124" s="203">
        <f t="shared" si="17"/>
        <v>7.3803941998784404E-3</v>
      </c>
      <c r="O124" s="265">
        <f t="shared" si="18"/>
        <v>0.14601603426818327</v>
      </c>
      <c r="S124" s="197">
        <f t="shared" si="19"/>
        <v>0</v>
      </c>
      <c r="T124" s="197">
        <f t="shared" si="20"/>
        <v>-9.1940344226770776E-17</v>
      </c>
    </row>
    <row r="125" spans="1:20">
      <c r="A125" s="214">
        <v>1969</v>
      </c>
      <c r="B125" s="241">
        <f>DataUK1!T128/DataUK1!B128</f>
        <v>2.1136625366442337E-2</v>
      </c>
      <c r="C125" s="550">
        <f>DataUK1!AJ128/DataUK1!B128</f>
        <v>9.1723931679705883E-2</v>
      </c>
      <c r="D125" s="550"/>
      <c r="E125" s="550">
        <f>DataUK1!CL128/DataUK1!B128</f>
        <v>0.62525175986617798</v>
      </c>
      <c r="F125" s="550">
        <f>DataUK1!DH128/DataUK1!$B128</f>
        <v>0.11324247402642479</v>
      </c>
      <c r="G125" s="1960">
        <f>DataUK1!C128/DataUK1!$B128</f>
        <v>9.7415368952032764E-3</v>
      </c>
      <c r="H125" s="230">
        <f>DataUK1!K128/DataUK1!$B128</f>
        <v>0.13890367216604577</v>
      </c>
      <c r="I125" s="216">
        <f t="shared" si="12"/>
        <v>2.4546179890942613E-2</v>
      </c>
      <c r="J125" s="216">
        <f t="shared" si="13"/>
        <v>0.10651994290863248</v>
      </c>
      <c r="K125" s="216"/>
      <c r="L125" s="550">
        <f t="shared" si="15"/>
        <v>0.72611128355287291</v>
      </c>
      <c r="M125" s="216">
        <f t="shared" si="16"/>
        <v>0.13150964690707798</v>
      </c>
      <c r="N125" s="216">
        <f t="shared" si="17"/>
        <v>1.1312946740474015E-2</v>
      </c>
      <c r="O125" s="267">
        <f t="shared" si="18"/>
        <v>0.16131025957972805</v>
      </c>
      <c r="S125" s="197">
        <f t="shared" si="19"/>
        <v>0</v>
      </c>
      <c r="T125" s="197">
        <f t="shared" si="20"/>
        <v>1.9081958235744878E-17</v>
      </c>
    </row>
    <row r="126" spans="1:20">
      <c r="A126" s="198">
        <v>1970</v>
      </c>
      <c r="B126" s="202">
        <f>DataUK1!T129/DataUK1!B129</f>
        <v>2.2548146708758206E-2</v>
      </c>
      <c r="C126" s="308">
        <f>DataUK1!AJ129/DataUK1!B129</f>
        <v>9.1535140663094344E-2</v>
      </c>
      <c r="D126" s="308"/>
      <c r="E126" s="308">
        <f>DataUK1!CL129/DataUK1!B129</f>
        <v>0.61951877239515751</v>
      </c>
      <c r="F126" s="308">
        <f>DataUK1!DH129/DataUK1!$B129</f>
        <v>0.11858433226405538</v>
      </c>
      <c r="G126" s="1202">
        <f>DataUK1!C129/DataUK1!$B129</f>
        <v>9.9400641566773588E-3</v>
      </c>
      <c r="H126" s="228">
        <f>DataUK1!K129/DataUK1!$B129</f>
        <v>0.1378735438122573</v>
      </c>
      <c r="I126" s="203">
        <f t="shared" si="12"/>
        <v>2.615410598633568E-2</v>
      </c>
      <c r="J126" s="203">
        <f t="shared" si="13"/>
        <v>0.10617368253359924</v>
      </c>
      <c r="K126" s="203"/>
      <c r="L126" s="308">
        <f t="shared" si="15"/>
        <v>0.71859385354513095</v>
      </c>
      <c r="M126" s="203">
        <f t="shared" si="16"/>
        <v>0.13754865241976941</v>
      </c>
      <c r="N126" s="203">
        <f t="shared" si="17"/>
        <v>1.1529705515164867E-2</v>
      </c>
      <c r="O126" s="265">
        <f t="shared" si="18"/>
        <v>0.15992264571246728</v>
      </c>
      <c r="S126" s="197">
        <f t="shared" si="19"/>
        <v>0</v>
      </c>
      <c r="T126" s="197">
        <f t="shared" si="20"/>
        <v>-2.0469737016526324E-16</v>
      </c>
    </row>
    <row r="127" spans="1:20">
      <c r="A127" s="198">
        <v>1971</v>
      </c>
      <c r="B127" s="202">
        <f>DataUK1!T130/DataUK1!B130</f>
        <v>2.3162717151788189E-2</v>
      </c>
      <c r="C127" s="308">
        <f>DataUK1!AJ130/DataUK1!B130</f>
        <v>9.84373418776847E-2</v>
      </c>
      <c r="D127" s="308"/>
      <c r="E127" s="308">
        <f>DataUK1!CL130/DataUK1!B130</f>
        <v>0.61529067786126401</v>
      </c>
      <c r="F127" s="308">
        <f>DataUK1!DH130/DataUK1!$B130</f>
        <v>0.12735812735812735</v>
      </c>
      <c r="G127" s="1202">
        <f>DataUK1!C130/DataUK1!$B130</f>
        <v>7.5267575267575267E-3</v>
      </c>
      <c r="H127" s="228">
        <f>DataUK1!K130/DataUK1!$B130</f>
        <v>0.12822437822437824</v>
      </c>
      <c r="I127" s="203">
        <f t="shared" si="12"/>
        <v>2.6569585766358844E-2</v>
      </c>
      <c r="J127" s="203">
        <f t="shared" si="13"/>
        <v>0.1129159148511044</v>
      </c>
      <c r="K127" s="203"/>
      <c r="L127" s="308">
        <f t="shared" si="15"/>
        <v>0.70579018556179351</v>
      </c>
      <c r="M127" s="203">
        <f t="shared" si="16"/>
        <v>0.14609048954446088</v>
      </c>
      <c r="N127" s="203">
        <f t="shared" si="17"/>
        <v>8.6338242762823772E-3</v>
      </c>
      <c r="O127" s="265">
        <f t="shared" si="18"/>
        <v>0.14708415218495377</v>
      </c>
      <c r="S127" s="197">
        <f t="shared" si="19"/>
        <v>0</v>
      </c>
      <c r="T127" s="197">
        <f t="shared" si="20"/>
        <v>0</v>
      </c>
    </row>
    <row r="128" spans="1:20">
      <c r="A128" s="198">
        <v>1972</v>
      </c>
      <c r="B128" s="202">
        <f>DataUK1!T131/DataUK1!B131</f>
        <v>2.525825396552021E-2</v>
      </c>
      <c r="C128" s="308">
        <f>DataUK1!AJ131/DataUK1!B131</f>
        <v>0.10404700898326462</v>
      </c>
      <c r="D128" s="308"/>
      <c r="E128" s="308">
        <f>DataUK1!CL131/DataUK1!B131</f>
        <v>0.61449026949011776</v>
      </c>
      <c r="F128" s="308">
        <f>DataUK1!DH131/DataUK1!$B131</f>
        <v>0.13295902726348965</v>
      </c>
      <c r="G128" s="1202">
        <f>DataUK1!C131/DataUK1!$B131</f>
        <v>5.1323562337461034E-3</v>
      </c>
      <c r="H128" s="228">
        <f>DataUK1!K131/DataUK1!$B131</f>
        <v>0.11811308406386167</v>
      </c>
      <c r="I128" s="203">
        <f t="shared" si="12"/>
        <v>2.8641148325358853E-2</v>
      </c>
      <c r="J128" s="203">
        <f t="shared" si="13"/>
        <v>0.11798225725212955</v>
      </c>
      <c r="K128" s="203"/>
      <c r="L128" s="308">
        <f t="shared" si="15"/>
        <v>0.6967903235505265</v>
      </c>
      <c r="M128" s="203">
        <f t="shared" si="16"/>
        <v>0.15076652670637633</v>
      </c>
      <c r="N128" s="203">
        <f t="shared" si="17"/>
        <v>5.819744165608827E-3</v>
      </c>
      <c r="O128" s="265">
        <f t="shared" si="18"/>
        <v>0.13393223318035349</v>
      </c>
      <c r="S128" s="197">
        <f t="shared" si="19"/>
        <v>0</v>
      </c>
      <c r="T128" s="197">
        <f t="shared" si="20"/>
        <v>2.0816681711721685E-17</v>
      </c>
    </row>
    <row r="129" spans="1:20">
      <c r="A129" s="198">
        <v>1973</v>
      </c>
      <c r="B129" s="202">
        <f>DataUK1!T132/DataUK1!B132</f>
        <v>2.6707005769848392E-2</v>
      </c>
      <c r="C129" s="308">
        <f>DataUK1!AJ132/DataUK1!B132</f>
        <v>0.11097117986959466</v>
      </c>
      <c r="D129" s="308"/>
      <c r="E129" s="308">
        <f>DataUK1!CL132/DataUK1!B132</f>
        <v>0.61728781292891777</v>
      </c>
      <c r="F129" s="308">
        <f>DataUK1!DH132/DataUK1!$B132</f>
        <v>0.13026425674063469</v>
      </c>
      <c r="G129" s="1202">
        <f>DataUK1!C132/DataUK1!$B132</f>
        <v>1.1154855643044619E-2</v>
      </c>
      <c r="H129" s="228">
        <f>DataUK1!K132/DataUK1!$B132</f>
        <v>0.10361488904795992</v>
      </c>
      <c r="I129" s="203">
        <f t="shared" si="12"/>
        <v>2.9794120231965027E-2</v>
      </c>
      <c r="J129" s="203">
        <f t="shared" si="13"/>
        <v>0.12379855322645138</v>
      </c>
      <c r="K129" s="203"/>
      <c r="L129" s="308">
        <f t="shared" si="15"/>
        <v>0.68864130537967505</v>
      </c>
      <c r="M129" s="203">
        <f t="shared" si="16"/>
        <v>0.14532175417581686</v>
      </c>
      <c r="N129" s="203">
        <f t="shared" si="17"/>
        <v>1.2444266986091702E-2</v>
      </c>
      <c r="O129" s="265">
        <f t="shared" si="18"/>
        <v>0.11559193451786784</v>
      </c>
      <c r="S129" s="197">
        <f t="shared" si="19"/>
        <v>-1.1102230246251565E-16</v>
      </c>
      <c r="T129" s="197">
        <f t="shared" si="20"/>
        <v>-3.9898639947466563E-17</v>
      </c>
    </row>
    <row r="130" spans="1:20">
      <c r="A130" s="198">
        <v>1974</v>
      </c>
      <c r="B130" s="202">
        <f>DataUK1!T133/DataUK1!B133</f>
        <v>3.1644046449794599E-2</v>
      </c>
      <c r="C130" s="308">
        <f>DataUK1!AJ133/DataUK1!B133</f>
        <v>0.10976052666608255</v>
      </c>
      <c r="D130" s="308"/>
      <c r="E130" s="308">
        <f>DataUK1!CL133/DataUK1!B133</f>
        <v>0.6096113861919249</v>
      </c>
      <c r="F130" s="308">
        <f>DataUK1!DH133/DataUK1!$B133</f>
        <v>0.14713243803321044</v>
      </c>
      <c r="G130" s="1202">
        <f>DataUK1!C133/DataUK1!$B133</f>
        <v>1.0913152299701268E-2</v>
      </c>
      <c r="H130" s="228">
        <f>DataUK1!K133/DataUK1!$B133</f>
        <v>9.0938450359286271E-2</v>
      </c>
      <c r="I130" s="203">
        <f t="shared" si="12"/>
        <v>3.4809575283765111E-2</v>
      </c>
      <c r="J130" s="203">
        <f t="shared" si="13"/>
        <v>0.12074047869416867</v>
      </c>
      <c r="K130" s="203"/>
      <c r="L130" s="308">
        <f t="shared" si="15"/>
        <v>0.67059418191525111</v>
      </c>
      <c r="M130" s="203">
        <f t="shared" si="16"/>
        <v>0.1618509088755995</v>
      </c>
      <c r="N130" s="203">
        <f t="shared" si="17"/>
        <v>1.2004855231215585E-2</v>
      </c>
      <c r="O130" s="265">
        <f t="shared" si="18"/>
        <v>0.10003552608206524</v>
      </c>
      <c r="S130" s="197">
        <f t="shared" si="19"/>
        <v>0</v>
      </c>
      <c r="T130" s="197">
        <f t="shared" si="20"/>
        <v>-5.7245874707234634E-17</v>
      </c>
    </row>
    <row r="131" spans="1:20">
      <c r="A131" s="198">
        <v>1975</v>
      </c>
      <c r="B131" s="202">
        <f>DataUK1!T134/DataUK1!B134</f>
        <v>3.0446851758198938E-2</v>
      </c>
      <c r="C131" s="308">
        <f>DataUK1!AJ134/DataUK1!B134</f>
        <v>0.10329395580566239</v>
      </c>
      <c r="D131" s="308"/>
      <c r="E131" s="308">
        <f>DataUK1!CL134/DataUK1!B134</f>
        <v>0.61150866877751031</v>
      </c>
      <c r="F131" s="308">
        <f>DataUK1!DH134/DataUK1!$B134</f>
        <v>0.16396154465868198</v>
      </c>
      <c r="G131" s="1202">
        <f>DataUK1!C134/DataUK1!$B134</f>
        <v>1.267522423331006E-3</v>
      </c>
      <c r="H131" s="228">
        <f>DataUK1!K134/DataUK1!$B134</f>
        <v>8.9521456576615283E-2</v>
      </c>
      <c r="I131" s="203">
        <f t="shared" si="12"/>
        <v>3.3440493439548025E-2</v>
      </c>
      <c r="J131" s="203">
        <f t="shared" si="13"/>
        <v>0.11345018128299737</v>
      </c>
      <c r="K131" s="203"/>
      <c r="L131" s="308">
        <f t="shared" si="15"/>
        <v>0.67163435447720443</v>
      </c>
      <c r="M131" s="203">
        <f t="shared" si="16"/>
        <v>0.18008282110876464</v>
      </c>
      <c r="N131" s="203">
        <f t="shared" si="17"/>
        <v>1.392149691485471E-3</v>
      </c>
      <c r="O131" s="265">
        <f t="shared" si="18"/>
        <v>9.832352143084673E-2</v>
      </c>
      <c r="S131" s="197">
        <f t="shared" si="19"/>
        <v>1.1102230246251565E-16</v>
      </c>
      <c r="T131" s="197">
        <f t="shared" si="20"/>
        <v>1.0148132334464322E-16</v>
      </c>
    </row>
    <row r="132" spans="1:20">
      <c r="A132" s="198">
        <v>1976</v>
      </c>
      <c r="B132" s="202">
        <f>DataUK1!T135/DataUK1!B135</f>
        <v>3.110488999112105E-2</v>
      </c>
      <c r="C132" s="308">
        <f>DataUK1!AJ135/DataUK1!B135</f>
        <v>0.10683735226256059</v>
      </c>
      <c r="D132" s="308"/>
      <c r="E132" s="308">
        <f>DataUK1!CL135/DataUK1!B135</f>
        <v>0.60299981983179096</v>
      </c>
      <c r="F132" s="308">
        <f>DataUK1!DH135/DataUK1!$B135</f>
        <v>0.15969012077250552</v>
      </c>
      <c r="G132" s="1202">
        <f>DataUK1!C135/DataUK1!$B135</f>
        <v>3.0056092525259908E-3</v>
      </c>
      <c r="H132" s="228">
        <f>DataUK1!K135/DataUK1!$B135</f>
        <v>9.6362207889495899E-2</v>
      </c>
      <c r="I132" s="203">
        <f t="shared" si="12"/>
        <v>3.4421856038660777E-2</v>
      </c>
      <c r="J132" s="203">
        <f t="shared" si="13"/>
        <v>0.11823028341149289</v>
      </c>
      <c r="K132" s="203"/>
      <c r="L132" s="308">
        <f t="shared" si="15"/>
        <v>0.66730256868014137</v>
      </c>
      <c r="M132" s="203">
        <f t="shared" si="16"/>
        <v>0.17671917018824432</v>
      </c>
      <c r="N132" s="203">
        <f t="shared" si="17"/>
        <v>3.3261216814606627E-3</v>
      </c>
      <c r="O132" s="265">
        <f t="shared" si="18"/>
        <v>0.10663808965363851</v>
      </c>
      <c r="S132" s="197">
        <f t="shared" si="19"/>
        <v>0</v>
      </c>
      <c r="T132" s="197">
        <f t="shared" si="20"/>
        <v>-9.540979117872439E-18</v>
      </c>
    </row>
    <row r="133" spans="1:20">
      <c r="A133" s="198">
        <v>1977</v>
      </c>
      <c r="B133" s="202">
        <f>DataUK1!T136/DataUK1!B136</f>
        <v>3.0957363227594594E-2</v>
      </c>
      <c r="C133" s="308">
        <f>DataUK1!AJ136/DataUK1!B136</f>
        <v>9.8003433138408966E-2</v>
      </c>
      <c r="D133" s="308"/>
      <c r="E133" s="308">
        <f>DataUK1!CL136/DataUK1!B136</f>
        <v>0.62363125808885567</v>
      </c>
      <c r="F133" s="308">
        <f>DataUK1!DH136/DataUK1!$B136</f>
        <v>0.14926127435109801</v>
      </c>
      <c r="G133" s="1202">
        <f>DataUK1!C136/DataUK1!$B136</f>
        <v>-1.1315808176125462E-2</v>
      </c>
      <c r="H133" s="228">
        <f>DataUK1!K136/DataUK1!$B136</f>
        <v>0.10946247937016827</v>
      </c>
      <c r="I133" s="203">
        <f t="shared" si="12"/>
        <v>3.4762559140349342E-2</v>
      </c>
      <c r="J133" s="203">
        <f t="shared" si="13"/>
        <v>0.11004975182752114</v>
      </c>
      <c r="K133" s="203"/>
      <c r="L133" s="308">
        <f t="shared" si="15"/>
        <v>0.70028633678207419</v>
      </c>
      <c r="M133" s="203">
        <f t="shared" si="16"/>
        <v>0.16760806916426513</v>
      </c>
      <c r="N133" s="203">
        <f t="shared" si="17"/>
        <v>-1.2706716914209711E-2</v>
      </c>
      <c r="O133" s="265">
        <f t="shared" si="18"/>
        <v>0.12291731323431611</v>
      </c>
      <c r="S133" s="197">
        <f t="shared" si="19"/>
        <v>0</v>
      </c>
      <c r="T133" s="197">
        <f t="shared" si="20"/>
        <v>-1.1449174941446927E-16</v>
      </c>
    </row>
    <row r="134" spans="1:20">
      <c r="A134" s="198">
        <v>1978</v>
      </c>
      <c r="B134" s="202">
        <f>DataUK1!T137/DataUK1!B137</f>
        <v>2.9188498275430089E-2</v>
      </c>
      <c r="C134" s="308">
        <f>DataUK1!AJ137/DataUK1!B137</f>
        <v>9.4133539964951621E-2</v>
      </c>
      <c r="D134" s="308"/>
      <c r="E134" s="308">
        <f>DataUK1!CL137/DataUK1!B137</f>
        <v>0.62876617449823413</v>
      </c>
      <c r="F134" s="308">
        <f>DataUK1!DH137/DataUK1!$B137</f>
        <v>0.14514201228401075</v>
      </c>
      <c r="G134" s="1202">
        <f>DataUK1!C137/DataUK1!$B137</f>
        <v>-7.5790550016926785E-3</v>
      </c>
      <c r="H134" s="228">
        <f>DataUK1!K137/DataUK1!$B137</f>
        <v>0.11034882997906606</v>
      </c>
      <c r="I134" s="203">
        <f t="shared" si="12"/>
        <v>3.2808924732536764E-2</v>
      </c>
      <c r="J134" s="203">
        <f t="shared" si="13"/>
        <v>0.10580949380726</v>
      </c>
      <c r="K134" s="203"/>
      <c r="L134" s="308">
        <f t="shared" si="15"/>
        <v>0.706755856324495</v>
      </c>
      <c r="M134" s="203">
        <f t="shared" si="16"/>
        <v>0.16314485629305189</v>
      </c>
      <c r="N134" s="203">
        <f t="shared" si="17"/>
        <v>-8.5191311573437709E-3</v>
      </c>
      <c r="O134" s="265">
        <f t="shared" si="18"/>
        <v>0.1240360645807609</v>
      </c>
      <c r="S134" s="197">
        <f t="shared" si="19"/>
        <v>0</v>
      </c>
      <c r="T134" s="197">
        <f t="shared" si="20"/>
        <v>1.474514954580286E-16</v>
      </c>
    </row>
    <row r="135" spans="1:20" ht="12.75" customHeight="1">
      <c r="A135" s="198">
        <v>1979</v>
      </c>
      <c r="B135" s="202">
        <f>DataUK1!T138/DataUK1!B138</f>
        <v>2.8867221771372416E-2</v>
      </c>
      <c r="C135" s="308">
        <f>DataUK1!AJ138/DataUK1!B138</f>
        <v>9.0456382619795161E-2</v>
      </c>
      <c r="D135" s="308"/>
      <c r="E135" s="308">
        <f>DataUK1!CL138/DataUK1!B138</f>
        <v>0.62721850925852407</v>
      </c>
      <c r="F135" s="308">
        <f>DataUK1!DH138/DataUK1!$B138</f>
        <v>0.14169781479353383</v>
      </c>
      <c r="G135" s="1202">
        <f>DataUK1!C138/DataUK1!$B138</f>
        <v>-1.238026975956213E-2</v>
      </c>
      <c r="H135" s="228">
        <f>DataUK1!K138/DataUK1!$B138</f>
        <v>0.12414034131633662</v>
      </c>
      <c r="I135" s="203">
        <f t="shared" si="12"/>
        <v>3.2958729729323531E-2</v>
      </c>
      <c r="J135" s="203">
        <f t="shared" si="13"/>
        <v>0.10327725649077479</v>
      </c>
      <c r="K135" s="203"/>
      <c r="L135" s="308">
        <f t="shared" si="15"/>
        <v>0.71611759148854504</v>
      </c>
      <c r="M135" s="203">
        <f t="shared" si="16"/>
        <v>0.16178141485188693</v>
      </c>
      <c r="N135" s="203">
        <f t="shared" si="17"/>
        <v>-1.4134992560530232E-2</v>
      </c>
      <c r="O135" s="265">
        <f t="shared" si="18"/>
        <v>0.14173542540240769</v>
      </c>
      <c r="S135" s="197">
        <f t="shared" si="19"/>
        <v>0</v>
      </c>
      <c r="T135" s="197">
        <f t="shared" si="20"/>
        <v>-9.7144514654701197E-17</v>
      </c>
    </row>
    <row r="136" spans="1:20">
      <c r="A136" s="199">
        <v>1980</v>
      </c>
      <c r="B136" s="237">
        <f>DataUK1!T139/DataUK1!B139</f>
        <v>2.9450904721155656E-2</v>
      </c>
      <c r="C136" s="551">
        <f>DataUK1!AJ139/DataUK1!B139</f>
        <v>8.6204554238838452E-2</v>
      </c>
      <c r="D136" s="551"/>
      <c r="E136" s="551">
        <f>DataUK1!CL139/DataUK1!B139</f>
        <v>0.61485397825539345</v>
      </c>
      <c r="F136" s="551">
        <f>DataUK1!DH139/DataUK1!$B139</f>
        <v>0.15293765656852501</v>
      </c>
      <c r="G136" s="1961">
        <f>DataUK1!C139/DataUK1!$B139</f>
        <v>-1.8783151958944814E-2</v>
      </c>
      <c r="H136" s="229">
        <f>DataUK1!K139/DataUK1!$B139</f>
        <v>0.13533605817503219</v>
      </c>
      <c r="I136" s="212">
        <f t="shared" si="12"/>
        <v>3.4060521431015504E-2</v>
      </c>
      <c r="J136" s="212">
        <f t="shared" si="13"/>
        <v>9.9697177214183724E-2</v>
      </c>
      <c r="K136" s="212"/>
      <c r="L136" s="551">
        <f t="shared" si="15"/>
        <v>0.71109011086743934</v>
      </c>
      <c r="M136" s="212">
        <f t="shared" si="16"/>
        <v>0.17687525658319159</v>
      </c>
      <c r="N136" s="212">
        <f t="shared" si="17"/>
        <v>-2.1723066095830156E-2</v>
      </c>
      <c r="O136" s="266">
        <f t="shared" si="18"/>
        <v>0.1565186792563486</v>
      </c>
      <c r="S136" s="197">
        <f t="shared" si="19"/>
        <v>0</v>
      </c>
      <c r="T136" s="197">
        <f t="shared" si="20"/>
        <v>7.6327832942979512E-17</v>
      </c>
    </row>
    <row r="137" spans="1:20">
      <c r="A137" s="198">
        <v>1981</v>
      </c>
      <c r="B137" s="202">
        <f>DataUK1!T140/DataUK1!B140</f>
        <v>3.32422632423586E-2</v>
      </c>
      <c r="C137" s="308">
        <f>DataUK1!AJ140/DataUK1!B140</f>
        <v>8.6155750054533436E-2</v>
      </c>
      <c r="D137" s="308"/>
      <c r="E137" s="308">
        <f>DataUK1!CL140/DataUK1!B140</f>
        <v>0.59900506198736336</v>
      </c>
      <c r="F137" s="308">
        <f>DataUK1!DH140/DataUK1!$B140</f>
        <v>0.15844661093485865</v>
      </c>
      <c r="G137" s="1202">
        <f>DataUK1!C140/DataUK1!$B140</f>
        <v>-1.6098927818817593E-2</v>
      </c>
      <c r="H137" s="228">
        <f>DataUK1!K140/DataUK1!$B140</f>
        <v>0.13924924159970362</v>
      </c>
      <c r="I137" s="203">
        <f t="shared" si="12"/>
        <v>3.8620080107904041E-2</v>
      </c>
      <c r="J137" s="203">
        <f t="shared" si="13"/>
        <v>0.10009372540624156</v>
      </c>
      <c r="K137" s="203"/>
      <c r="L137" s="308">
        <f t="shared" si="15"/>
        <v>0.69591000198549124</v>
      </c>
      <c r="M137" s="203">
        <f t="shared" si="16"/>
        <v>0.18407954845062394</v>
      </c>
      <c r="N137" s="203">
        <f t="shared" si="17"/>
        <v>-1.8703355950260698E-2</v>
      </c>
      <c r="O137" s="265">
        <f t="shared" si="18"/>
        <v>0.16177649597253688</v>
      </c>
      <c r="S137" s="197">
        <f t="shared" si="19"/>
        <v>0</v>
      </c>
      <c r="T137" s="197">
        <f t="shared" si="20"/>
        <v>-1.7694179454963432E-16</v>
      </c>
    </row>
    <row r="138" spans="1:20">
      <c r="A138" s="198">
        <v>1982</v>
      </c>
      <c r="B138" s="202">
        <f>DataUK1!T141/DataUK1!B141</f>
        <v>3.4892201378830125E-2</v>
      </c>
      <c r="C138" s="308">
        <f>DataUK1!AJ141/DataUK1!B141</f>
        <v>8.6921203661039698E-2</v>
      </c>
      <c r="D138" s="308"/>
      <c r="E138" s="308">
        <f>DataUK1!CL141/DataUK1!B141</f>
        <v>0.59445121055121242</v>
      </c>
      <c r="F138" s="308">
        <f>DataUK1!DH141/DataUK1!$B141</f>
        <v>0.15509301974467798</v>
      </c>
      <c r="G138" s="1202">
        <f>DataUK1!C141/DataUK1!$B141</f>
        <v>-1.896462062371039E-2</v>
      </c>
      <c r="H138" s="228">
        <f>DataUK1!K141/DataUK1!$B141</f>
        <v>0.14760698528795022</v>
      </c>
      <c r="I138" s="203">
        <f t="shared" si="12"/>
        <v>4.0934405581229683E-2</v>
      </c>
      <c r="J138" s="203">
        <f t="shared" si="13"/>
        <v>0.10197315341726831</v>
      </c>
      <c r="K138" s="203"/>
      <c r="L138" s="308">
        <f t="shared" si="15"/>
        <v>0.69739099252476433</v>
      </c>
      <c r="M138" s="203">
        <f t="shared" si="16"/>
        <v>0.18195012989057702</v>
      </c>
      <c r="N138" s="203">
        <f t="shared" si="17"/>
        <v>-2.2248681413839254E-2</v>
      </c>
      <c r="O138" s="265">
        <f t="shared" si="18"/>
        <v>0.17316775564827208</v>
      </c>
      <c r="P138" s="154"/>
      <c r="S138" s="197">
        <f t="shared" si="19"/>
        <v>0</v>
      </c>
      <c r="T138" s="197">
        <f t="shared" si="20"/>
        <v>-1.457167719820518E-16</v>
      </c>
    </row>
    <row r="139" spans="1:20">
      <c r="A139" s="198">
        <v>1983</v>
      </c>
      <c r="B139" s="202">
        <f>DataUK1!T142/DataUK1!B142</f>
        <v>3.5160825646000995E-2</v>
      </c>
      <c r="C139" s="308">
        <f>DataUK1!AJ142/DataUK1!B142</f>
        <v>8.6327273912294666E-2</v>
      </c>
      <c r="D139" s="308"/>
      <c r="E139" s="308">
        <f>DataUK1!CL142/DataUK1!B142</f>
        <v>0.59753258177614565</v>
      </c>
      <c r="F139" s="308">
        <f>DataUK1!DH142/DataUK1!$B142</f>
        <v>0.15214496283733794</v>
      </c>
      <c r="G139" s="1202">
        <f>DataUK1!C142/DataUK1!$B142</f>
        <v>-1.1632539239901204E-2</v>
      </c>
      <c r="H139" s="228">
        <f>DataUK1!K142/DataUK1!$B142</f>
        <v>0.14046689506812207</v>
      </c>
      <c r="I139" s="203">
        <f t="shared" ref="I139:I166" si="21">B139/(1-$H139)</f>
        <v>4.090688938477554E-2</v>
      </c>
      <c r="J139" s="203">
        <f t="shared" ref="J139:J166" si="22">C139/(1-$H139)</f>
        <v>0.10043507738906288</v>
      </c>
      <c r="K139" s="203"/>
      <c r="L139" s="308">
        <f t="shared" ref="L139:L166" si="23">E139/(1-$H139)</f>
        <v>0.69518274322139451</v>
      </c>
      <c r="M139" s="203">
        <f t="shared" ref="M139:M166" si="24">F139/(1-$H139)</f>
        <v>0.17700884580751097</v>
      </c>
      <c r="N139" s="203">
        <f t="shared" ref="N139:N166" si="25">G139/(1-$H139)</f>
        <v>-1.3533555802743791E-2</v>
      </c>
      <c r="O139" s="265">
        <f t="shared" ref="O139:O166" si="26">H139/(1-$H139)</f>
        <v>0.16342232109751575</v>
      </c>
      <c r="P139" s="154"/>
      <c r="S139" s="197">
        <f t="shared" si="19"/>
        <v>0</v>
      </c>
      <c r="T139" s="197">
        <f t="shared" si="20"/>
        <v>-5.5511151231257827E-17</v>
      </c>
    </row>
    <row r="140" spans="1:20">
      <c r="A140" s="198">
        <v>1984</v>
      </c>
      <c r="B140" s="202">
        <f>DataUK1!T143/DataUK1!B143</f>
        <v>3.615538863687863E-2</v>
      </c>
      <c r="C140" s="308">
        <f>DataUK1!AJ143/DataUK1!B143</f>
        <v>9.2523772597137191E-2</v>
      </c>
      <c r="D140" s="308"/>
      <c r="E140" s="308">
        <f>DataUK1!CL143/DataUK1!B143</f>
        <v>0.59215635561805946</v>
      </c>
      <c r="F140" s="308">
        <f>DataUK1!DH143/DataUK1!$B143</f>
        <v>0.14722133318327138</v>
      </c>
      <c r="G140" s="1202">
        <f>DataUK1!C143/DataUK1!$B143</f>
        <v>-8.2158922648921835E-3</v>
      </c>
      <c r="H140" s="228">
        <f>DataUK1!K143/DataUK1!$B143</f>
        <v>0.14015904222954556</v>
      </c>
      <c r="I140" s="203">
        <f t="shared" si="21"/>
        <v>4.20489258044053E-2</v>
      </c>
      <c r="J140" s="203">
        <f t="shared" si="22"/>
        <v>0.10760568191244223</v>
      </c>
      <c r="K140" s="203"/>
      <c r="L140" s="308">
        <f t="shared" si="23"/>
        <v>0.68868126165274302</v>
      </c>
      <c r="M140" s="203">
        <f t="shared" si="24"/>
        <v>0.17121926078633487</v>
      </c>
      <c r="N140" s="203">
        <f t="shared" si="25"/>
        <v>-9.555130155925325E-3</v>
      </c>
      <c r="O140" s="265">
        <f t="shared" si="26"/>
        <v>0.16300577561805657</v>
      </c>
      <c r="P140" s="154"/>
      <c r="S140" s="197">
        <f t="shared" si="19"/>
        <v>0</v>
      </c>
      <c r="T140" s="197">
        <f t="shared" si="20"/>
        <v>-1.3704315460216776E-16</v>
      </c>
    </row>
    <row r="141" spans="1:20">
      <c r="A141" s="198">
        <v>1985</v>
      </c>
      <c r="B141" s="202">
        <f>DataUK1!T144/DataUK1!B144</f>
        <v>3.691869027196424E-2</v>
      </c>
      <c r="C141" s="308">
        <f>DataUK1!AJ144/DataUK1!B144</f>
        <v>9.2213834803209438E-2</v>
      </c>
      <c r="D141" s="308"/>
      <c r="E141" s="308">
        <f>DataUK1!CL144/DataUK1!B144</f>
        <v>0.608799797399316</v>
      </c>
      <c r="F141" s="308">
        <f>DataUK1!DH144/DataUK1!$B144</f>
        <v>0.14187550915923119</v>
      </c>
      <c r="G141" s="1202">
        <f>DataUK1!C144/DataUK1!$B144</f>
        <v>-1.6805072111437044E-2</v>
      </c>
      <c r="H141" s="228">
        <f>DataUK1!K144/DataUK1!$B144</f>
        <v>0.13699724047771614</v>
      </c>
      <c r="I141" s="203">
        <f t="shared" si="21"/>
        <v>4.2779342087388712E-2</v>
      </c>
      <c r="J141" s="203">
        <f t="shared" si="22"/>
        <v>0.10685230584228318</v>
      </c>
      <c r="K141" s="203"/>
      <c r="L141" s="308">
        <f t="shared" si="23"/>
        <v>0.7054436277078856</v>
      </c>
      <c r="M141" s="203">
        <f t="shared" si="24"/>
        <v>0.16439751506445535</v>
      </c>
      <c r="N141" s="203">
        <f t="shared" si="25"/>
        <v>-1.9472790702012945E-2</v>
      </c>
      <c r="O141" s="265">
        <f t="shared" si="26"/>
        <v>0.15874484637053896</v>
      </c>
      <c r="P141" s="154"/>
      <c r="S141" s="197">
        <f t="shared" ref="S141:S166" si="27">1-B141-C141-E141-F141-G141-H141</f>
        <v>0</v>
      </c>
      <c r="T141" s="197">
        <f t="shared" ref="T141:T166" si="28">1-I141-J141-L141-M141-N141</f>
        <v>0</v>
      </c>
    </row>
    <row r="142" spans="1:20">
      <c r="A142" s="198">
        <v>1986</v>
      </c>
      <c r="B142" s="202">
        <f>DataUK1!T145/DataUK1!B145</f>
        <v>3.4086420583320266E-2</v>
      </c>
      <c r="C142" s="308">
        <f>DataUK1!AJ145/DataUK1!B145</f>
        <v>9.7790373368327965E-2</v>
      </c>
      <c r="D142" s="308"/>
      <c r="E142" s="308">
        <f>DataUK1!CL145/DataUK1!B145</f>
        <v>0.59275750994304433</v>
      </c>
      <c r="F142" s="308">
        <f>DataUK1!DH145/DataUK1!$B145</f>
        <v>0.14086782290685329</v>
      </c>
      <c r="G142" s="1202">
        <f>DataUK1!C145/DataUK1!$B145</f>
        <v>-9.5593873951827901E-3</v>
      </c>
      <c r="H142" s="228">
        <f>DataUK1!K145/DataUK1!$B145</f>
        <v>0.14405726059363697</v>
      </c>
      <c r="I142" s="203">
        <f t="shared" si="21"/>
        <v>3.9823248698809946E-2</v>
      </c>
      <c r="J142" s="203">
        <f t="shared" si="22"/>
        <v>0.11424873284882379</v>
      </c>
      <c r="K142" s="203"/>
      <c r="L142" s="308">
        <f t="shared" si="23"/>
        <v>0.69252005146296336</v>
      </c>
      <c r="M142" s="203">
        <f t="shared" si="24"/>
        <v>0.16457622270918709</v>
      </c>
      <c r="N142" s="203">
        <f t="shared" si="25"/>
        <v>-1.1168255719784106E-2</v>
      </c>
      <c r="O142" s="265">
        <f t="shared" si="26"/>
        <v>0.16830245057461149</v>
      </c>
      <c r="P142" s="154"/>
      <c r="S142" s="197">
        <f t="shared" si="27"/>
        <v>0</v>
      </c>
      <c r="T142" s="197">
        <f t="shared" si="28"/>
        <v>-3.1225022567582528E-17</v>
      </c>
    </row>
    <row r="143" spans="1:20">
      <c r="A143" s="198">
        <v>1987</v>
      </c>
      <c r="B143" s="202">
        <f>DataUK1!T146/DataUK1!B146</f>
        <v>3.1376945713246E-2</v>
      </c>
      <c r="C143" s="308">
        <f>DataUK1!AJ146/DataUK1!B146</f>
        <v>9.6871948184076018E-2</v>
      </c>
      <c r="D143" s="308"/>
      <c r="E143" s="308">
        <f>DataUK1!CL146/DataUK1!B146</f>
        <v>0.59804453199812668</v>
      </c>
      <c r="F143" s="308">
        <f>DataUK1!DH146/DataUK1!$B146</f>
        <v>0.14034204820883059</v>
      </c>
      <c r="G143" s="1202">
        <f>DataUK1!C146/DataUK1!$B146</f>
        <v>-1.307639366827254E-2</v>
      </c>
      <c r="H143" s="228">
        <f>DataUK1!K146/DataUK1!$B146</f>
        <v>0.14644091956399327</v>
      </c>
      <c r="I143" s="203">
        <f t="shared" si="21"/>
        <v>3.6760133460496183E-2</v>
      </c>
      <c r="J143" s="203">
        <f t="shared" si="22"/>
        <v>0.1134917903217582</v>
      </c>
      <c r="K143" s="203"/>
      <c r="L143" s="308">
        <f t="shared" si="23"/>
        <v>0.70064808131692469</v>
      </c>
      <c r="M143" s="203">
        <f t="shared" si="24"/>
        <v>0.16441984090561421</v>
      </c>
      <c r="N143" s="203">
        <f t="shared" si="25"/>
        <v>-1.531984600479323E-2</v>
      </c>
      <c r="O143" s="265">
        <f t="shared" si="26"/>
        <v>0.17156506552445058</v>
      </c>
      <c r="P143" s="154"/>
      <c r="S143" s="197">
        <f t="shared" si="27"/>
        <v>0</v>
      </c>
      <c r="T143" s="197">
        <f t="shared" si="28"/>
        <v>-4.5102810375396984E-17</v>
      </c>
    </row>
    <row r="144" spans="1:20">
      <c r="A144" s="198">
        <v>1988</v>
      </c>
      <c r="B144" s="202">
        <f>DataUK1!T147/DataUK1!B147</f>
        <v>3.0144993767874616E-2</v>
      </c>
      <c r="C144" s="308">
        <f>DataUK1!AJ147/DataUK1!B147</f>
        <v>9.5148276731511466E-2</v>
      </c>
      <c r="D144" s="308"/>
      <c r="E144" s="308">
        <f>DataUK1!CL147/DataUK1!B147</f>
        <v>0.60472961590259999</v>
      </c>
      <c r="F144" s="308">
        <f>DataUK1!DH147/DataUK1!$B147</f>
        <v>0.13532070055664386</v>
      </c>
      <c r="G144" s="1202">
        <f>DataUK1!C147/DataUK1!$B147</f>
        <v>-1.0696483640101631E-2</v>
      </c>
      <c r="H144" s="228">
        <f>DataUK1!K147/DataUK1!$B147</f>
        <v>0.14535289668147172</v>
      </c>
      <c r="I144" s="203">
        <f t="shared" si="21"/>
        <v>3.5271860924613152E-2</v>
      </c>
      <c r="J144" s="203">
        <f t="shared" si="22"/>
        <v>0.11133048525181692</v>
      </c>
      <c r="K144" s="203"/>
      <c r="L144" s="308">
        <f t="shared" si="23"/>
        <v>0.70757814957130472</v>
      </c>
      <c r="M144" s="203">
        <f t="shared" si="24"/>
        <v>0.15833517721080911</v>
      </c>
      <c r="N144" s="203">
        <f t="shared" si="25"/>
        <v>-1.251567295854396E-2</v>
      </c>
      <c r="O144" s="265">
        <f t="shared" si="26"/>
        <v>0.17007358489495572</v>
      </c>
      <c r="P144" s="154"/>
      <c r="S144" s="197">
        <f t="shared" si="27"/>
        <v>0</v>
      </c>
      <c r="T144" s="197">
        <f t="shared" si="28"/>
        <v>4.3368086899420177E-17</v>
      </c>
    </row>
    <row r="145" spans="1:20">
      <c r="A145" s="214">
        <v>1989</v>
      </c>
      <c r="B145" s="241">
        <f>DataUK1!T148/DataUK1!B148</f>
        <v>2.9878866953580593E-2</v>
      </c>
      <c r="C145" s="550">
        <f>DataUK1!AJ148/DataUK1!B148</f>
        <v>9.8803960220602893E-2</v>
      </c>
      <c r="D145" s="550"/>
      <c r="E145" s="550">
        <f>DataUK1!CL148/DataUK1!B148</f>
        <v>0.61207776552997384</v>
      </c>
      <c r="F145" s="550">
        <f>DataUK1!DH148/DataUK1!$B148</f>
        <v>0.13160202883784802</v>
      </c>
      <c r="G145" s="1960">
        <f>DataUK1!C148/DataUK1!$B148</f>
        <v>-1.4680280847859311E-2</v>
      </c>
      <c r="H145" s="230">
        <f>DataUK1!K148/DataUK1!$B148</f>
        <v>0.14231765930585394</v>
      </c>
      <c r="I145" s="216">
        <f t="shared" si="21"/>
        <v>3.4836751948744568E-2</v>
      </c>
      <c r="J145" s="216">
        <f t="shared" si="22"/>
        <v>0.11519878110191485</v>
      </c>
      <c r="K145" s="216"/>
      <c r="L145" s="550">
        <f t="shared" si="23"/>
        <v>0.71364156225322573</v>
      </c>
      <c r="M145" s="216">
        <f t="shared" si="24"/>
        <v>0.15343912611205082</v>
      </c>
      <c r="N145" s="216">
        <f t="shared" si="25"/>
        <v>-1.7116221415936061E-2</v>
      </c>
      <c r="O145" s="267">
        <f t="shared" si="26"/>
        <v>0.16593283148475729</v>
      </c>
      <c r="P145" s="154"/>
      <c r="S145" s="197">
        <f t="shared" si="27"/>
        <v>0</v>
      </c>
      <c r="T145" s="197">
        <f t="shared" si="28"/>
        <v>9.3675067702747583E-17</v>
      </c>
    </row>
    <row r="146" spans="1:20">
      <c r="A146" s="198">
        <v>1990</v>
      </c>
      <c r="B146" s="202">
        <f>DataUK1!T149/DataUK1!B149</f>
        <v>3.3385955665781258E-2</v>
      </c>
      <c r="C146" s="308">
        <f>DataUK1!AJ149/DataUK1!B149</f>
        <v>0.10671963607546082</v>
      </c>
      <c r="D146" s="308"/>
      <c r="E146" s="308">
        <f>DataUK1!CL149/DataUK1!B149</f>
        <v>0.6070450726062977</v>
      </c>
      <c r="F146" s="308">
        <f>DataUK1!DH149/DataUK1!$B149</f>
        <v>0.13319679301791834</v>
      </c>
      <c r="G146" s="1202">
        <f>DataUK1!C149/DataUK1!$B149</f>
        <v>-2.0260798863765014E-2</v>
      </c>
      <c r="H146" s="228">
        <f>DataUK1!K149/DataUK1!$B149</f>
        <v>0.13991334149830698</v>
      </c>
      <c r="I146" s="203">
        <f t="shared" si="21"/>
        <v>3.8816967262276791E-2</v>
      </c>
      <c r="J146" s="203">
        <f t="shared" si="22"/>
        <v>0.1240800970699521</v>
      </c>
      <c r="K146" s="203"/>
      <c r="L146" s="308">
        <f t="shared" si="23"/>
        <v>0.70579524354417444</v>
      </c>
      <c r="M146" s="203">
        <f t="shared" si="24"/>
        <v>0.15486438686300835</v>
      </c>
      <c r="N146" s="203">
        <f t="shared" si="25"/>
        <v>-2.3556694739411691E-2</v>
      </c>
      <c r="O146" s="265">
        <f t="shared" si="26"/>
        <v>0.16267354006169782</v>
      </c>
      <c r="P146" s="154"/>
      <c r="S146" s="197">
        <f t="shared" si="27"/>
        <v>0</v>
      </c>
      <c r="T146" s="197">
        <f t="shared" si="28"/>
        <v>-5.2041704279304213E-17</v>
      </c>
    </row>
    <row r="147" spans="1:20">
      <c r="A147" s="198">
        <v>1991</v>
      </c>
      <c r="B147" s="202">
        <f>DataUK1!T150/DataUK1!B150</f>
        <v>3.7132991082877195E-2</v>
      </c>
      <c r="C147" s="308">
        <f>DataUK1!AJ150/DataUK1!B150</f>
        <v>0.10584698809383473</v>
      </c>
      <c r="D147" s="308"/>
      <c r="E147" s="308">
        <f>DataUK1!CL150/DataUK1!B150</f>
        <v>0.58763615505253086</v>
      </c>
      <c r="F147" s="308">
        <f>DataUK1!DH150/DataUK1!$B150</f>
        <v>0.13831584738103658</v>
      </c>
      <c r="G147" s="1202">
        <f>DataUK1!C150/DataUK1!$B150</f>
        <v>-1.8120554835160518E-2</v>
      </c>
      <c r="H147" s="228">
        <f>DataUK1!K150/DataUK1!$B150</f>
        <v>0.14918857322488113</v>
      </c>
      <c r="I147" s="203">
        <f t="shared" si="21"/>
        <v>4.364420823968547E-2</v>
      </c>
      <c r="J147" s="203">
        <f t="shared" si="22"/>
        <v>0.12440710686624516</v>
      </c>
      <c r="K147" s="203"/>
      <c r="L147" s="308">
        <f t="shared" si="23"/>
        <v>0.69067731880363092</v>
      </c>
      <c r="M147" s="203">
        <f t="shared" si="24"/>
        <v>0.16256933443560267</v>
      </c>
      <c r="N147" s="203">
        <f t="shared" si="25"/>
        <v>-2.1297968345164255E-2</v>
      </c>
      <c r="O147" s="265">
        <f t="shared" si="26"/>
        <v>0.17534857728740133</v>
      </c>
      <c r="P147" s="154"/>
      <c r="S147" s="197">
        <f t="shared" si="27"/>
        <v>0</v>
      </c>
      <c r="T147" s="197">
        <f t="shared" si="28"/>
        <v>0</v>
      </c>
    </row>
    <row r="148" spans="1:20">
      <c r="A148" s="198">
        <v>1992</v>
      </c>
      <c r="B148" s="202">
        <f>DataUK1!T151/DataUK1!B151</f>
        <v>4.2196284850937606E-2</v>
      </c>
      <c r="C148" s="308">
        <f>DataUK1!AJ151/DataUK1!B151</f>
        <v>0.11131705985003357</v>
      </c>
      <c r="D148" s="308"/>
      <c r="E148" s="308">
        <f>DataUK1!CL151/DataUK1!B151</f>
        <v>0.56648635603950914</v>
      </c>
      <c r="F148" s="308">
        <f>DataUK1!DH151/DataUK1!$B151</f>
        <v>0.14212395703381445</v>
      </c>
      <c r="G148" s="1202">
        <f>DataUK1!C151/DataUK1!$B151</f>
        <v>-9.9971383308426216E-3</v>
      </c>
      <c r="H148" s="228">
        <f>DataUK1!K151/DataUK1!$B151</f>
        <v>0.14787348055654789</v>
      </c>
      <c r="I148" s="203">
        <f t="shared" si="21"/>
        <v>4.9518802534742369E-2</v>
      </c>
      <c r="J148" s="203">
        <f t="shared" si="22"/>
        <v>0.13063442729459693</v>
      </c>
      <c r="K148" s="203"/>
      <c r="L148" s="308">
        <f t="shared" si="23"/>
        <v>0.6647913697246477</v>
      </c>
      <c r="M148" s="203">
        <f t="shared" si="24"/>
        <v>0.16678738871621976</v>
      </c>
      <c r="N148" s="203">
        <f t="shared" si="25"/>
        <v>-1.1731988270206677E-2</v>
      </c>
      <c r="O148" s="265">
        <f t="shared" si="26"/>
        <v>0.17353465381306082</v>
      </c>
      <c r="P148" s="154"/>
      <c r="S148" s="197">
        <f t="shared" si="27"/>
        <v>0</v>
      </c>
      <c r="T148" s="197">
        <f t="shared" si="28"/>
        <v>-1.231653667943533E-16</v>
      </c>
    </row>
    <row r="149" spans="1:20">
      <c r="A149" s="198">
        <v>1993</v>
      </c>
      <c r="B149" s="202">
        <f>DataUK1!T152/DataUK1!B152</f>
        <v>4.2707208235808335E-2</v>
      </c>
      <c r="C149" s="308">
        <f>DataUK1!AJ152/DataUK1!B152</f>
        <v>0.11473100400065375</v>
      </c>
      <c r="D149" s="308"/>
      <c r="E149" s="308">
        <f>DataUK1!CL152/DataUK1!B152</f>
        <v>0.57427638410965487</v>
      </c>
      <c r="F149" s="308">
        <f>DataUK1!DH152/DataUK1!$B152</f>
        <v>0.1371147683102745</v>
      </c>
      <c r="G149" s="1202">
        <f>DataUK1!C152/DataUK1!$B152</f>
        <v>-1.2472730890305343E-2</v>
      </c>
      <c r="H149" s="228">
        <f>DataUK1!K152/DataUK1!$B152</f>
        <v>0.14364336623391388</v>
      </c>
      <c r="I149" s="203">
        <f t="shared" si="21"/>
        <v>4.9870820814443308E-2</v>
      </c>
      <c r="J149" s="203">
        <f t="shared" si="22"/>
        <v>0.13397572865885282</v>
      </c>
      <c r="K149" s="203"/>
      <c r="L149" s="308">
        <f t="shared" si="23"/>
        <v>0.67060423364048871</v>
      </c>
      <c r="M149" s="203">
        <f t="shared" si="24"/>
        <v>0.16011409604812776</v>
      </c>
      <c r="N149" s="203">
        <f t="shared" si="25"/>
        <v>-1.4564879161912663E-2</v>
      </c>
      <c r="O149" s="265">
        <f t="shared" si="26"/>
        <v>0.16773778653666629</v>
      </c>
      <c r="P149" s="154"/>
      <c r="S149" s="197">
        <f t="shared" si="27"/>
        <v>0</v>
      </c>
      <c r="T149" s="197">
        <f t="shared" si="28"/>
        <v>3.8163916471489756E-17</v>
      </c>
    </row>
    <row r="150" spans="1:20">
      <c r="A150" s="198">
        <v>1994</v>
      </c>
      <c r="B150" s="202">
        <f>DataUK1!T153/DataUK1!B153</f>
        <v>4.2727076299040184E-2</v>
      </c>
      <c r="C150" s="308">
        <f>DataUK1!AJ153/DataUK1!B153</f>
        <v>0.11296292620966142</v>
      </c>
      <c r="D150" s="308"/>
      <c r="E150" s="308">
        <f>DataUK1!CL153/DataUK1!B153</f>
        <v>0.57854172852769736</v>
      </c>
      <c r="F150" s="308">
        <f>DataUK1!DH153/DataUK1!$B153</f>
        <v>0.12579883300916922</v>
      </c>
      <c r="G150" s="1202">
        <f>DataUK1!C153/DataUK1!$B153</f>
        <v>-2.8265126556318554E-3</v>
      </c>
      <c r="H150" s="228">
        <f>DataUK1!K153/DataUK1!$B153</f>
        <v>0.14279594861006364</v>
      </c>
      <c r="I150" s="203">
        <f t="shared" si="21"/>
        <v>4.9844697105384916E-2</v>
      </c>
      <c r="J150" s="203">
        <f t="shared" si="22"/>
        <v>0.13178067232241222</v>
      </c>
      <c r="K150" s="203"/>
      <c r="L150" s="308">
        <f t="shared" si="23"/>
        <v>0.67491716539324031</v>
      </c>
      <c r="M150" s="203">
        <f t="shared" si="24"/>
        <v>0.14675482786763472</v>
      </c>
      <c r="N150" s="203">
        <f t="shared" si="25"/>
        <v>-3.2973626886722376E-3</v>
      </c>
      <c r="O150" s="265">
        <f t="shared" si="26"/>
        <v>0.16658338044310844</v>
      </c>
      <c r="P150" s="154"/>
      <c r="S150" s="197">
        <f t="shared" si="27"/>
        <v>0</v>
      </c>
      <c r="T150" s="197">
        <f t="shared" si="28"/>
        <v>3.6862873864507151E-17</v>
      </c>
    </row>
    <row r="151" spans="1:20">
      <c r="A151" s="198">
        <v>1995</v>
      </c>
      <c r="B151" s="202">
        <f>DataUK1!T154/DataUK1!B154</f>
        <v>4.439648919240579E-2</v>
      </c>
      <c r="C151" s="308">
        <f>DataUK1!AJ154/DataUK1!B154</f>
        <v>0.11459359712016091</v>
      </c>
      <c r="D151" s="308"/>
      <c r="E151" s="308">
        <f>DataUK1!CL154/DataUK1!B154</f>
        <v>0.58122129613238294</v>
      </c>
      <c r="F151" s="308">
        <f>DataUK1!DH154/DataUK1!$B154</f>
        <v>0.12237592990887715</v>
      </c>
      <c r="G151" s="1202">
        <f>DataUK1!C154/DataUK1!$B154</f>
        <v>-9.0339599823926284E-3</v>
      </c>
      <c r="H151" s="228">
        <f>DataUK1!K154/DataUK1!$B154</f>
        <v>0.14644664762856593</v>
      </c>
      <c r="I151" s="203">
        <f t="shared" si="21"/>
        <v>5.2013724823479018E-2</v>
      </c>
      <c r="J151" s="203">
        <f t="shared" si="22"/>
        <v>0.1342547560756274</v>
      </c>
      <c r="K151" s="203"/>
      <c r="L151" s="308">
        <f t="shared" si="23"/>
        <v>0.6809431355609713</v>
      </c>
      <c r="M151" s="203">
        <f t="shared" si="24"/>
        <v>0.14337232648536746</v>
      </c>
      <c r="N151" s="203">
        <f t="shared" si="25"/>
        <v>-1.0583942945445068E-2</v>
      </c>
      <c r="O151" s="265">
        <f t="shared" si="26"/>
        <v>0.17157292771645974</v>
      </c>
      <c r="P151" s="154"/>
      <c r="S151" s="197">
        <f t="shared" si="27"/>
        <v>0</v>
      </c>
      <c r="T151" s="197">
        <f t="shared" si="28"/>
        <v>-1.1102230246251565E-16</v>
      </c>
    </row>
    <row r="152" spans="1:20">
      <c r="A152" s="198">
        <v>1996</v>
      </c>
      <c r="B152" s="202">
        <f>DataUK1!T155/DataUK1!B155</f>
        <v>4.4389462170238522E-2</v>
      </c>
      <c r="C152" s="308">
        <f>DataUK1!AJ155/DataUK1!B155</f>
        <v>0.1143100555960547</v>
      </c>
      <c r="D152" s="308"/>
      <c r="E152" s="308">
        <f>DataUK1!CL155/DataUK1!B155</f>
        <v>0.58598460354377113</v>
      </c>
      <c r="F152" s="308">
        <f>DataUK1!DH155/DataUK1!$B155</f>
        <v>0.12042152290446204</v>
      </c>
      <c r="G152" s="1202">
        <f>DataUK1!C155/DataUK1!$B155</f>
        <v>-7.6411639161404216E-3</v>
      </c>
      <c r="H152" s="228">
        <f>DataUK1!K155/DataUK1!$B155</f>
        <v>0.14253551970161402</v>
      </c>
      <c r="I152" s="203">
        <f t="shared" si="21"/>
        <v>5.1768281007735263E-2</v>
      </c>
      <c r="J152" s="203">
        <f t="shared" si="22"/>
        <v>0.13331170937398637</v>
      </c>
      <c r="K152" s="203"/>
      <c r="L152" s="308">
        <f t="shared" si="23"/>
        <v>0.68339227689041593</v>
      </c>
      <c r="M152" s="203">
        <f t="shared" si="24"/>
        <v>0.14043908018505558</v>
      </c>
      <c r="N152" s="203">
        <f t="shared" si="25"/>
        <v>-8.9113474571930959E-3</v>
      </c>
      <c r="O152" s="265">
        <f t="shared" si="26"/>
        <v>0.16622906601567169</v>
      </c>
      <c r="P152" s="154"/>
      <c r="S152" s="197">
        <f t="shared" si="27"/>
        <v>0</v>
      </c>
      <c r="T152" s="197">
        <f t="shared" si="28"/>
        <v>-3.4694469519536142E-17</v>
      </c>
    </row>
    <row r="153" spans="1:20">
      <c r="A153" s="198">
        <v>1997</v>
      </c>
      <c r="B153" s="202">
        <f>DataUK1!T156/DataUK1!B156</f>
        <v>4.5130893559212439E-2</v>
      </c>
      <c r="C153" s="308">
        <f>DataUK1!AJ156/DataUK1!B156</f>
        <v>0.10469326401384933</v>
      </c>
      <c r="D153" s="308"/>
      <c r="E153" s="308">
        <f>DataUK1!CL156/DataUK1!B156</f>
        <v>0.59614623783743503</v>
      </c>
      <c r="F153" s="308">
        <f>DataUK1!DH156/DataUK1!$B156</f>
        <v>0.11419420195670991</v>
      </c>
      <c r="G153" s="1202">
        <f>DataUK1!C156/DataUK1!$B156</f>
        <v>-3.254811906276708E-3</v>
      </c>
      <c r="H153" s="228">
        <f>DataUK1!K156/DataUK1!$B156</f>
        <v>0.14309021453907003</v>
      </c>
      <c r="I153" s="203">
        <f t="shared" si="21"/>
        <v>5.2667030211280205E-2</v>
      </c>
      <c r="J153" s="203">
        <f t="shared" si="22"/>
        <v>0.12217536290303307</v>
      </c>
      <c r="K153" s="203"/>
      <c r="L153" s="308">
        <f t="shared" si="23"/>
        <v>0.69569311490213548</v>
      </c>
      <c r="M153" s="203">
        <f t="shared" si="24"/>
        <v>0.1332628053667109</v>
      </c>
      <c r="N153" s="203">
        <f t="shared" si="25"/>
        <v>-3.7983133831596418E-3</v>
      </c>
      <c r="O153" s="265">
        <f t="shared" si="26"/>
        <v>0.16698398940805897</v>
      </c>
      <c r="P153" s="154"/>
      <c r="S153" s="197">
        <f t="shared" si="27"/>
        <v>0</v>
      </c>
      <c r="T153" s="197">
        <f t="shared" si="28"/>
        <v>0</v>
      </c>
    </row>
    <row r="154" spans="1:20">
      <c r="A154" s="198">
        <v>1998</v>
      </c>
      <c r="B154" s="202">
        <f>DataUK1!T157/DataUK1!B157</f>
        <v>4.7109197544928601E-2</v>
      </c>
      <c r="C154" s="308">
        <f>DataUK1!AJ157/DataUK1!B157</f>
        <v>0.10575411116634373</v>
      </c>
      <c r="D154" s="308"/>
      <c r="E154" s="308">
        <f>DataUK1!CL157/DataUK1!B157</f>
        <v>0.58646947004153027</v>
      </c>
      <c r="F154" s="308">
        <f>DataUK1!DH157/DataUK1!$B157</f>
        <v>0.10815334827995496</v>
      </c>
      <c r="G154" s="1202">
        <f>DataUK1!C157/DataUK1!$B157</f>
        <v>1.0640591236951295E-2</v>
      </c>
      <c r="H154" s="228">
        <f>DataUK1!K157/DataUK1!$B157</f>
        <v>0.14187328173029126</v>
      </c>
      <c r="I154" s="203">
        <f t="shared" si="21"/>
        <v>5.4897716784669794E-2</v>
      </c>
      <c r="J154" s="203">
        <f t="shared" si="22"/>
        <v>0.12323833871480187</v>
      </c>
      <c r="K154" s="203"/>
      <c r="L154" s="308">
        <f t="shared" si="23"/>
        <v>0.68342991490122007</v>
      </c>
      <c r="M154" s="203">
        <f t="shared" si="24"/>
        <v>0.12603423943963765</v>
      </c>
      <c r="N154" s="203">
        <f t="shared" si="25"/>
        <v>1.2399790159670757E-2</v>
      </c>
      <c r="O154" s="265">
        <f t="shared" si="26"/>
        <v>0.16532905771347928</v>
      </c>
      <c r="P154" s="154"/>
      <c r="S154" s="197">
        <f t="shared" si="27"/>
        <v>0</v>
      </c>
      <c r="T154" s="197">
        <f t="shared" si="28"/>
        <v>-1.2490009027033011E-16</v>
      </c>
    </row>
    <row r="155" spans="1:20">
      <c r="A155" s="200">
        <v>1999</v>
      </c>
      <c r="B155" s="202">
        <f>DataUK1!T158/DataUK1!B158</f>
        <v>4.9162091705572425E-2</v>
      </c>
      <c r="C155" s="308">
        <f>DataUK1!AJ158/DataUK1!B158</f>
        <v>0.1070958181412035</v>
      </c>
      <c r="D155" s="308"/>
      <c r="E155" s="308">
        <f>DataUK1!CL158/DataUK1!B158</f>
        <v>0.59136454980736231</v>
      </c>
      <c r="F155" s="308">
        <f>DataUK1!DH158/DataUK1!$B158</f>
        <v>0.10916971933366616</v>
      </c>
      <c r="G155" s="1202">
        <f>DataUK1!C158/DataUK1!$B158</f>
        <v>-5.053532040491731E-3</v>
      </c>
      <c r="H155" s="228">
        <f>DataUK1!K158/DataUK1!$B158</f>
        <v>0.14826135305268734</v>
      </c>
      <c r="I155" s="203">
        <f t="shared" si="21"/>
        <v>5.7719691224265325E-2</v>
      </c>
      <c r="J155" s="203">
        <f t="shared" si="22"/>
        <v>0.12573788746705572</v>
      </c>
      <c r="K155" s="203"/>
      <c r="L155" s="308">
        <f t="shared" si="23"/>
        <v>0.69430282625644812</v>
      </c>
      <c r="M155" s="203">
        <f t="shared" si="24"/>
        <v>0.12817279070867291</v>
      </c>
      <c r="N155" s="203">
        <f t="shared" si="25"/>
        <v>-5.9331956564421745E-3</v>
      </c>
      <c r="O155" s="265">
        <f t="shared" si="26"/>
        <v>0.17406906870325278</v>
      </c>
      <c r="P155" s="154"/>
      <c r="S155" s="197">
        <f t="shared" si="27"/>
        <v>0</v>
      </c>
      <c r="T155" s="197">
        <f t="shared" si="28"/>
        <v>7.7195194680967916E-17</v>
      </c>
    </row>
    <row r="156" spans="1:20">
      <c r="A156" s="201">
        <v>2000</v>
      </c>
      <c r="B156" s="237">
        <f>DataUK1!T159/DataUK1!B159</f>
        <v>4.8448822753197569E-2</v>
      </c>
      <c r="C156" s="551">
        <f>DataUK1!AJ159/DataUK1!B159</f>
        <v>0.10792376155386862</v>
      </c>
      <c r="D156" s="551"/>
      <c r="E156" s="551">
        <f>DataUK1!CL159/DataUK1!B159</f>
        <v>0.58631049650832789</v>
      </c>
      <c r="F156" s="551">
        <f>DataUK1!DH159/DataUK1!$B159</f>
        <v>0.11062984874409057</v>
      </c>
      <c r="G156" s="1961">
        <f>DataUK1!C159/DataUK1!$B159</f>
        <v>-2.0805362130302267E-3</v>
      </c>
      <c r="H156" s="229">
        <f>DataUK1!K159/DataUK1!$B159</f>
        <v>0.14876760665354555</v>
      </c>
      <c r="I156" s="212">
        <f t="shared" si="21"/>
        <v>5.6916093809271581E-2</v>
      </c>
      <c r="J156" s="212">
        <f t="shared" si="22"/>
        <v>0.12678530845094765</v>
      </c>
      <c r="K156" s="212"/>
      <c r="L156" s="551">
        <f t="shared" si="23"/>
        <v>0.6887784124419446</v>
      </c>
      <c r="M156" s="212">
        <f t="shared" si="24"/>
        <v>0.12996433125526491</v>
      </c>
      <c r="N156" s="212">
        <f t="shared" si="25"/>
        <v>-2.4441459574288562E-3</v>
      </c>
      <c r="O156" s="266">
        <f t="shared" si="26"/>
        <v>0.17476732302056158</v>
      </c>
      <c r="P156" s="154"/>
      <c r="S156" s="197">
        <f t="shared" si="27"/>
        <v>0</v>
      </c>
      <c r="T156" s="197">
        <f t="shared" si="28"/>
        <v>1.0018028073766061E-16</v>
      </c>
    </row>
    <row r="157" spans="1:20">
      <c r="A157" s="200">
        <v>2001</v>
      </c>
      <c r="B157" s="202">
        <f>DataUK1!T160/DataUK1!B160</f>
        <v>5.0882520613204023E-2</v>
      </c>
      <c r="C157" s="308">
        <f>DataUK1!AJ160/DataUK1!B160</f>
        <v>0.10878440394638582</v>
      </c>
      <c r="D157" s="308"/>
      <c r="E157" s="308">
        <f>DataUK1!CL160/DataUK1!B160</f>
        <v>0.57735034553887232</v>
      </c>
      <c r="F157" s="308">
        <f>DataUK1!DH160/DataUK1!$B160</f>
        <v>0.11313893826562112</v>
      </c>
      <c r="G157" s="1202">
        <f>DataUK1!C160/DataUK1!$B160</f>
        <v>6.6803885854397798E-3</v>
      </c>
      <c r="H157" s="228">
        <f>DataUK1!K160/DataUK1!$B160</f>
        <v>0.14316340305047684</v>
      </c>
      <c r="I157" s="203">
        <f t="shared" si="21"/>
        <v>5.9384158886716581E-2</v>
      </c>
      <c r="J157" s="203">
        <f t="shared" si="22"/>
        <v>0.12696050137643033</v>
      </c>
      <c r="K157" s="203"/>
      <c r="L157" s="308">
        <f t="shared" si="23"/>
        <v>0.67381616004070422</v>
      </c>
      <c r="M157" s="203">
        <f t="shared" si="24"/>
        <v>0.13204260727006062</v>
      </c>
      <c r="N157" s="203">
        <f t="shared" si="25"/>
        <v>7.7965724260880579E-3</v>
      </c>
      <c r="O157" s="265">
        <f t="shared" si="26"/>
        <v>0.1670836698154137</v>
      </c>
      <c r="P157" s="154"/>
      <c r="S157" s="197">
        <f t="shared" si="27"/>
        <v>0</v>
      </c>
      <c r="T157" s="197">
        <f t="shared" si="28"/>
        <v>2.194425197110661E-16</v>
      </c>
    </row>
    <row r="158" spans="1:20">
      <c r="A158" s="200">
        <v>2002</v>
      </c>
      <c r="B158" s="202">
        <f>DataUK1!T161/DataUK1!B161</f>
        <v>5.0656581318070396E-2</v>
      </c>
      <c r="C158" s="308">
        <f>DataUK1!AJ161/DataUK1!B161</f>
        <v>0.10870446367149589</v>
      </c>
      <c r="D158" s="308"/>
      <c r="E158" s="308">
        <f>DataUK1!CL161/DataUK1!B161</f>
        <v>0.57022373527163872</v>
      </c>
      <c r="F158" s="308">
        <f>DataUK1!DH161/DataUK1!$B161</f>
        <v>0.11442960530454845</v>
      </c>
      <c r="G158" s="1202">
        <f>DataUK1!C161/DataUK1!$B161</f>
        <v>1.6639111865616455E-2</v>
      </c>
      <c r="H158" s="228">
        <f>DataUK1!K161/DataUK1!$B161</f>
        <v>0.13934650256863002</v>
      </c>
      <c r="I158" s="203">
        <f t="shared" si="21"/>
        <v>5.8858276262462803E-2</v>
      </c>
      <c r="J158" s="203">
        <f t="shared" si="22"/>
        <v>0.12630456274903382</v>
      </c>
      <c r="K158" s="203"/>
      <c r="L158" s="308">
        <f t="shared" si="23"/>
        <v>0.6625473979638471</v>
      </c>
      <c r="M158" s="203">
        <f t="shared" si="24"/>
        <v>0.13295664939033525</v>
      </c>
      <c r="N158" s="203">
        <f t="shared" si="25"/>
        <v>1.933311363432098E-2</v>
      </c>
      <c r="O158" s="265">
        <f t="shared" si="26"/>
        <v>0.16190778633272415</v>
      </c>
      <c r="P158" s="154"/>
      <c r="S158" s="197">
        <f t="shared" si="27"/>
        <v>0</v>
      </c>
      <c r="T158" s="197">
        <f t="shared" si="28"/>
        <v>1.2836953722228372E-16</v>
      </c>
    </row>
    <row r="159" spans="1:20">
      <c r="A159" s="200">
        <v>2003</v>
      </c>
      <c r="B159" s="202">
        <f>DataUK1!T162/DataUK1!B162</f>
        <v>5.2336063943048981E-2</v>
      </c>
      <c r="C159" s="308">
        <f>DataUK1!AJ162/DataUK1!B162</f>
        <v>0.11122582575115966</v>
      </c>
      <c r="D159" s="308"/>
      <c r="E159" s="308">
        <f>DataUK1!CL162/DataUK1!B162</f>
        <v>0.56563601863595203</v>
      </c>
      <c r="F159" s="308">
        <f>DataUK1!DH162/DataUK1!$B162</f>
        <v>0.11831784523818774</v>
      </c>
      <c r="G159" s="1202">
        <f>DataUK1!C162/DataUK1!$B162</f>
        <v>1.5316508807235375E-2</v>
      </c>
      <c r="H159" s="228">
        <f>DataUK1!K162/DataUK1!$B162</f>
        <v>0.13716773762441628</v>
      </c>
      <c r="I159" s="203">
        <f t="shared" si="21"/>
        <v>6.0656127761096079E-2</v>
      </c>
      <c r="J159" s="203">
        <f t="shared" si="22"/>
        <v>0.128907819748103</v>
      </c>
      <c r="K159" s="203"/>
      <c r="L159" s="308">
        <f t="shared" si="23"/>
        <v>0.65555733518658732</v>
      </c>
      <c r="M159" s="203">
        <f t="shared" si="24"/>
        <v>0.13712728463865084</v>
      </c>
      <c r="N159" s="203">
        <f t="shared" si="25"/>
        <v>1.7751432665562783E-2</v>
      </c>
      <c r="O159" s="265">
        <f t="shared" si="26"/>
        <v>0.15897381635540686</v>
      </c>
      <c r="P159" s="154"/>
      <c r="S159" s="197">
        <f t="shared" si="27"/>
        <v>0</v>
      </c>
      <c r="T159" s="197">
        <f t="shared" si="28"/>
        <v>2.7755575615628914E-17</v>
      </c>
    </row>
    <row r="160" spans="1:20">
      <c r="A160" s="200">
        <v>2004</v>
      </c>
      <c r="B160" s="202">
        <f>DataUK1!T163/DataUK1!B163</f>
        <v>5.2907203457495479E-2</v>
      </c>
      <c r="C160" s="308">
        <f>DataUK1!AJ163/DataUK1!B163</f>
        <v>0.10379348429338196</v>
      </c>
      <c r="D160" s="308"/>
      <c r="E160" s="308">
        <f>DataUK1!CL163/DataUK1!B163</f>
        <v>0.56855564993449614</v>
      </c>
      <c r="F160" s="308">
        <f>DataUK1!DH163/DataUK1!$B163</f>
        <v>0.1216168127282885</v>
      </c>
      <c r="G160" s="1202">
        <f>DataUK1!C163/DataUK1!$B163</f>
        <v>1.6039428340687119E-2</v>
      </c>
      <c r="H160" s="228">
        <f>DataUK1!K163/DataUK1!$B163</f>
        <v>0.13708742124565088</v>
      </c>
      <c r="I160" s="203">
        <f t="shared" si="21"/>
        <v>6.131235626889258E-2</v>
      </c>
      <c r="J160" s="203">
        <f t="shared" si="22"/>
        <v>0.12028273413653588</v>
      </c>
      <c r="K160" s="203"/>
      <c r="L160" s="308">
        <f t="shared" si="23"/>
        <v>0.6588797798674233</v>
      </c>
      <c r="M160" s="203">
        <f t="shared" si="24"/>
        <v>0.14093758246501345</v>
      </c>
      <c r="N160" s="203">
        <f t="shared" si="25"/>
        <v>1.8587547262134841E-2</v>
      </c>
      <c r="O160" s="265">
        <f t="shared" si="26"/>
        <v>0.15886594380573565</v>
      </c>
      <c r="P160" s="154"/>
      <c r="S160" s="197">
        <f t="shared" si="27"/>
        <v>0</v>
      </c>
      <c r="T160" s="197">
        <f t="shared" si="28"/>
        <v>0</v>
      </c>
    </row>
    <row r="161" spans="1:20">
      <c r="A161" s="200">
        <v>2005</v>
      </c>
      <c r="B161" s="202">
        <f>DataUK1!T164/DataUK1!B164</f>
        <v>5.378305126271294E-2</v>
      </c>
      <c r="C161" s="308">
        <f>DataUK1!AJ164/DataUK1!B164</f>
        <v>0.10635549211994255</v>
      </c>
      <c r="D161" s="308"/>
      <c r="E161" s="308">
        <f>DataUK1!CL164/DataUK1!B164</f>
        <v>0.56392181659979124</v>
      </c>
      <c r="F161" s="308">
        <f>DataUK1!DH164/DataUK1!$B164</f>
        <v>0.12437308231122556</v>
      </c>
      <c r="G161" s="1202">
        <f>DataUK1!C164/DataUK1!$B164</f>
        <v>1.8546122586097575E-2</v>
      </c>
      <c r="H161" s="228">
        <f>DataUK1!K164/DataUK1!$B164</f>
        <v>0.13302043512023012</v>
      </c>
      <c r="I161" s="203">
        <f t="shared" si="21"/>
        <v>6.2034969959380085E-2</v>
      </c>
      <c r="J161" s="203">
        <f t="shared" si="22"/>
        <v>0.12267358589321722</v>
      </c>
      <c r="K161" s="203"/>
      <c r="L161" s="308">
        <f t="shared" si="23"/>
        <v>0.65044418512677882</v>
      </c>
      <c r="M161" s="203">
        <f t="shared" si="24"/>
        <v>0.14345560996985349</v>
      </c>
      <c r="N161" s="203">
        <f t="shared" si="25"/>
        <v>2.1391649050770296E-2</v>
      </c>
      <c r="O161" s="265">
        <f t="shared" si="26"/>
        <v>0.15342972373135114</v>
      </c>
      <c r="P161" s="154"/>
      <c r="S161" s="197">
        <f t="shared" si="27"/>
        <v>0</v>
      </c>
      <c r="T161" s="197">
        <f t="shared" si="28"/>
        <v>1.3183898417423734E-16</v>
      </c>
    </row>
    <row r="162" spans="1:20">
      <c r="A162" s="200">
        <v>2006</v>
      </c>
      <c r="B162" s="202">
        <f>DataUK1!T165/DataUK1!B165</f>
        <v>5.3371203185665406E-2</v>
      </c>
      <c r="C162" s="308">
        <f>DataUK1!AJ165/DataUK1!B165</f>
        <v>0.10245140897168606</v>
      </c>
      <c r="D162" s="308"/>
      <c r="E162" s="308">
        <f>DataUK1!CL165/DataUK1!B165</f>
        <v>0.57799775235942841</v>
      </c>
      <c r="F162" s="308">
        <f>DataUK1!DH165/DataUK1!$B165</f>
        <v>0.12543378841885802</v>
      </c>
      <c r="G162" s="1202">
        <f>DataUK1!C165/DataUK1!$B165</f>
        <v>6.932207949424978E-3</v>
      </c>
      <c r="H162" s="228">
        <f>DataUK1!K165/DataUK1!$B165</f>
        <v>0.13381363911493713</v>
      </c>
      <c r="I162" s="203">
        <f t="shared" si="21"/>
        <v>6.1616305215347771E-2</v>
      </c>
      <c r="J162" s="203">
        <f t="shared" si="22"/>
        <v>0.11827871414068673</v>
      </c>
      <c r="K162" s="203"/>
      <c r="L162" s="308">
        <f t="shared" si="23"/>
        <v>0.66729029509173354</v>
      </c>
      <c r="M162" s="203">
        <f t="shared" si="24"/>
        <v>0.14481154874187893</v>
      </c>
      <c r="N162" s="203">
        <f t="shared" si="25"/>
        <v>8.003136810353027E-3</v>
      </c>
      <c r="O162" s="265">
        <f t="shared" si="26"/>
        <v>0.15448596879106632</v>
      </c>
      <c r="P162" s="154"/>
      <c r="S162" s="197">
        <f t="shared" si="27"/>
        <v>0</v>
      </c>
      <c r="T162" s="197">
        <f t="shared" si="28"/>
        <v>2.9490299091605721E-17</v>
      </c>
    </row>
    <row r="163" spans="1:20">
      <c r="A163" s="200">
        <v>2007</v>
      </c>
      <c r="B163" s="202">
        <f>DataUK1!T166/DataUK1!B166</f>
        <v>5.2711905445836982E-2</v>
      </c>
      <c r="C163" s="308">
        <f>DataUK1!AJ166/DataUK1!B166</f>
        <v>9.8855582487037089E-2</v>
      </c>
      <c r="D163" s="308"/>
      <c r="E163" s="308">
        <f>DataUK1!CL166/DataUK1!B166</f>
        <v>0.57966314441149436</v>
      </c>
      <c r="F163" s="308">
        <f>DataUK1!DH166/DataUK1!$B166</f>
        <v>0.12093598830014625</v>
      </c>
      <c r="G163" s="1202">
        <f>DataUK1!C166/DataUK1!$B166</f>
        <v>1.5440628670463297E-2</v>
      </c>
      <c r="H163" s="228">
        <f>DataUK1!K166/DataUK1!$B166</f>
        <v>0.13239275068502204</v>
      </c>
      <c r="I163" s="203">
        <f t="shared" si="21"/>
        <v>6.075549217397138E-2</v>
      </c>
      <c r="J163" s="203">
        <f t="shared" si="22"/>
        <v>0.11394047544564527</v>
      </c>
      <c r="K163" s="203"/>
      <c r="L163" s="308">
        <f t="shared" si="23"/>
        <v>0.66811699057283025</v>
      </c>
      <c r="M163" s="203">
        <f t="shared" si="24"/>
        <v>0.13939024644576406</v>
      </c>
      <c r="N163" s="203">
        <f t="shared" si="25"/>
        <v>1.7796795361788981E-2</v>
      </c>
      <c r="O163" s="265">
        <f t="shared" si="26"/>
        <v>0.15259525642455518</v>
      </c>
      <c r="P163" s="154"/>
      <c r="S163" s="197">
        <f t="shared" si="27"/>
        <v>0</v>
      </c>
      <c r="T163" s="197">
        <f t="shared" si="28"/>
        <v>1.214306433183765E-16</v>
      </c>
    </row>
    <row r="164" spans="1:20">
      <c r="A164" s="200">
        <v>2008</v>
      </c>
      <c r="B164" s="202">
        <f>DataUK1!T167/DataUK1!B167</f>
        <v>5.4306567926541212E-2</v>
      </c>
      <c r="C164" s="308">
        <f>DataUK1!AJ167/DataUK1!B167</f>
        <v>0.106456729832424</v>
      </c>
      <c r="D164" s="308"/>
      <c r="E164" s="308">
        <f>DataUK1!CL167/DataUK1!B167</f>
        <v>0.568588837129967</v>
      </c>
      <c r="F164" s="308">
        <f>DataUK1!DH167/DataUK1!$B167</f>
        <v>0.12001062573070928</v>
      </c>
      <c r="G164" s="1202">
        <f>DataUK1!C167/DataUK1!$B167</f>
        <v>2.381122734801247E-2</v>
      </c>
      <c r="H164" s="228">
        <f>DataUK1!K167/DataUK1!$B167</f>
        <v>0.12682601203234606</v>
      </c>
      <c r="I164" s="203">
        <f t="shared" si="21"/>
        <v>6.2194440827242049E-2</v>
      </c>
      <c r="J164" s="203">
        <f t="shared" si="22"/>
        <v>0.12191926385737412</v>
      </c>
      <c r="K164" s="203"/>
      <c r="L164" s="308">
        <f t="shared" si="23"/>
        <v>0.65117473145687654</v>
      </c>
      <c r="M164" s="203">
        <f t="shared" si="24"/>
        <v>0.13744182417760592</v>
      </c>
      <c r="N164" s="203">
        <f t="shared" si="25"/>
        <v>2.726973968090142E-2</v>
      </c>
      <c r="O164" s="265">
        <f t="shared" si="26"/>
        <v>0.14524712575043433</v>
      </c>
      <c r="P164" s="154"/>
      <c r="S164" s="197">
        <f t="shared" si="27"/>
        <v>0</v>
      </c>
      <c r="T164" s="197">
        <f t="shared" si="28"/>
        <v>-6.9388939039072284E-17</v>
      </c>
    </row>
    <row r="165" spans="1:20">
      <c r="A165" s="200">
        <v>2009</v>
      </c>
      <c r="B165" s="202">
        <f>DataUK1!T168/DataUK1!B168</f>
        <v>6.3075985320059688E-2</v>
      </c>
      <c r="C165" s="308">
        <f>DataUK1!AJ168/DataUK1!B168</f>
        <v>0.10817644868279092</v>
      </c>
      <c r="D165" s="308"/>
      <c r="E165" s="308">
        <f>DataUK1!CL168/DataUK1!B168</f>
        <v>0.56056910782991087</v>
      </c>
      <c r="F165" s="308">
        <f>DataUK1!DH168/DataUK1!$B168</f>
        <v>0.12942594930198326</v>
      </c>
      <c r="G165" s="1202">
        <f>DataUK1!C168/DataUK1!$B168</f>
        <v>1.5638095040640228E-2</v>
      </c>
      <c r="H165" s="228">
        <f>DataUK1!K168/DataUK1!$B168</f>
        <v>0.12311441382461506</v>
      </c>
      <c r="I165" s="203">
        <f t="shared" si="21"/>
        <v>7.1931830462821547E-2</v>
      </c>
      <c r="J165" s="203">
        <f t="shared" si="22"/>
        <v>0.1233643822959985</v>
      </c>
      <c r="K165" s="203"/>
      <c r="L165" s="308">
        <f t="shared" si="23"/>
        <v>0.63927280442011059</v>
      </c>
      <c r="M165" s="203">
        <f t="shared" si="24"/>
        <v>0.14759730498762802</v>
      </c>
      <c r="N165" s="203">
        <f t="shared" si="25"/>
        <v>1.7833677833441398E-2</v>
      </c>
      <c r="O165" s="265">
        <f t="shared" si="26"/>
        <v>0.14039963225030258</v>
      </c>
      <c r="P165" s="154"/>
      <c r="S165" s="197">
        <f t="shared" si="27"/>
        <v>0</v>
      </c>
      <c r="T165" s="197">
        <f t="shared" si="28"/>
        <v>-3.4694469519536142E-17</v>
      </c>
    </row>
    <row r="166" spans="1:20" ht="13" thickBot="1">
      <c r="A166" s="2017">
        <v>2010</v>
      </c>
      <c r="B166" s="2018">
        <f>DataUK1!T169/DataUK1!B169</f>
        <v>6.7502077842563041E-2</v>
      </c>
      <c r="C166" s="2019">
        <f>DataUK1!AJ169/DataUK1!B169</f>
        <v>0.10634382382077269</v>
      </c>
      <c r="D166" s="2019"/>
      <c r="E166" s="2019">
        <f>DataUK1!CL169/DataUK1!B169</f>
        <v>0.54699460736661165</v>
      </c>
      <c r="F166" s="2019">
        <f>DataUK1!DH169/DataUK1!$B169</f>
        <v>0.12682770707917396</v>
      </c>
      <c r="G166" s="2020">
        <f>DataUK1!C169/DataUK1!$B169</f>
        <v>1.5922426274479921E-2</v>
      </c>
      <c r="H166" s="2021">
        <f>DataUK1!K169/DataUK1!$B169</f>
        <v>0.13640935761639869</v>
      </c>
      <c r="I166" s="2022">
        <f t="shared" si="21"/>
        <v>7.8164438716299869E-2</v>
      </c>
      <c r="J166" s="2022">
        <f t="shared" si="22"/>
        <v>0.12314147305632275</v>
      </c>
      <c r="K166" s="2022"/>
      <c r="L166" s="2019">
        <f t="shared" si="23"/>
        <v>0.63339570917170762</v>
      </c>
      <c r="M166" s="2022">
        <f t="shared" si="24"/>
        <v>0.14686090938771187</v>
      </c>
      <c r="N166" s="2022">
        <f t="shared" si="25"/>
        <v>1.8437469667957895E-2</v>
      </c>
      <c r="O166" s="2023">
        <f t="shared" si="26"/>
        <v>0.15795603949562778</v>
      </c>
      <c r="P166" s="154"/>
      <c r="S166" s="197">
        <f t="shared" si="27"/>
        <v>0</v>
      </c>
      <c r="T166" s="197">
        <f t="shared" si="28"/>
        <v>2.7755575615628914E-17</v>
      </c>
    </row>
    <row r="167" spans="1:20" ht="13" thickTop="1">
      <c r="B167" s="154"/>
      <c r="C167" s="154"/>
      <c r="D167" s="154"/>
      <c r="E167" s="154"/>
      <c r="F167" s="154"/>
      <c r="G167" s="154"/>
      <c r="H167" s="154"/>
      <c r="I167" s="154"/>
      <c r="J167" s="154"/>
      <c r="K167" s="154"/>
      <c r="L167" s="154"/>
      <c r="M167" s="154"/>
      <c r="N167" s="154"/>
      <c r="O167" s="154"/>
      <c r="P167" s="154"/>
    </row>
    <row r="168" spans="1:20">
      <c r="B168" s="118"/>
      <c r="C168" s="118"/>
      <c r="D168" s="118"/>
      <c r="E168" s="118"/>
      <c r="F168" s="118"/>
      <c r="G168" s="118"/>
      <c r="H168" s="118"/>
      <c r="I168" s="118"/>
      <c r="J168" s="118"/>
      <c r="K168" s="118"/>
      <c r="L168" s="118"/>
      <c r="M168" s="118"/>
      <c r="N168" s="118"/>
      <c r="O168" s="154"/>
      <c r="P168" s="154"/>
    </row>
    <row r="169" spans="1:20">
      <c r="B169" s="118"/>
      <c r="C169" s="118"/>
      <c r="D169" s="118"/>
      <c r="E169" s="118"/>
      <c r="F169" s="118"/>
      <c r="G169" s="118"/>
      <c r="H169" s="118"/>
      <c r="I169" s="118"/>
      <c r="J169" s="118"/>
      <c r="K169" s="118"/>
      <c r="L169" s="118"/>
      <c r="M169" s="118"/>
      <c r="N169" s="118"/>
      <c r="O169" s="154"/>
      <c r="P169" s="154"/>
    </row>
    <row r="170" spans="1:20">
      <c r="B170" s="118"/>
      <c r="C170" s="118"/>
      <c r="D170" s="118"/>
      <c r="E170" s="118"/>
      <c r="F170" s="118"/>
      <c r="G170" s="118"/>
      <c r="H170" s="118"/>
      <c r="I170" s="118"/>
      <c r="J170" s="118"/>
      <c r="K170" s="118"/>
      <c r="L170" s="118"/>
      <c r="M170" s="118"/>
      <c r="N170" s="118"/>
      <c r="O170" s="154"/>
      <c r="P170" s="154"/>
    </row>
    <row r="171" spans="1:20">
      <c r="B171" s="118"/>
      <c r="C171" s="118"/>
      <c r="D171" s="118"/>
      <c r="E171" s="118"/>
      <c r="F171" s="118"/>
      <c r="G171" s="118"/>
      <c r="H171" s="118"/>
      <c r="I171" s="118"/>
      <c r="J171" s="118"/>
      <c r="K171" s="118"/>
      <c r="L171" s="118"/>
      <c r="M171" s="118"/>
      <c r="N171" s="118"/>
      <c r="O171" s="154"/>
      <c r="P171" s="154"/>
    </row>
    <row r="172" spans="1:20">
      <c r="B172" s="118"/>
      <c r="C172" s="118"/>
      <c r="D172" s="118"/>
      <c r="E172" s="118"/>
      <c r="F172" s="118"/>
      <c r="G172" s="118"/>
      <c r="H172" s="118"/>
      <c r="I172" s="118"/>
      <c r="J172" s="118"/>
      <c r="K172" s="118"/>
      <c r="L172" s="118"/>
      <c r="M172" s="118"/>
      <c r="N172" s="118"/>
      <c r="O172" s="154"/>
      <c r="P172" s="154"/>
    </row>
    <row r="173" spans="1:20">
      <c r="B173" s="118"/>
      <c r="C173" s="118"/>
      <c r="D173" s="118"/>
      <c r="E173" s="118"/>
      <c r="F173" s="118"/>
      <c r="G173" s="118"/>
      <c r="H173" s="118"/>
      <c r="I173" s="118"/>
      <c r="J173" s="118"/>
      <c r="K173" s="118"/>
      <c r="L173" s="118"/>
      <c r="M173" s="118"/>
      <c r="N173" s="118"/>
      <c r="O173" s="154"/>
      <c r="P173" s="154"/>
    </row>
    <row r="174" spans="1:20">
      <c r="B174" s="118"/>
      <c r="C174" s="118"/>
      <c r="D174" s="118"/>
      <c r="E174" s="118"/>
      <c r="F174" s="118"/>
      <c r="G174" s="118"/>
      <c r="H174" s="118"/>
      <c r="I174" s="118"/>
      <c r="J174" s="118"/>
      <c r="K174" s="118"/>
      <c r="L174" s="118"/>
      <c r="M174" s="118"/>
      <c r="N174" s="118"/>
      <c r="O174" s="154"/>
      <c r="P174" s="154"/>
    </row>
    <row r="175" spans="1:20">
      <c r="B175" s="118"/>
      <c r="C175" s="118"/>
      <c r="D175" s="118"/>
      <c r="E175" s="118"/>
      <c r="F175" s="118"/>
      <c r="G175" s="118"/>
      <c r="H175" s="118"/>
      <c r="I175" s="118"/>
      <c r="J175" s="118"/>
      <c r="K175" s="118"/>
      <c r="L175" s="118"/>
      <c r="M175" s="118"/>
      <c r="N175" s="118"/>
      <c r="O175" s="154"/>
      <c r="P175" s="154"/>
    </row>
    <row r="176" spans="1:20">
      <c r="B176" s="118"/>
      <c r="C176" s="118"/>
      <c r="D176" s="118"/>
      <c r="E176" s="118"/>
      <c r="F176" s="118"/>
      <c r="G176" s="118"/>
      <c r="H176" s="118"/>
      <c r="I176" s="118"/>
      <c r="J176" s="118"/>
      <c r="K176" s="118"/>
      <c r="L176" s="118"/>
      <c r="M176" s="118"/>
      <c r="N176" s="118"/>
      <c r="O176" s="154"/>
      <c r="P176" s="154"/>
    </row>
    <row r="177" spans="2:16">
      <c r="B177" s="118"/>
      <c r="C177" s="118"/>
      <c r="D177" s="118"/>
      <c r="E177" s="118"/>
      <c r="F177" s="118"/>
      <c r="G177" s="118"/>
      <c r="H177" s="118"/>
      <c r="I177" s="118"/>
      <c r="J177" s="118"/>
      <c r="K177" s="118"/>
      <c r="L177" s="118"/>
      <c r="M177" s="118"/>
      <c r="N177" s="118"/>
      <c r="O177" s="154"/>
      <c r="P177" s="154"/>
    </row>
    <row r="178" spans="2:16">
      <c r="B178" s="118"/>
      <c r="C178" s="118"/>
      <c r="D178" s="118"/>
      <c r="E178" s="118"/>
      <c r="F178" s="118"/>
      <c r="G178" s="118"/>
      <c r="H178" s="118"/>
      <c r="I178" s="118"/>
      <c r="J178" s="118"/>
      <c r="K178" s="118"/>
      <c r="L178" s="118"/>
      <c r="M178" s="118"/>
      <c r="N178" s="118"/>
      <c r="O178" s="154"/>
      <c r="P178" s="154"/>
    </row>
    <row r="179" spans="2:16">
      <c r="B179" s="118"/>
      <c r="C179" s="118"/>
      <c r="D179" s="118"/>
      <c r="E179" s="118"/>
      <c r="F179" s="118"/>
      <c r="G179" s="118"/>
      <c r="H179" s="118"/>
      <c r="I179" s="118"/>
      <c r="J179" s="118"/>
      <c r="K179" s="118"/>
      <c r="L179" s="118"/>
      <c r="M179" s="118"/>
      <c r="N179" s="118"/>
      <c r="O179" s="154"/>
      <c r="P179" s="154"/>
    </row>
    <row r="180" spans="2:16">
      <c r="B180" s="118"/>
      <c r="C180" s="118"/>
      <c r="D180" s="118"/>
      <c r="E180" s="118"/>
      <c r="F180" s="118"/>
      <c r="G180" s="118"/>
      <c r="H180" s="118"/>
      <c r="I180" s="118"/>
      <c r="J180" s="118"/>
      <c r="K180" s="118"/>
      <c r="L180" s="118"/>
      <c r="M180" s="118"/>
      <c r="N180" s="118"/>
      <c r="O180" s="118"/>
      <c r="P180" s="118"/>
    </row>
    <row r="181" spans="2:16">
      <c r="B181" s="118"/>
      <c r="C181" s="118"/>
      <c r="D181" s="118"/>
      <c r="E181" s="118"/>
      <c r="F181" s="118"/>
      <c r="G181" s="118"/>
      <c r="H181" s="118"/>
      <c r="I181" s="118"/>
      <c r="J181" s="118"/>
      <c r="K181" s="118"/>
      <c r="L181" s="118"/>
      <c r="M181" s="118"/>
      <c r="N181" s="118"/>
      <c r="O181" s="118"/>
      <c r="P181" s="118"/>
    </row>
    <row r="182" spans="2:16">
      <c r="B182" s="118"/>
      <c r="C182" s="118"/>
      <c r="D182" s="118"/>
      <c r="E182" s="118"/>
      <c r="F182" s="118"/>
      <c r="G182" s="118"/>
      <c r="H182" s="118"/>
      <c r="I182" s="118"/>
      <c r="J182" s="118"/>
      <c r="K182" s="118"/>
      <c r="L182" s="118"/>
      <c r="M182" s="118"/>
      <c r="N182" s="118"/>
      <c r="O182" s="118"/>
      <c r="P182" s="118"/>
    </row>
    <row r="183" spans="2:16">
      <c r="B183" s="118"/>
      <c r="C183" s="118"/>
      <c r="D183" s="118"/>
      <c r="E183" s="118"/>
      <c r="F183" s="118"/>
      <c r="G183" s="118"/>
      <c r="H183" s="118"/>
      <c r="I183" s="118"/>
      <c r="J183" s="118"/>
      <c r="K183" s="118"/>
      <c r="L183" s="118"/>
      <c r="M183" s="118"/>
      <c r="N183" s="118"/>
      <c r="O183" s="118"/>
      <c r="P183" s="118"/>
    </row>
    <row r="184" spans="2:16">
      <c r="B184" s="118"/>
      <c r="C184" s="118"/>
      <c r="D184" s="118"/>
      <c r="E184" s="118"/>
      <c r="F184" s="118"/>
      <c r="G184" s="118"/>
      <c r="H184" s="118"/>
      <c r="I184" s="118"/>
      <c r="J184" s="118"/>
      <c r="K184" s="118"/>
      <c r="L184" s="118"/>
      <c r="M184" s="118"/>
      <c r="N184" s="118"/>
      <c r="O184" s="118"/>
      <c r="P184" s="118"/>
    </row>
    <row r="185" spans="2:16">
      <c r="B185" s="118"/>
      <c r="C185" s="118"/>
      <c r="D185" s="118"/>
      <c r="E185" s="118"/>
      <c r="F185" s="118"/>
      <c r="G185" s="118"/>
      <c r="H185" s="118"/>
      <c r="I185" s="118"/>
      <c r="J185" s="118"/>
      <c r="K185" s="118"/>
      <c r="L185" s="118"/>
      <c r="M185" s="118"/>
      <c r="N185" s="118"/>
      <c r="O185" s="118"/>
      <c r="P185" s="118"/>
    </row>
    <row r="186" spans="2:16">
      <c r="B186" s="118"/>
      <c r="C186" s="118"/>
      <c r="D186" s="118"/>
      <c r="E186" s="118"/>
      <c r="F186" s="118"/>
      <c r="G186" s="118"/>
      <c r="H186" s="118"/>
      <c r="I186" s="118"/>
      <c r="J186" s="118"/>
      <c r="K186" s="118"/>
      <c r="L186" s="118"/>
      <c r="M186" s="118"/>
      <c r="N186" s="118"/>
      <c r="O186" s="118"/>
      <c r="P186" s="118"/>
    </row>
    <row r="187" spans="2:16">
      <c r="B187" s="118"/>
      <c r="C187" s="118"/>
      <c r="D187" s="118"/>
      <c r="E187" s="118"/>
      <c r="F187" s="118"/>
      <c r="G187" s="118"/>
      <c r="H187" s="118"/>
      <c r="I187" s="118"/>
      <c r="J187" s="118"/>
      <c r="K187" s="118"/>
      <c r="L187" s="118"/>
      <c r="M187" s="118"/>
      <c r="N187" s="118"/>
      <c r="O187" s="118"/>
      <c r="P187" s="118"/>
    </row>
    <row r="188" spans="2:16">
      <c r="B188" s="118"/>
      <c r="C188" s="118"/>
      <c r="D188" s="118"/>
      <c r="E188" s="118"/>
      <c r="F188" s="118"/>
      <c r="G188" s="118"/>
      <c r="H188" s="118"/>
      <c r="I188" s="118"/>
      <c r="J188" s="118"/>
      <c r="K188" s="118"/>
      <c r="L188" s="118"/>
      <c r="M188" s="118"/>
      <c r="N188" s="118"/>
      <c r="O188" s="118"/>
      <c r="P188" s="118"/>
    </row>
    <row r="189" spans="2:16">
      <c r="B189" s="118"/>
      <c r="C189" s="118"/>
      <c r="D189" s="118"/>
      <c r="E189" s="118"/>
      <c r="F189" s="118"/>
      <c r="G189" s="118"/>
      <c r="H189" s="118"/>
      <c r="I189" s="118"/>
      <c r="J189" s="118"/>
      <c r="K189" s="118"/>
      <c r="L189" s="118"/>
      <c r="M189" s="118"/>
      <c r="N189" s="118"/>
      <c r="O189" s="118"/>
      <c r="P189" s="118"/>
    </row>
    <row r="190" spans="2:16">
      <c r="B190" s="118"/>
      <c r="C190" s="118"/>
      <c r="D190" s="118"/>
      <c r="E190" s="118"/>
      <c r="F190" s="118"/>
      <c r="G190" s="118"/>
      <c r="H190" s="118"/>
      <c r="I190" s="118"/>
      <c r="J190" s="118"/>
      <c r="K190" s="118"/>
      <c r="L190" s="118"/>
      <c r="M190" s="118"/>
      <c r="N190" s="118"/>
      <c r="O190" s="118"/>
      <c r="P190" s="118"/>
    </row>
    <row r="191" spans="2:16">
      <c r="B191" s="118"/>
      <c r="C191" s="118"/>
      <c r="D191" s="118"/>
      <c r="E191" s="118"/>
      <c r="F191" s="118"/>
      <c r="G191" s="118"/>
      <c r="H191" s="118"/>
      <c r="I191" s="118"/>
      <c r="J191" s="118"/>
      <c r="K191" s="118"/>
      <c r="L191" s="118"/>
      <c r="M191" s="118"/>
      <c r="N191" s="118"/>
      <c r="O191" s="118"/>
      <c r="P191" s="118"/>
    </row>
    <row r="192" spans="2:16">
      <c r="B192" s="118"/>
      <c r="C192" s="118"/>
      <c r="D192" s="118"/>
      <c r="E192" s="118"/>
      <c r="F192" s="118"/>
      <c r="G192" s="118"/>
      <c r="H192" s="118"/>
      <c r="I192" s="118"/>
      <c r="J192" s="118"/>
      <c r="K192" s="118"/>
      <c r="L192" s="118"/>
      <c r="M192" s="118"/>
      <c r="N192" s="118"/>
      <c r="O192" s="118"/>
      <c r="P192" s="118"/>
    </row>
    <row r="193" spans="2:16">
      <c r="B193" s="118"/>
      <c r="C193" s="118"/>
      <c r="D193" s="118"/>
      <c r="E193" s="118"/>
      <c r="F193" s="118"/>
      <c r="G193" s="118"/>
      <c r="H193" s="118"/>
      <c r="I193" s="118"/>
      <c r="J193" s="118"/>
      <c r="K193" s="118"/>
      <c r="L193" s="118"/>
      <c r="M193" s="118"/>
      <c r="N193" s="118"/>
      <c r="O193" s="118"/>
      <c r="P193" s="118"/>
    </row>
    <row r="194" spans="2:16">
      <c r="B194" s="118"/>
      <c r="C194" s="118"/>
      <c r="D194" s="118"/>
      <c r="E194" s="118"/>
      <c r="F194" s="118"/>
      <c r="G194" s="118"/>
      <c r="H194" s="118"/>
      <c r="I194" s="118"/>
      <c r="J194" s="118"/>
      <c r="K194" s="118"/>
      <c r="L194" s="118"/>
      <c r="M194" s="118"/>
      <c r="N194" s="118"/>
      <c r="O194" s="118"/>
      <c r="P194" s="118"/>
    </row>
    <row r="195" spans="2:16">
      <c r="B195" s="118"/>
      <c r="C195" s="118"/>
      <c r="D195" s="118"/>
      <c r="E195" s="118"/>
      <c r="F195" s="118"/>
      <c r="G195" s="118"/>
      <c r="H195" s="118"/>
      <c r="I195" s="118"/>
      <c r="J195" s="118"/>
      <c r="K195" s="118"/>
      <c r="L195" s="118"/>
      <c r="M195" s="118"/>
      <c r="N195" s="118"/>
      <c r="O195" s="118"/>
      <c r="P195" s="118"/>
    </row>
    <row r="196" spans="2:16">
      <c r="B196" s="118"/>
      <c r="C196" s="118"/>
      <c r="D196" s="118"/>
      <c r="E196" s="118"/>
      <c r="F196" s="118"/>
      <c r="G196" s="118"/>
      <c r="H196" s="118"/>
      <c r="I196" s="118"/>
      <c r="J196" s="118"/>
      <c r="K196" s="118"/>
      <c r="L196" s="118"/>
      <c r="M196" s="118"/>
      <c r="N196" s="118"/>
      <c r="O196" s="118"/>
      <c r="P196" s="118"/>
    </row>
    <row r="197" spans="2:16">
      <c r="B197" s="118"/>
      <c r="C197" s="118"/>
      <c r="D197" s="118"/>
      <c r="E197" s="118"/>
      <c r="F197" s="118"/>
      <c r="G197" s="118"/>
      <c r="H197" s="118"/>
      <c r="I197" s="118"/>
      <c r="J197" s="118"/>
      <c r="K197" s="118"/>
      <c r="L197" s="118"/>
      <c r="M197" s="118"/>
      <c r="N197" s="118"/>
      <c r="O197" s="118"/>
      <c r="P197" s="118"/>
    </row>
    <row r="198" spans="2:16">
      <c r="B198" s="118"/>
      <c r="C198" s="118"/>
      <c r="D198" s="118"/>
      <c r="E198" s="118"/>
      <c r="F198" s="118"/>
      <c r="G198" s="118"/>
      <c r="H198" s="118"/>
      <c r="I198" s="118"/>
      <c r="J198" s="118"/>
      <c r="K198" s="118"/>
      <c r="L198" s="118"/>
      <c r="M198" s="118"/>
      <c r="N198" s="118"/>
      <c r="O198" s="118"/>
      <c r="P198" s="118"/>
    </row>
    <row r="199" spans="2:16">
      <c r="B199" s="118"/>
      <c r="C199" s="118"/>
      <c r="D199" s="118"/>
      <c r="E199" s="118"/>
      <c r="F199" s="118"/>
      <c r="G199" s="118"/>
      <c r="H199" s="118"/>
      <c r="I199" s="118"/>
      <c r="J199" s="118"/>
      <c r="K199" s="118"/>
      <c r="L199" s="118"/>
      <c r="M199" s="118"/>
      <c r="N199" s="118"/>
      <c r="O199" s="118"/>
      <c r="P199" s="118"/>
    </row>
    <row r="200" spans="2:16">
      <c r="B200" s="118"/>
      <c r="C200" s="118"/>
      <c r="D200" s="118"/>
      <c r="E200" s="118"/>
      <c r="F200" s="118"/>
      <c r="G200" s="118"/>
      <c r="H200" s="118"/>
      <c r="I200" s="118"/>
      <c r="J200" s="118"/>
      <c r="K200" s="118"/>
      <c r="L200" s="118"/>
      <c r="M200" s="118"/>
      <c r="N200" s="118"/>
      <c r="O200" s="118"/>
      <c r="P200" s="118"/>
    </row>
    <row r="201" spans="2:16">
      <c r="B201" s="118"/>
      <c r="C201" s="118"/>
      <c r="D201" s="118"/>
      <c r="E201" s="118"/>
      <c r="F201" s="118"/>
      <c r="G201" s="118"/>
      <c r="H201" s="118"/>
      <c r="I201" s="118"/>
      <c r="J201" s="118"/>
      <c r="K201" s="118"/>
      <c r="L201" s="118"/>
      <c r="M201" s="118"/>
      <c r="N201" s="118"/>
      <c r="O201" s="118"/>
      <c r="P201" s="118"/>
    </row>
    <row r="202" spans="2:16">
      <c r="B202" s="118"/>
      <c r="C202" s="118"/>
      <c r="D202" s="118"/>
      <c r="E202" s="118"/>
      <c r="F202" s="118"/>
      <c r="G202" s="118"/>
      <c r="H202" s="118"/>
      <c r="I202" s="118"/>
      <c r="J202" s="118"/>
      <c r="K202" s="118"/>
      <c r="L202" s="118"/>
      <c r="M202" s="118"/>
      <c r="N202" s="118"/>
      <c r="O202" s="118"/>
      <c r="P202" s="118"/>
    </row>
    <row r="203" spans="2:16">
      <c r="B203" s="118"/>
      <c r="C203" s="118"/>
      <c r="D203" s="118"/>
      <c r="E203" s="118"/>
      <c r="F203" s="118"/>
      <c r="G203" s="118"/>
      <c r="H203" s="118"/>
      <c r="I203" s="118"/>
      <c r="J203" s="118"/>
      <c r="K203" s="118"/>
      <c r="L203" s="118"/>
      <c r="M203" s="118"/>
      <c r="N203" s="118"/>
      <c r="O203" s="118"/>
      <c r="P203" s="118"/>
    </row>
    <row r="204" spans="2:16">
      <c r="B204" s="118"/>
      <c r="C204" s="118"/>
      <c r="D204" s="118"/>
      <c r="E204" s="118"/>
      <c r="F204" s="118"/>
      <c r="G204" s="118"/>
      <c r="H204" s="118"/>
      <c r="I204" s="118"/>
      <c r="J204" s="118"/>
      <c r="K204" s="118"/>
      <c r="L204" s="118"/>
      <c r="M204" s="118"/>
      <c r="N204" s="118"/>
      <c r="O204" s="118"/>
      <c r="P204" s="118"/>
    </row>
    <row r="205" spans="2:16">
      <c r="B205" s="118"/>
      <c r="C205" s="118"/>
      <c r="D205" s="118"/>
      <c r="E205" s="118"/>
      <c r="F205" s="118"/>
      <c r="G205" s="118"/>
      <c r="H205" s="118"/>
      <c r="I205" s="118"/>
      <c r="J205" s="118"/>
      <c r="K205" s="118"/>
      <c r="L205" s="118"/>
      <c r="M205" s="118"/>
      <c r="N205" s="118"/>
      <c r="O205" s="118"/>
      <c r="P205" s="118"/>
    </row>
    <row r="206" spans="2:16">
      <c r="B206" s="118"/>
      <c r="C206" s="118"/>
      <c r="D206" s="118"/>
      <c r="E206" s="118"/>
      <c r="F206" s="118"/>
      <c r="G206" s="118"/>
      <c r="H206" s="118"/>
      <c r="I206" s="118"/>
      <c r="J206" s="118"/>
      <c r="K206" s="118"/>
      <c r="L206" s="118"/>
      <c r="M206" s="118"/>
      <c r="N206" s="118"/>
      <c r="O206" s="118"/>
      <c r="P206" s="118"/>
    </row>
    <row r="207" spans="2:16">
      <c r="B207" s="118"/>
      <c r="C207" s="118"/>
      <c r="D207" s="118"/>
      <c r="E207" s="118"/>
      <c r="F207" s="118"/>
      <c r="G207" s="118"/>
      <c r="H207" s="118"/>
      <c r="I207" s="118"/>
      <c r="J207" s="118"/>
      <c r="K207" s="118"/>
      <c r="L207" s="118"/>
      <c r="M207" s="118"/>
      <c r="N207" s="118"/>
      <c r="O207" s="118"/>
      <c r="P207" s="118"/>
    </row>
    <row r="208" spans="2:16">
      <c r="B208" s="118"/>
      <c r="C208" s="118"/>
      <c r="D208" s="118"/>
      <c r="E208" s="118"/>
      <c r="F208" s="118"/>
      <c r="G208" s="118"/>
      <c r="H208" s="118"/>
      <c r="I208" s="118"/>
      <c r="J208" s="118"/>
      <c r="K208" s="118"/>
      <c r="L208" s="118"/>
      <c r="M208" s="118"/>
      <c r="N208" s="118"/>
      <c r="O208" s="118"/>
      <c r="P208" s="118"/>
    </row>
    <row r="209" spans="2:16">
      <c r="B209" s="118"/>
      <c r="C209" s="118"/>
      <c r="D209" s="118"/>
      <c r="E209" s="118"/>
      <c r="F209" s="118"/>
      <c r="G209" s="118"/>
      <c r="H209" s="118"/>
      <c r="I209" s="118"/>
      <c r="J209" s="118"/>
      <c r="K209" s="118"/>
      <c r="L209" s="118"/>
      <c r="M209" s="118"/>
      <c r="N209" s="118"/>
      <c r="O209" s="118"/>
      <c r="P209" s="118"/>
    </row>
    <row r="210" spans="2:16">
      <c r="B210" s="118"/>
      <c r="C210" s="118"/>
      <c r="D210" s="118"/>
      <c r="E210" s="118"/>
      <c r="F210" s="118"/>
      <c r="G210" s="118"/>
      <c r="H210" s="118"/>
      <c r="I210" s="118"/>
      <c r="J210" s="118"/>
      <c r="K210" s="118"/>
      <c r="L210" s="118"/>
      <c r="M210" s="118"/>
      <c r="N210" s="118"/>
      <c r="O210" s="118"/>
      <c r="P210" s="118"/>
    </row>
    <row r="211" spans="2:16">
      <c r="B211" s="118"/>
      <c r="C211" s="118"/>
      <c r="D211" s="118"/>
      <c r="E211" s="118"/>
      <c r="F211" s="118"/>
      <c r="G211" s="118"/>
      <c r="H211" s="118"/>
      <c r="I211" s="118"/>
      <c r="J211" s="118"/>
      <c r="K211" s="118"/>
      <c r="L211" s="118"/>
      <c r="M211" s="118"/>
      <c r="N211" s="118"/>
      <c r="O211" s="118"/>
      <c r="P211" s="118"/>
    </row>
    <row r="212" spans="2:16">
      <c r="B212" s="118"/>
      <c r="C212" s="118"/>
      <c r="D212" s="118"/>
      <c r="E212" s="118"/>
      <c r="F212" s="118"/>
      <c r="G212" s="118"/>
      <c r="H212" s="118"/>
      <c r="I212" s="118"/>
      <c r="J212" s="118"/>
      <c r="K212" s="118"/>
      <c r="L212" s="118"/>
      <c r="M212" s="118"/>
      <c r="N212" s="118"/>
      <c r="O212" s="118"/>
      <c r="P212" s="118"/>
    </row>
    <row r="213" spans="2:16">
      <c r="B213" s="118"/>
      <c r="C213" s="118"/>
      <c r="D213" s="118"/>
      <c r="E213" s="118"/>
      <c r="F213" s="118"/>
      <c r="G213" s="118"/>
      <c r="H213" s="118"/>
      <c r="I213" s="118"/>
      <c r="J213" s="118"/>
      <c r="K213" s="118"/>
      <c r="L213" s="118"/>
      <c r="M213" s="118"/>
      <c r="N213" s="118"/>
      <c r="O213" s="118"/>
      <c r="P213" s="118"/>
    </row>
    <row r="214" spans="2:16">
      <c r="B214" s="118"/>
      <c r="C214" s="118"/>
      <c r="D214" s="118"/>
      <c r="E214" s="118"/>
      <c r="F214" s="118"/>
      <c r="G214" s="118"/>
      <c r="H214" s="118"/>
      <c r="I214" s="118"/>
      <c r="J214" s="118"/>
      <c r="K214" s="118"/>
      <c r="L214" s="118"/>
      <c r="M214" s="118"/>
      <c r="N214" s="118"/>
      <c r="O214" s="118"/>
      <c r="P214" s="118"/>
    </row>
    <row r="215" spans="2:16">
      <c r="B215" s="118"/>
      <c r="C215" s="118"/>
      <c r="D215" s="118"/>
      <c r="E215" s="118"/>
      <c r="F215" s="118"/>
      <c r="G215" s="118"/>
      <c r="H215" s="118"/>
      <c r="I215" s="118"/>
      <c r="J215" s="118"/>
      <c r="K215" s="118"/>
      <c r="L215" s="118"/>
      <c r="M215" s="118"/>
      <c r="N215" s="118"/>
      <c r="O215" s="118"/>
      <c r="P215" s="118"/>
    </row>
    <row r="216" spans="2:16">
      <c r="B216" s="118"/>
      <c r="C216" s="118"/>
      <c r="D216" s="118"/>
      <c r="E216" s="118"/>
      <c r="F216" s="118"/>
      <c r="G216" s="118"/>
      <c r="H216" s="118"/>
      <c r="I216" s="118"/>
      <c r="J216" s="118"/>
      <c r="K216" s="118"/>
      <c r="L216" s="118"/>
      <c r="M216" s="118"/>
      <c r="N216" s="118"/>
      <c r="O216" s="118"/>
      <c r="P216" s="118"/>
    </row>
    <row r="217" spans="2:16">
      <c r="B217" s="118"/>
      <c r="C217" s="118"/>
      <c r="D217" s="118"/>
      <c r="E217" s="118"/>
      <c r="F217" s="118"/>
      <c r="G217" s="118"/>
      <c r="H217" s="118"/>
      <c r="I217" s="118"/>
      <c r="J217" s="118"/>
      <c r="K217" s="118"/>
      <c r="L217" s="118"/>
      <c r="M217" s="118"/>
      <c r="N217" s="118"/>
      <c r="O217" s="118"/>
      <c r="P217" s="118"/>
    </row>
    <row r="218" spans="2:16">
      <c r="B218" s="118"/>
      <c r="C218" s="118"/>
      <c r="D218" s="118"/>
      <c r="E218" s="118"/>
      <c r="F218" s="118"/>
      <c r="G218" s="118"/>
      <c r="H218" s="118"/>
      <c r="I218" s="118"/>
      <c r="J218" s="118"/>
      <c r="K218" s="118"/>
      <c r="L218" s="118"/>
      <c r="M218" s="118"/>
      <c r="N218" s="118"/>
      <c r="O218" s="118"/>
      <c r="P218" s="118"/>
    </row>
    <row r="219" spans="2:16">
      <c r="B219" s="118"/>
      <c r="C219" s="118"/>
      <c r="D219" s="118"/>
      <c r="E219" s="118"/>
      <c r="F219" s="118"/>
      <c r="G219" s="118"/>
      <c r="H219" s="118"/>
      <c r="I219" s="118"/>
      <c r="J219" s="118"/>
      <c r="K219" s="118"/>
      <c r="L219" s="118"/>
      <c r="M219" s="118"/>
      <c r="N219" s="118"/>
      <c r="O219" s="118"/>
      <c r="P219" s="118"/>
    </row>
    <row r="220" spans="2:16">
      <c r="B220" s="118"/>
      <c r="C220" s="118"/>
      <c r="D220" s="118"/>
      <c r="E220" s="118"/>
      <c r="F220" s="118"/>
      <c r="G220" s="118"/>
      <c r="H220" s="118"/>
      <c r="I220" s="118"/>
      <c r="J220" s="118"/>
      <c r="K220" s="118"/>
      <c r="L220" s="118"/>
      <c r="M220" s="118"/>
      <c r="N220" s="118"/>
      <c r="O220" s="118"/>
      <c r="P220" s="118"/>
    </row>
    <row r="221" spans="2:16">
      <c r="B221" s="118"/>
      <c r="C221" s="118"/>
      <c r="D221" s="118"/>
      <c r="E221" s="118"/>
      <c r="F221" s="118"/>
      <c r="G221" s="118"/>
      <c r="H221" s="118"/>
      <c r="I221" s="118"/>
      <c r="J221" s="118"/>
      <c r="K221" s="118"/>
      <c r="L221" s="118"/>
      <c r="M221" s="118"/>
      <c r="N221" s="118"/>
      <c r="O221" s="118"/>
      <c r="P221" s="118"/>
    </row>
    <row r="222" spans="2:16">
      <c r="B222" s="118"/>
      <c r="C222" s="118"/>
      <c r="D222" s="118"/>
      <c r="E222" s="118"/>
      <c r="F222" s="118"/>
      <c r="G222" s="118"/>
      <c r="H222" s="118"/>
      <c r="I222" s="118"/>
      <c r="J222" s="118"/>
      <c r="K222" s="118"/>
      <c r="L222" s="118"/>
      <c r="M222" s="118"/>
      <c r="N222" s="118"/>
      <c r="O222" s="118"/>
      <c r="P222" s="118"/>
    </row>
    <row r="223" spans="2:16">
      <c r="B223" s="118"/>
      <c r="C223" s="118"/>
      <c r="D223" s="118"/>
      <c r="E223" s="118"/>
      <c r="F223" s="118"/>
      <c r="G223" s="118"/>
      <c r="H223" s="118"/>
      <c r="I223" s="118"/>
      <c r="J223" s="118"/>
      <c r="K223" s="118"/>
      <c r="L223" s="118"/>
      <c r="M223" s="118"/>
      <c r="N223" s="118"/>
      <c r="O223" s="118"/>
      <c r="P223" s="118"/>
    </row>
    <row r="224" spans="2:16">
      <c r="B224" s="118"/>
      <c r="C224" s="118"/>
      <c r="D224" s="118"/>
      <c r="E224" s="118"/>
      <c r="F224" s="118"/>
      <c r="G224" s="118"/>
      <c r="H224" s="118"/>
      <c r="I224" s="118"/>
      <c r="J224" s="118"/>
      <c r="K224" s="118"/>
      <c r="L224" s="118"/>
      <c r="M224" s="118"/>
      <c r="N224" s="118"/>
      <c r="O224" s="118"/>
      <c r="P224" s="118"/>
    </row>
    <row r="225" spans="2:16">
      <c r="B225" s="118"/>
      <c r="C225" s="118"/>
      <c r="D225" s="118"/>
      <c r="E225" s="118"/>
      <c r="F225" s="118"/>
      <c r="G225" s="118"/>
      <c r="H225" s="118"/>
      <c r="I225" s="118"/>
      <c r="J225" s="118"/>
      <c r="K225" s="118"/>
      <c r="L225" s="118"/>
      <c r="M225" s="118"/>
      <c r="N225" s="118"/>
      <c r="O225" s="118"/>
      <c r="P225" s="118"/>
    </row>
    <row r="226" spans="2:16">
      <c r="B226" s="118"/>
      <c r="C226" s="118"/>
      <c r="D226" s="118"/>
      <c r="E226" s="118"/>
      <c r="F226" s="118"/>
      <c r="G226" s="118"/>
      <c r="H226" s="118"/>
      <c r="I226" s="118"/>
      <c r="J226" s="118"/>
      <c r="K226" s="118"/>
      <c r="L226" s="118"/>
      <c r="M226" s="118"/>
      <c r="N226" s="118"/>
      <c r="O226" s="118"/>
      <c r="P226" s="118"/>
    </row>
    <row r="227" spans="2:16">
      <c r="B227" s="118"/>
      <c r="C227" s="118"/>
      <c r="D227" s="118"/>
      <c r="E227" s="118"/>
      <c r="F227" s="118"/>
      <c r="G227" s="118"/>
      <c r="H227" s="118"/>
      <c r="I227" s="118"/>
      <c r="J227" s="118"/>
      <c r="K227" s="118"/>
      <c r="L227" s="118"/>
      <c r="M227" s="118"/>
      <c r="N227" s="118"/>
      <c r="O227" s="118"/>
      <c r="P227" s="118"/>
    </row>
    <row r="228" spans="2:16">
      <c r="B228" s="118"/>
      <c r="C228" s="118"/>
      <c r="D228" s="118"/>
      <c r="E228" s="118"/>
      <c r="F228" s="118"/>
      <c r="G228" s="118"/>
      <c r="H228" s="118"/>
      <c r="I228" s="118"/>
      <c r="J228" s="118"/>
      <c r="K228" s="118"/>
      <c r="L228" s="118"/>
      <c r="M228" s="118"/>
      <c r="N228" s="118"/>
      <c r="O228" s="118"/>
      <c r="P228" s="118"/>
    </row>
    <row r="229" spans="2:16">
      <c r="B229" s="118"/>
      <c r="C229" s="118"/>
      <c r="D229" s="118"/>
      <c r="E229" s="118"/>
      <c r="F229" s="118"/>
      <c r="G229" s="118"/>
      <c r="H229" s="118"/>
      <c r="I229" s="118"/>
      <c r="J229" s="118"/>
      <c r="K229" s="118"/>
      <c r="L229" s="118"/>
      <c r="M229" s="118"/>
      <c r="N229" s="118"/>
      <c r="O229" s="118"/>
      <c r="P229" s="118"/>
    </row>
    <row r="230" spans="2:16">
      <c r="B230" s="118"/>
      <c r="C230" s="118"/>
      <c r="D230" s="118"/>
      <c r="E230" s="118"/>
      <c r="F230" s="118"/>
      <c r="G230" s="118"/>
      <c r="H230" s="118"/>
      <c r="I230" s="118"/>
      <c r="J230" s="118"/>
      <c r="K230" s="118"/>
      <c r="L230" s="118"/>
      <c r="M230" s="118"/>
      <c r="N230" s="118"/>
      <c r="O230" s="118"/>
      <c r="P230" s="118"/>
    </row>
    <row r="231" spans="2:16">
      <c r="B231" s="118"/>
      <c r="C231" s="118"/>
      <c r="D231" s="118"/>
      <c r="E231" s="118"/>
      <c r="F231" s="118"/>
      <c r="G231" s="118"/>
      <c r="H231" s="118"/>
      <c r="I231" s="118"/>
      <c r="J231" s="118"/>
      <c r="K231" s="118"/>
      <c r="L231" s="118"/>
      <c r="M231" s="118"/>
      <c r="N231" s="118"/>
      <c r="O231" s="118"/>
      <c r="P231" s="118"/>
    </row>
    <row r="232" spans="2:16">
      <c r="B232" s="118"/>
      <c r="C232" s="118"/>
      <c r="D232" s="118"/>
      <c r="E232" s="118"/>
      <c r="F232" s="118"/>
      <c r="G232" s="118"/>
      <c r="H232" s="118"/>
      <c r="I232" s="118"/>
      <c r="J232" s="118"/>
      <c r="K232" s="118"/>
      <c r="L232" s="118"/>
      <c r="M232" s="118"/>
      <c r="N232" s="118"/>
      <c r="O232" s="118"/>
      <c r="P232" s="118"/>
    </row>
    <row r="233" spans="2:16">
      <c r="B233" s="118"/>
      <c r="C233" s="118"/>
      <c r="D233" s="118"/>
      <c r="E233" s="118"/>
      <c r="F233" s="118"/>
      <c r="G233" s="118"/>
      <c r="H233" s="118"/>
      <c r="I233" s="118"/>
      <c r="J233" s="118"/>
      <c r="K233" s="118"/>
      <c r="L233" s="118"/>
      <c r="M233" s="118"/>
      <c r="N233" s="118"/>
      <c r="O233" s="118"/>
      <c r="P233" s="118"/>
    </row>
    <row r="234" spans="2:16">
      <c r="B234" s="118"/>
      <c r="C234" s="118"/>
      <c r="D234" s="118"/>
      <c r="E234" s="118"/>
      <c r="F234" s="118"/>
      <c r="G234" s="118"/>
      <c r="H234" s="118"/>
      <c r="I234" s="118"/>
      <c r="J234" s="118"/>
      <c r="K234" s="118"/>
      <c r="L234" s="118"/>
      <c r="M234" s="118"/>
      <c r="N234" s="118"/>
      <c r="O234" s="118"/>
      <c r="P234" s="118"/>
    </row>
    <row r="235" spans="2:16">
      <c r="B235" s="118"/>
      <c r="C235" s="118"/>
      <c r="D235" s="118"/>
      <c r="E235" s="118"/>
      <c r="F235" s="118"/>
      <c r="G235" s="118"/>
      <c r="H235" s="118"/>
      <c r="I235" s="118"/>
      <c r="J235" s="118"/>
      <c r="K235" s="118"/>
      <c r="L235" s="118"/>
      <c r="M235" s="118"/>
      <c r="N235" s="118"/>
      <c r="O235" s="118"/>
      <c r="P235" s="118"/>
    </row>
    <row r="236" spans="2:16">
      <c r="B236" s="118"/>
      <c r="C236" s="118"/>
      <c r="D236" s="118"/>
      <c r="E236" s="118"/>
      <c r="F236" s="118"/>
      <c r="G236" s="118"/>
      <c r="H236" s="118"/>
      <c r="I236" s="118"/>
      <c r="J236" s="118"/>
      <c r="K236" s="118"/>
      <c r="L236" s="118"/>
      <c r="M236" s="118"/>
      <c r="N236" s="118"/>
      <c r="O236" s="118"/>
      <c r="P236" s="118"/>
    </row>
    <row r="237" spans="2:16">
      <c r="B237" s="118"/>
      <c r="C237" s="118"/>
      <c r="D237" s="118"/>
      <c r="E237" s="118"/>
      <c r="F237" s="118"/>
      <c r="G237" s="118"/>
      <c r="H237" s="118"/>
      <c r="I237" s="118"/>
      <c r="J237" s="118"/>
      <c r="K237" s="118"/>
      <c r="L237" s="118"/>
      <c r="M237" s="118"/>
      <c r="N237" s="118"/>
      <c r="O237" s="118"/>
      <c r="P237" s="118"/>
    </row>
    <row r="238" spans="2:16">
      <c r="B238" s="118"/>
      <c r="C238" s="118"/>
      <c r="D238" s="118"/>
      <c r="E238" s="118"/>
      <c r="F238" s="118"/>
      <c r="G238" s="118"/>
      <c r="H238" s="118"/>
      <c r="I238" s="118"/>
      <c r="J238" s="118"/>
      <c r="K238" s="118"/>
      <c r="L238" s="118"/>
      <c r="M238" s="118"/>
      <c r="N238" s="118"/>
      <c r="O238" s="118"/>
      <c r="P238" s="118"/>
    </row>
    <row r="239" spans="2:16">
      <c r="B239" s="118"/>
      <c r="C239" s="118"/>
      <c r="D239" s="118"/>
      <c r="E239" s="118"/>
      <c r="F239" s="118"/>
      <c r="G239" s="118"/>
      <c r="H239" s="118"/>
      <c r="I239" s="118"/>
      <c r="J239" s="118"/>
      <c r="K239" s="118"/>
      <c r="L239" s="118"/>
      <c r="M239" s="118"/>
      <c r="N239" s="118"/>
      <c r="O239" s="118"/>
      <c r="P239" s="118"/>
    </row>
    <row r="240" spans="2:16">
      <c r="B240" s="118"/>
      <c r="C240" s="118"/>
      <c r="D240" s="118"/>
      <c r="E240" s="118"/>
      <c r="F240" s="118"/>
      <c r="G240" s="118"/>
      <c r="H240" s="118"/>
      <c r="I240" s="118"/>
      <c r="J240" s="118"/>
      <c r="K240" s="118"/>
      <c r="L240" s="118"/>
      <c r="M240" s="118"/>
      <c r="N240" s="118"/>
      <c r="O240" s="118"/>
      <c r="P240" s="118"/>
    </row>
    <row r="241" spans="2:16">
      <c r="B241" s="118"/>
      <c r="C241" s="118"/>
      <c r="D241" s="118"/>
      <c r="E241" s="118"/>
      <c r="F241" s="118"/>
      <c r="G241" s="118"/>
      <c r="H241" s="118"/>
      <c r="I241" s="118"/>
      <c r="J241" s="118"/>
      <c r="K241" s="118"/>
      <c r="L241" s="118"/>
      <c r="M241" s="118"/>
      <c r="N241" s="118"/>
      <c r="O241" s="118"/>
      <c r="P241" s="118"/>
    </row>
    <row r="242" spans="2:16">
      <c r="B242" s="118"/>
      <c r="C242" s="118"/>
      <c r="D242" s="118"/>
      <c r="E242" s="118"/>
      <c r="F242" s="118"/>
      <c r="G242" s="118"/>
      <c r="H242" s="118"/>
      <c r="I242" s="118"/>
      <c r="J242" s="118"/>
      <c r="K242" s="118"/>
      <c r="L242" s="118"/>
      <c r="M242" s="118"/>
      <c r="N242" s="118"/>
      <c r="O242" s="118"/>
      <c r="P242" s="118"/>
    </row>
    <row r="243" spans="2:16">
      <c r="B243" s="118"/>
      <c r="C243" s="118"/>
      <c r="D243" s="118"/>
      <c r="E243" s="118"/>
      <c r="F243" s="118"/>
      <c r="G243" s="118"/>
      <c r="H243" s="118"/>
      <c r="I243" s="118"/>
      <c r="J243" s="118"/>
      <c r="K243" s="118"/>
      <c r="L243" s="118"/>
      <c r="M243" s="118"/>
      <c r="N243" s="118"/>
      <c r="O243" s="118"/>
      <c r="P243" s="118"/>
    </row>
    <row r="244" spans="2:16">
      <c r="B244" s="118"/>
      <c r="C244" s="118"/>
      <c r="D244" s="118"/>
      <c r="E244" s="118"/>
      <c r="F244" s="118"/>
      <c r="G244" s="118"/>
      <c r="H244" s="118"/>
      <c r="I244" s="118"/>
      <c r="J244" s="118"/>
      <c r="K244" s="118"/>
      <c r="L244" s="118"/>
      <c r="M244" s="118"/>
      <c r="N244" s="118"/>
      <c r="O244" s="118"/>
      <c r="P244" s="118"/>
    </row>
    <row r="245" spans="2:16">
      <c r="B245" s="118"/>
      <c r="C245" s="118"/>
      <c r="D245" s="118"/>
      <c r="E245" s="118"/>
      <c r="F245" s="118"/>
      <c r="G245" s="118"/>
      <c r="H245" s="118"/>
      <c r="I245" s="118"/>
      <c r="J245" s="118"/>
      <c r="K245" s="118"/>
      <c r="L245" s="118"/>
      <c r="M245" s="118"/>
      <c r="N245" s="118"/>
      <c r="O245" s="118"/>
      <c r="P245" s="118"/>
    </row>
    <row r="246" spans="2:16">
      <c r="B246" s="118"/>
      <c r="C246" s="118"/>
      <c r="D246" s="118"/>
      <c r="E246" s="118"/>
      <c r="F246" s="118"/>
      <c r="G246" s="118"/>
      <c r="H246" s="118"/>
      <c r="I246" s="118"/>
      <c r="J246" s="118"/>
      <c r="K246" s="118"/>
      <c r="L246" s="118"/>
      <c r="M246" s="118"/>
      <c r="N246" s="118"/>
      <c r="O246" s="118"/>
      <c r="P246" s="118"/>
    </row>
    <row r="247" spans="2:16">
      <c r="B247" s="118"/>
      <c r="C247" s="118"/>
      <c r="D247" s="118"/>
      <c r="E247" s="118"/>
      <c r="F247" s="118"/>
      <c r="G247" s="118"/>
      <c r="H247" s="118"/>
      <c r="I247" s="118"/>
      <c r="J247" s="118"/>
      <c r="K247" s="118"/>
      <c r="L247" s="118"/>
      <c r="M247" s="118"/>
      <c r="N247" s="118"/>
      <c r="O247" s="118"/>
      <c r="P247" s="118"/>
    </row>
    <row r="248" spans="2:16">
      <c r="B248" s="118"/>
      <c r="C248" s="118"/>
      <c r="D248" s="118"/>
      <c r="E248" s="118"/>
      <c r="F248" s="118"/>
      <c r="G248" s="118"/>
      <c r="H248" s="118"/>
      <c r="I248" s="118"/>
      <c r="J248" s="118"/>
      <c r="K248" s="118"/>
      <c r="L248" s="118"/>
      <c r="M248" s="118"/>
      <c r="N248" s="118"/>
      <c r="O248" s="118"/>
      <c r="P248" s="118"/>
    </row>
    <row r="249" spans="2:16">
      <c r="B249" s="118"/>
      <c r="C249" s="118"/>
      <c r="D249" s="118"/>
      <c r="E249" s="118"/>
      <c r="F249" s="118"/>
      <c r="G249" s="118"/>
      <c r="H249" s="118"/>
      <c r="I249" s="118"/>
      <c r="J249" s="118"/>
      <c r="K249" s="118"/>
      <c r="L249" s="118"/>
      <c r="M249" s="118"/>
      <c r="N249" s="118"/>
      <c r="O249" s="118"/>
      <c r="P249" s="118"/>
    </row>
    <row r="250" spans="2:16">
      <c r="B250" s="118"/>
      <c r="C250" s="118"/>
      <c r="D250" s="118"/>
      <c r="E250" s="118"/>
      <c r="F250" s="118"/>
      <c r="G250" s="118"/>
      <c r="H250" s="118"/>
      <c r="I250" s="118"/>
      <c r="J250" s="118"/>
      <c r="K250" s="118"/>
      <c r="L250" s="118"/>
      <c r="M250" s="118"/>
      <c r="N250" s="118"/>
      <c r="O250" s="118"/>
      <c r="P250" s="118"/>
    </row>
    <row r="251" spans="2:16">
      <c r="B251" s="118"/>
      <c r="C251" s="118"/>
      <c r="D251" s="118"/>
      <c r="E251" s="118"/>
      <c r="F251" s="118"/>
      <c r="G251" s="118"/>
      <c r="H251" s="118"/>
      <c r="I251" s="118"/>
      <c r="J251" s="118"/>
      <c r="K251" s="118"/>
      <c r="L251" s="118"/>
      <c r="M251" s="118"/>
      <c r="N251" s="118"/>
      <c r="O251" s="118"/>
      <c r="P251" s="118"/>
    </row>
    <row r="252" spans="2:16">
      <c r="B252" s="118"/>
      <c r="C252" s="118"/>
      <c r="D252" s="118"/>
      <c r="E252" s="118"/>
      <c r="F252" s="118"/>
      <c r="G252" s="118"/>
      <c r="H252" s="118"/>
      <c r="I252" s="118"/>
      <c r="J252" s="118"/>
      <c r="K252" s="118"/>
      <c r="L252" s="118"/>
      <c r="M252" s="118"/>
      <c r="N252" s="118"/>
      <c r="O252" s="118"/>
      <c r="P252" s="118"/>
    </row>
    <row r="253" spans="2:16">
      <c r="B253" s="118"/>
      <c r="C253" s="118"/>
      <c r="D253" s="118"/>
      <c r="E253" s="118"/>
      <c r="F253" s="118"/>
      <c r="G253" s="118"/>
      <c r="H253" s="118"/>
      <c r="I253" s="118"/>
      <c r="J253" s="118"/>
      <c r="K253" s="118"/>
      <c r="L253" s="118"/>
      <c r="M253" s="118"/>
      <c r="N253" s="118"/>
      <c r="O253" s="118"/>
      <c r="P253" s="118"/>
    </row>
    <row r="254" spans="2:16">
      <c r="B254" s="118"/>
      <c r="C254" s="118"/>
      <c r="D254" s="118"/>
      <c r="E254" s="118"/>
      <c r="F254" s="118"/>
      <c r="G254" s="118"/>
      <c r="H254" s="118"/>
      <c r="I254" s="118"/>
      <c r="J254" s="118"/>
      <c r="K254" s="118"/>
      <c r="L254" s="118"/>
      <c r="M254" s="118"/>
      <c r="N254" s="118"/>
      <c r="O254" s="118"/>
      <c r="P254" s="118"/>
    </row>
    <row r="255" spans="2:16">
      <c r="B255" s="118"/>
      <c r="C255" s="118"/>
      <c r="D255" s="118"/>
      <c r="E255" s="118"/>
      <c r="F255" s="118"/>
      <c r="G255" s="118"/>
      <c r="H255" s="118"/>
      <c r="I255" s="118"/>
      <c r="J255" s="118"/>
      <c r="K255" s="118"/>
      <c r="L255" s="118"/>
      <c r="M255" s="118"/>
      <c r="N255" s="118"/>
      <c r="O255" s="118"/>
      <c r="P255" s="118"/>
    </row>
    <row r="256" spans="2:16">
      <c r="B256" s="118"/>
      <c r="C256" s="118"/>
      <c r="D256" s="118"/>
      <c r="E256" s="118"/>
      <c r="F256" s="118"/>
      <c r="G256" s="118"/>
      <c r="H256" s="118"/>
      <c r="I256" s="118"/>
      <c r="J256" s="118"/>
      <c r="K256" s="118"/>
      <c r="L256" s="118"/>
      <c r="M256" s="118"/>
      <c r="N256" s="118"/>
      <c r="O256" s="118"/>
      <c r="P256" s="118"/>
    </row>
    <row r="257" spans="2:16">
      <c r="B257" s="118"/>
      <c r="C257" s="118"/>
      <c r="D257" s="118"/>
      <c r="E257" s="118"/>
      <c r="F257" s="118"/>
      <c r="G257" s="118"/>
      <c r="H257" s="118"/>
      <c r="I257" s="118"/>
      <c r="J257" s="118"/>
      <c r="K257" s="118"/>
      <c r="L257" s="118"/>
      <c r="M257" s="118"/>
      <c r="N257" s="118"/>
      <c r="O257" s="118"/>
      <c r="P257" s="118"/>
    </row>
    <row r="258" spans="2:16">
      <c r="B258" s="118"/>
      <c r="C258" s="118"/>
      <c r="D258" s="118"/>
      <c r="E258" s="118"/>
      <c r="F258" s="118"/>
      <c r="G258" s="118"/>
      <c r="H258" s="118"/>
      <c r="I258" s="118"/>
      <c r="J258" s="118"/>
      <c r="K258" s="118"/>
      <c r="L258" s="118"/>
      <c r="M258" s="118"/>
      <c r="N258" s="118"/>
      <c r="O258" s="118"/>
      <c r="P258" s="118"/>
    </row>
    <row r="259" spans="2:16">
      <c r="B259" s="118"/>
      <c r="C259" s="118"/>
      <c r="D259" s="118"/>
      <c r="E259" s="118"/>
      <c r="F259" s="118"/>
      <c r="G259" s="118"/>
      <c r="H259" s="118"/>
      <c r="I259" s="118"/>
      <c r="J259" s="118"/>
      <c r="K259" s="118"/>
      <c r="L259" s="118"/>
      <c r="M259" s="118"/>
      <c r="N259" s="118"/>
      <c r="O259" s="118"/>
      <c r="P259" s="118"/>
    </row>
    <row r="260" spans="2:16">
      <c r="B260" s="118"/>
      <c r="C260" s="118"/>
      <c r="D260" s="118"/>
      <c r="E260" s="118"/>
      <c r="F260" s="118"/>
      <c r="G260" s="118"/>
      <c r="H260" s="118"/>
      <c r="I260" s="118"/>
      <c r="J260" s="118"/>
      <c r="K260" s="118"/>
      <c r="L260" s="118"/>
      <c r="M260" s="118"/>
      <c r="N260" s="118"/>
      <c r="O260" s="118"/>
      <c r="P260" s="118"/>
    </row>
    <row r="261" spans="2:16">
      <c r="B261" s="118"/>
      <c r="C261" s="118"/>
      <c r="D261" s="118"/>
      <c r="E261" s="118"/>
      <c r="F261" s="118"/>
      <c r="G261" s="118"/>
      <c r="H261" s="118"/>
      <c r="I261" s="118"/>
      <c r="J261" s="118"/>
      <c r="K261" s="118"/>
      <c r="L261" s="118"/>
      <c r="M261" s="118"/>
      <c r="N261" s="118"/>
      <c r="O261" s="118"/>
      <c r="P261" s="118"/>
    </row>
    <row r="262" spans="2:16">
      <c r="B262" s="118"/>
      <c r="C262" s="118"/>
      <c r="D262" s="118"/>
      <c r="E262" s="118"/>
      <c r="F262" s="118"/>
      <c r="G262" s="118"/>
      <c r="H262" s="118"/>
      <c r="I262" s="118"/>
      <c r="J262" s="118"/>
      <c r="K262" s="118"/>
      <c r="L262" s="118"/>
      <c r="M262" s="118"/>
      <c r="N262" s="118"/>
      <c r="O262" s="118"/>
      <c r="P262" s="118"/>
    </row>
    <row r="263" spans="2:16">
      <c r="B263" s="118"/>
      <c r="C263" s="118"/>
      <c r="D263" s="118"/>
      <c r="E263" s="118"/>
      <c r="F263" s="118"/>
      <c r="G263" s="118"/>
      <c r="H263" s="118"/>
      <c r="I263" s="118"/>
      <c r="J263" s="118"/>
      <c r="K263" s="118"/>
      <c r="L263" s="118"/>
      <c r="M263" s="118"/>
      <c r="N263" s="118"/>
      <c r="O263" s="118"/>
      <c r="P263" s="118"/>
    </row>
    <row r="264" spans="2:16">
      <c r="B264" s="118"/>
      <c r="C264" s="118"/>
      <c r="D264" s="118"/>
      <c r="E264" s="118"/>
      <c r="F264" s="118"/>
      <c r="G264" s="118"/>
      <c r="H264" s="118"/>
      <c r="I264" s="118"/>
      <c r="J264" s="118"/>
      <c r="K264" s="118"/>
      <c r="L264" s="118"/>
      <c r="M264" s="118"/>
      <c r="N264" s="118"/>
      <c r="O264" s="118"/>
      <c r="P264" s="118"/>
    </row>
    <row r="265" spans="2:16">
      <c r="B265" s="118"/>
      <c r="C265" s="118"/>
      <c r="D265" s="118"/>
      <c r="E265" s="118"/>
      <c r="F265" s="118"/>
      <c r="G265" s="118"/>
      <c r="H265" s="118"/>
      <c r="I265" s="118"/>
      <c r="J265" s="118"/>
      <c r="K265" s="118"/>
      <c r="L265" s="118"/>
      <c r="M265" s="118"/>
      <c r="N265" s="118"/>
      <c r="O265" s="118"/>
      <c r="P265" s="118"/>
    </row>
    <row r="266" spans="2:16">
      <c r="B266" s="118"/>
      <c r="C266" s="118"/>
      <c r="D266" s="118"/>
      <c r="E266" s="118"/>
      <c r="F266" s="118"/>
      <c r="G266" s="118"/>
      <c r="H266" s="118"/>
      <c r="I266" s="118"/>
      <c r="J266" s="118"/>
      <c r="K266" s="118"/>
      <c r="L266" s="118"/>
      <c r="M266" s="118"/>
      <c r="N266" s="118"/>
      <c r="O266" s="118"/>
      <c r="P266" s="118"/>
    </row>
    <row r="267" spans="2:16">
      <c r="B267" s="118"/>
      <c r="C267" s="118"/>
      <c r="D267" s="118"/>
      <c r="E267" s="118"/>
      <c r="F267" s="118"/>
      <c r="G267" s="118"/>
      <c r="H267" s="118"/>
      <c r="I267" s="118"/>
      <c r="J267" s="118"/>
      <c r="K267" s="118"/>
      <c r="L267" s="118"/>
      <c r="M267" s="118"/>
      <c r="N267" s="118"/>
      <c r="O267" s="118"/>
      <c r="P267" s="118"/>
    </row>
    <row r="268" spans="2:16">
      <c r="B268" s="118"/>
      <c r="C268" s="118"/>
      <c r="D268" s="118"/>
      <c r="E268" s="118"/>
      <c r="F268" s="118"/>
      <c r="G268" s="118"/>
      <c r="H268" s="118"/>
      <c r="I268" s="118"/>
      <c r="J268" s="118"/>
      <c r="K268" s="118"/>
      <c r="L268" s="118"/>
      <c r="M268" s="118"/>
      <c r="N268" s="118"/>
      <c r="O268" s="118"/>
      <c r="P268" s="118"/>
    </row>
    <row r="269" spans="2:16">
      <c r="B269" s="118"/>
      <c r="C269" s="118"/>
      <c r="D269" s="118"/>
      <c r="E269" s="118"/>
      <c r="F269" s="118"/>
      <c r="G269" s="118"/>
      <c r="H269" s="118"/>
      <c r="I269" s="118"/>
      <c r="J269" s="118"/>
      <c r="K269" s="118"/>
      <c r="L269" s="118"/>
      <c r="M269" s="118"/>
      <c r="N269" s="118"/>
      <c r="O269" s="118"/>
      <c r="P269" s="118"/>
    </row>
    <row r="270" spans="2:16">
      <c r="B270" s="118"/>
      <c r="C270" s="118"/>
      <c r="D270" s="118"/>
      <c r="E270" s="118"/>
      <c r="F270" s="118"/>
      <c r="G270" s="118"/>
      <c r="H270" s="118"/>
      <c r="I270" s="118"/>
      <c r="J270" s="118"/>
      <c r="K270" s="118"/>
      <c r="L270" s="118"/>
      <c r="M270" s="118"/>
      <c r="N270" s="118"/>
      <c r="O270" s="118"/>
      <c r="P270" s="118"/>
    </row>
    <row r="271" spans="2:16">
      <c r="B271" s="118"/>
      <c r="C271" s="118"/>
      <c r="D271" s="118"/>
      <c r="E271" s="118"/>
      <c r="F271" s="118"/>
      <c r="G271" s="118"/>
      <c r="H271" s="118"/>
      <c r="I271" s="118"/>
      <c r="J271" s="118"/>
      <c r="K271" s="118"/>
      <c r="L271" s="118"/>
      <c r="M271" s="118"/>
      <c r="N271" s="118"/>
      <c r="O271" s="118"/>
      <c r="P271" s="118"/>
    </row>
    <row r="272" spans="2:16">
      <c r="B272" s="118"/>
      <c r="C272" s="118"/>
      <c r="D272" s="118"/>
      <c r="E272" s="118"/>
      <c r="F272" s="118"/>
      <c r="G272" s="118"/>
      <c r="H272" s="118"/>
      <c r="I272" s="118"/>
      <c r="J272" s="118"/>
      <c r="K272" s="118"/>
      <c r="L272" s="118"/>
      <c r="M272" s="118"/>
      <c r="N272" s="118"/>
      <c r="O272" s="118"/>
      <c r="P272" s="118"/>
    </row>
    <row r="273" spans="2:16">
      <c r="B273" s="118"/>
      <c r="C273" s="118"/>
      <c r="D273" s="118"/>
      <c r="E273" s="118"/>
      <c r="F273" s="118"/>
      <c r="G273" s="118"/>
      <c r="H273" s="118"/>
      <c r="I273" s="118"/>
      <c r="J273" s="118"/>
      <c r="K273" s="118"/>
      <c r="L273" s="118"/>
      <c r="M273" s="118"/>
      <c r="N273" s="118"/>
      <c r="O273" s="118"/>
      <c r="P273" s="118"/>
    </row>
    <row r="274" spans="2:16">
      <c r="B274" s="118"/>
      <c r="C274" s="118"/>
      <c r="D274" s="118"/>
      <c r="E274" s="118"/>
      <c r="F274" s="118"/>
      <c r="G274" s="118"/>
      <c r="H274" s="118"/>
      <c r="I274" s="118"/>
      <c r="J274" s="118"/>
      <c r="K274" s="118"/>
      <c r="L274" s="118"/>
      <c r="M274" s="118"/>
      <c r="N274" s="118"/>
      <c r="O274" s="118"/>
      <c r="P274" s="118"/>
    </row>
    <row r="275" spans="2:16">
      <c r="B275" s="118"/>
      <c r="C275" s="118"/>
      <c r="D275" s="118"/>
      <c r="E275" s="118"/>
      <c r="F275" s="118"/>
      <c r="G275" s="118"/>
      <c r="H275" s="118"/>
      <c r="I275" s="118"/>
      <c r="J275" s="118"/>
      <c r="K275" s="118"/>
      <c r="L275" s="118"/>
      <c r="M275" s="118"/>
      <c r="N275" s="118"/>
      <c r="O275" s="118"/>
      <c r="P275" s="118"/>
    </row>
    <row r="276" spans="2:16">
      <c r="B276" s="118"/>
      <c r="C276" s="118"/>
      <c r="D276" s="118"/>
      <c r="E276" s="118"/>
      <c r="F276" s="118"/>
      <c r="G276" s="118"/>
      <c r="H276" s="118"/>
      <c r="I276" s="118"/>
      <c r="J276" s="118"/>
      <c r="K276" s="118"/>
      <c r="L276" s="118"/>
      <c r="M276" s="118"/>
      <c r="N276" s="118"/>
      <c r="O276" s="118"/>
      <c r="P276" s="118"/>
    </row>
    <row r="277" spans="2:16">
      <c r="B277" s="118"/>
      <c r="C277" s="118"/>
      <c r="D277" s="118"/>
      <c r="E277" s="118"/>
      <c r="F277" s="118"/>
      <c r="G277" s="118"/>
      <c r="H277" s="118"/>
      <c r="I277" s="118"/>
      <c r="J277" s="118"/>
      <c r="K277" s="118"/>
      <c r="L277" s="118"/>
      <c r="M277" s="118"/>
      <c r="N277" s="118"/>
      <c r="O277" s="118"/>
      <c r="P277" s="118"/>
    </row>
    <row r="278" spans="2:16">
      <c r="B278" s="118"/>
      <c r="C278" s="118"/>
      <c r="D278" s="118"/>
      <c r="E278" s="118"/>
      <c r="F278" s="118"/>
      <c r="G278" s="118"/>
      <c r="H278" s="118"/>
      <c r="I278" s="118"/>
      <c r="J278" s="118"/>
      <c r="K278" s="118"/>
      <c r="L278" s="118"/>
      <c r="M278" s="118"/>
      <c r="N278" s="118"/>
      <c r="O278" s="118"/>
      <c r="P278" s="118"/>
    </row>
    <row r="279" spans="2:16">
      <c r="B279" s="118"/>
      <c r="C279" s="118"/>
      <c r="D279" s="118"/>
      <c r="E279" s="118"/>
      <c r="F279" s="118"/>
      <c r="G279" s="118"/>
      <c r="H279" s="118"/>
      <c r="I279" s="118"/>
      <c r="J279" s="118"/>
      <c r="K279" s="118"/>
      <c r="L279" s="118"/>
      <c r="M279" s="118"/>
      <c r="N279" s="118"/>
      <c r="O279" s="118"/>
      <c r="P279" s="118"/>
    </row>
    <row r="280" spans="2:16">
      <c r="B280" s="118"/>
      <c r="C280" s="118"/>
      <c r="D280" s="118"/>
      <c r="E280" s="118"/>
      <c r="F280" s="118"/>
      <c r="G280" s="118"/>
      <c r="H280" s="118"/>
      <c r="I280" s="118"/>
      <c r="J280" s="118"/>
      <c r="K280" s="118"/>
      <c r="L280" s="118"/>
      <c r="M280" s="118"/>
      <c r="N280" s="118"/>
      <c r="O280" s="118"/>
      <c r="P280" s="118"/>
    </row>
    <row r="281" spans="2:16">
      <c r="B281" s="118"/>
      <c r="C281" s="118"/>
      <c r="D281" s="118"/>
      <c r="E281" s="118"/>
      <c r="F281" s="118"/>
      <c r="G281" s="118"/>
      <c r="H281" s="118"/>
      <c r="I281" s="118"/>
      <c r="J281" s="118"/>
      <c r="K281" s="118"/>
      <c r="L281" s="118"/>
      <c r="M281" s="118"/>
      <c r="N281" s="118"/>
      <c r="O281" s="118"/>
      <c r="P281" s="118"/>
    </row>
    <row r="282" spans="2:16">
      <c r="B282" s="118"/>
      <c r="C282" s="118"/>
      <c r="D282" s="118"/>
      <c r="E282" s="118"/>
      <c r="F282" s="118"/>
      <c r="G282" s="118"/>
      <c r="H282" s="118"/>
      <c r="I282" s="118"/>
      <c r="J282" s="118"/>
      <c r="K282" s="118"/>
      <c r="L282" s="118"/>
      <c r="M282" s="118"/>
      <c r="N282" s="118"/>
      <c r="O282" s="118"/>
      <c r="P282" s="118"/>
    </row>
    <row r="283" spans="2:16">
      <c r="B283" s="118"/>
      <c r="C283" s="118"/>
      <c r="D283" s="118"/>
      <c r="E283" s="118"/>
      <c r="F283" s="118"/>
      <c r="G283" s="118"/>
      <c r="H283" s="118"/>
      <c r="I283" s="118"/>
      <c r="J283" s="118"/>
      <c r="K283" s="118"/>
      <c r="L283" s="118"/>
      <c r="M283" s="118"/>
      <c r="N283" s="118"/>
      <c r="O283" s="118"/>
      <c r="P283" s="118"/>
    </row>
    <row r="284" spans="2:16">
      <c r="B284" s="118"/>
      <c r="C284" s="118"/>
      <c r="D284" s="118"/>
      <c r="E284" s="118"/>
      <c r="F284" s="118"/>
      <c r="G284" s="118"/>
      <c r="H284" s="118"/>
      <c r="I284" s="118"/>
      <c r="J284" s="118"/>
      <c r="K284" s="118"/>
      <c r="L284" s="118"/>
      <c r="M284" s="118"/>
      <c r="N284" s="118"/>
      <c r="O284" s="118"/>
      <c r="P284" s="118"/>
    </row>
    <row r="285" spans="2:16">
      <c r="B285" s="118"/>
      <c r="C285" s="118"/>
      <c r="D285" s="118"/>
      <c r="E285" s="118"/>
      <c r="F285" s="118"/>
      <c r="G285" s="118"/>
      <c r="H285" s="118"/>
      <c r="I285" s="118"/>
      <c r="J285" s="118"/>
      <c r="K285" s="118"/>
      <c r="L285" s="118"/>
      <c r="M285" s="118"/>
      <c r="N285" s="118"/>
      <c r="O285" s="118"/>
      <c r="P285" s="118"/>
    </row>
    <row r="286" spans="2:16">
      <c r="B286" s="118"/>
      <c r="C286" s="118"/>
      <c r="D286" s="118"/>
      <c r="E286" s="118"/>
      <c r="F286" s="118"/>
      <c r="G286" s="118"/>
      <c r="H286" s="118"/>
      <c r="I286" s="118"/>
      <c r="J286" s="118"/>
      <c r="K286" s="118"/>
      <c r="L286" s="118"/>
      <c r="M286" s="118"/>
      <c r="N286" s="118"/>
      <c r="O286" s="118"/>
      <c r="P286" s="118"/>
    </row>
    <row r="287" spans="2:16">
      <c r="B287" s="118"/>
      <c r="C287" s="118"/>
      <c r="D287" s="118"/>
      <c r="E287" s="118"/>
      <c r="F287" s="118"/>
      <c r="G287" s="118"/>
      <c r="H287" s="118"/>
      <c r="I287" s="118"/>
      <c r="J287" s="118"/>
      <c r="K287" s="118"/>
      <c r="L287" s="118"/>
      <c r="M287" s="118"/>
      <c r="N287" s="118"/>
      <c r="O287" s="118"/>
      <c r="P287" s="118"/>
    </row>
    <row r="288" spans="2:16">
      <c r="B288" s="118"/>
      <c r="C288" s="118"/>
      <c r="D288" s="118"/>
      <c r="E288" s="118"/>
      <c r="F288" s="118"/>
      <c r="G288" s="118"/>
      <c r="H288" s="118"/>
      <c r="I288" s="118"/>
      <c r="J288" s="118"/>
      <c r="K288" s="118"/>
      <c r="L288" s="118"/>
      <c r="M288" s="118"/>
      <c r="N288" s="118"/>
      <c r="O288" s="118"/>
      <c r="P288" s="118"/>
    </row>
    <row r="289" spans="2:16">
      <c r="B289" s="118"/>
      <c r="C289" s="118"/>
      <c r="D289" s="118"/>
      <c r="E289" s="118"/>
      <c r="F289" s="118"/>
      <c r="G289" s="118"/>
      <c r="H289" s="118"/>
      <c r="I289" s="118"/>
      <c r="J289" s="118"/>
      <c r="K289" s="118"/>
      <c r="L289" s="118"/>
      <c r="M289" s="118"/>
      <c r="N289" s="118"/>
      <c r="O289" s="118"/>
      <c r="P289" s="118"/>
    </row>
    <row r="290" spans="2:16">
      <c r="B290" s="118"/>
      <c r="C290" s="118"/>
      <c r="D290" s="118"/>
      <c r="E290" s="118"/>
      <c r="F290" s="118"/>
      <c r="G290" s="118"/>
      <c r="H290" s="118"/>
      <c r="I290" s="118"/>
      <c r="J290" s="118"/>
      <c r="K290" s="118"/>
      <c r="L290" s="118"/>
      <c r="M290" s="118"/>
      <c r="N290" s="118"/>
      <c r="O290" s="118"/>
      <c r="P290" s="118"/>
    </row>
    <row r="291" spans="2:16">
      <c r="B291" s="118"/>
      <c r="C291" s="118"/>
      <c r="D291" s="118"/>
      <c r="E291" s="118"/>
      <c r="F291" s="118"/>
      <c r="G291" s="118"/>
      <c r="H291" s="118"/>
      <c r="I291" s="118"/>
      <c r="J291" s="118"/>
      <c r="K291" s="118"/>
      <c r="L291" s="118"/>
      <c r="M291" s="118"/>
      <c r="N291" s="118"/>
      <c r="O291" s="118"/>
      <c r="P291" s="118"/>
    </row>
    <row r="292" spans="2:16">
      <c r="B292" s="118"/>
      <c r="C292" s="118"/>
      <c r="D292" s="118"/>
      <c r="E292" s="118"/>
      <c r="F292" s="118"/>
      <c r="G292" s="118"/>
      <c r="H292" s="118"/>
      <c r="I292" s="118"/>
      <c r="J292" s="118"/>
      <c r="K292" s="118"/>
      <c r="L292" s="118"/>
      <c r="M292" s="118"/>
      <c r="N292" s="118"/>
      <c r="O292" s="118"/>
      <c r="P292" s="118"/>
    </row>
    <row r="293" spans="2:16">
      <c r="B293" s="118"/>
      <c r="C293" s="118"/>
      <c r="D293" s="118"/>
      <c r="E293" s="118"/>
      <c r="F293" s="118"/>
      <c r="G293" s="118"/>
      <c r="H293" s="118"/>
      <c r="I293" s="118"/>
      <c r="J293" s="118"/>
      <c r="K293" s="118"/>
      <c r="L293" s="118"/>
      <c r="M293" s="118"/>
      <c r="N293" s="118"/>
      <c r="O293" s="118"/>
      <c r="P293" s="118"/>
    </row>
    <row r="294" spans="2:16">
      <c r="B294" s="118"/>
      <c r="C294" s="118"/>
      <c r="D294" s="118"/>
      <c r="E294" s="118"/>
      <c r="F294" s="118"/>
      <c r="G294" s="118"/>
      <c r="H294" s="118"/>
      <c r="I294" s="118"/>
      <c r="J294" s="118"/>
      <c r="K294" s="118"/>
      <c r="L294" s="118"/>
      <c r="M294" s="118"/>
      <c r="N294" s="118"/>
      <c r="O294" s="118"/>
      <c r="P294" s="118"/>
    </row>
    <row r="295" spans="2:16">
      <c r="B295" s="118"/>
      <c r="C295" s="118"/>
      <c r="D295" s="118"/>
      <c r="E295" s="118"/>
      <c r="F295" s="118"/>
      <c r="G295" s="118"/>
      <c r="H295" s="118"/>
      <c r="I295" s="118"/>
      <c r="J295" s="118"/>
      <c r="K295" s="118"/>
      <c r="L295" s="118"/>
      <c r="M295" s="118"/>
      <c r="N295" s="118"/>
      <c r="O295" s="118"/>
      <c r="P295" s="118"/>
    </row>
    <row r="296" spans="2:16">
      <c r="B296" s="118"/>
      <c r="C296" s="118"/>
      <c r="D296" s="118"/>
      <c r="E296" s="118"/>
      <c r="F296" s="118"/>
      <c r="G296" s="118"/>
      <c r="H296" s="118"/>
      <c r="I296" s="118"/>
      <c r="J296" s="118"/>
      <c r="K296" s="118"/>
      <c r="L296" s="118"/>
      <c r="M296" s="118"/>
      <c r="N296" s="118"/>
      <c r="O296" s="118"/>
      <c r="P296" s="118"/>
    </row>
    <row r="297" spans="2:16">
      <c r="B297" s="118"/>
      <c r="C297" s="118"/>
      <c r="D297" s="118"/>
      <c r="E297" s="118"/>
      <c r="F297" s="118"/>
      <c r="G297" s="118"/>
      <c r="H297" s="118"/>
      <c r="I297" s="118"/>
      <c r="J297" s="118"/>
      <c r="K297" s="118"/>
      <c r="L297" s="118"/>
      <c r="M297" s="118"/>
      <c r="N297" s="118"/>
      <c r="O297" s="118"/>
      <c r="P297" s="118"/>
    </row>
    <row r="298" spans="2:16">
      <c r="B298" s="118"/>
      <c r="C298" s="118"/>
      <c r="D298" s="118"/>
      <c r="E298" s="118"/>
      <c r="F298" s="118"/>
      <c r="G298" s="118"/>
      <c r="H298" s="118"/>
      <c r="I298" s="118"/>
      <c r="J298" s="118"/>
      <c r="K298" s="118"/>
      <c r="L298" s="118"/>
      <c r="M298" s="118"/>
      <c r="N298" s="118"/>
      <c r="O298" s="118"/>
      <c r="P298" s="118"/>
    </row>
    <row r="299" spans="2:16">
      <c r="B299" s="118"/>
      <c r="C299" s="118"/>
      <c r="D299" s="118"/>
      <c r="E299" s="118"/>
      <c r="F299" s="118"/>
      <c r="G299" s="118"/>
      <c r="H299" s="118"/>
      <c r="I299" s="118"/>
      <c r="J299" s="118"/>
      <c r="K299" s="118"/>
      <c r="L299" s="118"/>
      <c r="M299" s="118"/>
      <c r="N299" s="118"/>
      <c r="O299" s="118"/>
      <c r="P299" s="118"/>
    </row>
    <row r="300" spans="2:16">
      <c r="B300" s="118"/>
      <c r="C300" s="118"/>
      <c r="D300" s="118"/>
      <c r="E300" s="118"/>
      <c r="F300" s="118"/>
      <c r="G300" s="118"/>
      <c r="H300" s="118"/>
      <c r="I300" s="118"/>
      <c r="J300" s="118"/>
      <c r="K300" s="118"/>
      <c r="L300" s="118"/>
      <c r="M300" s="118"/>
      <c r="N300" s="118"/>
      <c r="O300" s="118"/>
      <c r="P300" s="118"/>
    </row>
    <row r="301" spans="2:16">
      <c r="B301" s="118"/>
      <c r="C301" s="118"/>
      <c r="D301" s="118"/>
      <c r="E301" s="118"/>
      <c r="F301" s="118"/>
      <c r="G301" s="118"/>
      <c r="H301" s="118"/>
      <c r="I301" s="118"/>
      <c r="J301" s="118"/>
      <c r="K301" s="118"/>
      <c r="L301" s="118"/>
      <c r="M301" s="118"/>
      <c r="N301" s="118"/>
      <c r="O301" s="118"/>
      <c r="P301" s="118"/>
    </row>
    <row r="302" spans="2:16">
      <c r="B302" s="118"/>
      <c r="C302" s="118"/>
      <c r="D302" s="118"/>
      <c r="E302" s="118"/>
      <c r="F302" s="118"/>
      <c r="G302" s="118"/>
      <c r="H302" s="118"/>
      <c r="I302" s="118"/>
      <c r="J302" s="118"/>
      <c r="K302" s="118"/>
      <c r="L302" s="118"/>
      <c r="M302" s="118"/>
      <c r="N302" s="118"/>
      <c r="O302" s="118"/>
      <c r="P302" s="118"/>
    </row>
    <row r="303" spans="2:16">
      <c r="B303" s="118"/>
      <c r="C303" s="118"/>
      <c r="D303" s="118"/>
      <c r="E303" s="118"/>
      <c r="F303" s="118"/>
      <c r="G303" s="118"/>
      <c r="H303" s="118"/>
      <c r="I303" s="118"/>
      <c r="J303" s="118"/>
      <c r="K303" s="118"/>
      <c r="L303" s="118"/>
      <c r="M303" s="118"/>
      <c r="N303" s="118"/>
      <c r="O303" s="118"/>
      <c r="P303" s="118"/>
    </row>
    <row r="304" spans="2:16">
      <c r="B304" s="118"/>
      <c r="C304" s="118"/>
      <c r="D304" s="118"/>
      <c r="E304" s="118"/>
      <c r="F304" s="118"/>
      <c r="G304" s="118"/>
      <c r="H304" s="118"/>
      <c r="I304" s="118"/>
      <c r="J304" s="118"/>
      <c r="K304" s="118"/>
      <c r="L304" s="118"/>
      <c r="M304" s="118"/>
      <c r="N304" s="118"/>
      <c r="O304" s="118"/>
      <c r="P304" s="118"/>
    </row>
    <row r="305" spans="2:16">
      <c r="B305" s="118"/>
      <c r="C305" s="118"/>
      <c r="D305" s="118"/>
      <c r="E305" s="118"/>
      <c r="F305" s="118"/>
      <c r="G305" s="118"/>
      <c r="H305" s="118"/>
      <c r="I305" s="118"/>
      <c r="J305" s="118"/>
      <c r="K305" s="118"/>
      <c r="L305" s="118"/>
      <c r="M305" s="118"/>
      <c r="N305" s="118"/>
      <c r="O305" s="118"/>
      <c r="P305" s="118"/>
    </row>
    <row r="306" spans="2:16">
      <c r="B306" s="118"/>
      <c r="C306" s="118"/>
      <c r="D306" s="118"/>
      <c r="E306" s="118"/>
      <c r="F306" s="118"/>
      <c r="G306" s="118"/>
      <c r="H306" s="118"/>
      <c r="I306" s="118"/>
      <c r="J306" s="118"/>
      <c r="K306" s="118"/>
      <c r="L306" s="118"/>
      <c r="M306" s="118"/>
      <c r="N306" s="118"/>
      <c r="O306" s="118"/>
      <c r="P306" s="118"/>
    </row>
    <row r="307" spans="2:16">
      <c r="B307" s="118"/>
      <c r="C307" s="118"/>
      <c r="D307" s="118"/>
      <c r="E307" s="118"/>
      <c r="F307" s="118"/>
      <c r="G307" s="118"/>
      <c r="H307" s="118"/>
      <c r="I307" s="118"/>
      <c r="J307" s="118"/>
      <c r="K307" s="118"/>
      <c r="L307" s="118"/>
      <c r="M307" s="118"/>
      <c r="N307" s="118"/>
      <c r="O307" s="118"/>
      <c r="P307" s="118"/>
    </row>
    <row r="308" spans="2:16">
      <c r="B308" s="118"/>
      <c r="C308" s="118"/>
      <c r="D308" s="118"/>
      <c r="E308" s="118"/>
      <c r="F308" s="118"/>
      <c r="G308" s="118"/>
      <c r="H308" s="118"/>
      <c r="I308" s="118"/>
      <c r="J308" s="118"/>
      <c r="K308" s="118"/>
      <c r="L308" s="118"/>
      <c r="M308" s="118"/>
      <c r="N308" s="118"/>
      <c r="O308" s="118"/>
      <c r="P308" s="118"/>
    </row>
    <row r="309" spans="2:16">
      <c r="B309" s="118"/>
      <c r="C309" s="118"/>
      <c r="D309" s="118"/>
      <c r="E309" s="118"/>
      <c r="F309" s="118"/>
      <c r="G309" s="118"/>
      <c r="H309" s="118"/>
      <c r="I309" s="118"/>
      <c r="J309" s="118"/>
      <c r="K309" s="118"/>
      <c r="L309" s="118"/>
      <c r="M309" s="118"/>
      <c r="N309" s="118"/>
      <c r="O309" s="118"/>
      <c r="P309" s="118"/>
    </row>
    <row r="310" spans="2:16">
      <c r="B310" s="118"/>
      <c r="C310" s="118"/>
      <c r="D310" s="118"/>
      <c r="E310" s="118"/>
      <c r="F310" s="118"/>
      <c r="G310" s="118"/>
      <c r="H310" s="118"/>
      <c r="I310" s="118"/>
      <c r="J310" s="118"/>
      <c r="K310" s="118"/>
      <c r="L310" s="118"/>
      <c r="M310" s="118"/>
      <c r="N310" s="118"/>
      <c r="O310" s="118"/>
      <c r="P310" s="118"/>
    </row>
    <row r="311" spans="2:16">
      <c r="B311" s="118"/>
      <c r="C311" s="118"/>
      <c r="D311" s="118"/>
      <c r="E311" s="118"/>
      <c r="F311" s="118"/>
      <c r="G311" s="118"/>
      <c r="H311" s="118"/>
      <c r="I311" s="118"/>
      <c r="J311" s="118"/>
      <c r="K311" s="118"/>
      <c r="L311" s="118"/>
      <c r="M311" s="118"/>
      <c r="N311" s="118"/>
      <c r="O311" s="118"/>
      <c r="P311" s="118"/>
    </row>
    <row r="312" spans="2:16">
      <c r="B312" s="118"/>
      <c r="C312" s="118"/>
      <c r="D312" s="118"/>
      <c r="E312" s="118"/>
      <c r="F312" s="118"/>
      <c r="G312" s="118"/>
      <c r="H312" s="118"/>
      <c r="I312" s="118"/>
      <c r="J312" s="118"/>
      <c r="K312" s="118"/>
      <c r="L312" s="118"/>
      <c r="M312" s="118"/>
      <c r="N312" s="118"/>
      <c r="O312" s="118"/>
      <c r="P312" s="118"/>
    </row>
    <row r="313" spans="2:16">
      <c r="B313" s="118"/>
      <c r="C313" s="118"/>
      <c r="D313" s="118"/>
      <c r="E313" s="118"/>
      <c r="F313" s="118"/>
      <c r="G313" s="118"/>
      <c r="H313" s="118"/>
      <c r="I313" s="118"/>
      <c r="J313" s="118"/>
      <c r="K313" s="118"/>
      <c r="L313" s="118"/>
      <c r="M313" s="118"/>
      <c r="N313" s="118"/>
      <c r="O313" s="118"/>
      <c r="P313" s="118"/>
    </row>
    <row r="314" spans="2:16">
      <c r="B314" s="118"/>
      <c r="C314" s="118"/>
      <c r="D314" s="118"/>
      <c r="E314" s="118"/>
      <c r="F314" s="118"/>
      <c r="G314" s="118"/>
      <c r="H314" s="118"/>
      <c r="I314" s="118"/>
      <c r="J314" s="118"/>
      <c r="K314" s="118"/>
      <c r="L314" s="118"/>
      <c r="M314" s="118"/>
      <c r="N314" s="118"/>
      <c r="O314" s="118"/>
      <c r="P314" s="118"/>
    </row>
    <row r="315" spans="2:16">
      <c r="B315" s="118"/>
      <c r="C315" s="118"/>
      <c r="D315" s="118"/>
      <c r="E315" s="118"/>
      <c r="F315" s="118"/>
      <c r="G315" s="118"/>
      <c r="H315" s="118"/>
      <c r="I315" s="118"/>
      <c r="J315" s="118"/>
      <c r="K315" s="118"/>
      <c r="L315" s="118"/>
      <c r="M315" s="118"/>
      <c r="N315" s="118"/>
      <c r="O315" s="118"/>
      <c r="P315" s="118"/>
    </row>
    <row r="316" spans="2:16">
      <c r="B316" s="118"/>
      <c r="C316" s="118"/>
      <c r="D316" s="118"/>
      <c r="E316" s="118"/>
      <c r="F316" s="118"/>
      <c r="G316" s="118"/>
      <c r="H316" s="118"/>
      <c r="I316" s="118"/>
      <c r="J316" s="118"/>
      <c r="K316" s="118"/>
      <c r="L316" s="118"/>
      <c r="M316" s="118"/>
      <c r="N316" s="118"/>
      <c r="O316" s="118"/>
      <c r="P316" s="118"/>
    </row>
    <row r="317" spans="2:16">
      <c r="B317" s="118"/>
      <c r="C317" s="118"/>
      <c r="D317" s="118"/>
      <c r="E317" s="118"/>
      <c r="F317" s="118"/>
      <c r="G317" s="118"/>
      <c r="H317" s="118"/>
      <c r="I317" s="118"/>
      <c r="J317" s="118"/>
      <c r="K317" s="118"/>
      <c r="L317" s="118"/>
      <c r="M317" s="118"/>
      <c r="N317" s="118"/>
      <c r="O317" s="118"/>
      <c r="P317" s="118"/>
    </row>
    <row r="318" spans="2:16">
      <c r="B318" s="118"/>
      <c r="C318" s="118"/>
      <c r="D318" s="118"/>
      <c r="E318" s="118"/>
      <c r="F318" s="118"/>
      <c r="G318" s="118"/>
      <c r="H318" s="118"/>
      <c r="I318" s="118"/>
      <c r="J318" s="118"/>
      <c r="K318" s="118"/>
      <c r="L318" s="118"/>
      <c r="M318" s="118"/>
      <c r="N318" s="118"/>
      <c r="O318" s="118"/>
      <c r="P318" s="118"/>
    </row>
    <row r="319" spans="2:16">
      <c r="B319" s="118"/>
      <c r="C319" s="118"/>
      <c r="D319" s="118"/>
      <c r="E319" s="118"/>
      <c r="F319" s="118"/>
      <c r="G319" s="118"/>
      <c r="H319" s="118"/>
      <c r="I319" s="118"/>
      <c r="J319" s="118"/>
      <c r="K319" s="118"/>
      <c r="L319" s="118"/>
      <c r="M319" s="118"/>
      <c r="N319" s="118"/>
      <c r="O319" s="118"/>
      <c r="P319" s="118"/>
    </row>
    <row r="320" spans="2:16">
      <c r="B320" s="118"/>
      <c r="C320" s="118"/>
      <c r="D320" s="118"/>
      <c r="E320" s="118"/>
      <c r="F320" s="118"/>
      <c r="G320" s="118"/>
      <c r="H320" s="118"/>
      <c r="I320" s="118"/>
      <c r="J320" s="118"/>
      <c r="K320" s="118"/>
      <c r="L320" s="118"/>
      <c r="M320" s="118"/>
      <c r="N320" s="118"/>
      <c r="O320" s="118"/>
      <c r="P320" s="118"/>
    </row>
    <row r="321" spans="2:16">
      <c r="B321" s="118"/>
      <c r="C321" s="118"/>
      <c r="D321" s="118"/>
      <c r="E321" s="118"/>
      <c r="F321" s="118"/>
      <c r="G321" s="118"/>
      <c r="H321" s="118"/>
      <c r="I321" s="118"/>
      <c r="J321" s="118"/>
      <c r="K321" s="118"/>
      <c r="L321" s="118"/>
      <c r="M321" s="118"/>
      <c r="N321" s="118"/>
      <c r="O321" s="118"/>
      <c r="P321" s="118"/>
    </row>
    <row r="322" spans="2:16">
      <c r="B322" s="118"/>
      <c r="C322" s="118"/>
      <c r="D322" s="118"/>
      <c r="E322" s="118"/>
      <c r="F322" s="118"/>
      <c r="G322" s="118"/>
      <c r="H322" s="118"/>
      <c r="I322" s="118"/>
      <c r="J322" s="118"/>
      <c r="K322" s="118"/>
      <c r="L322" s="118"/>
      <c r="M322" s="118"/>
      <c r="N322" s="118"/>
      <c r="O322" s="118"/>
      <c r="P322" s="118"/>
    </row>
    <row r="323" spans="2:16">
      <c r="B323" s="118"/>
      <c r="C323" s="118"/>
      <c r="D323" s="118"/>
      <c r="E323" s="118"/>
      <c r="F323" s="118"/>
      <c r="G323" s="118"/>
      <c r="H323" s="118"/>
      <c r="I323" s="118"/>
      <c r="J323" s="118"/>
      <c r="K323" s="118"/>
      <c r="L323" s="118"/>
      <c r="M323" s="118"/>
      <c r="N323" s="118"/>
      <c r="O323" s="118"/>
      <c r="P323" s="118"/>
    </row>
    <row r="324" spans="2:16">
      <c r="B324" s="118"/>
      <c r="C324" s="118"/>
      <c r="D324" s="118"/>
      <c r="E324" s="118"/>
      <c r="F324" s="118"/>
      <c r="G324" s="118"/>
      <c r="H324" s="118"/>
      <c r="I324" s="118"/>
      <c r="J324" s="118"/>
      <c r="K324" s="118"/>
      <c r="L324" s="118"/>
      <c r="M324" s="118"/>
      <c r="N324" s="118"/>
      <c r="O324" s="118"/>
      <c r="P324" s="118"/>
    </row>
    <row r="325" spans="2:16">
      <c r="B325" s="118"/>
      <c r="C325" s="118"/>
      <c r="D325" s="118"/>
      <c r="E325" s="118"/>
      <c r="F325" s="118"/>
      <c r="G325" s="118"/>
      <c r="H325" s="118"/>
      <c r="I325" s="118"/>
      <c r="J325" s="118"/>
      <c r="K325" s="118"/>
      <c r="L325" s="118"/>
      <c r="M325" s="118"/>
      <c r="N325" s="118"/>
      <c r="O325" s="118"/>
      <c r="P325" s="118"/>
    </row>
    <row r="326" spans="2:16">
      <c r="B326" s="118"/>
      <c r="C326" s="118"/>
      <c r="D326" s="118"/>
      <c r="E326" s="118"/>
      <c r="F326" s="118"/>
      <c r="G326" s="118"/>
      <c r="H326" s="118"/>
      <c r="I326" s="118"/>
      <c r="J326" s="118"/>
      <c r="K326" s="118"/>
      <c r="L326" s="118"/>
      <c r="M326" s="118"/>
      <c r="N326" s="118"/>
      <c r="O326" s="118"/>
      <c r="P326" s="118"/>
    </row>
    <row r="327" spans="2:16">
      <c r="B327" s="118"/>
      <c r="C327" s="118"/>
      <c r="D327" s="118"/>
      <c r="E327" s="118"/>
      <c r="F327" s="118"/>
      <c r="G327" s="118"/>
      <c r="H327" s="118"/>
      <c r="I327" s="118"/>
      <c r="J327" s="118"/>
      <c r="K327" s="118"/>
      <c r="L327" s="118"/>
      <c r="M327" s="118"/>
      <c r="N327" s="118"/>
      <c r="O327" s="118"/>
      <c r="P327" s="118"/>
    </row>
    <row r="328" spans="2:16">
      <c r="B328" s="118"/>
      <c r="C328" s="118"/>
      <c r="D328" s="118"/>
      <c r="E328" s="118"/>
      <c r="F328" s="118"/>
      <c r="G328" s="118"/>
      <c r="H328" s="118"/>
      <c r="I328" s="118"/>
      <c r="J328" s="118"/>
      <c r="K328" s="118"/>
      <c r="L328" s="118"/>
      <c r="M328" s="118"/>
      <c r="N328" s="118"/>
      <c r="O328" s="118"/>
      <c r="P328" s="118"/>
    </row>
    <row r="329" spans="2:16">
      <c r="B329" s="118"/>
      <c r="C329" s="118"/>
      <c r="D329" s="118"/>
      <c r="E329" s="118"/>
      <c r="F329" s="118"/>
      <c r="G329" s="118"/>
      <c r="H329" s="118"/>
      <c r="I329" s="118"/>
      <c r="J329" s="118"/>
      <c r="K329" s="118"/>
      <c r="L329" s="118"/>
      <c r="M329" s="118"/>
      <c r="N329" s="118"/>
      <c r="O329" s="118"/>
      <c r="P329" s="118"/>
    </row>
    <row r="330" spans="2:16">
      <c r="B330" s="118"/>
      <c r="C330" s="118"/>
      <c r="D330" s="118"/>
      <c r="E330" s="118"/>
      <c r="F330" s="118"/>
      <c r="G330" s="118"/>
      <c r="H330" s="118"/>
      <c r="I330" s="118"/>
      <c r="J330" s="118"/>
      <c r="K330" s="118"/>
      <c r="L330" s="118"/>
      <c r="M330" s="118"/>
      <c r="N330" s="118"/>
      <c r="O330" s="118"/>
      <c r="P330" s="118"/>
    </row>
    <row r="331" spans="2:16">
      <c r="B331" s="118"/>
      <c r="C331" s="118"/>
      <c r="D331" s="118"/>
      <c r="E331" s="118"/>
      <c r="F331" s="118"/>
      <c r="G331" s="118"/>
      <c r="H331" s="118"/>
      <c r="I331" s="118"/>
      <c r="J331" s="118"/>
      <c r="K331" s="118"/>
      <c r="L331" s="118"/>
      <c r="M331" s="118"/>
      <c r="N331" s="118"/>
      <c r="O331" s="118"/>
      <c r="P331" s="118"/>
    </row>
    <row r="332" spans="2:16">
      <c r="B332" s="118"/>
      <c r="C332" s="118"/>
      <c r="D332" s="118"/>
      <c r="E332" s="118"/>
      <c r="F332" s="118"/>
      <c r="G332" s="118"/>
      <c r="H332" s="118"/>
      <c r="I332" s="118"/>
      <c r="J332" s="118"/>
      <c r="K332" s="118"/>
      <c r="L332" s="118"/>
      <c r="M332" s="118"/>
      <c r="N332" s="118"/>
      <c r="O332" s="118"/>
      <c r="P332" s="118"/>
    </row>
    <row r="333" spans="2:16">
      <c r="B333" s="118"/>
      <c r="C333" s="118"/>
      <c r="D333" s="118"/>
      <c r="E333" s="118"/>
      <c r="F333" s="118"/>
      <c r="G333" s="118"/>
      <c r="H333" s="118"/>
      <c r="I333" s="118"/>
      <c r="J333" s="118"/>
      <c r="K333" s="118"/>
      <c r="L333" s="118"/>
      <c r="M333" s="118"/>
      <c r="N333" s="118"/>
      <c r="O333" s="118"/>
      <c r="P333" s="118"/>
    </row>
    <row r="334" spans="2:16">
      <c r="B334" s="118"/>
      <c r="C334" s="118"/>
      <c r="D334" s="118"/>
      <c r="E334" s="118"/>
      <c r="F334" s="118"/>
      <c r="G334" s="118"/>
      <c r="H334" s="118"/>
      <c r="I334" s="118"/>
      <c r="J334" s="118"/>
      <c r="K334" s="118"/>
      <c r="L334" s="118"/>
      <c r="M334" s="118"/>
      <c r="N334" s="118"/>
      <c r="O334" s="118"/>
      <c r="P334" s="118"/>
    </row>
    <row r="335" spans="2:16">
      <c r="B335" s="118"/>
      <c r="C335" s="118"/>
      <c r="D335" s="118"/>
      <c r="E335" s="118"/>
      <c r="F335" s="118"/>
      <c r="G335" s="118"/>
      <c r="H335" s="118"/>
      <c r="I335" s="118"/>
      <c r="J335" s="118"/>
      <c r="K335" s="118"/>
      <c r="L335" s="118"/>
      <c r="M335" s="118"/>
      <c r="N335" s="118"/>
      <c r="O335" s="118"/>
      <c r="P335" s="118"/>
    </row>
    <row r="336" spans="2:16">
      <c r="B336" s="118"/>
      <c r="C336" s="118"/>
      <c r="D336" s="118"/>
      <c r="E336" s="118"/>
      <c r="F336" s="118"/>
      <c r="G336" s="118"/>
      <c r="H336" s="118"/>
      <c r="I336" s="118"/>
      <c r="J336" s="118"/>
      <c r="K336" s="118"/>
      <c r="L336" s="118"/>
      <c r="M336" s="118"/>
      <c r="N336" s="118"/>
      <c r="O336" s="118"/>
      <c r="P336" s="118"/>
    </row>
    <row r="337" spans="2:16">
      <c r="B337" s="118"/>
      <c r="C337" s="118"/>
      <c r="D337" s="118"/>
      <c r="E337" s="118"/>
      <c r="F337" s="118"/>
      <c r="G337" s="118"/>
      <c r="H337" s="118"/>
      <c r="I337" s="118"/>
      <c r="J337" s="118"/>
      <c r="K337" s="118"/>
      <c r="L337" s="118"/>
      <c r="M337" s="118"/>
      <c r="N337" s="118"/>
      <c r="O337" s="118"/>
      <c r="P337" s="118"/>
    </row>
    <row r="338" spans="2:16">
      <c r="B338" s="118"/>
      <c r="C338" s="118"/>
      <c r="D338" s="118"/>
      <c r="E338" s="118"/>
      <c r="F338" s="118"/>
      <c r="G338" s="118"/>
      <c r="H338" s="118"/>
      <c r="I338" s="118"/>
      <c r="J338" s="118"/>
      <c r="K338" s="118"/>
      <c r="L338" s="118"/>
      <c r="M338" s="118"/>
      <c r="N338" s="118"/>
      <c r="O338" s="118"/>
      <c r="P338" s="118"/>
    </row>
    <row r="339" spans="2:16">
      <c r="B339" s="118"/>
      <c r="C339" s="118"/>
      <c r="D339" s="118"/>
      <c r="E339" s="118"/>
      <c r="F339" s="118"/>
      <c r="G339" s="118"/>
      <c r="H339" s="118"/>
      <c r="I339" s="118"/>
      <c r="J339" s="118"/>
      <c r="K339" s="118"/>
      <c r="L339" s="118"/>
      <c r="M339" s="118"/>
      <c r="N339" s="118"/>
      <c r="O339" s="118"/>
      <c r="P339" s="118"/>
    </row>
    <row r="340" spans="2:16">
      <c r="B340" s="118"/>
      <c r="C340" s="118"/>
      <c r="D340" s="118"/>
      <c r="E340" s="118"/>
      <c r="F340" s="118"/>
      <c r="G340" s="118"/>
      <c r="H340" s="118"/>
      <c r="I340" s="118"/>
      <c r="J340" s="118"/>
      <c r="K340" s="118"/>
      <c r="L340" s="118"/>
      <c r="M340" s="118"/>
      <c r="N340" s="118"/>
      <c r="O340" s="118"/>
      <c r="P340" s="118"/>
    </row>
    <row r="341" spans="2:16">
      <c r="B341" s="118"/>
      <c r="C341" s="118"/>
      <c r="D341" s="118"/>
      <c r="E341" s="118"/>
      <c r="F341" s="118"/>
      <c r="G341" s="118"/>
      <c r="H341" s="118"/>
      <c r="I341" s="118"/>
      <c r="J341" s="118"/>
      <c r="K341" s="118"/>
      <c r="L341" s="118"/>
      <c r="M341" s="118"/>
      <c r="N341" s="118"/>
      <c r="O341" s="118"/>
      <c r="P341" s="118"/>
    </row>
    <row r="342" spans="2:16">
      <c r="B342" s="118"/>
      <c r="C342" s="118"/>
      <c r="D342" s="118"/>
      <c r="E342" s="118"/>
      <c r="F342" s="118"/>
      <c r="G342" s="118"/>
      <c r="H342" s="118"/>
      <c r="I342" s="118"/>
      <c r="J342" s="118"/>
      <c r="K342" s="118"/>
      <c r="L342" s="118"/>
      <c r="M342" s="118"/>
      <c r="N342" s="118"/>
      <c r="O342" s="118"/>
      <c r="P342" s="118"/>
    </row>
    <row r="343" spans="2:16">
      <c r="B343" s="118"/>
      <c r="C343" s="118"/>
      <c r="D343" s="118"/>
      <c r="E343" s="118"/>
      <c r="F343" s="118"/>
      <c r="G343" s="118"/>
      <c r="H343" s="118"/>
      <c r="I343" s="118"/>
      <c r="J343" s="118"/>
      <c r="K343" s="118"/>
      <c r="L343" s="118"/>
      <c r="M343" s="118"/>
      <c r="N343" s="118"/>
      <c r="O343" s="118"/>
      <c r="P343" s="118"/>
    </row>
    <row r="344" spans="2:16">
      <c r="B344" s="118"/>
      <c r="C344" s="118"/>
      <c r="D344" s="118"/>
      <c r="E344" s="118"/>
      <c r="F344" s="118"/>
      <c r="G344" s="118"/>
      <c r="H344" s="118"/>
      <c r="I344" s="118"/>
      <c r="J344" s="118"/>
      <c r="K344" s="118"/>
      <c r="L344" s="118"/>
      <c r="M344" s="118"/>
      <c r="N344" s="118"/>
      <c r="O344" s="118"/>
      <c r="P344" s="118"/>
    </row>
    <row r="345" spans="2:16">
      <c r="B345" s="118"/>
      <c r="C345" s="118"/>
      <c r="D345" s="118"/>
      <c r="E345" s="118"/>
      <c r="F345" s="118"/>
      <c r="G345" s="118"/>
      <c r="H345" s="118"/>
      <c r="I345" s="118"/>
      <c r="J345" s="118"/>
      <c r="K345" s="118"/>
      <c r="L345" s="118"/>
      <c r="M345" s="118"/>
      <c r="N345" s="118"/>
      <c r="O345" s="118"/>
      <c r="P345" s="118"/>
    </row>
    <row r="346" spans="2:16">
      <c r="B346" s="118"/>
      <c r="C346" s="118"/>
      <c r="D346" s="118"/>
      <c r="E346" s="118"/>
      <c r="F346" s="118"/>
      <c r="G346" s="118"/>
      <c r="H346" s="118"/>
      <c r="I346" s="118"/>
      <c r="J346" s="118"/>
      <c r="K346" s="118"/>
      <c r="L346" s="118"/>
      <c r="M346" s="118"/>
      <c r="N346" s="118"/>
      <c r="O346" s="118"/>
      <c r="P346" s="118"/>
    </row>
    <row r="347" spans="2:16">
      <c r="B347" s="118"/>
      <c r="C347" s="118"/>
      <c r="D347" s="118"/>
      <c r="E347" s="118"/>
      <c r="F347" s="118"/>
      <c r="G347" s="118"/>
      <c r="H347" s="118"/>
      <c r="I347" s="118"/>
      <c r="J347" s="118"/>
      <c r="K347" s="118"/>
      <c r="L347" s="118"/>
      <c r="M347" s="118"/>
      <c r="N347" s="118"/>
      <c r="O347" s="118"/>
      <c r="P347" s="118"/>
    </row>
    <row r="348" spans="2:16">
      <c r="B348" s="118"/>
      <c r="C348" s="118"/>
      <c r="D348" s="118"/>
      <c r="E348" s="118"/>
      <c r="F348" s="118"/>
      <c r="G348" s="118"/>
      <c r="H348" s="118"/>
      <c r="I348" s="118"/>
      <c r="J348" s="118"/>
      <c r="K348" s="118"/>
      <c r="L348" s="118"/>
      <c r="M348" s="118"/>
      <c r="N348" s="118"/>
      <c r="O348" s="118"/>
      <c r="P348" s="118"/>
    </row>
    <row r="349" spans="2:16">
      <c r="B349" s="118"/>
      <c r="C349" s="118"/>
      <c r="D349" s="118"/>
      <c r="E349" s="118"/>
      <c r="F349" s="118"/>
      <c r="G349" s="118"/>
      <c r="H349" s="118"/>
      <c r="I349" s="118"/>
      <c r="J349" s="118"/>
      <c r="K349" s="118"/>
      <c r="L349" s="118"/>
      <c r="M349" s="118"/>
      <c r="N349" s="118"/>
      <c r="O349" s="118"/>
      <c r="P349" s="118"/>
    </row>
    <row r="350" spans="2:16">
      <c r="B350" s="118"/>
      <c r="C350" s="118"/>
      <c r="D350" s="118"/>
      <c r="E350" s="118"/>
      <c r="F350" s="118"/>
      <c r="G350" s="118"/>
      <c r="H350" s="118"/>
      <c r="I350" s="118"/>
      <c r="J350" s="118"/>
      <c r="K350" s="118"/>
      <c r="L350" s="118"/>
      <c r="M350" s="118"/>
      <c r="N350" s="118"/>
      <c r="O350" s="118"/>
      <c r="P350" s="118"/>
    </row>
    <row r="351" spans="2:16">
      <c r="B351" s="118"/>
      <c r="C351" s="118"/>
      <c r="D351" s="118"/>
      <c r="E351" s="118"/>
      <c r="F351" s="118"/>
      <c r="G351" s="118"/>
      <c r="H351" s="118"/>
      <c r="I351" s="118"/>
      <c r="J351" s="118"/>
      <c r="K351" s="118"/>
      <c r="L351" s="118"/>
      <c r="M351" s="118"/>
      <c r="N351" s="118"/>
      <c r="O351" s="118"/>
      <c r="P351" s="118"/>
    </row>
    <row r="352" spans="2:16">
      <c r="B352" s="118"/>
      <c r="C352" s="118"/>
      <c r="D352" s="118"/>
      <c r="E352" s="118"/>
      <c r="F352" s="118"/>
      <c r="G352" s="118"/>
      <c r="H352" s="118"/>
      <c r="I352" s="118"/>
      <c r="J352" s="118"/>
      <c r="K352" s="118"/>
      <c r="L352" s="118"/>
      <c r="M352" s="118"/>
      <c r="N352" s="118"/>
      <c r="O352" s="118"/>
      <c r="P352" s="118"/>
    </row>
    <row r="353" spans="2:16">
      <c r="B353" s="118"/>
      <c r="C353" s="118"/>
      <c r="D353" s="118"/>
      <c r="E353" s="118"/>
      <c r="F353" s="118"/>
      <c r="G353" s="118"/>
      <c r="H353" s="118"/>
      <c r="I353" s="118"/>
      <c r="J353" s="118"/>
      <c r="K353" s="118"/>
      <c r="L353" s="118"/>
      <c r="M353" s="118"/>
      <c r="N353" s="118"/>
      <c r="O353" s="118"/>
      <c r="P353" s="118"/>
    </row>
    <row r="354" spans="2:16">
      <c r="B354" s="118"/>
      <c r="C354" s="118"/>
      <c r="D354" s="118"/>
      <c r="E354" s="118"/>
      <c r="F354" s="118"/>
      <c r="G354" s="118"/>
      <c r="H354" s="118"/>
      <c r="I354" s="118"/>
      <c r="J354" s="118"/>
      <c r="K354" s="118"/>
      <c r="L354" s="118"/>
      <c r="M354" s="118"/>
      <c r="N354" s="118"/>
      <c r="O354" s="118"/>
      <c r="P354" s="118"/>
    </row>
    <row r="355" spans="2:16">
      <c r="B355" s="118"/>
      <c r="C355" s="118"/>
      <c r="D355" s="118"/>
      <c r="E355" s="118"/>
      <c r="F355" s="118"/>
      <c r="G355" s="118"/>
      <c r="H355" s="118"/>
      <c r="I355" s="118"/>
      <c r="J355" s="118"/>
      <c r="K355" s="118"/>
      <c r="L355" s="118"/>
      <c r="M355" s="118"/>
      <c r="N355" s="118"/>
      <c r="O355" s="118"/>
      <c r="P355" s="118"/>
    </row>
    <row r="356" spans="2:16">
      <c r="B356" s="118"/>
      <c r="C356" s="118"/>
      <c r="D356" s="118"/>
      <c r="E356" s="118"/>
      <c r="F356" s="118"/>
      <c r="G356" s="118"/>
      <c r="H356" s="118"/>
      <c r="I356" s="118"/>
      <c r="J356" s="118"/>
      <c r="K356" s="118"/>
      <c r="L356" s="118"/>
      <c r="M356" s="118"/>
      <c r="N356" s="118"/>
      <c r="O356" s="118"/>
      <c r="P356" s="118"/>
    </row>
    <row r="357" spans="2:16">
      <c r="B357" s="118"/>
      <c r="C357" s="118"/>
      <c r="D357" s="118"/>
      <c r="E357" s="118"/>
      <c r="F357" s="118"/>
      <c r="G357" s="118"/>
      <c r="H357" s="118"/>
      <c r="I357" s="118"/>
      <c r="J357" s="118"/>
      <c r="K357" s="118"/>
      <c r="L357" s="118"/>
      <c r="M357" s="118"/>
      <c r="N357" s="118"/>
      <c r="O357" s="118"/>
      <c r="P357" s="118"/>
    </row>
    <row r="358" spans="2:16">
      <c r="B358" s="118"/>
      <c r="C358" s="118"/>
      <c r="D358" s="118"/>
      <c r="E358" s="118"/>
      <c r="F358" s="118"/>
      <c r="G358" s="118"/>
      <c r="H358" s="118"/>
      <c r="I358" s="118"/>
      <c r="J358" s="118"/>
      <c r="K358" s="118"/>
      <c r="L358" s="118"/>
      <c r="M358" s="118"/>
      <c r="N358" s="118"/>
      <c r="O358" s="118"/>
      <c r="P358" s="118"/>
    </row>
    <row r="359" spans="2:16">
      <c r="B359" s="118"/>
      <c r="C359" s="118"/>
      <c r="D359" s="118"/>
      <c r="E359" s="118"/>
      <c r="F359" s="118"/>
      <c r="G359" s="118"/>
      <c r="H359" s="118"/>
      <c r="I359" s="118"/>
      <c r="J359" s="118"/>
      <c r="K359" s="118"/>
      <c r="L359" s="118"/>
      <c r="M359" s="118"/>
      <c r="N359" s="118"/>
      <c r="O359" s="118"/>
      <c r="P359" s="118"/>
    </row>
    <row r="360" spans="2:16">
      <c r="B360" s="118"/>
      <c r="C360" s="118"/>
      <c r="D360" s="118"/>
      <c r="E360" s="118"/>
      <c r="F360" s="118"/>
      <c r="G360" s="118"/>
      <c r="H360" s="118"/>
      <c r="I360" s="118"/>
      <c r="J360" s="118"/>
      <c r="K360" s="118"/>
      <c r="L360" s="118"/>
      <c r="M360" s="118"/>
      <c r="N360" s="118"/>
      <c r="O360" s="118"/>
      <c r="P360" s="118"/>
    </row>
    <row r="361" spans="2:16">
      <c r="B361" s="118"/>
      <c r="C361" s="118"/>
      <c r="D361" s="118"/>
      <c r="E361" s="118"/>
      <c r="F361" s="118"/>
      <c r="G361" s="118"/>
      <c r="H361" s="118"/>
      <c r="I361" s="118"/>
      <c r="J361" s="118"/>
      <c r="K361" s="118"/>
      <c r="L361" s="118"/>
      <c r="M361" s="118"/>
      <c r="N361" s="118"/>
      <c r="O361" s="118"/>
      <c r="P361" s="118"/>
    </row>
    <row r="362" spans="2:16">
      <c r="B362" s="118"/>
      <c r="C362" s="118"/>
      <c r="D362" s="118"/>
      <c r="E362" s="118"/>
      <c r="F362" s="118"/>
      <c r="G362" s="118"/>
      <c r="H362" s="118"/>
      <c r="I362" s="118"/>
      <c r="J362" s="118"/>
      <c r="K362" s="118"/>
      <c r="L362" s="118"/>
      <c r="M362" s="118"/>
      <c r="N362" s="118"/>
      <c r="O362" s="118"/>
      <c r="P362" s="118"/>
    </row>
    <row r="363" spans="2:16">
      <c r="B363" s="118"/>
      <c r="C363" s="118"/>
      <c r="D363" s="118"/>
      <c r="E363" s="118"/>
      <c r="F363" s="118"/>
      <c r="G363" s="118"/>
      <c r="H363" s="118"/>
      <c r="I363" s="118"/>
      <c r="J363" s="118"/>
      <c r="K363" s="118"/>
      <c r="L363" s="118"/>
      <c r="M363" s="118"/>
      <c r="N363" s="118"/>
      <c r="O363" s="118"/>
      <c r="P363" s="118"/>
    </row>
    <row r="364" spans="2:16">
      <c r="B364" s="118"/>
      <c r="C364" s="118"/>
      <c r="D364" s="118"/>
      <c r="E364" s="118"/>
      <c r="F364" s="118"/>
      <c r="G364" s="118"/>
      <c r="H364" s="118"/>
      <c r="I364" s="118"/>
      <c r="J364" s="118"/>
      <c r="K364" s="118"/>
      <c r="L364" s="118"/>
      <c r="M364" s="118"/>
      <c r="N364" s="118"/>
      <c r="O364" s="118"/>
      <c r="P364" s="118"/>
    </row>
    <row r="365" spans="2:16">
      <c r="B365" s="118"/>
      <c r="C365" s="118"/>
      <c r="D365" s="118"/>
      <c r="E365" s="118"/>
      <c r="F365" s="118"/>
      <c r="G365" s="118"/>
      <c r="H365" s="118"/>
      <c r="I365" s="118"/>
      <c r="J365" s="118"/>
      <c r="K365" s="118"/>
      <c r="L365" s="118"/>
      <c r="M365" s="118"/>
      <c r="N365" s="118"/>
      <c r="O365" s="118"/>
      <c r="P365" s="118"/>
    </row>
    <row r="366" spans="2:16">
      <c r="B366" s="118"/>
      <c r="C366" s="118"/>
      <c r="D366" s="118"/>
      <c r="E366" s="118"/>
      <c r="F366" s="118"/>
      <c r="G366" s="118"/>
      <c r="H366" s="118"/>
      <c r="I366" s="118"/>
      <c r="J366" s="118"/>
      <c r="K366" s="118"/>
      <c r="L366" s="118"/>
      <c r="M366" s="118"/>
      <c r="N366" s="118"/>
      <c r="O366" s="118"/>
      <c r="P366" s="118"/>
    </row>
    <row r="367" spans="2:16">
      <c r="B367" s="118"/>
      <c r="C367" s="118"/>
      <c r="D367" s="118"/>
      <c r="E367" s="118"/>
      <c r="F367" s="118"/>
      <c r="G367" s="118"/>
      <c r="H367" s="118"/>
      <c r="I367" s="118"/>
      <c r="J367" s="118"/>
      <c r="K367" s="118"/>
      <c r="L367" s="118"/>
      <c r="M367" s="118"/>
      <c r="N367" s="118"/>
      <c r="O367" s="118"/>
      <c r="P367" s="118"/>
    </row>
    <row r="368" spans="2:16">
      <c r="B368" s="118"/>
      <c r="C368" s="118"/>
      <c r="D368" s="118"/>
      <c r="E368" s="118"/>
      <c r="F368" s="118"/>
      <c r="G368" s="118"/>
      <c r="H368" s="118"/>
      <c r="I368" s="118"/>
      <c r="J368" s="118"/>
      <c r="K368" s="118"/>
      <c r="L368" s="118"/>
      <c r="M368" s="118"/>
      <c r="N368" s="118"/>
      <c r="O368" s="118"/>
      <c r="P368" s="118"/>
    </row>
    <row r="369" spans="2:16">
      <c r="B369" s="118"/>
      <c r="C369" s="118"/>
      <c r="D369" s="118"/>
      <c r="E369" s="118"/>
      <c r="F369" s="118"/>
      <c r="G369" s="118"/>
      <c r="H369" s="118"/>
      <c r="I369" s="118"/>
      <c r="J369" s="118"/>
      <c r="K369" s="118"/>
      <c r="L369" s="118"/>
      <c r="M369" s="118"/>
      <c r="N369" s="118"/>
      <c r="O369" s="118"/>
      <c r="P369" s="118"/>
    </row>
    <row r="370" spans="2:16">
      <c r="B370" s="118"/>
      <c r="C370" s="118"/>
      <c r="D370" s="118"/>
      <c r="E370" s="118"/>
      <c r="F370" s="118"/>
      <c r="G370" s="118"/>
      <c r="H370" s="118"/>
      <c r="I370" s="118"/>
      <c r="J370" s="118"/>
      <c r="K370" s="118"/>
      <c r="L370" s="118"/>
      <c r="M370" s="118"/>
      <c r="N370" s="118"/>
      <c r="O370" s="118"/>
      <c r="P370" s="118"/>
    </row>
    <row r="371" spans="2:16">
      <c r="B371" s="118"/>
      <c r="C371" s="118"/>
      <c r="D371" s="118"/>
      <c r="E371" s="118"/>
      <c r="F371" s="118"/>
      <c r="G371" s="118"/>
      <c r="H371" s="118"/>
      <c r="I371" s="118"/>
      <c r="J371" s="118"/>
      <c r="K371" s="118"/>
      <c r="L371" s="118"/>
      <c r="M371" s="118"/>
      <c r="N371" s="118"/>
      <c r="O371" s="118"/>
      <c r="P371" s="118"/>
    </row>
    <row r="372" spans="2:16">
      <c r="B372" s="118"/>
      <c r="C372" s="118"/>
      <c r="D372" s="118"/>
      <c r="E372" s="118"/>
      <c r="F372" s="118"/>
      <c r="G372" s="118"/>
      <c r="H372" s="118"/>
      <c r="I372" s="118"/>
      <c r="J372" s="118"/>
      <c r="K372" s="118"/>
      <c r="L372" s="118"/>
      <c r="M372" s="118"/>
      <c r="N372" s="118"/>
      <c r="O372" s="118"/>
      <c r="P372" s="118"/>
    </row>
    <row r="373" spans="2:16">
      <c r="B373" s="118"/>
      <c r="C373" s="118"/>
      <c r="D373" s="118"/>
      <c r="E373" s="118"/>
      <c r="F373" s="118"/>
      <c r="G373" s="118"/>
      <c r="H373" s="118"/>
      <c r="I373" s="118"/>
      <c r="J373" s="118"/>
      <c r="K373" s="118"/>
      <c r="L373" s="118"/>
      <c r="M373" s="118"/>
      <c r="N373" s="118"/>
      <c r="O373" s="118"/>
      <c r="P373" s="118"/>
    </row>
    <row r="374" spans="2:16">
      <c r="O374" s="118"/>
      <c r="P374" s="118"/>
    </row>
    <row r="375" spans="2:16">
      <c r="O375" s="118"/>
      <c r="P375" s="118"/>
    </row>
    <row r="376" spans="2:16">
      <c r="O376" s="118"/>
      <c r="P376" s="118"/>
    </row>
    <row r="377" spans="2:16">
      <c r="O377" s="118"/>
      <c r="P377" s="118"/>
    </row>
    <row r="378" spans="2:16">
      <c r="O378" s="118"/>
      <c r="P378" s="118"/>
    </row>
    <row r="379" spans="2:16">
      <c r="O379" s="118"/>
      <c r="P379" s="118"/>
    </row>
    <row r="380" spans="2:16">
      <c r="O380" s="118"/>
      <c r="P380" s="118"/>
    </row>
    <row r="381" spans="2:16">
      <c r="O381" s="118"/>
      <c r="P381" s="118"/>
    </row>
    <row r="382" spans="2:16">
      <c r="O382" s="118"/>
      <c r="P382" s="118"/>
    </row>
    <row r="383" spans="2:16">
      <c r="O383" s="118"/>
      <c r="P383" s="118"/>
    </row>
    <row r="384" spans="2:16">
      <c r="O384" s="118"/>
      <c r="P384" s="118"/>
    </row>
    <row r="385" spans="15:16">
      <c r="O385" s="118"/>
      <c r="P385" s="118"/>
    </row>
  </sheetData>
  <mergeCells count="5">
    <mergeCell ref="A8:A9"/>
    <mergeCell ref="B7:H7"/>
    <mergeCell ref="I7:O7"/>
    <mergeCell ref="A4:O4"/>
    <mergeCell ref="B1:C1"/>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44" fitToHeight="2"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enableFormatConditionsCalculation="0">
    <tabColor theme="6" tint="0.39997558519241921"/>
    <pageSetUpPr fitToPage="1"/>
  </sheetPr>
  <dimension ref="A1:L385"/>
  <sheetViews>
    <sheetView workbookViewId="0">
      <pane xSplit="1" ySplit="9" topLeftCell="B10" activePane="bottomRight" state="frozen"/>
      <selection activeCell="B2" sqref="B2:C2"/>
      <selection pane="topRight" activeCell="B2" sqref="B2:C2"/>
      <selection pane="bottomLeft" activeCell="B2" sqref="B2:C2"/>
      <selection pane="bottomRight" activeCell="A4" sqref="A4:G4"/>
    </sheetView>
  </sheetViews>
  <sheetFormatPr baseColWidth="10" defaultColWidth="10.33203125" defaultRowHeight="12" x14ac:dyDescent="0"/>
  <cols>
    <col min="1" max="1" width="7.83203125" style="76" customWidth="1"/>
    <col min="2" max="7" width="9.33203125" style="76" customWidth="1"/>
    <col min="8" max="9" width="8.6640625" style="76" customWidth="1"/>
    <col min="10" max="16384" width="10.33203125" style="76"/>
  </cols>
  <sheetData>
    <row r="1" spans="1:12">
      <c r="B1" s="2252" t="s">
        <v>1416</v>
      </c>
      <c r="C1" s="2252"/>
    </row>
    <row r="2" spans="1:12">
      <c r="A2" s="75"/>
      <c r="B2" s="75"/>
      <c r="C2" s="75"/>
      <c r="D2" s="75"/>
      <c r="E2" s="231"/>
      <c r="F2" s="75"/>
      <c r="G2" s="75"/>
    </row>
    <row r="3" spans="1:12" ht="13" thickBot="1">
      <c r="E3" s="231"/>
    </row>
    <row r="4" spans="1:12" ht="37" customHeight="1" thickTop="1">
      <c r="A4" s="2264" t="s">
        <v>1147</v>
      </c>
      <c r="B4" s="2265"/>
      <c r="C4" s="2265"/>
      <c r="D4" s="2265"/>
      <c r="E4" s="2265"/>
      <c r="F4" s="2265"/>
      <c r="G4" s="2266"/>
    </row>
    <row r="5" spans="1:12">
      <c r="A5" s="120"/>
      <c r="B5" s="83"/>
      <c r="C5" s="83"/>
      <c r="D5" s="83"/>
      <c r="E5" s="83"/>
      <c r="F5" s="83"/>
      <c r="G5" s="121"/>
    </row>
    <row r="6" spans="1:12">
      <c r="A6" s="120"/>
      <c r="B6" s="123" t="s">
        <v>952</v>
      </c>
      <c r="C6" s="123" t="s">
        <v>953</v>
      </c>
      <c r="D6" s="123" t="s">
        <v>954</v>
      </c>
      <c r="E6" s="123" t="s">
        <v>955</v>
      </c>
      <c r="F6" s="123" t="s">
        <v>956</v>
      </c>
      <c r="G6" s="124" t="s">
        <v>957</v>
      </c>
    </row>
    <row r="7" spans="1:12" ht="41" customHeight="1">
      <c r="A7" s="120"/>
      <c r="B7" s="2532" t="s">
        <v>193</v>
      </c>
      <c r="C7" s="2533"/>
      <c r="D7" s="2535"/>
      <c r="E7" s="2536"/>
      <c r="F7" s="2533" t="s">
        <v>188</v>
      </c>
      <c r="G7" s="2534"/>
    </row>
    <row r="8" spans="1:12" ht="69.75" customHeight="1">
      <c r="A8" s="2270"/>
      <c r="B8" s="167" t="s">
        <v>194</v>
      </c>
      <c r="C8" s="167" t="s">
        <v>195</v>
      </c>
      <c r="D8" s="2537" t="s">
        <v>189</v>
      </c>
      <c r="E8" s="2539" t="s">
        <v>190</v>
      </c>
      <c r="F8" s="232" t="s">
        <v>191</v>
      </c>
      <c r="G8" s="2041" t="s">
        <v>192</v>
      </c>
    </row>
    <row r="9" spans="1:12" ht="30" customHeight="1">
      <c r="A9" s="2271"/>
      <c r="B9" s="2213" t="s">
        <v>196</v>
      </c>
      <c r="C9" s="2213" t="s">
        <v>105</v>
      </c>
      <c r="D9" s="2538"/>
      <c r="E9" s="2540"/>
      <c r="F9" s="2146" t="s">
        <v>196</v>
      </c>
      <c r="G9" s="2214" t="s">
        <v>105</v>
      </c>
    </row>
    <row r="10" spans="1:12" ht="12" customHeight="1">
      <c r="A10" s="348">
        <v>1855</v>
      </c>
      <c r="B10" s="192">
        <f>DataUK1!CP13/DataUK1!CL13</f>
        <v>0.80721314514612541</v>
      </c>
      <c r="C10" s="192">
        <f>(DataUK1!CN13-DataUK1!CQ13)/DataUK1!CL13</f>
        <v>0.1927868548538747</v>
      </c>
      <c r="D10" s="2028">
        <f>DataUK1!CP13/DataUK1!CM13</f>
        <v>0.77633231501080413</v>
      </c>
      <c r="E10" s="2029">
        <f>DataUK1!CN13/DataUK1!CM13</f>
        <v>0.2236676849891959</v>
      </c>
      <c r="F10" s="2025">
        <f>B10*TableUK9!$E10</f>
        <v>0.14930619311391657</v>
      </c>
      <c r="G10" s="2042">
        <f>C10*TableUK9!$E10</f>
        <v>3.5658823885265846E-2</v>
      </c>
      <c r="K10" s="1244">
        <f t="shared" ref="K10:K41" si="0">1-B10-C10</f>
        <v>0</v>
      </c>
      <c r="L10" s="1244">
        <f>1-D10-E10</f>
        <v>0</v>
      </c>
    </row>
    <row r="11" spans="1:12" ht="12" customHeight="1">
      <c r="A11" s="348">
        <v>1856</v>
      </c>
      <c r="B11" s="192">
        <f>DataUK1!CP14/DataUK1!CL14</f>
        <v>0.74802666583633615</v>
      </c>
      <c r="C11" s="192">
        <f>(DataUK1!CN14-DataUK1!CQ14)/DataUK1!CL14</f>
        <v>0.25197333416366385</v>
      </c>
      <c r="D11" s="2028">
        <f>DataUK1!CP14/DataUK1!CM14</f>
        <v>0.72580499473919702</v>
      </c>
      <c r="E11" s="2029">
        <f>DataUK1!CN14/DataUK1!CM14</f>
        <v>0.27419500526080304</v>
      </c>
      <c r="F11" s="2025">
        <f>B11*TableUK9!$E11</f>
        <v>0.14308010511308408</v>
      </c>
      <c r="G11" s="2042">
        <f>C11*TableUK9!$E11</f>
        <v>4.8196638949391857E-2</v>
      </c>
      <c r="K11" s="1244">
        <f t="shared" si="0"/>
        <v>0</v>
      </c>
      <c r="L11" s="1244">
        <f t="shared" ref="L11:L67" si="1">1-D11-E11</f>
        <v>0</v>
      </c>
    </row>
    <row r="12" spans="1:12" ht="12" customHeight="1">
      <c r="A12" s="348">
        <v>1857</v>
      </c>
      <c r="B12" s="192">
        <f>DataUK1!CP15/DataUK1!CL15</f>
        <v>0.7253664336458211</v>
      </c>
      <c r="C12" s="192">
        <f>(DataUK1!CN15-DataUK1!CQ15)/DataUK1!CL15</f>
        <v>0.27463356635417885</v>
      </c>
      <c r="D12" s="2028">
        <f>DataUK1!CP15/DataUK1!CM15</f>
        <v>0.70196561698082538</v>
      </c>
      <c r="E12" s="2029">
        <f>DataUK1!CN15/DataUK1!CM15</f>
        <v>0.29803438301917462</v>
      </c>
      <c r="F12" s="2025">
        <f>B12*TableUK9!$E12</f>
        <v>0.12882755106742005</v>
      </c>
      <c r="G12" s="2042">
        <f>C12*TableUK9!$E12</f>
        <v>4.8775857488321611E-2</v>
      </c>
      <c r="K12" s="1244">
        <f t="shared" si="0"/>
        <v>0</v>
      </c>
      <c r="L12" s="1244">
        <f t="shared" si="1"/>
        <v>0</v>
      </c>
    </row>
    <row r="13" spans="1:12" ht="12" customHeight="1">
      <c r="A13" s="348">
        <v>1858</v>
      </c>
      <c r="B13" s="192">
        <f>DataUK1!CP16/DataUK1!CL16</f>
        <v>0.66768934616863584</v>
      </c>
      <c r="C13" s="192">
        <f>(DataUK1!CN16-DataUK1!CQ16)/DataUK1!CL16</f>
        <v>0.33231065383136399</v>
      </c>
      <c r="D13" s="2028">
        <f>DataUK1!CP16/DataUK1!CM16</f>
        <v>0.64099609404121216</v>
      </c>
      <c r="E13" s="2029">
        <f>DataUK1!CN16/DataUK1!CM16</f>
        <v>0.35900390595878784</v>
      </c>
      <c r="F13" s="2025">
        <f>B13*TableUK9!$E13</f>
        <v>0.13005695313911567</v>
      </c>
      <c r="G13" s="2042">
        <f>C13*TableUK9!$E13</f>
        <v>6.4729670139230963E-2</v>
      </c>
      <c r="K13" s="1244">
        <f t="shared" si="0"/>
        <v>0</v>
      </c>
      <c r="L13" s="1244">
        <f t="shared" si="1"/>
        <v>0</v>
      </c>
    </row>
    <row r="14" spans="1:12" ht="12" customHeight="1">
      <c r="A14" s="748">
        <v>1859</v>
      </c>
      <c r="B14" s="195">
        <f>DataUK1!CP17/DataUK1!CL17</f>
        <v>0.77305357312696477</v>
      </c>
      <c r="C14" s="195">
        <f>(DataUK1!CN17-DataUK1!CQ17)/DataUK1!CL17</f>
        <v>0.22694642687303523</v>
      </c>
      <c r="D14" s="2047">
        <f>DataUK1!CP17/DataUK1!CM17</f>
        <v>0.7501968248465104</v>
      </c>
      <c r="E14" s="2048">
        <f>DataUK1!CN17/DataUK1!CM17</f>
        <v>0.24980317515348954</v>
      </c>
      <c r="F14" s="2049">
        <f>B14*TableUK9!$E14</f>
        <v>0.16657466093437778</v>
      </c>
      <c r="G14" s="2050">
        <f>C14*TableUK9!$E14</f>
        <v>4.8901557952485693E-2</v>
      </c>
      <c r="K14" s="1244">
        <f t="shared" si="0"/>
        <v>0</v>
      </c>
      <c r="L14" s="1244">
        <f t="shared" si="1"/>
        <v>0</v>
      </c>
    </row>
    <row r="15" spans="1:12" ht="12" customHeight="1">
      <c r="A15" s="348">
        <v>1860</v>
      </c>
      <c r="B15" s="192">
        <f>DataUK1!CP18/DataUK1!CL18</f>
        <v>0.77176675701996311</v>
      </c>
      <c r="C15" s="192">
        <f>(DataUK1!CN18-DataUK1!CQ18)/DataUK1!CL18</f>
        <v>0.22823324298003689</v>
      </c>
      <c r="D15" s="2028">
        <f>DataUK1!CP18/DataUK1!CM18</f>
        <v>0.75236795903490061</v>
      </c>
      <c r="E15" s="2029">
        <f>DataUK1!CN18/DataUK1!CM18</f>
        <v>0.24763204096509941</v>
      </c>
      <c r="F15" s="2025">
        <f>B15*TableUK9!$E15</f>
        <v>0.17498345440313659</v>
      </c>
      <c r="G15" s="2042">
        <f>C15*TableUK9!$E15</f>
        <v>5.174755313443001E-2</v>
      </c>
      <c r="K15" s="1244">
        <f t="shared" si="0"/>
        <v>0</v>
      </c>
      <c r="L15" s="1244">
        <f t="shared" si="1"/>
        <v>0</v>
      </c>
    </row>
    <row r="16" spans="1:12" ht="12" customHeight="1">
      <c r="A16" s="348">
        <v>1861</v>
      </c>
      <c r="B16" s="192">
        <f>DataUK1!CP19/DataUK1!CL19</f>
        <v>0.69049680212240094</v>
      </c>
      <c r="C16" s="192">
        <f>(DataUK1!CN19-DataUK1!CQ19)/DataUK1!CL19</f>
        <v>0.309503197877599</v>
      </c>
      <c r="D16" s="2028">
        <f>DataUK1!CP19/DataUK1!CM19</f>
        <v>0.6783011087789339</v>
      </c>
      <c r="E16" s="2029">
        <f>DataUK1!CN19/DataUK1!CM19</f>
        <v>0.3216988912210661</v>
      </c>
      <c r="F16" s="2025">
        <f>B16*TableUK9!$E16</f>
        <v>0.15309748663571573</v>
      </c>
      <c r="G16" s="2042">
        <f>C16*TableUK9!$E16</f>
        <v>6.8623289137807533E-2</v>
      </c>
      <c r="K16" s="1244">
        <f t="shared" si="0"/>
        <v>0</v>
      </c>
      <c r="L16" s="1244">
        <f t="shared" si="1"/>
        <v>0</v>
      </c>
    </row>
    <row r="17" spans="1:12" ht="12" customHeight="1">
      <c r="A17" s="348">
        <v>1862</v>
      </c>
      <c r="B17" s="192">
        <f>DataUK1!CP20/DataUK1!CL20</f>
        <v>0.65757765318509787</v>
      </c>
      <c r="C17" s="192">
        <f>(DataUK1!CN20-DataUK1!CQ20)/DataUK1!CL20</f>
        <v>0.34242234681490213</v>
      </c>
      <c r="D17" s="2028">
        <f>DataUK1!CP20/DataUK1!CM20</f>
        <v>0.64443324318530959</v>
      </c>
      <c r="E17" s="2029">
        <f>DataUK1!CN20/DataUK1!CM20</f>
        <v>0.35556675681469047</v>
      </c>
      <c r="F17" s="2025">
        <f>B17*TableUK9!$E17</f>
        <v>0.15136743633269956</v>
      </c>
      <c r="G17" s="2042">
        <f>C17*TableUK9!$E17</f>
        <v>7.8822010646715943E-2</v>
      </c>
      <c r="K17" s="1244">
        <f t="shared" si="0"/>
        <v>0</v>
      </c>
      <c r="L17" s="1244">
        <f t="shared" si="1"/>
        <v>0</v>
      </c>
    </row>
    <row r="18" spans="1:12" ht="12" customHeight="1">
      <c r="A18" s="348">
        <v>1863</v>
      </c>
      <c r="B18" s="192">
        <f>DataUK1!CP21/DataUK1!CL21</f>
        <v>0.64985522638943893</v>
      </c>
      <c r="C18" s="192">
        <f>(DataUK1!CN21-DataUK1!CQ21)/DataUK1!CL21</f>
        <v>0.35014477361056101</v>
      </c>
      <c r="D18" s="2028">
        <f>DataUK1!CP21/DataUK1!CM21</f>
        <v>0.63517608609713994</v>
      </c>
      <c r="E18" s="2029">
        <f>DataUK1!CN21/DataUK1!CM21</f>
        <v>0.36482391390286001</v>
      </c>
      <c r="F18" s="2025">
        <f>B18*TableUK9!$E18</f>
        <v>0.15359697013693902</v>
      </c>
      <c r="G18" s="2042">
        <f>C18*TableUK9!$E18</f>
        <v>8.2758704018850424E-2</v>
      </c>
      <c r="K18" s="1244">
        <f t="shared" si="0"/>
        <v>0</v>
      </c>
      <c r="L18" s="1244">
        <f t="shared" si="1"/>
        <v>0</v>
      </c>
    </row>
    <row r="19" spans="1:12" ht="12" customHeight="1">
      <c r="A19" s="348">
        <v>1864</v>
      </c>
      <c r="B19" s="192">
        <f>DataUK1!CP22/DataUK1!CL22</f>
        <v>0.64349426887221084</v>
      </c>
      <c r="C19" s="192">
        <f>(DataUK1!CN22-DataUK1!CQ22)/DataUK1!CL22</f>
        <v>0.35650573112778922</v>
      </c>
      <c r="D19" s="2028">
        <f>DataUK1!CP22/DataUK1!CM22</f>
        <v>0.62590786223752193</v>
      </c>
      <c r="E19" s="2029">
        <f>DataUK1!CN22/DataUK1!CM22</f>
        <v>0.37409213776247807</v>
      </c>
      <c r="F19" s="2025">
        <f>B19*TableUK9!$E19</f>
        <v>0.1670516593947613</v>
      </c>
      <c r="G19" s="2042">
        <f>C19*TableUK9!$E19</f>
        <v>9.2549190955524399E-2</v>
      </c>
      <c r="K19" s="1244">
        <f t="shared" si="0"/>
        <v>0</v>
      </c>
      <c r="L19" s="1244">
        <f t="shared" si="1"/>
        <v>0</v>
      </c>
    </row>
    <row r="20" spans="1:12" ht="12" customHeight="1">
      <c r="A20" s="348">
        <v>1865</v>
      </c>
      <c r="B20" s="192">
        <f>DataUK1!CP23/DataUK1!CL23</f>
        <v>0.68699742838222333</v>
      </c>
      <c r="C20" s="192">
        <f>(DataUK1!CN23-DataUK1!CQ23)/DataUK1!CL23</f>
        <v>0.31300257161777661</v>
      </c>
      <c r="D20" s="2028">
        <f>DataUK1!CP23/DataUK1!CM23</f>
        <v>0.66836531847296765</v>
      </c>
      <c r="E20" s="2029">
        <f>DataUK1!CN23/DataUK1!CM23</f>
        <v>0.33163468152703235</v>
      </c>
      <c r="F20" s="2025">
        <f>B20*TableUK9!$E20</f>
        <v>0.18398786333870504</v>
      </c>
      <c r="G20" s="2042">
        <f>C20*TableUK9!$E20</f>
        <v>8.3826622913403731E-2</v>
      </c>
      <c r="K20" s="1244">
        <f t="shared" si="0"/>
        <v>0</v>
      </c>
      <c r="L20" s="1244">
        <f t="shared" si="1"/>
        <v>0</v>
      </c>
    </row>
    <row r="21" spans="1:12" ht="12" customHeight="1">
      <c r="A21" s="348">
        <v>1866</v>
      </c>
      <c r="B21" s="192">
        <f>DataUK1!CP24/DataUK1!CL24</f>
        <v>0.70115013886196875</v>
      </c>
      <c r="C21" s="192">
        <f>(DataUK1!CN24-DataUK1!CQ24)/DataUK1!CL24</f>
        <v>0.29884986113803119</v>
      </c>
      <c r="D21" s="2028">
        <f>DataUK1!CP24/DataUK1!CM24</f>
        <v>0.68130582191553424</v>
      </c>
      <c r="E21" s="2029">
        <f>DataUK1!CN24/DataUK1!CM24</f>
        <v>0.31869417808446571</v>
      </c>
      <c r="F21" s="2025">
        <f>B21*TableUK9!$E21</f>
        <v>0.19006242472824114</v>
      </c>
      <c r="G21" s="2042">
        <f>C21*TableUK9!$E21</f>
        <v>8.1009937942512864E-2</v>
      </c>
      <c r="K21" s="1244">
        <f t="shared" si="0"/>
        <v>0</v>
      </c>
      <c r="L21" s="1244">
        <f t="shared" si="1"/>
        <v>0</v>
      </c>
    </row>
    <row r="22" spans="1:12" ht="12" customHeight="1">
      <c r="A22" s="348">
        <v>1867</v>
      </c>
      <c r="B22" s="192">
        <f>DataUK1!CP25/DataUK1!CL25</f>
        <v>0.74603244507428734</v>
      </c>
      <c r="C22" s="192">
        <f>(DataUK1!CN25-DataUK1!CQ25)/DataUK1!CL25</f>
        <v>0.2539675549257126</v>
      </c>
      <c r="D22" s="2028">
        <f>DataUK1!CP25/DataUK1!CM25</f>
        <v>0.72383779875301824</v>
      </c>
      <c r="E22" s="2029">
        <f>DataUK1!CN25/DataUK1!CM25</f>
        <v>0.27616220124698171</v>
      </c>
      <c r="F22" s="2025">
        <f>B22*TableUK9!$E22</f>
        <v>0.20054079986505624</v>
      </c>
      <c r="G22" s="2042">
        <f>C22*TableUK9!$E22</f>
        <v>6.8268956586068436E-2</v>
      </c>
      <c r="K22" s="1244">
        <f t="shared" si="0"/>
        <v>0</v>
      </c>
      <c r="L22" s="1244">
        <f t="shared" si="1"/>
        <v>0</v>
      </c>
    </row>
    <row r="23" spans="1:12" ht="12" customHeight="1">
      <c r="A23" s="348">
        <v>1868</v>
      </c>
      <c r="B23" s="192">
        <f>DataUK1!CP26/DataUK1!CL26</f>
        <v>0.71539116991843688</v>
      </c>
      <c r="C23" s="192">
        <f>(DataUK1!CN26-DataUK1!CQ26)/DataUK1!CL26</f>
        <v>0.28460883008156312</v>
      </c>
      <c r="D23" s="2028">
        <f>DataUK1!CP26/DataUK1!CM26</f>
        <v>0.69218694062272879</v>
      </c>
      <c r="E23" s="2029">
        <f>DataUK1!CN26/DataUK1!CM26</f>
        <v>0.30781305937727116</v>
      </c>
      <c r="F23" s="2025">
        <f>B23*TableUK9!$E23</f>
        <v>0.19966488239637331</v>
      </c>
      <c r="G23" s="2042">
        <f>C23*TableUK9!$E23</f>
        <v>7.9434008940428472E-2</v>
      </c>
      <c r="K23" s="1244">
        <f t="shared" si="0"/>
        <v>0</v>
      </c>
      <c r="L23" s="1244">
        <f t="shared" si="1"/>
        <v>0</v>
      </c>
    </row>
    <row r="24" spans="1:12" ht="12" customHeight="1">
      <c r="A24" s="748">
        <v>1869</v>
      </c>
      <c r="B24" s="195">
        <f>DataUK1!CP27/DataUK1!CL27</f>
        <v>0.70183814964387237</v>
      </c>
      <c r="C24" s="195">
        <f>(DataUK1!CN27-DataUK1!CQ27)/DataUK1!CL27</f>
        <v>0.29816185035612774</v>
      </c>
      <c r="D24" s="2047">
        <f>DataUK1!CP27/DataUK1!CM27</f>
        <v>0.67895779557007963</v>
      </c>
      <c r="E24" s="2048">
        <f>DataUK1!CN27/DataUK1!CM27</f>
        <v>0.32104220442992043</v>
      </c>
      <c r="F24" s="2049">
        <f>B24*TableUK9!$E24</f>
        <v>0.2141199473041896</v>
      </c>
      <c r="G24" s="2050">
        <f>C24*TableUK9!$E24</f>
        <v>9.0964561728040474E-2</v>
      </c>
      <c r="K24" s="1244">
        <f t="shared" si="0"/>
        <v>0</v>
      </c>
      <c r="L24" s="1244">
        <f t="shared" si="1"/>
        <v>0</v>
      </c>
    </row>
    <row r="25" spans="1:12" ht="12" customHeight="1">
      <c r="A25" s="348">
        <v>1870</v>
      </c>
      <c r="B25" s="192">
        <f>DataUK1!CP28/DataUK1!CL28</f>
        <v>0.6598777812498654</v>
      </c>
      <c r="C25" s="192">
        <f>(DataUK1!CN28-DataUK1!CQ28)/DataUK1!CL28</f>
        <v>0.34012221875013476</v>
      </c>
      <c r="D25" s="2028">
        <f>DataUK1!CP28/DataUK1!CM28</f>
        <v>0.64098048642943806</v>
      </c>
      <c r="E25" s="2029">
        <f>DataUK1!CN28/DataUK1!CM28</f>
        <v>0.359019513570562</v>
      </c>
      <c r="F25" s="2025">
        <f>B25*TableUK9!$E25</f>
        <v>0.20288639261215732</v>
      </c>
      <c r="G25" s="2042">
        <f>C25*TableUK9!$E25</f>
        <v>0.10457416808117749</v>
      </c>
      <c r="K25" s="1244">
        <f t="shared" si="0"/>
        <v>0</v>
      </c>
      <c r="L25" s="1244">
        <f t="shared" si="1"/>
        <v>0</v>
      </c>
    </row>
    <row r="26" spans="1:12" ht="12" customHeight="1">
      <c r="A26" s="348">
        <v>1871</v>
      </c>
      <c r="B26" s="192">
        <f>DataUK1!CP29/DataUK1!CL29</f>
        <v>0.63681995542156367</v>
      </c>
      <c r="C26" s="192">
        <f>(DataUK1!CN29-DataUK1!CQ29)/DataUK1!CL29</f>
        <v>0.36318004457843622</v>
      </c>
      <c r="D26" s="2028">
        <f>DataUK1!CP29/DataUK1!CM29</f>
        <v>0.62118038777568962</v>
      </c>
      <c r="E26" s="2029">
        <f>DataUK1!CN29/DataUK1!CM29</f>
        <v>0.37881961222431038</v>
      </c>
      <c r="F26" s="2025">
        <f>B26*TableUK9!$E26</f>
        <v>0.20385087607303301</v>
      </c>
      <c r="G26" s="2042">
        <f>C26*TableUK9!$E26</f>
        <v>0.11625667447959891</v>
      </c>
      <c r="K26" s="1244">
        <f t="shared" si="0"/>
        <v>0</v>
      </c>
      <c r="L26" s="1244">
        <f t="shared" si="1"/>
        <v>0</v>
      </c>
    </row>
    <row r="27" spans="1:12" ht="12" customHeight="1">
      <c r="A27" s="348">
        <v>1872</v>
      </c>
      <c r="B27" s="192">
        <f>DataUK1!CP30/DataUK1!CL30</f>
        <v>0.70001186112900671</v>
      </c>
      <c r="C27" s="192">
        <f>(DataUK1!CN30-DataUK1!CQ30)/DataUK1!CL30</f>
        <v>0.29998813887099329</v>
      </c>
      <c r="D27" s="2028">
        <f>DataUK1!CP30/DataUK1!CM30</f>
        <v>0.67936509421449465</v>
      </c>
      <c r="E27" s="2029">
        <f>DataUK1!CN30/DataUK1!CM30</f>
        <v>0.3206349057855053</v>
      </c>
      <c r="F27" s="2025">
        <f>B27*TableUK9!$E27</f>
        <v>0.23737674374296872</v>
      </c>
      <c r="G27" s="2042">
        <f>C27*TableUK9!$E27</f>
        <v>0.10172714423989795</v>
      </c>
      <c r="K27" s="1244">
        <f t="shared" si="0"/>
        <v>0</v>
      </c>
      <c r="L27" s="1244">
        <f t="shared" si="1"/>
        <v>0</v>
      </c>
    </row>
    <row r="28" spans="1:12" ht="12" customHeight="1">
      <c r="A28" s="348">
        <v>1873</v>
      </c>
      <c r="B28" s="192">
        <f>DataUK1!CP31/DataUK1!CL31</f>
        <v>0.74361709268024079</v>
      </c>
      <c r="C28" s="192">
        <f>(DataUK1!CN31-DataUK1!CQ31)/DataUK1!CL31</f>
        <v>0.2563829073197591</v>
      </c>
      <c r="D28" s="2028">
        <f>DataUK1!CP31/DataUK1!CM31</f>
        <v>0.7191982341522476</v>
      </c>
      <c r="E28" s="2029">
        <f>DataUK1!CN31/DataUK1!CM31</f>
        <v>0.2808017658477524</v>
      </c>
      <c r="F28" s="2025">
        <f>B28*TableUK9!$E28</f>
        <v>0.25323972234762199</v>
      </c>
      <c r="G28" s="2042">
        <f>C28*TableUK9!$E28</f>
        <v>8.7311516778502227E-2</v>
      </c>
      <c r="K28" s="1244">
        <f t="shared" si="0"/>
        <v>0</v>
      </c>
      <c r="L28" s="1244">
        <f t="shared" si="1"/>
        <v>0</v>
      </c>
    </row>
    <row r="29" spans="1:12" ht="12" customHeight="1">
      <c r="A29" s="348">
        <v>1874</v>
      </c>
      <c r="B29" s="192">
        <f>DataUK1!CP32/DataUK1!CL32</f>
        <v>0.75710607798186746</v>
      </c>
      <c r="C29" s="192">
        <f>(DataUK1!CN32-DataUK1!CQ32)/DataUK1!CL32</f>
        <v>0.24289392201813254</v>
      </c>
      <c r="D29" s="2028">
        <f>DataUK1!CP32/DataUK1!CM32</f>
        <v>0.72692791342981966</v>
      </c>
      <c r="E29" s="2029">
        <f>DataUK1!CN32/DataUK1!CM32</f>
        <v>0.27307208657018034</v>
      </c>
      <c r="F29" s="2025">
        <f>B29*TableUK9!$E29</f>
        <v>0.26176466399470016</v>
      </c>
      <c r="G29" s="2042">
        <f>C29*TableUK9!$E29</f>
        <v>8.3979045648282485E-2</v>
      </c>
      <c r="K29" s="1244">
        <f t="shared" si="0"/>
        <v>0</v>
      </c>
      <c r="L29" s="1244">
        <f t="shared" si="1"/>
        <v>0</v>
      </c>
    </row>
    <row r="30" spans="1:12" ht="12" customHeight="1">
      <c r="A30" s="348">
        <v>1875</v>
      </c>
      <c r="B30" s="192">
        <f>DataUK1!CP33/DataUK1!CL33</f>
        <v>0.76982710862259507</v>
      </c>
      <c r="C30" s="192">
        <f>(DataUK1!CN33-DataUK1!CQ33)/DataUK1!CL33</f>
        <v>0.23017289137740501</v>
      </c>
      <c r="D30" s="2028">
        <f>DataUK1!CP33/DataUK1!CM33</f>
        <v>0.74086433618784842</v>
      </c>
      <c r="E30" s="2029">
        <f>DataUK1!CN33/DataUK1!CM33</f>
        <v>0.25913566381215164</v>
      </c>
      <c r="F30" s="2025">
        <f>B30*TableUK9!$E30</f>
        <v>0.27055109030272628</v>
      </c>
      <c r="G30" s="2042">
        <f>C30*TableUK9!$E30</f>
        <v>8.0892873247488201E-2</v>
      </c>
      <c r="K30" s="1244">
        <f t="shared" si="0"/>
        <v>0</v>
      </c>
      <c r="L30" s="1244">
        <f t="shared" si="1"/>
        <v>0</v>
      </c>
    </row>
    <row r="31" spans="1:12" ht="12" customHeight="1">
      <c r="A31" s="348">
        <v>1876</v>
      </c>
      <c r="B31" s="192">
        <f>DataUK1!CP34/DataUK1!CL34</f>
        <v>0.79225115922981981</v>
      </c>
      <c r="C31" s="192">
        <f>(DataUK1!CN34-DataUK1!CQ34)/DataUK1!CL34</f>
        <v>0.20774884077018005</v>
      </c>
      <c r="D31" s="2028">
        <f>DataUK1!CP34/DataUK1!CM34</f>
        <v>0.75948277308322343</v>
      </c>
      <c r="E31" s="2029">
        <f>DataUK1!CN34/DataUK1!CM34</f>
        <v>0.24051722691677654</v>
      </c>
      <c r="F31" s="2025">
        <f>B31*TableUK9!$E31</f>
        <v>0.27588292972369599</v>
      </c>
      <c r="G31" s="2042">
        <f>C31*TableUK9!$E31</f>
        <v>7.2343673051985871E-2</v>
      </c>
      <c r="K31" s="1244">
        <f t="shared" si="0"/>
        <v>0</v>
      </c>
      <c r="L31" s="1244">
        <f t="shared" si="1"/>
        <v>0</v>
      </c>
    </row>
    <row r="32" spans="1:12" ht="12" customHeight="1">
      <c r="A32" s="348">
        <v>1877</v>
      </c>
      <c r="B32" s="192">
        <f>DataUK1!CP35/DataUK1!CL35</f>
        <v>0.80340796810849324</v>
      </c>
      <c r="C32" s="192">
        <f>(DataUK1!CN35-DataUK1!CQ35)/DataUK1!CL35</f>
        <v>0.19659203189150673</v>
      </c>
      <c r="D32" s="2028">
        <f>DataUK1!CP35/DataUK1!CM35</f>
        <v>0.76813629624850222</v>
      </c>
      <c r="E32" s="2029">
        <f>DataUK1!CN35/DataUK1!CM35</f>
        <v>0.23186370375149778</v>
      </c>
      <c r="F32" s="2025">
        <f>B32*TableUK9!$E32</f>
        <v>0.28461038109489112</v>
      </c>
      <c r="G32" s="2042">
        <f>C32*TableUK9!$E32</f>
        <v>6.9643487913857563E-2</v>
      </c>
      <c r="K32" s="1244">
        <f t="shared" si="0"/>
        <v>0</v>
      </c>
      <c r="L32" s="1244">
        <f t="shared" si="1"/>
        <v>0</v>
      </c>
    </row>
    <row r="33" spans="1:12" ht="12" customHeight="1">
      <c r="A33" s="348">
        <v>1878</v>
      </c>
      <c r="B33" s="192">
        <f>DataUK1!CP36/DataUK1!CL36</f>
        <v>0.80163305918216143</v>
      </c>
      <c r="C33" s="192">
        <f>(DataUK1!CN36-DataUK1!CQ36)/DataUK1!CL36</f>
        <v>0.19836694081783859</v>
      </c>
      <c r="D33" s="2028">
        <f>DataUK1!CP36/DataUK1!CM36</f>
        <v>0.76329345010548877</v>
      </c>
      <c r="E33" s="2029">
        <f>DataUK1!CN36/DataUK1!CM36</f>
        <v>0.23670654989451123</v>
      </c>
      <c r="F33" s="2025">
        <f>B33*TableUK9!$E33</f>
        <v>0.28355900035330217</v>
      </c>
      <c r="G33" s="2042">
        <f>C33*TableUK9!$E33</f>
        <v>7.0167679335523911E-2</v>
      </c>
      <c r="K33" s="1244">
        <f t="shared" si="0"/>
        <v>0</v>
      </c>
      <c r="L33" s="1244">
        <f t="shared" si="1"/>
        <v>0</v>
      </c>
    </row>
    <row r="34" spans="1:12" ht="12" customHeight="1">
      <c r="A34" s="748">
        <v>1879</v>
      </c>
      <c r="B34" s="195">
        <f>DataUK1!CP37/DataUK1!CL37</f>
        <v>0.79498538416602604</v>
      </c>
      <c r="C34" s="195">
        <f>(DataUK1!CN37-DataUK1!CQ37)/DataUK1!CL37</f>
        <v>0.20501461583397401</v>
      </c>
      <c r="D34" s="2047">
        <f>DataUK1!CP37/DataUK1!CM37</f>
        <v>0.75599335589502847</v>
      </c>
      <c r="E34" s="2048">
        <f>DataUK1!CN37/DataUK1!CM37</f>
        <v>0.2440066441049715</v>
      </c>
      <c r="F34" s="2049">
        <f>B34*TableUK9!$E34</f>
        <v>0.29133523352961527</v>
      </c>
      <c r="G34" s="2050">
        <f>C34*TableUK9!$E34</f>
        <v>7.5130917084258605E-2</v>
      </c>
      <c r="K34" s="1244">
        <f t="shared" si="0"/>
        <v>0</v>
      </c>
      <c r="L34" s="1244">
        <f t="shared" si="1"/>
        <v>0</v>
      </c>
    </row>
    <row r="35" spans="1:12" ht="12" customHeight="1">
      <c r="A35" s="348">
        <v>1880</v>
      </c>
      <c r="B35" s="192">
        <f>DataUK1!CP38/DataUK1!CL38</f>
        <v>0.76863445472706737</v>
      </c>
      <c r="C35" s="192">
        <f>(DataUK1!CN38-DataUK1!CQ38)/DataUK1!CL38</f>
        <v>0.23136554527293268</v>
      </c>
      <c r="D35" s="2028">
        <f>DataUK1!CP38/DataUK1!CM38</f>
        <v>0.73037060817607535</v>
      </c>
      <c r="E35" s="2029">
        <f>DataUK1!CN38/DataUK1!CM38</f>
        <v>0.26962939182392465</v>
      </c>
      <c r="F35" s="2025">
        <f>B35*TableUK9!$E35</f>
        <v>0.28208563821053267</v>
      </c>
      <c r="G35" s="2042">
        <f>C35*TableUK9!$E35</f>
        <v>8.491018987877387E-2</v>
      </c>
      <c r="K35" s="1244">
        <f t="shared" si="0"/>
        <v>0</v>
      </c>
      <c r="L35" s="1244">
        <f t="shared" si="1"/>
        <v>0</v>
      </c>
    </row>
    <row r="36" spans="1:12" ht="12" customHeight="1">
      <c r="A36" s="348">
        <v>1881</v>
      </c>
      <c r="B36" s="192">
        <f>DataUK1!CP39/DataUK1!CL39</f>
        <v>0.76124235074777202</v>
      </c>
      <c r="C36" s="192">
        <f>(DataUK1!CN39-DataUK1!CQ39)/DataUK1!CL39</f>
        <v>0.23875764925222795</v>
      </c>
      <c r="D36" s="2028">
        <f>DataUK1!CP39/DataUK1!CM39</f>
        <v>0.72557397705491611</v>
      </c>
      <c r="E36" s="2029">
        <f>DataUK1!CN39/DataUK1!CM39</f>
        <v>0.27442602294508384</v>
      </c>
      <c r="F36" s="2025">
        <f>B36*TableUK9!$E36</f>
        <v>0.28175579639145604</v>
      </c>
      <c r="G36" s="2042">
        <f>C36*TableUK9!$E36</f>
        <v>8.8370479576618977E-2</v>
      </c>
      <c r="K36" s="1244">
        <f t="shared" si="0"/>
        <v>0</v>
      </c>
      <c r="L36" s="1244">
        <f t="shared" si="1"/>
        <v>0</v>
      </c>
    </row>
    <row r="37" spans="1:12" ht="12" customHeight="1">
      <c r="A37" s="348">
        <v>1882</v>
      </c>
      <c r="B37" s="192">
        <f>DataUK1!CP40/DataUK1!CL40</f>
        <v>0.79076643562344007</v>
      </c>
      <c r="C37" s="192">
        <f>(DataUK1!CN40-DataUK1!CQ40)/DataUK1!CL40</f>
        <v>0.20923356437655996</v>
      </c>
      <c r="D37" s="2028">
        <f>DataUK1!CP40/DataUK1!CM40</f>
        <v>0.75473851514204193</v>
      </c>
      <c r="E37" s="2029">
        <f>DataUK1!CN40/DataUK1!CM40</f>
        <v>0.2452614848579581</v>
      </c>
      <c r="F37" s="2025">
        <f>B37*TableUK9!$E37</f>
        <v>0.29138536062244835</v>
      </c>
      <c r="G37" s="2042">
        <f>C37*TableUK9!$E37</f>
        <v>7.7099374560728975E-2</v>
      </c>
      <c r="K37" s="1244">
        <f t="shared" si="0"/>
        <v>0</v>
      </c>
      <c r="L37" s="1244">
        <f t="shared" si="1"/>
        <v>0</v>
      </c>
    </row>
    <row r="38" spans="1:12" ht="12" customHeight="1">
      <c r="A38" s="348">
        <v>1883</v>
      </c>
      <c r="B38" s="192">
        <f>DataUK1!CP41/DataUK1!CL41</f>
        <v>0.81940252544351588</v>
      </c>
      <c r="C38" s="192">
        <f>(DataUK1!CN41-DataUK1!CQ41)/DataUK1!CL41</f>
        <v>0.18059747455648406</v>
      </c>
      <c r="D38" s="2028">
        <f>DataUK1!CP41/DataUK1!CM41</f>
        <v>0.78007486747623545</v>
      </c>
      <c r="E38" s="2029">
        <f>DataUK1!CN41/DataUK1!CM41</f>
        <v>0.21992513252376461</v>
      </c>
      <c r="F38" s="2025">
        <f>B38*TableUK9!$E38</f>
        <v>0.30431233153402343</v>
      </c>
      <c r="G38" s="2042">
        <f>C38*TableUK9!$E38</f>
        <v>6.7070867912804075E-2</v>
      </c>
      <c r="K38" s="1244">
        <f t="shared" si="0"/>
        <v>0</v>
      </c>
      <c r="L38" s="1244">
        <f t="shared" si="1"/>
        <v>0</v>
      </c>
    </row>
    <row r="39" spans="1:12" ht="12" customHeight="1">
      <c r="A39" s="348">
        <v>1884</v>
      </c>
      <c r="B39" s="192">
        <f>DataUK1!CP42/DataUK1!CL42</f>
        <v>0.82264865595860992</v>
      </c>
      <c r="C39" s="192">
        <f>(DataUK1!CN42-DataUK1!CQ42)/DataUK1!CL42</f>
        <v>0.17735134404139011</v>
      </c>
      <c r="D39" s="2028">
        <f>DataUK1!CP42/DataUK1!CM42</f>
        <v>0.78164823107664438</v>
      </c>
      <c r="E39" s="2029">
        <f>DataUK1!CN42/DataUK1!CM42</f>
        <v>0.21835176892335562</v>
      </c>
      <c r="F39" s="2025">
        <f>B39*TableUK9!$E39</f>
        <v>0.30202123348203441</v>
      </c>
      <c r="G39" s="2042">
        <f>C39*TableUK9!$E39</f>
        <v>6.5111480215889708E-2</v>
      </c>
      <c r="K39" s="1244">
        <f t="shared" si="0"/>
        <v>0</v>
      </c>
      <c r="L39" s="1244">
        <f t="shared" si="1"/>
        <v>0</v>
      </c>
    </row>
    <row r="40" spans="1:12" ht="12" customHeight="1">
      <c r="A40" s="348">
        <v>1885</v>
      </c>
      <c r="B40" s="192">
        <f>DataUK1!CP43/DataUK1!CL43</f>
        <v>0.81512529047725391</v>
      </c>
      <c r="C40" s="192">
        <f>(DataUK1!CN43-DataUK1!CQ43)/DataUK1!CL43</f>
        <v>0.18487470952274607</v>
      </c>
      <c r="D40" s="2028">
        <f>DataUK1!CP43/DataUK1!CM43</f>
        <v>0.77234690909230264</v>
      </c>
      <c r="E40" s="2029">
        <f>DataUK1!CN43/DataUK1!CM43</f>
        <v>0.22765309090769734</v>
      </c>
      <c r="F40" s="2025">
        <f>B40*TableUK9!$E40</f>
        <v>0.2977662451592718</v>
      </c>
      <c r="G40" s="2042">
        <f>C40*TableUK9!$E40</f>
        <v>6.7534952874873808E-2</v>
      </c>
      <c r="K40" s="1244">
        <f t="shared" si="0"/>
        <v>0</v>
      </c>
      <c r="L40" s="1244">
        <f t="shared" si="1"/>
        <v>0</v>
      </c>
    </row>
    <row r="41" spans="1:12" ht="12" customHeight="1">
      <c r="A41" s="348">
        <v>1886</v>
      </c>
      <c r="B41" s="192">
        <f>DataUK1!CP44/DataUK1!CL44</f>
        <v>0.78154259906503598</v>
      </c>
      <c r="C41" s="192">
        <f>(DataUK1!CN44-DataUK1!CQ44)/DataUK1!CL44</f>
        <v>0.21845740093496396</v>
      </c>
      <c r="D41" s="2028">
        <f>DataUK1!CP44/DataUK1!CM44</f>
        <v>0.74456017496044657</v>
      </c>
      <c r="E41" s="2029">
        <f>DataUK1!CN44/DataUK1!CM44</f>
        <v>0.25543982503955348</v>
      </c>
      <c r="F41" s="2025">
        <f>B41*TableUK9!$E41</f>
        <v>0.28798399859944379</v>
      </c>
      <c r="G41" s="2042">
        <f>C41*TableUK9!$E41</f>
        <v>8.0497513405097906E-2</v>
      </c>
      <c r="K41" s="1244">
        <f t="shared" si="0"/>
        <v>0</v>
      </c>
      <c r="L41" s="1244">
        <f t="shared" si="1"/>
        <v>0</v>
      </c>
    </row>
    <row r="42" spans="1:12" ht="12" customHeight="1">
      <c r="A42" s="348">
        <v>1887</v>
      </c>
      <c r="B42" s="192">
        <f>DataUK1!CP45/DataUK1!CL45</f>
        <v>0.78639370724651614</v>
      </c>
      <c r="C42" s="192">
        <f>(DataUK1!CN45-DataUK1!CQ45)/DataUK1!CL45</f>
        <v>0.21360629275348386</v>
      </c>
      <c r="D42" s="2028">
        <f>DataUK1!CP45/DataUK1!CM45</f>
        <v>0.75249255764145462</v>
      </c>
      <c r="E42" s="2029">
        <f>DataUK1!CN45/DataUK1!CM45</f>
        <v>0.24750744235854535</v>
      </c>
      <c r="F42" s="2025">
        <f>B42*TableUK9!$E42</f>
        <v>0.29757655571399022</v>
      </c>
      <c r="G42" s="2042">
        <f>C42*TableUK9!$E42</f>
        <v>8.0830027365020721E-2</v>
      </c>
      <c r="K42" s="1244">
        <f t="shared" ref="K42:K73" si="2">1-B42-C42</f>
        <v>0</v>
      </c>
      <c r="L42" s="1244">
        <f t="shared" si="1"/>
        <v>0</v>
      </c>
    </row>
    <row r="43" spans="1:12" ht="12" customHeight="1">
      <c r="A43" s="348">
        <v>1888</v>
      </c>
      <c r="B43" s="192">
        <f>DataUK1!CP46/DataUK1!CL46</f>
        <v>0.76895747504625944</v>
      </c>
      <c r="C43" s="192">
        <f>(DataUK1!CN46-DataUK1!CQ46)/DataUK1!CL46</f>
        <v>0.23104252495374067</v>
      </c>
      <c r="D43" s="2028">
        <f>DataUK1!CP46/DataUK1!CM46</f>
        <v>0.7405767824828966</v>
      </c>
      <c r="E43" s="2029">
        <f>DataUK1!CN46/DataUK1!CM46</f>
        <v>0.2594232175171034</v>
      </c>
      <c r="F43" s="2025">
        <f>B43*TableUK9!$E43</f>
        <v>0.29848139245372596</v>
      </c>
      <c r="G43" s="2042">
        <f>C43*TableUK9!$E43</f>
        <v>8.9682325488894682E-2</v>
      </c>
      <c r="K43" s="1244">
        <f t="shared" si="2"/>
        <v>0</v>
      </c>
      <c r="L43" s="1244">
        <f t="shared" si="1"/>
        <v>0</v>
      </c>
    </row>
    <row r="44" spans="1:12" ht="12" customHeight="1">
      <c r="A44" s="748">
        <v>1889</v>
      </c>
      <c r="B44" s="195">
        <f>DataUK1!CP47/DataUK1!CL47</f>
        <v>0.79128687915984897</v>
      </c>
      <c r="C44" s="195">
        <f>(DataUK1!CN47-DataUK1!CQ47)/DataUK1!CL47</f>
        <v>0.20871312084015101</v>
      </c>
      <c r="D44" s="2047">
        <f>DataUK1!CP47/DataUK1!CM47</f>
        <v>0.75894253644473231</v>
      </c>
      <c r="E44" s="2048">
        <f>DataUK1!CN47/DataUK1!CM47</f>
        <v>0.24105746355526772</v>
      </c>
      <c r="F44" s="2049">
        <f>B44*TableUK9!$E44</f>
        <v>0.31313044976505089</v>
      </c>
      <c r="G44" s="2050">
        <f>C44*TableUK9!$E44</f>
        <v>8.2592590780646014E-2</v>
      </c>
      <c r="K44" s="1244">
        <f t="shared" si="2"/>
        <v>0</v>
      </c>
      <c r="L44" s="1244">
        <f t="shared" si="1"/>
        <v>0</v>
      </c>
    </row>
    <row r="45" spans="1:12" ht="12" customHeight="1">
      <c r="A45" s="348">
        <v>1890</v>
      </c>
      <c r="B45" s="192">
        <f>DataUK1!CP48/DataUK1!CL48</f>
        <v>0.80864896537376529</v>
      </c>
      <c r="C45" s="192">
        <f>(DataUK1!CN48-DataUK1!CQ48)/DataUK1!CL48</f>
        <v>0.19135103462623476</v>
      </c>
      <c r="D45" s="2028">
        <f>DataUK1!CP48/DataUK1!CM48</f>
        <v>0.77252150753442983</v>
      </c>
      <c r="E45" s="2029">
        <f>DataUK1!CN48/DataUK1!CM48</f>
        <v>0.22747849246557028</v>
      </c>
      <c r="F45" s="2025">
        <f>B45*TableUK9!$E45</f>
        <v>0.32597968088095686</v>
      </c>
      <c r="G45" s="2042">
        <f>C45*TableUK9!$E45</f>
        <v>7.7136745206703994E-2</v>
      </c>
      <c r="K45" s="1244">
        <f t="shared" si="2"/>
        <v>0</v>
      </c>
      <c r="L45" s="1244">
        <f t="shared" si="1"/>
        <v>0</v>
      </c>
    </row>
    <row r="46" spans="1:12" ht="12" customHeight="1">
      <c r="A46" s="348">
        <v>1891</v>
      </c>
      <c r="B46" s="192">
        <f>DataUK1!CP49/DataUK1!CL49</f>
        <v>0.81786954349204966</v>
      </c>
      <c r="C46" s="192">
        <f>(DataUK1!CN49-DataUK1!CQ49)/DataUK1!CL49</f>
        <v>0.18213045650795032</v>
      </c>
      <c r="D46" s="2028">
        <f>DataUK1!CP49/DataUK1!CM49</f>
        <v>0.78748065846327264</v>
      </c>
      <c r="E46" s="2029">
        <f>DataUK1!CN49/DataUK1!CM49</f>
        <v>0.21251934153672736</v>
      </c>
      <c r="F46" s="2025">
        <f>B46*TableUK9!$E46</f>
        <v>0.34155082715930707</v>
      </c>
      <c r="G46" s="2042">
        <f>C46*TableUK9!$E46</f>
        <v>7.6059572784173898E-2</v>
      </c>
      <c r="K46" s="1244">
        <f t="shared" si="2"/>
        <v>0</v>
      </c>
      <c r="L46" s="1244">
        <f t="shared" si="1"/>
        <v>0</v>
      </c>
    </row>
    <row r="47" spans="1:12" ht="12" customHeight="1">
      <c r="A47" s="348">
        <v>1892</v>
      </c>
      <c r="B47" s="192">
        <f>DataUK1!CP50/DataUK1!CL50</f>
        <v>0.83284167455242542</v>
      </c>
      <c r="C47" s="192">
        <f>(DataUK1!CN50-DataUK1!CQ50)/DataUK1!CL50</f>
        <v>0.1671583254475745</v>
      </c>
      <c r="D47" s="2028">
        <f>DataUK1!CP50/DataUK1!CM50</f>
        <v>0.80039311385574652</v>
      </c>
      <c r="E47" s="2029">
        <f>DataUK1!CN50/DataUK1!CM50</f>
        <v>0.19960688614425343</v>
      </c>
      <c r="F47" s="2025">
        <f>B47*TableUK9!$E47</f>
        <v>0.35457037161269922</v>
      </c>
      <c r="G47" s="2042">
        <f>C47*TableUK9!$E47</f>
        <v>7.1165254313137929E-2</v>
      </c>
      <c r="K47" s="1244">
        <f t="shared" si="2"/>
        <v>0</v>
      </c>
      <c r="L47" s="1244">
        <f t="shared" si="1"/>
        <v>0</v>
      </c>
    </row>
    <row r="48" spans="1:12" ht="12" customHeight="1">
      <c r="A48" s="348">
        <v>1893</v>
      </c>
      <c r="B48" s="192">
        <f>DataUK1!CP51/DataUK1!CL51</f>
        <v>0.82278960984973326</v>
      </c>
      <c r="C48" s="192">
        <f>(DataUK1!CN51-DataUK1!CQ51)/DataUK1!CL51</f>
        <v>0.17721039015026677</v>
      </c>
      <c r="D48" s="2028">
        <f>DataUK1!CP51/DataUK1!CM51</f>
        <v>0.79319956349336729</v>
      </c>
      <c r="E48" s="2029">
        <f>DataUK1!CN51/DataUK1!CM51</f>
        <v>0.20680043650663274</v>
      </c>
      <c r="F48" s="2025">
        <f>B48*TableUK9!$E48</f>
        <v>0.35811790384685777</v>
      </c>
      <c r="G48" s="2042">
        <f>C48*TableUK9!$E48</f>
        <v>7.7130547956345177E-2</v>
      </c>
      <c r="K48" s="1244">
        <f t="shared" si="2"/>
        <v>0</v>
      </c>
      <c r="L48" s="1244">
        <f t="shared" si="1"/>
        <v>0</v>
      </c>
    </row>
    <row r="49" spans="1:12" ht="12" customHeight="1">
      <c r="A49" s="348">
        <v>1894</v>
      </c>
      <c r="B49" s="192">
        <f>DataUK1!CP52/DataUK1!CL52</f>
        <v>0.77915884988257977</v>
      </c>
      <c r="C49" s="192">
        <f>(DataUK1!CN52-DataUK1!CQ52)/DataUK1!CL52</f>
        <v>0.22084115011742028</v>
      </c>
      <c r="D49" s="2028">
        <f>DataUK1!CP52/DataUK1!CM52</f>
        <v>0.75676704598544753</v>
      </c>
      <c r="E49" s="2029">
        <f>DataUK1!CN52/DataUK1!CM52</f>
        <v>0.2432329540145525</v>
      </c>
      <c r="F49" s="2025">
        <f>B49*TableUK9!$E49</f>
        <v>0.33344304610812364</v>
      </c>
      <c r="G49" s="2042">
        <f>C49*TableUK9!$E49</f>
        <v>9.4509541683664836E-2</v>
      </c>
      <c r="K49" s="1244">
        <f t="shared" si="2"/>
        <v>0</v>
      </c>
      <c r="L49" s="1244">
        <f t="shared" si="1"/>
        <v>0</v>
      </c>
    </row>
    <row r="50" spans="1:12" ht="12" customHeight="1">
      <c r="A50" s="348">
        <v>1895</v>
      </c>
      <c r="B50" s="192">
        <f>DataUK1!CP53/DataUK1!CL53</f>
        <v>0.7704766048922177</v>
      </c>
      <c r="C50" s="192">
        <f>(DataUK1!CN53-DataUK1!CQ53)/DataUK1!CL53</f>
        <v>0.22952339510778247</v>
      </c>
      <c r="D50" s="2028">
        <f>DataUK1!CP53/DataUK1!CM53</f>
        <v>0.74960552649251821</v>
      </c>
      <c r="E50" s="2029">
        <f>DataUK1!CN53/DataUK1!CM53</f>
        <v>0.25039447350748184</v>
      </c>
      <c r="F50" s="2025">
        <f>B50*TableUK9!$E50</f>
        <v>0.33185804136949548</v>
      </c>
      <c r="G50" s="2042">
        <f>C50*TableUK9!$E50</f>
        <v>9.8859827625266919E-2</v>
      </c>
      <c r="K50" s="1244">
        <f t="shared" si="2"/>
        <v>0</v>
      </c>
      <c r="L50" s="1244">
        <f t="shared" si="1"/>
        <v>0</v>
      </c>
    </row>
    <row r="51" spans="1:12">
      <c r="A51" s="198">
        <v>1896</v>
      </c>
      <c r="B51" s="192">
        <f>DataUK1!CP54/DataUK1!CL54</f>
        <v>0.77464511630333355</v>
      </c>
      <c r="C51" s="192">
        <f>(DataUK1!CN54-DataUK1!CQ54)/DataUK1!CL54</f>
        <v>0.22535488369666637</v>
      </c>
      <c r="D51" s="2030">
        <f>DataUK1!CP54/DataUK1!CM54</f>
        <v>0.75265213709804879</v>
      </c>
      <c r="E51" s="2031">
        <f>DataUK1!CN54/DataUK1!CM54</f>
        <v>0.24734786290195118</v>
      </c>
      <c r="F51" s="2026">
        <f>B51*TableUK9!$E51</f>
        <v>0.34119036328466179</v>
      </c>
      <c r="G51" s="1358">
        <f>C51*TableUK9!$E51</f>
        <v>9.9256953949904386E-2</v>
      </c>
      <c r="H51" s="233"/>
      <c r="K51" s="1244">
        <f t="shared" si="2"/>
        <v>0</v>
      </c>
      <c r="L51" s="1244">
        <f t="shared" si="1"/>
        <v>0</v>
      </c>
    </row>
    <row r="52" spans="1:12">
      <c r="A52" s="198">
        <v>1897</v>
      </c>
      <c r="B52" s="192">
        <f>DataUK1!CP55/DataUK1!CL55</f>
        <v>0.76054591000648597</v>
      </c>
      <c r="C52" s="192">
        <f>(DataUK1!CN55-DataUK1!CQ55)/DataUK1!CL55</f>
        <v>0.23945408999351406</v>
      </c>
      <c r="D52" s="2030">
        <f>DataUK1!CP55/DataUK1!CM55</f>
        <v>0.73810589946691507</v>
      </c>
      <c r="E52" s="2031">
        <f>DataUK1!CN55/DataUK1!CM55</f>
        <v>0.26189410053308493</v>
      </c>
      <c r="F52" s="2026">
        <f>B52*TableUK9!$E52</f>
        <v>0.33664454998477961</v>
      </c>
      <c r="G52" s="1358">
        <f>C52*TableUK9!$E52</f>
        <v>0.10599085907541597</v>
      </c>
      <c r="H52" s="233"/>
      <c r="K52" s="1244">
        <f t="shared" si="2"/>
        <v>0</v>
      </c>
      <c r="L52" s="1244">
        <f t="shared" si="1"/>
        <v>0</v>
      </c>
    </row>
    <row r="53" spans="1:12">
      <c r="A53" s="198">
        <v>1898</v>
      </c>
      <c r="B53" s="192">
        <f>DataUK1!CP56/DataUK1!CL56</f>
        <v>0.74456398253729039</v>
      </c>
      <c r="C53" s="192">
        <f>(DataUK1!CN56-DataUK1!CQ56)/DataUK1!CL56</f>
        <v>0.25543601746270966</v>
      </c>
      <c r="D53" s="2030">
        <f>DataUK1!CP56/DataUK1!CM56</f>
        <v>0.72292030987695999</v>
      </c>
      <c r="E53" s="2031">
        <f>DataUK1!CN56/DataUK1!CM56</f>
        <v>0.27707969012304001</v>
      </c>
      <c r="F53" s="2026">
        <f>B53*TableUK9!$E53</f>
        <v>0.33725106386563097</v>
      </c>
      <c r="G53" s="1358">
        <f>C53*TableUK9!$E53</f>
        <v>0.11570002130016303</v>
      </c>
      <c r="H53" s="233"/>
      <c r="K53" s="1244">
        <f t="shared" si="2"/>
        <v>0</v>
      </c>
      <c r="L53" s="1244">
        <f t="shared" si="1"/>
        <v>0</v>
      </c>
    </row>
    <row r="54" spans="1:12">
      <c r="A54" s="214">
        <v>1899</v>
      </c>
      <c r="B54" s="195">
        <f>DataUK1!CP57/DataUK1!CL57</f>
        <v>0.72419209275194096</v>
      </c>
      <c r="C54" s="195">
        <f>(DataUK1!CN57-DataUK1!CQ57)/DataUK1!CL57</f>
        <v>0.27580790724805893</v>
      </c>
      <c r="D54" s="2032">
        <f>DataUK1!CP57/DataUK1!CM57</f>
        <v>0.70046887370856015</v>
      </c>
      <c r="E54" s="2033">
        <f>DataUK1!CN57/DataUK1!CM57</f>
        <v>0.29953112629143991</v>
      </c>
      <c r="F54" s="2027">
        <f>B54*TableUK9!$E54</f>
        <v>0.321451698334563</v>
      </c>
      <c r="G54" s="1360">
        <f>C54*TableUK9!$E54</f>
        <v>0.12242459022451477</v>
      </c>
      <c r="H54" s="233"/>
      <c r="K54" s="1244">
        <f t="shared" si="2"/>
        <v>0</v>
      </c>
      <c r="L54" s="1244">
        <f t="shared" si="1"/>
        <v>0</v>
      </c>
    </row>
    <row r="55" spans="1:12">
      <c r="A55" s="198">
        <v>1900</v>
      </c>
      <c r="B55" s="192">
        <f>DataUK1!CP58/DataUK1!CL58</f>
        <v>0.73714521979776759</v>
      </c>
      <c r="C55" s="192">
        <f>(DataUK1!CN58-DataUK1!CQ58)/DataUK1!CL58</f>
        <v>0.26285478020223241</v>
      </c>
      <c r="D55" s="2030">
        <f>DataUK1!CP58/DataUK1!CM58</f>
        <v>0.70779373941719415</v>
      </c>
      <c r="E55" s="2031">
        <f>DataUK1!CN58/DataUK1!CM58</f>
        <v>0.29220626058280585</v>
      </c>
      <c r="F55" s="2026">
        <f>B55*TableUK9!$E55</f>
        <v>0.3279258757616127</v>
      </c>
      <c r="G55" s="1358">
        <f>C55*TableUK9!$E55</f>
        <v>0.11693338256957157</v>
      </c>
      <c r="H55" s="233"/>
      <c r="K55" s="1244">
        <f t="shared" si="2"/>
        <v>0</v>
      </c>
      <c r="L55" s="1244">
        <f t="shared" si="1"/>
        <v>0</v>
      </c>
    </row>
    <row r="56" spans="1:12">
      <c r="A56" s="198">
        <v>1901</v>
      </c>
      <c r="B56" s="192">
        <f>DataUK1!CP59/DataUK1!CL59</f>
        <v>0.74960188194541211</v>
      </c>
      <c r="C56" s="192">
        <f>(DataUK1!CN59-DataUK1!CQ59)/DataUK1!CL59</f>
        <v>0.25039811805458789</v>
      </c>
      <c r="D56" s="2030">
        <f>DataUK1!CP59/DataUK1!CM59</f>
        <v>0.7185452483196203</v>
      </c>
      <c r="E56" s="2031">
        <f>DataUK1!CN59/DataUK1!CM59</f>
        <v>0.2814547516803797</v>
      </c>
      <c r="F56" s="2026">
        <f>B56*TableUK9!$E56</f>
        <v>0.33001794040126009</v>
      </c>
      <c r="G56" s="1358">
        <f>C56*TableUK9!$E56</f>
        <v>0.11023967947661106</v>
      </c>
      <c r="H56" s="233"/>
      <c r="K56" s="1244">
        <f t="shared" si="2"/>
        <v>0</v>
      </c>
      <c r="L56" s="1244">
        <f t="shared" si="1"/>
        <v>0</v>
      </c>
    </row>
    <row r="57" spans="1:12">
      <c r="A57" s="198">
        <v>1902</v>
      </c>
      <c r="B57" s="192">
        <f>DataUK1!CP60/DataUK1!CL60</f>
        <v>0.73549091991766014</v>
      </c>
      <c r="C57" s="192">
        <f>(DataUK1!CN60-DataUK1!CQ60)/DataUK1!CL60</f>
        <v>0.26450908008233975</v>
      </c>
      <c r="D57" s="2030">
        <f>DataUK1!CP60/DataUK1!CM60</f>
        <v>0.70952290341387658</v>
      </c>
      <c r="E57" s="2031">
        <f>DataUK1!CN60/DataUK1!CM60</f>
        <v>0.29047709658612347</v>
      </c>
      <c r="F57" s="2026">
        <f>B57*TableUK9!$E57</f>
        <v>0.3204845810009076</v>
      </c>
      <c r="G57" s="1358">
        <f>C57*TableUK9!$E57</f>
        <v>0.11525782223200591</v>
      </c>
      <c r="H57" s="233"/>
      <c r="K57" s="1244">
        <f t="shared" si="2"/>
        <v>0</v>
      </c>
      <c r="L57" s="1244">
        <f t="shared" si="1"/>
        <v>0</v>
      </c>
    </row>
    <row r="58" spans="1:12">
      <c r="A58" s="198">
        <v>1903</v>
      </c>
      <c r="B58" s="192">
        <f>DataUK1!CP61/DataUK1!CL61</f>
        <v>0.76271647502209527</v>
      </c>
      <c r="C58" s="192">
        <f>(DataUK1!CN61-DataUK1!CQ61)/DataUK1!CL61</f>
        <v>0.2372835249779047</v>
      </c>
      <c r="D58" s="2030">
        <f>DataUK1!CP61/DataUK1!CM61</f>
        <v>0.73430082822294063</v>
      </c>
      <c r="E58" s="2031">
        <f>DataUK1!CN61/DataUK1!CM61</f>
        <v>0.26569917177705937</v>
      </c>
      <c r="F58" s="2026">
        <f>B58*TableUK9!$E58</f>
        <v>0.34564804432153617</v>
      </c>
      <c r="G58" s="1358">
        <f>C58*TableUK9!$E58</f>
        <v>0.10753220763450427</v>
      </c>
      <c r="H58" s="233"/>
      <c r="K58" s="1244">
        <f t="shared" si="2"/>
        <v>0</v>
      </c>
      <c r="L58" s="1244">
        <f t="shared" si="1"/>
        <v>0</v>
      </c>
    </row>
    <row r="59" spans="1:12">
      <c r="A59" s="198">
        <v>1904</v>
      </c>
      <c r="B59" s="192">
        <f>DataUK1!CP62/DataUK1!CL62</f>
        <v>0.76143468546403281</v>
      </c>
      <c r="C59" s="192">
        <f>(DataUK1!CN62-DataUK1!CQ62)/DataUK1!CL62</f>
        <v>0.23856531453596719</v>
      </c>
      <c r="D59" s="2030">
        <f>DataUK1!CP62/DataUK1!CM62</f>
        <v>0.73419254079175322</v>
      </c>
      <c r="E59" s="2031">
        <f>DataUK1!CN62/DataUK1!CM62</f>
        <v>0.26580745920824672</v>
      </c>
      <c r="F59" s="2026">
        <f>B59*TableUK9!$E59</f>
        <v>0.34165509313366343</v>
      </c>
      <c r="G59" s="1358">
        <f>C59*TableUK9!$E59</f>
        <v>0.10704405290727678</v>
      </c>
      <c r="H59" s="233"/>
      <c r="K59" s="1244">
        <f t="shared" si="2"/>
        <v>0</v>
      </c>
      <c r="L59" s="1244">
        <f t="shared" si="1"/>
        <v>0</v>
      </c>
    </row>
    <row r="60" spans="1:12">
      <c r="A60" s="198">
        <v>1905</v>
      </c>
      <c r="B60" s="192">
        <f>DataUK1!CP63/DataUK1!CL63</f>
        <v>0.74147474853664452</v>
      </c>
      <c r="C60" s="192">
        <f>(DataUK1!CN63-DataUK1!CQ63)/DataUK1!CL63</f>
        <v>0.25852525146335553</v>
      </c>
      <c r="D60" s="2030">
        <f>DataUK1!CP63/DataUK1!CM63</f>
        <v>0.71557842710387964</v>
      </c>
      <c r="E60" s="2031">
        <f>DataUK1!CN63/DataUK1!CM63</f>
        <v>0.28442157289612036</v>
      </c>
      <c r="F60" s="2026">
        <f>B60*TableUK9!$E60</f>
        <v>0.33053960596054388</v>
      </c>
      <c r="G60" s="1358">
        <f>C60*TableUK9!$E60</f>
        <v>0.11524712732051304</v>
      </c>
      <c r="H60" s="233"/>
      <c r="K60" s="1244">
        <f t="shared" si="2"/>
        <v>0</v>
      </c>
      <c r="L60" s="1244">
        <f t="shared" si="1"/>
        <v>0</v>
      </c>
    </row>
    <row r="61" spans="1:12">
      <c r="A61" s="198">
        <v>1906</v>
      </c>
      <c r="B61" s="192">
        <f>DataUK1!CP64/DataUK1!CL64</f>
        <v>0.72420242122784984</v>
      </c>
      <c r="C61" s="192">
        <f>(DataUK1!CN64-DataUK1!CQ64)/DataUK1!CL64</f>
        <v>0.27579757877215016</v>
      </c>
      <c r="D61" s="2030">
        <f>DataUK1!CP64/DataUK1!CM64</f>
        <v>0.70025761753886717</v>
      </c>
      <c r="E61" s="2031">
        <f>DataUK1!CN64/DataUK1!CM64</f>
        <v>0.29974238246113283</v>
      </c>
      <c r="F61" s="2026">
        <f>B61*TableUK9!$E61</f>
        <v>0.3265957902458918</v>
      </c>
      <c r="G61" s="1358">
        <f>C61*TableUK9!$E61</f>
        <v>0.1243772811947761</v>
      </c>
      <c r="H61" s="233"/>
      <c r="K61" s="1244">
        <f t="shared" si="2"/>
        <v>0</v>
      </c>
      <c r="L61" s="1244">
        <f t="shared" si="1"/>
        <v>0</v>
      </c>
    </row>
    <row r="62" spans="1:12">
      <c r="A62" s="198">
        <v>1907</v>
      </c>
      <c r="B62" s="192">
        <f>DataUK1!CP65/DataUK1!CL65</f>
        <v>0.72914299297532281</v>
      </c>
      <c r="C62" s="192">
        <f>(DataUK1!CN65-DataUK1!CQ65)/DataUK1!CL65</f>
        <v>0.2708570070246773</v>
      </c>
      <c r="D62" s="2030">
        <f>DataUK1!CP65/DataUK1!CM65</f>
        <v>0.70514724897649694</v>
      </c>
      <c r="E62" s="2031">
        <f>DataUK1!CN65/DataUK1!CM65</f>
        <v>0.294852751023503</v>
      </c>
      <c r="F62" s="2026">
        <f>B62*TableUK9!$E62</f>
        <v>0.33419120123524987</v>
      </c>
      <c r="G62" s="1358">
        <f>C62*TableUK9!$E62</f>
        <v>0.12414304109430689</v>
      </c>
      <c r="H62" s="233"/>
      <c r="K62" s="1244">
        <f t="shared" si="2"/>
        <v>0</v>
      </c>
      <c r="L62" s="1244">
        <f t="shared" si="1"/>
        <v>0</v>
      </c>
    </row>
    <row r="63" spans="1:12">
      <c r="A63" s="198">
        <v>1908</v>
      </c>
      <c r="B63" s="192">
        <f>DataUK1!CP66/DataUK1!CL66</f>
        <v>0.75032325196547855</v>
      </c>
      <c r="C63" s="192">
        <f>(DataUK1!CN66-DataUK1!CQ66)/DataUK1!CL66</f>
        <v>0.24967674803452153</v>
      </c>
      <c r="D63" s="2030">
        <f>DataUK1!CP66/DataUK1!CM66</f>
        <v>0.72216105907316297</v>
      </c>
      <c r="E63" s="2031">
        <f>DataUK1!CN66/DataUK1!CM66</f>
        <v>0.27783894092683703</v>
      </c>
      <c r="F63" s="2026">
        <f>B63*TableUK9!$E63</f>
        <v>0.34271226603868243</v>
      </c>
      <c r="G63" s="1358">
        <f>C63*TableUK9!$E63</f>
        <v>0.11404056034773778</v>
      </c>
      <c r="H63" s="233"/>
      <c r="K63" s="1244">
        <f t="shared" si="2"/>
        <v>0</v>
      </c>
      <c r="L63" s="1244">
        <f t="shared" si="1"/>
        <v>0</v>
      </c>
    </row>
    <row r="64" spans="1:12">
      <c r="A64" s="214">
        <v>1909</v>
      </c>
      <c r="B64" s="195">
        <f>DataUK1!CP67/DataUK1!CL67</f>
        <v>0.74729953836295027</v>
      </c>
      <c r="C64" s="195">
        <f>(DataUK1!CN67-DataUK1!CQ67)/DataUK1!CL67</f>
        <v>0.25270046163704968</v>
      </c>
      <c r="D64" s="2032">
        <f>DataUK1!CP67/DataUK1!CM67</f>
        <v>0.72153569123314809</v>
      </c>
      <c r="E64" s="2033">
        <f>DataUK1!CN67/DataUK1!CM67</f>
        <v>0.27846430876685196</v>
      </c>
      <c r="F64" s="2027">
        <f>B64*TableUK9!$E64</f>
        <v>0.34050363632803582</v>
      </c>
      <c r="G64" s="1360">
        <f>C64*TableUK9!$E64</f>
        <v>0.11514181619552664</v>
      </c>
      <c r="H64" s="233"/>
      <c r="K64" s="1244">
        <f t="shared" si="2"/>
        <v>0</v>
      </c>
      <c r="L64" s="1244">
        <f t="shared" si="1"/>
        <v>0</v>
      </c>
    </row>
    <row r="65" spans="1:12">
      <c r="A65" s="198">
        <v>1910</v>
      </c>
      <c r="B65" s="192">
        <f>DataUK1!CP68/DataUK1!CL68</f>
        <v>0.7423546228272806</v>
      </c>
      <c r="C65" s="192">
        <f>(DataUK1!CN68-DataUK1!CQ68)/DataUK1!CL68</f>
        <v>0.2576453771727194</v>
      </c>
      <c r="D65" s="2030">
        <f>DataUK1!CP68/DataUK1!CM68</f>
        <v>0.71712840133894118</v>
      </c>
      <c r="E65" s="2031">
        <f>DataUK1!CN68/DataUK1!CM68</f>
        <v>0.28287159866105882</v>
      </c>
      <c r="F65" s="2026">
        <f>B65*TableUK9!$E65</f>
        <v>0.33762197724355786</v>
      </c>
      <c r="G65" s="1358">
        <f>C65*TableUK9!$E65</f>
        <v>0.11717680336848184</v>
      </c>
      <c r="H65" s="233"/>
      <c r="K65" s="1244">
        <f t="shared" si="2"/>
        <v>0</v>
      </c>
      <c r="L65" s="1244">
        <f t="shared" si="1"/>
        <v>0</v>
      </c>
    </row>
    <row r="66" spans="1:12">
      <c r="A66" s="198">
        <v>1911</v>
      </c>
      <c r="B66" s="192">
        <f>DataUK1!CP69/DataUK1!CL69</f>
        <v>0.73879109486213024</v>
      </c>
      <c r="C66" s="192">
        <f>(DataUK1!CN69-DataUK1!CQ69)/DataUK1!CL69</f>
        <v>0.2612089051378696</v>
      </c>
      <c r="D66" s="2030">
        <f>DataUK1!CP69/DataUK1!CM69</f>
        <v>0.71496939996939135</v>
      </c>
      <c r="E66" s="2031">
        <f>DataUK1!CN69/DataUK1!CM69</f>
        <v>0.28503060003060859</v>
      </c>
      <c r="F66" s="2026">
        <f>B66*TableUK9!$E66</f>
        <v>0.33414754090713772</v>
      </c>
      <c r="G66" s="1358">
        <f>C66*TableUK9!$E66</f>
        <v>0.11814207550938761</v>
      </c>
      <c r="H66" s="233"/>
      <c r="K66" s="1244">
        <f t="shared" si="2"/>
        <v>0</v>
      </c>
      <c r="L66" s="1244">
        <f t="shared" si="1"/>
        <v>0</v>
      </c>
    </row>
    <row r="67" spans="1:12">
      <c r="A67" s="198">
        <v>1912</v>
      </c>
      <c r="B67" s="192">
        <f>DataUK1!CP70/DataUK1!CL70</f>
        <v>0.7239682058646193</v>
      </c>
      <c r="C67" s="192">
        <f>(DataUK1!CN70-DataUK1!CQ70)/DataUK1!CL70</f>
        <v>0.27603179413538093</v>
      </c>
      <c r="D67" s="2030">
        <f>DataUK1!CP70/DataUK1!CM70</f>
        <v>0.70093030646512255</v>
      </c>
      <c r="E67" s="2031">
        <f>DataUK1!CN70/DataUK1!CM70</f>
        <v>0.29906969353487756</v>
      </c>
      <c r="F67" s="2026">
        <f>B67*TableUK9!$E67</f>
        <v>0.33395722256680793</v>
      </c>
      <c r="G67" s="1358">
        <f>C67*TableUK9!$E67</f>
        <v>0.12732991664943741</v>
      </c>
      <c r="H67" s="233"/>
      <c r="K67" s="1244">
        <f t="shared" si="2"/>
        <v>0</v>
      </c>
      <c r="L67" s="1244">
        <f t="shared" si="1"/>
        <v>0</v>
      </c>
    </row>
    <row r="68" spans="1:12">
      <c r="A68" s="198">
        <v>1913</v>
      </c>
      <c r="B68" s="192">
        <f>DataUK1!CP71/DataUK1!CL71</f>
        <v>0.72633446509603949</v>
      </c>
      <c r="C68" s="192">
        <f>(DataUK1!CN71-DataUK1!CQ71)/DataUK1!CL71</f>
        <v>0.27366553490396039</v>
      </c>
      <c r="D68" s="2030">
        <f>DataUK1!CP71/DataUK1!CM71</f>
        <v>0.70050528373428178</v>
      </c>
      <c r="E68" s="2031">
        <f>DataUK1!CN71/DataUK1!CM71</f>
        <v>0.29949471626571811</v>
      </c>
      <c r="F68" s="2026">
        <f>B68*TableUK9!$E68</f>
        <v>0.34047984884975629</v>
      </c>
      <c r="G68" s="1358">
        <f>C68*TableUK9!$E68</f>
        <v>0.12828470138363562</v>
      </c>
      <c r="H68" s="233"/>
      <c r="K68" s="1244">
        <f t="shared" si="2"/>
        <v>0</v>
      </c>
      <c r="L68" s="1244">
        <f t="shared" ref="L68:L111" si="3">1-D68-E68</f>
        <v>0</v>
      </c>
    </row>
    <row r="69" spans="1:12">
      <c r="A69" s="198">
        <v>1914</v>
      </c>
      <c r="B69" s="192">
        <f>DataUK1!CP72/DataUK1!CL72</f>
        <v>0.74765639990612354</v>
      </c>
      <c r="C69" s="192">
        <f>(DataUK1!CN72-DataUK1!CQ72)/DataUK1!CL72</f>
        <v>0.25234360009387663</v>
      </c>
      <c r="D69" s="2030">
        <f>DataUK1!CP72/DataUK1!CM72</f>
        <v>0.72306060707352382</v>
      </c>
      <c r="E69" s="2031">
        <f>DataUK1!CN72/DataUK1!CM72</f>
        <v>0.27693939292647624</v>
      </c>
      <c r="F69" s="2026">
        <f>B69*TableUK9!$E69</f>
        <v>0.33656311334758399</v>
      </c>
      <c r="G69" s="1358">
        <f>C69*TableUK9!$E69</f>
        <v>0.11359435656753109</v>
      </c>
      <c r="H69" s="233"/>
      <c r="K69" s="1244">
        <f t="shared" si="2"/>
        <v>0</v>
      </c>
      <c r="L69" s="1244">
        <f t="shared" si="3"/>
        <v>0</v>
      </c>
    </row>
    <row r="70" spans="1:12">
      <c r="A70" s="198">
        <v>1915</v>
      </c>
      <c r="B70" s="192">
        <f>DataUK1!CP73/DataUK1!CL73</f>
        <v>0.61506571903195317</v>
      </c>
      <c r="C70" s="192">
        <f>(DataUK1!CN73-DataUK1!CQ73)/DataUK1!CL73</f>
        <v>0.38493428096804677</v>
      </c>
      <c r="D70" s="2030">
        <f>DataUK1!CP73/DataUK1!CM73</f>
        <v>0.57902740084037096</v>
      </c>
      <c r="E70" s="2031">
        <f>DataUK1!CN73/DataUK1!CM73</f>
        <v>0.42097259915962909</v>
      </c>
      <c r="F70" s="2026">
        <f>B70*TableUK9!$E70</f>
        <v>0.23147555899980526</v>
      </c>
      <c r="G70" s="1358">
        <f>C70*TableUK9!$E70</f>
        <v>0.14486724769103537</v>
      </c>
      <c r="H70" s="233"/>
      <c r="K70" s="1244">
        <f t="shared" si="2"/>
        <v>0</v>
      </c>
      <c r="L70" s="1244">
        <f t="shared" si="3"/>
        <v>0</v>
      </c>
    </row>
    <row r="71" spans="1:12">
      <c r="A71" s="198">
        <v>1916</v>
      </c>
      <c r="B71" s="192">
        <f>DataUK1!CP74/DataUK1!CL74</f>
        <v>0.55330747266099378</v>
      </c>
      <c r="C71" s="192">
        <f>(DataUK1!CN74-DataUK1!CQ74)/DataUK1!CL74</f>
        <v>0.44669252733900622</v>
      </c>
      <c r="D71" s="2030">
        <f>DataUK1!CP74/DataUK1!CM74</f>
        <v>0.52202592711674389</v>
      </c>
      <c r="E71" s="2031">
        <f>DataUK1!CN74/DataUK1!CM74</f>
        <v>0.47797407288325616</v>
      </c>
      <c r="F71" s="2026">
        <f>B71*TableUK9!$E71</f>
        <v>0.21057787952766063</v>
      </c>
      <c r="G71" s="1358">
        <f>C71*TableUK9!$E71</f>
        <v>0.17000234020972885</v>
      </c>
      <c r="H71" s="233"/>
      <c r="K71" s="1244">
        <f t="shared" si="2"/>
        <v>0</v>
      </c>
      <c r="L71" s="1244">
        <f t="shared" si="3"/>
        <v>0</v>
      </c>
    </row>
    <row r="72" spans="1:12">
      <c r="A72" s="198">
        <v>1917</v>
      </c>
      <c r="B72" s="192">
        <f>DataUK1!CP75/DataUK1!CL75</f>
        <v>0.58460470441166901</v>
      </c>
      <c r="C72" s="192">
        <f>(DataUK1!CN75-DataUK1!CQ75)/DataUK1!CL75</f>
        <v>0.41539529558833099</v>
      </c>
      <c r="D72" s="2030">
        <f>DataUK1!CP75/DataUK1!CM75</f>
        <v>0.55520455881468189</v>
      </c>
      <c r="E72" s="2031">
        <f>DataUK1!CN75/DataUK1!CM75</f>
        <v>0.44479544118531816</v>
      </c>
      <c r="F72" s="2026">
        <f>B72*TableUK9!$E72</f>
        <v>0.23357449234676997</v>
      </c>
      <c r="G72" s="1358">
        <f>C72*TableUK9!$E72</f>
        <v>0.16596812266149152</v>
      </c>
      <c r="H72" s="233"/>
      <c r="K72" s="1244">
        <f t="shared" si="2"/>
        <v>0</v>
      </c>
      <c r="L72" s="1244">
        <f t="shared" si="3"/>
        <v>0</v>
      </c>
    </row>
    <row r="73" spans="1:12">
      <c r="A73" s="198">
        <v>1918</v>
      </c>
      <c r="B73" s="192">
        <f>DataUK1!CP76/DataUK1!CL76</f>
        <v>0.65288379952888886</v>
      </c>
      <c r="C73" s="192">
        <f>(DataUK1!CN76-DataUK1!CQ76)/DataUK1!CL76</f>
        <v>0.34711620047111114</v>
      </c>
      <c r="D73" s="2030">
        <f>DataUK1!CP76/DataUK1!CM76</f>
        <v>0.62670847046511258</v>
      </c>
      <c r="E73" s="2031">
        <f>DataUK1!CN76/DataUK1!CM76</f>
        <v>0.37329152953488748</v>
      </c>
      <c r="F73" s="2026">
        <f>B73*TableUK9!$E73</f>
        <v>0.28689306308763862</v>
      </c>
      <c r="G73" s="1358">
        <f>C73*TableUK9!$E73</f>
        <v>0.15253132344891865</v>
      </c>
      <c r="H73" s="233"/>
      <c r="K73" s="1244">
        <f t="shared" si="2"/>
        <v>0</v>
      </c>
      <c r="L73" s="1244">
        <f t="shared" si="3"/>
        <v>0</v>
      </c>
    </row>
    <row r="74" spans="1:12">
      <c r="A74" s="214">
        <v>1919</v>
      </c>
      <c r="B74" s="195">
        <f>DataUK1!CP77/DataUK1!CL77</f>
        <v>0.74002815516439646</v>
      </c>
      <c r="C74" s="195">
        <f>(DataUK1!CN77-DataUK1!CQ77)/DataUK1!CL77</f>
        <v>0.25997184483560337</v>
      </c>
      <c r="D74" s="2032">
        <f>DataUK1!CP77/DataUK1!CM77</f>
        <v>0.6980164746415134</v>
      </c>
      <c r="E74" s="2033">
        <f>DataUK1!CN77/DataUK1!CM77</f>
        <v>0.30198352535848655</v>
      </c>
      <c r="F74" s="2027">
        <f>B74*TableUK9!$E74</f>
        <v>0.39767154091395723</v>
      </c>
      <c r="G74" s="1360">
        <f>C74*TableUK9!$E74</f>
        <v>0.13970198756431379</v>
      </c>
      <c r="H74" s="233"/>
      <c r="K74" s="1244">
        <f t="shared" ref="K74:K105" si="4">1-B74-C74</f>
        <v>0</v>
      </c>
      <c r="L74" s="1244">
        <f t="shared" si="3"/>
        <v>0</v>
      </c>
    </row>
    <row r="75" spans="1:12">
      <c r="A75" s="198" t="s">
        <v>651</v>
      </c>
      <c r="B75" s="192">
        <f>DataUK1!CP78/DataUK1!CL78</f>
        <v>0.89438030943839109</v>
      </c>
      <c r="C75" s="192">
        <f>(DataUK1!CN78-DataUK1!CQ78)/DataUK1!CL78</f>
        <v>0.10561969056160883</v>
      </c>
      <c r="D75" s="234">
        <f>DataUK1!CP78/DataUK1!CM78</f>
        <v>0.81171574283672654</v>
      </c>
      <c r="E75" s="235">
        <f>DataUK1!CN78/DataUK1!CM78</f>
        <v>0.18828425716327341</v>
      </c>
      <c r="F75" s="236">
        <f>B75*TableUK9!$E75</f>
        <v>0.50183678627906481</v>
      </c>
      <c r="G75" s="2044">
        <f>C75*TableUK9!$E75</f>
        <v>5.9263207742699296E-2</v>
      </c>
      <c r="H75" s="233"/>
      <c r="K75" s="1244">
        <f t="shared" si="4"/>
        <v>0</v>
      </c>
      <c r="L75" s="1244">
        <f t="shared" si="3"/>
        <v>0</v>
      </c>
    </row>
    <row r="76" spans="1:12">
      <c r="A76" s="198" t="s">
        <v>652</v>
      </c>
      <c r="B76" s="192">
        <f>DataUK1!CP79/DataUK1!CL79</f>
        <v>0.88335485984444284</v>
      </c>
      <c r="C76" s="192">
        <f>(DataUK1!CN79-DataUK1!CQ79)/DataUK1!CL79</f>
        <v>0.11664514015555712</v>
      </c>
      <c r="D76" s="234">
        <f>DataUK1!CP79/DataUK1!CM79</f>
        <v>0.80506758025786418</v>
      </c>
      <c r="E76" s="235">
        <f>DataUK1!CN79/DataUK1!CM79</f>
        <v>0.1949324197421359</v>
      </c>
      <c r="F76" s="236">
        <f>B76*TableUK9!$E76</f>
        <v>0.51776306829367102</v>
      </c>
      <c r="G76" s="2044">
        <f>C76*TableUK9!$E76</f>
        <v>6.8369517635440316E-2</v>
      </c>
      <c r="H76" s="233"/>
      <c r="K76" s="1244">
        <f t="shared" si="4"/>
        <v>0</v>
      </c>
      <c r="L76" s="1244">
        <f t="shared" si="3"/>
        <v>0</v>
      </c>
    </row>
    <row r="77" spans="1:12">
      <c r="A77" s="198">
        <v>1921</v>
      </c>
      <c r="B77" s="192">
        <f>DataUK1!CP80/DataUK1!CL80</f>
        <v>0.93382894637966485</v>
      </c>
      <c r="C77" s="192">
        <f>(DataUK1!CN80-DataUK1!CQ80)/DataUK1!CL80</f>
        <v>6.6171053620335193E-2</v>
      </c>
      <c r="D77" s="234">
        <f>DataUK1!CP80/DataUK1!CM80</f>
        <v>0.84959630371888406</v>
      </c>
      <c r="E77" s="235">
        <f>DataUK1!CN80/DataUK1!CM80</f>
        <v>0.15040369628111583</v>
      </c>
      <c r="F77" s="236">
        <f>B77*TableUK9!$E77</f>
        <v>0.50590729368287968</v>
      </c>
      <c r="G77" s="2044">
        <f>C77*TableUK9!$E77</f>
        <v>3.5848555334456356E-2</v>
      </c>
      <c r="H77" s="233"/>
      <c r="K77" s="1244">
        <f t="shared" si="4"/>
        <v>0</v>
      </c>
      <c r="L77" s="1244">
        <f t="shared" si="3"/>
        <v>0</v>
      </c>
    </row>
    <row r="78" spans="1:12">
      <c r="A78" s="198">
        <v>1922</v>
      </c>
      <c r="B78" s="192">
        <f>DataUK1!CP81/DataUK1!CL81</f>
        <v>0.85293044370774174</v>
      </c>
      <c r="C78" s="192">
        <f>(DataUK1!CN81-DataUK1!CQ81)/DataUK1!CL81</f>
        <v>0.14706955629225826</v>
      </c>
      <c r="D78" s="234">
        <f>DataUK1!CP81/DataUK1!CM81</f>
        <v>0.7866407755662137</v>
      </c>
      <c r="E78" s="235">
        <f>DataUK1!CN81/DataUK1!CM81</f>
        <v>0.21335922443378638</v>
      </c>
      <c r="F78" s="236">
        <f>B78*TableUK9!$E78</f>
        <v>0.43503984938537077</v>
      </c>
      <c r="G78" s="2044">
        <f>C78*TableUK9!$E78</f>
        <v>7.5013288704325568E-2</v>
      </c>
      <c r="H78" s="233"/>
      <c r="K78" s="1244">
        <f t="shared" si="4"/>
        <v>0</v>
      </c>
      <c r="L78" s="1244">
        <f t="shared" si="3"/>
        <v>0</v>
      </c>
    </row>
    <row r="79" spans="1:12">
      <c r="A79" s="198">
        <v>1923</v>
      </c>
      <c r="B79" s="192">
        <f>DataUK1!CP82/DataUK1!CL82</f>
        <v>0.83085854433116779</v>
      </c>
      <c r="C79" s="192">
        <f>(DataUK1!CN82-DataUK1!CQ82)/DataUK1!CL82</f>
        <v>0.16914145566883235</v>
      </c>
      <c r="D79" s="234">
        <f>DataUK1!CP82/DataUK1!CM82</f>
        <v>0.7741179813218737</v>
      </c>
      <c r="E79" s="235">
        <f>DataUK1!CN82/DataUK1!CM82</f>
        <v>0.22588201867812638</v>
      </c>
      <c r="F79" s="236">
        <f>B79*TableUK9!$E79</f>
        <v>0.42488790699778067</v>
      </c>
      <c r="G79" s="2044">
        <f>C79*TableUK9!$E79</f>
        <v>8.6496262903018664E-2</v>
      </c>
      <c r="H79" s="233"/>
      <c r="K79" s="1244">
        <f t="shared" si="4"/>
        <v>0</v>
      </c>
      <c r="L79" s="1244">
        <f t="shared" si="3"/>
        <v>0</v>
      </c>
    </row>
    <row r="80" spans="1:12">
      <c r="A80" s="198">
        <v>1924</v>
      </c>
      <c r="B80" s="192">
        <f>DataUK1!CP83/DataUK1!CL83</f>
        <v>0.82417923420544259</v>
      </c>
      <c r="C80" s="192">
        <f>(DataUK1!CN83-DataUK1!CQ83)/DataUK1!CL83</f>
        <v>0.17582076579455733</v>
      </c>
      <c r="D80" s="234">
        <f>DataUK1!CP83/DataUK1!CM83</f>
        <v>0.77077424432456854</v>
      </c>
      <c r="E80" s="235">
        <f>DataUK1!CN83/DataUK1!CM83</f>
        <v>0.22922575567543141</v>
      </c>
      <c r="F80" s="236">
        <f>B80*TableUK9!$E80</f>
        <v>0.42503702416387218</v>
      </c>
      <c r="G80" s="2044">
        <f>C80*TableUK9!$E80</f>
        <v>9.06724314057442E-2</v>
      </c>
      <c r="H80" s="233"/>
      <c r="K80" s="1244">
        <f t="shared" si="4"/>
        <v>0</v>
      </c>
      <c r="L80" s="1244">
        <f t="shared" si="3"/>
        <v>0</v>
      </c>
    </row>
    <row r="81" spans="1:12">
      <c r="A81" s="198">
        <v>1925</v>
      </c>
      <c r="B81" s="192">
        <f>DataUK1!CP84/DataUK1!CL84</f>
        <v>0.82707680146648199</v>
      </c>
      <c r="C81" s="192">
        <f>(DataUK1!CN84-DataUK1!CQ84)/DataUK1!CL84</f>
        <v>0.17292319853351795</v>
      </c>
      <c r="D81" s="234">
        <f>DataUK1!CP84/DataUK1!CM84</f>
        <v>0.77537501237304129</v>
      </c>
      <c r="E81" s="235">
        <f>DataUK1!CN84/DataUK1!CM84</f>
        <v>0.22462498762695857</v>
      </c>
      <c r="F81" s="236">
        <f>B81*TableUK9!$E81</f>
        <v>0.42049542156675107</v>
      </c>
      <c r="G81" s="2044">
        <f>C81*TableUK9!$E81</f>
        <v>8.7916156198668813E-2</v>
      </c>
      <c r="H81" s="233"/>
      <c r="K81" s="1244">
        <f t="shared" si="4"/>
        <v>0</v>
      </c>
      <c r="L81" s="1244">
        <f t="shared" si="3"/>
        <v>0</v>
      </c>
    </row>
    <row r="82" spans="1:12">
      <c r="A82" s="198">
        <v>1926</v>
      </c>
      <c r="B82" s="192">
        <f>DataUK1!CP85/DataUK1!CL85</f>
        <v>0.84050364068673489</v>
      </c>
      <c r="C82" s="192">
        <f>(DataUK1!CN85-DataUK1!CQ85)/DataUK1!CL85</f>
        <v>0.15949635931326511</v>
      </c>
      <c r="D82" s="234">
        <f>DataUK1!CP85/DataUK1!CM85</f>
        <v>0.78334746806368816</v>
      </c>
      <c r="E82" s="235">
        <f>DataUK1!CN85/DataUK1!CM85</f>
        <v>0.21665253193631184</v>
      </c>
      <c r="F82" s="236">
        <f>B82*TableUK9!$E82</f>
        <v>0.41169909494291779</v>
      </c>
      <c r="G82" s="2044">
        <f>C82*TableUK9!$E82</f>
        <v>7.812519018039038E-2</v>
      </c>
      <c r="H82" s="233"/>
      <c r="K82" s="1244">
        <f t="shared" si="4"/>
        <v>0</v>
      </c>
      <c r="L82" s="1244">
        <f t="shared" si="3"/>
        <v>0</v>
      </c>
    </row>
    <row r="83" spans="1:12">
      <c r="A83" s="198">
        <v>1927</v>
      </c>
      <c r="B83" s="192">
        <f>DataUK1!CP86/DataUK1!CL86</f>
        <v>0.82359469690988707</v>
      </c>
      <c r="C83" s="192">
        <f>(DataUK1!CN86-DataUK1!CQ86)/DataUK1!CL86</f>
        <v>0.17640530309011299</v>
      </c>
      <c r="D83" s="234">
        <f>DataUK1!CP86/DataUK1!CM86</f>
        <v>0.77815632484145214</v>
      </c>
      <c r="E83" s="235">
        <f>DataUK1!CN86/DataUK1!CM86</f>
        <v>0.22184367515854791</v>
      </c>
      <c r="F83" s="236">
        <f>B83*TableUK9!$E83</f>
        <v>0.42085815206069571</v>
      </c>
      <c r="G83" s="2044">
        <f>C83*TableUK9!$E83</f>
        <v>9.0143380173239473E-2</v>
      </c>
      <c r="H83" s="233"/>
      <c r="K83" s="1244">
        <f t="shared" si="4"/>
        <v>0</v>
      </c>
      <c r="L83" s="1244">
        <f t="shared" si="3"/>
        <v>0</v>
      </c>
    </row>
    <row r="84" spans="1:12">
      <c r="A84" s="198">
        <v>1928</v>
      </c>
      <c r="B84" s="192">
        <f>DataUK1!CP87/DataUK1!CL87</f>
        <v>0.82230243703515316</v>
      </c>
      <c r="C84" s="192">
        <f>(DataUK1!CN87-DataUK1!CQ87)/DataUK1!CL87</f>
        <v>0.1776975629648469</v>
      </c>
      <c r="D84" s="234">
        <f>DataUK1!CP87/DataUK1!CM87</f>
        <v>0.77647118136757154</v>
      </c>
      <c r="E84" s="235">
        <f>DataUK1!CN87/DataUK1!CM87</f>
        <v>0.22352881863242843</v>
      </c>
      <c r="F84" s="236">
        <f>B84*TableUK9!$E84</f>
        <v>0.41333176365793739</v>
      </c>
      <c r="G84" s="2044">
        <f>C84*TableUK9!$E84</f>
        <v>8.9319992000507303E-2</v>
      </c>
      <c r="H84" s="233"/>
      <c r="K84" s="1244">
        <f t="shared" si="4"/>
        <v>0</v>
      </c>
      <c r="L84" s="1244">
        <f t="shared" si="3"/>
        <v>0</v>
      </c>
    </row>
    <row r="85" spans="1:12">
      <c r="A85" s="214">
        <v>1929</v>
      </c>
      <c r="B85" s="195">
        <f>DataUK1!CP88/DataUK1!CL88</f>
        <v>0.82319422863982117</v>
      </c>
      <c r="C85" s="195">
        <f>(DataUK1!CN88-DataUK1!CQ88)/DataUK1!CL88</f>
        <v>0.1768057713601788</v>
      </c>
      <c r="D85" s="242">
        <f>DataUK1!CP88/DataUK1!CM88</f>
        <v>0.77583738327124308</v>
      </c>
      <c r="E85" s="243">
        <f>DataUK1!CN88/DataUK1!CM88</f>
        <v>0.22416261672875698</v>
      </c>
      <c r="F85" s="244">
        <f>B85*TableUK9!$E85</f>
        <v>0.41811102292282748</v>
      </c>
      <c r="G85" s="2045">
        <f>C85*TableUK9!$E85</f>
        <v>8.9801943879284252E-2</v>
      </c>
      <c r="H85" s="233"/>
      <c r="K85" s="1244">
        <f t="shared" si="4"/>
        <v>0</v>
      </c>
      <c r="L85" s="1244">
        <f t="shared" si="3"/>
        <v>0</v>
      </c>
    </row>
    <row r="86" spans="1:12">
      <c r="A86" s="198">
        <v>1930</v>
      </c>
      <c r="B86" s="192">
        <f>DataUK1!CP89/DataUK1!CL89</f>
        <v>0.84772078669234863</v>
      </c>
      <c r="C86" s="192">
        <f>(DataUK1!CN89-DataUK1!CQ89)/DataUK1!CL89</f>
        <v>0.15227921330765126</v>
      </c>
      <c r="D86" s="234">
        <f>DataUK1!CP89/DataUK1!CM89</f>
        <v>0.79601574487456794</v>
      </c>
      <c r="E86" s="235">
        <f>DataUK1!CN89/DataUK1!CM89</f>
        <v>0.20398425512543197</v>
      </c>
      <c r="F86" s="236">
        <f>B86*TableUK9!$E86</f>
        <v>0.43053423814760539</v>
      </c>
      <c r="G86" s="2044">
        <f>C86*TableUK9!$E86</f>
        <v>7.7338454024390477E-2</v>
      </c>
      <c r="H86" s="233"/>
      <c r="K86" s="1244">
        <f t="shared" si="4"/>
        <v>0</v>
      </c>
      <c r="L86" s="1244">
        <f t="shared" si="3"/>
        <v>0</v>
      </c>
    </row>
    <row r="87" spans="1:12">
      <c r="A87" s="198">
        <v>1931</v>
      </c>
      <c r="B87" s="192">
        <f>DataUK1!CP90/DataUK1!CL90</f>
        <v>0.86480417083499461</v>
      </c>
      <c r="C87" s="192">
        <f>(DataUK1!CN90-DataUK1!CQ90)/DataUK1!CL90</f>
        <v>0.13519582916500553</v>
      </c>
      <c r="D87" s="234">
        <f>DataUK1!CP90/DataUK1!CM90</f>
        <v>0.80731741258786838</v>
      </c>
      <c r="E87" s="235">
        <f>DataUK1!CN90/DataUK1!CM90</f>
        <v>0.19268258741213173</v>
      </c>
      <c r="F87" s="236">
        <f>B87*TableUK9!$E87</f>
        <v>0.44110554428974719</v>
      </c>
      <c r="G87" s="2044">
        <f>C87*TableUK9!$E87</f>
        <v>6.8958536303026188E-2</v>
      </c>
      <c r="H87" s="233"/>
      <c r="K87" s="1244">
        <f t="shared" si="4"/>
        <v>0</v>
      </c>
      <c r="L87" s="1244">
        <f t="shared" si="3"/>
        <v>0</v>
      </c>
    </row>
    <row r="88" spans="1:12">
      <c r="A88" s="198">
        <v>1932</v>
      </c>
      <c r="B88" s="192">
        <f>DataUK1!CP91/DataUK1!CL91</f>
        <v>0.87471402908032903</v>
      </c>
      <c r="C88" s="192">
        <f>(DataUK1!CN91-DataUK1!CQ91)/DataUK1!CL91</f>
        <v>0.12528597091967109</v>
      </c>
      <c r="D88" s="234">
        <f>DataUK1!CP91/DataUK1!CM91</f>
        <v>0.81903140062632207</v>
      </c>
      <c r="E88" s="235">
        <f>DataUK1!CN91/DataUK1!CM91</f>
        <v>0.18096859937367807</v>
      </c>
      <c r="F88" s="236">
        <f>B88*TableUK9!$E88</f>
        <v>0.44264015975135118</v>
      </c>
      <c r="G88" s="2044">
        <f>C88*TableUK9!$E88</f>
        <v>6.3399694458762951E-2</v>
      </c>
      <c r="H88" s="233"/>
      <c r="K88" s="1244">
        <f t="shared" si="4"/>
        <v>0</v>
      </c>
      <c r="L88" s="1244">
        <f t="shared" si="3"/>
        <v>0</v>
      </c>
    </row>
    <row r="89" spans="1:12">
      <c r="A89" s="198">
        <v>1933</v>
      </c>
      <c r="B89" s="192">
        <f>DataUK1!CP92/DataUK1!CL92</f>
        <v>0.84818679189547885</v>
      </c>
      <c r="C89" s="192">
        <f>(DataUK1!CN92-DataUK1!CQ92)/DataUK1!CL92</f>
        <v>0.15181320810452106</v>
      </c>
      <c r="D89" s="234">
        <f>DataUK1!CP92/DataUK1!CM92</f>
        <v>0.79834872155330128</v>
      </c>
      <c r="E89" s="235">
        <f>DataUK1!CN92/DataUK1!CM92</f>
        <v>0.20165127844669878</v>
      </c>
      <c r="F89" s="236">
        <f>B89*TableUK9!$E89</f>
        <v>0.42971051247493303</v>
      </c>
      <c r="G89" s="2044">
        <f>C89*TableUK9!$E89</f>
        <v>7.6911986933057938E-2</v>
      </c>
      <c r="H89" s="233"/>
      <c r="K89" s="1244">
        <f t="shared" si="4"/>
        <v>0</v>
      </c>
      <c r="L89" s="1244">
        <f t="shared" si="3"/>
        <v>0</v>
      </c>
    </row>
    <row r="90" spans="1:12">
      <c r="A90" s="198">
        <v>1934</v>
      </c>
      <c r="B90" s="192">
        <f>DataUK1!CP93/DataUK1!CL93</f>
        <v>0.81967432297433884</v>
      </c>
      <c r="C90" s="192">
        <f>(DataUK1!CN93-DataUK1!CQ93)/DataUK1!CL93</f>
        <v>0.18032567702566135</v>
      </c>
      <c r="D90" s="234">
        <f>DataUK1!CP93/DataUK1!CM93</f>
        <v>0.77668560275648069</v>
      </c>
      <c r="E90" s="235">
        <f>DataUK1!CN93/DataUK1!CM93</f>
        <v>0.22331439724351942</v>
      </c>
      <c r="F90" s="236">
        <f>B90*TableUK9!$E90</f>
        <v>0.42723768639629528</v>
      </c>
      <c r="G90" s="2044">
        <f>C90*TableUK9!$E90</f>
        <v>9.3990897226996648E-2</v>
      </c>
      <c r="H90" s="233"/>
      <c r="K90" s="1244">
        <f t="shared" si="4"/>
        <v>0</v>
      </c>
      <c r="L90" s="1244">
        <f t="shared" si="3"/>
        <v>0</v>
      </c>
    </row>
    <row r="91" spans="1:12">
      <c r="A91" s="198">
        <v>1935</v>
      </c>
      <c r="B91" s="192">
        <f>DataUK1!CP94/DataUK1!CL94</f>
        <v>0.80868910415125728</v>
      </c>
      <c r="C91" s="192">
        <f>(DataUK1!CN94-DataUK1!CQ94)/DataUK1!CL94</f>
        <v>0.19131089584874258</v>
      </c>
      <c r="D91" s="234">
        <f>DataUK1!CP94/DataUK1!CM94</f>
        <v>0.76437549772857671</v>
      </c>
      <c r="E91" s="235">
        <f>DataUK1!CN94/DataUK1!CM94</f>
        <v>0.23562450227142326</v>
      </c>
      <c r="F91" s="236">
        <f>B91*TableUK9!$E91</f>
        <v>0.41921478326836215</v>
      </c>
      <c r="G91" s="2044">
        <f>C91*TableUK9!$E91</f>
        <v>9.9173285912241185E-2</v>
      </c>
      <c r="H91" s="233"/>
      <c r="K91" s="1244">
        <f t="shared" si="4"/>
        <v>0</v>
      </c>
      <c r="L91" s="1244">
        <f t="shared" si="3"/>
        <v>0</v>
      </c>
    </row>
    <row r="92" spans="1:12">
      <c r="A92" s="198">
        <v>1936</v>
      </c>
      <c r="B92" s="192">
        <f>DataUK1!CP95/DataUK1!CL95</f>
        <v>0.78356668450966016</v>
      </c>
      <c r="C92" s="192">
        <f>(DataUK1!CN95-DataUK1!CQ95)/DataUK1!CL95</f>
        <v>0.21643331549033987</v>
      </c>
      <c r="D92" s="234">
        <f>DataUK1!CP95/DataUK1!CM95</f>
        <v>0.74027536431899355</v>
      </c>
      <c r="E92" s="235">
        <f>DataUK1!CN95/DataUK1!CM95</f>
        <v>0.2597246356810064</v>
      </c>
      <c r="F92" s="236">
        <f>B92*TableUK9!$E92</f>
        <v>0.41004742363620861</v>
      </c>
      <c r="G92" s="2044">
        <f>C92*TableUK9!$E92</f>
        <v>0.11326148132675294</v>
      </c>
      <c r="H92" s="233"/>
      <c r="K92" s="1244">
        <f t="shared" si="4"/>
        <v>0</v>
      </c>
      <c r="L92" s="1244">
        <f t="shared" si="3"/>
        <v>0</v>
      </c>
    </row>
    <row r="93" spans="1:12">
      <c r="A93" s="198">
        <v>1937</v>
      </c>
      <c r="B93" s="192">
        <f>DataUK1!CP96/DataUK1!CL96</f>
        <v>0.77792941056809572</v>
      </c>
      <c r="C93" s="192">
        <f>(DataUK1!CN96-DataUK1!CQ96)/DataUK1!CL96</f>
        <v>0.22207058943190439</v>
      </c>
      <c r="D93" s="234">
        <f>DataUK1!CP96/DataUK1!CM96</f>
        <v>0.72836811344171037</v>
      </c>
      <c r="E93" s="235">
        <f>DataUK1!CN96/DataUK1!CM96</f>
        <v>0.27163188655828968</v>
      </c>
      <c r="F93" s="236">
        <f>B93*TableUK9!$E93</f>
        <v>0.41656538431344436</v>
      </c>
      <c r="G93" s="2044">
        <f>C93*TableUK9!$E93</f>
        <v>0.11891428601967841</v>
      </c>
      <c r="H93" s="233"/>
      <c r="K93" s="1244">
        <f t="shared" si="4"/>
        <v>0</v>
      </c>
      <c r="L93" s="1244">
        <f t="shared" si="3"/>
        <v>0</v>
      </c>
    </row>
    <row r="94" spans="1:12">
      <c r="A94" s="198">
        <v>1938</v>
      </c>
      <c r="B94" s="192">
        <f>DataUK1!CP97/DataUK1!CL97</f>
        <v>0.79016236894556113</v>
      </c>
      <c r="C94" s="192">
        <f>(DataUK1!CN97-DataUK1!CQ97)/DataUK1!CL97</f>
        <v>0.20983763105443881</v>
      </c>
      <c r="D94" s="234">
        <f>DataUK1!CP97/DataUK1!CM97</f>
        <v>0.7358912530060342</v>
      </c>
      <c r="E94" s="235">
        <f>DataUK1!CN97/DataUK1!CM97</f>
        <v>0.2641087469939658</v>
      </c>
      <c r="F94" s="236">
        <f>B94*TableUK9!$E94</f>
        <v>0.41645671947132346</v>
      </c>
      <c r="G94" s="2044">
        <f>C94*TableUK9!$E94</f>
        <v>0.11059535974508826</v>
      </c>
      <c r="H94" s="233"/>
      <c r="K94" s="1244">
        <f t="shared" si="4"/>
        <v>0</v>
      </c>
      <c r="L94" s="1244">
        <f t="shared" si="3"/>
        <v>0</v>
      </c>
    </row>
    <row r="95" spans="1:12">
      <c r="A95" s="214">
        <v>1939</v>
      </c>
      <c r="B95" s="195">
        <f>DataUK1!CP98/DataUK1!CL98</f>
        <v>0.72141235390664016</v>
      </c>
      <c r="C95" s="195">
        <f>(DataUK1!CN98-DataUK1!CQ98)/DataUK1!CL98</f>
        <v>0.27858764609335984</v>
      </c>
      <c r="D95" s="242">
        <f>DataUK1!CP98/DataUK1!CM98</f>
        <v>0.67537230881889254</v>
      </c>
      <c r="E95" s="243">
        <f>DataUK1!CN98/DataUK1!CM98</f>
        <v>0.32462769118110751</v>
      </c>
      <c r="F95" s="244">
        <f>B95*TableUK9!$E95</f>
        <v>0.37055861094467213</v>
      </c>
      <c r="G95" s="2045">
        <f>C95*TableUK9!$E95</f>
        <v>0.1430985352602667</v>
      </c>
      <c r="H95" s="233"/>
      <c r="K95" s="1244">
        <f t="shared" si="4"/>
        <v>0</v>
      </c>
      <c r="L95" s="1244">
        <f t="shared" si="3"/>
        <v>0</v>
      </c>
    </row>
    <row r="96" spans="1:12">
      <c r="A96" s="198">
        <v>1940</v>
      </c>
      <c r="B96" s="192">
        <f>DataUK1!CP99/DataUK1!CL99</f>
        <v>0.60005316800129804</v>
      </c>
      <c r="C96" s="192">
        <f>(DataUK1!CN99-DataUK1!CQ99)/DataUK1!CL99</f>
        <v>0.39994683199870201</v>
      </c>
      <c r="D96" s="234">
        <f>DataUK1!CP99/DataUK1!CM99</f>
        <v>0.55321633397212211</v>
      </c>
      <c r="E96" s="235">
        <f>DataUK1!CN99/DataUK1!CM99</f>
        <v>0.44678366602787789</v>
      </c>
      <c r="F96" s="236">
        <f>B96*TableUK9!$E96</f>
        <v>0.24499026535071039</v>
      </c>
      <c r="G96" s="2044">
        <f>C96*TableUK9!$E96</f>
        <v>0.1632906644321325</v>
      </c>
      <c r="H96" s="233"/>
      <c r="K96" s="1244">
        <f t="shared" si="4"/>
        <v>0</v>
      </c>
      <c r="L96" s="1244">
        <f t="shared" si="3"/>
        <v>0</v>
      </c>
    </row>
    <row r="97" spans="1:12">
      <c r="A97" s="198">
        <v>1941</v>
      </c>
      <c r="B97" s="192">
        <f>DataUK1!CP100/DataUK1!CL100</f>
        <v>0.56120911024896269</v>
      </c>
      <c r="C97" s="192">
        <f>(DataUK1!CN100-DataUK1!CQ100)/DataUK1!CL100</f>
        <v>0.43879088975103742</v>
      </c>
      <c r="D97" s="234">
        <f>DataUK1!CP100/DataUK1!CM100</f>
        <v>0.51445206763318863</v>
      </c>
      <c r="E97" s="235">
        <f>DataUK1!CN100/DataUK1!CM100</f>
        <v>0.48554793236681143</v>
      </c>
      <c r="F97" s="236">
        <f>B97*TableUK9!$E97</f>
        <v>0.20942418176578204</v>
      </c>
      <c r="G97" s="2044">
        <f>C97*TableUK9!$E97</f>
        <v>0.16374185909352909</v>
      </c>
      <c r="H97" s="233"/>
      <c r="K97" s="1244">
        <f t="shared" si="4"/>
        <v>0</v>
      </c>
      <c r="L97" s="1244">
        <f t="shared" si="3"/>
        <v>0</v>
      </c>
    </row>
    <row r="98" spans="1:12">
      <c r="A98" s="198">
        <v>1942</v>
      </c>
      <c r="B98" s="192">
        <f>DataUK1!CP101/DataUK1!CL101</f>
        <v>0.55181715575143797</v>
      </c>
      <c r="C98" s="192">
        <f>(DataUK1!CN101-DataUK1!CQ101)/DataUK1!CL101</f>
        <v>0.44818284424856208</v>
      </c>
      <c r="D98" s="234">
        <f>DataUK1!CP101/DataUK1!CM101</f>
        <v>0.51486152760321413</v>
      </c>
      <c r="E98" s="235">
        <f>DataUK1!CN101/DataUK1!CM101</f>
        <v>0.48513847239678587</v>
      </c>
      <c r="F98" s="236">
        <f>B98*TableUK9!$E98</f>
        <v>0.21334316176498125</v>
      </c>
      <c r="G98" s="2044">
        <f>C98*TableUK9!$E98</f>
        <v>0.17327613693090804</v>
      </c>
      <c r="H98" s="233"/>
      <c r="K98" s="1244">
        <f t="shared" si="4"/>
        <v>0</v>
      </c>
      <c r="L98" s="1244">
        <f t="shared" si="3"/>
        <v>0</v>
      </c>
    </row>
    <row r="99" spans="1:12">
      <c r="A99" s="198">
        <v>1943</v>
      </c>
      <c r="B99" s="192">
        <f>DataUK1!CP102/DataUK1!CL102</f>
        <v>0.57973106127786622</v>
      </c>
      <c r="C99" s="192">
        <f>(DataUK1!CN102-DataUK1!CQ102)/DataUK1!CL102</f>
        <v>0.42026893872213372</v>
      </c>
      <c r="D99" s="234">
        <f>DataUK1!CP102/DataUK1!CM102</f>
        <v>0.53250594061279799</v>
      </c>
      <c r="E99" s="235">
        <f>DataUK1!CN102/DataUK1!CM102</f>
        <v>0.46749405938720201</v>
      </c>
      <c r="F99" s="236">
        <f>B99*TableUK9!$E99</f>
        <v>0.22052378566576097</v>
      </c>
      <c r="G99" s="2044">
        <f>C99*TableUK9!$E99</f>
        <v>0.15986601987557689</v>
      </c>
      <c r="H99" s="233"/>
      <c r="K99" s="1244">
        <f t="shared" si="4"/>
        <v>0</v>
      </c>
      <c r="L99" s="1244">
        <f t="shared" si="3"/>
        <v>0</v>
      </c>
    </row>
    <row r="100" spans="1:12">
      <c r="A100" s="198">
        <v>1944</v>
      </c>
      <c r="B100" s="192">
        <f>DataUK1!CP103/DataUK1!CL103</f>
        <v>0.61880142813250993</v>
      </c>
      <c r="C100" s="192">
        <f>(DataUK1!CN103-DataUK1!CQ103)/DataUK1!CL103</f>
        <v>0.38119857186749007</v>
      </c>
      <c r="D100" s="234">
        <f>DataUK1!CP103/DataUK1!CM103</f>
        <v>0.56429888722348542</v>
      </c>
      <c r="E100" s="235">
        <f>DataUK1!CN103/DataUK1!CM103</f>
        <v>0.43570111277651458</v>
      </c>
      <c r="F100" s="236">
        <f>B100*TableUK9!$E100</f>
        <v>0.23909742778327889</v>
      </c>
      <c r="G100" s="2044">
        <f>C100*TableUK9!$E100</f>
        <v>0.14729054243336168</v>
      </c>
      <c r="H100" s="233"/>
      <c r="K100" s="1244">
        <f t="shared" si="4"/>
        <v>0</v>
      </c>
      <c r="L100" s="1244">
        <f t="shared" si="3"/>
        <v>0</v>
      </c>
    </row>
    <row r="101" spans="1:12">
      <c r="A101" s="198">
        <v>1945</v>
      </c>
      <c r="B101" s="192">
        <f>DataUK1!CP104/DataUK1!CL104</f>
        <v>0.67573342065449049</v>
      </c>
      <c r="C101" s="192">
        <f>(DataUK1!CN104-DataUK1!CQ104)/DataUK1!CL104</f>
        <v>0.3242665793455094</v>
      </c>
      <c r="D101" s="234">
        <f>DataUK1!CP104/DataUK1!CM104</f>
        <v>0.62422123999593349</v>
      </c>
      <c r="E101" s="235">
        <f>DataUK1!CN104/DataUK1!CM104</f>
        <v>0.37577876000406657</v>
      </c>
      <c r="F101" s="236">
        <f>B101*TableUK9!$E101</f>
        <v>0.30530246668076805</v>
      </c>
      <c r="G101" s="2044">
        <f>C101*TableUK9!$E101</f>
        <v>0.14650657124584995</v>
      </c>
      <c r="H101" s="233"/>
      <c r="K101" s="1244">
        <f t="shared" si="4"/>
        <v>0</v>
      </c>
      <c r="L101" s="1244">
        <f t="shared" si="3"/>
        <v>0</v>
      </c>
    </row>
    <row r="102" spans="1:12">
      <c r="A102" s="198">
        <v>1946</v>
      </c>
      <c r="B102" s="192">
        <f>DataUK1!CP105/DataUK1!CL105</f>
        <v>0.72488832045427121</v>
      </c>
      <c r="C102" s="192">
        <f>(DataUK1!CN105-DataUK1!CQ105)/DataUK1!CL105</f>
        <v>0.2751116795457289</v>
      </c>
      <c r="D102" s="234">
        <f>DataUK1!CP105/DataUK1!CM105</f>
        <v>0.67071257487326674</v>
      </c>
      <c r="E102" s="235">
        <f>DataUK1!CN105/DataUK1!CM105</f>
        <v>0.3292874251267332</v>
      </c>
      <c r="F102" s="236">
        <f>B102*TableUK9!$E102</f>
        <v>0.41986274802168194</v>
      </c>
      <c r="G102" s="2044">
        <f>C102*TableUK9!$E102</f>
        <v>0.15934750571583647</v>
      </c>
      <c r="H102" s="233"/>
      <c r="K102" s="1244">
        <f t="shared" si="4"/>
        <v>0</v>
      </c>
      <c r="L102" s="1244">
        <f t="shared" si="3"/>
        <v>0</v>
      </c>
    </row>
    <row r="103" spans="1:12">
      <c r="A103" s="198">
        <v>1947</v>
      </c>
      <c r="B103" s="192">
        <f>DataUK1!CP106/DataUK1!CL106</f>
        <v>0.72513220585150873</v>
      </c>
      <c r="C103" s="192">
        <f>(DataUK1!CN106-DataUK1!CQ106)/DataUK1!CL106</f>
        <v>0.27486779414849144</v>
      </c>
      <c r="D103" s="234">
        <f>DataUK1!CP106/DataUK1!CM106</f>
        <v>0.6759366640130311</v>
      </c>
      <c r="E103" s="235">
        <f>DataUK1!CN106/DataUK1!CM106</f>
        <v>0.32406333598696901</v>
      </c>
      <c r="F103" s="236">
        <f>B103*TableUK9!$E103</f>
        <v>0.45494924745599813</v>
      </c>
      <c r="G103" s="2044">
        <f>C103*TableUK9!$E103</f>
        <v>0.17245254739568702</v>
      </c>
      <c r="H103" s="233"/>
      <c r="K103" s="1244">
        <f t="shared" si="4"/>
        <v>0</v>
      </c>
      <c r="L103" s="1244">
        <f t="shared" si="3"/>
        <v>0</v>
      </c>
    </row>
    <row r="104" spans="1:12">
      <c r="A104" s="198">
        <v>1948</v>
      </c>
      <c r="B104" s="192">
        <f>DataUK1!CP107/DataUK1!CL107</f>
        <v>0.71957119284508486</v>
      </c>
      <c r="C104" s="192">
        <f>(DataUK1!CN107-DataUK1!CQ107)/DataUK1!CL107</f>
        <v>0.28042880715491514</v>
      </c>
      <c r="D104" s="234">
        <f>DataUK1!CP107/DataUK1!CM107</f>
        <v>0.67115747953255522</v>
      </c>
      <c r="E104" s="235">
        <f>DataUK1!CN107/DataUK1!CM107</f>
        <v>0.32884252046744478</v>
      </c>
      <c r="F104" s="236">
        <f>B104*TableUK9!$E104</f>
        <v>0.44816321271595805</v>
      </c>
      <c r="G104" s="2044">
        <f>C104*TableUK9!$E104</f>
        <v>0.17465662383695169</v>
      </c>
      <c r="H104" s="233"/>
      <c r="K104" s="1244">
        <f t="shared" si="4"/>
        <v>0</v>
      </c>
      <c r="L104" s="1244">
        <f t="shared" si="3"/>
        <v>0</v>
      </c>
    </row>
    <row r="105" spans="1:12">
      <c r="A105" s="214">
        <v>1949</v>
      </c>
      <c r="B105" s="195">
        <f>DataUK1!CP108/DataUK1!CL108</f>
        <v>0.70995240115916902</v>
      </c>
      <c r="C105" s="195">
        <f>(DataUK1!CN108-DataUK1!CQ108)/DataUK1!CL108</f>
        <v>0.29004759884083098</v>
      </c>
      <c r="D105" s="242">
        <f>DataUK1!CP108/DataUK1!CM108</f>
        <v>0.66221931580741367</v>
      </c>
      <c r="E105" s="243">
        <f>DataUK1!CN108/DataUK1!CM108</f>
        <v>0.33778068419258628</v>
      </c>
      <c r="F105" s="244">
        <f>B105*TableUK9!$E105</f>
        <v>0.44557579748986764</v>
      </c>
      <c r="G105" s="2045">
        <f>C105*TableUK9!$E105</f>
        <v>0.182037823877364</v>
      </c>
      <c r="H105" s="233"/>
      <c r="K105" s="1244">
        <f t="shared" si="4"/>
        <v>0</v>
      </c>
      <c r="L105" s="1244">
        <f t="shared" si="3"/>
        <v>0</v>
      </c>
    </row>
    <row r="106" spans="1:12">
      <c r="A106" s="198">
        <v>1950</v>
      </c>
      <c r="B106" s="192">
        <f>DataUK1!CP109/DataUK1!CL109</f>
        <v>0.72755431784809543</v>
      </c>
      <c r="C106" s="192">
        <f>(DataUK1!CN109-DataUK1!CQ109)/DataUK1!CL109</f>
        <v>0.27244568215190462</v>
      </c>
      <c r="D106" s="234">
        <f>DataUK1!CP109/DataUK1!CM109</f>
        <v>0.67573518680075029</v>
      </c>
      <c r="E106" s="235">
        <f>DataUK1!CN109/DataUK1!CM109</f>
        <v>0.32426481319924982</v>
      </c>
      <c r="F106" s="236">
        <f>B106*TableUK9!$E106</f>
        <v>0.44813972958718745</v>
      </c>
      <c r="G106" s="2044">
        <f>C106*TableUK9!$E106</f>
        <v>0.16781390932826964</v>
      </c>
      <c r="H106" s="233"/>
      <c r="K106" s="1244">
        <f t="shared" ref="K106:K137" si="5">1-B106-C106</f>
        <v>0</v>
      </c>
      <c r="L106" s="1244">
        <f t="shared" si="3"/>
        <v>0</v>
      </c>
    </row>
    <row r="107" spans="1:12">
      <c r="A107" s="198">
        <v>1951</v>
      </c>
      <c r="B107" s="192">
        <f>DataUK1!CP110/DataUK1!CL110</f>
        <v>0.72772285429692773</v>
      </c>
      <c r="C107" s="192">
        <f>(DataUK1!CN110-DataUK1!CQ110)/DataUK1!CL110</f>
        <v>0.27227714570307221</v>
      </c>
      <c r="D107" s="234">
        <f>DataUK1!CP110/DataUK1!CM110</f>
        <v>0.67262487575296093</v>
      </c>
      <c r="E107" s="235">
        <f>DataUK1!CN110/DataUK1!CM110</f>
        <v>0.32737512424703907</v>
      </c>
      <c r="F107" s="236">
        <f>B107*TableUK9!$E107</f>
        <v>0.45235230038533031</v>
      </c>
      <c r="G107" s="2044">
        <f>C107*TableUK9!$E107</f>
        <v>0.1692473892689953</v>
      </c>
      <c r="H107" s="233"/>
      <c r="K107" s="1244">
        <f t="shared" si="5"/>
        <v>0</v>
      </c>
      <c r="L107" s="1244">
        <f t="shared" si="3"/>
        <v>0</v>
      </c>
    </row>
    <row r="108" spans="1:12">
      <c r="A108" s="198">
        <v>1952</v>
      </c>
      <c r="B108" s="192">
        <f>DataUK1!CP111/DataUK1!CL111</f>
        <v>0.70535578105170604</v>
      </c>
      <c r="C108" s="192">
        <f>(DataUK1!CN111-DataUK1!CQ111)/DataUK1!CL111</f>
        <v>0.29464421894829396</v>
      </c>
      <c r="D108" s="234">
        <f>DataUK1!CP111/DataUK1!CM111</f>
        <v>0.64874248249795241</v>
      </c>
      <c r="E108" s="235">
        <f>DataUK1!CN111/DataUK1!CM111</f>
        <v>0.35125751750204759</v>
      </c>
      <c r="F108" s="236">
        <f>B108*TableUK9!$E108</f>
        <v>0.44120589347389527</v>
      </c>
      <c r="G108" s="2044">
        <f>C108*TableUK9!$E108</f>
        <v>0.18430240365247749</v>
      </c>
      <c r="H108" s="233"/>
      <c r="K108" s="1244">
        <f t="shared" si="5"/>
        <v>0</v>
      </c>
      <c r="L108" s="1244">
        <f t="shared" si="3"/>
        <v>0</v>
      </c>
    </row>
    <row r="109" spans="1:12">
      <c r="A109" s="198">
        <v>1953</v>
      </c>
      <c r="B109" s="192">
        <f>DataUK1!CP112/DataUK1!CL112</f>
        <v>0.69813899928738021</v>
      </c>
      <c r="C109" s="192">
        <f>(DataUK1!CN112-DataUK1!CQ112)/DataUK1!CL112</f>
        <v>0.30186100071261973</v>
      </c>
      <c r="D109" s="234">
        <f>DataUK1!CP112/DataUK1!CM112</f>
        <v>0.64334925662095521</v>
      </c>
      <c r="E109" s="235">
        <f>DataUK1!CN112/DataUK1!CM112</f>
        <v>0.35665074337904479</v>
      </c>
      <c r="F109" s="236">
        <f>B109*TableUK9!$E109</f>
        <v>0.44174622829366761</v>
      </c>
      <c r="G109" s="2044">
        <f>C109*TableUK9!$E109</f>
        <v>0.1910020191822312</v>
      </c>
      <c r="H109" s="233"/>
      <c r="K109" s="1244">
        <f t="shared" si="5"/>
        <v>0</v>
      </c>
      <c r="L109" s="1244">
        <f t="shared" si="3"/>
        <v>0</v>
      </c>
    </row>
    <row r="110" spans="1:12">
      <c r="A110" s="198">
        <v>1954</v>
      </c>
      <c r="B110" s="192">
        <f>DataUK1!CP113/DataUK1!CL113</f>
        <v>0.70051658321497323</v>
      </c>
      <c r="C110" s="192">
        <f>(DataUK1!CN113-DataUK1!CQ113)/DataUK1!CL113</f>
        <v>0.29948341678502677</v>
      </c>
      <c r="D110" s="234">
        <f>DataUK1!CP113/DataUK1!CM113</f>
        <v>0.64641621644376979</v>
      </c>
      <c r="E110" s="235">
        <f>DataUK1!CN113/DataUK1!CM113</f>
        <v>0.35358378355623027</v>
      </c>
      <c r="F110" s="236">
        <f>B110*TableUK9!$E110</f>
        <v>0.45018149243438044</v>
      </c>
      <c r="G110" s="2044">
        <f>C110*TableUK9!$E110</f>
        <v>0.19246067082220242</v>
      </c>
      <c r="H110" s="233"/>
      <c r="K110" s="1244">
        <f t="shared" si="5"/>
        <v>0</v>
      </c>
      <c r="L110" s="1244">
        <f t="shared" si="3"/>
        <v>0</v>
      </c>
    </row>
    <row r="111" spans="1:12">
      <c r="A111" s="198">
        <v>1955</v>
      </c>
      <c r="B111" s="192">
        <f>DataUK1!CP114/DataUK1!CL114</f>
        <v>0.72455843386174934</v>
      </c>
      <c r="C111" s="192">
        <f>(DataUK1!CN114-DataUK1!CQ114)/DataUK1!CL114</f>
        <v>0.27544156613825066</v>
      </c>
      <c r="D111" s="234">
        <f>DataUK1!CP114/DataUK1!CM114</f>
        <v>0.66712794093220051</v>
      </c>
      <c r="E111" s="235">
        <f>DataUK1!CN114/DataUK1!CM114</f>
        <v>0.33287205906779954</v>
      </c>
      <c r="F111" s="236">
        <f>B111*TableUK9!$E111</f>
        <v>0.47230877061326204</v>
      </c>
      <c r="G111" s="2044">
        <f>C111*TableUK9!$E111</f>
        <v>0.17954862078573416</v>
      </c>
      <c r="H111" s="233"/>
      <c r="K111" s="1244">
        <f t="shared" si="5"/>
        <v>0</v>
      </c>
      <c r="L111" s="1244">
        <f t="shared" si="3"/>
        <v>0</v>
      </c>
    </row>
    <row r="112" spans="1:12">
      <c r="A112" s="198">
        <v>1956</v>
      </c>
      <c r="B112" s="192">
        <f>DataUK1!CP115/DataUK1!CL115</f>
        <v>0.74063524981401907</v>
      </c>
      <c r="C112" s="192">
        <f>(DataUK1!CN115-DataUK1!CQ115)/DataUK1!CL115</f>
        <v>0.25936475018598099</v>
      </c>
      <c r="D112" s="234">
        <f>DataUK1!CP115/DataUK1!CM115</f>
        <v>0.67995521860587249</v>
      </c>
      <c r="E112" s="235">
        <f>DataUK1!CN115/DataUK1!CM115</f>
        <v>0.32004478139412756</v>
      </c>
      <c r="F112" s="236">
        <f>B112*TableUK9!$E112</f>
        <v>0.48367352488219073</v>
      </c>
      <c r="G112" s="2044">
        <f>C112*TableUK9!$E112</f>
        <v>0.16937873667793082</v>
      </c>
      <c r="H112" s="233"/>
      <c r="K112" s="1244">
        <f t="shared" si="5"/>
        <v>0</v>
      </c>
      <c r="L112" s="1244">
        <f t="shared" ref="L112:L166" si="6">1-D112-E112</f>
        <v>0</v>
      </c>
    </row>
    <row r="113" spans="1:12">
      <c r="A113" s="198">
        <v>1957</v>
      </c>
      <c r="B113" s="192">
        <f>DataUK1!CP116/DataUK1!CL116</f>
        <v>0.74479977886027404</v>
      </c>
      <c r="C113" s="192">
        <f>(DataUK1!CN116-DataUK1!CQ116)/DataUK1!CL116</f>
        <v>0.25520022113972596</v>
      </c>
      <c r="D113" s="234">
        <f>DataUK1!CP116/DataUK1!CM116</f>
        <v>0.68201409565546733</v>
      </c>
      <c r="E113" s="235">
        <f>DataUK1!CN116/DataUK1!CM116</f>
        <v>0.31798590434453267</v>
      </c>
      <c r="F113" s="236">
        <f>B113*TableUK9!$E113</f>
        <v>0.48875165207045757</v>
      </c>
      <c r="G113" s="2044">
        <f>C113*TableUK9!$E113</f>
        <v>0.16746719485021044</v>
      </c>
      <c r="H113" s="233"/>
      <c r="K113" s="1244">
        <f t="shared" si="5"/>
        <v>0</v>
      </c>
      <c r="L113" s="1244">
        <f t="shared" si="6"/>
        <v>0</v>
      </c>
    </row>
    <row r="114" spans="1:12">
      <c r="A114" s="198">
        <v>1958</v>
      </c>
      <c r="B114" s="192">
        <f>DataUK1!CP117/DataUK1!CL117</f>
        <v>0.74280114878431325</v>
      </c>
      <c r="C114" s="192">
        <f>(DataUK1!CN117-DataUK1!CQ117)/DataUK1!CL117</f>
        <v>0.25719885121568681</v>
      </c>
      <c r="D114" s="234">
        <f>DataUK1!CP117/DataUK1!CM117</f>
        <v>0.67909235117343691</v>
      </c>
      <c r="E114" s="235">
        <f>DataUK1!CN117/DataUK1!CM117</f>
        <v>0.32090764882656309</v>
      </c>
      <c r="F114" s="236">
        <f>B114*TableUK9!$E114</f>
        <v>0.49020753210877854</v>
      </c>
      <c r="G114" s="2044">
        <f>C114*TableUK9!$E114</f>
        <v>0.16973696704966293</v>
      </c>
      <c r="H114" s="233"/>
      <c r="K114" s="1244">
        <f t="shared" si="5"/>
        <v>0</v>
      </c>
      <c r="L114" s="1244">
        <f t="shared" si="6"/>
        <v>0</v>
      </c>
    </row>
    <row r="115" spans="1:12">
      <c r="A115" s="198">
        <v>1959</v>
      </c>
      <c r="B115" s="192">
        <f>DataUK1!CP118/DataUK1!CL118</f>
        <v>0.73114781460980682</v>
      </c>
      <c r="C115" s="192">
        <f>(DataUK1!CN118-DataUK1!CQ118)/DataUK1!CL118</f>
        <v>0.26885218539019318</v>
      </c>
      <c r="D115" s="234">
        <f>DataUK1!CP118/DataUK1!CM118</f>
        <v>0.66976234599332685</v>
      </c>
      <c r="E115" s="235">
        <f>DataUK1!CN118/DataUK1!CM118</f>
        <v>0.33023765400667315</v>
      </c>
      <c r="F115" s="236">
        <f>B115*TableUK9!$E115</f>
        <v>0.48351017637690641</v>
      </c>
      <c r="G115" s="2044">
        <f>C115*TableUK9!$E115</f>
        <v>0.17779273216689098</v>
      </c>
      <c r="H115" s="233"/>
      <c r="K115" s="1244">
        <f t="shared" si="5"/>
        <v>0</v>
      </c>
      <c r="L115" s="1244">
        <f t="shared" si="6"/>
        <v>0</v>
      </c>
    </row>
    <row r="116" spans="1:12">
      <c r="A116" s="199">
        <v>1960</v>
      </c>
      <c r="B116" s="194">
        <f>DataUK1!CP119/DataUK1!CL119</f>
        <v>0.71638654215266284</v>
      </c>
      <c r="C116" s="194">
        <f>(DataUK1!CN119-DataUK1!CQ119)/DataUK1!CL119</f>
        <v>0.28361345784733732</v>
      </c>
      <c r="D116" s="238">
        <f>DataUK1!CP119/DataUK1!CM119</f>
        <v>0.65825392588483667</v>
      </c>
      <c r="E116" s="239">
        <f>DataUK1!CN119/DataUK1!CM119</f>
        <v>0.34174607411516339</v>
      </c>
      <c r="F116" s="240">
        <f>B116*TableUK9!$E116</f>
        <v>0.48225648845479835</v>
      </c>
      <c r="G116" s="2043">
        <f>C116*TableUK9!$E116</f>
        <v>0.190922668436774</v>
      </c>
      <c r="H116" s="233"/>
      <c r="K116" s="1244">
        <f t="shared" si="5"/>
        <v>0</v>
      </c>
      <c r="L116" s="1244">
        <f t="shared" si="6"/>
        <v>0</v>
      </c>
    </row>
    <row r="117" spans="1:12">
      <c r="A117" s="198">
        <v>1961</v>
      </c>
      <c r="B117" s="192">
        <f>DataUK1!CP120/DataUK1!CL120</f>
        <v>0.73875372552730789</v>
      </c>
      <c r="C117" s="192">
        <f>(DataUK1!CN120-DataUK1!CQ120)/DataUK1!CL120</f>
        <v>0.26124627447269222</v>
      </c>
      <c r="D117" s="234">
        <f>DataUK1!CP120/DataUK1!CM120</f>
        <v>0.67479909190854992</v>
      </c>
      <c r="E117" s="235">
        <f>DataUK1!CN120/DataUK1!CM120</f>
        <v>0.32520090809145019</v>
      </c>
      <c r="F117" s="236">
        <f>B117*TableUK9!$E117</f>
        <v>0.49651402095854225</v>
      </c>
      <c r="G117" s="2044">
        <f>C117*TableUK9!$E117</f>
        <v>0.17558278722220885</v>
      </c>
      <c r="H117" s="233"/>
      <c r="K117" s="1244">
        <f t="shared" si="5"/>
        <v>0</v>
      </c>
      <c r="L117" s="1244">
        <f t="shared" si="6"/>
        <v>0</v>
      </c>
    </row>
    <row r="118" spans="1:12">
      <c r="A118" s="198">
        <v>1962</v>
      </c>
      <c r="B118" s="192">
        <f>DataUK1!CP121/DataUK1!CL121</f>
        <v>0.74344179926460963</v>
      </c>
      <c r="C118" s="192">
        <f>(DataUK1!CN121-DataUK1!CQ121)/DataUK1!CL121</f>
        <v>0.25655820073539037</v>
      </c>
      <c r="D118" s="234">
        <f>DataUK1!CP121/DataUK1!CM121</f>
        <v>0.67762108473769567</v>
      </c>
      <c r="E118" s="235">
        <f>DataUK1!CN121/DataUK1!CM121</f>
        <v>0.32237891526230433</v>
      </c>
      <c r="F118" s="236">
        <f>B118*TableUK9!$E118</f>
        <v>0.49534990173469012</v>
      </c>
      <c r="G118" s="2044">
        <f>C118*TableUK9!$E118</f>
        <v>0.1709428762940344</v>
      </c>
      <c r="H118" s="233"/>
      <c r="K118" s="1244">
        <f t="shared" si="5"/>
        <v>0</v>
      </c>
      <c r="L118" s="1244">
        <f t="shared" si="6"/>
        <v>0</v>
      </c>
    </row>
    <row r="119" spans="1:12">
      <c r="A119" s="198">
        <v>1963</v>
      </c>
      <c r="B119" s="192">
        <f>DataUK1!CP122/DataUK1!CL122</f>
        <v>0.75607923212797035</v>
      </c>
      <c r="C119" s="192">
        <f>(DataUK1!CN122-DataUK1!CQ122)/DataUK1!CL122</f>
        <v>0.24392076787202971</v>
      </c>
      <c r="D119" s="234">
        <f>DataUK1!CP122/DataUK1!CM122</f>
        <v>0.68763646359748731</v>
      </c>
      <c r="E119" s="235">
        <f>DataUK1!CN122/DataUK1!CM122</f>
        <v>0.31236353640251274</v>
      </c>
      <c r="F119" s="236">
        <f>B119*TableUK9!$E119</f>
        <v>0.50023088719950892</v>
      </c>
      <c r="G119" s="2044">
        <f>C119*TableUK9!$E119</f>
        <v>0.1613808407031592</v>
      </c>
      <c r="H119" s="233"/>
      <c r="K119" s="1244">
        <f t="shared" si="5"/>
        <v>0</v>
      </c>
      <c r="L119" s="1244">
        <f t="shared" si="6"/>
        <v>0</v>
      </c>
    </row>
    <row r="120" spans="1:12">
      <c r="A120" s="198">
        <v>1964</v>
      </c>
      <c r="B120" s="192">
        <f>DataUK1!CP123/DataUK1!CL123</f>
        <v>0.75483097870573312</v>
      </c>
      <c r="C120" s="192">
        <f>(DataUK1!CN123-DataUK1!CQ123)/DataUK1!CL123</f>
        <v>0.24516902129426701</v>
      </c>
      <c r="D120" s="234">
        <f>DataUK1!CP123/DataUK1!CM123</f>
        <v>0.68701118899005986</v>
      </c>
      <c r="E120" s="235">
        <f>DataUK1!CN123/DataUK1!CM123</f>
        <v>0.31298881100994025</v>
      </c>
      <c r="F120" s="236">
        <f>B120*TableUK9!$E120</f>
        <v>0.50020845132930836</v>
      </c>
      <c r="G120" s="2044">
        <f>C120*TableUK9!$E120</f>
        <v>0.16246765158711959</v>
      </c>
      <c r="H120" s="233"/>
      <c r="K120" s="1244">
        <f t="shared" si="5"/>
        <v>0</v>
      </c>
      <c r="L120" s="1244">
        <f t="shared" si="6"/>
        <v>0</v>
      </c>
    </row>
    <row r="121" spans="1:12">
      <c r="A121" s="198">
        <v>1965</v>
      </c>
      <c r="B121" s="192">
        <f>DataUK1!CP124/DataUK1!CL124</f>
        <v>0.76064310617643838</v>
      </c>
      <c r="C121" s="192">
        <f>(DataUK1!CN124-DataUK1!CQ124)/DataUK1!CL124</f>
        <v>0.23935689382356165</v>
      </c>
      <c r="D121" s="234">
        <f>DataUK1!CP124/DataUK1!CM124</f>
        <v>0.69112095427582532</v>
      </c>
      <c r="E121" s="235">
        <f>DataUK1!CN124/DataUK1!CM124</f>
        <v>0.30887904572417479</v>
      </c>
      <c r="F121" s="236">
        <f>B121*TableUK9!$E121</f>
        <v>0.49920177727116227</v>
      </c>
      <c r="G121" s="2044">
        <f>C121*TableUK9!$E121</f>
        <v>0.15708731970169282</v>
      </c>
      <c r="H121" s="233"/>
      <c r="K121" s="1244">
        <f t="shared" si="5"/>
        <v>0</v>
      </c>
      <c r="L121" s="1244">
        <f t="shared" si="6"/>
        <v>0</v>
      </c>
    </row>
    <row r="122" spans="1:12">
      <c r="A122" s="198">
        <v>1966</v>
      </c>
      <c r="B122" s="192">
        <f>DataUK1!CP125/DataUK1!CL125</f>
        <v>0.77821429159600208</v>
      </c>
      <c r="C122" s="192">
        <f>(DataUK1!CN125-DataUK1!CQ125)/DataUK1!CL125</f>
        <v>0.22178570840399794</v>
      </c>
      <c r="D122" s="234">
        <f>DataUK1!CP125/DataUK1!CM125</f>
        <v>0.7044074360480681</v>
      </c>
      <c r="E122" s="235">
        <f>DataUK1!CN125/DataUK1!CM125</f>
        <v>0.2955925639519319</v>
      </c>
      <c r="F122" s="236">
        <f>B122*TableUK9!$E122</f>
        <v>0.50545872655634394</v>
      </c>
      <c r="G122" s="2044">
        <f>C122*TableUK9!$E122</f>
        <v>0.14405225263644764</v>
      </c>
      <c r="H122" s="233"/>
      <c r="K122" s="1244">
        <f t="shared" si="5"/>
        <v>0</v>
      </c>
      <c r="L122" s="1244">
        <f t="shared" si="6"/>
        <v>0</v>
      </c>
    </row>
    <row r="123" spans="1:12">
      <c r="A123" s="198">
        <v>1967</v>
      </c>
      <c r="B123" s="192">
        <f>DataUK1!CP126/DataUK1!CL126</f>
        <v>0.7726699101470631</v>
      </c>
      <c r="C123" s="192">
        <f>(DataUK1!CN126-DataUK1!CQ126)/DataUK1!CL126</f>
        <v>0.22733008985293696</v>
      </c>
      <c r="D123" s="234">
        <f>DataUK1!CP126/DataUK1!CM126</f>
        <v>0.69821198172105625</v>
      </c>
      <c r="E123" s="235">
        <f>DataUK1!CN126/DataUK1!CM126</f>
        <v>0.30178801827894375</v>
      </c>
      <c r="F123" s="236">
        <f>B123*TableUK9!$E123</f>
        <v>0.49688399453373966</v>
      </c>
      <c r="G123" s="2044">
        <f>C123*TableUK9!$E123</f>
        <v>0.14619008924825622</v>
      </c>
      <c r="H123" s="233"/>
      <c r="K123" s="1244">
        <f t="shared" si="5"/>
        <v>0</v>
      </c>
      <c r="L123" s="1244">
        <f t="shared" si="6"/>
        <v>0</v>
      </c>
    </row>
    <row r="124" spans="1:12">
      <c r="A124" s="198">
        <v>1968</v>
      </c>
      <c r="B124" s="192">
        <f>DataUK1!CP127/DataUK1!CL127</f>
        <v>0.7705749946359659</v>
      </c>
      <c r="C124" s="192">
        <f>(DataUK1!CN127-DataUK1!CQ127)/DataUK1!CL127</f>
        <v>0.22942500536403412</v>
      </c>
      <c r="D124" s="234">
        <f>DataUK1!CP127/DataUK1!CM127</f>
        <v>0.6950616286383422</v>
      </c>
      <c r="E124" s="235">
        <f>DataUK1!CN127/DataUK1!CM127</f>
        <v>0.30493837136165786</v>
      </c>
      <c r="F124" s="236">
        <f>B124*TableUK9!$E124</f>
        <v>0.49134765567993449</v>
      </c>
      <c r="G124" s="2044">
        <f>C124*TableUK9!$E124</f>
        <v>0.1462900292958885</v>
      </c>
      <c r="H124" s="233"/>
      <c r="K124" s="1244">
        <f t="shared" si="5"/>
        <v>0</v>
      </c>
      <c r="L124" s="1244">
        <f t="shared" si="6"/>
        <v>0</v>
      </c>
    </row>
    <row r="125" spans="1:12">
      <c r="A125" s="214">
        <v>1969</v>
      </c>
      <c r="B125" s="195">
        <f>DataUK1!CP128/DataUK1!CL128</f>
        <v>0.76971902967503014</v>
      </c>
      <c r="C125" s="195">
        <f>(DataUK1!CN128-DataUK1!CQ128)/DataUK1!CL128</f>
        <v>0.23028097032496986</v>
      </c>
      <c r="D125" s="242">
        <f>DataUK1!CP128/DataUK1!CM128</f>
        <v>0.69261769824585906</v>
      </c>
      <c r="E125" s="243">
        <f>DataUK1!CN128/DataUK1!CM128</f>
        <v>0.30738230175414094</v>
      </c>
      <c r="F125" s="244">
        <f>B125*TableUK9!$E125</f>
        <v>0.48126817790679949</v>
      </c>
      <c r="G125" s="2045">
        <f>C125*TableUK9!$E125</f>
        <v>0.14398358195937852</v>
      </c>
      <c r="H125" s="233"/>
      <c r="K125" s="1244">
        <f t="shared" si="5"/>
        <v>0</v>
      </c>
      <c r="L125" s="1244">
        <f t="shared" si="6"/>
        <v>0</v>
      </c>
    </row>
    <row r="126" spans="1:12">
      <c r="A126" s="198">
        <v>1970</v>
      </c>
      <c r="B126" s="192">
        <f>DataUK1!CP129/DataUK1!CL129</f>
        <v>0.7923855901538418</v>
      </c>
      <c r="C126" s="192">
        <f>(DataUK1!CN129-DataUK1!CQ129)/DataUK1!CL129</f>
        <v>0.20761440984615809</v>
      </c>
      <c r="D126" s="234">
        <f>DataUK1!CP129/DataUK1!CM129</f>
        <v>0.70907517737276948</v>
      </c>
      <c r="E126" s="235">
        <f>DataUK1!CN129/DataUK1!CM129</f>
        <v>0.29092482262723046</v>
      </c>
      <c r="F126" s="236">
        <f>B126*TableUK9!$E126</f>
        <v>0.49089774807572051</v>
      </c>
      <c r="G126" s="2044">
        <f>C126*TableUK9!$E126</f>
        <v>0.12862102431943695</v>
      </c>
      <c r="H126" s="233"/>
      <c r="K126" s="1244">
        <f t="shared" si="5"/>
        <v>0</v>
      </c>
      <c r="L126" s="1244">
        <f t="shared" si="6"/>
        <v>0</v>
      </c>
    </row>
    <row r="127" spans="1:12">
      <c r="A127" s="198">
        <v>1971</v>
      </c>
      <c r="B127" s="192">
        <f>DataUK1!CP130/DataUK1!CL130</f>
        <v>0.78000448203988293</v>
      </c>
      <c r="C127" s="192">
        <f>(DataUK1!CN130-DataUK1!CQ130)/DataUK1!CL130</f>
        <v>0.21999551796011713</v>
      </c>
      <c r="D127" s="234">
        <f>DataUK1!CP130/DataUK1!CM130</f>
        <v>0.69224750248499578</v>
      </c>
      <c r="E127" s="235">
        <f>DataUK1!CN130/DataUK1!CM130</f>
        <v>0.30775249751500428</v>
      </c>
      <c r="F127" s="236">
        <f>B127*TableUK9!$E127</f>
        <v>0.47992948648914369</v>
      </c>
      <c r="G127" s="2044">
        <f>C127*TableUK9!$E127</f>
        <v>0.13536119137212035</v>
      </c>
      <c r="H127" s="233"/>
      <c r="K127" s="1244">
        <f t="shared" si="5"/>
        <v>0</v>
      </c>
      <c r="L127" s="1244">
        <f t="shared" si="6"/>
        <v>0</v>
      </c>
    </row>
    <row r="128" spans="1:12">
      <c r="A128" s="198">
        <v>1972</v>
      </c>
      <c r="B128" s="192">
        <f>DataUK1!CP131/DataUK1!CL131</f>
        <v>0.77882235625240692</v>
      </c>
      <c r="C128" s="192">
        <f>(DataUK1!CN131-DataUK1!CQ131)/DataUK1!CL131</f>
        <v>0.22117764374759305</v>
      </c>
      <c r="D128" s="234">
        <f>DataUK1!CP131/DataUK1!CM131</f>
        <v>0.68929665727815081</v>
      </c>
      <c r="E128" s="235">
        <f>DataUK1!CN131/DataUK1!CM131</f>
        <v>0.31070334272184919</v>
      </c>
      <c r="F128" s="236">
        <f>B128*TableUK9!$E128</f>
        <v>0.47857875957847001</v>
      </c>
      <c r="G128" s="2044">
        <f>C128*TableUK9!$E128</f>
        <v>0.13591150991164772</v>
      </c>
      <c r="H128" s="233"/>
      <c r="K128" s="1244">
        <f t="shared" si="5"/>
        <v>0</v>
      </c>
      <c r="L128" s="1244">
        <f t="shared" si="6"/>
        <v>0</v>
      </c>
    </row>
    <row r="129" spans="1:12">
      <c r="A129" s="198">
        <v>1973</v>
      </c>
      <c r="B129" s="192">
        <f>DataUK1!CP132/DataUK1!CL132</f>
        <v>0.77870248918316642</v>
      </c>
      <c r="C129" s="192">
        <f>(DataUK1!CN132-DataUK1!CQ132)/DataUK1!CL132</f>
        <v>0.22129751081683349</v>
      </c>
      <c r="D129" s="234">
        <f>DataUK1!CP132/DataUK1!CM132</f>
        <v>0.68735485514749373</v>
      </c>
      <c r="E129" s="235">
        <f>DataUK1!CN132/DataUK1!CM132</f>
        <v>0.31264514485250622</v>
      </c>
      <c r="F129" s="236">
        <f>B129*TableUK9!$E129</f>
        <v>0.48068355647018107</v>
      </c>
      <c r="G129" s="2044">
        <f>C129*TableUK9!$E129</f>
        <v>0.13660425645873667</v>
      </c>
      <c r="H129" s="233"/>
      <c r="K129" s="1244">
        <f t="shared" si="5"/>
        <v>0</v>
      </c>
      <c r="L129" s="1244">
        <f t="shared" si="6"/>
        <v>0</v>
      </c>
    </row>
    <row r="130" spans="1:12">
      <c r="A130" s="198">
        <v>1974</v>
      </c>
      <c r="B130" s="192">
        <f>DataUK1!CP133/DataUK1!CL133</f>
        <v>0.84646808273167273</v>
      </c>
      <c r="C130" s="192">
        <f>(DataUK1!CN133-DataUK1!CQ133)/DataUK1!CL133</f>
        <v>0.15353191726832727</v>
      </c>
      <c r="D130" s="234">
        <f>DataUK1!CP133/DataUK1!CM133</f>
        <v>0.73379715084934161</v>
      </c>
      <c r="E130" s="235">
        <f>DataUK1!CN133/DataUK1!CM133</f>
        <v>0.26620284915065845</v>
      </c>
      <c r="F130" s="236">
        <f>B130*TableUK9!$E130</f>
        <v>0.51601658128127603</v>
      </c>
      <c r="G130" s="2044">
        <f>C130*TableUK9!$E130</f>
        <v>9.3594804910648921E-2</v>
      </c>
      <c r="H130" s="233"/>
      <c r="K130" s="1244">
        <f t="shared" si="5"/>
        <v>0</v>
      </c>
      <c r="L130" s="1244">
        <f t="shared" si="6"/>
        <v>0</v>
      </c>
    </row>
    <row r="131" spans="1:12">
      <c r="A131" s="198">
        <v>1975</v>
      </c>
      <c r="B131" s="192">
        <f>DataUK1!CP134/DataUK1!CL134</f>
        <v>0.87128479989997865</v>
      </c>
      <c r="C131" s="192">
        <f>(DataUK1!CN134-DataUK1!CQ134)/DataUK1!CL134</f>
        <v>0.12871520010002149</v>
      </c>
      <c r="D131" s="234">
        <f>DataUK1!CP134/DataUK1!CM134</f>
        <v>0.75093182904538736</v>
      </c>
      <c r="E131" s="235">
        <f>DataUK1!CN134/DataUK1!CM134</f>
        <v>0.24906817095461278</v>
      </c>
      <c r="F131" s="236">
        <f>B131*TableUK9!$E131</f>
        <v>0.53279820811291534</v>
      </c>
      <c r="G131" s="2044">
        <f>C131*TableUK9!$E131</f>
        <v>7.8710460664595E-2</v>
      </c>
      <c r="H131" s="233"/>
      <c r="K131" s="1244">
        <f t="shared" si="5"/>
        <v>0</v>
      </c>
      <c r="L131" s="1244">
        <f t="shared" si="6"/>
        <v>0</v>
      </c>
    </row>
    <row r="132" spans="1:12">
      <c r="A132" s="198">
        <v>1976</v>
      </c>
      <c r="B132" s="192">
        <f>DataUK1!CP135/DataUK1!CL135</f>
        <v>0.84882795354407758</v>
      </c>
      <c r="C132" s="192">
        <f>(DataUK1!CN135-DataUK1!CQ135)/DataUK1!CL135</f>
        <v>0.15117204645592242</v>
      </c>
      <c r="D132" s="234">
        <f>DataUK1!CP135/DataUK1!CM135</f>
        <v>0.72557803161802215</v>
      </c>
      <c r="E132" s="235">
        <f>DataUK1!CN135/DataUK1!CM135</f>
        <v>0.2744219683819778</v>
      </c>
      <c r="F132" s="236">
        <f>B132*TableUK9!$E132</f>
        <v>0.51184310305526659</v>
      </c>
      <c r="G132" s="2044">
        <f>C132*TableUK9!$E132</f>
        <v>9.1156716776524344E-2</v>
      </c>
      <c r="H132" s="233"/>
      <c r="K132" s="1244">
        <f t="shared" si="5"/>
        <v>0</v>
      </c>
      <c r="L132" s="1244">
        <f t="shared" si="6"/>
        <v>0</v>
      </c>
    </row>
    <row r="133" spans="1:12">
      <c r="A133" s="198">
        <v>1977</v>
      </c>
      <c r="B133" s="192">
        <f>DataUK1!CP136/DataUK1!CL136</f>
        <v>0.79419189266148438</v>
      </c>
      <c r="C133" s="192">
        <f>(DataUK1!CN136-DataUK1!CQ136)/DataUK1!CL136</f>
        <v>0.20580810733851565</v>
      </c>
      <c r="D133" s="234">
        <f>DataUK1!CP136/DataUK1!CM136</f>
        <v>0.67927223160197248</v>
      </c>
      <c r="E133" s="235">
        <f>DataUK1!CN136/DataUK1!CM136</f>
        <v>0.32072776839802764</v>
      </c>
      <c r="F133" s="236">
        <f>B133*TableUK9!$E133</f>
        <v>0.4952828891844509</v>
      </c>
      <c r="G133" s="2044">
        <f>C133*TableUK9!$E133</f>
        <v>0.12834836890440476</v>
      </c>
      <c r="H133" s="233"/>
      <c r="K133" s="1244">
        <f t="shared" si="5"/>
        <v>0</v>
      </c>
      <c r="L133" s="1244">
        <f t="shared" si="6"/>
        <v>0</v>
      </c>
    </row>
    <row r="134" spans="1:12">
      <c r="A134" s="198">
        <v>1978</v>
      </c>
      <c r="B134" s="192">
        <f>DataUK1!CP137/DataUK1!CL137</f>
        <v>0.79525780769472432</v>
      </c>
      <c r="C134" s="192">
        <f>(DataUK1!CN137-DataUK1!CQ137)/DataUK1!CL137</f>
        <v>0.20474219230527566</v>
      </c>
      <c r="D134" s="234">
        <f>DataUK1!CP137/DataUK1!CM137</f>
        <v>0.67874754845483243</v>
      </c>
      <c r="E134" s="235">
        <f>DataUK1!CN137/DataUK1!CM137</f>
        <v>0.32125245154516757</v>
      </c>
      <c r="F134" s="236">
        <f>B134*TableUK9!$E134</f>
        <v>0.5000312094840641</v>
      </c>
      <c r="G134" s="2044">
        <f>C134*TableUK9!$E134</f>
        <v>0.12873496501416995</v>
      </c>
      <c r="H134" s="233"/>
      <c r="K134" s="1244">
        <f t="shared" si="5"/>
        <v>0</v>
      </c>
      <c r="L134" s="1244">
        <f t="shared" si="6"/>
        <v>0</v>
      </c>
    </row>
    <row r="135" spans="1:12" ht="12.75" customHeight="1">
      <c r="A135" s="198">
        <v>1979</v>
      </c>
      <c r="B135" s="192">
        <f>DataUK1!CP138/DataUK1!CL138</f>
        <v>0.81098650023525598</v>
      </c>
      <c r="C135" s="192">
        <f>(DataUK1!CN138-DataUK1!CQ138)/DataUK1!CL138</f>
        <v>0.18901349976474396</v>
      </c>
      <c r="D135" s="234">
        <f>DataUK1!CP138/DataUK1!CM138</f>
        <v>0.68996780716662354</v>
      </c>
      <c r="E135" s="235">
        <f>DataUK1!CN138/DataUK1!CM138</f>
        <v>0.31003219283337652</v>
      </c>
      <c r="F135" s="236">
        <f>B135*TableUK9!$E135</f>
        <v>0.50866574370634499</v>
      </c>
      <c r="G135" s="2044">
        <f>C135*TableUK9!$E135</f>
        <v>0.1185527655521791</v>
      </c>
      <c r="H135" s="233"/>
      <c r="K135" s="1244">
        <f t="shared" si="5"/>
        <v>0</v>
      </c>
      <c r="L135" s="1244">
        <f t="shared" si="6"/>
        <v>0</v>
      </c>
    </row>
    <row r="136" spans="1:12">
      <c r="A136" s="199">
        <v>1980</v>
      </c>
      <c r="B136" s="194">
        <f>DataUK1!CP139/DataUK1!CL139</f>
        <v>0.83137581865720478</v>
      </c>
      <c r="C136" s="194">
        <f>(DataUK1!CN139-DataUK1!CQ139)/DataUK1!CL139</f>
        <v>0.16862418134279514</v>
      </c>
      <c r="D136" s="238">
        <f>DataUK1!CP139/DataUK1!CM139</f>
        <v>0.70202210476675442</v>
      </c>
      <c r="E136" s="239">
        <f>DataUK1!CN139/DataUK1!CM139</f>
        <v>0.29797789523324547</v>
      </c>
      <c r="F136" s="240">
        <f>B136*TableUK9!$E136</f>
        <v>0.51117472952671694</v>
      </c>
      <c r="G136" s="2043">
        <f>C136*TableUK9!$E136</f>
        <v>0.10367924872867648</v>
      </c>
      <c r="H136" s="233"/>
      <c r="K136" s="1244">
        <f t="shared" si="5"/>
        <v>0</v>
      </c>
      <c r="L136" s="1244">
        <f t="shared" si="6"/>
        <v>0</v>
      </c>
    </row>
    <row r="137" spans="1:12">
      <c r="A137" s="198">
        <v>1981</v>
      </c>
      <c r="B137" s="192">
        <f>DataUK1!CP140/DataUK1!CL140</f>
        <v>0.83308745551489649</v>
      </c>
      <c r="C137" s="192">
        <f>(DataUK1!CN140-DataUK1!CQ140)/DataUK1!CL140</f>
        <v>0.16691254448510354</v>
      </c>
      <c r="D137" s="234">
        <f>DataUK1!CP140/DataUK1!CM140</f>
        <v>0.69696016815964146</v>
      </c>
      <c r="E137" s="235">
        <f>DataUK1!CN140/DataUK1!CM140</f>
        <v>0.30303983184035865</v>
      </c>
      <c r="F137" s="236">
        <f>B137*TableUK9!$E137</f>
        <v>0.49902360293159537</v>
      </c>
      <c r="G137" s="2044">
        <f>C137*TableUK9!$E137</f>
        <v>9.9981459055767982E-2</v>
      </c>
      <c r="H137" s="233"/>
      <c r="K137" s="1244">
        <f t="shared" si="5"/>
        <v>0</v>
      </c>
      <c r="L137" s="1244">
        <f t="shared" si="6"/>
        <v>0</v>
      </c>
    </row>
    <row r="138" spans="1:12">
      <c r="A138" s="198">
        <v>1982</v>
      </c>
      <c r="B138" s="192">
        <f>DataUK1!CP141/DataUK1!CL141</f>
        <v>0.79847259794749648</v>
      </c>
      <c r="C138" s="192">
        <f>(DataUK1!CN141-DataUK1!CQ141)/DataUK1!CL141</f>
        <v>0.2015274020525035</v>
      </c>
      <c r="D138" s="234">
        <f>DataUK1!CP141/DataUK1!CM141</f>
        <v>0.66942261883364385</v>
      </c>
      <c r="E138" s="235">
        <f>DataUK1!CN141/DataUK1!CM141</f>
        <v>0.3305773811663561</v>
      </c>
      <c r="F138" s="236">
        <f>B138*TableUK9!$E138</f>
        <v>0.47465300244186082</v>
      </c>
      <c r="G138" s="2044">
        <f>C138*TableUK9!$E138</f>
        <v>0.11979820810935159</v>
      </c>
      <c r="H138" s="233"/>
      <c r="I138" s="154"/>
      <c r="K138" s="1244">
        <f t="shared" ref="K138:K166" si="7">1-B138-C138</f>
        <v>0</v>
      </c>
      <c r="L138" s="1244">
        <f t="shared" si="6"/>
        <v>0</v>
      </c>
    </row>
    <row r="139" spans="1:12">
      <c r="A139" s="198">
        <v>1983</v>
      </c>
      <c r="B139" s="192">
        <f>DataUK1!CP142/DataUK1!CL142</f>
        <v>0.76466382540030764</v>
      </c>
      <c r="C139" s="192">
        <f>(DataUK1!CN142-DataUK1!CQ142)/DataUK1!CL142</f>
        <v>0.23533617459969228</v>
      </c>
      <c r="D139" s="234">
        <f>DataUK1!CP142/DataUK1!CM142</f>
        <v>0.64514097754963851</v>
      </c>
      <c r="E139" s="235">
        <f>DataUK1!CN142/DataUK1!CM142</f>
        <v>0.35485902245036138</v>
      </c>
      <c r="F139" s="236">
        <f>B139*TableUK9!$E139</f>
        <v>0.45691154978226967</v>
      </c>
      <c r="G139" s="2044">
        <f>C139*TableUK9!$E139</f>
        <v>0.14062103199387591</v>
      </c>
      <c r="H139" s="233"/>
      <c r="I139" s="154"/>
      <c r="K139" s="1244">
        <f t="shared" si="7"/>
        <v>0</v>
      </c>
      <c r="L139" s="1244">
        <f t="shared" si="6"/>
        <v>0</v>
      </c>
    </row>
    <row r="140" spans="1:12">
      <c r="A140" s="198">
        <v>1984</v>
      </c>
      <c r="B140" s="192">
        <f>DataUK1!CP143/DataUK1!CL143</f>
        <v>0.76433462005839736</v>
      </c>
      <c r="C140" s="192">
        <f>(DataUK1!CN143-DataUK1!CQ143)/DataUK1!CL143</f>
        <v>0.23566537994160264</v>
      </c>
      <c r="D140" s="234">
        <f>DataUK1!CP143/DataUK1!CM143</f>
        <v>0.64608231359001278</v>
      </c>
      <c r="E140" s="235">
        <f>DataUK1!CN143/DataUK1!CM143</f>
        <v>0.35391768640998728</v>
      </c>
      <c r="F140" s="236">
        <f>B140*TableUK9!$E140</f>
        <v>0.45260560308649472</v>
      </c>
      <c r="G140" s="2044">
        <f>C140*TableUK9!$E140</f>
        <v>0.13955075253156474</v>
      </c>
      <c r="H140" s="233"/>
      <c r="I140" s="154"/>
      <c r="K140" s="1244">
        <f t="shared" si="7"/>
        <v>0</v>
      </c>
      <c r="L140" s="1244">
        <f t="shared" si="6"/>
        <v>0</v>
      </c>
    </row>
    <row r="141" spans="1:12">
      <c r="A141" s="198">
        <v>1985</v>
      </c>
      <c r="B141" s="192">
        <f>DataUK1!CP144/DataUK1!CL144</f>
        <v>0.74515984182091466</v>
      </c>
      <c r="C141" s="192">
        <f>(DataUK1!CN144-DataUK1!CQ144)/DataUK1!CL144</f>
        <v>0.25484015817908534</v>
      </c>
      <c r="D141" s="234">
        <f>DataUK1!CP144/DataUK1!CM144</f>
        <v>0.63415334880386087</v>
      </c>
      <c r="E141" s="235">
        <f>DataUK1!CN144/DataUK1!CM144</f>
        <v>0.36584665119613918</v>
      </c>
      <c r="F141" s="236">
        <f>B141*TableUK9!$E141</f>
        <v>0.45365316073067918</v>
      </c>
      <c r="G141" s="2044">
        <f>C141*TableUK9!$E141</f>
        <v>0.15514663666863679</v>
      </c>
      <c r="H141" s="233"/>
      <c r="I141" s="154"/>
      <c r="K141" s="1244">
        <f t="shared" si="7"/>
        <v>0</v>
      </c>
      <c r="L141" s="1244">
        <f t="shared" si="6"/>
        <v>0</v>
      </c>
    </row>
    <row r="142" spans="1:12">
      <c r="A142" s="198">
        <v>1986</v>
      </c>
      <c r="B142" s="192">
        <f>DataUK1!CP145/DataUK1!CL145</f>
        <v>0.76134964746877942</v>
      </c>
      <c r="C142" s="192">
        <f>(DataUK1!CN145-DataUK1!CQ145)/DataUK1!CL145</f>
        <v>0.23865035253122049</v>
      </c>
      <c r="D142" s="234">
        <f>DataUK1!CP145/DataUK1!CM145</f>
        <v>0.64718165282129059</v>
      </c>
      <c r="E142" s="235">
        <f>DataUK1!CN145/DataUK1!CM145</f>
        <v>0.35281834717870936</v>
      </c>
      <c r="F142" s="236">
        <f>B142*TableUK9!$E142</f>
        <v>0.45129572122960832</v>
      </c>
      <c r="G142" s="2044">
        <f>C142*TableUK9!$E142</f>
        <v>0.14146178871343595</v>
      </c>
      <c r="H142" s="233"/>
      <c r="I142" s="154"/>
      <c r="K142" s="1244">
        <f t="shared" si="7"/>
        <v>0</v>
      </c>
      <c r="L142" s="1244">
        <f t="shared" si="6"/>
        <v>0</v>
      </c>
    </row>
    <row r="143" spans="1:12">
      <c r="A143" s="198">
        <v>1987</v>
      </c>
      <c r="B143" s="192">
        <f>DataUK1!CP146/DataUK1!CL146</f>
        <v>0.74607037607282156</v>
      </c>
      <c r="C143" s="192">
        <f>(DataUK1!CN146-DataUK1!CQ146)/DataUK1!CL146</f>
        <v>0.25392962392717849</v>
      </c>
      <c r="D143" s="234">
        <f>DataUK1!CP146/DataUK1!CM146</f>
        <v>0.63548771020725014</v>
      </c>
      <c r="E143" s="235">
        <f>DataUK1!CN146/DataUK1!CM146</f>
        <v>0.3645122897927498</v>
      </c>
      <c r="F143" s="236">
        <f>B143*TableUK9!$E143</f>
        <v>0.44618330889613694</v>
      </c>
      <c r="G143" s="2044">
        <f>C143*TableUK9!$E143</f>
        <v>0.15186122310198977</v>
      </c>
      <c r="H143" s="233"/>
      <c r="I143" s="154"/>
      <c r="K143" s="1244">
        <f t="shared" si="7"/>
        <v>0</v>
      </c>
      <c r="L143" s="1244">
        <f t="shared" si="6"/>
        <v>0</v>
      </c>
    </row>
    <row r="144" spans="1:12">
      <c r="A144" s="198">
        <v>1988</v>
      </c>
      <c r="B144" s="192">
        <f>DataUK1!CP147/DataUK1!CL147</f>
        <v>0.73904509720392664</v>
      </c>
      <c r="C144" s="192">
        <f>(DataUK1!CN147-DataUK1!CQ147)/DataUK1!CL147</f>
        <v>0.26095490279607331</v>
      </c>
      <c r="D144" s="234">
        <f>DataUK1!CP147/DataUK1!CM147</f>
        <v>0.63509167002209976</v>
      </c>
      <c r="E144" s="235">
        <f>DataUK1!CN147/DataUK1!CM147</f>
        <v>0.36490832997790024</v>
      </c>
      <c r="F144" s="236">
        <f>B144*TableUK9!$E144</f>
        <v>0.44692245776683021</v>
      </c>
      <c r="G144" s="2044">
        <f>C144*TableUK9!$E144</f>
        <v>0.15780715813576973</v>
      </c>
      <c r="H144" s="233"/>
      <c r="I144" s="154"/>
      <c r="K144" s="1244">
        <f t="shared" si="7"/>
        <v>0</v>
      </c>
      <c r="L144" s="1244">
        <f t="shared" si="6"/>
        <v>0</v>
      </c>
    </row>
    <row r="145" spans="1:12">
      <c r="A145" s="214">
        <v>1989</v>
      </c>
      <c r="B145" s="195">
        <f>DataUK1!CP148/DataUK1!CL148</f>
        <v>0.7502886126262871</v>
      </c>
      <c r="C145" s="195">
        <f>(DataUK1!CN148-DataUK1!CQ148)/DataUK1!CL148</f>
        <v>0.24971138737371296</v>
      </c>
      <c r="D145" s="242">
        <f>DataUK1!CP148/DataUK1!CM148</f>
        <v>0.64526973239065666</v>
      </c>
      <c r="E145" s="243">
        <f>DataUK1!CN148/DataUK1!CM148</f>
        <v>0.3547302676093434</v>
      </c>
      <c r="F145" s="244">
        <f>B145*TableUK9!$E145</f>
        <v>0.45923497751888193</v>
      </c>
      <c r="G145" s="2045">
        <f>C145*TableUK9!$E145</f>
        <v>0.15284278801109194</v>
      </c>
      <c r="H145" s="233"/>
      <c r="I145" s="154"/>
      <c r="K145" s="1244">
        <f t="shared" si="7"/>
        <v>0</v>
      </c>
      <c r="L145" s="1244">
        <f t="shared" si="6"/>
        <v>0</v>
      </c>
    </row>
    <row r="146" spans="1:12">
      <c r="A146" s="198">
        <v>1990</v>
      </c>
      <c r="B146" s="192">
        <f>DataUK1!CP149/DataUK1!CL149</f>
        <v>0.77637840792779078</v>
      </c>
      <c r="C146" s="192">
        <f>(DataUK1!CN149-DataUK1!CQ149)/DataUK1!CL149</f>
        <v>0.22362159207220916</v>
      </c>
      <c r="D146" s="234">
        <f>DataUK1!CP149/DataUK1!CM149</f>
        <v>0.66325983393176846</v>
      </c>
      <c r="E146" s="235">
        <f>DataUK1!CN149/DataUK1!CM149</f>
        <v>0.33674016606823148</v>
      </c>
      <c r="F146" s="236">
        <f>B146*TableUK9!$E146</f>
        <v>0.47129668701048755</v>
      </c>
      <c r="G146" s="2044">
        <f>C146*TableUK9!$E146</f>
        <v>0.13574838559581009</v>
      </c>
      <c r="H146" s="233"/>
      <c r="I146" s="154"/>
      <c r="K146" s="1244">
        <f t="shared" si="7"/>
        <v>0</v>
      </c>
      <c r="L146" s="1244">
        <f t="shared" si="6"/>
        <v>0</v>
      </c>
    </row>
    <row r="147" spans="1:12">
      <c r="A147" s="198">
        <v>1991</v>
      </c>
      <c r="B147" s="192">
        <f>DataUK1!CP150/DataUK1!CL150</f>
        <v>0.80347367781713619</v>
      </c>
      <c r="C147" s="192">
        <f>(DataUK1!CN150-DataUK1!CQ150)/DataUK1!CL150</f>
        <v>0.19652632218286373</v>
      </c>
      <c r="D147" s="234">
        <f>DataUK1!CP150/DataUK1!CM150</f>
        <v>0.67841314267973385</v>
      </c>
      <c r="E147" s="235">
        <f>DataUK1!CN150/DataUK1!CM150</f>
        <v>0.32158685732026615</v>
      </c>
      <c r="F147" s="236">
        <f>B147*TableUK9!$E147</f>
        <v>0.47215018271837789</v>
      </c>
      <c r="G147" s="2044">
        <f>C147*TableUK9!$E147</f>
        <v>0.11548597233415295</v>
      </c>
      <c r="H147" s="233"/>
      <c r="I147" s="154"/>
      <c r="K147" s="1244">
        <f t="shared" si="7"/>
        <v>0</v>
      </c>
      <c r="L147" s="1244">
        <f t="shared" si="6"/>
        <v>0</v>
      </c>
    </row>
    <row r="148" spans="1:12">
      <c r="A148" s="198">
        <v>1992</v>
      </c>
      <c r="B148" s="192">
        <f>DataUK1!CP151/DataUK1!CL151</f>
        <v>0.80887530627889548</v>
      </c>
      <c r="C148" s="192">
        <f>(DataUK1!CN151-DataUK1!CQ151)/DataUK1!CL151</f>
        <v>0.19112469372110444</v>
      </c>
      <c r="D148" s="234">
        <f>DataUK1!CP151/DataUK1!CM151</f>
        <v>0.67964038677777794</v>
      </c>
      <c r="E148" s="235">
        <f>DataUK1!CN151/DataUK1!CM151</f>
        <v>0.32035961322222206</v>
      </c>
      <c r="F148" s="236">
        <f>B148*TableUK9!$E148</f>
        <v>0.45821682474427339</v>
      </c>
      <c r="G148" s="2044">
        <f>C148*TableUK9!$E148</f>
        <v>0.10826953129523571</v>
      </c>
      <c r="H148" s="233"/>
      <c r="I148" s="154"/>
      <c r="K148" s="1244">
        <f t="shared" si="7"/>
        <v>0</v>
      </c>
      <c r="L148" s="1244">
        <f t="shared" si="6"/>
        <v>0</v>
      </c>
    </row>
    <row r="149" spans="1:12">
      <c r="A149" s="198">
        <v>1993</v>
      </c>
      <c r="B149" s="192">
        <f>DataUK1!CP152/DataUK1!CL152</f>
        <v>0.77244730182522336</v>
      </c>
      <c r="C149" s="192">
        <f>(DataUK1!CN152-DataUK1!CQ152)/DataUK1!CL152</f>
        <v>0.22755269817477669</v>
      </c>
      <c r="D149" s="234">
        <f>DataUK1!CP152/DataUK1!CM152</f>
        <v>0.65377253224261711</v>
      </c>
      <c r="E149" s="235">
        <f>DataUK1!CN152/DataUK1!CM152</f>
        <v>0.346227467757383</v>
      </c>
      <c r="F149" s="236">
        <f>B149*TableUK9!$E149</f>
        <v>0.44359824340744847</v>
      </c>
      <c r="G149" s="2044">
        <f>C149*TableUK9!$E149</f>
        <v>0.13067814070220643</v>
      </c>
      <c r="H149" s="233"/>
      <c r="I149" s="154"/>
      <c r="K149" s="1244">
        <f t="shared" si="7"/>
        <v>0</v>
      </c>
      <c r="L149" s="1244">
        <f t="shared" si="6"/>
        <v>0</v>
      </c>
    </row>
    <row r="150" spans="1:12">
      <c r="A150" s="198">
        <v>1994</v>
      </c>
      <c r="B150" s="192">
        <f>DataUK1!CP153/DataUK1!CL153</f>
        <v>0.74507259021765482</v>
      </c>
      <c r="C150" s="192">
        <f>(DataUK1!CN153-DataUK1!CQ153)/DataUK1!CL153</f>
        <v>0.25492740978234518</v>
      </c>
      <c r="D150" s="234">
        <f>DataUK1!CP153/DataUK1!CM153</f>
        <v>0.63645934140166494</v>
      </c>
      <c r="E150" s="235">
        <f>DataUK1!CN153/DataUK1!CM153</f>
        <v>0.36354065859833501</v>
      </c>
      <c r="F150" s="236">
        <f>B150*TableUK9!$E150</f>
        <v>0.43105558422313078</v>
      </c>
      <c r="G150" s="2044">
        <f>C150*TableUK9!$E150</f>
        <v>0.14748614430456661</v>
      </c>
      <c r="H150" s="233"/>
      <c r="I150" s="154"/>
      <c r="K150" s="1244">
        <f t="shared" si="7"/>
        <v>0</v>
      </c>
      <c r="L150" s="1244">
        <f t="shared" si="6"/>
        <v>0</v>
      </c>
    </row>
    <row r="151" spans="1:12">
      <c r="A151" s="198">
        <v>1995</v>
      </c>
      <c r="B151" s="192">
        <f>DataUK1!CP154/DataUK1!CL154</f>
        <v>0.73521901428387604</v>
      </c>
      <c r="C151" s="192">
        <f>(DataUK1!CN154-DataUK1!CQ154)/DataUK1!CL154</f>
        <v>0.26478098571612391</v>
      </c>
      <c r="D151" s="234">
        <f>DataUK1!CP154/DataUK1!CM154</f>
        <v>0.63208299005056645</v>
      </c>
      <c r="E151" s="235">
        <f>DataUK1!CN154/DataUK1!CM154</f>
        <v>0.36791700994943349</v>
      </c>
      <c r="F151" s="236">
        <f>B151*TableUK9!$E151</f>
        <v>0.42732494842324742</v>
      </c>
      <c r="G151" s="2044">
        <f>C151*TableUK9!$E151</f>
        <v>0.15389634770913552</v>
      </c>
      <c r="H151" s="233"/>
      <c r="I151" s="154"/>
      <c r="K151" s="1244">
        <f t="shared" si="7"/>
        <v>0</v>
      </c>
      <c r="L151" s="1244">
        <f t="shared" si="6"/>
        <v>0</v>
      </c>
    </row>
    <row r="152" spans="1:12">
      <c r="A152" s="198">
        <v>1996</v>
      </c>
      <c r="B152" s="192">
        <f>DataUK1!CP155/DataUK1!CL155</f>
        <v>0.71131499668541198</v>
      </c>
      <c r="C152" s="192">
        <f>(DataUK1!CN155-DataUK1!CQ155)/DataUK1!CL155</f>
        <v>0.28868500331458813</v>
      </c>
      <c r="D152" s="234">
        <f>DataUK1!CP155/DataUK1!CM155</f>
        <v>0.61486130260455985</v>
      </c>
      <c r="E152" s="235">
        <f>DataUK1!CN155/DataUK1!CM155</f>
        <v>0.38513869739544021</v>
      </c>
      <c r="F152" s="236">
        <f>B152*TableUK9!$E152</f>
        <v>0.41681963632744001</v>
      </c>
      <c r="G152" s="2044">
        <f>C152*TableUK9!$E152</f>
        <v>0.16916496721633117</v>
      </c>
      <c r="H152" s="233"/>
      <c r="I152" s="154"/>
      <c r="K152" s="1244">
        <f t="shared" si="7"/>
        <v>0</v>
      </c>
      <c r="L152" s="1244">
        <f t="shared" si="6"/>
        <v>0</v>
      </c>
    </row>
    <row r="153" spans="1:12">
      <c r="A153" s="198">
        <v>1997</v>
      </c>
      <c r="B153" s="192">
        <f>DataUK1!CP156/DataUK1!CL156</f>
        <v>0.70420981045559927</v>
      </c>
      <c r="C153" s="192">
        <f>(DataUK1!CN156-DataUK1!CQ156)/DataUK1!CL156</f>
        <v>0.29579018954440067</v>
      </c>
      <c r="D153" s="234">
        <f>DataUK1!CP156/DataUK1!CM156</f>
        <v>0.61606818970809596</v>
      </c>
      <c r="E153" s="235">
        <f>DataUK1!CN156/DataUK1!CM156</f>
        <v>0.38393181029190404</v>
      </c>
      <c r="F153" s="236">
        <f>B153*TableUK9!$E153</f>
        <v>0.41981202915131871</v>
      </c>
      <c r="G153" s="2044">
        <f>C153*TableUK9!$E153</f>
        <v>0.17633420868611627</v>
      </c>
      <c r="H153" s="233"/>
      <c r="I153" s="154"/>
      <c r="K153" s="1244">
        <f t="shared" si="7"/>
        <v>0</v>
      </c>
      <c r="L153" s="1244">
        <f t="shared" si="6"/>
        <v>0</v>
      </c>
    </row>
    <row r="154" spans="1:12">
      <c r="A154" s="198">
        <v>1998</v>
      </c>
      <c r="B154" s="192">
        <f>DataUK1!CP157/DataUK1!CL157</f>
        <v>0.7303941321034465</v>
      </c>
      <c r="C154" s="192">
        <f>(DataUK1!CN157-DataUK1!CQ157)/DataUK1!CL157</f>
        <v>0.26960586789655339</v>
      </c>
      <c r="D154" s="234">
        <f>DataUK1!CP157/DataUK1!CM157</f>
        <v>0.64050133453674185</v>
      </c>
      <c r="E154" s="235">
        <f>DataUK1!CN157/DataUK1!CM157</f>
        <v>0.35949866546325809</v>
      </c>
      <c r="F154" s="236">
        <f>B154*TableUK9!$E154</f>
        <v>0.42835385957615174</v>
      </c>
      <c r="G154" s="2044">
        <f>C154*TableUK9!$E154</f>
        <v>0.15811561046537848</v>
      </c>
      <c r="H154" s="233"/>
      <c r="I154" s="154"/>
      <c r="K154" s="1244">
        <f t="shared" si="7"/>
        <v>0</v>
      </c>
      <c r="L154" s="1244">
        <f t="shared" si="6"/>
        <v>0</v>
      </c>
    </row>
    <row r="155" spans="1:12">
      <c r="A155" s="200">
        <v>1999</v>
      </c>
      <c r="B155" s="192">
        <f>DataUK1!CP158/DataUK1!CL158</f>
        <v>0.74586915486430538</v>
      </c>
      <c r="C155" s="192">
        <f>(DataUK1!CN158-DataUK1!CQ158)/DataUK1!CL158</f>
        <v>0.25413084513569462</v>
      </c>
      <c r="D155" s="234">
        <f>DataUK1!CP158/DataUK1!CM158</f>
        <v>0.65374540887601462</v>
      </c>
      <c r="E155" s="235">
        <f>DataUK1!CN158/DataUK1!CM158</f>
        <v>0.34625459112398543</v>
      </c>
      <c r="F155" s="236">
        <f>B155*TableUK9!$E155</f>
        <v>0.44108057698152775</v>
      </c>
      <c r="G155" s="2044">
        <f>C155*TableUK9!$E155</f>
        <v>0.15028397282583456</v>
      </c>
      <c r="H155" s="233"/>
      <c r="I155" s="154"/>
      <c r="K155" s="1244">
        <f t="shared" si="7"/>
        <v>0</v>
      </c>
      <c r="L155" s="1244">
        <f t="shared" si="6"/>
        <v>0</v>
      </c>
    </row>
    <row r="156" spans="1:12">
      <c r="A156" s="201">
        <v>2000</v>
      </c>
      <c r="B156" s="194">
        <f>DataUK1!CP159/DataUK1!CL159</f>
        <v>0.76672001345304963</v>
      </c>
      <c r="C156" s="194">
        <f>(DataUK1!CN159-DataUK1!CQ159)/DataUK1!CL159</f>
        <v>0.23327998654695042</v>
      </c>
      <c r="D156" s="238">
        <f>DataUK1!CP159/DataUK1!CM159</f>
        <v>0.67217307255064129</v>
      </c>
      <c r="E156" s="239">
        <f>DataUK1!CN159/DataUK1!CM159</f>
        <v>0.32782692744935876</v>
      </c>
      <c r="F156" s="240">
        <f>B156*TableUK9!$E156</f>
        <v>0.44953599177052939</v>
      </c>
      <c r="G156" s="2043">
        <f>C156*TableUK9!$E156</f>
        <v>0.13677450473779856</v>
      </c>
      <c r="H156" s="233"/>
      <c r="I156" s="154"/>
      <c r="K156" s="1244">
        <f t="shared" si="7"/>
        <v>0</v>
      </c>
      <c r="L156" s="1244">
        <f t="shared" si="6"/>
        <v>0</v>
      </c>
    </row>
    <row r="157" spans="1:12">
      <c r="A157" s="200">
        <v>2001</v>
      </c>
      <c r="B157" s="192">
        <f>DataUK1!CP160/DataUK1!CL160</f>
        <v>0.7768143036314793</v>
      </c>
      <c r="C157" s="192">
        <f>(DataUK1!CN160-DataUK1!CQ160)/DataUK1!CL160</f>
        <v>0.22318569636852081</v>
      </c>
      <c r="D157" s="234">
        <f>DataUK1!CP160/DataUK1!CM160</f>
        <v>0.68211824335155291</v>
      </c>
      <c r="E157" s="235">
        <f>DataUK1!CN160/DataUK1!CM160</f>
        <v>0.31788175664844714</v>
      </c>
      <c r="F157" s="236">
        <f>B157*TableUK9!$E157</f>
        <v>0.44849400662117306</v>
      </c>
      <c r="G157" s="2044">
        <f>C157*TableUK9!$E157</f>
        <v>0.12885633891769932</v>
      </c>
      <c r="H157" s="233"/>
      <c r="I157" s="154"/>
      <c r="K157" s="1244">
        <f t="shared" si="7"/>
        <v>0</v>
      </c>
      <c r="L157" s="1244">
        <f t="shared" si="6"/>
        <v>0</v>
      </c>
    </row>
    <row r="158" spans="1:12">
      <c r="A158" s="200">
        <v>2002</v>
      </c>
      <c r="B158" s="192">
        <f>DataUK1!CP161/DataUK1!CL161</f>
        <v>0.7619041728969429</v>
      </c>
      <c r="C158" s="192">
        <f>(DataUK1!CN161-DataUK1!CQ161)/DataUK1!CL161</f>
        <v>0.23809582710305716</v>
      </c>
      <c r="D158" s="234">
        <f>DataUK1!CP161/DataUK1!CM161</f>
        <v>0.67027363542162532</v>
      </c>
      <c r="E158" s="235">
        <f>DataUK1!CN161/DataUK1!CM161</f>
        <v>0.32972636457837479</v>
      </c>
      <c r="F158" s="236">
        <f>B158*TableUK9!$E158</f>
        <v>0.4344558433883432</v>
      </c>
      <c r="G158" s="2044">
        <f>C158*TableUK9!$E158</f>
        <v>0.13576789188329552</v>
      </c>
      <c r="H158" s="233"/>
      <c r="I158" s="154"/>
      <c r="K158" s="1244">
        <f t="shared" si="7"/>
        <v>0</v>
      </c>
      <c r="L158" s="1244">
        <f t="shared" si="6"/>
        <v>0</v>
      </c>
    </row>
    <row r="159" spans="1:12">
      <c r="A159" s="200">
        <v>2003</v>
      </c>
      <c r="B159" s="192">
        <f>DataUK1!CP162/DataUK1!CL162</f>
        <v>0.74937064238823969</v>
      </c>
      <c r="C159" s="192">
        <f>(DataUK1!CN162-DataUK1!CQ162)/DataUK1!CL162</f>
        <v>0.25062935761176031</v>
      </c>
      <c r="D159" s="234">
        <f>DataUK1!CP162/DataUK1!CM162</f>
        <v>0.66096716452557813</v>
      </c>
      <c r="E159" s="235">
        <f>DataUK1!CN162/DataUK1!CM162</f>
        <v>0.33903283547442176</v>
      </c>
      <c r="F159" s="236">
        <f>B159*TableUK9!$E159</f>
        <v>0.42387102664314968</v>
      </c>
      <c r="G159" s="2044">
        <f>C159*TableUK9!$E159</f>
        <v>0.14176499199280235</v>
      </c>
      <c r="H159" s="233"/>
      <c r="I159" s="154"/>
      <c r="K159" s="1244">
        <f t="shared" si="7"/>
        <v>0</v>
      </c>
      <c r="L159" s="1244">
        <f t="shared" si="6"/>
        <v>0</v>
      </c>
    </row>
    <row r="160" spans="1:12">
      <c r="A160" s="200">
        <v>2004</v>
      </c>
      <c r="B160" s="192">
        <f>DataUK1!CP163/DataUK1!CL163</f>
        <v>0.73725163536023508</v>
      </c>
      <c r="C160" s="192">
        <f>(DataUK1!CN163-DataUK1!CQ163)/DataUK1!CL163</f>
        <v>0.26274836463976481</v>
      </c>
      <c r="D160" s="234">
        <f>DataUK1!CP163/DataUK1!CM163</f>
        <v>0.65143182689515367</v>
      </c>
      <c r="E160" s="235">
        <f>DataUK1!CN163/DataUK1!CM163</f>
        <v>0.34856817310484628</v>
      </c>
      <c r="F160" s="236">
        <f>B160*TableUK9!$E160</f>
        <v>0.41916858270750862</v>
      </c>
      <c r="G160" s="2044">
        <f>C160*TableUK9!$E160</f>
        <v>0.14938706722698747</v>
      </c>
      <c r="H160" s="233"/>
      <c r="I160" s="154"/>
      <c r="K160" s="1244">
        <f t="shared" si="7"/>
        <v>0</v>
      </c>
      <c r="L160" s="1244">
        <f t="shared" si="6"/>
        <v>0</v>
      </c>
    </row>
    <row r="161" spans="1:12">
      <c r="A161" s="200">
        <v>2005</v>
      </c>
      <c r="B161" s="192">
        <f>DataUK1!CP164/DataUK1!CL164</f>
        <v>0.73891638583721908</v>
      </c>
      <c r="C161" s="192">
        <f>(DataUK1!CN164-DataUK1!CQ164)/DataUK1!CL164</f>
        <v>0.26108361416278097</v>
      </c>
      <c r="D161" s="234">
        <f>DataUK1!CP164/DataUK1!CM164</f>
        <v>0.65415514437631206</v>
      </c>
      <c r="E161" s="235">
        <f>DataUK1!CN164/DataUK1!CM164</f>
        <v>0.34584485562368805</v>
      </c>
      <c r="F161" s="236">
        <f>B161*TableUK9!$E161</f>
        <v>0.41669107061667682</v>
      </c>
      <c r="G161" s="2044">
        <f>C161*TableUK9!$E161</f>
        <v>0.14723074598311442</v>
      </c>
      <c r="H161" s="233"/>
      <c r="I161" s="154"/>
      <c r="K161" s="1244">
        <f t="shared" si="7"/>
        <v>0</v>
      </c>
      <c r="L161" s="1244">
        <f t="shared" si="6"/>
        <v>0</v>
      </c>
    </row>
    <row r="162" spans="1:12">
      <c r="A162" s="200">
        <v>2006</v>
      </c>
      <c r="B162" s="192">
        <f>DataUK1!CP165/DataUK1!CL165</f>
        <v>0.72592152089248818</v>
      </c>
      <c r="C162" s="192">
        <f>(DataUK1!CN165-DataUK1!CQ165)/DataUK1!CL165</f>
        <v>0.27407847910751176</v>
      </c>
      <c r="D162" s="234">
        <f>DataUK1!CP165/DataUK1!CM165</f>
        <v>0.64512802809453551</v>
      </c>
      <c r="E162" s="235">
        <f>DataUK1!CN165/DataUK1!CM165</f>
        <v>0.35487197190546449</v>
      </c>
      <c r="F162" s="236">
        <f>B162*TableUK9!$E162</f>
        <v>0.419581007465196</v>
      </c>
      <c r="G162" s="2044">
        <f>C162*TableUK9!$E162</f>
        <v>0.15841674489423235</v>
      </c>
      <c r="H162" s="233"/>
      <c r="I162" s="154"/>
      <c r="K162" s="1244">
        <f t="shared" si="7"/>
        <v>0</v>
      </c>
      <c r="L162" s="1244">
        <f t="shared" si="6"/>
        <v>0</v>
      </c>
    </row>
    <row r="163" spans="1:12">
      <c r="A163" s="200">
        <v>2007</v>
      </c>
      <c r="B163" s="192">
        <f>DataUK1!CP166/DataUK1!CL166</f>
        <v>0.71852700381513157</v>
      </c>
      <c r="C163" s="192">
        <f>(DataUK1!CN166-DataUK1!CQ166)/DataUK1!CL166</f>
        <v>0.28147299618486843</v>
      </c>
      <c r="D163" s="234">
        <f>DataUK1!CP166/DataUK1!CM166</f>
        <v>0.64096492600051425</v>
      </c>
      <c r="E163" s="235">
        <f>DataUK1!CN166/DataUK1!CM166</f>
        <v>0.3590350739994857</v>
      </c>
      <c r="F163" s="236">
        <f>B163*TableUK9!$E163</f>
        <v>0.41650362237604899</v>
      </c>
      <c r="G163" s="2044">
        <f>C163*TableUK9!$E163</f>
        <v>0.1631595220354454</v>
      </c>
      <c r="H163" s="233"/>
      <c r="I163" s="154"/>
      <c r="K163" s="1244">
        <f t="shared" si="7"/>
        <v>0</v>
      </c>
      <c r="L163" s="1244">
        <f t="shared" si="6"/>
        <v>0</v>
      </c>
    </row>
    <row r="164" spans="1:12">
      <c r="A164" s="200">
        <v>2008</v>
      </c>
      <c r="B164" s="192">
        <f>DataUK1!CP167/DataUK1!CL167</f>
        <v>0.72583879684434993</v>
      </c>
      <c r="C164" s="192">
        <f>(DataUK1!CN167-DataUK1!CQ167)/DataUK1!CL167</f>
        <v>0.27416120315565007</v>
      </c>
      <c r="D164" s="234">
        <f>DataUK1!CP167/DataUK1!CM167</f>
        <v>0.64586861148455099</v>
      </c>
      <c r="E164" s="235">
        <f>DataUK1!CN167/DataUK1!CM167</f>
        <v>0.35413138851544901</v>
      </c>
      <c r="F164" s="236">
        <f>B164*TableUK9!$E164</f>
        <v>0.41270383744154326</v>
      </c>
      <c r="G164" s="2044">
        <f>C164*TableUK9!$E164</f>
        <v>0.1558849996884237</v>
      </c>
      <c r="H164" s="233"/>
      <c r="I164" s="154"/>
      <c r="K164" s="1244">
        <f t="shared" si="7"/>
        <v>0</v>
      </c>
      <c r="L164" s="1244">
        <f t="shared" si="6"/>
        <v>0</v>
      </c>
    </row>
    <row r="165" spans="1:12">
      <c r="A165" s="380">
        <v>2009</v>
      </c>
      <c r="B165" s="195">
        <f>DataUK1!CP168/DataUK1!CL168</f>
        <v>0.77016046472917621</v>
      </c>
      <c r="C165" s="195">
        <f>(DataUK1!CN168-DataUK1!CQ168)/DataUK1!CL168</f>
        <v>0.22983953527082374</v>
      </c>
      <c r="D165" s="242">
        <f>DataUK1!CP168/DataUK1!CM168</f>
        <v>0.67609032138389258</v>
      </c>
      <c r="E165" s="243">
        <f>DataUK1!CN168/DataUK1!CM168</f>
        <v>0.32390967861610748</v>
      </c>
      <c r="F165" s="244">
        <f>B165*TableUK9!$E165</f>
        <v>0.43172816459910385</v>
      </c>
      <c r="G165" s="2045">
        <f>C165*TableUK9!$E165</f>
        <v>0.128840943230807</v>
      </c>
      <c r="H165" s="233"/>
      <c r="I165" s="154"/>
      <c r="K165" s="1244">
        <f t="shared" si="7"/>
        <v>0</v>
      </c>
      <c r="L165" s="1244">
        <f t="shared" si="6"/>
        <v>0</v>
      </c>
    </row>
    <row r="166" spans="1:12" ht="13" thickBot="1">
      <c r="A166" s="221">
        <v>2010</v>
      </c>
      <c r="B166" s="196">
        <f>DataUK1!CP169/DataUK1!CL169</f>
        <v>0.77720766309719902</v>
      </c>
      <c r="C166" s="196">
        <f>(DataUK1!CN169-DataUK1!CQ169)/DataUK1!CL169</f>
        <v>0.22279233690280098</v>
      </c>
      <c r="D166" s="246">
        <f>DataUK1!CP169/DataUK1!CM169</f>
        <v>0.68068386609745712</v>
      </c>
      <c r="E166" s="247">
        <f>DataUK1!CN169/DataUK1!CM169</f>
        <v>0.31931613390254288</v>
      </c>
      <c r="F166" s="248">
        <f>B166*TableUK9!$E166</f>
        <v>0.42512840051817419</v>
      </c>
      <c r="G166" s="2046">
        <f>C166*TableUK9!$E166</f>
        <v>0.12186620684843749</v>
      </c>
      <c r="H166" s="233"/>
      <c r="I166" s="154"/>
      <c r="K166" s="1244">
        <f t="shared" si="7"/>
        <v>0</v>
      </c>
      <c r="L166" s="1244">
        <f t="shared" si="6"/>
        <v>0</v>
      </c>
    </row>
    <row r="167" spans="1:12" ht="13" thickTop="1">
      <c r="B167" s="154"/>
      <c r="C167" s="154"/>
      <c r="D167" s="154"/>
      <c r="E167" s="249"/>
      <c r="F167" s="154"/>
      <c r="G167" s="154"/>
      <c r="H167" s="154"/>
      <c r="I167" s="154"/>
    </row>
    <row r="168" spans="1:12">
      <c r="B168" s="118"/>
      <c r="C168" s="118"/>
      <c r="D168" s="118"/>
      <c r="E168" s="250"/>
      <c r="F168" s="118"/>
      <c r="G168" s="118"/>
      <c r="H168" s="154"/>
      <c r="I168" s="154"/>
    </row>
    <row r="169" spans="1:12">
      <c r="B169" s="118"/>
      <c r="C169" s="118"/>
      <c r="D169" s="118"/>
      <c r="E169" s="250"/>
      <c r="F169" s="118"/>
      <c r="G169" s="118"/>
      <c r="H169" s="154"/>
      <c r="I169" s="154"/>
    </row>
    <row r="170" spans="1:12">
      <c r="B170" s="118"/>
      <c r="C170" s="118"/>
      <c r="D170" s="118"/>
      <c r="E170" s="250"/>
      <c r="F170" s="118"/>
      <c r="G170" s="118"/>
      <c r="H170" s="154"/>
      <c r="I170" s="154"/>
    </row>
    <row r="171" spans="1:12">
      <c r="B171" s="118"/>
      <c r="C171" s="118"/>
      <c r="D171" s="118"/>
      <c r="E171" s="250"/>
      <c r="F171" s="118"/>
      <c r="G171" s="118"/>
      <c r="H171" s="154"/>
      <c r="I171" s="154"/>
    </row>
    <row r="172" spans="1:12">
      <c r="B172" s="118"/>
      <c r="C172" s="118"/>
      <c r="D172" s="118"/>
      <c r="E172" s="250"/>
      <c r="F172" s="118"/>
      <c r="G172" s="118"/>
      <c r="H172" s="154"/>
      <c r="I172" s="154"/>
    </row>
    <row r="173" spans="1:12">
      <c r="B173" s="118"/>
      <c r="C173" s="118"/>
      <c r="D173" s="118"/>
      <c r="E173" s="250"/>
      <c r="F173" s="118"/>
      <c r="G173" s="118"/>
      <c r="H173" s="154"/>
      <c r="I173" s="154"/>
    </row>
    <row r="174" spans="1:12">
      <c r="B174" s="118"/>
      <c r="C174" s="118"/>
      <c r="D174" s="118"/>
      <c r="E174" s="250"/>
      <c r="F174" s="118"/>
      <c r="G174" s="118"/>
      <c r="H174" s="154"/>
      <c r="I174" s="154"/>
    </row>
    <row r="175" spans="1:12">
      <c r="B175" s="118"/>
      <c r="C175" s="118"/>
      <c r="D175" s="118"/>
      <c r="E175" s="250"/>
      <c r="F175" s="118"/>
      <c r="G175" s="118"/>
      <c r="H175" s="154"/>
      <c r="I175" s="154"/>
    </row>
    <row r="176" spans="1:12">
      <c r="B176" s="118"/>
      <c r="C176" s="118"/>
      <c r="D176" s="118"/>
      <c r="E176" s="250"/>
      <c r="F176" s="118"/>
      <c r="G176" s="118"/>
      <c r="H176" s="154"/>
      <c r="I176" s="154"/>
    </row>
    <row r="177" spans="2:9">
      <c r="B177" s="118"/>
      <c r="C177" s="118"/>
      <c r="D177" s="118"/>
      <c r="E177" s="250"/>
      <c r="F177" s="118"/>
      <c r="G177" s="118"/>
      <c r="H177" s="154"/>
      <c r="I177" s="154"/>
    </row>
    <row r="178" spans="2:9">
      <c r="B178" s="118"/>
      <c r="C178" s="118"/>
      <c r="D178" s="118"/>
      <c r="E178" s="250"/>
      <c r="F178" s="118"/>
      <c r="G178" s="118"/>
      <c r="H178" s="154"/>
      <c r="I178" s="154"/>
    </row>
    <row r="179" spans="2:9">
      <c r="B179" s="118"/>
      <c r="C179" s="118"/>
      <c r="D179" s="118"/>
      <c r="E179" s="250"/>
      <c r="F179" s="118"/>
      <c r="G179" s="118"/>
      <c r="H179" s="154"/>
      <c r="I179" s="154"/>
    </row>
    <row r="180" spans="2:9">
      <c r="B180" s="118"/>
      <c r="C180" s="118"/>
      <c r="D180" s="118"/>
      <c r="E180" s="250"/>
      <c r="F180" s="118"/>
      <c r="G180" s="118"/>
      <c r="H180" s="118"/>
      <c r="I180" s="118"/>
    </row>
    <row r="181" spans="2:9">
      <c r="B181" s="118"/>
      <c r="C181" s="118"/>
      <c r="D181" s="118"/>
      <c r="E181" s="250"/>
      <c r="F181" s="118"/>
      <c r="G181" s="118"/>
      <c r="H181" s="118"/>
      <c r="I181" s="118"/>
    </row>
    <row r="182" spans="2:9">
      <c r="B182" s="118"/>
      <c r="C182" s="118"/>
      <c r="D182" s="118"/>
      <c r="E182" s="250"/>
      <c r="F182" s="118"/>
      <c r="G182" s="118"/>
      <c r="H182" s="118"/>
      <c r="I182" s="118"/>
    </row>
    <row r="183" spans="2:9">
      <c r="B183" s="118"/>
      <c r="C183" s="118"/>
      <c r="D183" s="118"/>
      <c r="E183" s="250"/>
      <c r="F183" s="118"/>
      <c r="G183" s="118"/>
      <c r="H183" s="118"/>
      <c r="I183" s="118"/>
    </row>
    <row r="184" spans="2:9">
      <c r="B184" s="118"/>
      <c r="C184" s="118"/>
      <c r="D184" s="118"/>
      <c r="E184" s="250"/>
      <c r="F184" s="118"/>
      <c r="G184" s="118"/>
      <c r="H184" s="118"/>
      <c r="I184" s="118"/>
    </row>
    <row r="185" spans="2:9">
      <c r="B185" s="118"/>
      <c r="C185" s="118"/>
      <c r="D185" s="118"/>
      <c r="E185" s="250"/>
      <c r="F185" s="118"/>
      <c r="G185" s="118"/>
      <c r="H185" s="118"/>
      <c r="I185" s="118"/>
    </row>
    <row r="186" spans="2:9">
      <c r="B186" s="118"/>
      <c r="C186" s="118"/>
      <c r="D186" s="118"/>
      <c r="E186" s="250"/>
      <c r="F186" s="118"/>
      <c r="G186" s="118"/>
      <c r="H186" s="118"/>
      <c r="I186" s="118"/>
    </row>
    <row r="187" spans="2:9">
      <c r="B187" s="118"/>
      <c r="C187" s="118"/>
      <c r="D187" s="118"/>
      <c r="E187" s="250"/>
      <c r="F187" s="118"/>
      <c r="G187" s="118"/>
      <c r="H187" s="118"/>
      <c r="I187" s="118"/>
    </row>
    <row r="188" spans="2:9">
      <c r="B188" s="118"/>
      <c r="C188" s="118"/>
      <c r="D188" s="118"/>
      <c r="E188" s="250"/>
      <c r="F188" s="118"/>
      <c r="G188" s="118"/>
      <c r="H188" s="118"/>
      <c r="I188" s="118"/>
    </row>
    <row r="189" spans="2:9">
      <c r="B189" s="118"/>
      <c r="C189" s="118"/>
      <c r="D189" s="118"/>
      <c r="E189" s="250"/>
      <c r="F189" s="118"/>
      <c r="G189" s="118"/>
      <c r="H189" s="118"/>
      <c r="I189" s="118"/>
    </row>
    <row r="190" spans="2:9">
      <c r="B190" s="118"/>
      <c r="C190" s="118"/>
      <c r="D190" s="118"/>
      <c r="E190" s="250"/>
      <c r="F190" s="118"/>
      <c r="G190" s="118"/>
      <c r="H190" s="118"/>
      <c r="I190" s="118"/>
    </row>
    <row r="191" spans="2:9">
      <c r="B191" s="118"/>
      <c r="C191" s="118"/>
      <c r="D191" s="118"/>
      <c r="E191" s="250"/>
      <c r="F191" s="118"/>
      <c r="G191" s="118"/>
      <c r="H191" s="118"/>
      <c r="I191" s="118"/>
    </row>
    <row r="192" spans="2:9">
      <c r="B192" s="118"/>
      <c r="C192" s="118"/>
      <c r="D192" s="118"/>
      <c r="E192" s="250"/>
      <c r="F192" s="118"/>
      <c r="G192" s="118"/>
      <c r="H192" s="118"/>
      <c r="I192" s="118"/>
    </row>
    <row r="193" spans="2:9">
      <c r="B193" s="118"/>
      <c r="C193" s="118"/>
      <c r="D193" s="118"/>
      <c r="E193" s="250"/>
      <c r="F193" s="118"/>
      <c r="G193" s="118"/>
      <c r="H193" s="118"/>
      <c r="I193" s="118"/>
    </row>
    <row r="194" spans="2:9">
      <c r="B194" s="118"/>
      <c r="C194" s="118"/>
      <c r="D194" s="118"/>
      <c r="E194" s="250"/>
      <c r="F194" s="118"/>
      <c r="G194" s="118"/>
      <c r="H194" s="118"/>
      <c r="I194" s="118"/>
    </row>
    <row r="195" spans="2:9">
      <c r="B195" s="118"/>
      <c r="C195" s="118"/>
      <c r="D195" s="118"/>
      <c r="E195" s="250"/>
      <c r="F195" s="118"/>
      <c r="G195" s="118"/>
      <c r="H195" s="118"/>
      <c r="I195" s="118"/>
    </row>
    <row r="196" spans="2:9">
      <c r="B196" s="118"/>
      <c r="C196" s="118"/>
      <c r="D196" s="118"/>
      <c r="E196" s="250"/>
      <c r="F196" s="118"/>
      <c r="G196" s="118"/>
      <c r="H196" s="118"/>
      <c r="I196" s="118"/>
    </row>
    <row r="197" spans="2:9">
      <c r="B197" s="118"/>
      <c r="C197" s="118"/>
      <c r="D197" s="118"/>
      <c r="E197" s="250"/>
      <c r="F197" s="118"/>
      <c r="G197" s="118"/>
      <c r="H197" s="118"/>
      <c r="I197" s="118"/>
    </row>
    <row r="198" spans="2:9">
      <c r="B198" s="118"/>
      <c r="C198" s="118"/>
      <c r="D198" s="118"/>
      <c r="E198" s="250"/>
      <c r="F198" s="118"/>
      <c r="G198" s="118"/>
      <c r="H198" s="118"/>
      <c r="I198" s="118"/>
    </row>
    <row r="199" spans="2:9">
      <c r="B199" s="118"/>
      <c r="C199" s="118"/>
      <c r="D199" s="118"/>
      <c r="E199" s="250"/>
      <c r="F199" s="118"/>
      <c r="G199" s="118"/>
      <c r="H199" s="118"/>
      <c r="I199" s="118"/>
    </row>
    <row r="200" spans="2:9">
      <c r="B200" s="118"/>
      <c r="C200" s="118"/>
      <c r="D200" s="118"/>
      <c r="E200" s="250"/>
      <c r="F200" s="118"/>
      <c r="G200" s="118"/>
      <c r="H200" s="118"/>
      <c r="I200" s="118"/>
    </row>
    <row r="201" spans="2:9">
      <c r="B201" s="118"/>
      <c r="C201" s="118"/>
      <c r="D201" s="118"/>
      <c r="E201" s="250"/>
      <c r="F201" s="118"/>
      <c r="G201" s="118"/>
      <c r="H201" s="118"/>
      <c r="I201" s="118"/>
    </row>
    <row r="202" spans="2:9">
      <c r="B202" s="118"/>
      <c r="C202" s="118"/>
      <c r="D202" s="118"/>
      <c r="E202" s="250"/>
      <c r="F202" s="118"/>
      <c r="G202" s="118"/>
      <c r="H202" s="118"/>
      <c r="I202" s="118"/>
    </row>
    <row r="203" spans="2:9">
      <c r="B203" s="118"/>
      <c r="C203" s="118"/>
      <c r="D203" s="118"/>
      <c r="E203" s="250"/>
      <c r="F203" s="118"/>
      <c r="G203" s="118"/>
      <c r="H203" s="118"/>
      <c r="I203" s="118"/>
    </row>
    <row r="204" spans="2:9">
      <c r="B204" s="118"/>
      <c r="C204" s="118"/>
      <c r="D204" s="118"/>
      <c r="E204" s="250"/>
      <c r="F204" s="118"/>
      <c r="G204" s="118"/>
      <c r="H204" s="118"/>
      <c r="I204" s="118"/>
    </row>
    <row r="205" spans="2:9">
      <c r="B205" s="118"/>
      <c r="C205" s="118"/>
      <c r="D205" s="118"/>
      <c r="E205" s="118"/>
      <c r="F205" s="118"/>
      <c r="G205" s="118"/>
      <c r="H205" s="118"/>
      <c r="I205" s="118"/>
    </row>
    <row r="206" spans="2:9">
      <c r="B206" s="118"/>
      <c r="C206" s="118"/>
      <c r="D206" s="118"/>
      <c r="E206" s="118"/>
      <c r="F206" s="118"/>
      <c r="G206" s="118"/>
      <c r="H206" s="118"/>
      <c r="I206" s="118"/>
    </row>
    <row r="207" spans="2:9">
      <c r="B207" s="118"/>
      <c r="C207" s="118"/>
      <c r="D207" s="118"/>
      <c r="E207" s="118"/>
      <c r="F207" s="118"/>
      <c r="G207" s="118"/>
      <c r="H207" s="118"/>
      <c r="I207" s="118"/>
    </row>
    <row r="208" spans="2:9">
      <c r="B208" s="118"/>
      <c r="C208" s="118"/>
      <c r="D208" s="118"/>
      <c r="E208" s="118"/>
      <c r="F208" s="118"/>
      <c r="G208" s="118"/>
      <c r="H208" s="118"/>
      <c r="I208" s="118"/>
    </row>
    <row r="209" spans="2:9">
      <c r="B209" s="118"/>
      <c r="C209" s="118"/>
      <c r="D209" s="118"/>
      <c r="E209" s="118"/>
      <c r="F209" s="118"/>
      <c r="G209" s="118"/>
      <c r="H209" s="118"/>
      <c r="I209" s="118"/>
    </row>
    <row r="210" spans="2:9">
      <c r="B210" s="118"/>
      <c r="C210" s="118"/>
      <c r="D210" s="118"/>
      <c r="E210" s="118"/>
      <c r="F210" s="118"/>
      <c r="G210" s="118"/>
      <c r="H210" s="118"/>
      <c r="I210" s="118"/>
    </row>
    <row r="211" spans="2:9">
      <c r="B211" s="118"/>
      <c r="C211" s="118"/>
      <c r="D211" s="118"/>
      <c r="E211" s="118"/>
      <c r="F211" s="118"/>
      <c r="G211" s="118"/>
      <c r="H211" s="118"/>
      <c r="I211" s="118"/>
    </row>
    <row r="212" spans="2:9">
      <c r="B212" s="118"/>
      <c r="C212" s="118"/>
      <c r="D212" s="118"/>
      <c r="E212" s="118"/>
      <c r="F212" s="118"/>
      <c r="G212" s="118"/>
      <c r="H212" s="118"/>
      <c r="I212" s="118"/>
    </row>
    <row r="213" spans="2:9">
      <c r="B213" s="118"/>
      <c r="C213" s="118"/>
      <c r="D213" s="118"/>
      <c r="E213" s="118"/>
      <c r="F213" s="118"/>
      <c r="G213" s="118"/>
      <c r="H213" s="118"/>
      <c r="I213" s="118"/>
    </row>
    <row r="214" spans="2:9">
      <c r="B214" s="118"/>
      <c r="C214" s="118"/>
      <c r="D214" s="118"/>
      <c r="E214" s="118"/>
      <c r="F214" s="118"/>
      <c r="G214" s="118"/>
      <c r="H214" s="118"/>
      <c r="I214" s="118"/>
    </row>
    <row r="215" spans="2:9">
      <c r="B215" s="118"/>
      <c r="C215" s="118"/>
      <c r="D215" s="118"/>
      <c r="E215" s="118"/>
      <c r="F215" s="118"/>
      <c r="G215" s="118"/>
      <c r="H215" s="118"/>
      <c r="I215" s="118"/>
    </row>
    <row r="216" spans="2:9">
      <c r="B216" s="118"/>
      <c r="C216" s="118"/>
      <c r="D216" s="118"/>
      <c r="E216" s="118"/>
      <c r="F216" s="118"/>
      <c r="G216" s="118"/>
      <c r="H216" s="118"/>
      <c r="I216" s="118"/>
    </row>
    <row r="217" spans="2:9">
      <c r="B217" s="118"/>
      <c r="C217" s="118"/>
      <c r="D217" s="118"/>
      <c r="E217" s="118"/>
      <c r="F217" s="118"/>
      <c r="G217" s="118"/>
      <c r="H217" s="118"/>
      <c r="I217" s="118"/>
    </row>
    <row r="218" spans="2:9">
      <c r="B218" s="118"/>
      <c r="C218" s="118"/>
      <c r="D218" s="118"/>
      <c r="E218" s="118"/>
      <c r="F218" s="118"/>
      <c r="G218" s="118"/>
      <c r="H218" s="118"/>
      <c r="I218" s="118"/>
    </row>
    <row r="219" spans="2:9">
      <c r="B219" s="118"/>
      <c r="C219" s="118"/>
      <c r="D219" s="118"/>
      <c r="E219" s="118"/>
      <c r="F219" s="118"/>
      <c r="G219" s="118"/>
      <c r="H219" s="118"/>
      <c r="I219" s="118"/>
    </row>
    <row r="220" spans="2:9">
      <c r="B220" s="118"/>
      <c r="C220" s="118"/>
      <c r="D220" s="118"/>
      <c r="E220" s="118"/>
      <c r="F220" s="118"/>
      <c r="G220" s="118"/>
      <c r="H220" s="118"/>
      <c r="I220" s="118"/>
    </row>
    <row r="221" spans="2:9">
      <c r="B221" s="118"/>
      <c r="C221" s="118"/>
      <c r="D221" s="118"/>
      <c r="E221" s="118"/>
      <c r="F221" s="118"/>
      <c r="G221" s="118"/>
      <c r="H221" s="118"/>
      <c r="I221" s="118"/>
    </row>
    <row r="222" spans="2:9">
      <c r="B222" s="118"/>
      <c r="C222" s="118"/>
      <c r="D222" s="118"/>
      <c r="E222" s="118"/>
      <c r="F222" s="118"/>
      <c r="G222" s="118"/>
      <c r="H222" s="118"/>
      <c r="I222" s="118"/>
    </row>
    <row r="223" spans="2:9">
      <c r="B223" s="118"/>
      <c r="C223" s="118"/>
      <c r="D223" s="118"/>
      <c r="E223" s="118"/>
      <c r="F223" s="118"/>
      <c r="G223" s="118"/>
      <c r="H223" s="118"/>
      <c r="I223" s="118"/>
    </row>
    <row r="224" spans="2:9">
      <c r="B224" s="118"/>
      <c r="C224" s="118"/>
      <c r="D224" s="118"/>
      <c r="E224" s="118"/>
      <c r="F224" s="118"/>
      <c r="G224" s="118"/>
      <c r="H224" s="118"/>
      <c r="I224" s="118"/>
    </row>
    <row r="225" spans="2:9">
      <c r="B225" s="118"/>
      <c r="C225" s="118"/>
      <c r="D225" s="118"/>
      <c r="E225" s="118"/>
      <c r="F225" s="118"/>
      <c r="G225" s="118"/>
      <c r="H225" s="118"/>
      <c r="I225" s="118"/>
    </row>
    <row r="226" spans="2:9">
      <c r="B226" s="118"/>
      <c r="C226" s="118"/>
      <c r="D226" s="118"/>
      <c r="E226" s="118"/>
      <c r="F226" s="118"/>
      <c r="G226" s="118"/>
      <c r="H226" s="118"/>
      <c r="I226" s="118"/>
    </row>
    <row r="227" spans="2:9">
      <c r="B227" s="118"/>
      <c r="C227" s="118"/>
      <c r="D227" s="118"/>
      <c r="E227" s="118"/>
      <c r="F227" s="118"/>
      <c r="G227" s="118"/>
      <c r="H227" s="118"/>
      <c r="I227" s="118"/>
    </row>
    <row r="228" spans="2:9">
      <c r="B228" s="118"/>
      <c r="C228" s="118"/>
      <c r="D228" s="118"/>
      <c r="E228" s="118"/>
      <c r="F228" s="118"/>
      <c r="G228" s="118"/>
      <c r="H228" s="118"/>
      <c r="I228" s="118"/>
    </row>
    <row r="229" spans="2:9">
      <c r="B229" s="118"/>
      <c r="C229" s="118"/>
      <c r="D229" s="118"/>
      <c r="E229" s="118"/>
      <c r="F229" s="118"/>
      <c r="G229" s="118"/>
      <c r="H229" s="118"/>
      <c r="I229" s="118"/>
    </row>
    <row r="230" spans="2:9">
      <c r="B230" s="118"/>
      <c r="C230" s="118"/>
      <c r="D230" s="118"/>
      <c r="E230" s="118"/>
      <c r="F230" s="118"/>
      <c r="G230" s="118"/>
      <c r="H230" s="118"/>
      <c r="I230" s="118"/>
    </row>
    <row r="231" spans="2:9">
      <c r="B231" s="118"/>
      <c r="C231" s="118"/>
      <c r="D231" s="118"/>
      <c r="E231" s="118"/>
      <c r="F231" s="118"/>
      <c r="G231" s="118"/>
      <c r="H231" s="118"/>
      <c r="I231" s="118"/>
    </row>
    <row r="232" spans="2:9">
      <c r="B232" s="118"/>
      <c r="C232" s="118"/>
      <c r="D232" s="118"/>
      <c r="E232" s="118"/>
      <c r="F232" s="118"/>
      <c r="G232" s="118"/>
      <c r="H232" s="118"/>
      <c r="I232" s="118"/>
    </row>
    <row r="233" spans="2:9">
      <c r="B233" s="118"/>
      <c r="C233" s="118"/>
      <c r="D233" s="118"/>
      <c r="E233" s="118"/>
      <c r="F233" s="118"/>
      <c r="G233" s="118"/>
      <c r="H233" s="118"/>
      <c r="I233" s="118"/>
    </row>
    <row r="234" spans="2:9">
      <c r="B234" s="118"/>
      <c r="C234" s="118"/>
      <c r="D234" s="118"/>
      <c r="E234" s="118"/>
      <c r="F234" s="118"/>
      <c r="G234" s="118"/>
      <c r="H234" s="118"/>
      <c r="I234" s="118"/>
    </row>
    <row r="235" spans="2:9">
      <c r="B235" s="118"/>
      <c r="C235" s="118"/>
      <c r="D235" s="118"/>
      <c r="E235" s="118"/>
      <c r="F235" s="118"/>
      <c r="G235" s="118"/>
      <c r="H235" s="118"/>
      <c r="I235" s="118"/>
    </row>
    <row r="236" spans="2:9">
      <c r="B236" s="118"/>
      <c r="C236" s="118"/>
      <c r="D236" s="118"/>
      <c r="E236" s="118"/>
      <c r="F236" s="118"/>
      <c r="G236" s="118"/>
      <c r="H236" s="118"/>
      <c r="I236" s="118"/>
    </row>
    <row r="237" spans="2:9">
      <c r="B237" s="118"/>
      <c r="C237" s="118"/>
      <c r="D237" s="118"/>
      <c r="E237" s="118"/>
      <c r="F237" s="118"/>
      <c r="G237" s="118"/>
      <c r="H237" s="118"/>
      <c r="I237" s="118"/>
    </row>
    <row r="238" spans="2:9">
      <c r="B238" s="118"/>
      <c r="C238" s="118"/>
      <c r="D238" s="118"/>
      <c r="E238" s="118"/>
      <c r="F238" s="118"/>
      <c r="G238" s="118"/>
      <c r="H238" s="118"/>
      <c r="I238" s="118"/>
    </row>
    <row r="239" spans="2:9">
      <c r="B239" s="118"/>
      <c r="C239" s="118"/>
      <c r="D239" s="118"/>
      <c r="E239" s="118"/>
      <c r="F239" s="118"/>
      <c r="G239" s="118"/>
      <c r="H239" s="118"/>
      <c r="I239" s="118"/>
    </row>
    <row r="240" spans="2:9">
      <c r="B240" s="118"/>
      <c r="C240" s="118"/>
      <c r="D240" s="118"/>
      <c r="E240" s="118"/>
      <c r="F240" s="118"/>
      <c r="G240" s="118"/>
      <c r="H240" s="118"/>
      <c r="I240" s="118"/>
    </row>
    <row r="241" spans="2:9">
      <c r="B241" s="118"/>
      <c r="C241" s="118"/>
      <c r="D241" s="118"/>
      <c r="E241" s="118"/>
      <c r="F241" s="118"/>
      <c r="G241" s="118"/>
      <c r="H241" s="118"/>
      <c r="I241" s="118"/>
    </row>
    <row r="242" spans="2:9">
      <c r="B242" s="118"/>
      <c r="C242" s="118"/>
      <c r="D242" s="118"/>
      <c r="E242" s="118"/>
      <c r="F242" s="118"/>
      <c r="G242" s="118"/>
      <c r="H242" s="118"/>
      <c r="I242" s="118"/>
    </row>
    <row r="243" spans="2:9">
      <c r="B243" s="118"/>
      <c r="C243" s="118"/>
      <c r="D243" s="118"/>
      <c r="E243" s="118"/>
      <c r="F243" s="118"/>
      <c r="G243" s="118"/>
      <c r="H243" s="118"/>
      <c r="I243" s="118"/>
    </row>
    <row r="244" spans="2:9">
      <c r="B244" s="118"/>
      <c r="C244" s="118"/>
      <c r="D244" s="118"/>
      <c r="E244" s="118"/>
      <c r="F244" s="118"/>
      <c r="G244" s="118"/>
      <c r="H244" s="118"/>
      <c r="I244" s="118"/>
    </row>
    <row r="245" spans="2:9">
      <c r="B245" s="118"/>
      <c r="C245" s="118"/>
      <c r="D245" s="118"/>
      <c r="E245" s="118"/>
      <c r="F245" s="118"/>
      <c r="G245" s="118"/>
      <c r="H245" s="118"/>
      <c r="I245" s="118"/>
    </row>
    <row r="246" spans="2:9">
      <c r="B246" s="118"/>
      <c r="C246" s="118"/>
      <c r="D246" s="118"/>
      <c r="E246" s="118"/>
      <c r="F246" s="118"/>
      <c r="G246" s="118"/>
      <c r="H246" s="118"/>
      <c r="I246" s="118"/>
    </row>
    <row r="247" spans="2:9">
      <c r="B247" s="118"/>
      <c r="C247" s="118"/>
      <c r="D247" s="118"/>
      <c r="E247" s="118"/>
      <c r="F247" s="118"/>
      <c r="G247" s="118"/>
      <c r="H247" s="118"/>
      <c r="I247" s="118"/>
    </row>
    <row r="248" spans="2:9">
      <c r="B248" s="118"/>
      <c r="C248" s="118"/>
      <c r="D248" s="118"/>
      <c r="E248" s="118"/>
      <c r="F248" s="118"/>
      <c r="G248" s="118"/>
      <c r="H248" s="118"/>
      <c r="I248" s="118"/>
    </row>
    <row r="249" spans="2:9">
      <c r="B249" s="118"/>
      <c r="C249" s="118"/>
      <c r="D249" s="118"/>
      <c r="E249" s="118"/>
      <c r="F249" s="118"/>
      <c r="G249" s="118"/>
      <c r="H249" s="118"/>
      <c r="I249" s="118"/>
    </row>
    <row r="250" spans="2:9">
      <c r="B250" s="118"/>
      <c r="C250" s="118"/>
      <c r="D250" s="118"/>
      <c r="E250" s="118"/>
      <c r="F250" s="118"/>
      <c r="G250" s="118"/>
      <c r="H250" s="118"/>
      <c r="I250" s="118"/>
    </row>
    <row r="251" spans="2:9">
      <c r="B251" s="118"/>
      <c r="C251" s="118"/>
      <c r="D251" s="118"/>
      <c r="E251" s="118"/>
      <c r="F251" s="118"/>
      <c r="G251" s="118"/>
      <c r="H251" s="118"/>
      <c r="I251" s="118"/>
    </row>
    <row r="252" spans="2:9">
      <c r="B252" s="118"/>
      <c r="C252" s="118"/>
      <c r="D252" s="118"/>
      <c r="E252" s="118"/>
      <c r="F252" s="118"/>
      <c r="G252" s="118"/>
      <c r="H252" s="118"/>
      <c r="I252" s="118"/>
    </row>
    <row r="253" spans="2:9">
      <c r="B253" s="118"/>
      <c r="C253" s="118"/>
      <c r="D253" s="118"/>
      <c r="E253" s="118"/>
      <c r="F253" s="118"/>
      <c r="G253" s="118"/>
      <c r="H253" s="118"/>
      <c r="I253" s="118"/>
    </row>
    <row r="254" spans="2:9">
      <c r="B254" s="118"/>
      <c r="C254" s="118"/>
      <c r="D254" s="118"/>
      <c r="E254" s="118"/>
      <c r="F254" s="118"/>
      <c r="G254" s="118"/>
      <c r="H254" s="118"/>
      <c r="I254" s="118"/>
    </row>
    <row r="255" spans="2:9">
      <c r="B255" s="118"/>
      <c r="C255" s="118"/>
      <c r="D255" s="118"/>
      <c r="E255" s="118"/>
      <c r="F255" s="118"/>
      <c r="G255" s="118"/>
      <c r="H255" s="118"/>
      <c r="I255" s="118"/>
    </row>
    <row r="256" spans="2:9">
      <c r="B256" s="118"/>
      <c r="C256" s="118"/>
      <c r="D256" s="118"/>
      <c r="E256" s="118"/>
      <c r="F256" s="118"/>
      <c r="G256" s="118"/>
      <c r="H256" s="118"/>
      <c r="I256" s="118"/>
    </row>
    <row r="257" spans="2:9">
      <c r="B257" s="118"/>
      <c r="C257" s="118"/>
      <c r="D257" s="118"/>
      <c r="E257" s="118"/>
      <c r="F257" s="118"/>
      <c r="G257" s="118"/>
      <c r="H257" s="118"/>
      <c r="I257" s="118"/>
    </row>
    <row r="258" spans="2:9">
      <c r="B258" s="118"/>
      <c r="C258" s="118"/>
      <c r="D258" s="118"/>
      <c r="E258" s="118"/>
      <c r="F258" s="118"/>
      <c r="G258" s="118"/>
      <c r="H258" s="118"/>
      <c r="I258" s="118"/>
    </row>
    <row r="259" spans="2:9">
      <c r="B259" s="118"/>
      <c r="C259" s="118"/>
      <c r="D259" s="118"/>
      <c r="E259" s="118"/>
      <c r="F259" s="118"/>
      <c r="G259" s="118"/>
      <c r="H259" s="118"/>
      <c r="I259" s="118"/>
    </row>
    <row r="260" spans="2:9">
      <c r="B260" s="118"/>
      <c r="C260" s="118"/>
      <c r="D260" s="118"/>
      <c r="E260" s="118"/>
      <c r="F260" s="118"/>
      <c r="G260" s="118"/>
      <c r="H260" s="118"/>
      <c r="I260" s="118"/>
    </row>
    <row r="261" spans="2:9">
      <c r="B261" s="118"/>
      <c r="C261" s="118"/>
      <c r="D261" s="118"/>
      <c r="E261" s="118"/>
      <c r="F261" s="118"/>
      <c r="G261" s="118"/>
      <c r="H261" s="118"/>
      <c r="I261" s="118"/>
    </row>
    <row r="262" spans="2:9">
      <c r="B262" s="118"/>
      <c r="C262" s="118"/>
      <c r="D262" s="118"/>
      <c r="E262" s="118"/>
      <c r="F262" s="118"/>
      <c r="G262" s="118"/>
      <c r="H262" s="118"/>
      <c r="I262" s="118"/>
    </row>
    <row r="263" spans="2:9">
      <c r="B263" s="118"/>
      <c r="C263" s="118"/>
      <c r="D263" s="118"/>
      <c r="E263" s="118"/>
      <c r="F263" s="118"/>
      <c r="G263" s="118"/>
      <c r="H263" s="118"/>
      <c r="I263" s="118"/>
    </row>
    <row r="264" spans="2:9">
      <c r="B264" s="118"/>
      <c r="C264" s="118"/>
      <c r="D264" s="118"/>
      <c r="E264" s="118"/>
      <c r="F264" s="118"/>
      <c r="G264" s="118"/>
      <c r="H264" s="118"/>
      <c r="I264" s="118"/>
    </row>
    <row r="265" spans="2:9">
      <c r="B265" s="118"/>
      <c r="C265" s="118"/>
      <c r="D265" s="118"/>
      <c r="E265" s="118"/>
      <c r="F265" s="118"/>
      <c r="G265" s="118"/>
      <c r="H265" s="118"/>
      <c r="I265" s="118"/>
    </row>
    <row r="266" spans="2:9">
      <c r="B266" s="118"/>
      <c r="C266" s="118"/>
      <c r="D266" s="118"/>
      <c r="E266" s="118"/>
      <c r="F266" s="118"/>
      <c r="G266" s="118"/>
      <c r="H266" s="118"/>
      <c r="I266" s="118"/>
    </row>
    <row r="267" spans="2:9">
      <c r="B267" s="118"/>
      <c r="C267" s="118"/>
      <c r="D267" s="118"/>
      <c r="E267" s="118"/>
      <c r="F267" s="118"/>
      <c r="G267" s="118"/>
      <c r="H267" s="118"/>
      <c r="I267" s="118"/>
    </row>
    <row r="268" spans="2:9">
      <c r="B268" s="118"/>
      <c r="C268" s="118"/>
      <c r="D268" s="118"/>
      <c r="E268" s="118"/>
      <c r="F268" s="118"/>
      <c r="G268" s="118"/>
      <c r="H268" s="118"/>
      <c r="I268" s="118"/>
    </row>
    <row r="269" spans="2:9">
      <c r="B269" s="118"/>
      <c r="C269" s="118"/>
      <c r="D269" s="118"/>
      <c r="E269" s="118"/>
      <c r="F269" s="118"/>
      <c r="G269" s="118"/>
      <c r="H269" s="118"/>
      <c r="I269" s="118"/>
    </row>
    <row r="270" spans="2:9">
      <c r="B270" s="118"/>
      <c r="C270" s="118"/>
      <c r="D270" s="118"/>
      <c r="E270" s="118"/>
      <c r="F270" s="118"/>
      <c r="G270" s="118"/>
      <c r="H270" s="118"/>
      <c r="I270" s="118"/>
    </row>
    <row r="271" spans="2:9">
      <c r="B271" s="118"/>
      <c r="C271" s="118"/>
      <c r="D271" s="118"/>
      <c r="E271" s="118"/>
      <c r="F271" s="118"/>
      <c r="G271" s="118"/>
      <c r="H271" s="118"/>
      <c r="I271" s="118"/>
    </row>
    <row r="272" spans="2:9">
      <c r="B272" s="118"/>
      <c r="C272" s="118"/>
      <c r="D272" s="118"/>
      <c r="E272" s="118"/>
      <c r="F272" s="118"/>
      <c r="G272" s="118"/>
      <c r="H272" s="118"/>
      <c r="I272" s="118"/>
    </row>
    <row r="273" spans="2:9">
      <c r="B273" s="118"/>
      <c r="C273" s="118"/>
      <c r="D273" s="118"/>
      <c r="E273" s="118"/>
      <c r="F273" s="118"/>
      <c r="G273" s="118"/>
      <c r="H273" s="118"/>
      <c r="I273" s="118"/>
    </row>
    <row r="274" spans="2:9">
      <c r="B274" s="118"/>
      <c r="C274" s="118"/>
      <c r="D274" s="118"/>
      <c r="E274" s="118"/>
      <c r="F274" s="118"/>
      <c r="G274" s="118"/>
      <c r="H274" s="118"/>
      <c r="I274" s="118"/>
    </row>
    <row r="275" spans="2:9">
      <c r="B275" s="118"/>
      <c r="C275" s="118"/>
      <c r="D275" s="118"/>
      <c r="E275" s="118"/>
      <c r="F275" s="118"/>
      <c r="G275" s="118"/>
      <c r="H275" s="118"/>
      <c r="I275" s="118"/>
    </row>
    <row r="276" spans="2:9">
      <c r="B276" s="118"/>
      <c r="C276" s="118"/>
      <c r="D276" s="118"/>
      <c r="E276" s="118"/>
      <c r="F276" s="118"/>
      <c r="G276" s="118"/>
      <c r="H276" s="118"/>
      <c r="I276" s="118"/>
    </row>
    <row r="277" spans="2:9">
      <c r="B277" s="118"/>
      <c r="C277" s="118"/>
      <c r="D277" s="118"/>
      <c r="E277" s="118"/>
      <c r="F277" s="118"/>
      <c r="G277" s="118"/>
      <c r="H277" s="118"/>
      <c r="I277" s="118"/>
    </row>
    <row r="278" spans="2:9">
      <c r="B278" s="118"/>
      <c r="C278" s="118"/>
      <c r="D278" s="118"/>
      <c r="E278" s="118"/>
      <c r="F278" s="118"/>
      <c r="G278" s="118"/>
      <c r="H278" s="118"/>
      <c r="I278" s="118"/>
    </row>
    <row r="279" spans="2:9">
      <c r="B279" s="118"/>
      <c r="C279" s="118"/>
      <c r="D279" s="118"/>
      <c r="E279" s="118"/>
      <c r="F279" s="118"/>
      <c r="G279" s="118"/>
      <c r="H279" s="118"/>
      <c r="I279" s="118"/>
    </row>
    <row r="280" spans="2:9">
      <c r="B280" s="118"/>
      <c r="C280" s="118"/>
      <c r="D280" s="118"/>
      <c r="E280" s="118"/>
      <c r="F280" s="118"/>
      <c r="G280" s="118"/>
      <c r="H280" s="118"/>
      <c r="I280" s="118"/>
    </row>
    <row r="281" spans="2:9">
      <c r="B281" s="118"/>
      <c r="C281" s="118"/>
      <c r="D281" s="118"/>
      <c r="E281" s="118"/>
      <c r="F281" s="118"/>
      <c r="G281" s="118"/>
      <c r="H281" s="118"/>
      <c r="I281" s="118"/>
    </row>
    <row r="282" spans="2:9">
      <c r="B282" s="118"/>
      <c r="C282" s="118"/>
      <c r="D282" s="118"/>
      <c r="E282" s="118"/>
      <c r="F282" s="118"/>
      <c r="G282" s="118"/>
      <c r="H282" s="118"/>
      <c r="I282" s="118"/>
    </row>
    <row r="283" spans="2:9">
      <c r="B283" s="118"/>
      <c r="C283" s="118"/>
      <c r="D283" s="118"/>
      <c r="E283" s="118"/>
      <c r="F283" s="118"/>
      <c r="G283" s="118"/>
      <c r="H283" s="118"/>
      <c r="I283" s="118"/>
    </row>
    <row r="284" spans="2:9">
      <c r="B284" s="118"/>
      <c r="C284" s="118"/>
      <c r="D284" s="118"/>
      <c r="E284" s="118"/>
      <c r="F284" s="118"/>
      <c r="G284" s="118"/>
      <c r="H284" s="118"/>
      <c r="I284" s="118"/>
    </row>
    <row r="285" spans="2:9">
      <c r="B285" s="118"/>
      <c r="C285" s="118"/>
      <c r="D285" s="118"/>
      <c r="E285" s="118"/>
      <c r="F285" s="118"/>
      <c r="G285" s="118"/>
      <c r="H285" s="118"/>
      <c r="I285" s="118"/>
    </row>
    <row r="286" spans="2:9">
      <c r="B286" s="118"/>
      <c r="C286" s="118"/>
      <c r="D286" s="118"/>
      <c r="E286" s="118"/>
      <c r="F286" s="118"/>
      <c r="G286" s="118"/>
      <c r="H286" s="118"/>
      <c r="I286" s="118"/>
    </row>
    <row r="287" spans="2:9">
      <c r="B287" s="118"/>
      <c r="C287" s="118"/>
      <c r="D287" s="118"/>
      <c r="E287" s="118"/>
      <c r="F287" s="118"/>
      <c r="G287" s="118"/>
      <c r="H287" s="118"/>
      <c r="I287" s="118"/>
    </row>
    <row r="288" spans="2:9">
      <c r="B288" s="118"/>
      <c r="C288" s="118"/>
      <c r="D288" s="118"/>
      <c r="E288" s="118"/>
      <c r="F288" s="118"/>
      <c r="G288" s="118"/>
      <c r="H288" s="118"/>
      <c r="I288" s="118"/>
    </row>
    <row r="289" spans="2:9">
      <c r="B289" s="118"/>
      <c r="C289" s="118"/>
      <c r="D289" s="118"/>
      <c r="E289" s="118"/>
      <c r="F289" s="118"/>
      <c r="G289" s="118"/>
      <c r="H289" s="118"/>
      <c r="I289" s="118"/>
    </row>
    <row r="290" spans="2:9">
      <c r="B290" s="118"/>
      <c r="C290" s="118"/>
      <c r="D290" s="118"/>
      <c r="E290" s="118"/>
      <c r="F290" s="118"/>
      <c r="G290" s="118"/>
      <c r="H290" s="118"/>
      <c r="I290" s="118"/>
    </row>
    <row r="291" spans="2:9">
      <c r="B291" s="118"/>
      <c r="C291" s="118"/>
      <c r="D291" s="118"/>
      <c r="E291" s="118"/>
      <c r="F291" s="118"/>
      <c r="G291" s="118"/>
      <c r="H291" s="118"/>
      <c r="I291" s="118"/>
    </row>
    <row r="292" spans="2:9">
      <c r="B292" s="118"/>
      <c r="C292" s="118"/>
      <c r="D292" s="118"/>
      <c r="E292" s="118"/>
      <c r="F292" s="118"/>
      <c r="G292" s="118"/>
      <c r="H292" s="118"/>
      <c r="I292" s="118"/>
    </row>
    <row r="293" spans="2:9">
      <c r="B293" s="118"/>
      <c r="C293" s="118"/>
      <c r="D293" s="118"/>
      <c r="E293" s="118"/>
      <c r="F293" s="118"/>
      <c r="G293" s="118"/>
      <c r="H293" s="118"/>
      <c r="I293" s="118"/>
    </row>
    <row r="294" spans="2:9">
      <c r="B294" s="118"/>
      <c r="C294" s="118"/>
      <c r="D294" s="118"/>
      <c r="E294" s="118"/>
      <c r="F294" s="118"/>
      <c r="G294" s="118"/>
      <c r="H294" s="118"/>
      <c r="I294" s="118"/>
    </row>
    <row r="295" spans="2:9">
      <c r="B295" s="118"/>
      <c r="C295" s="118"/>
      <c r="D295" s="118"/>
      <c r="E295" s="118"/>
      <c r="F295" s="118"/>
      <c r="G295" s="118"/>
      <c r="H295" s="118"/>
      <c r="I295" s="118"/>
    </row>
    <row r="296" spans="2:9">
      <c r="B296" s="118"/>
      <c r="C296" s="118"/>
      <c r="D296" s="118"/>
      <c r="E296" s="118"/>
      <c r="F296" s="118"/>
      <c r="G296" s="118"/>
      <c r="H296" s="118"/>
      <c r="I296" s="118"/>
    </row>
    <row r="297" spans="2:9">
      <c r="B297" s="118"/>
      <c r="C297" s="118"/>
      <c r="D297" s="118"/>
      <c r="E297" s="118"/>
      <c r="F297" s="118"/>
      <c r="G297" s="118"/>
      <c r="H297" s="118"/>
      <c r="I297" s="118"/>
    </row>
    <row r="298" spans="2:9">
      <c r="B298" s="118"/>
      <c r="C298" s="118"/>
      <c r="D298" s="118"/>
      <c r="E298" s="118"/>
      <c r="F298" s="118"/>
      <c r="G298" s="118"/>
      <c r="H298" s="118"/>
      <c r="I298" s="118"/>
    </row>
    <row r="299" spans="2:9">
      <c r="B299" s="118"/>
      <c r="C299" s="118"/>
      <c r="D299" s="118"/>
      <c r="E299" s="118"/>
      <c r="F299" s="118"/>
      <c r="G299" s="118"/>
      <c r="H299" s="118"/>
      <c r="I299" s="118"/>
    </row>
    <row r="300" spans="2:9">
      <c r="B300" s="118"/>
      <c r="C300" s="118"/>
      <c r="D300" s="118"/>
      <c r="E300" s="118"/>
      <c r="F300" s="118"/>
      <c r="G300" s="118"/>
      <c r="H300" s="118"/>
      <c r="I300" s="118"/>
    </row>
    <row r="301" spans="2:9">
      <c r="B301" s="118"/>
      <c r="C301" s="118"/>
      <c r="D301" s="118"/>
      <c r="E301" s="118"/>
      <c r="F301" s="118"/>
      <c r="G301" s="118"/>
      <c r="H301" s="118"/>
      <c r="I301" s="118"/>
    </row>
    <row r="302" spans="2:9">
      <c r="B302" s="118"/>
      <c r="C302" s="118"/>
      <c r="D302" s="118"/>
      <c r="E302" s="118"/>
      <c r="F302" s="118"/>
      <c r="G302" s="118"/>
      <c r="H302" s="118"/>
      <c r="I302" s="118"/>
    </row>
    <row r="303" spans="2:9">
      <c r="B303" s="118"/>
      <c r="C303" s="118"/>
      <c r="D303" s="118"/>
      <c r="E303" s="118"/>
      <c r="F303" s="118"/>
      <c r="G303" s="118"/>
      <c r="H303" s="118"/>
      <c r="I303" s="118"/>
    </row>
    <row r="304" spans="2:9">
      <c r="B304" s="118"/>
      <c r="C304" s="118"/>
      <c r="D304" s="118"/>
      <c r="E304" s="118"/>
      <c r="F304" s="118"/>
      <c r="G304" s="118"/>
      <c r="H304" s="118"/>
      <c r="I304" s="118"/>
    </row>
    <row r="305" spans="2:9">
      <c r="B305" s="118"/>
      <c r="C305" s="118"/>
      <c r="D305" s="118"/>
      <c r="E305" s="118"/>
      <c r="F305" s="118"/>
      <c r="G305" s="118"/>
      <c r="H305" s="118"/>
      <c r="I305" s="118"/>
    </row>
    <row r="306" spans="2:9">
      <c r="B306" s="118"/>
      <c r="C306" s="118"/>
      <c r="D306" s="118"/>
      <c r="E306" s="118"/>
      <c r="F306" s="118"/>
      <c r="G306" s="118"/>
      <c r="H306" s="118"/>
      <c r="I306" s="118"/>
    </row>
    <row r="307" spans="2:9">
      <c r="B307" s="118"/>
      <c r="C307" s="118"/>
      <c r="D307" s="118"/>
      <c r="E307" s="118"/>
      <c r="F307" s="118"/>
      <c r="G307" s="118"/>
      <c r="H307" s="118"/>
      <c r="I307" s="118"/>
    </row>
    <row r="308" spans="2:9">
      <c r="B308" s="118"/>
      <c r="C308" s="118"/>
      <c r="D308" s="118"/>
      <c r="E308" s="118"/>
      <c r="F308" s="118"/>
      <c r="G308" s="118"/>
      <c r="H308" s="118"/>
      <c r="I308" s="118"/>
    </row>
    <row r="309" spans="2:9">
      <c r="B309" s="118"/>
      <c r="C309" s="118"/>
      <c r="D309" s="118"/>
      <c r="E309" s="118"/>
      <c r="F309" s="118"/>
      <c r="G309" s="118"/>
      <c r="H309" s="118"/>
      <c r="I309" s="118"/>
    </row>
    <row r="310" spans="2:9">
      <c r="B310" s="118"/>
      <c r="C310" s="118"/>
      <c r="D310" s="118"/>
      <c r="E310" s="118"/>
      <c r="F310" s="118"/>
      <c r="G310" s="118"/>
      <c r="H310" s="118"/>
      <c r="I310" s="118"/>
    </row>
    <row r="311" spans="2:9">
      <c r="B311" s="118"/>
      <c r="C311" s="118"/>
      <c r="D311" s="118"/>
      <c r="E311" s="118"/>
      <c r="F311" s="118"/>
      <c r="G311" s="118"/>
      <c r="H311" s="118"/>
      <c r="I311" s="118"/>
    </row>
    <row r="312" spans="2:9">
      <c r="B312" s="118"/>
      <c r="C312" s="118"/>
      <c r="D312" s="118"/>
      <c r="E312" s="118"/>
      <c r="F312" s="118"/>
      <c r="G312" s="118"/>
      <c r="H312" s="118"/>
      <c r="I312" s="118"/>
    </row>
    <row r="313" spans="2:9">
      <c r="B313" s="118"/>
      <c r="C313" s="118"/>
      <c r="D313" s="118"/>
      <c r="E313" s="118"/>
      <c r="F313" s="118"/>
      <c r="G313" s="118"/>
      <c r="H313" s="118"/>
      <c r="I313" s="118"/>
    </row>
    <row r="314" spans="2:9">
      <c r="B314" s="118"/>
      <c r="C314" s="118"/>
      <c r="D314" s="118"/>
      <c r="E314" s="118"/>
      <c r="F314" s="118"/>
      <c r="G314" s="118"/>
      <c r="H314" s="118"/>
      <c r="I314" s="118"/>
    </row>
    <row r="315" spans="2:9">
      <c r="B315" s="118"/>
      <c r="C315" s="118"/>
      <c r="D315" s="118"/>
      <c r="E315" s="118"/>
      <c r="F315" s="118"/>
      <c r="G315" s="118"/>
      <c r="H315" s="118"/>
      <c r="I315" s="118"/>
    </row>
    <row r="316" spans="2:9">
      <c r="B316" s="118"/>
      <c r="C316" s="118"/>
      <c r="D316" s="118"/>
      <c r="E316" s="118"/>
      <c r="F316" s="118"/>
      <c r="G316" s="118"/>
      <c r="H316" s="118"/>
      <c r="I316" s="118"/>
    </row>
    <row r="317" spans="2:9">
      <c r="B317" s="118"/>
      <c r="C317" s="118"/>
      <c r="D317" s="118"/>
      <c r="E317" s="118"/>
      <c r="F317" s="118"/>
      <c r="G317" s="118"/>
      <c r="H317" s="118"/>
      <c r="I317" s="118"/>
    </row>
    <row r="318" spans="2:9">
      <c r="B318" s="118"/>
      <c r="C318" s="118"/>
      <c r="D318" s="118"/>
      <c r="E318" s="118"/>
      <c r="F318" s="118"/>
      <c r="G318" s="118"/>
      <c r="H318" s="118"/>
      <c r="I318" s="118"/>
    </row>
    <row r="319" spans="2:9">
      <c r="B319" s="118"/>
      <c r="C319" s="118"/>
      <c r="D319" s="118"/>
      <c r="E319" s="118"/>
      <c r="F319" s="118"/>
      <c r="G319" s="118"/>
      <c r="H319" s="118"/>
      <c r="I319" s="118"/>
    </row>
    <row r="320" spans="2:9">
      <c r="B320" s="118"/>
      <c r="C320" s="118"/>
      <c r="D320" s="118"/>
      <c r="E320" s="118"/>
      <c r="F320" s="118"/>
      <c r="G320" s="118"/>
      <c r="H320" s="118"/>
      <c r="I320" s="118"/>
    </row>
    <row r="321" spans="2:9">
      <c r="B321" s="118"/>
      <c r="C321" s="118"/>
      <c r="D321" s="118"/>
      <c r="E321" s="118"/>
      <c r="F321" s="118"/>
      <c r="G321" s="118"/>
      <c r="H321" s="118"/>
      <c r="I321" s="118"/>
    </row>
    <row r="322" spans="2:9">
      <c r="B322" s="118"/>
      <c r="C322" s="118"/>
      <c r="D322" s="118"/>
      <c r="E322" s="118"/>
      <c r="F322" s="118"/>
      <c r="G322" s="118"/>
      <c r="H322" s="118"/>
      <c r="I322" s="118"/>
    </row>
    <row r="323" spans="2:9">
      <c r="B323" s="118"/>
      <c r="C323" s="118"/>
      <c r="D323" s="118"/>
      <c r="E323" s="118"/>
      <c r="F323" s="118"/>
      <c r="G323" s="118"/>
      <c r="H323" s="118"/>
      <c r="I323" s="118"/>
    </row>
    <row r="324" spans="2:9">
      <c r="B324" s="118"/>
      <c r="C324" s="118"/>
      <c r="D324" s="118"/>
      <c r="E324" s="118"/>
      <c r="F324" s="118"/>
      <c r="G324" s="118"/>
      <c r="H324" s="118"/>
      <c r="I324" s="118"/>
    </row>
    <row r="325" spans="2:9">
      <c r="B325" s="118"/>
      <c r="C325" s="118"/>
      <c r="D325" s="118"/>
      <c r="E325" s="118"/>
      <c r="F325" s="118"/>
      <c r="G325" s="118"/>
      <c r="H325" s="118"/>
      <c r="I325" s="118"/>
    </row>
    <row r="326" spans="2:9">
      <c r="B326" s="118"/>
      <c r="C326" s="118"/>
      <c r="D326" s="118"/>
      <c r="E326" s="118"/>
      <c r="F326" s="118"/>
      <c r="G326" s="118"/>
      <c r="H326" s="118"/>
      <c r="I326" s="118"/>
    </row>
    <row r="327" spans="2:9">
      <c r="B327" s="118"/>
      <c r="C327" s="118"/>
      <c r="D327" s="118"/>
      <c r="E327" s="118"/>
      <c r="F327" s="118"/>
      <c r="G327" s="118"/>
      <c r="H327" s="118"/>
      <c r="I327" s="118"/>
    </row>
    <row r="328" spans="2:9">
      <c r="B328" s="118"/>
      <c r="C328" s="118"/>
      <c r="D328" s="118"/>
      <c r="E328" s="118"/>
      <c r="F328" s="118"/>
      <c r="G328" s="118"/>
      <c r="H328" s="118"/>
      <c r="I328" s="118"/>
    </row>
    <row r="329" spans="2:9">
      <c r="B329" s="118"/>
      <c r="C329" s="118"/>
      <c r="D329" s="118"/>
      <c r="E329" s="118"/>
      <c r="F329" s="118"/>
      <c r="G329" s="118"/>
      <c r="H329" s="118"/>
      <c r="I329" s="118"/>
    </row>
    <row r="330" spans="2:9">
      <c r="B330" s="118"/>
      <c r="C330" s="118"/>
      <c r="D330" s="118"/>
      <c r="E330" s="118"/>
      <c r="F330" s="118"/>
      <c r="G330" s="118"/>
      <c r="H330" s="118"/>
      <c r="I330" s="118"/>
    </row>
    <row r="331" spans="2:9">
      <c r="B331" s="118"/>
      <c r="C331" s="118"/>
      <c r="D331" s="118"/>
      <c r="E331" s="118"/>
      <c r="F331" s="118"/>
      <c r="G331" s="118"/>
      <c r="H331" s="118"/>
      <c r="I331" s="118"/>
    </row>
    <row r="332" spans="2:9">
      <c r="B332" s="118"/>
      <c r="C332" s="118"/>
      <c r="D332" s="118"/>
      <c r="E332" s="118"/>
      <c r="F332" s="118"/>
      <c r="G332" s="118"/>
      <c r="H332" s="118"/>
      <c r="I332" s="118"/>
    </row>
    <row r="333" spans="2:9">
      <c r="B333" s="118"/>
      <c r="C333" s="118"/>
      <c r="D333" s="118"/>
      <c r="E333" s="118"/>
      <c r="F333" s="118"/>
      <c r="G333" s="118"/>
      <c r="H333" s="118"/>
      <c r="I333" s="118"/>
    </row>
    <row r="334" spans="2:9">
      <c r="B334" s="118"/>
      <c r="C334" s="118"/>
      <c r="D334" s="118"/>
      <c r="E334" s="118"/>
      <c r="F334" s="118"/>
      <c r="G334" s="118"/>
      <c r="H334" s="118"/>
      <c r="I334" s="118"/>
    </row>
    <row r="335" spans="2:9">
      <c r="B335" s="118"/>
      <c r="C335" s="118"/>
      <c r="D335" s="118"/>
      <c r="E335" s="118"/>
      <c r="F335" s="118"/>
      <c r="G335" s="118"/>
      <c r="H335" s="118"/>
      <c r="I335" s="118"/>
    </row>
    <row r="336" spans="2:9">
      <c r="B336" s="118"/>
      <c r="C336" s="118"/>
      <c r="D336" s="118"/>
      <c r="E336" s="118"/>
      <c r="F336" s="118"/>
      <c r="G336" s="118"/>
      <c r="H336" s="118"/>
      <c r="I336" s="118"/>
    </row>
    <row r="337" spans="2:9">
      <c r="B337" s="118"/>
      <c r="C337" s="118"/>
      <c r="D337" s="118"/>
      <c r="E337" s="118"/>
      <c r="F337" s="118"/>
      <c r="G337" s="118"/>
      <c r="H337" s="118"/>
      <c r="I337" s="118"/>
    </row>
    <row r="338" spans="2:9">
      <c r="B338" s="118"/>
      <c r="C338" s="118"/>
      <c r="D338" s="118"/>
      <c r="E338" s="118"/>
      <c r="F338" s="118"/>
      <c r="G338" s="118"/>
      <c r="H338" s="118"/>
      <c r="I338" s="118"/>
    </row>
    <row r="339" spans="2:9">
      <c r="B339" s="118"/>
      <c r="C339" s="118"/>
      <c r="D339" s="118"/>
      <c r="E339" s="118"/>
      <c r="F339" s="118"/>
      <c r="G339" s="118"/>
      <c r="H339" s="118"/>
      <c r="I339" s="118"/>
    </row>
    <row r="340" spans="2:9">
      <c r="B340" s="118"/>
      <c r="C340" s="118"/>
      <c r="D340" s="118"/>
      <c r="E340" s="118"/>
      <c r="F340" s="118"/>
      <c r="G340" s="118"/>
      <c r="H340" s="118"/>
      <c r="I340" s="118"/>
    </row>
    <row r="341" spans="2:9">
      <c r="B341" s="118"/>
      <c r="C341" s="118"/>
      <c r="D341" s="118"/>
      <c r="E341" s="118"/>
      <c r="F341" s="118"/>
      <c r="G341" s="118"/>
      <c r="H341" s="118"/>
      <c r="I341" s="118"/>
    </row>
    <row r="342" spans="2:9">
      <c r="B342" s="118"/>
      <c r="C342" s="118"/>
      <c r="D342" s="118"/>
      <c r="E342" s="118"/>
      <c r="F342" s="118"/>
      <c r="G342" s="118"/>
      <c r="H342" s="118"/>
      <c r="I342" s="118"/>
    </row>
    <row r="343" spans="2:9">
      <c r="B343" s="118"/>
      <c r="C343" s="118"/>
      <c r="D343" s="118"/>
      <c r="E343" s="118"/>
      <c r="F343" s="118"/>
      <c r="G343" s="118"/>
      <c r="H343" s="118"/>
      <c r="I343" s="118"/>
    </row>
    <row r="344" spans="2:9">
      <c r="B344" s="118"/>
      <c r="C344" s="118"/>
      <c r="D344" s="118"/>
      <c r="E344" s="118"/>
      <c r="F344" s="118"/>
      <c r="G344" s="118"/>
      <c r="H344" s="118"/>
      <c r="I344" s="118"/>
    </row>
    <row r="345" spans="2:9">
      <c r="B345" s="118"/>
      <c r="C345" s="118"/>
      <c r="D345" s="118"/>
      <c r="E345" s="118"/>
      <c r="F345" s="118"/>
      <c r="G345" s="118"/>
      <c r="H345" s="118"/>
      <c r="I345" s="118"/>
    </row>
    <row r="346" spans="2:9">
      <c r="B346" s="118"/>
      <c r="C346" s="118"/>
      <c r="D346" s="118"/>
      <c r="E346" s="118"/>
      <c r="F346" s="118"/>
      <c r="G346" s="118"/>
      <c r="H346" s="118"/>
      <c r="I346" s="118"/>
    </row>
    <row r="347" spans="2:9">
      <c r="B347" s="118"/>
      <c r="C347" s="118"/>
      <c r="D347" s="118"/>
      <c r="E347" s="118"/>
      <c r="F347" s="118"/>
      <c r="G347" s="118"/>
      <c r="H347" s="118"/>
      <c r="I347" s="118"/>
    </row>
    <row r="348" spans="2:9">
      <c r="B348" s="118"/>
      <c r="C348" s="118"/>
      <c r="D348" s="118"/>
      <c r="E348" s="118"/>
      <c r="F348" s="118"/>
      <c r="G348" s="118"/>
      <c r="H348" s="118"/>
      <c r="I348" s="118"/>
    </row>
    <row r="349" spans="2:9">
      <c r="B349" s="118"/>
      <c r="C349" s="118"/>
      <c r="D349" s="118"/>
      <c r="E349" s="118"/>
      <c r="F349" s="118"/>
      <c r="G349" s="118"/>
      <c r="H349" s="118"/>
      <c r="I349" s="118"/>
    </row>
    <row r="350" spans="2:9">
      <c r="B350" s="118"/>
      <c r="C350" s="118"/>
      <c r="D350" s="118"/>
      <c r="E350" s="118"/>
      <c r="F350" s="118"/>
      <c r="G350" s="118"/>
      <c r="H350" s="118"/>
      <c r="I350" s="118"/>
    </row>
    <row r="351" spans="2:9">
      <c r="B351" s="118"/>
      <c r="C351" s="118"/>
      <c r="D351" s="118"/>
      <c r="E351" s="118"/>
      <c r="F351" s="118"/>
      <c r="G351" s="118"/>
      <c r="H351" s="118"/>
      <c r="I351" s="118"/>
    </row>
    <row r="352" spans="2:9">
      <c r="B352" s="118"/>
      <c r="C352" s="118"/>
      <c r="D352" s="118"/>
      <c r="E352" s="118"/>
      <c r="F352" s="118"/>
      <c r="G352" s="118"/>
      <c r="H352" s="118"/>
      <c r="I352" s="118"/>
    </row>
    <row r="353" spans="2:9">
      <c r="B353" s="118"/>
      <c r="C353" s="118"/>
      <c r="D353" s="118"/>
      <c r="E353" s="118"/>
      <c r="F353" s="118"/>
      <c r="G353" s="118"/>
      <c r="H353" s="118"/>
      <c r="I353" s="118"/>
    </row>
    <row r="354" spans="2:9">
      <c r="B354" s="118"/>
      <c r="C354" s="118"/>
      <c r="D354" s="118"/>
      <c r="E354" s="118"/>
      <c r="F354" s="118"/>
      <c r="G354" s="118"/>
      <c r="H354" s="118"/>
      <c r="I354" s="118"/>
    </row>
    <row r="355" spans="2:9">
      <c r="B355" s="118"/>
      <c r="C355" s="118"/>
      <c r="D355" s="118"/>
      <c r="E355" s="118"/>
      <c r="F355" s="118"/>
      <c r="G355" s="118"/>
      <c r="H355" s="118"/>
      <c r="I355" s="118"/>
    </row>
    <row r="356" spans="2:9">
      <c r="B356" s="118"/>
      <c r="C356" s="118"/>
      <c r="D356" s="118"/>
      <c r="E356" s="118"/>
      <c r="F356" s="118"/>
      <c r="G356" s="118"/>
      <c r="H356" s="118"/>
      <c r="I356" s="118"/>
    </row>
    <row r="357" spans="2:9">
      <c r="B357" s="118"/>
      <c r="C357" s="118"/>
      <c r="D357" s="118"/>
      <c r="E357" s="118"/>
      <c r="F357" s="118"/>
      <c r="G357" s="118"/>
      <c r="H357" s="118"/>
      <c r="I357" s="118"/>
    </row>
    <row r="358" spans="2:9">
      <c r="B358" s="118"/>
      <c r="C358" s="118"/>
      <c r="D358" s="118"/>
      <c r="E358" s="118"/>
      <c r="F358" s="118"/>
      <c r="G358" s="118"/>
      <c r="H358" s="118"/>
      <c r="I358" s="118"/>
    </row>
    <row r="359" spans="2:9">
      <c r="B359" s="118"/>
      <c r="C359" s="118"/>
      <c r="D359" s="118"/>
      <c r="E359" s="118"/>
      <c r="F359" s="118"/>
      <c r="G359" s="118"/>
      <c r="H359" s="118"/>
      <c r="I359" s="118"/>
    </row>
    <row r="360" spans="2:9">
      <c r="B360" s="118"/>
      <c r="C360" s="118"/>
      <c r="D360" s="118"/>
      <c r="E360" s="118"/>
      <c r="F360" s="118"/>
      <c r="G360" s="118"/>
      <c r="H360" s="118"/>
      <c r="I360" s="118"/>
    </row>
    <row r="361" spans="2:9">
      <c r="B361" s="118"/>
      <c r="C361" s="118"/>
      <c r="D361" s="118"/>
      <c r="E361" s="118"/>
      <c r="F361" s="118"/>
      <c r="G361" s="118"/>
      <c r="H361" s="118"/>
      <c r="I361" s="118"/>
    </row>
    <row r="362" spans="2:9">
      <c r="B362" s="118"/>
      <c r="C362" s="118"/>
      <c r="D362" s="118"/>
      <c r="E362" s="118"/>
      <c r="F362" s="118"/>
      <c r="G362" s="118"/>
      <c r="H362" s="118"/>
      <c r="I362" s="118"/>
    </row>
    <row r="363" spans="2:9">
      <c r="B363" s="118"/>
      <c r="C363" s="118"/>
      <c r="D363" s="118"/>
      <c r="E363" s="118"/>
      <c r="F363" s="118"/>
      <c r="G363" s="118"/>
      <c r="H363" s="118"/>
      <c r="I363" s="118"/>
    </row>
    <row r="364" spans="2:9">
      <c r="B364" s="118"/>
      <c r="C364" s="118"/>
      <c r="D364" s="118"/>
      <c r="E364" s="118"/>
      <c r="F364" s="118"/>
      <c r="G364" s="118"/>
      <c r="H364" s="118"/>
      <c r="I364" s="118"/>
    </row>
    <row r="365" spans="2:9">
      <c r="B365" s="118"/>
      <c r="C365" s="118"/>
      <c r="D365" s="118"/>
      <c r="E365" s="118"/>
      <c r="F365" s="118"/>
      <c r="G365" s="118"/>
      <c r="H365" s="118"/>
      <c r="I365" s="118"/>
    </row>
    <row r="366" spans="2:9">
      <c r="B366" s="118"/>
      <c r="C366" s="118"/>
      <c r="D366" s="118"/>
      <c r="E366" s="118"/>
      <c r="F366" s="118"/>
      <c r="G366" s="118"/>
      <c r="H366" s="118"/>
      <c r="I366" s="118"/>
    </row>
    <row r="367" spans="2:9">
      <c r="B367" s="118"/>
      <c r="C367" s="118"/>
      <c r="D367" s="118"/>
      <c r="E367" s="118"/>
      <c r="F367" s="118"/>
      <c r="G367" s="118"/>
      <c r="H367" s="118"/>
      <c r="I367" s="118"/>
    </row>
    <row r="368" spans="2:9">
      <c r="B368" s="118"/>
      <c r="C368" s="118"/>
      <c r="D368" s="118"/>
      <c r="E368" s="118"/>
      <c r="F368" s="118"/>
      <c r="G368" s="118"/>
      <c r="H368" s="118"/>
      <c r="I368" s="118"/>
    </row>
    <row r="369" spans="2:9">
      <c r="B369" s="118"/>
      <c r="C369" s="118"/>
      <c r="D369" s="118"/>
      <c r="E369" s="118"/>
      <c r="F369" s="118"/>
      <c r="G369" s="118"/>
      <c r="H369" s="118"/>
      <c r="I369" s="118"/>
    </row>
    <row r="370" spans="2:9">
      <c r="B370" s="118"/>
      <c r="C370" s="118"/>
      <c r="D370" s="118"/>
      <c r="E370" s="118"/>
      <c r="F370" s="118"/>
      <c r="G370" s="118"/>
      <c r="H370" s="118"/>
      <c r="I370" s="118"/>
    </row>
    <row r="371" spans="2:9">
      <c r="B371" s="118"/>
      <c r="C371" s="118"/>
      <c r="D371" s="118"/>
      <c r="E371" s="118"/>
      <c r="F371" s="118"/>
      <c r="G371" s="118"/>
      <c r="H371" s="118"/>
      <c r="I371" s="118"/>
    </row>
    <row r="372" spans="2:9">
      <c r="B372" s="118"/>
      <c r="C372" s="118"/>
      <c r="D372" s="118"/>
      <c r="E372" s="118"/>
      <c r="F372" s="118"/>
      <c r="G372" s="118"/>
      <c r="H372" s="118"/>
      <c r="I372" s="118"/>
    </row>
    <row r="373" spans="2:9">
      <c r="B373" s="118"/>
      <c r="C373" s="118"/>
      <c r="D373" s="118"/>
      <c r="E373" s="118"/>
      <c r="F373" s="118"/>
      <c r="G373" s="118"/>
      <c r="H373" s="118"/>
      <c r="I373" s="118"/>
    </row>
    <row r="374" spans="2:9">
      <c r="H374" s="118"/>
      <c r="I374" s="118"/>
    </row>
    <row r="375" spans="2:9">
      <c r="H375" s="118"/>
      <c r="I375" s="118"/>
    </row>
    <row r="376" spans="2:9">
      <c r="H376" s="118"/>
      <c r="I376" s="118"/>
    </row>
    <row r="377" spans="2:9">
      <c r="H377" s="118"/>
      <c r="I377" s="118"/>
    </row>
    <row r="378" spans="2:9">
      <c r="H378" s="118"/>
      <c r="I378" s="118"/>
    </row>
    <row r="379" spans="2:9">
      <c r="H379" s="118"/>
      <c r="I379" s="118"/>
    </row>
    <row r="380" spans="2:9">
      <c r="H380" s="118"/>
      <c r="I380" s="118"/>
    </row>
    <row r="381" spans="2:9">
      <c r="H381" s="118"/>
      <c r="I381" s="118"/>
    </row>
    <row r="382" spans="2:9">
      <c r="H382" s="118"/>
      <c r="I382" s="118"/>
    </row>
    <row r="383" spans="2:9">
      <c r="H383" s="118"/>
      <c r="I383" s="118"/>
    </row>
    <row r="384" spans="2:9">
      <c r="H384" s="118"/>
      <c r="I384" s="118"/>
    </row>
    <row r="385" spans="8:9">
      <c r="H385" s="118"/>
      <c r="I385" s="118"/>
    </row>
  </sheetData>
  <mergeCells count="8">
    <mergeCell ref="A8:A9"/>
    <mergeCell ref="B7:C7"/>
    <mergeCell ref="F7:G7"/>
    <mergeCell ref="B1:C1"/>
    <mergeCell ref="D7:E7"/>
    <mergeCell ref="D8:D9"/>
    <mergeCell ref="E8:E9"/>
    <mergeCell ref="A4:G4"/>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56" fitToHeight="2"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enableFormatConditionsCalculation="0">
    <tabColor theme="6" tint="0.39997558519241921"/>
    <pageSetUpPr fitToPage="1"/>
  </sheetPr>
  <dimension ref="A1:AI388"/>
  <sheetViews>
    <sheetView workbookViewId="0">
      <pane xSplit="1" ySplit="12" topLeftCell="B13" activePane="bottomRight" state="frozen"/>
      <selection activeCell="B2" sqref="B2:C2"/>
      <selection pane="topRight" activeCell="B2" sqref="B2:C2"/>
      <selection pane="bottomLeft" activeCell="B2" sqref="B2:C2"/>
      <selection pane="bottomRight" activeCell="A4" sqref="A4:S4"/>
    </sheetView>
  </sheetViews>
  <sheetFormatPr baseColWidth="10" defaultColWidth="10.33203125" defaultRowHeight="12" x14ac:dyDescent="0"/>
  <cols>
    <col min="1" max="17" width="6.83203125" style="76" customWidth="1"/>
    <col min="18" max="18" width="7" style="76" customWidth="1"/>
    <col min="19" max="19" width="6.83203125" style="76" customWidth="1"/>
    <col min="20" max="21" width="10.33203125" style="76" customWidth="1"/>
    <col min="22" max="33" width="7.5" style="76" customWidth="1"/>
    <col min="34" max="16384" width="10.33203125" style="76"/>
  </cols>
  <sheetData>
    <row r="1" spans="1:21">
      <c r="B1" s="2252" t="s">
        <v>1416</v>
      </c>
      <c r="C1" s="2252"/>
    </row>
    <row r="2" spans="1:21">
      <c r="A2" s="75"/>
      <c r="B2" s="75"/>
      <c r="C2" s="75"/>
      <c r="D2" s="75"/>
      <c r="E2" s="75"/>
      <c r="F2" s="75"/>
      <c r="G2" s="75"/>
      <c r="H2" s="75"/>
      <c r="I2" s="75"/>
      <c r="J2" s="75"/>
      <c r="K2" s="75"/>
      <c r="L2" s="75"/>
      <c r="M2" s="75"/>
      <c r="N2" s="75"/>
      <c r="O2" s="75"/>
      <c r="P2" s="75"/>
      <c r="Q2" s="75"/>
    </row>
    <row r="3" spans="1:21" ht="13" thickBot="1"/>
    <row r="4" spans="1:21" ht="19.75" customHeight="1" thickTop="1">
      <c r="A4" s="2264" t="s">
        <v>1148</v>
      </c>
      <c r="B4" s="2265"/>
      <c r="C4" s="2265"/>
      <c r="D4" s="2265"/>
      <c r="E4" s="2265"/>
      <c r="F4" s="2265"/>
      <c r="G4" s="2265"/>
      <c r="H4" s="2265"/>
      <c r="I4" s="2265"/>
      <c r="J4" s="2265"/>
      <c r="K4" s="2265"/>
      <c r="L4" s="2265"/>
      <c r="M4" s="2265"/>
      <c r="N4" s="2265"/>
      <c r="O4" s="2265"/>
      <c r="P4" s="2265"/>
      <c r="Q4" s="2265"/>
      <c r="R4" s="2265"/>
      <c r="S4" s="2266"/>
    </row>
    <row r="5" spans="1:21">
      <c r="A5" s="120"/>
      <c r="B5" s="83"/>
      <c r="C5" s="83"/>
      <c r="D5" s="83"/>
      <c r="E5" s="83"/>
      <c r="F5" s="83"/>
      <c r="G5" s="83"/>
      <c r="H5" s="83"/>
      <c r="I5" s="83"/>
      <c r="J5" s="83"/>
      <c r="K5" s="83"/>
      <c r="L5" s="83"/>
      <c r="M5" s="83"/>
      <c r="N5" s="83"/>
      <c r="O5" s="83"/>
      <c r="P5" s="83"/>
      <c r="Q5" s="83"/>
      <c r="R5" s="83"/>
      <c r="S5" s="121"/>
    </row>
    <row r="6" spans="1:21">
      <c r="A6" s="120"/>
      <c r="B6" s="123" t="s">
        <v>952</v>
      </c>
      <c r="C6" s="123" t="s">
        <v>953</v>
      </c>
      <c r="D6" s="123" t="s">
        <v>954</v>
      </c>
      <c r="E6" s="123" t="s">
        <v>955</v>
      </c>
      <c r="F6" s="123" t="s">
        <v>956</v>
      </c>
      <c r="G6" s="123" t="s">
        <v>957</v>
      </c>
      <c r="H6" s="123" t="s">
        <v>959</v>
      </c>
      <c r="I6" s="123" t="s">
        <v>960</v>
      </c>
      <c r="J6" s="123" t="s">
        <v>961</v>
      </c>
      <c r="K6" s="123" t="s">
        <v>962</v>
      </c>
      <c r="L6" s="123" t="s">
        <v>963</v>
      </c>
      <c r="M6" s="123" t="s">
        <v>964</v>
      </c>
      <c r="N6" s="123" t="s">
        <v>965</v>
      </c>
      <c r="O6" s="123" t="s">
        <v>120</v>
      </c>
      <c r="P6" s="110" t="s">
        <v>121</v>
      </c>
      <c r="Q6" s="110" t="s">
        <v>328</v>
      </c>
      <c r="R6" s="110" t="s">
        <v>329</v>
      </c>
      <c r="S6" s="124" t="s">
        <v>330</v>
      </c>
    </row>
    <row r="7" spans="1:21" ht="12" customHeight="1">
      <c r="A7" s="120"/>
      <c r="B7" s="2541" t="s">
        <v>864</v>
      </c>
      <c r="C7" s="2542"/>
      <c r="D7" s="2542"/>
      <c r="E7" s="2542"/>
      <c r="F7" s="2542"/>
      <c r="G7" s="2542"/>
      <c r="H7" s="2542"/>
      <c r="I7" s="2542"/>
      <c r="J7" s="2542"/>
      <c r="K7" s="2542"/>
      <c r="L7" s="2542"/>
      <c r="M7" s="2542"/>
      <c r="N7" s="2542"/>
      <c r="O7" s="2550"/>
      <c r="P7" s="2541" t="s">
        <v>865</v>
      </c>
      <c r="Q7" s="2542"/>
      <c r="R7" s="2542"/>
      <c r="S7" s="2543"/>
    </row>
    <row r="8" spans="1:21">
      <c r="A8" s="120"/>
      <c r="B8" s="2544"/>
      <c r="C8" s="2545"/>
      <c r="D8" s="2545"/>
      <c r="E8" s="2545"/>
      <c r="F8" s="2545"/>
      <c r="G8" s="2545"/>
      <c r="H8" s="2545"/>
      <c r="I8" s="2545"/>
      <c r="J8" s="2545"/>
      <c r="K8" s="2545"/>
      <c r="L8" s="2545"/>
      <c r="M8" s="2545"/>
      <c r="N8" s="2545"/>
      <c r="O8" s="2551"/>
      <c r="P8" s="2544"/>
      <c r="Q8" s="2545"/>
      <c r="R8" s="2545"/>
      <c r="S8" s="2546"/>
    </row>
    <row r="9" spans="1:21">
      <c r="A9" s="120"/>
      <c r="B9" s="2544"/>
      <c r="C9" s="2545"/>
      <c r="D9" s="2545"/>
      <c r="E9" s="2545"/>
      <c r="F9" s="2545"/>
      <c r="G9" s="2545"/>
      <c r="H9" s="2545"/>
      <c r="I9" s="2545"/>
      <c r="J9" s="2545"/>
      <c r="K9" s="2545"/>
      <c r="L9" s="2545"/>
      <c r="M9" s="2545"/>
      <c r="N9" s="2545"/>
      <c r="O9" s="2551"/>
      <c r="P9" s="2544"/>
      <c r="Q9" s="2545"/>
      <c r="R9" s="2545"/>
      <c r="S9" s="2546"/>
    </row>
    <row r="10" spans="1:21">
      <c r="A10" s="120"/>
      <c r="B10" s="2547"/>
      <c r="C10" s="2548"/>
      <c r="D10" s="2548"/>
      <c r="E10" s="2548"/>
      <c r="F10" s="2548"/>
      <c r="G10" s="2548"/>
      <c r="H10" s="2548"/>
      <c r="I10" s="2548"/>
      <c r="J10" s="2548"/>
      <c r="K10" s="2548"/>
      <c r="L10" s="2548"/>
      <c r="M10" s="2548"/>
      <c r="N10" s="2548"/>
      <c r="O10" s="2552"/>
      <c r="P10" s="2547"/>
      <c r="Q10" s="2548"/>
      <c r="R10" s="2548"/>
      <c r="S10" s="2549"/>
    </row>
    <row r="11" spans="1:21" ht="79.75" customHeight="1">
      <c r="A11" s="2270"/>
      <c r="B11" s="2034" t="s">
        <v>73</v>
      </c>
      <c r="C11" s="2036" t="s">
        <v>197</v>
      </c>
      <c r="D11" s="2036" t="s">
        <v>198</v>
      </c>
      <c r="E11" s="2036" t="s">
        <v>1504</v>
      </c>
      <c r="F11" s="2036" t="s">
        <v>199</v>
      </c>
      <c r="G11" s="2037" t="s">
        <v>200</v>
      </c>
      <c r="H11" s="2034" t="s">
        <v>201</v>
      </c>
      <c r="I11" s="2039" t="s">
        <v>1506</v>
      </c>
      <c r="J11" s="2124" t="s">
        <v>1505</v>
      </c>
      <c r="K11" s="2124" t="s">
        <v>1499</v>
      </c>
      <c r="L11" s="2036" t="s">
        <v>1508</v>
      </c>
      <c r="M11" s="2132" t="s">
        <v>1507</v>
      </c>
      <c r="N11" s="2132" t="s">
        <v>1509</v>
      </c>
      <c r="O11" s="2038" t="s">
        <v>202</v>
      </c>
      <c r="P11" s="2040" t="s">
        <v>203</v>
      </c>
      <c r="Q11" s="251" t="s">
        <v>204</v>
      </c>
      <c r="R11" s="2034" t="s">
        <v>866</v>
      </c>
      <c r="S11" s="209" t="s">
        <v>204</v>
      </c>
    </row>
    <row r="12" spans="1:21" ht="30" customHeight="1">
      <c r="A12" s="2271"/>
      <c r="B12" s="2035" t="s">
        <v>108</v>
      </c>
      <c r="C12" s="1069" t="s">
        <v>109</v>
      </c>
      <c r="D12" s="1069" t="s">
        <v>110</v>
      </c>
      <c r="E12" s="1069" t="s">
        <v>111</v>
      </c>
      <c r="F12" s="1069" t="s">
        <v>867</v>
      </c>
      <c r="G12" s="1817" t="s">
        <v>112</v>
      </c>
      <c r="H12" s="2035" t="s">
        <v>113</v>
      </c>
      <c r="I12" s="2131"/>
      <c r="J12" s="1069" t="s">
        <v>114</v>
      </c>
      <c r="K12" s="1069" t="s">
        <v>115</v>
      </c>
      <c r="L12" s="1069" t="s">
        <v>116</v>
      </c>
      <c r="N12" s="1069"/>
      <c r="O12" s="1066" t="s">
        <v>868</v>
      </c>
      <c r="P12" s="2145" t="s">
        <v>869</v>
      </c>
      <c r="Q12" s="2146" t="s">
        <v>113</v>
      </c>
      <c r="R12" s="2035" t="s">
        <v>870</v>
      </c>
      <c r="S12" s="2215" t="s">
        <v>113</v>
      </c>
    </row>
    <row r="13" spans="1:21" ht="12" customHeight="1">
      <c r="A13" s="198">
        <v>1855</v>
      </c>
      <c r="B13" s="303">
        <f>C13+D13+E13+F13+G13</f>
        <v>0.32820288189546992</v>
      </c>
      <c r="C13" s="308">
        <f>TableUK10!G10</f>
        <v>3.5658823885265846E-2</v>
      </c>
      <c r="D13" s="308">
        <f>TableUK9!B10</f>
        <v>5.4921840741161562E-2</v>
      </c>
      <c r="E13" s="29">
        <f>DataUK1!AN13/DataUK1!B13-TableUK11a!L13</f>
        <v>0.18722653615438661</v>
      </c>
      <c r="F13" s="308">
        <f>TableUK8!F10</f>
        <v>1.9622179000995898E-2</v>
      </c>
      <c r="G13" s="1202">
        <f>DataUK1!GY13/DataUK1!B13</f>
        <v>3.077350211366001E-2</v>
      </c>
      <c r="H13" s="303">
        <f>I13+L13+O13</f>
        <v>0.62765860382160055</v>
      </c>
      <c r="I13" s="307">
        <f>DataUK1!BJ13/DataUK1!B13</f>
        <v>0.49508267017897339</v>
      </c>
      <c r="J13" s="308">
        <f>TableUK10!F10</f>
        <v>0.14930619311391657</v>
      </c>
      <c r="K13" s="308">
        <f>TableUK9!F10</f>
        <v>3.4280564925108344E-2</v>
      </c>
      <c r="L13" s="308">
        <f>M13+N13</f>
        <v>0.13257593364262715</v>
      </c>
      <c r="M13" s="2125">
        <f>DataUK2!AG13*DataUK2!X13*DataUK2!E13/DataUK1!B13/1000</f>
        <v>3.9459986342662068E-2</v>
      </c>
      <c r="N13" s="29">
        <f>DataUK2!AW13*DataUK2!AE13*DataUK2!Y13*DataUK2!E13/DataUK1!B13/1000</f>
        <v>9.3115947299965071E-2</v>
      </c>
      <c r="O13" s="394">
        <f>TableUK8!I10</f>
        <v>0</v>
      </c>
      <c r="P13" s="307">
        <f>B13/(1-TableUK9!$H10-TableUK8!J10)</f>
        <v>0.3547801806019048</v>
      </c>
      <c r="Q13" s="236">
        <f>H13/(1-TableUK9!$H10-TableUK8!J10)</f>
        <v>0.67848530620486436</v>
      </c>
      <c r="R13" s="1289">
        <f>(B13-G13)/(1-TableUK9!H10-TableUK8!J10)</f>
        <v>0.32151469379513553</v>
      </c>
      <c r="S13" s="193">
        <f>Q13</f>
        <v>0.67848530620486436</v>
      </c>
      <c r="U13" s="2024">
        <f t="shared" ref="U13:U29" si="0">1-R13-S13</f>
        <v>0</v>
      </c>
    </row>
    <row r="14" spans="1:21" ht="12" customHeight="1">
      <c r="A14" s="198">
        <v>1856</v>
      </c>
      <c r="B14" s="303">
        <f t="shared" ref="B14:B77" si="1">C14+D14+E14+F14+G14</f>
        <v>0.34045368540587806</v>
      </c>
      <c r="C14" s="308">
        <f>TableUK10!G11</f>
        <v>4.8196638949391857E-2</v>
      </c>
      <c r="D14" s="308">
        <f>TableUK9!B11</f>
        <v>5.0642859507657831E-2</v>
      </c>
      <c r="E14" s="308">
        <f>DataUK1!AN14/DataUK1!B14-TableUK11a!L14</f>
        <v>0.19006995089945983</v>
      </c>
      <c r="F14" s="308">
        <f>TableUK8!F11</f>
        <v>2.1592265442873841E-2</v>
      </c>
      <c r="G14" s="1202">
        <f>DataUK1!GY14/DataUK1!B14</f>
        <v>2.9951970606494661E-2</v>
      </c>
      <c r="H14" s="303">
        <f t="shared" ref="H14:H77" si="2">I14+L14+O14</f>
        <v>0.61458579552418979</v>
      </c>
      <c r="I14" s="307">
        <f>DataUK1!BJ14/DataUK1!B14</f>
        <v>0.48366674592037406</v>
      </c>
      <c r="J14" s="308">
        <f>TableUK10!F11</f>
        <v>0.14308010511308408</v>
      </c>
      <c r="K14" s="308">
        <f>TableUK9!F11</f>
        <v>3.4157763470821369E-2</v>
      </c>
      <c r="L14" s="308">
        <f t="shared" ref="L14:L77" si="3">M14+N14</f>
        <v>0.13091904960381567</v>
      </c>
      <c r="M14" s="308">
        <f>DataUK2!AG14*DataUK2!X14*DataUK2!E14/DataUK1!B14/1000</f>
        <v>3.7204455326198566E-2</v>
      </c>
      <c r="N14" s="308">
        <f>DataUK2!AW14*DataUK2!AE14*DataUK2!Y14*DataUK2!E14/DataUK1!B14/1000</f>
        <v>9.3714594277617094E-2</v>
      </c>
      <c r="O14" s="394">
        <f>TableUK8!I11</f>
        <v>0</v>
      </c>
      <c r="P14" s="307">
        <f>B14/(1-TableUK9!$H11-TableUK8!J11)</f>
        <v>0.36802322116185054</v>
      </c>
      <c r="Q14" s="236">
        <f>H14/(1-TableUK9!$H11-TableUK8!J11)</f>
        <v>0.66435422450922788</v>
      </c>
      <c r="R14" s="1289">
        <f>(B14-G14)/(1-TableUK9!H11-TableUK8!J11)</f>
        <v>0.33564577549077212</v>
      </c>
      <c r="S14" s="193">
        <f t="shared" ref="S14:S77" si="4">Q14</f>
        <v>0.66435422450922788</v>
      </c>
      <c r="U14" s="2024">
        <f t="shared" si="0"/>
        <v>0</v>
      </c>
    </row>
    <row r="15" spans="1:21" ht="12" customHeight="1">
      <c r="A15" s="198">
        <v>1857</v>
      </c>
      <c r="B15" s="303">
        <f t="shared" si="1"/>
        <v>0.35474386489604082</v>
      </c>
      <c r="C15" s="308">
        <f>TableUK10!G12</f>
        <v>4.8775857488321611E-2</v>
      </c>
      <c r="D15" s="308">
        <f>TableUK9!B12</f>
        <v>5.3112231385090046E-2</v>
      </c>
      <c r="E15" s="308">
        <f>DataUK1!AN15/DataUK1!B15-TableUK11a!L15</f>
        <v>0.19900715873482067</v>
      </c>
      <c r="F15" s="308">
        <f>TableUK8!F12</f>
        <v>2.3461194781809858E-2</v>
      </c>
      <c r="G15" s="1202">
        <f>DataUK1!GY15/DataUK1!B15</f>
        <v>3.0387422505998605E-2</v>
      </c>
      <c r="H15" s="303">
        <f t="shared" si="2"/>
        <v>0.60073088307718026</v>
      </c>
      <c r="I15" s="307">
        <f>DataUK1!BJ15/DataUK1!B15</f>
        <v>0.4706902203100603</v>
      </c>
      <c r="J15" s="308">
        <f>TableUK10!F12</f>
        <v>0.12882755106742005</v>
      </c>
      <c r="K15" s="308">
        <f>TableUK9!F12</f>
        <v>3.4109981752655255E-2</v>
      </c>
      <c r="L15" s="308">
        <f t="shared" si="3"/>
        <v>0.13004066276712001</v>
      </c>
      <c r="M15" s="308">
        <f>DataUK2!AG15*DataUK2!X15*DataUK2!E15/DataUK1!B15/1000</f>
        <v>3.6186851802982173E-2</v>
      </c>
      <c r="N15" s="308">
        <f>DataUK2!AW15*DataUK2!AE15*DataUK2!Y15*DataUK2!E15/DataUK1!B15/1000</f>
        <v>9.3853810964137849E-2</v>
      </c>
      <c r="O15" s="394">
        <f>TableUK8!I12</f>
        <v>0</v>
      </c>
      <c r="P15" s="307">
        <f>B15/(1-TableUK9!$H12-TableUK8!J12)</f>
        <v>0.38347067907008092</v>
      </c>
      <c r="Q15" s="236">
        <f>H15/(1-TableUK9!$H12-TableUK8!J12)</f>
        <v>0.64937748744290325</v>
      </c>
      <c r="R15" s="1289">
        <f>(B15-G15)/(1-TableUK9!H12-TableUK8!J12)</f>
        <v>0.35062251255709664</v>
      </c>
      <c r="S15" s="193">
        <f t="shared" si="4"/>
        <v>0.64937748744290325</v>
      </c>
      <c r="U15" s="2024">
        <f t="shared" si="0"/>
        <v>0</v>
      </c>
    </row>
    <row r="16" spans="1:21" ht="12" customHeight="1">
      <c r="A16" s="198">
        <v>1858</v>
      </c>
      <c r="B16" s="303">
        <f t="shared" si="1"/>
        <v>0.36717700038952189</v>
      </c>
      <c r="C16" s="308">
        <f>TableUK10!G13</f>
        <v>6.4729670139230963E-2</v>
      </c>
      <c r="D16" s="308">
        <f>TableUK9!B13</f>
        <v>5.6745251465537792E-2</v>
      </c>
      <c r="E16" s="308">
        <f>DataUK1!AN16/DataUK1!B16-TableUK11a!L16</f>
        <v>0.1910347075486554</v>
      </c>
      <c r="F16" s="308">
        <f>TableUK8!F13</f>
        <v>2.3817916027900964E-2</v>
      </c>
      <c r="G16" s="1202">
        <f>DataUK1!GY16/DataUK1!B16</f>
        <v>3.0849455208196749E-2</v>
      </c>
      <c r="H16" s="303">
        <f t="shared" si="2"/>
        <v>0.58875988678191493</v>
      </c>
      <c r="I16" s="307">
        <f>DataUK1!BJ16/DataUK1!B16</f>
        <v>0.45849488353709356</v>
      </c>
      <c r="J16" s="308">
        <f>TableUK10!F13</f>
        <v>0.13005695313911567</v>
      </c>
      <c r="K16" s="308">
        <f>TableUK9!F13</f>
        <v>3.4142124543112225E-2</v>
      </c>
      <c r="L16" s="308">
        <f t="shared" si="3"/>
        <v>0.1302650032448214</v>
      </c>
      <c r="M16" s="308">
        <f>DataUK2!AG16*DataUK2!X16*DataUK2!E16/DataUK1!B16/1000</f>
        <v>3.6276236533525213E-2</v>
      </c>
      <c r="N16" s="308">
        <f>DataUK2!AW16*DataUK2!AE16*DataUK2!Y16*DataUK2!E16/DataUK1!B16/1000</f>
        <v>9.398876671129619E-2</v>
      </c>
      <c r="O16" s="394">
        <f>TableUK8!I13</f>
        <v>0</v>
      </c>
      <c r="P16" s="307">
        <f>B16/(1-TableUK9!$H13-TableUK8!J13)</f>
        <v>0.39691059212672586</v>
      </c>
      <c r="Q16" s="236">
        <f>H16/(1-TableUK9!$H13-TableUK8!J13)</f>
        <v>0.63643701820965848</v>
      </c>
      <c r="R16" s="1289">
        <f>(B16-G16)/(1-TableUK9!H13-TableUK8!J13)</f>
        <v>0.36356298179034136</v>
      </c>
      <c r="S16" s="193">
        <f t="shared" si="4"/>
        <v>0.63643701820965848</v>
      </c>
      <c r="U16" s="2024">
        <f t="shared" si="0"/>
        <v>0</v>
      </c>
    </row>
    <row r="17" spans="1:21" ht="12" customHeight="1">
      <c r="A17" s="214">
        <v>1859</v>
      </c>
      <c r="B17" s="565">
        <f t="shared" si="1"/>
        <v>0.33625997791133228</v>
      </c>
      <c r="C17" s="550">
        <f>TableUK10!G14</f>
        <v>4.8901557952485693E-2</v>
      </c>
      <c r="D17" s="550">
        <f>TableUK9!B14</f>
        <v>5.7890945640139586E-2</v>
      </c>
      <c r="E17" s="550">
        <f>DataUK1!AN17/DataUK1!B17-TableUK11a!L17</f>
        <v>0.17596687876354228</v>
      </c>
      <c r="F17" s="550">
        <f>TableUK8!F14</f>
        <v>2.4271838507643275E-2</v>
      </c>
      <c r="G17" s="1960">
        <f>DataUK1!GY17/DataUK1!B17</f>
        <v>2.9228757047521495E-2</v>
      </c>
      <c r="H17" s="565">
        <f t="shared" si="2"/>
        <v>0.61805581900617956</v>
      </c>
      <c r="I17" s="568">
        <f>DataUK1!BJ17/DataUK1!B17</f>
        <v>0.48115350453386962</v>
      </c>
      <c r="J17" s="550">
        <f>TableUK10!F14</f>
        <v>0.16657466093437778</v>
      </c>
      <c r="K17" s="550">
        <f>TableUK9!F14</f>
        <v>3.4043259006315947E-2</v>
      </c>
      <c r="L17" s="550">
        <f t="shared" si="3"/>
        <v>0.13690231447230999</v>
      </c>
      <c r="M17" s="550">
        <f>DataUK2!AG17*DataUK2!X17*DataUK2!E17/DataUK1!B17/1000</f>
        <v>3.5594201150053982E-2</v>
      </c>
      <c r="N17" s="550">
        <f>DataUK2!AW17*DataUK2!AE17*DataUK2!Y17*DataUK2!E17/DataUK1!B17/1000</f>
        <v>0.10130811332225602</v>
      </c>
      <c r="O17" s="553">
        <f>TableUK8!I14</f>
        <v>0</v>
      </c>
      <c r="P17" s="568">
        <f>B17/(1-TableUK9!$H14-TableUK8!J14)</f>
        <v>0.36349009706004465</v>
      </c>
      <c r="Q17" s="244">
        <f>H17/(1-TableUK9!$H14-TableUK8!J14)</f>
        <v>0.66810558614359095</v>
      </c>
      <c r="R17" s="1291">
        <f>(B17-G17)/(1-TableUK9!H14-TableUK8!J14)</f>
        <v>0.33189441385640878</v>
      </c>
      <c r="S17" s="886">
        <f t="shared" si="4"/>
        <v>0.66810558614359095</v>
      </c>
      <c r="U17" s="2024">
        <f t="shared" si="0"/>
        <v>0</v>
      </c>
    </row>
    <row r="18" spans="1:21" ht="12" customHeight="1">
      <c r="A18" s="198">
        <v>1860</v>
      </c>
      <c r="B18" s="303">
        <f t="shared" si="1"/>
        <v>0.33406012337828439</v>
      </c>
      <c r="C18" s="308">
        <f>TableUK10!G15</f>
        <v>5.174755313443001E-2</v>
      </c>
      <c r="D18" s="308">
        <f>TableUK9!B15</f>
        <v>5.5415376384082921E-2</v>
      </c>
      <c r="E18" s="308">
        <f>DataUK1!AN18/DataUK1!B18-TableUK11a!L18</f>
        <v>0.17261492785690641</v>
      </c>
      <c r="F18" s="308">
        <f>TableUK8!F15</f>
        <v>2.6129093640452319E-2</v>
      </c>
      <c r="G18" s="1202">
        <f>DataUK1!GY18/DataUK1!B18</f>
        <v>2.8153172362412757E-2</v>
      </c>
      <c r="H18" s="303">
        <f t="shared" si="2"/>
        <v>0.61917969950473961</v>
      </c>
      <c r="I18" s="307">
        <f>DataUK1!BJ18/DataUK1!B18</f>
        <v>0.48132540916622696</v>
      </c>
      <c r="J18" s="308">
        <f>TableUK10!F15</f>
        <v>0.17498345440313659</v>
      </c>
      <c r="K18" s="308">
        <f>TableUK9!F15</f>
        <v>3.3941336026666692E-2</v>
      </c>
      <c r="L18" s="308">
        <f t="shared" si="3"/>
        <v>0.13785429033851271</v>
      </c>
      <c r="M18" s="308">
        <f>DataUK2!AG18*DataUK2!X18*DataUK2!E18/DataUK1!B18/1000</f>
        <v>3.3853632891485769E-2</v>
      </c>
      <c r="N18" s="308">
        <f>DataUK2!AW18*DataUK2!AE18*DataUK2!Y18*DataUK2!E18/DataUK1!B18/1000</f>
        <v>0.10400065744702694</v>
      </c>
      <c r="O18" s="394">
        <f>TableUK8!I15</f>
        <v>0</v>
      </c>
      <c r="P18" s="307">
        <f>B18/(1-TableUK9!$H15-TableUK8!J15)</f>
        <v>0.36111225169046079</v>
      </c>
      <c r="Q18" s="236">
        <f>H18/(1-TableUK9!$H15-TableUK8!J15)</f>
        <v>0.66932075947294623</v>
      </c>
      <c r="R18" s="1289">
        <f>(B18-G18)/(1-TableUK9!H15-TableUK8!J15)</f>
        <v>0.33067924052705355</v>
      </c>
      <c r="S18" s="193">
        <f t="shared" si="4"/>
        <v>0.66932075947294623</v>
      </c>
      <c r="U18" s="2024">
        <f t="shared" si="0"/>
        <v>0</v>
      </c>
    </row>
    <row r="19" spans="1:21" ht="12" customHeight="1">
      <c r="A19" s="198">
        <v>1861</v>
      </c>
      <c r="B19" s="303">
        <f t="shared" si="1"/>
        <v>0.35978282061558475</v>
      </c>
      <c r="C19" s="308">
        <f>TableUK10!G16</f>
        <v>6.8623289137807533E-2</v>
      </c>
      <c r="D19" s="308">
        <f>TableUK9!B16</f>
        <v>5.5828672212835197E-2</v>
      </c>
      <c r="E19" s="308">
        <f>DataUK1!AN19/DataUK1!B19-TableUK11a!L19</f>
        <v>0.18222734692949913</v>
      </c>
      <c r="F19" s="308">
        <f>TableUK8!F16</f>
        <v>2.6187922415890724E-2</v>
      </c>
      <c r="G19" s="1202">
        <f>DataUK1!GY19/DataUK1!B19</f>
        <v>2.6915589919552105E-2</v>
      </c>
      <c r="H19" s="303">
        <f t="shared" si="2"/>
        <v>0.59221918204213853</v>
      </c>
      <c r="I19" s="307">
        <f>DataUK1!BJ19/DataUK1!B19</f>
        <v>0.45828864227808763</v>
      </c>
      <c r="J19" s="308">
        <f>TableUK10!F16</f>
        <v>0.15309748663571573</v>
      </c>
      <c r="K19" s="308">
        <f>TableUK9!F16</f>
        <v>3.3882974250698084E-2</v>
      </c>
      <c r="L19" s="308">
        <f t="shared" si="3"/>
        <v>0.13393053976405092</v>
      </c>
      <c r="M19" s="308">
        <f>DataUK2!AG19*DataUK2!X19*DataUK2!E19/DataUK1!B19/1000</f>
        <v>3.2396428842397448E-2</v>
      </c>
      <c r="N19" s="308">
        <f>DataUK2!AW19*DataUK2!AE19*DataUK2!Y19*DataUK2!E19/DataUK1!B19/1000</f>
        <v>0.10153411092165347</v>
      </c>
      <c r="O19" s="394">
        <f>TableUK8!I16</f>
        <v>0</v>
      </c>
      <c r="P19" s="307">
        <f>B19/(1-TableUK9!$H16-TableUK8!J16)</f>
        <v>0.38891806825987257</v>
      </c>
      <c r="Q19" s="236">
        <f>H19/(1-TableUK9!$H16-TableUK8!J16)</f>
        <v>0.64017714873708265</v>
      </c>
      <c r="R19" s="1289">
        <f>(B19-G19)/(1-TableUK9!H16-TableUK8!J16)</f>
        <v>0.35982285126291719</v>
      </c>
      <c r="S19" s="193">
        <f t="shared" si="4"/>
        <v>0.64017714873708265</v>
      </c>
      <c r="U19" s="2024">
        <f t="shared" si="0"/>
        <v>0</v>
      </c>
    </row>
    <row r="20" spans="1:21" ht="12" customHeight="1">
      <c r="A20" s="198">
        <v>1862</v>
      </c>
      <c r="B20" s="303">
        <f t="shared" si="1"/>
        <v>0.36845957923901768</v>
      </c>
      <c r="C20" s="308">
        <f>TableUK10!G17</f>
        <v>7.8822010646715943E-2</v>
      </c>
      <c r="D20" s="308">
        <f>TableUK9!B17</f>
        <v>5.6401283432156571E-2</v>
      </c>
      <c r="E20" s="308">
        <f>DataUK1!AN20/DataUK1!B20-TableUK11a!L20</f>
        <v>0.18046009066783672</v>
      </c>
      <c r="F20" s="308">
        <f>TableUK8!F17</f>
        <v>2.6778343337696499E-2</v>
      </c>
      <c r="G20" s="1202">
        <f>DataUK1!GY20/DataUK1!B20</f>
        <v>2.5997851154611954E-2</v>
      </c>
      <c r="H20" s="303">
        <f t="shared" si="2"/>
        <v>0.58262463685039056</v>
      </c>
      <c r="I20" s="307">
        <f>DataUK1!BJ20/DataUK1!B20</f>
        <v>0.44885604070805557</v>
      </c>
      <c r="J20" s="308">
        <f>TableUK10!F17</f>
        <v>0.15136743633269956</v>
      </c>
      <c r="K20" s="308">
        <f>TableUK9!F17</f>
        <v>3.3873423833725283E-2</v>
      </c>
      <c r="L20" s="308">
        <f t="shared" si="3"/>
        <v>0.13376859614233497</v>
      </c>
      <c r="M20" s="308">
        <f>DataUK2!AG20*DataUK2!X20*DataUK2!E20/DataUK1!B20/1000</f>
        <v>3.1708652038860814E-2</v>
      </c>
      <c r="N20" s="308">
        <f>DataUK2!AW20*DataUK2!AE20*DataUK2!Y20*DataUK2!E20/DataUK1!B20/1000</f>
        <v>0.10205994410347416</v>
      </c>
      <c r="O20" s="394">
        <f>TableUK8!I17</f>
        <v>0</v>
      </c>
      <c r="P20" s="307">
        <f>B20/(1-TableUK9!$H17-TableUK8!J17)</f>
        <v>0.39829749221845706</v>
      </c>
      <c r="Q20" s="236">
        <f>H20/(1-TableUK9!$H17-TableUK8!J17)</f>
        <v>0.62980566889174328</v>
      </c>
      <c r="R20" s="1289">
        <f>(B20-G20)/(1-TableUK9!H17-TableUK8!J17)</f>
        <v>0.37019433110825695</v>
      </c>
      <c r="S20" s="193">
        <f t="shared" si="4"/>
        <v>0.62980566889174328</v>
      </c>
      <c r="U20" s="2024">
        <f t="shared" si="0"/>
        <v>0</v>
      </c>
    </row>
    <row r="21" spans="1:21" ht="12" customHeight="1">
      <c r="A21" s="198">
        <v>1863</v>
      </c>
      <c r="B21" s="303">
        <f t="shared" si="1"/>
        <v>0.36968190759866548</v>
      </c>
      <c r="C21" s="308">
        <f>TableUK10!G18</f>
        <v>8.2758704018850424E-2</v>
      </c>
      <c r="D21" s="308">
        <f>TableUK9!B18</f>
        <v>5.4907564268011813E-2</v>
      </c>
      <c r="E21" s="308">
        <f>DataUK1!AN21/DataUK1!B21-TableUK11a!L21</f>
        <v>0.18138799666957431</v>
      </c>
      <c r="F21" s="308">
        <f>TableUK8!F18</f>
        <v>2.5740360690360613E-2</v>
      </c>
      <c r="G21" s="1202">
        <f>DataUK1!GY21/DataUK1!B21</f>
        <v>2.4887281951868363E-2</v>
      </c>
      <c r="H21" s="303">
        <f t="shared" si="2"/>
        <v>0.58029192559485632</v>
      </c>
      <c r="I21" s="307">
        <f>DataUK1!BJ21/DataUK1!B21</f>
        <v>0.44616625196625065</v>
      </c>
      <c r="J21" s="308">
        <f>TableUK10!F18</f>
        <v>0.15359697013693902</v>
      </c>
      <c r="K21" s="308">
        <f>TableUK9!F18</f>
        <v>3.3929254449190545E-2</v>
      </c>
      <c r="L21" s="308">
        <f t="shared" si="3"/>
        <v>0.1341256736286057</v>
      </c>
      <c r="M21" s="308">
        <f>DataUK2!AG21*DataUK2!X21*DataUK2!E21/DataUK1!B21/1000</f>
        <v>3.0086135871850044E-2</v>
      </c>
      <c r="N21" s="308">
        <f>DataUK2!AW21*DataUK2!AE21*DataUK2!Y21*DataUK2!E21/DataUK1!B21/1000</f>
        <v>0.10403953775675565</v>
      </c>
      <c r="O21" s="394">
        <f>TableUK8!I18</f>
        <v>0</v>
      </c>
      <c r="P21" s="307">
        <f>B21/(1-TableUK9!$H18-TableUK8!J18)</f>
        <v>0.39961872443446239</v>
      </c>
      <c r="Q21" s="236">
        <f>H21/(1-TableUK9!$H18-TableUK8!J18)</f>
        <v>0.62728392799137234</v>
      </c>
      <c r="R21" s="1289">
        <f>(B21-G21)/(1-TableUK9!H18-TableUK8!J18)</f>
        <v>0.37271607200862766</v>
      </c>
      <c r="S21" s="193">
        <f t="shared" si="4"/>
        <v>0.62728392799137234</v>
      </c>
      <c r="U21" s="2024">
        <f t="shared" si="0"/>
        <v>0</v>
      </c>
    </row>
    <row r="22" spans="1:21" ht="12" customHeight="1">
      <c r="A22" s="198">
        <v>1864</v>
      </c>
      <c r="B22" s="303">
        <f t="shared" si="1"/>
        <v>0.36867249688138337</v>
      </c>
      <c r="C22" s="308">
        <f>TableUK10!G19</f>
        <v>9.2549190955524399E-2</v>
      </c>
      <c r="D22" s="308">
        <f>TableUK9!B19</f>
        <v>5.5845217295132026E-2</v>
      </c>
      <c r="E22" s="308">
        <f>DataUK1!AN22/DataUK1!B22-TableUK11a!L22</f>
        <v>0.16914447978383182</v>
      </c>
      <c r="F22" s="308">
        <f>TableUK8!F19</f>
        <v>2.7211236318048112E-2</v>
      </c>
      <c r="G22" s="1202">
        <f>DataUK1!GY22/DataUK1!B22</f>
        <v>2.3922372528846974E-2</v>
      </c>
      <c r="H22" s="303">
        <f t="shared" si="2"/>
        <v>0.58033633164346243</v>
      </c>
      <c r="I22" s="307">
        <f>DataUK1!BJ22/DataUK1!B22</f>
        <v>0.44484455893852565</v>
      </c>
      <c r="J22" s="308">
        <f>TableUK10!F19</f>
        <v>0.1670516593947613</v>
      </c>
      <c r="K22" s="308">
        <f>TableUK9!F19</f>
        <v>3.3905360689717119E-2</v>
      </c>
      <c r="L22" s="308">
        <f t="shared" si="3"/>
        <v>0.13549177270493681</v>
      </c>
      <c r="M22" s="308">
        <f>DataUK2!AG22*DataUK2!X22*DataUK2!E22/DataUK1!B22/1000</f>
        <v>2.9185717263683915E-2</v>
      </c>
      <c r="N22" s="308">
        <f>DataUK2!AW22*DataUK2!AE22*DataUK2!Y22*DataUK2!E22/DataUK1!B22/1000</f>
        <v>0.10630605544125291</v>
      </c>
      <c r="O22" s="394">
        <f>TableUK8!I19</f>
        <v>0</v>
      </c>
      <c r="P22" s="307">
        <f>B22/(1-TableUK9!$H19-TableUK8!J19)</f>
        <v>0.39852761273480153</v>
      </c>
      <c r="Q22" s="236">
        <f>H22/(1-TableUK9!$H19-TableUK8!J19)</f>
        <v>0.62733199462815681</v>
      </c>
      <c r="R22" s="1289">
        <f>(B22-G22)/(1-TableUK9!H19-TableUK8!J19)</f>
        <v>0.37266800537184336</v>
      </c>
      <c r="S22" s="193">
        <f t="shared" si="4"/>
        <v>0.62733199462815681</v>
      </c>
      <c r="U22" s="2024">
        <f t="shared" si="0"/>
        <v>0</v>
      </c>
    </row>
    <row r="23" spans="1:21" ht="12" customHeight="1">
      <c r="A23" s="198">
        <v>1865</v>
      </c>
      <c r="B23" s="303">
        <f t="shared" si="1"/>
        <v>0.35388666411607445</v>
      </c>
      <c r="C23" s="308">
        <f>TableUK10!G20</f>
        <v>8.3826622913403731E-2</v>
      </c>
      <c r="D23" s="308">
        <f>TableUK9!B20</f>
        <v>5.7598704156687344E-2</v>
      </c>
      <c r="E23" s="308">
        <f>DataUK1!AN23/DataUK1!B23-TableUK11a!L23</f>
        <v>0.16230027794802276</v>
      </c>
      <c r="F23" s="308">
        <f>TableUK8!F20</f>
        <v>2.7380228571546591E-2</v>
      </c>
      <c r="G23" s="1202">
        <f>DataUK1!GY23/DataUK1!B23</f>
        <v>2.2780830526414005E-2</v>
      </c>
      <c r="H23" s="303">
        <f t="shared" si="2"/>
        <v>0.59398055469476341</v>
      </c>
      <c r="I23" s="307">
        <f>DataUK1!BJ23/DataUK1!B23</f>
        <v>0.45405545714481432</v>
      </c>
      <c r="J23" s="308">
        <f>TableUK10!F20</f>
        <v>0.18398786333870504</v>
      </c>
      <c r="K23" s="308">
        <f>TableUK9!F20</f>
        <v>3.3891205192968205E-2</v>
      </c>
      <c r="L23" s="308">
        <f t="shared" si="3"/>
        <v>0.13992509754994914</v>
      </c>
      <c r="M23" s="308">
        <f>DataUK2!AG23*DataUK2!X23*DataUK2!E23/DataUK1!B23/1000</f>
        <v>2.8798893264372818E-2</v>
      </c>
      <c r="N23" s="308">
        <f>DataUK2!AW23*DataUK2!AE23*DataUK2!Y23*DataUK2!E23/DataUK1!B23/1000</f>
        <v>0.11112620428557632</v>
      </c>
      <c r="O23" s="394">
        <f>TableUK8!I20</f>
        <v>0</v>
      </c>
      <c r="P23" s="307">
        <f>B23/(1-TableUK9!$H20-TableUK8!J20)</f>
        <v>0.38254445054840619</v>
      </c>
      <c r="Q23" s="236">
        <f>H23/(1-TableUK9!$H20-TableUK8!J20)</f>
        <v>0.6420811744904199</v>
      </c>
      <c r="R23" s="1289">
        <f>(B23-G23)/(1-TableUK9!H20-TableUK8!J20)</f>
        <v>0.35791882550958021</v>
      </c>
      <c r="S23" s="193">
        <f t="shared" si="4"/>
        <v>0.6420811744904199</v>
      </c>
      <c r="U23" s="2024">
        <f t="shared" si="0"/>
        <v>0</v>
      </c>
    </row>
    <row r="24" spans="1:21" ht="12" customHeight="1">
      <c r="A24" s="198">
        <v>1866</v>
      </c>
      <c r="B24" s="303">
        <f t="shared" si="1"/>
        <v>0.34945889203385871</v>
      </c>
      <c r="C24" s="308">
        <f>TableUK10!G21</f>
        <v>8.1009937942512864E-2</v>
      </c>
      <c r="D24" s="308">
        <f>TableUK9!B21</f>
        <v>5.5989700238354756E-2</v>
      </c>
      <c r="E24" s="308">
        <f>DataUK1!AN24/DataUK1!B24-TableUK11a!L24</f>
        <v>0.1613651124706523</v>
      </c>
      <c r="F24" s="308">
        <f>TableUK8!F21</f>
        <v>2.8951979280930119E-2</v>
      </c>
      <c r="G24" s="1202">
        <f>DataUK1!GY24/DataUK1!B24</f>
        <v>2.2142162101408677E-2</v>
      </c>
      <c r="H24" s="303">
        <f t="shared" si="2"/>
        <v>0.59776949214600672</v>
      </c>
      <c r="I24" s="307">
        <f>DataUK1!BJ24/DataUK1!B24</f>
        <v>0.45543690484232374</v>
      </c>
      <c r="J24" s="308">
        <f>TableUK10!F21</f>
        <v>0.19006242472824114</v>
      </c>
      <c r="K24" s="308">
        <f>TableUK9!F21</f>
        <v>3.3848123473080159E-2</v>
      </c>
      <c r="L24" s="308">
        <f t="shared" si="3"/>
        <v>0.14233258730368301</v>
      </c>
      <c r="M24" s="308">
        <f>DataUK2!AG24*DataUK2!X24*DataUK2!E24/DataUK1!B24/1000</f>
        <v>2.8250456330807371E-2</v>
      </c>
      <c r="N24" s="308">
        <f>DataUK2!AW24*DataUK2!AE24*DataUK2!Y24*DataUK2!E24/DataUK1!B24/1000</f>
        <v>0.11408213097287563</v>
      </c>
      <c r="O24" s="394">
        <f>TableUK8!I21</f>
        <v>0</v>
      </c>
      <c r="P24" s="307">
        <f>B24/(1-TableUK9!$H21-TableUK8!J21)</f>
        <v>0.37775818479785012</v>
      </c>
      <c r="Q24" s="236">
        <f>H24/(1-TableUK9!$H21-TableUK8!J21)</f>
        <v>0.64617705666716729</v>
      </c>
      <c r="R24" s="1289">
        <f>(B24-G24)/(1-TableUK9!H21-TableUK8!J21)</f>
        <v>0.3538229433328326</v>
      </c>
      <c r="S24" s="193">
        <f t="shared" si="4"/>
        <v>0.64617705666716729</v>
      </c>
      <c r="U24" s="2024">
        <f t="shared" si="0"/>
        <v>0</v>
      </c>
    </row>
    <row r="25" spans="1:21" ht="12" customHeight="1">
      <c r="A25" s="198">
        <v>1867</v>
      </c>
      <c r="B25" s="303">
        <f t="shared" si="1"/>
        <v>0.33846860107828947</v>
      </c>
      <c r="C25" s="308">
        <f>TableUK10!G22</f>
        <v>6.8268956586068436E-2</v>
      </c>
      <c r="D25" s="308">
        <f>TableUK9!B22</f>
        <v>5.6960815222591415E-2</v>
      </c>
      <c r="E25" s="308">
        <f>DataUK1!AN25/DataUK1!B25-TableUK11a!L25</f>
        <v>0.1596280466002187</v>
      </c>
      <c r="F25" s="308">
        <f>TableUK8!F22</f>
        <v>3.1625438221545073E-2</v>
      </c>
      <c r="G25" s="1202">
        <f>DataUK1!GY25/DataUK1!B25</f>
        <v>2.1985344447865811E-2</v>
      </c>
      <c r="H25" s="303">
        <f t="shared" si="2"/>
        <v>0.6086026668505542</v>
      </c>
      <c r="I25" s="307">
        <f>DataUK1!BJ25/DataUK1!B25</f>
        <v>0.46195729402185481</v>
      </c>
      <c r="J25" s="308">
        <f>TableUK10!F22</f>
        <v>0.20054079986505624</v>
      </c>
      <c r="K25" s="308">
        <f>TableUK9!F22</f>
        <v>3.3767643348478288E-2</v>
      </c>
      <c r="L25" s="308">
        <f t="shared" si="3"/>
        <v>0.14664537282869936</v>
      </c>
      <c r="M25" s="308">
        <f>DataUK2!AG25*DataUK2!X25*DataUK2!E25/DataUK1!B25/1000</f>
        <v>2.828396223481661E-2</v>
      </c>
      <c r="N25" s="308">
        <f>DataUK2!AW25*DataUK2!AE25*DataUK2!Y25*DataUK2!E25/DataUK1!B25/1000</f>
        <v>0.11836141059388273</v>
      </c>
      <c r="O25" s="394">
        <f>TableUK8!I22</f>
        <v>0</v>
      </c>
      <c r="P25" s="307">
        <f>B25/(1-TableUK9!$H22-TableUK8!J22)</f>
        <v>0.36587801466557418</v>
      </c>
      <c r="Q25" s="236">
        <f>H25/(1-TableUK9!$H22-TableUK8!J22)</f>
        <v>0.65788771767325316</v>
      </c>
      <c r="R25" s="1289">
        <f>(B25-G25)/(1-TableUK9!H22-TableUK8!J22)</f>
        <v>0.3421122823267469</v>
      </c>
      <c r="S25" s="193">
        <f t="shared" si="4"/>
        <v>0.65788771767325316</v>
      </c>
      <c r="U25" s="2024">
        <f t="shared" si="0"/>
        <v>0</v>
      </c>
    </row>
    <row r="26" spans="1:21" ht="12" customHeight="1">
      <c r="A26" s="198">
        <v>1868</v>
      </c>
      <c r="B26" s="303">
        <f t="shared" si="1"/>
        <v>0.34833862087881079</v>
      </c>
      <c r="C26" s="308">
        <f>TableUK10!G23</f>
        <v>7.9434008940428472E-2</v>
      </c>
      <c r="D26" s="308">
        <f>TableUK9!B23</f>
        <v>5.7960432649337687E-2</v>
      </c>
      <c r="E26" s="308">
        <f>DataUK1!AN26/DataUK1!B26-TableUK11a!L26</f>
        <v>0.15455156821155744</v>
      </c>
      <c r="F26" s="308">
        <f>TableUK8!F23</f>
        <v>3.4990284473458214E-2</v>
      </c>
      <c r="G26" s="1202">
        <f>DataUK1!GY26/DataUK1!B26</f>
        <v>2.1402326604029E-2</v>
      </c>
      <c r="H26" s="303">
        <f t="shared" si="2"/>
        <v>0.59814927489312097</v>
      </c>
      <c r="I26" s="307">
        <f>DataUK1!BJ26/DataUK1!B26</f>
        <v>0.45148754159300919</v>
      </c>
      <c r="J26" s="308">
        <f>TableUK10!F23</f>
        <v>0.19966488239637331</v>
      </c>
      <c r="K26" s="308">
        <f>TableUK9!F23</f>
        <v>3.3671047486028172E-2</v>
      </c>
      <c r="L26" s="308">
        <f t="shared" si="3"/>
        <v>0.14666173330011181</v>
      </c>
      <c r="M26" s="308">
        <f>DataUK2!AG26*DataUK2!X26*DataUK2!E26/DataUK1!B26/1000</f>
        <v>2.840599323049715E-2</v>
      </c>
      <c r="N26" s="308">
        <f>DataUK2!AW26*DataUK2!AE26*DataUK2!Y26*DataUK2!E26/DataUK1!B26/1000</f>
        <v>0.11825574006961466</v>
      </c>
      <c r="O26" s="394">
        <f>TableUK8!I23</f>
        <v>0</v>
      </c>
      <c r="P26" s="307">
        <f>B26/(1-TableUK9!$H23-TableUK8!J23)</f>
        <v>0.37654745948759627</v>
      </c>
      <c r="Q26" s="236">
        <f>H26/(1-TableUK9!$H23-TableUK8!J23)</f>
        <v>0.64658805069367276</v>
      </c>
      <c r="R26" s="1289">
        <f>(B26-G26)/(1-TableUK9!H23-TableUK8!J23)</f>
        <v>0.3534119493063273</v>
      </c>
      <c r="S26" s="193">
        <f t="shared" si="4"/>
        <v>0.64658805069367276</v>
      </c>
      <c r="U26" s="2024">
        <f t="shared" si="0"/>
        <v>0</v>
      </c>
    </row>
    <row r="27" spans="1:21" ht="12" customHeight="1">
      <c r="A27" s="214">
        <v>1869</v>
      </c>
      <c r="B27" s="565">
        <f t="shared" si="1"/>
        <v>0.34643372695697511</v>
      </c>
      <c r="C27" s="550">
        <f>TableUK10!G24</f>
        <v>9.0964561728040474E-2</v>
      </c>
      <c r="D27" s="550">
        <f>TableUK9!B24</f>
        <v>5.6713648698356413E-2</v>
      </c>
      <c r="E27" s="550">
        <f>DataUK1!AN27/DataUK1!B27-TableUK11a!L27</f>
        <v>0.14194510632046872</v>
      </c>
      <c r="F27" s="550">
        <f>TableUK8!F24</f>
        <v>3.6021234239475876E-2</v>
      </c>
      <c r="G27" s="1960">
        <f>DataUK1!GY27/DataUK1!B27</f>
        <v>2.0789175970633643E-2</v>
      </c>
      <c r="H27" s="565">
        <f t="shared" si="2"/>
        <v>0.59944086149761433</v>
      </c>
      <c r="I27" s="568">
        <f>DataUK1!BJ27/DataUK1!B27</f>
        <v>0.45190275682251552</v>
      </c>
      <c r="J27" s="550">
        <f>TableUK10!F24</f>
        <v>0.2141199473041896</v>
      </c>
      <c r="K27" s="550">
        <f>TableUK9!F24</f>
        <v>3.3631225091935529E-2</v>
      </c>
      <c r="L27" s="550">
        <f t="shared" si="3"/>
        <v>0.14753810467509884</v>
      </c>
      <c r="M27" s="550">
        <f>DataUK2!AG27*DataUK2!X27*DataUK2!E27/DataUK1!B27/1000</f>
        <v>2.6603605646009696E-2</v>
      </c>
      <c r="N27" s="550">
        <f>DataUK2!AW27*DataUK2!AE27*DataUK2!Y27*DataUK2!E27/DataUK1!B27/1000</f>
        <v>0.12093449902908913</v>
      </c>
      <c r="O27" s="553">
        <f>TableUK8!I24</f>
        <v>0</v>
      </c>
      <c r="P27" s="568">
        <f>B27/(1-TableUK9!$H24-TableUK8!J24)</f>
        <v>0.37448836862183632</v>
      </c>
      <c r="Q27" s="244">
        <f>H27/(1-TableUK9!$H24-TableUK8!J24)</f>
        <v>0.64798434113024217</v>
      </c>
      <c r="R27" s="1291">
        <f>(B27-G27)/(1-TableUK9!H24-TableUK8!J24)</f>
        <v>0.35201565886975794</v>
      </c>
      <c r="S27" s="886">
        <f t="shared" si="4"/>
        <v>0.64798434113024217</v>
      </c>
      <c r="U27" s="2024">
        <f t="shared" si="0"/>
        <v>0</v>
      </c>
    </row>
    <row r="28" spans="1:21" ht="12" customHeight="1">
      <c r="A28" s="198">
        <v>1870</v>
      </c>
      <c r="B28" s="303">
        <f t="shared" si="1"/>
        <v>0.36192071387339425</v>
      </c>
      <c r="C28" s="308">
        <f>TableUK10!G25</f>
        <v>0.10457416808117749</v>
      </c>
      <c r="D28" s="308">
        <f>TableUK9!B25</f>
        <v>5.733654953000724E-2</v>
      </c>
      <c r="E28" s="308">
        <f>DataUK1!AN28/DataUK1!B28-TableUK11a!L28</f>
        <v>0.1455549483451091</v>
      </c>
      <c r="F28" s="308">
        <f>TableUK8!F25</f>
        <v>3.5430224150397684E-2</v>
      </c>
      <c r="G28" s="1202">
        <f>DataUK1!GY28/DataUK1!B28</f>
        <v>1.9024823766702729E-2</v>
      </c>
      <c r="H28" s="303">
        <f t="shared" si="2"/>
        <v>0.58219449311818194</v>
      </c>
      <c r="I28" s="307">
        <f>DataUK1!BJ28/DataUK1!B28</f>
        <v>0.43629790310918293</v>
      </c>
      <c r="J28" s="308">
        <f>TableUK10!F25</f>
        <v>0.20288639261215732</v>
      </c>
      <c r="K28" s="308">
        <f>TableUK9!F25</f>
        <v>3.3405639913232102E-2</v>
      </c>
      <c r="L28" s="308">
        <f t="shared" si="3"/>
        <v>0.14589659000899904</v>
      </c>
      <c r="M28" s="308">
        <f>DataUK2!AG28*DataUK2!X28*DataUK2!E28/DataUK1!B28/1000</f>
        <v>2.666583599055292E-2</v>
      </c>
      <c r="N28" s="308">
        <f>DataUK2!AW28*DataUK2!AE28*DataUK2!Y28*DataUK2!E28/DataUK1!B28/1000</f>
        <v>0.11923075401844613</v>
      </c>
      <c r="O28" s="394">
        <f>TableUK8!I25</f>
        <v>0</v>
      </c>
      <c r="P28" s="307">
        <f>B28/(1-TableUK9!$H25-TableUK8!J25)</f>
        <v>0.39122740916594045</v>
      </c>
      <c r="Q28" s="236">
        <f>H28/(1-TableUK9!$H25-TableUK8!J25)</f>
        <v>0.62933795840428763</v>
      </c>
      <c r="R28" s="1289">
        <f>(B28-G28)/(1-TableUK9!H25-TableUK8!J25)</f>
        <v>0.37066204159571237</v>
      </c>
      <c r="S28" s="193">
        <f t="shared" si="4"/>
        <v>0.62933795840428763</v>
      </c>
      <c r="U28" s="2024">
        <f t="shared" si="0"/>
        <v>0</v>
      </c>
    </row>
    <row r="29" spans="1:21" ht="12" customHeight="1">
      <c r="A29" s="198">
        <v>1871</v>
      </c>
      <c r="B29" s="303">
        <f t="shared" si="1"/>
        <v>0.37228934083185011</v>
      </c>
      <c r="C29" s="308">
        <f>TableUK10!G26</f>
        <v>0.11625667447959891</v>
      </c>
      <c r="D29" s="308">
        <f>TableUK9!B26</f>
        <v>5.433661576697859E-2</v>
      </c>
      <c r="E29" s="308">
        <f>DataUK1!AN29/DataUK1!B29-TableUK11a!L29</f>
        <v>0.14736652645586151</v>
      </c>
      <c r="F29" s="308">
        <f>TableUK8!F26</f>
        <v>3.6715557982338866E-2</v>
      </c>
      <c r="G29" s="1202">
        <f>DataUK1!GY29/DataUK1!B29</f>
        <v>1.7613966147072221E-2</v>
      </c>
      <c r="H29" s="303">
        <f t="shared" si="2"/>
        <v>0.57471778304149335</v>
      </c>
      <c r="I29" s="307">
        <f>DataUK1!BJ29/DataUK1!B29</f>
        <v>0.43023102558791954</v>
      </c>
      <c r="J29" s="308">
        <f>TableUK10!F26</f>
        <v>0.20385087607303301</v>
      </c>
      <c r="K29" s="308">
        <f>TableUK9!F26</f>
        <v>3.1631865338630411E-2</v>
      </c>
      <c r="L29" s="308">
        <f t="shared" si="3"/>
        <v>0.14448675745357381</v>
      </c>
      <c r="M29" s="308">
        <f>DataUK2!AG29*DataUK2!X29*DataUK2!E29/DataUK1!B29/1000</f>
        <v>2.4484916684713885E-2</v>
      </c>
      <c r="N29" s="308">
        <f>DataUK2!AW29*DataUK2!AE29*DataUK2!Y29*DataUK2!E29/DataUK1!B29/1000</f>
        <v>0.12000184076885992</v>
      </c>
      <c r="O29" s="394">
        <f>TableUK8!I26</f>
        <v>0</v>
      </c>
      <c r="P29" s="307">
        <f>B29/(1-TableUK9!$H26-TableUK8!J26)</f>
        <v>0.40057250017058793</v>
      </c>
      <c r="Q29" s="236">
        <f>H29/(1-TableUK9!$H26-TableUK8!J26)</f>
        <v>0.61837961498180249</v>
      </c>
      <c r="R29" s="1289">
        <f>(B29-G29)/(1-TableUK9!H26-TableUK8!J26)</f>
        <v>0.38162038501819734</v>
      </c>
      <c r="S29" s="193">
        <f t="shared" si="4"/>
        <v>0.61837961498180249</v>
      </c>
      <c r="U29" s="2024">
        <f t="shared" si="0"/>
        <v>0</v>
      </c>
    </row>
    <row r="30" spans="1:21" ht="12" customHeight="1">
      <c r="A30" s="198">
        <v>1872</v>
      </c>
      <c r="B30" s="303">
        <f t="shared" si="1"/>
        <v>0.34374824234316625</v>
      </c>
      <c r="C30" s="308">
        <f>TableUK10!G27</f>
        <v>0.10172714423989795</v>
      </c>
      <c r="D30" s="308">
        <f>TableUK9!B27</f>
        <v>5.2029223268958424E-2</v>
      </c>
      <c r="E30" s="308">
        <f>DataUK1!AN30/DataUK1!B30-TableUK11a!L30</f>
        <v>0.13453571291561994</v>
      </c>
      <c r="F30" s="308">
        <f>TableUK8!F27</f>
        <v>3.8910456679902117E-2</v>
      </c>
      <c r="G30" s="1202">
        <f>DataUK1!GY30/DataUK1!B30</f>
        <v>1.6545705238787838E-2</v>
      </c>
      <c r="H30" s="303">
        <f t="shared" si="2"/>
        <v>0.60381983514488591</v>
      </c>
      <c r="I30" s="307">
        <f>DataUK1!BJ30/DataUK1!B30</f>
        <v>0.45277622318431548</v>
      </c>
      <c r="J30" s="308">
        <f>TableUK10!F27</f>
        <v>0.23737674374296872</v>
      </c>
      <c r="K30" s="308">
        <f>TableUK9!F27</f>
        <v>3.0244036783014822E-2</v>
      </c>
      <c r="L30" s="308">
        <f t="shared" si="3"/>
        <v>0.15104361196057042</v>
      </c>
      <c r="M30" s="308">
        <f>DataUK2!AG30*DataUK2!X30*DataUK2!E30/DataUK1!B30/1000</f>
        <v>2.5590402494299128E-2</v>
      </c>
      <c r="N30" s="308">
        <f>DataUK2!AW30*DataUK2!AE30*DataUK2!Y30*DataUK2!E30/DataUK1!B30/1000</f>
        <v>0.12545320946627128</v>
      </c>
      <c r="O30" s="394">
        <f>TableUK8!I27</f>
        <v>0</v>
      </c>
      <c r="P30" s="307">
        <f>B30/(1-TableUK9!$H27-TableUK8!J27)</f>
        <v>0.3692158777159158</v>
      </c>
      <c r="Q30" s="236">
        <f>H30/(1-TableUK9!$H27-TableUK8!J27)</f>
        <v>0.64855566648319385</v>
      </c>
      <c r="R30" s="1289">
        <f>(B30-G30)/(1-TableUK9!H27-TableUK8!J27)</f>
        <v>0.35144433351680604</v>
      </c>
      <c r="S30" s="193">
        <f t="shared" si="4"/>
        <v>0.64855566648319385</v>
      </c>
      <c r="U30" s="2024">
        <f t="shared" ref="U30:U93" si="5">1-R30-S30</f>
        <v>0</v>
      </c>
    </row>
    <row r="31" spans="1:21" ht="12" customHeight="1">
      <c r="A31" s="198">
        <v>1873</v>
      </c>
      <c r="B31" s="303">
        <f t="shared" si="1"/>
        <v>0.33497755714650845</v>
      </c>
      <c r="C31" s="308">
        <f>TableUK10!G28</f>
        <v>8.7311516778502227E-2</v>
      </c>
      <c r="D31" s="308">
        <f>TableUK9!B28</f>
        <v>5.0366715876110545E-2</v>
      </c>
      <c r="E31" s="308">
        <f>DataUK1!AN31/DataUK1!B31-TableUK11a!L31</f>
        <v>0.13886397927033717</v>
      </c>
      <c r="F31" s="308">
        <f>TableUK8!F28</f>
        <v>4.3075521210848164E-2</v>
      </c>
      <c r="G31" s="1202">
        <f>DataUK1!GY31/DataUK1!B31</f>
        <v>1.5359824010710352E-2</v>
      </c>
      <c r="H31" s="303">
        <f t="shared" si="2"/>
        <v>0.6141122342321278</v>
      </c>
      <c r="I31" s="307">
        <f>DataUK1!BJ31/DataUK1!B31</f>
        <v>0.46306185301661779</v>
      </c>
      <c r="J31" s="308">
        <f>TableUK10!F28</f>
        <v>0.25323972234762199</v>
      </c>
      <c r="K31" s="308">
        <f>TableUK9!F28</f>
        <v>2.7336388460730564E-2</v>
      </c>
      <c r="L31" s="308">
        <f t="shared" si="3"/>
        <v>0.15105038121551001</v>
      </c>
      <c r="M31" s="308">
        <f>DataUK2!AG31*DataUK2!X31*DataUK2!E31/DataUK1!B31/1000</f>
        <v>2.3701272032774948E-2</v>
      </c>
      <c r="N31" s="308">
        <f>DataUK2!AW31*DataUK2!AE31*DataUK2!Y31*DataUK2!E31/DataUK1!B31/1000</f>
        <v>0.12734910918273507</v>
      </c>
      <c r="O31" s="394">
        <f>TableUK8!I28</f>
        <v>0</v>
      </c>
      <c r="P31" s="307">
        <f>B31/(1-TableUK9!$H28-TableUK8!J28)</f>
        <v>0.35875206842806007</v>
      </c>
      <c r="Q31" s="236">
        <f>H31/(1-TableUK9!$H28-TableUK8!J28)</f>
        <v>0.65769789520972255</v>
      </c>
      <c r="R31" s="1289">
        <f>(B31-G31)/(1-TableUK9!H28-TableUK8!J28)</f>
        <v>0.34230210479027745</v>
      </c>
      <c r="S31" s="193">
        <f t="shared" si="4"/>
        <v>0.65769789520972255</v>
      </c>
      <c r="U31" s="2024">
        <f t="shared" si="5"/>
        <v>0</v>
      </c>
    </row>
    <row r="32" spans="1:21" ht="12" customHeight="1">
      <c r="A32" s="198">
        <v>1874</v>
      </c>
      <c r="B32" s="303">
        <f t="shared" si="1"/>
        <v>0.33337303158562587</v>
      </c>
      <c r="C32" s="308">
        <f>TableUK10!G29</f>
        <v>8.3979045648282485E-2</v>
      </c>
      <c r="D32" s="308">
        <f>TableUK9!B29</f>
        <v>5.4082121193776873E-2</v>
      </c>
      <c r="E32" s="308">
        <f>DataUK1!AN32/DataUK1!B32-TableUK11a!L32</f>
        <v>0.1314314695817517</v>
      </c>
      <c r="F32" s="308">
        <f>TableUK8!F29</f>
        <v>4.830800895938011E-2</v>
      </c>
      <c r="G32" s="1202">
        <f>DataUK1!GY32/DataUK1!B32</f>
        <v>1.5572386202434707E-2</v>
      </c>
      <c r="H32" s="303">
        <f t="shared" si="2"/>
        <v>0.6143986402878544</v>
      </c>
      <c r="I32" s="307">
        <f>DataUK1!BJ32/DataUK1!B32</f>
        <v>0.46358738422422668</v>
      </c>
      <c r="J32" s="308">
        <f>TableUK10!F29</f>
        <v>0.26176466399470016</v>
      </c>
      <c r="K32" s="308">
        <f>TableUK9!F29</f>
        <v>2.9493310733095225E-2</v>
      </c>
      <c r="L32" s="308">
        <f t="shared" si="3"/>
        <v>0.15081125606362769</v>
      </c>
      <c r="M32" s="308">
        <f>DataUK2!AG32*DataUK2!X32*DataUK2!E32/DataUK1!B32/1000</f>
        <v>2.4368442498275099E-2</v>
      </c>
      <c r="N32" s="308">
        <f>DataUK2!AW32*DataUK2!AE32*DataUK2!Y32*DataUK2!E32/DataUK1!B32/1000</f>
        <v>0.12644281356535259</v>
      </c>
      <c r="O32" s="394">
        <f>TableUK8!I29</f>
        <v>0</v>
      </c>
      <c r="P32" s="307">
        <f>B32/(1-TableUK9!$H29-TableUK8!J29)</f>
        <v>0.35761991744677923</v>
      </c>
      <c r="Q32" s="236">
        <f>H32/(1-TableUK9!$H29-TableUK8!J29)</f>
        <v>0.65908507948016537</v>
      </c>
      <c r="R32" s="1289">
        <f>(B32-G32)/(1-TableUK9!H29-TableUK8!J29)</f>
        <v>0.34091492051983469</v>
      </c>
      <c r="S32" s="193">
        <f t="shared" si="4"/>
        <v>0.65908507948016537</v>
      </c>
      <c r="U32" s="2024">
        <f t="shared" si="5"/>
        <v>0</v>
      </c>
    </row>
    <row r="33" spans="1:21" ht="12" customHeight="1">
      <c r="A33" s="198">
        <v>1875</v>
      </c>
      <c r="B33" s="303">
        <f t="shared" si="1"/>
        <v>0.32941020900282947</v>
      </c>
      <c r="C33" s="308">
        <f>TableUK10!G30</f>
        <v>8.0892873247488201E-2</v>
      </c>
      <c r="D33" s="308">
        <f>TableUK9!B30</f>
        <v>5.631443913460734E-2</v>
      </c>
      <c r="E33" s="308">
        <f>DataUK1!AN33/DataUK1!B33-TableUK11a!L33</f>
        <v>0.12687422523281597</v>
      </c>
      <c r="F33" s="308">
        <f>TableUK8!F30</f>
        <v>4.9666312111179146E-2</v>
      </c>
      <c r="G33" s="1202">
        <f>DataUK1!GY33/DataUK1!B33</f>
        <v>1.5662359276738789E-2</v>
      </c>
      <c r="H33" s="303">
        <f t="shared" si="2"/>
        <v>0.61689057646346968</v>
      </c>
      <c r="I33" s="307">
        <f>DataUK1!BJ33/DataUK1!B33</f>
        <v>0.46583575497381818</v>
      </c>
      <c r="J33" s="308">
        <f>TableUK10!F30</f>
        <v>0.27055109030272628</v>
      </c>
      <c r="K33" s="308">
        <f>TableUK9!F30</f>
        <v>3.0827366137973263E-2</v>
      </c>
      <c r="L33" s="308">
        <f t="shared" si="3"/>
        <v>0.15105482148965146</v>
      </c>
      <c r="M33" s="308">
        <f>DataUK2!AG33*DataUK2!X33*DataUK2!E33/DataUK1!B33/1000</f>
        <v>2.5148640796767627E-2</v>
      </c>
      <c r="N33" s="308">
        <f>DataUK2!AW33*DataUK2!AE33*DataUK2!Y33*DataUK2!E33/DataUK1!B33/1000</f>
        <v>0.12590618069288384</v>
      </c>
      <c r="O33" s="394">
        <f>TableUK8!I30</f>
        <v>0</v>
      </c>
      <c r="P33" s="307">
        <f>B33/(1-TableUK9!$H30-TableUK8!J30)</f>
        <v>0.35396153837272615</v>
      </c>
      <c r="Q33" s="236">
        <f>H33/(1-TableUK9!$H30-TableUK8!J30)</f>
        <v>0.66286815491736018</v>
      </c>
      <c r="R33" s="1289">
        <f>(B33-G33)/(1-TableUK9!H30-TableUK8!J30)</f>
        <v>0.33713184508263994</v>
      </c>
      <c r="S33" s="193">
        <f t="shared" si="4"/>
        <v>0.66286815491736018</v>
      </c>
      <c r="U33" s="2024">
        <f t="shared" si="5"/>
        <v>0</v>
      </c>
    </row>
    <row r="34" spans="1:21" ht="12" customHeight="1">
      <c r="A34" s="198">
        <v>1876</v>
      </c>
      <c r="B34" s="303">
        <f t="shared" si="1"/>
        <v>0.32306671569069356</v>
      </c>
      <c r="C34" s="308">
        <f>TableUK10!G31</f>
        <v>7.2343673051985871E-2</v>
      </c>
      <c r="D34" s="308">
        <f>TableUK9!B31</f>
        <v>6.1823965035814013E-2</v>
      </c>
      <c r="E34" s="308">
        <f>DataUK1!AN34/DataUK1!B34-TableUK11a!L34</f>
        <v>0.12346418943767634</v>
      </c>
      <c r="F34" s="308">
        <f>TableUK8!F31</f>
        <v>4.9428536741878984E-2</v>
      </c>
      <c r="G34" s="1202">
        <f>DataUK1!GY34/DataUK1!B34</f>
        <v>1.6006351423338377E-2</v>
      </c>
      <c r="H34" s="303">
        <f t="shared" si="2"/>
        <v>0.62096474889797904</v>
      </c>
      <c r="I34" s="307">
        <f>DataUK1!BJ34/DataUK1!B34</f>
        <v>0.47000468270348089</v>
      </c>
      <c r="J34" s="308">
        <f>TableUK10!F31</f>
        <v>0.27588292972369599</v>
      </c>
      <c r="K34" s="308">
        <f>TableUK9!F31</f>
        <v>3.1738323592153873E-2</v>
      </c>
      <c r="L34" s="308">
        <f t="shared" si="3"/>
        <v>0.15096006619449814</v>
      </c>
      <c r="M34" s="308">
        <f>DataUK2!AG34*DataUK2!X34*DataUK2!E34/DataUK1!B34/1000</f>
        <v>2.5179850820343439E-2</v>
      </c>
      <c r="N34" s="308">
        <f>DataUK2!AW34*DataUK2!AE34*DataUK2!Y34*DataUK2!E34/DataUK1!B34/1000</f>
        <v>0.12578021537415471</v>
      </c>
      <c r="O34" s="394">
        <f>TableUK8!I31</f>
        <v>0</v>
      </c>
      <c r="P34" s="307">
        <f>B34/(1-TableUK9!$H31-TableUK8!J31)</f>
        <v>0.348122815975064</v>
      </c>
      <c r="Q34" s="236">
        <f>H34/(1-TableUK9!$H31-TableUK8!J31)</f>
        <v>0.6691249407895602</v>
      </c>
      <c r="R34" s="1289">
        <f>(B34-G34)/(1-TableUK9!H31-TableUK8!J31)</f>
        <v>0.33087505921043997</v>
      </c>
      <c r="S34" s="193">
        <f t="shared" si="4"/>
        <v>0.6691249407895602</v>
      </c>
      <c r="U34" s="2024">
        <f t="shared" si="5"/>
        <v>0</v>
      </c>
    </row>
    <row r="35" spans="1:21" ht="12" customHeight="1">
      <c r="A35" s="198">
        <v>1877</v>
      </c>
      <c r="B35" s="303">
        <f t="shared" si="1"/>
        <v>0.31506469360810951</v>
      </c>
      <c r="C35" s="308">
        <f>TableUK10!G32</f>
        <v>6.9643487913857563E-2</v>
      </c>
      <c r="D35" s="308">
        <f>TableUK9!B32</f>
        <v>6.3916462382609479E-2</v>
      </c>
      <c r="E35" s="308">
        <f>DataUK1!AN35/DataUK1!B35-TableUK11a!L35</f>
        <v>0.11724953508642927</v>
      </c>
      <c r="F35" s="308">
        <f>TableUK8!F32</f>
        <v>4.8054600010983904E-2</v>
      </c>
      <c r="G35" s="1202">
        <f>DataUK1!GY35/DataUK1!B35</f>
        <v>1.620060821422933E-2</v>
      </c>
      <c r="H35" s="303">
        <f t="shared" si="2"/>
        <v>0.62774343458934423</v>
      </c>
      <c r="I35" s="307">
        <f>DataUK1!BJ35/DataUK1!B35</f>
        <v>0.47617740010884052</v>
      </c>
      <c r="J35" s="308">
        <f>TableUK10!F32</f>
        <v>0.28461038109489112</v>
      </c>
      <c r="K35" s="308">
        <f>TableUK9!F32</f>
        <v>3.2502384007429108E-2</v>
      </c>
      <c r="L35" s="308">
        <f t="shared" si="3"/>
        <v>0.15156603448050376</v>
      </c>
      <c r="M35" s="308">
        <f>DataUK2!AG35*DataUK2!X35*DataUK2!E35/DataUK1!B35/1000</f>
        <v>2.5494725201181068E-2</v>
      </c>
      <c r="N35" s="308">
        <f>DataUK2!AW35*DataUK2!AE35*DataUK2!Y35*DataUK2!E35/DataUK1!B35/1000</f>
        <v>0.1260713092793227</v>
      </c>
      <c r="O35" s="394">
        <f>TableUK8!I32</f>
        <v>0</v>
      </c>
      <c r="P35" s="307">
        <f>B35/(1-TableUK9!$H32-TableUK8!J32)</f>
        <v>0.34001957335055244</v>
      </c>
      <c r="Q35" s="236">
        <f>H35/(1-TableUK9!$H32-TableUK8!J32)</f>
        <v>0.67746421332810791</v>
      </c>
      <c r="R35" s="1289">
        <f>(B35-G35)/(1-TableUK9!H32-TableUK8!J32)</f>
        <v>0.32253578667189198</v>
      </c>
      <c r="S35" s="193">
        <f t="shared" si="4"/>
        <v>0.67746421332810791</v>
      </c>
      <c r="U35" s="2024">
        <f t="shared" si="5"/>
        <v>0</v>
      </c>
    </row>
    <row r="36" spans="1:21" ht="12" customHeight="1">
      <c r="A36" s="198">
        <v>1878</v>
      </c>
      <c r="B36" s="303">
        <f t="shared" si="1"/>
        <v>0.31813581984420469</v>
      </c>
      <c r="C36" s="308">
        <f>TableUK10!G33</f>
        <v>7.0167679335523911E-2</v>
      </c>
      <c r="D36" s="308">
        <f>TableUK9!B33</f>
        <v>7.0070343811218364E-2</v>
      </c>
      <c r="E36" s="308">
        <f>DataUK1!AN36/DataUK1!B36-TableUK11a!L36</f>
        <v>0.11166075286221233</v>
      </c>
      <c r="F36" s="308">
        <f>TableUK8!F33</f>
        <v>4.9423985909670926E-2</v>
      </c>
      <c r="G36" s="1202">
        <f>DataUK1!GY36/DataUK1!B36</f>
        <v>1.6813057925579213E-2</v>
      </c>
      <c r="H36" s="303">
        <f t="shared" si="2"/>
        <v>0.62229471440279216</v>
      </c>
      <c r="I36" s="307">
        <f>DataUK1!BJ36/DataUK1!B36</f>
        <v>0.47267302888158014</v>
      </c>
      <c r="J36" s="308">
        <f>TableUK10!F33</f>
        <v>0.28355900035330217</v>
      </c>
      <c r="K36" s="308">
        <f>TableUK9!F33</f>
        <v>3.4506928344206607E-2</v>
      </c>
      <c r="L36" s="308">
        <f t="shared" si="3"/>
        <v>0.14962168552121202</v>
      </c>
      <c r="M36" s="308">
        <f>DataUK2!AG36*DataUK2!X36*DataUK2!E36/DataUK1!B36/1000</f>
        <v>2.5917832714902625E-2</v>
      </c>
      <c r="N36" s="308">
        <f>DataUK2!AW36*DataUK2!AE36*DataUK2!Y36*DataUK2!E36/DataUK1!B36/1000</f>
        <v>0.12370385280630941</v>
      </c>
      <c r="O36" s="394">
        <f>TableUK8!I33</f>
        <v>0</v>
      </c>
      <c r="P36" s="307">
        <f>B36/(1-TableUK9!$H33-TableUK8!J33)</f>
        <v>0.34444543114458548</v>
      </c>
      <c r="Q36" s="236">
        <f>H36/(1-TableUK9!$H33-TableUK8!J33)</f>
        <v>0.67375805499184216</v>
      </c>
      <c r="R36" s="1289">
        <f>(B36-G36)/(1-TableUK9!H33-TableUK8!J33)</f>
        <v>0.3262419450081579</v>
      </c>
      <c r="S36" s="193">
        <f t="shared" si="4"/>
        <v>0.67375805499184216</v>
      </c>
      <c r="U36" s="2024">
        <f t="shared" si="5"/>
        <v>0</v>
      </c>
    </row>
    <row r="37" spans="1:21" ht="12" customHeight="1">
      <c r="A37" s="214">
        <v>1879</v>
      </c>
      <c r="B37" s="565">
        <f t="shared" si="1"/>
        <v>0.31679138918251692</v>
      </c>
      <c r="C37" s="550">
        <f>TableUK10!G34</f>
        <v>7.5130917084258605E-2</v>
      </c>
      <c r="D37" s="550">
        <f>TableUK9!B34</f>
        <v>7.3593600046231805E-2</v>
      </c>
      <c r="E37" s="550">
        <f>DataUK1!AN37/DataUK1!B37-TableUK11a!L37</f>
        <v>9.9302744740288246E-2</v>
      </c>
      <c r="F37" s="550">
        <f>TableUK8!F34</f>
        <v>5.148542680039743E-2</v>
      </c>
      <c r="G37" s="1960">
        <f>DataUK1!GY37/DataUK1!B37</f>
        <v>1.7278700511340832E-2</v>
      </c>
      <c r="H37" s="565">
        <f t="shared" si="2"/>
        <v>0.62509793637109901</v>
      </c>
      <c r="I37" s="568">
        <f>DataUK1!BJ37/DataUK1!B37</f>
        <v>0.47624019790367622</v>
      </c>
      <c r="J37" s="550">
        <f>TableUK10!F34</f>
        <v>0.29133523352961527</v>
      </c>
      <c r="K37" s="550">
        <f>TableUK9!F34</f>
        <v>3.8062440527436674E-2</v>
      </c>
      <c r="L37" s="550">
        <f t="shared" si="3"/>
        <v>0.14885773846742281</v>
      </c>
      <c r="M37" s="550">
        <f>DataUK2!AG37*DataUK2!X37*DataUK2!E37/DataUK1!B37/1000</f>
        <v>2.5758296156494196E-2</v>
      </c>
      <c r="N37" s="550">
        <f>DataUK2!AW37*DataUK2!AE37*DataUK2!Y37*DataUK2!E37/DataUK1!B37/1000</f>
        <v>0.12309944231092862</v>
      </c>
      <c r="O37" s="553">
        <f>TableUK8!I34</f>
        <v>0</v>
      </c>
      <c r="P37" s="568">
        <f>B37/(1-TableUK9!$H34-TableUK8!J34)</f>
        <v>0.34262140256935997</v>
      </c>
      <c r="Q37" s="244">
        <f>H37/(1-TableUK9!$H34-TableUK8!J34)</f>
        <v>0.67606614010359023</v>
      </c>
      <c r="R37" s="1291">
        <f>(B37-G37)/(1-TableUK9!H34-TableUK8!J34)</f>
        <v>0.3239338598964096</v>
      </c>
      <c r="S37" s="886">
        <f t="shared" si="4"/>
        <v>0.67606614010359023</v>
      </c>
      <c r="U37" s="2024">
        <f t="shared" si="5"/>
        <v>0</v>
      </c>
    </row>
    <row r="38" spans="1:21" ht="12" customHeight="1">
      <c r="A38" s="198">
        <v>1880</v>
      </c>
      <c r="B38" s="303">
        <f t="shared" si="1"/>
        <v>0.332195489231634</v>
      </c>
      <c r="C38" s="308">
        <f>TableUK10!G35</f>
        <v>8.491018987877387E-2</v>
      </c>
      <c r="D38" s="308">
        <f>TableUK9!B35</f>
        <v>7.2763152078505172E-2</v>
      </c>
      <c r="E38" s="308">
        <f>DataUK1!AN38/DataUK1!B38-TableUK11a!L38</f>
        <v>0.1067054333717411</v>
      </c>
      <c r="F38" s="308">
        <f>TableUK8!F35</f>
        <v>5.1275898433306599E-2</v>
      </c>
      <c r="G38" s="1202">
        <f>DataUK1!GY38/DataUK1!B38</f>
        <v>1.654081546930725E-2</v>
      </c>
      <c r="H38" s="303">
        <f t="shared" si="2"/>
        <v>0.61185181465955008</v>
      </c>
      <c r="I38" s="307">
        <f>DataUK1!BJ38/DataUK1!B38</f>
        <v>0.46767155640033087</v>
      </c>
      <c r="J38" s="308">
        <f>TableUK10!F35</f>
        <v>0.28208563821053267</v>
      </c>
      <c r="K38" s="308">
        <f>TableUK9!F35</f>
        <v>3.7130823003428917E-2</v>
      </c>
      <c r="L38" s="308">
        <f t="shared" si="3"/>
        <v>0.14418025825921921</v>
      </c>
      <c r="M38" s="308">
        <f>DataUK2!AG38*DataUK2!X38*DataUK2!E38/DataUK1!B38/1000</f>
        <v>2.4889892342957801E-2</v>
      </c>
      <c r="N38" s="308">
        <f>DataUK2!AW38*DataUK2!AE38*DataUK2!Y38*DataUK2!E38/DataUK1!B38/1000</f>
        <v>0.1192903659162614</v>
      </c>
      <c r="O38" s="394">
        <f>TableUK8!I35</f>
        <v>0</v>
      </c>
      <c r="P38" s="307">
        <f>B38/(1-TableUK9!$H35-TableUK8!J35)</f>
        <v>0.35815974699740827</v>
      </c>
      <c r="Q38" s="236">
        <f>H38/(1-TableUK9!$H35-TableUK8!J35)</f>
        <v>0.65967389155476064</v>
      </c>
      <c r="R38" s="1289">
        <f>(B38-G38)/(1-TableUK9!H35-TableUK8!J35)</f>
        <v>0.34032610844523931</v>
      </c>
      <c r="S38" s="193">
        <f t="shared" si="4"/>
        <v>0.65967389155476064</v>
      </c>
      <c r="U38" s="2024">
        <f t="shared" si="5"/>
        <v>0</v>
      </c>
    </row>
    <row r="39" spans="1:21" ht="12" customHeight="1">
      <c r="A39" s="198">
        <v>1881</v>
      </c>
      <c r="B39" s="303">
        <f t="shared" si="1"/>
        <v>0.33538483029535859</v>
      </c>
      <c r="C39" s="308">
        <f>TableUK10!G36</f>
        <v>8.8370479576618977E-2</v>
      </c>
      <c r="D39" s="308">
        <f>TableUK9!B36</f>
        <v>7.1383177991425795E-2</v>
      </c>
      <c r="E39" s="308">
        <f>DataUK1!AN39/DataUK1!B39-TableUK11a!L39</f>
        <v>0.10942292135870441</v>
      </c>
      <c r="F39" s="308">
        <f>TableUK8!F36</f>
        <v>5.0321883378730656E-2</v>
      </c>
      <c r="G39" s="1202">
        <f>DataUK1!GY39/DataUK1!B39</f>
        <v>1.5886367989878768E-2</v>
      </c>
      <c r="H39" s="303">
        <f t="shared" si="2"/>
        <v>0.6080039090980438</v>
      </c>
      <c r="I39" s="307">
        <f>DataUK1!BJ39/DataUK1!B39</f>
        <v>0.46654356285026555</v>
      </c>
      <c r="J39" s="308">
        <f>TableUK10!F36</f>
        <v>0.28175579639145604</v>
      </c>
      <c r="K39" s="308">
        <f>TableUK9!F36</f>
        <v>3.6334105625998744E-2</v>
      </c>
      <c r="L39" s="308">
        <f t="shared" si="3"/>
        <v>0.14146034624777826</v>
      </c>
      <c r="M39" s="308">
        <f>DataUK2!AG39*DataUK2!X39*DataUK2!E39/DataUK1!B39/1000</f>
        <v>2.4129922716701762E-2</v>
      </c>
      <c r="N39" s="308">
        <f>DataUK2!AW39*DataUK2!AE39*DataUK2!Y39*DataUK2!E39/DataUK1!B39/1000</f>
        <v>0.11733042353107651</v>
      </c>
      <c r="O39" s="394">
        <f>TableUK8!I36</f>
        <v>0</v>
      </c>
      <c r="P39" s="307">
        <f>B39/(1-TableUK9!$H36-TableUK8!J36)</f>
        <v>0.36159997066944904</v>
      </c>
      <c r="Q39" s="236">
        <f>H39/(1-TableUK9!$H36-TableUK8!J36)</f>
        <v>0.65552814509573121</v>
      </c>
      <c r="R39" s="1289">
        <f>(B39-G39)/(1-TableUK9!H36-TableUK8!J36)</f>
        <v>0.34447185490426879</v>
      </c>
      <c r="S39" s="193">
        <f t="shared" si="4"/>
        <v>0.65552814509573121</v>
      </c>
      <c r="U39" s="2024">
        <f t="shared" si="5"/>
        <v>0</v>
      </c>
    </row>
    <row r="40" spans="1:21" ht="12" customHeight="1">
      <c r="A40" s="198">
        <v>1882</v>
      </c>
      <c r="B40" s="303">
        <f t="shared" si="1"/>
        <v>0.32289425937561528</v>
      </c>
      <c r="C40" s="308">
        <f>TableUK10!G37</f>
        <v>7.7099374560728975E-2</v>
      </c>
      <c r="D40" s="308">
        <f>TableUK9!B37</f>
        <v>6.8608181740099319E-2</v>
      </c>
      <c r="E40" s="308">
        <f>DataUK1!AN40/DataUK1!B40-TableUK11a!L40</f>
        <v>0.10995872159616571</v>
      </c>
      <c r="F40" s="308">
        <f>TableUK8!F37</f>
        <v>5.1887419595089863E-2</v>
      </c>
      <c r="G40" s="1202">
        <f>DataUK1!GY40/DataUK1!B40</f>
        <v>1.5340561883531376E-2</v>
      </c>
      <c r="H40" s="303">
        <f t="shared" si="2"/>
        <v>0.62079224687660139</v>
      </c>
      <c r="I40" s="307">
        <f>DataUK1!BJ40/DataUK1!B40</f>
        <v>0.47769370420876384</v>
      </c>
      <c r="J40" s="308">
        <f>TableUK10!F37</f>
        <v>0.29138536062244835</v>
      </c>
      <c r="K40" s="308">
        <f>TableUK9!F37</f>
        <v>3.656827666701571E-2</v>
      </c>
      <c r="L40" s="308">
        <f t="shared" si="3"/>
        <v>0.14309854266783761</v>
      </c>
      <c r="M40" s="308">
        <f>DataUK2!AG40*DataUK2!X40*DataUK2!E40/DataUK1!B40/1000</f>
        <v>2.3010668174420941E-2</v>
      </c>
      <c r="N40" s="308">
        <f>DataUK2!AW40*DataUK2!AE40*DataUK2!Y40*DataUK2!E40/DataUK1!B40/1000</f>
        <v>0.12008787449341668</v>
      </c>
      <c r="O40" s="394">
        <f>TableUK8!I37</f>
        <v>0</v>
      </c>
      <c r="P40" s="307">
        <f>B40/(1-TableUK9!$H37-TableUK8!J37)</f>
        <v>0.34781673936777635</v>
      </c>
      <c r="Q40" s="236">
        <f>H40/(1-TableUK9!$H37-TableUK8!J37)</f>
        <v>0.66870787839630885</v>
      </c>
      <c r="R40" s="1289">
        <f>(B40-G40)/(1-TableUK9!H37-TableUK8!J37)</f>
        <v>0.33129212160369098</v>
      </c>
      <c r="S40" s="193">
        <f t="shared" si="4"/>
        <v>0.66870787839630885</v>
      </c>
      <c r="U40" s="2024">
        <f t="shared" si="5"/>
        <v>0</v>
      </c>
    </row>
    <row r="41" spans="1:21" ht="12" customHeight="1">
      <c r="A41" s="198">
        <v>1883</v>
      </c>
      <c r="B41" s="303">
        <f t="shared" si="1"/>
        <v>0.30735723682328292</v>
      </c>
      <c r="C41" s="308">
        <f>TableUK10!G38</f>
        <v>6.7070867912804075E-2</v>
      </c>
      <c r="D41" s="308">
        <f>TableUK9!B38</f>
        <v>6.9553520082011627E-2</v>
      </c>
      <c r="E41" s="308">
        <f>DataUK1!AN41/DataUK1!B41-TableUK11a!L41</f>
        <v>0.10200794252143594</v>
      </c>
      <c r="F41" s="308">
        <f>TableUK8!F38</f>
        <v>5.3340889959410921E-2</v>
      </c>
      <c r="G41" s="1202">
        <f>DataUK1!GY41/DataUK1!B41</f>
        <v>1.5384016347620367E-2</v>
      </c>
      <c r="H41" s="303">
        <f t="shared" si="2"/>
        <v>0.63551650723576336</v>
      </c>
      <c r="I41" s="307">
        <f>DataUK1!BJ41/DataUK1!B41</f>
        <v>0.48923597509647204</v>
      </c>
      <c r="J41" s="308">
        <f>TableUK10!F38</f>
        <v>0.30431233153402343</v>
      </c>
      <c r="K41" s="308">
        <f>TableUK9!F38</f>
        <v>3.8005384096080279E-2</v>
      </c>
      <c r="L41" s="308">
        <f t="shared" si="3"/>
        <v>0.14628053213929126</v>
      </c>
      <c r="M41" s="308">
        <f>DataUK2!AG41*DataUK2!X41*DataUK2!E41/DataUK1!B41/1000</f>
        <v>2.3398837223332962E-2</v>
      </c>
      <c r="N41" s="308">
        <f>DataUK2!AW41*DataUK2!AE41*DataUK2!Y41*DataUK2!E41/DataUK1!B41/1000</f>
        <v>0.12288169491595829</v>
      </c>
      <c r="O41" s="394">
        <f>TableUK8!I38</f>
        <v>0</v>
      </c>
      <c r="P41" s="307">
        <f>B41/(1-TableUK9!$H38-TableUK8!J38)</f>
        <v>0.33138613575989101</v>
      </c>
      <c r="Q41" s="236">
        <f>H41/(1-TableUK9!$H38-TableUK8!J38)</f>
        <v>0.68520058847864085</v>
      </c>
      <c r="R41" s="1289">
        <f>(B41-G41)/(1-TableUK9!H38-TableUK8!J38)</f>
        <v>0.31479941152135921</v>
      </c>
      <c r="S41" s="193">
        <f t="shared" si="4"/>
        <v>0.68520058847864085</v>
      </c>
      <c r="U41" s="2024">
        <f t="shared" si="5"/>
        <v>0</v>
      </c>
    </row>
    <row r="42" spans="1:21" ht="12" customHeight="1">
      <c r="A42" s="198">
        <v>1884</v>
      </c>
      <c r="B42" s="303">
        <f t="shared" si="1"/>
        <v>0.30867124618949993</v>
      </c>
      <c r="C42" s="308">
        <f>TableUK10!G39</f>
        <v>6.5111480215889708E-2</v>
      </c>
      <c r="D42" s="308">
        <f>TableUK9!B39</f>
        <v>7.3859631742561424E-2</v>
      </c>
      <c r="E42" s="308">
        <f>DataUK1!AN42/DataUK1!B42-TableUK11a!L42</f>
        <v>9.822105382442714E-2</v>
      </c>
      <c r="F42" s="308">
        <f>TableUK8!F39</f>
        <v>5.7219963789157252E-2</v>
      </c>
      <c r="G42" s="1202">
        <f>DataUK1!GY42/DataUK1!B42</f>
        <v>1.425911661746437E-2</v>
      </c>
      <c r="H42" s="303">
        <f t="shared" si="2"/>
        <v>0.63043329112280277</v>
      </c>
      <c r="I42" s="307">
        <f>DataUK1!BJ42/DataUK1!B42</f>
        <v>0.48508864824240772</v>
      </c>
      <c r="J42" s="308">
        <f>TableUK10!F39</f>
        <v>0.30202123348203441</v>
      </c>
      <c r="K42" s="308">
        <f>TableUK9!F39</f>
        <v>3.894373654903837E-2</v>
      </c>
      <c r="L42" s="308">
        <f t="shared" si="3"/>
        <v>0.14534464288039511</v>
      </c>
      <c r="M42" s="308">
        <f>DataUK2!AG42*DataUK2!X42*DataUK2!E42/DataUK1!B42/1000</f>
        <v>2.3670245358015513E-2</v>
      </c>
      <c r="N42" s="308">
        <f>DataUK2!AW42*DataUK2!AE42*DataUK2!Y42*DataUK2!E42/DataUK1!B42/1000</f>
        <v>0.1216743975223796</v>
      </c>
      <c r="O42" s="394">
        <f>TableUK8!I39</f>
        <v>0</v>
      </c>
      <c r="P42" s="307">
        <f>B42/(1-TableUK9!$H39-TableUK8!J39)</f>
        <v>0.33375441915211584</v>
      </c>
      <c r="Q42" s="236">
        <f>H42/(1-TableUK9!$H39-TableUK8!J39)</f>
        <v>0.68166341857340551</v>
      </c>
      <c r="R42" s="1289">
        <f>(B42-G42)/(1-TableUK9!H39-TableUK8!J39)</f>
        <v>0.31833658142659466</v>
      </c>
      <c r="S42" s="193">
        <f t="shared" si="4"/>
        <v>0.68166341857340551</v>
      </c>
      <c r="U42" s="2024">
        <f t="shared" si="5"/>
        <v>0</v>
      </c>
    </row>
    <row r="43" spans="1:21" ht="12" customHeight="1">
      <c r="A43" s="198">
        <v>1885</v>
      </c>
      <c r="B43" s="303">
        <f t="shared" si="1"/>
        <v>0.31410411830231932</v>
      </c>
      <c r="C43" s="308">
        <f>TableUK10!G40</f>
        <v>6.7534952874873808E-2</v>
      </c>
      <c r="D43" s="308">
        <f>TableUK9!B40</f>
        <v>7.9007343830650001E-2</v>
      </c>
      <c r="E43" s="308">
        <f>DataUK1!AN43/DataUK1!B43-TableUK11a!L43</f>
        <v>9.2443334551168016E-2</v>
      </c>
      <c r="F43" s="308">
        <f>TableUK8!F40</f>
        <v>6.0651896485779608E-2</v>
      </c>
      <c r="G43" s="1202">
        <f>DataUK1!GY43/DataUK1!B43</f>
        <v>1.4466590559847906E-2</v>
      </c>
      <c r="H43" s="303">
        <f t="shared" si="2"/>
        <v>0.62498082948234535</v>
      </c>
      <c r="I43" s="307">
        <f>DataUK1!BJ43/DataUK1!B43</f>
        <v>0.48088289356582403</v>
      </c>
      <c r="J43" s="308">
        <f>TableUK10!F40</f>
        <v>0.2977662451592718</v>
      </c>
      <c r="K43" s="308">
        <f>TableUK9!F40</f>
        <v>4.3149492071311774E-2</v>
      </c>
      <c r="L43" s="308">
        <f t="shared" si="3"/>
        <v>0.14409793591652131</v>
      </c>
      <c r="M43" s="308">
        <f>DataUK2!AG43*DataUK2!X43*DataUK2!E43/DataUK1!B43/1000</f>
        <v>2.3700110811670134E-2</v>
      </c>
      <c r="N43" s="308">
        <f>DataUK2!AW43*DataUK2!AE43*DataUK2!Y43*DataUK2!E43/DataUK1!B43/1000</f>
        <v>0.12039782510485117</v>
      </c>
      <c r="O43" s="394">
        <f>TableUK8!I40</f>
        <v>0</v>
      </c>
      <c r="P43" s="307">
        <f>B43/(1-TableUK9!$H40-TableUK8!J40)</f>
        <v>0.33971218054234059</v>
      </c>
      <c r="Q43" s="236">
        <f>H43/(1-TableUK9!$H40-TableUK8!J40)</f>
        <v>0.67593383215771918</v>
      </c>
      <c r="R43" s="1289">
        <f>(B43-G43)/(1-TableUK9!H40-TableUK8!J40)</f>
        <v>0.32406616784228082</v>
      </c>
      <c r="S43" s="193">
        <f t="shared" si="4"/>
        <v>0.67593383215771918</v>
      </c>
      <c r="U43" s="2024">
        <f t="shared" si="5"/>
        <v>0</v>
      </c>
    </row>
    <row r="44" spans="1:21" ht="12" customHeight="1">
      <c r="A44" s="198">
        <v>1886</v>
      </c>
      <c r="B44" s="303">
        <f t="shared" si="1"/>
        <v>0.33438412447719251</v>
      </c>
      <c r="C44" s="308">
        <f>TableUK10!G41</f>
        <v>8.0497513405097906E-2</v>
      </c>
      <c r="D44" s="308">
        <f>TableUK9!B41</f>
        <v>7.9579805577882592E-2</v>
      </c>
      <c r="E44" s="308">
        <f>DataUK1!AN44/DataUK1!B44-TableUK11a!L44</f>
        <v>9.735244618557809E-2</v>
      </c>
      <c r="F44" s="308">
        <f>TableUK8!F41</f>
        <v>6.2845963693716922E-2</v>
      </c>
      <c r="G44" s="1202">
        <f>DataUK1!GY44/DataUK1!B44</f>
        <v>1.4108395614917021E-2</v>
      </c>
      <c r="H44" s="303">
        <f t="shared" si="2"/>
        <v>0.60583780030862489</v>
      </c>
      <c r="I44" s="307">
        <f>DataUK1!BJ44/DataUK1!B44</f>
        <v>0.4679476485842976</v>
      </c>
      <c r="J44" s="308">
        <f>TableUK10!F41</f>
        <v>0.28798399859944379</v>
      </c>
      <c r="K44" s="308">
        <f>TableUK9!F41</f>
        <v>4.0764949422951516E-2</v>
      </c>
      <c r="L44" s="308">
        <f t="shared" si="3"/>
        <v>0.13789015172432728</v>
      </c>
      <c r="M44" s="308">
        <f>DataUK2!AG44*DataUK2!X44*DataUK2!E44/DataUK1!B44/1000</f>
        <v>2.2918002162863094E-2</v>
      </c>
      <c r="N44" s="308">
        <f>DataUK2!AW44*DataUK2!AE44*DataUK2!Y44*DataUK2!E44/DataUK1!B44/1000</f>
        <v>0.11497214956146418</v>
      </c>
      <c r="O44" s="394">
        <f>TableUK8!I41</f>
        <v>0</v>
      </c>
      <c r="P44" s="307">
        <f>B44/(1-TableUK9!$H41-TableUK8!J41)</f>
        <v>0.3610616991812533</v>
      </c>
      <c r="Q44" s="236">
        <f>H44/(1-TableUK9!$H41-TableUK8!J41)</f>
        <v>0.65417228150310991</v>
      </c>
      <c r="R44" s="1289">
        <f>(B44-G44)/(1-TableUK9!H41-TableUK8!J41)</f>
        <v>0.34582771849689004</v>
      </c>
      <c r="S44" s="193">
        <f t="shared" si="4"/>
        <v>0.65417228150310991</v>
      </c>
      <c r="U44" s="2024">
        <f t="shared" si="5"/>
        <v>0</v>
      </c>
    </row>
    <row r="45" spans="1:21" ht="12" customHeight="1">
      <c r="A45" s="198">
        <v>1887</v>
      </c>
      <c r="B45" s="303">
        <f t="shared" si="1"/>
        <v>0.33144796541020932</v>
      </c>
      <c r="C45" s="308">
        <f>TableUK10!G42</f>
        <v>8.0830027365020721E-2</v>
      </c>
      <c r="D45" s="308">
        <f>TableUK9!B42</f>
        <v>7.6999178443573915E-2</v>
      </c>
      <c r="E45" s="308">
        <f>DataUK1!AN45/DataUK1!B45-TableUK11a!L45</f>
        <v>9.6075869767535266E-2</v>
      </c>
      <c r="F45" s="308">
        <f>TableUK8!F42</f>
        <v>6.4580057374651334E-2</v>
      </c>
      <c r="G45" s="1202">
        <f>DataUK1!GY45/DataUK1!B45</f>
        <v>1.2962832459428107E-2</v>
      </c>
      <c r="H45" s="303">
        <f t="shared" si="2"/>
        <v>0.60957758794834138</v>
      </c>
      <c r="I45" s="307">
        <f>DataUK1!BJ45/DataUK1!B45</f>
        <v>0.4733145977205459</v>
      </c>
      <c r="J45" s="308">
        <f>TableUK10!F42</f>
        <v>0.29757655571399022</v>
      </c>
      <c r="K45" s="308">
        <f>TableUK9!F42</f>
        <v>3.8257552976375724E-2</v>
      </c>
      <c r="L45" s="308">
        <f t="shared" si="3"/>
        <v>0.13626299022779551</v>
      </c>
      <c r="M45" s="308">
        <f>DataUK2!AG45*DataUK2!X45*DataUK2!E45/DataUK1!B45/1000</f>
        <v>2.2166393355410784E-2</v>
      </c>
      <c r="N45" s="308">
        <f>DataUK2!AW45*DataUK2!AE45*DataUK2!Y45*DataUK2!E45/DataUK1!B45/1000</f>
        <v>0.11409659687238473</v>
      </c>
      <c r="O45" s="394">
        <f>TableUK8!I42</f>
        <v>0</v>
      </c>
      <c r="P45" s="307">
        <f>B45/(1-TableUK9!$H42-TableUK8!J42)</f>
        <v>0.35713961777184311</v>
      </c>
      <c r="Q45" s="236">
        <f>H45/(1-TableUK9!$H42-TableUK8!J42)</f>
        <v>0.6568280076563926</v>
      </c>
      <c r="R45" s="1289">
        <f>(B45-G45)/(1-TableUK9!H42-TableUK8!J42)</f>
        <v>0.34317199234360751</v>
      </c>
      <c r="S45" s="193">
        <f t="shared" si="4"/>
        <v>0.6568280076563926</v>
      </c>
      <c r="U45" s="2024">
        <f t="shared" si="5"/>
        <v>0</v>
      </c>
    </row>
    <row r="46" spans="1:21" ht="12" customHeight="1">
      <c r="A46" s="198">
        <v>1888</v>
      </c>
      <c r="B46" s="303">
        <f t="shared" si="1"/>
        <v>0.33915929900360492</v>
      </c>
      <c r="C46" s="308">
        <f>TableUK10!G43</f>
        <v>8.9682325488894682E-2</v>
      </c>
      <c r="D46" s="308">
        <f>TableUK9!B43</f>
        <v>7.3163733965979541E-2</v>
      </c>
      <c r="E46" s="308">
        <f>DataUK1!AN46/DataUK1!B46-TableUK11a!L46</f>
        <v>9.9416565791801609E-2</v>
      </c>
      <c r="F46" s="308">
        <f>TableUK8!F43</f>
        <v>6.4522889989021226E-2</v>
      </c>
      <c r="G46" s="1202">
        <f>DataUK1!GY46/DataUK1!B46</f>
        <v>1.2373783767907844E-2</v>
      </c>
      <c r="H46" s="303">
        <f t="shared" si="2"/>
        <v>0.60408281691892307</v>
      </c>
      <c r="I46" s="307">
        <f>DataUK1!BJ46/DataUK1!B46</f>
        <v>0.47163160063403614</v>
      </c>
      <c r="J46" s="308">
        <f>TableUK10!F43</f>
        <v>0.29848139245372596</v>
      </c>
      <c r="K46" s="308">
        <f>TableUK9!F43</f>
        <v>3.5948467279597537E-2</v>
      </c>
      <c r="L46" s="308">
        <f t="shared" si="3"/>
        <v>0.1324512162848869</v>
      </c>
      <c r="M46" s="308">
        <f>DataUK2!AG46*DataUK2!X46*DataUK2!E46/DataUK1!B46/1000</f>
        <v>2.0928953070438981E-2</v>
      </c>
      <c r="N46" s="308">
        <f>DataUK2!AW46*DataUK2!AE46*DataUK2!Y46*DataUK2!E46/DataUK1!B46/1000</f>
        <v>0.11152226321444793</v>
      </c>
      <c r="O46" s="394">
        <f>TableUK8!I43</f>
        <v>0</v>
      </c>
      <c r="P46" s="307">
        <f>B46/(1-TableUK9!$H43-TableUK8!J43)</f>
        <v>0.36434723073946995</v>
      </c>
      <c r="Q46" s="236">
        <f>H46/(1-TableUK9!$H43-TableUK8!J43)</f>
        <v>0.64894550179904831</v>
      </c>
      <c r="R46" s="1289">
        <f>(B46-G46)/(1-TableUK9!H43-TableUK8!J43)</f>
        <v>0.35105449820095186</v>
      </c>
      <c r="S46" s="193">
        <f t="shared" si="4"/>
        <v>0.64894550179904831</v>
      </c>
      <c r="U46" s="2024">
        <f t="shared" si="5"/>
        <v>0</v>
      </c>
    </row>
    <row r="47" spans="1:21" ht="12" customHeight="1">
      <c r="A47" s="214">
        <v>1889</v>
      </c>
      <c r="B47" s="565">
        <f t="shared" si="1"/>
        <v>0.32664053875559357</v>
      </c>
      <c r="C47" s="550">
        <f>TableUK10!G44</f>
        <v>8.2592590780646014E-2</v>
      </c>
      <c r="D47" s="550">
        <f>TableUK9!B44</f>
        <v>6.9209954373389754E-2</v>
      </c>
      <c r="E47" s="550">
        <f>DataUK1!AN47/DataUK1!B47-TableUK11a!L47</f>
        <v>9.9979935356476729E-2</v>
      </c>
      <c r="F47" s="550">
        <f>TableUK8!F44</f>
        <v>6.4049973372482985E-2</v>
      </c>
      <c r="G47" s="1960">
        <f>DataUK1!GY47/DataUK1!B47</f>
        <v>1.0808084872598113E-2</v>
      </c>
      <c r="H47" s="565">
        <f t="shared" si="2"/>
        <v>0.61723892225587074</v>
      </c>
      <c r="I47" s="568">
        <f>DataUK1!BJ47/DataUK1!B47</f>
        <v>0.48505260733768013</v>
      </c>
      <c r="J47" s="550">
        <f>TableUK10!F44</f>
        <v>0.31313044976505089</v>
      </c>
      <c r="K47" s="550">
        <f>TableUK9!F44</f>
        <v>3.4543805863811047E-2</v>
      </c>
      <c r="L47" s="550">
        <f t="shared" si="3"/>
        <v>0.13218631491819055</v>
      </c>
      <c r="M47" s="550">
        <f>DataUK2!AG47*DataUK2!X47*DataUK2!E47/DataUK1!B47/1000</f>
        <v>1.9702797774043958E-2</v>
      </c>
      <c r="N47" s="550">
        <f>DataUK2!AW47*DataUK2!AE47*DataUK2!Y47*DataUK2!E47/DataUK1!B47/1000</f>
        <v>0.1124835171441466</v>
      </c>
      <c r="O47" s="553">
        <f>TableUK8!I44</f>
        <v>0</v>
      </c>
      <c r="P47" s="568">
        <f>B47/(1-TableUK9!$H44-TableUK8!J44)</f>
        <v>0.3500702594771064</v>
      </c>
      <c r="Q47" s="244">
        <f>H47/(1-TableUK9!$H44-TableUK8!J44)</f>
        <v>0.66151308253615215</v>
      </c>
      <c r="R47" s="1291">
        <f>(B47-G47)/(1-TableUK9!H44-TableUK8!J44)</f>
        <v>0.33848691746384807</v>
      </c>
      <c r="S47" s="886">
        <f t="shared" si="4"/>
        <v>0.66151308253615215</v>
      </c>
      <c r="U47" s="2024">
        <f t="shared" si="5"/>
        <v>0</v>
      </c>
    </row>
    <row r="48" spans="1:21" ht="12" customHeight="1">
      <c r="A48" s="198">
        <v>1890</v>
      </c>
      <c r="B48" s="303">
        <f t="shared" si="1"/>
        <v>0.31556904123654772</v>
      </c>
      <c r="C48" s="308">
        <f>TableUK10!G45</f>
        <v>7.7136745206703994E-2</v>
      </c>
      <c r="D48" s="308">
        <f>TableUK9!B45</f>
        <v>6.8726249120337798E-2</v>
      </c>
      <c r="E48" s="308">
        <f>DataUK1!AN48/DataUK1!B48-TableUK11a!L48</f>
        <v>9.3340909202880629E-2</v>
      </c>
      <c r="F48" s="308">
        <f>TableUK8!F45</f>
        <v>6.615059817030261E-2</v>
      </c>
      <c r="G48" s="1202">
        <f>DataUK1!GY48/DataUK1!B48</f>
        <v>1.0214539536322703E-2</v>
      </c>
      <c r="H48" s="303">
        <f t="shared" si="2"/>
        <v>0.62779117036170318</v>
      </c>
      <c r="I48" s="307">
        <f>DataUK1!BJ48/DataUK1!B48</f>
        <v>0.49542575650950033</v>
      </c>
      <c r="J48" s="308">
        <f>TableUK10!F45</f>
        <v>0.32597968088095686</v>
      </c>
      <c r="K48" s="308">
        <f>TableUK9!F45</f>
        <v>3.5890218156228011E-2</v>
      </c>
      <c r="L48" s="308">
        <f t="shared" si="3"/>
        <v>0.13236541385220285</v>
      </c>
      <c r="M48" s="308">
        <f>DataUK2!AG48*DataUK2!X48*DataUK2!E48/DataUK1!B48/1000</f>
        <v>1.9717711417683491E-2</v>
      </c>
      <c r="N48" s="308">
        <f>DataUK2!AW48*DataUK2!AE48*DataUK2!Y48*DataUK2!E48/DataUK1!B48/1000</f>
        <v>0.11264770243451937</v>
      </c>
      <c r="O48" s="394">
        <f>TableUK8!I45</f>
        <v>0</v>
      </c>
      <c r="P48" s="307">
        <f>B48/(1-TableUK9!$H45-TableUK8!J45)</f>
        <v>0.33817768295409828</v>
      </c>
      <c r="Q48" s="236">
        <f>H48/(1-TableUK9!$H45-TableUK8!J45)</f>
        <v>0.67276866748414799</v>
      </c>
      <c r="R48" s="1289">
        <f>(B48-G48)/(1-TableUK9!H45-TableUK8!J45)</f>
        <v>0.32723133251585201</v>
      </c>
      <c r="S48" s="193">
        <f t="shared" si="4"/>
        <v>0.67276866748414799</v>
      </c>
      <c r="U48" s="2024">
        <f t="shared" si="5"/>
        <v>0</v>
      </c>
    </row>
    <row r="49" spans="1:21" ht="12" customHeight="1">
      <c r="A49" s="198">
        <v>1891</v>
      </c>
      <c r="B49" s="303">
        <f t="shared" si="1"/>
        <v>0.30263431743836672</v>
      </c>
      <c r="C49" s="308">
        <f>TableUK10!G46</f>
        <v>7.6059572784173898E-2</v>
      </c>
      <c r="D49" s="308">
        <f>TableUK9!B46</f>
        <v>7.0244077530509694E-2</v>
      </c>
      <c r="E49" s="308">
        <f>DataUK1!AN49/DataUK1!B49-TableUK11a!L49</f>
        <v>7.8551012548285143E-2</v>
      </c>
      <c r="F49" s="308">
        <f>TableUK8!F46</f>
        <v>6.7480258435032303E-2</v>
      </c>
      <c r="G49" s="1202">
        <f>DataUK1!GY49/DataUK1!B49</f>
        <v>1.0299396140365704E-2</v>
      </c>
      <c r="H49" s="303">
        <f t="shared" si="2"/>
        <v>0.63874907008749793</v>
      </c>
      <c r="I49" s="307">
        <f>DataUK1!BJ49/DataUK1!B49</f>
        <v>0.5061019382627423</v>
      </c>
      <c r="J49" s="308">
        <f>TableUK10!F46</f>
        <v>0.34155082715930707</v>
      </c>
      <c r="K49" s="308">
        <f>TableUK9!F46</f>
        <v>3.7473079684134956E-2</v>
      </c>
      <c r="L49" s="308">
        <f t="shared" si="3"/>
        <v>0.1326471318247556</v>
      </c>
      <c r="M49" s="308">
        <f>DataUK2!AG49*DataUK2!X49*DataUK2!E49/DataUK1!B49/1000</f>
        <v>1.9843121810843741E-2</v>
      </c>
      <c r="N49" s="308">
        <f>DataUK2!AW49*DataUK2!AE49*DataUK2!Y49*DataUK2!E49/DataUK1!B49/1000</f>
        <v>0.11280401001391187</v>
      </c>
      <c r="O49" s="394">
        <f>TableUK8!I46</f>
        <v>0</v>
      </c>
      <c r="P49" s="307">
        <f>B49/(1-TableUK9!$H46-TableUK8!J46)</f>
        <v>0.3250343902788318</v>
      </c>
      <c r="Q49" s="236">
        <f>H49/(1-TableUK9!$H46-TableUK8!J46)</f>
        <v>0.6860273358765494</v>
      </c>
      <c r="R49" s="1289">
        <f>(B49-G49)/(1-TableUK9!H46-TableUK8!J46)</f>
        <v>0.3139726641234506</v>
      </c>
      <c r="S49" s="193">
        <f t="shared" si="4"/>
        <v>0.6860273358765494</v>
      </c>
      <c r="U49" s="2024">
        <f t="shared" si="5"/>
        <v>0</v>
      </c>
    </row>
    <row r="50" spans="1:21" ht="12" customHeight="1">
      <c r="A50" s="198">
        <v>1892</v>
      </c>
      <c r="B50" s="303">
        <f t="shared" si="1"/>
        <v>0.29336940019079305</v>
      </c>
      <c r="C50" s="308">
        <f>TableUK10!G47</f>
        <v>7.1165254313137929E-2</v>
      </c>
      <c r="D50" s="308">
        <f>TableUK9!B47</f>
        <v>7.3956043956043951E-2</v>
      </c>
      <c r="E50" s="308">
        <f>DataUK1!AN50/DataUK1!B50-TableUK11a!L50</f>
        <v>6.8140366519758133E-2</v>
      </c>
      <c r="F50" s="308">
        <f>TableUK8!F47</f>
        <v>6.95970695970696E-2</v>
      </c>
      <c r="G50" s="1202">
        <f>DataUK1!GY50/DataUK1!B50</f>
        <v>1.0510665804783461E-2</v>
      </c>
      <c r="H50" s="303">
        <f t="shared" si="2"/>
        <v>0.64607899455171924</v>
      </c>
      <c r="I50" s="307">
        <f>DataUK1!BJ50/DataUK1!B50</f>
        <v>0.5135531135531135</v>
      </c>
      <c r="J50" s="308">
        <f>TableUK10!F47</f>
        <v>0.35457037161269922</v>
      </c>
      <c r="K50" s="308">
        <f>TableUK9!F47</f>
        <v>3.8241758241758239E-2</v>
      </c>
      <c r="L50" s="308">
        <f t="shared" si="3"/>
        <v>0.13252588099860574</v>
      </c>
      <c r="M50" s="308">
        <f>DataUK2!AG50*DataUK2!X50*DataUK2!E50/DataUK1!B50/1000</f>
        <v>2.034720282421737E-2</v>
      </c>
      <c r="N50" s="308">
        <f>DataUK2!AW50*DataUK2!AE50*DataUK2!Y50*DataUK2!E50/DataUK1!B50/1000</f>
        <v>0.11217867817438835</v>
      </c>
      <c r="O50" s="394">
        <f>TableUK8!I47</f>
        <v>0</v>
      </c>
      <c r="P50" s="307">
        <f>B50/(1-TableUK9!$H47-TableUK8!J47)</f>
        <v>0.31581169657762814</v>
      </c>
      <c r="Q50" s="236">
        <f>H50/(1-TableUK9!$H47-TableUK8!J47)</f>
        <v>0.69550301858288388</v>
      </c>
      <c r="R50" s="1289">
        <f>(B50-G50)/(1-TableUK9!H47-TableUK8!J47)</f>
        <v>0.30449698141711601</v>
      </c>
      <c r="S50" s="193">
        <f t="shared" si="4"/>
        <v>0.69550301858288388</v>
      </c>
      <c r="U50" s="2024">
        <f t="shared" si="5"/>
        <v>0</v>
      </c>
    </row>
    <row r="51" spans="1:21" ht="12" customHeight="1">
      <c r="A51" s="198">
        <v>1893</v>
      </c>
      <c r="B51" s="303">
        <f t="shared" si="1"/>
        <v>0.29568942569478568</v>
      </c>
      <c r="C51" s="308">
        <f>TableUK10!G48</f>
        <v>7.7130547956345177E-2</v>
      </c>
      <c r="D51" s="308">
        <f>TableUK9!B48</f>
        <v>7.6158892128279893E-2</v>
      </c>
      <c r="E51" s="308">
        <f>DataUK1!AN51/DataUK1!B51-TableUK11a!L51</f>
        <v>6.2762115424492337E-2</v>
      </c>
      <c r="F51" s="308">
        <f>TableUK8!F48</f>
        <v>6.9241982507288635E-2</v>
      </c>
      <c r="G51" s="1202">
        <f>DataUK1!GY51/DataUK1!B51</f>
        <v>1.0395887678379631E-2</v>
      </c>
      <c r="H51" s="303">
        <f t="shared" si="2"/>
        <v>0.6432778905550226</v>
      </c>
      <c r="I51" s="307">
        <f>DataUK1!BJ51/DataUK1!B51</f>
        <v>0.51311953352769679</v>
      </c>
      <c r="J51" s="308">
        <f>TableUK10!F48</f>
        <v>0.35811790384685777</v>
      </c>
      <c r="K51" s="308">
        <f>TableUK9!F48</f>
        <v>3.892128279883382E-2</v>
      </c>
      <c r="L51" s="308">
        <f t="shared" si="3"/>
        <v>0.13015835702732578</v>
      </c>
      <c r="M51" s="308">
        <f>DataUK2!AG51*DataUK2!X51*DataUK2!E51/DataUK1!B51/1000</f>
        <v>2.0340251872301259E-2</v>
      </c>
      <c r="N51" s="308">
        <f>DataUK2!AW51*DataUK2!AE51*DataUK2!Y51*DataUK2!E51/DataUK1!B51/1000</f>
        <v>0.10981810515502453</v>
      </c>
      <c r="O51" s="394">
        <f>TableUK8!I48</f>
        <v>0</v>
      </c>
      <c r="P51" s="307">
        <f>B51/(1-TableUK9!$H48-TableUK8!J48)</f>
        <v>0.3184347661328461</v>
      </c>
      <c r="Q51" s="236">
        <f>H51/(1-TableUK9!$H48-TableUK8!J48)</f>
        <v>0.69276080521310124</v>
      </c>
      <c r="R51" s="1289">
        <f>(B51-G51)/(1-TableUK9!H48-TableUK8!J48)</f>
        <v>0.30723919478689882</v>
      </c>
      <c r="S51" s="193">
        <f t="shared" si="4"/>
        <v>0.69276080521310124</v>
      </c>
      <c r="U51" s="2024">
        <f t="shared" si="5"/>
        <v>0</v>
      </c>
    </row>
    <row r="52" spans="1:21" ht="12" customHeight="1">
      <c r="A52" s="198">
        <v>1894</v>
      </c>
      <c r="B52" s="303">
        <f t="shared" si="1"/>
        <v>0.32430262485388689</v>
      </c>
      <c r="C52" s="308">
        <f>TableUK10!G49</f>
        <v>9.4509541683664836E-2</v>
      </c>
      <c r="D52" s="308">
        <f>TableUK9!B49</f>
        <v>7.5648907103825144E-2</v>
      </c>
      <c r="E52" s="308">
        <f>DataUK1!AN52/DataUK1!B52-TableUK11a!L52</f>
        <v>8.0934301089659044E-2</v>
      </c>
      <c r="F52" s="308">
        <f>TableUK8!F49</f>
        <v>6.3524590163934427E-2</v>
      </c>
      <c r="G52" s="1202">
        <f>DataUK1!GY52/DataUK1!B52</f>
        <v>9.6852848128034727E-3</v>
      </c>
      <c r="H52" s="303">
        <f t="shared" si="2"/>
        <v>0.61571052881137556</v>
      </c>
      <c r="I52" s="307">
        <f>DataUK1!BJ52/DataUK1!B52</f>
        <v>0.49316939890710382</v>
      </c>
      <c r="J52" s="308">
        <f>TableUK10!F49</f>
        <v>0.33344304610812364</v>
      </c>
      <c r="K52" s="308">
        <f>TableUK9!F49</f>
        <v>3.7295081967213116E-2</v>
      </c>
      <c r="L52" s="308">
        <f t="shared" si="3"/>
        <v>0.12254112990427171</v>
      </c>
      <c r="M52" s="308">
        <f>DataUK2!AG52*DataUK2!X52*DataUK2!E52/DataUK1!B52/1000</f>
        <v>1.9153109239212564E-2</v>
      </c>
      <c r="N52" s="308">
        <f>DataUK2!AW52*DataUK2!AE52*DataUK2!Y52*DataUK2!E52/DataUK1!B52/1000</f>
        <v>0.10338802066505914</v>
      </c>
      <c r="O52" s="394">
        <f>TableUK8!I49</f>
        <v>0</v>
      </c>
      <c r="P52" s="307">
        <f>B52/(1-TableUK9!$H49-TableUK8!J49)</f>
        <v>0.34858960556981677</v>
      </c>
      <c r="Q52" s="236">
        <f>H52/(1-TableUK9!$H49-TableUK8!J49)</f>
        <v>0.66182100894262397</v>
      </c>
      <c r="R52" s="1289">
        <f>(B52-G52)/(1-TableUK9!H49-TableUK8!J49)</f>
        <v>0.33817899105737603</v>
      </c>
      <c r="S52" s="193">
        <f t="shared" si="4"/>
        <v>0.66182100894262397</v>
      </c>
      <c r="U52" s="2024">
        <f t="shared" si="5"/>
        <v>0</v>
      </c>
    </row>
    <row r="53" spans="1:21" ht="12" customHeight="1">
      <c r="A53" s="198">
        <v>1895</v>
      </c>
      <c r="B53" s="303">
        <f t="shared" si="1"/>
        <v>0.32775224389699492</v>
      </c>
      <c r="C53" s="308">
        <f>TableUK10!G50</f>
        <v>9.8859827625266919E-2</v>
      </c>
      <c r="D53" s="308">
        <f>TableUK9!B50</f>
        <v>7.70838881491345E-2</v>
      </c>
      <c r="E53" s="308">
        <f>DataUK1!AN53/DataUK1!B53-TableUK11a!L53</f>
        <v>8.0064352142579231E-2</v>
      </c>
      <c r="F53" s="308">
        <f>TableUK8!F50</f>
        <v>6.2583222370173108E-2</v>
      </c>
      <c r="G53" s="1202">
        <f>DataUK1!GY53/DataUK1!B53</f>
        <v>9.1609536098411701E-3</v>
      </c>
      <c r="H53" s="303">
        <f t="shared" si="2"/>
        <v>0.61017036084467069</v>
      </c>
      <c r="I53" s="307">
        <f>DataUK1!BJ53/DataUK1!B53</f>
        <v>0.49067909454061259</v>
      </c>
      <c r="J53" s="308">
        <f>TableUK10!F50</f>
        <v>0.33185804136949548</v>
      </c>
      <c r="K53" s="308">
        <f>TableUK9!F50</f>
        <v>3.8748335552596533E-2</v>
      </c>
      <c r="L53" s="308">
        <f t="shared" si="3"/>
        <v>0.11949126630405804</v>
      </c>
      <c r="M53" s="308">
        <f>DataUK2!AG53*DataUK2!X53*DataUK2!E53/DataUK1!B53/1000</f>
        <v>1.875759856423315E-2</v>
      </c>
      <c r="N53" s="308">
        <f>DataUK2!AW53*DataUK2!AE53*DataUK2!Y53*DataUK2!E53/DataUK1!B53/1000</f>
        <v>0.10073366773982489</v>
      </c>
      <c r="O53" s="394">
        <f>TableUK8!I50</f>
        <v>0</v>
      </c>
      <c r="P53" s="307">
        <f>B53/(1-TableUK9!$H50-TableUK8!J50)</f>
        <v>0.35289166332135224</v>
      </c>
      <c r="Q53" s="236">
        <f>H53/(1-TableUK9!$H50-TableUK8!J50)</f>
        <v>0.65697195841483547</v>
      </c>
      <c r="R53" s="1289">
        <f>(B53-G53)/(1-TableUK9!H50-TableUK8!J50)</f>
        <v>0.34302804158516487</v>
      </c>
      <c r="S53" s="193">
        <f t="shared" si="4"/>
        <v>0.65697195841483547</v>
      </c>
      <c r="U53" s="2024">
        <f t="shared" si="5"/>
        <v>0</v>
      </c>
    </row>
    <row r="54" spans="1:21">
      <c r="A54" s="198">
        <v>1896</v>
      </c>
      <c r="B54" s="303">
        <f t="shared" si="1"/>
        <v>0.3219833662455131</v>
      </c>
      <c r="C54" s="308">
        <f>TableUK10!G51</f>
        <v>9.9256953949904386E-2</v>
      </c>
      <c r="D54" s="308">
        <f>TableUK9!B51</f>
        <v>7.7159533073929948E-2</v>
      </c>
      <c r="E54" s="308">
        <f>DataUK1!AN54/DataUK1!B54-TableUK11a!L54</f>
        <v>7.438675449925243E-2</v>
      </c>
      <c r="F54" s="308">
        <f>TableUK8!F51</f>
        <v>6.2256809338521402E-2</v>
      </c>
      <c r="G54" s="1202">
        <f>DataUK1!GY54/DataUK1!B54</f>
        <v>8.9233153839049523E-3</v>
      </c>
      <c r="H54" s="303">
        <f t="shared" si="2"/>
        <v>0.6149555133407264</v>
      </c>
      <c r="I54" s="307">
        <f>DataUK1!BJ54/DataUK1!B54</f>
        <v>0.49675745784695202</v>
      </c>
      <c r="J54" s="308">
        <f>TableUK10!F51</f>
        <v>0.34119036328466179</v>
      </c>
      <c r="K54" s="308">
        <f>TableUK9!F51</f>
        <v>3.9688715953307384E-2</v>
      </c>
      <c r="L54" s="308">
        <f t="shared" si="3"/>
        <v>0.11819805549377442</v>
      </c>
      <c r="M54" s="308">
        <f>DataUK2!AG54*DataUK2!X54*DataUK2!E54/DataUK1!B54/1000</f>
        <v>1.8358048670963644E-2</v>
      </c>
      <c r="N54" s="308">
        <f>DataUK2!AW54*DataUK2!AE54*DataUK2!Y54*DataUK2!E54/DataUK1!B54/1000</f>
        <v>9.9840006822810773E-2</v>
      </c>
      <c r="O54" s="394">
        <f>TableUK8!I51</f>
        <v>0</v>
      </c>
      <c r="P54" s="307">
        <f>B54/(1-TableUK9!$H51-TableUK8!J51)</f>
        <v>0.34695901519956757</v>
      </c>
      <c r="Q54" s="236">
        <f>H54/(1-TableUK9!$H51-TableUK8!J51)</f>
        <v>0.66265646510929421</v>
      </c>
      <c r="R54" s="1289">
        <f>(B54-G54)/(1-TableUK9!H51-TableUK8!J51)</f>
        <v>0.33734353489070562</v>
      </c>
      <c r="S54" s="193">
        <f t="shared" si="4"/>
        <v>0.66265646510929421</v>
      </c>
      <c r="U54" s="2024">
        <f t="shared" si="5"/>
        <v>0</v>
      </c>
    </row>
    <row r="55" spans="1:21">
      <c r="A55" s="198">
        <v>1897</v>
      </c>
      <c r="B55" s="303">
        <f t="shared" si="1"/>
        <v>0.33050086366801235</v>
      </c>
      <c r="C55" s="308">
        <f>TableUK10!G52</f>
        <v>0.10599085907541597</v>
      </c>
      <c r="D55" s="308">
        <f>TableUK9!B52</f>
        <v>7.7126725219573394E-2</v>
      </c>
      <c r="E55" s="308">
        <f>DataUK1!AN55/DataUK1!B55-TableUK11a!L55</f>
        <v>7.7950499327107722E-2</v>
      </c>
      <c r="F55" s="308">
        <f>TableUK8!F52</f>
        <v>6.0853199498117939E-2</v>
      </c>
      <c r="G55" s="1202">
        <f>DataUK1!GY55/DataUK1!B55</f>
        <v>8.5795805477972831E-3</v>
      </c>
      <c r="H55" s="303">
        <f t="shared" si="2"/>
        <v>0.60718787622733827</v>
      </c>
      <c r="I55" s="307">
        <f>DataUK1!BJ55/DataUK1!B55</f>
        <v>0.49247176913425345</v>
      </c>
      <c r="J55" s="308">
        <f>TableUK10!F52</f>
        <v>0.33664454998477961</v>
      </c>
      <c r="K55" s="308">
        <f>TableUK9!F52</f>
        <v>3.9899623588456709E-2</v>
      </c>
      <c r="L55" s="308">
        <f t="shared" si="3"/>
        <v>0.11471610709308484</v>
      </c>
      <c r="M55" s="308">
        <f>DataUK2!AG55*DataUK2!X55*DataUK2!E55/DataUK1!B55/1000</f>
        <v>1.7843631174154936E-2</v>
      </c>
      <c r="N55" s="308">
        <f>DataUK2!AW55*DataUK2!AE55*DataUK2!Y55*DataUK2!E55/DataUK1!B55/1000</f>
        <v>9.6872475918929904E-2</v>
      </c>
      <c r="O55" s="394">
        <f>TableUK8!I52</f>
        <v>0</v>
      </c>
      <c r="P55" s="307">
        <f>B55/(1-TableUK9!$H52-TableUK8!J52)</f>
        <v>0.35571801261769864</v>
      </c>
      <c r="Q55" s="236">
        <f>H55/(1-TableUK9!$H52-TableUK8!J52)</f>
        <v>0.65351618818796575</v>
      </c>
      <c r="R55" s="1289">
        <f>(B55-G55)/(1-TableUK9!H52-TableUK8!J52)</f>
        <v>0.3464838118120343</v>
      </c>
      <c r="S55" s="193">
        <f t="shared" si="4"/>
        <v>0.65351618818796575</v>
      </c>
      <c r="U55" s="2024">
        <f t="shared" si="5"/>
        <v>0</v>
      </c>
    </row>
    <row r="56" spans="1:21">
      <c r="A56" s="198">
        <v>1898</v>
      </c>
      <c r="B56" s="303">
        <f t="shared" si="1"/>
        <v>0.33701302724677307</v>
      </c>
      <c r="C56" s="308">
        <f>TableUK10!G53</f>
        <v>0.11570002130016303</v>
      </c>
      <c r="D56" s="308">
        <f>TableUK9!B53</f>
        <v>7.5446960667461274E-2</v>
      </c>
      <c r="E56" s="308">
        <f>DataUK1!AN56/DataUK1!B56-TableUK11a!L56</f>
        <v>7.752525183863096E-2</v>
      </c>
      <c r="F56" s="308">
        <f>TableUK8!F53</f>
        <v>6.0190703218116814E-2</v>
      </c>
      <c r="G56" s="1202">
        <f>DataUK1!GY56/DataUK1!B56</f>
        <v>8.1500902224009956E-3</v>
      </c>
      <c r="H56" s="303">
        <f t="shared" si="2"/>
        <v>0.60260309396490097</v>
      </c>
      <c r="I56" s="307">
        <f>DataUK1!BJ56/DataUK1!B56</f>
        <v>0.49106078665077479</v>
      </c>
      <c r="J56" s="308">
        <f>TableUK10!F53</f>
        <v>0.33725106386563097</v>
      </c>
      <c r="K56" s="308">
        <f>TableUK9!F53</f>
        <v>4.0047675804529212E-2</v>
      </c>
      <c r="L56" s="308">
        <f t="shared" si="3"/>
        <v>0.11154230731412618</v>
      </c>
      <c r="M56" s="308">
        <f>DataUK2!AG56*DataUK2!X56*DataUK2!E56/DataUK1!B56/1000</f>
        <v>1.7030885771402153E-2</v>
      </c>
      <c r="N56" s="308">
        <f>DataUK2!AW56*DataUK2!AE56*DataUK2!Y56*DataUK2!E56/DataUK1!B56/1000</f>
        <v>9.4511421542724031E-2</v>
      </c>
      <c r="O56" s="394">
        <f>TableUK8!I53</f>
        <v>0</v>
      </c>
      <c r="P56" s="307">
        <f>B56/(1-TableUK9!$H53-TableUK8!J53)</f>
        <v>0.36180925126045121</v>
      </c>
      <c r="Q56" s="236">
        <f>H56/(1-TableUK9!$H53-TableUK8!J53)</f>
        <v>0.64694049371279838</v>
      </c>
      <c r="R56" s="1289">
        <f>(B56-G56)/(1-TableUK9!H53-TableUK8!J53)</f>
        <v>0.35305950628720179</v>
      </c>
      <c r="S56" s="193">
        <f t="shared" si="4"/>
        <v>0.64694049371279838</v>
      </c>
      <c r="U56" s="2024">
        <f t="shared" si="5"/>
        <v>0</v>
      </c>
    </row>
    <row r="57" spans="1:21">
      <c r="A57" s="214">
        <v>1899</v>
      </c>
      <c r="B57" s="565">
        <f t="shared" si="1"/>
        <v>0.34732265239869164</v>
      </c>
      <c r="C57" s="550">
        <f>TableUK10!G54</f>
        <v>0.12242459022451477</v>
      </c>
      <c r="D57" s="550">
        <f>TableUK9!B54</f>
        <v>7.3011299435028265E-2</v>
      </c>
      <c r="E57" s="550">
        <f>DataUK1!AN57/DataUK1!B57-TableUK11a!L57</f>
        <v>8.6157809248742612E-2</v>
      </c>
      <c r="F57" s="550">
        <f>TableUK8!F54</f>
        <v>5.8192090395480227E-2</v>
      </c>
      <c r="G57" s="1960">
        <f>DataUK1!GY57/DataUK1!B57</f>
        <v>7.5368630949257552E-3</v>
      </c>
      <c r="H57" s="565">
        <f t="shared" si="2"/>
        <v>0.59185262877533018</v>
      </c>
      <c r="I57" s="568">
        <f>DataUK1!BJ57/DataUK1!B57</f>
        <v>0.48418079096045197</v>
      </c>
      <c r="J57" s="550">
        <f>TableUK10!F54</f>
        <v>0.321451698334563</v>
      </c>
      <c r="K57" s="550">
        <f>TableUK9!F54</f>
        <v>4.6101694915254232E-2</v>
      </c>
      <c r="L57" s="550">
        <f t="shared" si="3"/>
        <v>0.10767183781487819</v>
      </c>
      <c r="M57" s="550">
        <f>DataUK2!AG57*DataUK2!X57*DataUK2!E57/DataUK1!B57/1000</f>
        <v>1.6522642139227779E-2</v>
      </c>
      <c r="N57" s="550">
        <f>DataUK2!AW57*DataUK2!AE57*DataUK2!Y57*DataUK2!E57/DataUK1!B57/1000</f>
        <v>9.1149195675650413E-2</v>
      </c>
      <c r="O57" s="553">
        <f>TableUK8!I54</f>
        <v>0</v>
      </c>
      <c r="P57" s="568">
        <f>B57/(1-TableUK9!$H54-TableUK8!J54)</f>
        <v>0.37280842616475696</v>
      </c>
      <c r="Q57" s="244">
        <f>H57/(1-TableUK9!$H54-TableUK8!J54)</f>
        <v>0.63528147539862601</v>
      </c>
      <c r="R57" s="1291">
        <f>(B57-G57)/(1-TableUK9!H54-TableUK8!J54)</f>
        <v>0.36471852460137394</v>
      </c>
      <c r="S57" s="886">
        <f t="shared" si="4"/>
        <v>0.63528147539862601</v>
      </c>
      <c r="U57" s="2024">
        <f t="shared" si="5"/>
        <v>0</v>
      </c>
    </row>
    <row r="58" spans="1:21">
      <c r="A58" s="198">
        <v>1900</v>
      </c>
      <c r="B58" s="303">
        <f t="shared" si="1"/>
        <v>0.33078340476408918</v>
      </c>
      <c r="C58" s="308">
        <f>TableUK10!G55</f>
        <v>0.11693338256957157</v>
      </c>
      <c r="D58" s="308">
        <f>TableUK9!B55</f>
        <v>7.3027975863960523E-2</v>
      </c>
      <c r="E58" s="308">
        <f>DataUK1!AN58/DataUK1!B58-TableUK11a!L58</f>
        <v>7.594922247167786E-2</v>
      </c>
      <c r="F58" s="308">
        <f>TableUK8!F55</f>
        <v>5.7048820625342847E-2</v>
      </c>
      <c r="G58" s="1202">
        <f>DataUK1!GY58/DataUK1!B58</f>
        <v>7.8240032335363998E-3</v>
      </c>
      <c r="H58" s="303">
        <f t="shared" si="2"/>
        <v>0.60682666539210228</v>
      </c>
      <c r="I58" s="307">
        <f>DataUK1!BJ58/DataUK1!B58</f>
        <v>0.49862863411958319</v>
      </c>
      <c r="J58" s="308">
        <f>TableUK10!F55</f>
        <v>0.3279258757616127</v>
      </c>
      <c r="K58" s="308">
        <f>TableUK9!F55</f>
        <v>5.9901261656609993E-2</v>
      </c>
      <c r="L58" s="308">
        <f t="shared" si="3"/>
        <v>0.10819803127251908</v>
      </c>
      <c r="M58" s="308">
        <f>DataUK2!AG58*DataUK2!X58*DataUK2!E58/DataUK1!B58/1000</f>
        <v>1.6411304563454746E-2</v>
      </c>
      <c r="N58" s="308">
        <f>DataUK2!AW58*DataUK2!AE58*DataUK2!Y58*DataUK2!E58/DataUK1!B58/1000</f>
        <v>9.1786726709064334E-2</v>
      </c>
      <c r="O58" s="394">
        <f>TableUK8!I55</f>
        <v>0</v>
      </c>
      <c r="P58" s="307">
        <f>B58/(1-TableUK9!$H55-TableUK8!J55)</f>
        <v>0.35576291851618558</v>
      </c>
      <c r="Q58" s="236">
        <f>H58/(1-TableUK9!$H55-TableUK8!J55)</f>
        <v>0.65265192389958848</v>
      </c>
      <c r="R58" s="1289">
        <f>(B58-G58)/(1-TableUK9!H55-TableUK8!J55)</f>
        <v>0.34734807610041163</v>
      </c>
      <c r="S58" s="193">
        <f t="shared" si="4"/>
        <v>0.65265192389958848</v>
      </c>
      <c r="U58" s="2024">
        <f t="shared" si="5"/>
        <v>0</v>
      </c>
    </row>
    <row r="59" spans="1:21">
      <c r="A59" s="198">
        <v>1901</v>
      </c>
      <c r="B59" s="303">
        <f t="shared" si="1"/>
        <v>0.32284754553065748</v>
      </c>
      <c r="C59" s="308">
        <f>TableUK10!G56</f>
        <v>0.11023967947661106</v>
      </c>
      <c r="D59" s="308">
        <f>TableUK9!B56</f>
        <v>7.5914634146341461E-2</v>
      </c>
      <c r="E59" s="308">
        <f>DataUK1!AN59/DataUK1!B59-TableUK11a!L59</f>
        <v>6.9144853004270507E-2</v>
      </c>
      <c r="F59" s="308">
        <f>TableUK8!F56</f>
        <v>5.8758314855875828E-2</v>
      </c>
      <c r="G59" s="1202">
        <f>DataUK1!GY59/DataUK1!B59</f>
        <v>8.7900640475585788E-3</v>
      </c>
      <c r="H59" s="303">
        <f t="shared" si="2"/>
        <v>0.61055449190936228</v>
      </c>
      <c r="I59" s="307">
        <f>DataUK1!BJ59/DataUK1!B59</f>
        <v>0.50332594235033257</v>
      </c>
      <c r="J59" s="308">
        <f>TableUK10!F56</f>
        <v>0.33001794040126009</v>
      </c>
      <c r="K59" s="308">
        <f>TableUK9!F56</f>
        <v>6.718403547671839E-2</v>
      </c>
      <c r="L59" s="308">
        <f t="shared" si="3"/>
        <v>0.10722854955902975</v>
      </c>
      <c r="M59" s="308">
        <f>DataUK2!AG59*DataUK2!X59*DataUK2!E59/DataUK1!B59/1000</f>
        <v>1.6662569579492768E-2</v>
      </c>
      <c r="N59" s="308">
        <f>DataUK2!AW59*DataUK2!AE59*DataUK2!Y59*DataUK2!E59/DataUK1!B59/1000</f>
        <v>9.0565979979536984E-2</v>
      </c>
      <c r="O59" s="394">
        <f>TableUK8!I56</f>
        <v>0</v>
      </c>
      <c r="P59" s="307">
        <f>B59/(1-TableUK9!$H56-TableUK8!J56)</f>
        <v>0.34917084660509962</v>
      </c>
      <c r="Q59" s="236">
        <f>H59/(1-TableUK9!$H56-TableUK8!J56)</f>
        <v>0.66033591331204411</v>
      </c>
      <c r="R59" s="1289">
        <f>(B59-G59)/(1-TableUK9!H56-TableUK8!J56)</f>
        <v>0.33966408668795595</v>
      </c>
      <c r="S59" s="193">
        <f t="shared" si="4"/>
        <v>0.66033591331204411</v>
      </c>
      <c r="U59" s="2024">
        <f t="shared" si="5"/>
        <v>0</v>
      </c>
    </row>
    <row r="60" spans="1:21">
      <c r="A60" s="198">
        <v>1902</v>
      </c>
      <c r="B60" s="303">
        <f t="shared" si="1"/>
        <v>0.33629516256100001</v>
      </c>
      <c r="C60" s="308">
        <f>TableUK10!G57</f>
        <v>0.11525782223200591</v>
      </c>
      <c r="D60" s="308">
        <f>TableUK9!B57</f>
        <v>7.6055646481178393E-2</v>
      </c>
      <c r="E60" s="308">
        <f>DataUK1!AN60/DataUK1!B60-TableUK11a!L60</f>
        <v>7.6407615926527478E-2</v>
      </c>
      <c r="F60" s="308">
        <f>TableUK8!F57</f>
        <v>5.9465357337697762E-2</v>
      </c>
      <c r="G60" s="1202">
        <f>DataUK1!GY60/DataUK1!B60</f>
        <v>9.1087205835904943E-3</v>
      </c>
      <c r="H60" s="303">
        <f t="shared" si="2"/>
        <v>0.59316271241429797</v>
      </c>
      <c r="I60" s="307">
        <f>DataUK1!BJ60/DataUK1!B60</f>
        <v>0.49045280960174575</v>
      </c>
      <c r="J60" s="308">
        <f>TableUK10!F57</f>
        <v>0.3204845810009076</v>
      </c>
      <c r="K60" s="308">
        <f>TableUK9!F57</f>
        <v>6.2193126022913256E-2</v>
      </c>
      <c r="L60" s="308">
        <f t="shared" si="3"/>
        <v>0.10270990281255227</v>
      </c>
      <c r="M60" s="308">
        <f>DataUK2!AG60*DataUK2!X60*DataUK2!E60/DataUK1!B60/1000</f>
        <v>1.6476382681802952E-2</v>
      </c>
      <c r="N60" s="308">
        <f>DataUK2!AW60*DataUK2!AE60*DataUK2!Y60*DataUK2!E60/DataUK1!B60/1000</f>
        <v>8.6233520130749308E-2</v>
      </c>
      <c r="O60" s="394">
        <f>TableUK8!I57</f>
        <v>0</v>
      </c>
      <c r="P60" s="307">
        <f>B60/(1-TableUK9!$H57-TableUK8!J57)</f>
        <v>0.36539954533154295</v>
      </c>
      <c r="Q60" s="236">
        <f>H60/(1-TableUK9!$H57-TableUK8!J57)</f>
        <v>0.64449748183485955</v>
      </c>
      <c r="R60" s="1289">
        <f>(B60-G60)/(1-TableUK9!H57-TableUK8!J57)</f>
        <v>0.35550251816514028</v>
      </c>
      <c r="S60" s="193">
        <f t="shared" si="4"/>
        <v>0.64449748183485955</v>
      </c>
      <c r="U60" s="2024">
        <f t="shared" si="5"/>
        <v>0</v>
      </c>
    </row>
    <row r="61" spans="1:21">
      <c r="A61" s="198">
        <v>1903</v>
      </c>
      <c r="B61" s="303">
        <f t="shared" si="1"/>
        <v>0.32244185910733275</v>
      </c>
      <c r="C61" s="308">
        <f>TableUK10!G58</f>
        <v>0.10753220763450427</v>
      </c>
      <c r="D61" s="308">
        <f>TableUK9!B58</f>
        <v>7.9795240730492531E-2</v>
      </c>
      <c r="E61" s="308">
        <f>DataUK1!AN61/DataUK1!B61-TableUK11a!L61</f>
        <v>6.4311324704379016E-2</v>
      </c>
      <c r="F61" s="308">
        <f>TableUK8!F58</f>
        <v>6.1981184283342559E-2</v>
      </c>
      <c r="G61" s="1202">
        <f>DataUK1!GY61/DataUK1!B61</f>
        <v>8.8219017546144144E-3</v>
      </c>
      <c r="H61" s="303">
        <f t="shared" si="2"/>
        <v>0.60558314170649574</v>
      </c>
      <c r="I61" s="307">
        <f>DataUK1!BJ61/DataUK1!B61</f>
        <v>0.5024903154399557</v>
      </c>
      <c r="J61" s="308">
        <f>TableUK10!F58</f>
        <v>0.34564804432153617</v>
      </c>
      <c r="K61" s="308">
        <f>TableUK9!F58</f>
        <v>5.6115107913669061E-2</v>
      </c>
      <c r="L61" s="308">
        <f t="shared" si="3"/>
        <v>0.10309282626654008</v>
      </c>
      <c r="M61" s="308">
        <f>DataUK2!AG61*DataUK2!X61*DataUK2!E61/DataUK1!B61/1000</f>
        <v>1.6792259178086147E-2</v>
      </c>
      <c r="N61" s="308">
        <f>DataUK2!AW61*DataUK2!AE61*DataUK2!Y61*DataUK2!E61/DataUK1!B61/1000</f>
        <v>8.6300567088453933E-2</v>
      </c>
      <c r="O61" s="394">
        <f>TableUK8!I58</f>
        <v>0</v>
      </c>
      <c r="P61" s="307">
        <f>B61/(1-TableUK9!$H58-TableUK8!J58)</f>
        <v>0.35078412968509953</v>
      </c>
      <c r="Q61" s="236">
        <f>H61/(1-TableUK9!$H58-TableUK8!J58)</f>
        <v>0.65881320714246705</v>
      </c>
      <c r="R61" s="1289">
        <f>(B61-G61)/(1-TableUK9!H58-TableUK8!J58)</f>
        <v>0.34118679285753284</v>
      </c>
      <c r="S61" s="193">
        <f t="shared" si="4"/>
        <v>0.65881320714246705</v>
      </c>
      <c r="U61" s="2024">
        <f t="shared" si="5"/>
        <v>0</v>
      </c>
    </row>
    <row r="62" spans="1:21">
      <c r="A62" s="198">
        <v>1904</v>
      </c>
      <c r="B62" s="303">
        <f t="shared" si="1"/>
        <v>0.32764857925787899</v>
      </c>
      <c r="C62" s="308">
        <f>TableUK10!G59</f>
        <v>0.10704405290727678</v>
      </c>
      <c r="D62" s="308">
        <f>TableUK9!B59</f>
        <v>8.2246941045606231E-2</v>
      </c>
      <c r="E62" s="308">
        <f>DataUK1!AN62/DataUK1!B62-TableUK11a!L62</f>
        <v>6.6970560850579813E-2</v>
      </c>
      <c r="F62" s="308">
        <f>TableUK8!F59</f>
        <v>6.2847608453837606E-2</v>
      </c>
      <c r="G62" s="1202">
        <f>DataUK1!GY62/DataUK1!B62</f>
        <v>8.539416000578566E-3</v>
      </c>
      <c r="H62" s="303">
        <f t="shared" si="2"/>
        <v>0.59690863429553609</v>
      </c>
      <c r="I62" s="307">
        <f>DataUK1!BJ62/DataUK1!B62</f>
        <v>0.49666295884315914</v>
      </c>
      <c r="J62" s="308">
        <f>TableUK10!F59</f>
        <v>0.34165509313366343</v>
      </c>
      <c r="K62" s="308">
        <f>TableUK9!F59</f>
        <v>5.4393770856507234E-2</v>
      </c>
      <c r="L62" s="308">
        <f t="shared" si="3"/>
        <v>0.100245675452377</v>
      </c>
      <c r="M62" s="308">
        <f>DataUK2!AG62*DataUK2!X62*DataUK2!E62/DataUK1!B62/1000</f>
        <v>1.6955776688813345E-2</v>
      </c>
      <c r="N62" s="308">
        <f>DataUK2!AW62*DataUK2!AE62*DataUK2!Y62*DataUK2!E62/DataUK1!B62/1000</f>
        <v>8.3289898763563658E-2</v>
      </c>
      <c r="O62" s="394">
        <f>TableUK8!I59</f>
        <v>0</v>
      </c>
      <c r="P62" s="307">
        <f>B62/(1-TableUK9!$H59-TableUK8!J59)</f>
        <v>0.35768800577150356</v>
      </c>
      <c r="Q62" s="236">
        <f>H62/(1-TableUK9!$H59-TableUK8!J59)</f>
        <v>0.65163431964989305</v>
      </c>
      <c r="R62" s="1289">
        <f>(B62-G62)/(1-TableUK9!H59-TableUK8!J59)</f>
        <v>0.34836568035010695</v>
      </c>
      <c r="S62" s="193">
        <f t="shared" si="4"/>
        <v>0.65163431964989305</v>
      </c>
      <c r="U62" s="2024">
        <f t="shared" si="5"/>
        <v>0</v>
      </c>
    </row>
    <row r="63" spans="1:21">
      <c r="A63" s="198">
        <v>1905</v>
      </c>
      <c r="B63" s="303">
        <f t="shared" si="1"/>
        <v>0.34475910953477579</v>
      </c>
      <c r="C63" s="308">
        <f>TableUK10!G60</f>
        <v>0.11524712732051304</v>
      </c>
      <c r="D63" s="308">
        <f>TableUK9!B60</f>
        <v>7.9366009589770914E-2</v>
      </c>
      <c r="E63" s="308">
        <f>DataUK1!AN63/DataUK1!B63-TableUK11a!L63</f>
        <v>7.6525265053125208E-2</v>
      </c>
      <c r="F63" s="308">
        <f>TableUK8!F60</f>
        <v>6.5530101225359613E-2</v>
      </c>
      <c r="G63" s="1202">
        <f>DataUK1!GY63/DataUK1!B63</f>
        <v>8.0906063460069906E-3</v>
      </c>
      <c r="H63" s="303">
        <f t="shared" si="2"/>
        <v>0.5823512091181039</v>
      </c>
      <c r="I63" s="307">
        <f>DataUK1!BJ63/DataUK1!B63</f>
        <v>0.48641449120937669</v>
      </c>
      <c r="J63" s="308">
        <f>TableUK10!F60</f>
        <v>0.33053960596054388</v>
      </c>
      <c r="K63" s="308">
        <f>TableUK9!F60</f>
        <v>5.2104421949920085E-2</v>
      </c>
      <c r="L63" s="308">
        <f t="shared" si="3"/>
        <v>9.5936717908727237E-2</v>
      </c>
      <c r="M63" s="308">
        <f>DataUK2!AG63*DataUK2!X63*DataUK2!E63/DataUK1!B63/1000</f>
        <v>1.6318505196666781E-2</v>
      </c>
      <c r="N63" s="308">
        <f>DataUK2!AW63*DataUK2!AE63*DataUK2!Y63*DataUK2!E63/DataUK1!B63/1000</f>
        <v>7.961821271206046E-2</v>
      </c>
      <c r="O63" s="394">
        <f>TableUK8!I60</f>
        <v>0</v>
      </c>
      <c r="P63" s="307">
        <f>B63/(1-TableUK9!$H60-TableUK8!J60)</f>
        <v>0.37513788324450675</v>
      </c>
      <c r="Q63" s="236">
        <f>H63/(1-TableUK9!$H60-TableUK8!J60)</f>
        <v>0.63366563450126434</v>
      </c>
      <c r="R63" s="1289">
        <f>(B63-G63)/(1-TableUK9!H60-TableUK8!J60)</f>
        <v>0.36633436549873566</v>
      </c>
      <c r="S63" s="193">
        <f t="shared" si="4"/>
        <v>0.63366563450126434</v>
      </c>
      <c r="U63" s="2024">
        <f t="shared" si="5"/>
        <v>0</v>
      </c>
    </row>
    <row r="64" spans="1:21">
      <c r="A64" s="198">
        <v>1906</v>
      </c>
      <c r="B64" s="303">
        <f t="shared" si="1"/>
        <v>0.35685697749226408</v>
      </c>
      <c r="C64" s="308">
        <f>TableUK10!G61</f>
        <v>0.1243772811947761</v>
      </c>
      <c r="D64" s="308">
        <f>TableUK9!B61</f>
        <v>7.5661616161616166E-2</v>
      </c>
      <c r="E64" s="308">
        <f>DataUK1!AN64/DataUK1!B64-TableUK11a!L64</f>
        <v>8.1598703709065079E-2</v>
      </c>
      <c r="F64" s="308">
        <f>TableUK8!F61</f>
        <v>6.7676767676767682E-2</v>
      </c>
      <c r="G64" s="1202">
        <f>DataUK1!GY64/DataUK1!B64</f>
        <v>7.5426087500390969E-3</v>
      </c>
      <c r="H64" s="303">
        <f t="shared" si="2"/>
        <v>0.57341290398504774</v>
      </c>
      <c r="I64" s="307">
        <f>DataUK1!BJ64/DataUK1!B64</f>
        <v>0.48080808080808085</v>
      </c>
      <c r="J64" s="308">
        <f>TableUK10!F61</f>
        <v>0.3265957902458918</v>
      </c>
      <c r="K64" s="308">
        <f>TableUK9!F61</f>
        <v>4.93939393939394E-2</v>
      </c>
      <c r="L64" s="308">
        <f t="shared" si="3"/>
        <v>9.2604823176966916E-2</v>
      </c>
      <c r="M64" s="308">
        <f>DataUK2!AG64*DataUK2!X64*DataUK2!E64/DataUK1!B64/1000</f>
        <v>1.5819791719072239E-2</v>
      </c>
      <c r="N64" s="308">
        <f>DataUK2!AW64*DataUK2!AE64*DataUK2!Y64*DataUK2!E64/DataUK1!B64/1000</f>
        <v>7.678503145789467E-2</v>
      </c>
      <c r="O64" s="394">
        <f>TableUK8!I61</f>
        <v>0</v>
      </c>
      <c r="P64" s="307">
        <f>B64/(1-TableUK9!$H61-TableUK8!J61)</f>
        <v>0.38674155196205962</v>
      </c>
      <c r="Q64" s="236">
        <f>H64/(1-TableUK9!$H61-TableUK8!J61)</f>
        <v>0.62143270382616012</v>
      </c>
      <c r="R64" s="1289">
        <f>(B64-G64)/(1-TableUK9!H61-TableUK8!J61)</f>
        <v>0.37856729617383988</v>
      </c>
      <c r="S64" s="193">
        <f t="shared" si="4"/>
        <v>0.62143270382616012</v>
      </c>
      <c r="U64" s="2024">
        <f t="shared" si="5"/>
        <v>0</v>
      </c>
    </row>
    <row r="65" spans="1:21">
      <c r="A65" s="198">
        <v>1907</v>
      </c>
      <c r="B65" s="303">
        <f t="shared" si="1"/>
        <v>0.35607883748100821</v>
      </c>
      <c r="C65" s="308">
        <f>TableUK10!G62</f>
        <v>0.12414304109430689</v>
      </c>
      <c r="D65" s="308">
        <f>TableUK9!B62</f>
        <v>7.3025048169556836E-2</v>
      </c>
      <c r="E65" s="308">
        <f>DataUK1!AN65/DataUK1!B65-TableUK11a!L65</f>
        <v>8.2474012890217843E-2</v>
      </c>
      <c r="F65" s="308">
        <f>TableUK8!F62</f>
        <v>6.9364161849710976E-2</v>
      </c>
      <c r="G65" s="1202">
        <f>DataUK1!GY65/DataUK1!B65</f>
        <v>7.0725734772156545E-3</v>
      </c>
      <c r="H65" s="303">
        <f t="shared" si="2"/>
        <v>0.57633092289408794</v>
      </c>
      <c r="I65" s="307">
        <f>DataUK1!BJ65/DataUK1!B65</f>
        <v>0.48554913294797686</v>
      </c>
      <c r="J65" s="308">
        <f>TableUK10!F62</f>
        <v>0.33419120123524987</v>
      </c>
      <c r="K65" s="308">
        <f>TableUK9!F62</f>
        <v>4.7109826589595373E-2</v>
      </c>
      <c r="L65" s="308">
        <f t="shared" si="3"/>
        <v>9.0781789946111122E-2</v>
      </c>
      <c r="M65" s="308">
        <f>DataUK2!AG65*DataUK2!X65*DataUK2!E65/DataUK1!B65/1000</f>
        <v>1.5158991579406023E-2</v>
      </c>
      <c r="N65" s="308">
        <f>DataUK2!AW65*DataUK2!AE65*DataUK2!Y65*DataUK2!E65/DataUK1!B65/1000</f>
        <v>7.5622798366705102E-2</v>
      </c>
      <c r="O65" s="394">
        <f>TableUK8!I62</f>
        <v>0</v>
      </c>
      <c r="P65" s="307">
        <f>B65/(1-TableUK9!$H62-TableUK8!J62)</f>
        <v>0.38480982124444196</v>
      </c>
      <c r="Q65" s="236">
        <f>H65/(1-TableUK9!$H62-TableUK8!J62)</f>
        <v>0.6228334179740378</v>
      </c>
      <c r="R65" s="1289">
        <f>(B65-G65)/(1-TableUK9!H62-TableUK8!J62)</f>
        <v>0.37716658202596215</v>
      </c>
      <c r="S65" s="193">
        <f t="shared" si="4"/>
        <v>0.6228334179740378</v>
      </c>
      <c r="U65" s="2024">
        <f t="shared" si="5"/>
        <v>0</v>
      </c>
    </row>
    <row r="66" spans="1:21">
      <c r="A66" s="198">
        <v>1908</v>
      </c>
      <c r="B66" s="303">
        <f t="shared" si="1"/>
        <v>0.34928146526354298</v>
      </c>
      <c r="C66" s="308">
        <f>TableUK10!G63</f>
        <v>0.11404056034773778</v>
      </c>
      <c r="D66" s="308">
        <f>TableUK9!B63</f>
        <v>7.7501261988894496E-2</v>
      </c>
      <c r="E66" s="308">
        <f>DataUK1!AN66/DataUK1!B66-TableUK11a!L66</f>
        <v>7.3934359608450309E-2</v>
      </c>
      <c r="F66" s="308">
        <f>TableUK8!F63</f>
        <v>7.6224129227662793E-2</v>
      </c>
      <c r="G66" s="1202">
        <f>DataUK1!GY66/DataUK1!B66</f>
        <v>7.5811540907975645E-3</v>
      </c>
      <c r="H66" s="303">
        <f t="shared" si="2"/>
        <v>0.58258035515739093</v>
      </c>
      <c r="I66" s="307">
        <f>DataUK1!BJ66/DataUK1!B66</f>
        <v>0.49217566885411407</v>
      </c>
      <c r="J66" s="308">
        <f>TableUK10!F63</f>
        <v>0.34271226603868243</v>
      </c>
      <c r="K66" s="308">
        <f>TableUK9!F63</f>
        <v>5.0580514891468954E-2</v>
      </c>
      <c r="L66" s="308">
        <f t="shared" si="3"/>
        <v>9.0404686303276846E-2</v>
      </c>
      <c r="M66" s="308">
        <f>DataUK2!AG66*DataUK2!X66*DataUK2!E66/DataUK1!B66/1000</f>
        <v>1.5680334639373832E-2</v>
      </c>
      <c r="N66" s="308">
        <f>DataUK2!AW66*DataUK2!AE66*DataUK2!Y66*DataUK2!E66/DataUK1!B66/1000</f>
        <v>7.472435166390301E-2</v>
      </c>
      <c r="O66" s="394">
        <f>TableUK8!I63</f>
        <v>0</v>
      </c>
      <c r="P66" s="307">
        <f>B66/(1-TableUK9!$H63-TableUK8!J63)</f>
        <v>0.37789545750250064</v>
      </c>
      <c r="Q66" s="236">
        <f>H66/(1-TableUK9!$H63-TableUK8!J63)</f>
        <v>0.63030676328060697</v>
      </c>
      <c r="R66" s="1289">
        <f>(B66-G66)/(1-TableUK9!H63-TableUK8!J63)</f>
        <v>0.36969323671939303</v>
      </c>
      <c r="S66" s="193">
        <f t="shared" si="4"/>
        <v>0.63030676328060697</v>
      </c>
      <c r="U66" s="2024">
        <f t="shared" si="5"/>
        <v>0</v>
      </c>
    </row>
    <row r="67" spans="1:21">
      <c r="A67" s="214">
        <v>1909</v>
      </c>
      <c r="B67" s="565">
        <f t="shared" si="1"/>
        <v>0.3535275924207682</v>
      </c>
      <c r="C67" s="550">
        <f>TableUK10!G64</f>
        <v>0.11514181619552664</v>
      </c>
      <c r="D67" s="550">
        <f>TableUK9!B64</f>
        <v>7.7082504970178933E-2</v>
      </c>
      <c r="E67" s="550">
        <f>DataUK1!AN67/DataUK1!B67-TableUK11a!L67</f>
        <v>7.5560298749538485E-2</v>
      </c>
      <c r="F67" s="550">
        <f>TableUK8!F64</f>
        <v>7.8528827037773363E-2</v>
      </c>
      <c r="G67" s="1960">
        <f>DataUK1!GY67/DataUK1!B67</f>
        <v>7.2141454677507747E-3</v>
      </c>
      <c r="H67" s="565">
        <f t="shared" si="2"/>
        <v>0.57863685125771824</v>
      </c>
      <c r="I67" s="568">
        <f>DataUK1!BJ67/DataUK1!B67</f>
        <v>0.49055666003976145</v>
      </c>
      <c r="J67" s="550">
        <f>TableUK10!F64</f>
        <v>0.34050363632803582</v>
      </c>
      <c r="K67" s="550">
        <f>TableUK9!F64</f>
        <v>5.1590457256461233E-2</v>
      </c>
      <c r="L67" s="550">
        <f t="shared" si="3"/>
        <v>8.8080191217956738E-2</v>
      </c>
      <c r="M67" s="550">
        <f>DataUK2!AG67*DataUK2!X67*DataUK2!E67/DataUK1!B67/1000</f>
        <v>1.5510938816489218E-2</v>
      </c>
      <c r="N67" s="550">
        <f>DataUK2!AW67*DataUK2!AE67*DataUK2!Y67*DataUK2!E67/DataUK1!B67/1000</f>
        <v>7.2569252401467527E-2</v>
      </c>
      <c r="O67" s="553">
        <f>TableUK8!I64</f>
        <v>0</v>
      </c>
      <c r="P67" s="568">
        <f>B67/(1-TableUK9!$H64-TableUK8!J64)</f>
        <v>0.38221252872143235</v>
      </c>
      <c r="Q67" s="244">
        <f>H67/(1-TableUK9!$H64-TableUK8!J64)</f>
        <v>0.62558696653977919</v>
      </c>
      <c r="R67" s="1291">
        <f>(B67-G67)/(1-TableUK9!H64-TableUK8!J64)</f>
        <v>0.37441303346022087</v>
      </c>
      <c r="S67" s="886">
        <f t="shared" si="4"/>
        <v>0.62558696653977919</v>
      </c>
      <c r="U67" s="2024">
        <f t="shared" si="5"/>
        <v>0</v>
      </c>
    </row>
    <row r="68" spans="1:21">
      <c r="A68" s="198">
        <v>1910</v>
      </c>
      <c r="B68" s="303">
        <f t="shared" si="1"/>
        <v>0.35610125554388494</v>
      </c>
      <c r="C68" s="308">
        <f>TableUK10!G65</f>
        <v>0.11717680336848184</v>
      </c>
      <c r="D68" s="308">
        <f>TableUK9!B65</f>
        <v>7.4053156146179397E-2</v>
      </c>
      <c r="E68" s="308">
        <f>DataUK1!AN68/DataUK1!B68-TableUK11a!L68</f>
        <v>7.7458264721229325E-2</v>
      </c>
      <c r="F68" s="308">
        <f>TableUK8!F65</f>
        <v>8.0683436165163741E-2</v>
      </c>
      <c r="G68" s="1202">
        <f>DataUK1!GY68/DataUK1!B68</f>
        <v>6.7295951428306966E-3</v>
      </c>
      <c r="H68" s="303">
        <f t="shared" si="2"/>
        <v>0.57279255412196417</v>
      </c>
      <c r="I68" s="307">
        <f>DataUK1!BJ68/DataUK1!B68</f>
        <v>0.48742287612719504</v>
      </c>
      <c r="J68" s="308">
        <f>TableUK10!F65</f>
        <v>0.33762197724355786</v>
      </c>
      <c r="K68" s="308">
        <f>TableUK9!F65</f>
        <v>5.1827242524916946E-2</v>
      </c>
      <c r="L68" s="308">
        <f t="shared" si="3"/>
        <v>8.5369677994769161E-2</v>
      </c>
      <c r="M68" s="308">
        <f>DataUK2!AG68*DataUK2!X68*DataUK2!E68/DataUK1!B68/1000</f>
        <v>1.5146487434774336E-2</v>
      </c>
      <c r="N68" s="308">
        <f>DataUK2!AW68*DataUK2!AE68*DataUK2!Y68*DataUK2!E68/DataUK1!B68/1000</f>
        <v>7.0223190559994819E-2</v>
      </c>
      <c r="O68" s="394">
        <f>TableUK8!I65</f>
        <v>0</v>
      </c>
      <c r="P68" s="307">
        <f>B68/(1-TableUK9!$H65-TableUK8!J65)</f>
        <v>0.38615818087028592</v>
      </c>
      <c r="Q68" s="236">
        <f>H68/(1-TableUK9!$H65-TableUK8!J65)</f>
        <v>0.62113942950848089</v>
      </c>
      <c r="R68" s="1289">
        <f>(B68-G68)/(1-TableUK9!H65-TableUK8!J65)</f>
        <v>0.37886057049151894</v>
      </c>
      <c r="S68" s="193">
        <f t="shared" si="4"/>
        <v>0.62113942950848089</v>
      </c>
      <c r="U68" s="2024">
        <f t="shared" si="5"/>
        <v>0</v>
      </c>
    </row>
    <row r="69" spans="1:21">
      <c r="A69" s="198">
        <v>1911</v>
      </c>
      <c r="B69" s="303">
        <f t="shared" si="1"/>
        <v>0.36129065406541561</v>
      </c>
      <c r="C69" s="308">
        <f>TableUK10!G66</f>
        <v>0.11814207550938761</v>
      </c>
      <c r="D69" s="308">
        <f>TableUK9!B66</f>
        <v>7.2454379562043786E-2</v>
      </c>
      <c r="E69" s="308">
        <f>DataUK1!AN69/DataUK1!B69-TableUK11a!L69</f>
        <v>8.3592212598196533E-2</v>
      </c>
      <c r="F69" s="308">
        <f>TableUK8!F66</f>
        <v>8.0748175182481757E-2</v>
      </c>
      <c r="G69" s="1202">
        <f>DataUK1!GY69/DataUK1!B69</f>
        <v>6.3538112133059181E-3</v>
      </c>
      <c r="H69" s="303">
        <f t="shared" si="2"/>
        <v>0.56887702576102894</v>
      </c>
      <c r="I69" s="307">
        <f>DataUK1!BJ69/DataUK1!B69</f>
        <v>0.48585766423357662</v>
      </c>
      <c r="J69" s="308">
        <f>TableUK10!F66</f>
        <v>0.33414754090713772</v>
      </c>
      <c r="K69" s="308">
        <f>TableUK9!F66</f>
        <v>5.1459854014598544E-2</v>
      </c>
      <c r="L69" s="308">
        <f t="shared" si="3"/>
        <v>8.3019361527452304E-2</v>
      </c>
      <c r="M69" s="308">
        <f>DataUK2!AG69*DataUK2!X69*DataUK2!E69/DataUK1!B69/1000</f>
        <v>1.4883667883211679E-2</v>
      </c>
      <c r="N69" s="308">
        <f>DataUK2!AW69*DataUK2!AE69*DataUK2!Y69*DataUK2!E69/DataUK1!B69/1000</f>
        <v>6.813569364424063E-2</v>
      </c>
      <c r="O69" s="394">
        <f>TableUK8!I66</f>
        <v>0</v>
      </c>
      <c r="P69" s="307">
        <f>B69/(1-TableUK9!$H66-TableUK8!J66)</f>
        <v>0.39108598207969925</v>
      </c>
      <c r="Q69" s="236">
        <f>H69/(1-TableUK9!$H66-TableUK8!J66)</f>
        <v>0.6157918224534199</v>
      </c>
      <c r="R69" s="1289">
        <f>(B69-G69)/(1-TableUK9!H66-TableUK8!J66)</f>
        <v>0.38420817754657993</v>
      </c>
      <c r="S69" s="193">
        <f t="shared" si="4"/>
        <v>0.6157918224534199</v>
      </c>
      <c r="U69" s="2024">
        <f t="shared" si="5"/>
        <v>0</v>
      </c>
    </row>
    <row r="70" spans="1:21">
      <c r="A70" s="198">
        <v>1912</v>
      </c>
      <c r="B70" s="303">
        <f t="shared" si="1"/>
        <v>0.36552909572262654</v>
      </c>
      <c r="C70" s="308">
        <f>TableUK10!G67</f>
        <v>0.12732991664943741</v>
      </c>
      <c r="D70" s="308">
        <f>TableUK9!B67</f>
        <v>6.9631076388888907E-2</v>
      </c>
      <c r="E70" s="308">
        <f>DataUK1!AN70/DataUK1!B70-TableUK11a!L70</f>
        <v>8.1432793516773488E-2</v>
      </c>
      <c r="F70" s="308">
        <f>TableUK8!F67</f>
        <v>8.1163194444444461E-2</v>
      </c>
      <c r="G70" s="1202">
        <f>DataUK1!GY70/DataUK1!B70</f>
        <v>5.9721147230822188E-3</v>
      </c>
      <c r="H70" s="303">
        <f t="shared" si="2"/>
        <v>0.56579024122267807</v>
      </c>
      <c r="I70" s="307">
        <f>DataUK1!BJ70/DataUK1!B70</f>
        <v>0.48350694444444453</v>
      </c>
      <c r="J70" s="308">
        <f>TableUK10!F67</f>
        <v>0.33395722256680793</v>
      </c>
      <c r="K70" s="308">
        <f>TableUK9!F67</f>
        <v>5.1041666666666673E-2</v>
      </c>
      <c r="L70" s="308">
        <f t="shared" si="3"/>
        <v>8.2283296778233594E-2</v>
      </c>
      <c r="M70" s="308">
        <f>DataUK2!AG70*DataUK2!X70*DataUK2!E70/DataUK1!B70/1000</f>
        <v>1.4810280439684331E-2</v>
      </c>
      <c r="N70" s="308">
        <f>DataUK2!AW70*DataUK2!AE70*DataUK2!Y70*DataUK2!E70/DataUK1!B70/1000</f>
        <v>6.7473016338549269E-2</v>
      </c>
      <c r="O70" s="394">
        <f>TableUK8!I67</f>
        <v>0</v>
      </c>
      <c r="P70" s="307">
        <f>B70/(1-TableUK9!$H67-TableUK8!J67)</f>
        <v>0.39501830982407671</v>
      </c>
      <c r="Q70" s="236">
        <f>H70/(1-TableUK9!$H67-TableUK8!J67)</f>
        <v>0.61143560777535189</v>
      </c>
      <c r="R70" s="1289">
        <f>(B70-G70)/(1-TableUK9!H67-TableUK8!J67)</f>
        <v>0.38856439222464828</v>
      </c>
      <c r="S70" s="193">
        <f t="shared" si="4"/>
        <v>0.61143560777535189</v>
      </c>
      <c r="U70" s="2024">
        <f t="shared" si="5"/>
        <v>0</v>
      </c>
    </row>
    <row r="71" spans="1:21">
      <c r="A71" s="198">
        <v>1913</v>
      </c>
      <c r="B71" s="303">
        <f t="shared" si="1"/>
        <v>0.3623181257130898</v>
      </c>
      <c r="C71" s="308">
        <f>TableUK10!G68</f>
        <v>0.12828470138363562</v>
      </c>
      <c r="D71" s="308">
        <f>TableUK9!B68</f>
        <v>6.8219235615287685E-2</v>
      </c>
      <c r="E71" s="308">
        <f>DataUK1!AN71/DataUK1!B71-TableUK11a!L71</f>
        <v>7.6142601340960375E-2</v>
      </c>
      <c r="F71" s="308">
        <f>TableUK8!F68</f>
        <v>8.3998320033599305E-2</v>
      </c>
      <c r="G71" s="1202">
        <f>DataUK1!GY71/DataUK1!B71</f>
        <v>5.6732673396067699E-3</v>
      </c>
      <c r="H71" s="303">
        <f t="shared" si="2"/>
        <v>0.56985661159711742</v>
      </c>
      <c r="I71" s="307">
        <f>DataUK1!BJ71/DataUK1!B71</f>
        <v>0.48719025619487599</v>
      </c>
      <c r="J71" s="308">
        <f>TableUK10!F68</f>
        <v>0.34047984884975629</v>
      </c>
      <c r="K71" s="308">
        <f>TableUK9!F68</f>
        <v>5.1154976900461988E-2</v>
      </c>
      <c r="L71" s="308">
        <f t="shared" si="3"/>
        <v>8.2666355402241404E-2</v>
      </c>
      <c r="M71" s="308">
        <f>DataUK2!AG71*DataUK2!X71*DataUK2!E71/DataUK1!B71/1000</f>
        <v>1.4981932707587305E-2</v>
      </c>
      <c r="N71" s="308">
        <f>DataUK2!AW71*DataUK2!AE71*DataUK2!Y71*DataUK2!E71/DataUK1!B71/1000</f>
        <v>6.7684422694654092E-2</v>
      </c>
      <c r="O71" s="394">
        <f>TableUK8!I68</f>
        <v>0</v>
      </c>
      <c r="P71" s="307">
        <f>B71/(1-TableUK9!$H68-TableUK8!J68)</f>
        <v>0.39106049742650356</v>
      </c>
      <c r="Q71" s="236">
        <f>H71/(1-TableUK9!$H68-TableUK8!J68)</f>
        <v>0.61506282511910093</v>
      </c>
      <c r="R71" s="1289">
        <f>(B71-G71)/(1-TableUK9!H68-TableUK8!J68)</f>
        <v>0.38493717488089896</v>
      </c>
      <c r="S71" s="193">
        <f t="shared" si="4"/>
        <v>0.61506282511910093</v>
      </c>
      <c r="U71" s="2024">
        <f t="shared" si="5"/>
        <v>0</v>
      </c>
    </row>
    <row r="72" spans="1:21">
      <c r="A72" s="198">
        <v>1914</v>
      </c>
      <c r="B72" s="303">
        <f t="shared" si="1"/>
        <v>0.33627110807701543</v>
      </c>
      <c r="C72" s="308">
        <f>TableUK10!G69</f>
        <v>0.11359435656753109</v>
      </c>
      <c r="D72" s="308">
        <f>TableUK9!B69</f>
        <v>6.240619902120717E-2</v>
      </c>
      <c r="E72" s="308">
        <f>DataUK1!AN72/DataUK1!B72-TableUK11a!L72</f>
        <v>7.6349926626530451E-2</v>
      </c>
      <c r="F72" s="308">
        <f>TableUK8!F69</f>
        <v>7.7487765089722674E-2</v>
      </c>
      <c r="G72" s="1202">
        <f>DataUK1!GY72/DataUK1!B72</f>
        <v>6.4328607720241029E-3</v>
      </c>
      <c r="H72" s="303">
        <f t="shared" si="2"/>
        <v>0.60042276411425821</v>
      </c>
      <c r="I72" s="307">
        <f>DataUK1!BJ72/DataUK1!B72</f>
        <v>0.51386623164763456</v>
      </c>
      <c r="J72" s="308">
        <f>TableUK10!F69</f>
        <v>0.33656311334758399</v>
      </c>
      <c r="K72" s="308">
        <f>TableUK9!F69</f>
        <v>7.9282218597063622E-2</v>
      </c>
      <c r="L72" s="308">
        <f t="shared" si="3"/>
        <v>8.655653246662362E-2</v>
      </c>
      <c r="M72" s="308">
        <f>DataUK2!AG72*DataUK2!X72*DataUK2!E72/DataUK1!B72/1000</f>
        <v>1.5450622023401677E-2</v>
      </c>
      <c r="N72" s="308">
        <f>DataUK2!AW72*DataUK2!AE72*DataUK2!Y72*DataUK2!E72/DataUK1!B72/1000</f>
        <v>7.110591044322194E-2</v>
      </c>
      <c r="O72" s="394">
        <f>TableUK8!I69</f>
        <v>0</v>
      </c>
      <c r="P72" s="307">
        <f>B72/(1-TableUK9!$H69-TableUK8!J69)</f>
        <v>0.36148038448261371</v>
      </c>
      <c r="Q72" s="236">
        <f>H72/(1-TableUK9!$H69-TableUK8!J69)</f>
        <v>0.64543472933281942</v>
      </c>
      <c r="R72" s="1289">
        <f>(B72-G72)/(1-TableUK9!H69-TableUK8!J69)</f>
        <v>0.35456527066718052</v>
      </c>
      <c r="S72" s="193">
        <f t="shared" si="4"/>
        <v>0.64543472933281942</v>
      </c>
      <c r="U72" s="2024">
        <f t="shared" si="5"/>
        <v>0</v>
      </c>
    </row>
    <row r="73" spans="1:21">
      <c r="A73" s="198">
        <v>1915</v>
      </c>
      <c r="B73" s="303">
        <f t="shared" si="1"/>
        <v>0.32605404126151943</v>
      </c>
      <c r="C73" s="308">
        <f>TableUK10!G70</f>
        <v>0.14486724769103537</v>
      </c>
      <c r="D73" s="308">
        <f>TableUK9!B70</f>
        <v>5.2499145299145303E-2</v>
      </c>
      <c r="E73" s="308">
        <f>DataUK1!AN73/DataUK1!B73-TableUK11a!L73</f>
        <v>5.5841415041204587E-2</v>
      </c>
      <c r="F73" s="308">
        <f>TableUK8!F70</f>
        <v>5.6410256410256411E-2</v>
      </c>
      <c r="G73" s="1202">
        <f>DataUK1!GY73/DataUK1!B73</f>
        <v>1.6435976819877757E-2</v>
      </c>
      <c r="H73" s="303">
        <f t="shared" si="2"/>
        <v>0.61927082444724713</v>
      </c>
      <c r="I73" s="307">
        <f>DataUK1!BJ73/DataUK1!B73</f>
        <v>0.53196581196581194</v>
      </c>
      <c r="J73" s="308">
        <f>TableUK10!F70</f>
        <v>0.23147555899980526</v>
      </c>
      <c r="K73" s="308">
        <f>TableUK9!F70</f>
        <v>0.21435897435897436</v>
      </c>
      <c r="L73" s="308">
        <f t="shared" si="3"/>
        <v>8.7305012481435226E-2</v>
      </c>
      <c r="M73" s="308">
        <f>DataUK2!AG73*DataUK2!X73*DataUK2!E73/DataUK1!B73/1000</f>
        <v>1.3953488372093025E-2</v>
      </c>
      <c r="N73" s="308">
        <f>DataUK2!AW73*DataUK2!AE73*DataUK2!Y73*DataUK2!E73/DataUK1!B73/1000</f>
        <v>7.3351524109342203E-2</v>
      </c>
      <c r="O73" s="394">
        <f>TableUK8!I70</f>
        <v>0</v>
      </c>
      <c r="P73" s="307">
        <f>B73/(1-TableUK9!$H70-TableUK8!J70)</f>
        <v>0.35101511619063097</v>
      </c>
      <c r="Q73" s="236">
        <f>H73/(1-TableUK9!$H70-TableUK8!J70)</f>
        <v>0.66667911722789763</v>
      </c>
      <c r="R73" s="1289">
        <f>(B73-G73)/(1-TableUK9!H70-TableUK8!J70)</f>
        <v>0.33332088277210231</v>
      </c>
      <c r="S73" s="193">
        <f t="shared" si="4"/>
        <v>0.66667911722789763</v>
      </c>
      <c r="U73" s="2024">
        <f t="shared" si="5"/>
        <v>0</v>
      </c>
    </row>
    <row r="74" spans="1:21">
      <c r="A74" s="198">
        <v>1916</v>
      </c>
      <c r="B74" s="303">
        <f t="shared" si="1"/>
        <v>0.36116665580094387</v>
      </c>
      <c r="C74" s="308">
        <f>TableUK10!G71</f>
        <v>0.17000234020972885</v>
      </c>
      <c r="D74" s="308">
        <f>TableUK9!B71</f>
        <v>4.4270452628619616E-2</v>
      </c>
      <c r="E74" s="308">
        <f>DataUK1!AN74/DataUK1!B74-TableUK11a!L74</f>
        <v>6.1323788344108843E-2</v>
      </c>
      <c r="F74" s="308">
        <f>TableUK8!F71</f>
        <v>5.6227157717177394E-2</v>
      </c>
      <c r="G74" s="1202">
        <f>DataUK1!GY74/DataUK1!B74</f>
        <v>2.9342916901309163E-2</v>
      </c>
      <c r="H74" s="303">
        <f t="shared" si="2"/>
        <v>0.60576411603429836</v>
      </c>
      <c r="I74" s="307">
        <f>DataUK1!BJ74/DataUK1!B74</f>
        <v>0.52235029519257803</v>
      </c>
      <c r="J74" s="308">
        <f>TableUK10!F71</f>
        <v>0.21057787952766063</v>
      </c>
      <c r="K74" s="308">
        <f>TableUK9!F71</f>
        <v>0.22468372223784086</v>
      </c>
      <c r="L74" s="308">
        <f t="shared" si="3"/>
        <v>8.3413820841720332E-2</v>
      </c>
      <c r="M74" s="308">
        <f>DataUK2!AG74*DataUK2!X74*DataUK2!E74/DataUK1!B74/1000</f>
        <v>1.1607505367513196E-2</v>
      </c>
      <c r="N74" s="308">
        <f>DataUK2!AW74*DataUK2!AE74*DataUK2!Y74*DataUK2!E74/DataUK1!B74/1000</f>
        <v>7.1806315474207141E-2</v>
      </c>
      <c r="O74" s="394">
        <f>TableUK8!I71</f>
        <v>0</v>
      </c>
      <c r="P74" s="307">
        <f>B74/(1-TableUK9!$H71-TableUK8!J71)</f>
        <v>0.38520833423806822</v>
      </c>
      <c r="Q74" s="236">
        <f>H74/(1-TableUK9!$H71-TableUK8!J71)</f>
        <v>0.64608784429805077</v>
      </c>
      <c r="R74" s="1289">
        <f>(B74-G74)/(1-TableUK9!H71-TableUK8!J71)</f>
        <v>0.35391215570194923</v>
      </c>
      <c r="S74" s="193">
        <f t="shared" si="4"/>
        <v>0.64608784429805077</v>
      </c>
      <c r="U74" s="2024">
        <f t="shared" si="5"/>
        <v>0</v>
      </c>
    </row>
    <row r="75" spans="1:21">
      <c r="A75" s="198">
        <v>1917</v>
      </c>
      <c r="B75" s="303">
        <f t="shared" si="1"/>
        <v>0.33959241676755503</v>
      </c>
      <c r="C75" s="308">
        <f>TableUK10!G72</f>
        <v>0.16596812266149152</v>
      </c>
      <c r="D75" s="308">
        <f>TableUK9!B72</f>
        <v>3.7197314792615677E-2</v>
      </c>
      <c r="E75" s="308">
        <f>DataUK1!AN75/DataUK1!B75-TableUK11a!L75</f>
        <v>5.2039868843321249E-2</v>
      </c>
      <c r="F75" s="308">
        <f>TableUK8!F72</f>
        <v>4.6751378566291059E-2</v>
      </c>
      <c r="G75" s="1202">
        <f>DataUK1!GY75/DataUK1!B75</f>
        <v>3.7635731903835498E-2</v>
      </c>
      <c r="H75" s="303">
        <f t="shared" si="2"/>
        <v>0.65033293393273228</v>
      </c>
      <c r="I75" s="307">
        <f>DataUK1!BJ75/DataUK1!B75</f>
        <v>0.56101654279549273</v>
      </c>
      <c r="J75" s="308">
        <f>TableUK10!F72</f>
        <v>0.23357449234676997</v>
      </c>
      <c r="K75" s="308">
        <f>TableUK9!F72</f>
        <v>0.24238791656677056</v>
      </c>
      <c r="L75" s="308">
        <f t="shared" si="3"/>
        <v>8.9316391137239506E-2</v>
      </c>
      <c r="M75" s="308">
        <f>DataUK2!AG75*DataUK2!X75*DataUK2!E75/DataUK1!B75/1000</f>
        <v>1.2393002014247232E-2</v>
      </c>
      <c r="N75" s="308">
        <f>DataUK2!AW75*DataUK2!AE75*DataUK2!Y75*DataUK2!E75/DataUK1!B75/1000</f>
        <v>7.6923389122992278E-2</v>
      </c>
      <c r="O75" s="394">
        <f>TableUK8!I72</f>
        <v>0</v>
      </c>
      <c r="P75" s="307">
        <f>B75/(1-TableUK9!$H72-TableUK8!J72)</f>
        <v>0.35660623623803422</v>
      </c>
      <c r="Q75" s="236">
        <f>H75/(1-TableUK9!$H72-TableUK8!J72)</f>
        <v>0.682915072364911</v>
      </c>
      <c r="R75" s="1289">
        <f>(B75-G75)/(1-TableUK9!H72-TableUK8!J72)</f>
        <v>0.31708492763508916</v>
      </c>
      <c r="S75" s="193">
        <f t="shared" si="4"/>
        <v>0.682915072364911</v>
      </c>
      <c r="U75" s="2024">
        <f t="shared" si="5"/>
        <v>0</v>
      </c>
    </row>
    <row r="76" spans="1:21">
      <c r="A76" s="198">
        <v>1918</v>
      </c>
      <c r="B76" s="303">
        <f t="shared" si="1"/>
        <v>0.31249924351053998</v>
      </c>
      <c r="C76" s="308">
        <f>TableUK10!G73</f>
        <v>0.15253132344891865</v>
      </c>
      <c r="D76" s="308">
        <f>TableUK9!B73</f>
        <v>3.1541675370795906E-2</v>
      </c>
      <c r="E76" s="308">
        <f>DataUK1!AN76/DataUK1!B76-TableUK11a!L76</f>
        <v>4.5002162052151684E-2</v>
      </c>
      <c r="F76" s="308">
        <f>TableUK8!F73</f>
        <v>3.6557342803425943E-2</v>
      </c>
      <c r="G76" s="1202">
        <f>DataUK1!GY76/DataUK1!B76</f>
        <v>4.6866739835247827E-2</v>
      </c>
      <c r="H76" s="303">
        <f t="shared" si="2"/>
        <v>0.69655675891087865</v>
      </c>
      <c r="I76" s="307">
        <f>DataUK1!BJ76/DataUK1!B76</f>
        <v>0.60183831209525795</v>
      </c>
      <c r="J76" s="308">
        <f>TableUK10!F73</f>
        <v>0.28689306308763862</v>
      </c>
      <c r="K76" s="308">
        <f>TableUK9!F73</f>
        <v>0.23087528723626488</v>
      </c>
      <c r="L76" s="308">
        <f t="shared" si="3"/>
        <v>9.4718446815620694E-2</v>
      </c>
      <c r="M76" s="308">
        <f>DataUK2!AG76*DataUK2!X76*DataUK2!E76/DataUK1!B76/1000</f>
        <v>1.237068882284479E-2</v>
      </c>
      <c r="N76" s="308">
        <f>DataUK2!AW76*DataUK2!AE76*DataUK2!Y76*DataUK2!E76/DataUK1!B76/1000</f>
        <v>8.2347757992775911E-2</v>
      </c>
      <c r="O76" s="394">
        <f>TableUK8!I73</f>
        <v>0</v>
      </c>
      <c r="P76" s="307">
        <f>B76/(1-TableUK9!$H73-TableUK8!J73)</f>
        <v>0.32477939181175747</v>
      </c>
      <c r="Q76" s="236">
        <f>H76/(1-TableUK9!$H73-TableUK8!J73)</f>
        <v>0.72392905013164921</v>
      </c>
      <c r="R76" s="1289">
        <f>(B76-G76)/(1-TableUK9!H73-TableUK8!J73)</f>
        <v>0.27607094986835079</v>
      </c>
      <c r="S76" s="193">
        <f t="shared" si="4"/>
        <v>0.72392905013164921</v>
      </c>
      <c r="U76" s="2024">
        <f t="shared" si="5"/>
        <v>0</v>
      </c>
    </row>
    <row r="77" spans="1:21">
      <c r="A77" s="214">
        <v>1919</v>
      </c>
      <c r="B77" s="565">
        <f t="shared" si="1"/>
        <v>0.303820134860463</v>
      </c>
      <c r="C77" s="550">
        <f>TableUK10!G74</f>
        <v>0.13970198756431379</v>
      </c>
      <c r="D77" s="550">
        <f>TableUK9!B74</f>
        <v>2.6484284051222357E-2</v>
      </c>
      <c r="E77" s="550">
        <f>DataUK1!AN77/DataUK1!B77-TableUK11a!L77</f>
        <v>5.1997530407766446E-2</v>
      </c>
      <c r="F77" s="550">
        <f>TableUK8!F74</f>
        <v>3.2013969732246801E-2</v>
      </c>
      <c r="G77" s="1960">
        <f>DataUK1!GY77/DataUK1!B77</f>
        <v>5.362236310491357E-2</v>
      </c>
      <c r="H77" s="565">
        <f t="shared" si="2"/>
        <v>0.69489341955217276</v>
      </c>
      <c r="I77" s="568">
        <f>DataUK1!BJ77/DataUK1!B77</f>
        <v>0.5968180054326736</v>
      </c>
      <c r="J77" s="550">
        <f>TableUK10!F74</f>
        <v>0.39767154091395723</v>
      </c>
      <c r="K77" s="550">
        <f>TableUK9!F74</f>
        <v>0.10884749708963912</v>
      </c>
      <c r="L77" s="550">
        <f t="shared" si="3"/>
        <v>9.8075414119499132E-2</v>
      </c>
      <c r="M77" s="550">
        <f>DataUK2!AG77*DataUK2!X77*DataUK2!E77/DataUK1!B77/1000</f>
        <v>1.6546673146693502E-2</v>
      </c>
      <c r="N77" s="550">
        <f>DataUK2!AW77*DataUK2!AE77*DataUK2!Y77*DataUK2!E77/DataUK1!B77/1000</f>
        <v>8.152874097280563E-2</v>
      </c>
      <c r="O77" s="553">
        <f>TableUK8!I74</f>
        <v>0</v>
      </c>
      <c r="P77" s="568">
        <f>B77/(1-TableUK9!$H74-TableUK8!J74)</f>
        <v>0.32147176659224519</v>
      </c>
      <c r="Q77" s="244">
        <f>H77/(1-TableUK9!$H74-TableUK8!J74)</f>
        <v>0.73526599966575623</v>
      </c>
      <c r="R77" s="1291">
        <f>(B77-G77)/(1-TableUK9!H74-TableUK8!J74)</f>
        <v>0.26473400033424382</v>
      </c>
      <c r="S77" s="886">
        <f t="shared" si="4"/>
        <v>0.73526599966575623</v>
      </c>
      <c r="U77" s="2024">
        <f t="shared" si="5"/>
        <v>0</v>
      </c>
    </row>
    <row r="78" spans="1:21">
      <c r="A78" s="198" t="s">
        <v>651</v>
      </c>
      <c r="B78" s="303">
        <f t="shared" ref="B78:B141" si="6">C78+D78+E78+F78+G78</f>
        <v>0.22144965560202387</v>
      </c>
      <c r="C78" s="308">
        <f>TableUK10!G75</f>
        <v>5.9263207742699296E-2</v>
      </c>
      <c r="D78" s="308">
        <f>TableUK9!B75</f>
        <v>2.0778741465214984E-2</v>
      </c>
      <c r="E78" s="308">
        <f>DataUK1!AN78/DataUK1!B78-TableUK11a!L78</f>
        <v>4.273810733975604E-2</v>
      </c>
      <c r="F78" s="308">
        <f>TableUK8!F75</f>
        <v>4.6872116626683891E-2</v>
      </c>
      <c r="G78" s="1202">
        <f>DataUK1!GY78/DataUK1!B78</f>
        <v>5.1797482427669649E-2</v>
      </c>
      <c r="H78" s="303">
        <f t="shared" ref="H78:H105" si="7">I78+L78+O78</f>
        <v>0.75911697242446474</v>
      </c>
      <c r="I78" s="307">
        <f>DataUK1!BJ78/DataUK1!B78</f>
        <v>0.65048902011441223</v>
      </c>
      <c r="J78" s="308">
        <f>TableUK10!F75</f>
        <v>0.50183678627906481</v>
      </c>
      <c r="K78" s="308">
        <f>TableUK9!F75</f>
        <v>5.7575198376084151E-2</v>
      </c>
      <c r="L78" s="308">
        <f t="shared" ref="L78:L105" si="8">M78+N78</f>
        <v>0.1086279523100525</v>
      </c>
      <c r="M78" s="308">
        <f>DataUK2!AG78*DataUK2!X78*DataUK2!E78/DataUK1!B78/1000</f>
        <v>1.9868741770887946E-2</v>
      </c>
      <c r="N78" s="308">
        <f>DataUK2!AW78*DataUK2!AE78*DataUK2!Y78*DataUK2!E78/DataUK1!B78/1000</f>
        <v>8.8759210539164551E-2</v>
      </c>
      <c r="O78" s="394">
        <f>TableUK8!I75</f>
        <v>0</v>
      </c>
      <c r="P78" s="307">
        <f>B78/(1-TableUK9!$H75-TableUK8!J75)</f>
        <v>0.23843347580118565</v>
      </c>
      <c r="Q78" s="236">
        <f>H78/(1-TableUK9!$H75-TableUK8!J75)</f>
        <v>0.8173365534607937</v>
      </c>
      <c r="R78" s="1289">
        <f>(B78-G78)/(1-TableUK9!H75-TableUK8!J75)</f>
        <v>0.18266344653920633</v>
      </c>
      <c r="S78" s="193">
        <f t="shared" ref="S78:S141" si="9">Q78</f>
        <v>0.8173365534607937</v>
      </c>
      <c r="U78" s="2024">
        <f t="shared" si="5"/>
        <v>0</v>
      </c>
    </row>
    <row r="79" spans="1:21">
      <c r="A79" s="198" t="s">
        <v>652</v>
      </c>
      <c r="B79" s="303">
        <f t="shared" si="6"/>
        <v>0.22209359557714767</v>
      </c>
      <c r="C79" s="308">
        <f>TableUK10!G76</f>
        <v>6.8369517635440316E-2</v>
      </c>
      <c r="D79" s="308">
        <f>TableUK9!B76</f>
        <v>1.7693920335429773E-2</v>
      </c>
      <c r="E79" s="308">
        <f>DataUK1!AN79/DataUK1!B79-TableUK11a!L79</f>
        <v>3.4827288327001979E-2</v>
      </c>
      <c r="F79" s="308">
        <f>TableUK8!F76</f>
        <v>4.6883933676386505E-2</v>
      </c>
      <c r="G79" s="1202">
        <f>DataUK1!GY79/DataUK1!B79</f>
        <v>5.4318935602889119E-2</v>
      </c>
      <c r="H79" s="303">
        <f t="shared" si="7"/>
        <v>0.7617088544149162</v>
      </c>
      <c r="I79" s="307">
        <f>DataUK1!BJ79/DataUK1!B79</f>
        <v>0.65732799695063848</v>
      </c>
      <c r="J79" s="308">
        <f>TableUK10!F76</f>
        <v>0.51776306829367102</v>
      </c>
      <c r="K79" s="308">
        <f>TableUK9!F76</f>
        <v>5.5803316180674675E-2</v>
      </c>
      <c r="L79" s="308">
        <f t="shared" si="8"/>
        <v>0.10438085746427771</v>
      </c>
      <c r="M79" s="308">
        <f>DataUK2!AG79*DataUK2!X79*DataUK2!E79/DataUK1!B79/1000</f>
        <v>1.4747881455124316E-2</v>
      </c>
      <c r="N79" s="308">
        <f>DataUK2!AW79*DataUK2!AE79*DataUK2!Y79*DataUK2!E79/DataUK1!B79/1000</f>
        <v>8.9632976009153389E-2</v>
      </c>
      <c r="O79" s="394">
        <f>TableUK8!I76</f>
        <v>0</v>
      </c>
      <c r="P79" s="307">
        <f>B79/(1-TableUK9!$H76-TableUK8!J76)</f>
        <v>0.23894301742737212</v>
      </c>
      <c r="Q79" s="236">
        <f>H79/(1-TableUK9!$H76-TableUK8!J76)</f>
        <v>0.81949689545111037</v>
      </c>
      <c r="R79" s="1289">
        <f>(B79-G79)/(1-TableUK9!H76-TableUK8!J76)</f>
        <v>0.18050310454888963</v>
      </c>
      <c r="S79" s="193">
        <f t="shared" si="9"/>
        <v>0.81949689545111037</v>
      </c>
      <c r="U79" s="2024">
        <f t="shared" si="5"/>
        <v>0</v>
      </c>
    </row>
    <row r="80" spans="1:21">
      <c r="A80" s="198">
        <v>1921</v>
      </c>
      <c r="B80" s="303">
        <f t="shared" si="6"/>
        <v>0.20141374105029664</v>
      </c>
      <c r="C80" s="308">
        <f>TableUK10!G77</f>
        <v>3.5848555334456356E-2</v>
      </c>
      <c r="D80" s="308">
        <f>TableUK9!B77</f>
        <v>2.8842129737270406E-2</v>
      </c>
      <c r="E80" s="308">
        <f>DataUK1!AN80/DataUK1!B80-TableUK11a!L80</f>
        <v>3.2796904453580689E-2</v>
      </c>
      <c r="F80" s="308">
        <f>TableUK8!F77</f>
        <v>4.138572425017438E-2</v>
      </c>
      <c r="G80" s="1202">
        <f>DataUK1!GY80/DataUK1!B80</f>
        <v>6.2540427274814778E-2</v>
      </c>
      <c r="H80" s="303">
        <f t="shared" si="7"/>
        <v>0.76766005055839404</v>
      </c>
      <c r="I80" s="307">
        <f>DataUK1!BJ80/DataUK1!B80</f>
        <v>0.6591490351081144</v>
      </c>
      <c r="J80" s="308">
        <f>TableUK10!F77</f>
        <v>0.50590729368287968</v>
      </c>
      <c r="K80" s="308">
        <f>TableUK9!F77</f>
        <v>6.8216693792141361E-2</v>
      </c>
      <c r="L80" s="308">
        <f t="shared" si="8"/>
        <v>0.10851101545027964</v>
      </c>
      <c r="M80" s="308">
        <f>DataUK2!AG80*DataUK2!X80*DataUK2!E80/DataUK1!B80/1000</f>
        <v>1.8646417905788904E-2</v>
      </c>
      <c r="N80" s="308">
        <f>DataUK2!AW80*DataUK2!AE80*DataUK2!Y80*DataUK2!E80/DataUK1!B80/1000</f>
        <v>8.9864597544490735E-2</v>
      </c>
      <c r="O80" s="394">
        <f>TableUK8!I77</f>
        <v>0</v>
      </c>
      <c r="P80" s="307">
        <f>B80/(1-TableUK9!$H77-TableUK8!J77)</f>
        <v>0.22218017446969116</v>
      </c>
      <c r="Q80" s="236">
        <f>H80/(1-TableUK9!$H77-TableUK8!J77)</f>
        <v>0.84680838098272704</v>
      </c>
      <c r="R80" s="1289">
        <f>(B80-G80)/(1-TableUK9!H77-TableUK8!J77)</f>
        <v>0.15319161901727299</v>
      </c>
      <c r="S80" s="193">
        <f t="shared" si="9"/>
        <v>0.84680838098272704</v>
      </c>
      <c r="U80" s="2024">
        <f t="shared" si="5"/>
        <v>0</v>
      </c>
    </row>
    <row r="81" spans="1:21">
      <c r="A81" s="198">
        <v>1922</v>
      </c>
      <c r="B81" s="303">
        <f t="shared" si="6"/>
        <v>0.2741782591478395</v>
      </c>
      <c r="C81" s="308">
        <f>TableUK10!G78</f>
        <v>7.5013288704325568E-2</v>
      </c>
      <c r="D81" s="308">
        <f>TableUK9!B78</f>
        <v>3.4261613691931536E-2</v>
      </c>
      <c r="E81" s="308">
        <f>DataUK1!AN81/DataUK1!B81-TableUK11a!L81</f>
        <v>5.5860232617357841E-2</v>
      </c>
      <c r="F81" s="308">
        <f>TableUK8!F78</f>
        <v>4.3276283618581907E-2</v>
      </c>
      <c r="G81" s="1202">
        <f>DataUK1!GY81/DataUK1!B81</f>
        <v>6.5766840515642647E-2</v>
      </c>
      <c r="H81" s="303">
        <f t="shared" si="7"/>
        <v>0.68425361804261975</v>
      </c>
      <c r="I81" s="307">
        <f>DataUK1!BJ81/DataUK1!B81</f>
        <v>0.58948655256723714</v>
      </c>
      <c r="J81" s="308">
        <f>TableUK10!F78</f>
        <v>0.43503984938537077</v>
      </c>
      <c r="K81" s="308">
        <f>TableUK9!F78</f>
        <v>6.3814180929095354E-2</v>
      </c>
      <c r="L81" s="308">
        <f t="shared" si="8"/>
        <v>9.4767065475382606E-2</v>
      </c>
      <c r="M81" s="308">
        <f>DataUK2!AG81*DataUK2!X81*DataUK2!E81/DataUK1!B81/1000</f>
        <v>1.3861963685105446E-2</v>
      </c>
      <c r="N81" s="308">
        <f>DataUK2!AW81*DataUK2!AE81*DataUK2!Y81*DataUK2!E81/DataUK1!B81/1000</f>
        <v>8.0905101790277156E-2</v>
      </c>
      <c r="O81" s="394">
        <f>TableUK8!I78</f>
        <v>0</v>
      </c>
      <c r="P81" s="307">
        <f>B81/(1-TableUK9!$H78-TableUK8!J78)</f>
        <v>0.30714573539158135</v>
      </c>
      <c r="Q81" s="236">
        <f>H81/(1-TableUK9!$H78-TableUK8!J78)</f>
        <v>0.76652897775796069</v>
      </c>
      <c r="R81" s="1289">
        <f>(B81-G81)/(1-TableUK9!H78-TableUK8!J78)</f>
        <v>0.23347102224203919</v>
      </c>
      <c r="S81" s="193">
        <f t="shared" si="9"/>
        <v>0.76652897775796069</v>
      </c>
      <c r="U81" s="2024">
        <f t="shared" si="5"/>
        <v>0</v>
      </c>
    </row>
    <row r="82" spans="1:21">
      <c r="A82" s="198">
        <v>1923</v>
      </c>
      <c r="B82" s="303">
        <f t="shared" si="6"/>
        <v>0.28567053881300719</v>
      </c>
      <c r="C82" s="308">
        <f>TableUK10!G79</f>
        <v>8.6496262903018664E-2</v>
      </c>
      <c r="D82" s="308">
        <f>TableUK9!B79</f>
        <v>3.4266270725068056E-2</v>
      </c>
      <c r="E82" s="308">
        <f>DataUK1!AN82/DataUK1!B82-TableUK11a!L82</f>
        <v>5.7634570276631325E-2</v>
      </c>
      <c r="F82" s="308">
        <f>TableUK8!F79</f>
        <v>4.355357584756249E-2</v>
      </c>
      <c r="G82" s="1202">
        <f>DataUK1!GY82/DataUK1!B82</f>
        <v>6.371985906072665E-2</v>
      </c>
      <c r="H82" s="303">
        <f t="shared" si="7"/>
        <v>0.66570089164093904</v>
      </c>
      <c r="I82" s="307">
        <f>DataUK1!BJ82/DataUK1!B82</f>
        <v>0.57362039099232864</v>
      </c>
      <c r="J82" s="308">
        <f>TableUK10!F79</f>
        <v>0.42488790699778067</v>
      </c>
      <c r="K82" s="308">
        <f>TableUK9!F79</f>
        <v>5.8648849294729036E-2</v>
      </c>
      <c r="L82" s="308">
        <f t="shared" si="8"/>
        <v>9.2080500648610369E-2</v>
      </c>
      <c r="M82" s="308">
        <f>DataUK2!AG82*DataUK2!X82*DataUK2!E82/DataUK1!B82/1000</f>
        <v>1.2822675407623859E-2</v>
      </c>
      <c r="N82" s="308">
        <f>DataUK2!AW82*DataUK2!AE82*DataUK2!Y82*DataUK2!E82/DataUK1!B82/1000</f>
        <v>7.9257825240986512E-2</v>
      </c>
      <c r="O82" s="394">
        <f>TableUK8!I79</f>
        <v>0</v>
      </c>
      <c r="P82" s="307">
        <f>B82/(1-TableUK9!$H79-TableUK8!J79)</f>
        <v>0.32182733407955455</v>
      </c>
      <c r="Q82" s="236">
        <f>H82/(1-TableUK9!$H79-TableUK8!J79)</f>
        <v>0.74995743047700991</v>
      </c>
      <c r="R82" s="1289">
        <f>(B82-G82)/(1-TableUK9!H79-TableUK8!J79)</f>
        <v>0.25004256952299014</v>
      </c>
      <c r="S82" s="193">
        <f t="shared" si="9"/>
        <v>0.74995743047700991</v>
      </c>
      <c r="U82" s="2024">
        <f t="shared" si="5"/>
        <v>0</v>
      </c>
    </row>
    <row r="83" spans="1:21">
      <c r="A83" s="198">
        <v>1924</v>
      </c>
      <c r="B83" s="303">
        <f t="shared" si="6"/>
        <v>0.2935290353122707</v>
      </c>
      <c r="C83" s="308">
        <f>TableUK10!G80</f>
        <v>9.06724314057442E-2</v>
      </c>
      <c r="D83" s="308">
        <f>TableUK9!B80</f>
        <v>3.5317096696407042E-2</v>
      </c>
      <c r="E83" s="308">
        <f>DataUK1!AN83/DataUK1!B83-TableUK11a!L83</f>
        <v>5.7193933066103958E-2</v>
      </c>
      <c r="F83" s="308">
        <f>TableUK8!F80</f>
        <v>4.7263081745840367E-2</v>
      </c>
      <c r="G83" s="1202">
        <f>DataUK1!GY83/DataUK1!B83</f>
        <v>6.3082492398175136E-2</v>
      </c>
      <c r="H83" s="303">
        <f t="shared" si="7"/>
        <v>0.66586404305166291</v>
      </c>
      <c r="I83" s="307">
        <f>DataUK1!BJ83/DataUK1!B83</f>
        <v>0.57294429708222816</v>
      </c>
      <c r="J83" s="308">
        <f>TableUK10!F80</f>
        <v>0.42503702416387218</v>
      </c>
      <c r="K83" s="308">
        <f>TableUK9!F80</f>
        <v>5.7583795514829984E-2</v>
      </c>
      <c r="L83" s="308">
        <f t="shared" si="8"/>
        <v>9.2919745969434725E-2</v>
      </c>
      <c r="M83" s="308">
        <f>DataUK2!AG83*DataUK2!X83*DataUK2!E83/DataUK1!B83/1000</f>
        <v>1.3218756165464628E-2</v>
      </c>
      <c r="N83" s="308">
        <f>DataUK2!AW83*DataUK2!AE83*DataUK2!Y83*DataUK2!E83/DataUK1!B83/1000</f>
        <v>7.9700989803970099E-2</v>
      </c>
      <c r="O83" s="394">
        <f>TableUK8!I80</f>
        <v>0</v>
      </c>
      <c r="P83" s="307">
        <f>B83/(1-TableUK9!$H80-TableUK8!J80)</f>
        <v>0.32748585134247687</v>
      </c>
      <c r="Q83" s="236">
        <f>H83/(1-TableUK9!$H80-TableUK8!J80)</f>
        <v>0.74289431975659026</v>
      </c>
      <c r="R83" s="1289">
        <f>(B83-G83)/(1-TableUK9!H80-TableUK8!J80)</f>
        <v>0.2571056802434098</v>
      </c>
      <c r="S83" s="193">
        <f t="shared" si="9"/>
        <v>0.74289431975659026</v>
      </c>
      <c r="U83" s="2024">
        <f t="shared" si="5"/>
        <v>0</v>
      </c>
    </row>
    <row r="84" spans="1:21">
      <c r="A84" s="198">
        <v>1925</v>
      </c>
      <c r="B84" s="303">
        <f t="shared" si="6"/>
        <v>0.29673101947799274</v>
      </c>
      <c r="C84" s="308">
        <f>TableUK10!G81</f>
        <v>8.7916156198668813E-2</v>
      </c>
      <c r="D84" s="308">
        <f>TableUK9!B81</f>
        <v>3.6573311367380561E-2</v>
      </c>
      <c r="E84" s="308">
        <f>DataUK1!AN84/DataUK1!B84-TableUK11a!L84</f>
        <v>5.6862154683529731E-2</v>
      </c>
      <c r="F84" s="308">
        <f>TableUK8!F81</f>
        <v>5.4601082607672394E-2</v>
      </c>
      <c r="G84" s="1202">
        <f>DataUK1!GY84/DataUK1!B84</f>
        <v>6.0778314620741243E-2</v>
      </c>
      <c r="H84" s="303">
        <f t="shared" si="7"/>
        <v>0.66308236221735428</v>
      </c>
      <c r="I84" s="307">
        <f>DataUK1!BJ84/DataUK1!B84</f>
        <v>0.56931042598258419</v>
      </c>
      <c r="J84" s="308">
        <f>TableUK10!F81</f>
        <v>0.42049542156675107</v>
      </c>
      <c r="K84" s="308">
        <f>TableUK9!F81</f>
        <v>5.817839491645093E-2</v>
      </c>
      <c r="L84" s="308">
        <f t="shared" si="8"/>
        <v>9.3771936234770148E-2</v>
      </c>
      <c r="M84" s="308">
        <f>DataUK2!AG84*DataUK2!X84*DataUK2!E84/DataUK1!B84/1000</f>
        <v>1.4058965382289583E-2</v>
      </c>
      <c r="N84" s="308">
        <f>DataUK2!AW84*DataUK2!AE84*DataUK2!Y84*DataUK2!E84/DataUK1!B84/1000</f>
        <v>7.9712970852480566E-2</v>
      </c>
      <c r="O84" s="394">
        <f>TableUK8!I81</f>
        <v>0</v>
      </c>
      <c r="P84" s="307">
        <f>B84/(1-TableUK9!$H81-TableUK8!J81)</f>
        <v>0.33005500046125424</v>
      </c>
      <c r="Q84" s="236">
        <f>H84/(1-TableUK9!$H81-TableUK8!J81)</f>
        <v>0.73754894163914619</v>
      </c>
      <c r="R84" s="1289">
        <f>(B84-G84)/(1-TableUK9!H81-TableUK8!J81)</f>
        <v>0.26245105836085386</v>
      </c>
      <c r="S84" s="193">
        <f t="shared" si="9"/>
        <v>0.73754894163914619</v>
      </c>
      <c r="U84" s="2024">
        <f t="shared" si="5"/>
        <v>0</v>
      </c>
    </row>
    <row r="85" spans="1:21">
      <c r="A85" s="198">
        <v>1926</v>
      </c>
      <c r="B85" s="303">
        <f t="shared" si="6"/>
        <v>0.29679235043176166</v>
      </c>
      <c r="C85" s="308">
        <f>TableUK10!G82</f>
        <v>7.812519018039038E-2</v>
      </c>
      <c r="D85" s="308">
        <f>TableUK9!B82</f>
        <v>3.955072463768116E-2</v>
      </c>
      <c r="E85" s="308">
        <f>DataUK1!AN85/DataUK1!B85-TableUK11a!L85</f>
        <v>5.7383885995826153E-2</v>
      </c>
      <c r="F85" s="308">
        <f>TableUK8!F82</f>
        <v>5.7246376811594203E-2</v>
      </c>
      <c r="G85" s="1202">
        <f>DataUK1!GY85/DataUK1!B85</f>
        <v>6.4486172806269768E-2</v>
      </c>
      <c r="H85" s="303">
        <f t="shared" si="7"/>
        <v>0.65923971609431486</v>
      </c>
      <c r="I85" s="307">
        <f>DataUK1!BJ85/DataUK1!B85</f>
        <v>0.56425120772946857</v>
      </c>
      <c r="J85" s="308">
        <f>TableUK10!F82</f>
        <v>0.41169909494291779</v>
      </c>
      <c r="K85" s="308">
        <f>TableUK9!F82</f>
        <v>6.0869565217391307E-2</v>
      </c>
      <c r="L85" s="308">
        <f t="shared" si="8"/>
        <v>9.4988508364846305E-2</v>
      </c>
      <c r="M85" s="308">
        <f>DataUK2!AG85*DataUK2!X85*DataUK2!E85/DataUK1!B85/1000</f>
        <v>1.5463788908988831E-2</v>
      </c>
      <c r="N85" s="308">
        <f>DataUK2!AW85*DataUK2!AE85*DataUK2!Y85*DataUK2!E85/DataUK1!B85/1000</f>
        <v>7.952471945585747E-2</v>
      </c>
      <c r="O85" s="394">
        <f>TableUK8!I82</f>
        <v>0</v>
      </c>
      <c r="P85" s="307">
        <f>B85/(1-TableUK9!$H82-TableUK8!J82)</f>
        <v>0.33289632370292421</v>
      </c>
      <c r="Q85" s="236">
        <f>H85/(1-TableUK9!$H82-TableUK8!J82)</f>
        <v>0.73943441469262083</v>
      </c>
      <c r="R85" s="1289">
        <f>(B85-G85)/(1-TableUK9!H82-TableUK8!J82)</f>
        <v>0.26056558530737917</v>
      </c>
      <c r="S85" s="193">
        <f t="shared" si="9"/>
        <v>0.73943441469262083</v>
      </c>
      <c r="U85" s="2024">
        <f t="shared" si="5"/>
        <v>0</v>
      </c>
    </row>
    <row r="86" spans="1:21">
      <c r="A86" s="198">
        <v>1927</v>
      </c>
      <c r="B86" s="303">
        <f t="shared" si="6"/>
        <v>0.2913233301325715</v>
      </c>
      <c r="C86" s="308">
        <f>TableUK10!G83</f>
        <v>9.0143380173239473E-2</v>
      </c>
      <c r="D86" s="308">
        <f>TableUK9!B83</f>
        <v>3.8624267027514654E-2</v>
      </c>
      <c r="E86" s="308">
        <f>DataUK1!AN86/DataUK1!B86-TableUK11a!L86</f>
        <v>4.93519141370692E-2</v>
      </c>
      <c r="F86" s="308">
        <f>TableUK8!F83</f>
        <v>5.3901668921966621E-2</v>
      </c>
      <c r="G86" s="1202">
        <f>DataUK1!GY86/DataUK1!B86</f>
        <v>5.9302099872781566E-2</v>
      </c>
      <c r="H86" s="303">
        <f t="shared" si="7"/>
        <v>0.65994990190078739</v>
      </c>
      <c r="I86" s="307">
        <f>DataUK1!BJ86/DataUK1!B86</f>
        <v>0.56495263870094725</v>
      </c>
      <c r="J86" s="308">
        <f>TableUK10!F83</f>
        <v>0.42085815206069571</v>
      </c>
      <c r="K86" s="308">
        <f>TableUK9!F83</f>
        <v>5.7239512855209736E-2</v>
      </c>
      <c r="L86" s="308">
        <f t="shared" si="8"/>
        <v>9.4997263199840185E-2</v>
      </c>
      <c r="M86" s="308">
        <f>DataUK2!AG86*DataUK2!X86*DataUK2!E86/DataUK1!B86/1000</f>
        <v>1.4845643075180161E-2</v>
      </c>
      <c r="N86" s="308">
        <f>DataUK2!AW86*DataUK2!AE86*DataUK2!Y86*DataUK2!E86/DataUK1!B86/1000</f>
        <v>8.0151620124660025E-2</v>
      </c>
      <c r="O86" s="394">
        <f>TableUK8!I83</f>
        <v>0</v>
      </c>
      <c r="P86" s="307">
        <f>B86/(1-TableUK9!$H83-TableUK8!J83)</f>
        <v>0.32660623155697144</v>
      </c>
      <c r="Q86" s="236">
        <f>H86/(1-TableUK9!$H83-TableUK8!J83)</f>
        <v>0.73987809482379052</v>
      </c>
      <c r="R86" s="1289">
        <f>(B86-G86)/(1-TableUK9!H83-TableUK8!J83)</f>
        <v>0.26012190517620953</v>
      </c>
      <c r="S86" s="193">
        <f t="shared" si="9"/>
        <v>0.73987809482379052</v>
      </c>
      <c r="U86" s="2024">
        <f t="shared" si="5"/>
        <v>0</v>
      </c>
    </row>
    <row r="87" spans="1:21">
      <c r="A87" s="198">
        <v>1928</v>
      </c>
      <c r="B87" s="303">
        <f t="shared" si="6"/>
        <v>0.29472454855463437</v>
      </c>
      <c r="C87" s="308">
        <f>TableUK10!G84</f>
        <v>8.9319992000507303E-2</v>
      </c>
      <c r="D87" s="308">
        <f>TableUK9!B84</f>
        <v>4.179154551554462E-2</v>
      </c>
      <c r="E87" s="308">
        <f>DataUK1!AN87/DataUK1!B87-TableUK11a!L87</f>
        <v>5.1554010932636479E-2</v>
      </c>
      <c r="F87" s="308">
        <f>TableUK8!F84</f>
        <v>5.3679266383359431E-2</v>
      </c>
      <c r="G87" s="1202">
        <f>DataUK1!GY87/DataUK1!B87</f>
        <v>5.8379733722586515E-2</v>
      </c>
      <c r="H87" s="303">
        <f t="shared" si="7"/>
        <v>0.65338902547213473</v>
      </c>
      <c r="I87" s="307">
        <f>DataUK1!BJ87/DataUK1!B87</f>
        <v>0.55848803399686875</v>
      </c>
      <c r="J87" s="308">
        <f>TableUK10!F84</f>
        <v>0.41333176365793739</v>
      </c>
      <c r="K87" s="308">
        <f>TableUK9!F84</f>
        <v>5.7034220532319393E-2</v>
      </c>
      <c r="L87" s="308">
        <f t="shared" si="8"/>
        <v>9.4900991475265983E-2</v>
      </c>
      <c r="M87" s="308">
        <f>DataUK2!AG87*DataUK2!X87*DataUK2!E87/DataUK1!B87/1000</f>
        <v>1.5137315951036449E-2</v>
      </c>
      <c r="N87" s="308">
        <f>DataUK2!AW87*DataUK2!AE87*DataUK2!Y87*DataUK2!E87/DataUK1!B87/1000</f>
        <v>7.9763675524229541E-2</v>
      </c>
      <c r="O87" s="394">
        <f>TableUK8!I84</f>
        <v>0</v>
      </c>
      <c r="P87" s="307">
        <f>B87/(1-TableUK9!$H84-TableUK8!J84)</f>
        <v>0.33125024046952495</v>
      </c>
      <c r="Q87" s="236">
        <f>H87/(1-TableUK9!$H84-TableUK8!J84)</f>
        <v>0.73436458845799757</v>
      </c>
      <c r="R87" s="1289">
        <f>(B87-G87)/(1-TableUK9!H84-TableUK8!J84)</f>
        <v>0.26563541154200249</v>
      </c>
      <c r="S87" s="193">
        <f t="shared" si="9"/>
        <v>0.73436458845799757</v>
      </c>
      <c r="U87" s="2024">
        <f t="shared" si="5"/>
        <v>0</v>
      </c>
    </row>
    <row r="88" spans="1:21">
      <c r="A88" s="214">
        <v>1929</v>
      </c>
      <c r="B88" s="565">
        <f t="shared" si="6"/>
        <v>0.29293098440244281</v>
      </c>
      <c r="C88" s="550">
        <f>TableUK10!G85</f>
        <v>8.9801943879284252E-2</v>
      </c>
      <c r="D88" s="550">
        <f>TableUK9!B85</f>
        <v>4.4189697103692242E-2</v>
      </c>
      <c r="E88" s="550">
        <f>DataUK1!AN88/DataUK1!B88-TableUK11a!L88</f>
        <v>4.8284479288492124E-2</v>
      </c>
      <c r="F88" s="550">
        <f>TableUK8!F85</f>
        <v>5.372540349325669E-2</v>
      </c>
      <c r="G88" s="1960">
        <f>DataUK1!GY88/DataUK1!B88</f>
        <v>5.6929460637717526E-2</v>
      </c>
      <c r="H88" s="565">
        <f t="shared" si="7"/>
        <v>0.65875859120321634</v>
      </c>
      <c r="I88" s="568">
        <f>DataUK1!BJ88/DataUK1!B88</f>
        <v>0.56267963740879945</v>
      </c>
      <c r="J88" s="550">
        <f>TableUK10!F85</f>
        <v>0.41811102292282748</v>
      </c>
      <c r="K88" s="550">
        <f>TableUK9!F85</f>
        <v>5.7705063011275703E-2</v>
      </c>
      <c r="L88" s="550">
        <f t="shared" si="8"/>
        <v>9.6078953794416902E-2</v>
      </c>
      <c r="M88" s="550">
        <f>DataUK2!AG88*DataUK2!X88*DataUK2!E88/DataUK1!B88/1000</f>
        <v>1.5176164281400865E-2</v>
      </c>
      <c r="N88" s="550">
        <f>DataUK2!AW88*DataUK2!AE88*DataUK2!Y88*DataUK2!E88/DataUK1!B88/1000</f>
        <v>8.0902789513016035E-2</v>
      </c>
      <c r="O88" s="553">
        <f>TableUK8!I85</f>
        <v>0</v>
      </c>
      <c r="P88" s="568">
        <f>B88/(1-TableUK9!$H85-TableUK8!J85)</f>
        <v>0.3273849375963056</v>
      </c>
      <c r="Q88" s="244">
        <f>H88/(1-TableUK9!$H85-TableUK8!J85)</f>
        <v>0.73624045169561347</v>
      </c>
      <c r="R88" s="1291">
        <f>(B88-G88)/(1-TableUK9!H85-TableUK8!J85)</f>
        <v>0.26375954830438658</v>
      </c>
      <c r="S88" s="886">
        <f t="shared" si="9"/>
        <v>0.73624045169561347</v>
      </c>
      <c r="U88" s="2024">
        <f t="shared" si="5"/>
        <v>0</v>
      </c>
    </row>
    <row r="89" spans="1:21">
      <c r="A89" s="198">
        <v>1930</v>
      </c>
      <c r="B89" s="303">
        <f t="shared" si="6"/>
        <v>0.27506988122288112</v>
      </c>
      <c r="C89" s="308">
        <f>TableUK10!G86</f>
        <v>7.7338454024390477E-2</v>
      </c>
      <c r="D89" s="308">
        <f>TableUK9!B86</f>
        <v>4.9605476908795548E-2</v>
      </c>
      <c r="E89" s="308">
        <f>DataUK1!AN89/DataUK1!B89-TableUK11a!L89</f>
        <v>4.121903000548896E-2</v>
      </c>
      <c r="F89" s="308">
        <f>TableUK8!F86</f>
        <v>4.9895567417034117E-2</v>
      </c>
      <c r="G89" s="1202">
        <f>DataUK1!GY89/DataUK1!B89</f>
        <v>5.7011352867171988E-2</v>
      </c>
      <c r="H89" s="303">
        <f t="shared" si="7"/>
        <v>0.67588438183226962</v>
      </c>
      <c r="I89" s="307">
        <f>DataUK1!BJ89/DataUK1!B89</f>
        <v>0.57669993037827805</v>
      </c>
      <c r="J89" s="308">
        <f>TableUK10!F86</f>
        <v>0.43053423814760539</v>
      </c>
      <c r="K89" s="308">
        <f>TableUK9!F86</f>
        <v>6.168484567184962E-2</v>
      </c>
      <c r="L89" s="308">
        <f t="shared" si="8"/>
        <v>9.9184451453991573E-2</v>
      </c>
      <c r="M89" s="308">
        <f>DataUK2!AG89*DataUK2!X89*DataUK2!E89/DataUK1!B89/1000</f>
        <v>1.5704385396080191E-2</v>
      </c>
      <c r="N89" s="308">
        <f>DataUK2!AW89*DataUK2!AE89*DataUK2!Y89*DataUK2!E89/DataUK1!B89/1000</f>
        <v>8.3480066057911376E-2</v>
      </c>
      <c r="O89" s="394">
        <f>TableUK8!I86</f>
        <v>0</v>
      </c>
      <c r="P89" s="307">
        <f>B89/(1-TableUK9!$H86-TableUK8!J86)</f>
        <v>0.30770408052684184</v>
      </c>
      <c r="Q89" s="236">
        <f>H89/(1-TableUK9!$H86-TableUK8!J86)</f>
        <v>0.7560710802999091</v>
      </c>
      <c r="R89" s="1289">
        <f>(B89-G89)/(1-TableUK9!H86-TableUK8!J86)</f>
        <v>0.24392891970009103</v>
      </c>
      <c r="S89" s="193">
        <f t="shared" si="9"/>
        <v>0.7560710802999091</v>
      </c>
      <c r="U89" s="2024">
        <f t="shared" si="5"/>
        <v>0</v>
      </c>
    </row>
    <row r="90" spans="1:21">
      <c r="A90" s="198">
        <v>1931</v>
      </c>
      <c r="B90" s="303">
        <f t="shared" si="6"/>
        <v>0.25698393009067644</v>
      </c>
      <c r="C90" s="308">
        <f>TableUK10!G87</f>
        <v>6.8958536303026188E-2</v>
      </c>
      <c r="D90" s="308">
        <f>TableUK9!B87</f>
        <v>5.5596941292550571E-2</v>
      </c>
      <c r="E90" s="308">
        <f>DataUK1!AN90/DataUK1!B90-TableUK11a!L90</f>
        <v>3.2389580975780735E-2</v>
      </c>
      <c r="F90" s="308">
        <f>TableUK8!F87</f>
        <v>4.0207202762703509E-2</v>
      </c>
      <c r="G90" s="1202">
        <f>DataUK1!GY90/DataUK1!B90</f>
        <v>5.9831668756615455E-2</v>
      </c>
      <c r="H90" s="303">
        <f t="shared" si="7"/>
        <v>0.68962622904581083</v>
      </c>
      <c r="I90" s="307">
        <f>DataUK1!BJ90/DataUK1!B90</f>
        <v>0.58756783423778991</v>
      </c>
      <c r="J90" s="308">
        <f>TableUK10!F87</f>
        <v>0.44110554428974719</v>
      </c>
      <c r="K90" s="308">
        <f>TableUK9!F87</f>
        <v>6.5564874198322659E-2</v>
      </c>
      <c r="L90" s="308">
        <f t="shared" si="8"/>
        <v>0.1020583948080209</v>
      </c>
      <c r="M90" s="308">
        <f>DataUK2!AG90*DataUK2!X90*DataUK2!E90/DataUK1!B90/1000</f>
        <v>1.6425495080220707E-2</v>
      </c>
      <c r="N90" s="308">
        <f>DataUK2!AW90*DataUK2!AE90*DataUK2!Y90*DataUK2!E90/DataUK1!B90/1000</f>
        <v>8.5632899727800194E-2</v>
      </c>
      <c r="O90" s="394">
        <f>TableUK8!I87</f>
        <v>0</v>
      </c>
      <c r="P90" s="307">
        <f>B90/(1-TableUK9!$H87-TableUK8!J87)</f>
        <v>0.28979495204105765</v>
      </c>
      <c r="Q90" s="236">
        <f>H90/(1-TableUK9!$H87-TableUK8!J87)</f>
        <v>0.77767586440937897</v>
      </c>
      <c r="R90" s="1289">
        <f>(B90-G90)/(1-TableUK9!H87-TableUK8!J87)</f>
        <v>0.22232413559062122</v>
      </c>
      <c r="S90" s="193">
        <f t="shared" si="9"/>
        <v>0.77767586440937897</v>
      </c>
      <c r="U90" s="2024">
        <f t="shared" si="5"/>
        <v>0</v>
      </c>
    </row>
    <row r="91" spans="1:21">
      <c r="A91" s="198">
        <v>1932</v>
      </c>
      <c r="B91" s="303">
        <f t="shared" si="6"/>
        <v>0.24755193781146118</v>
      </c>
      <c r="C91" s="308">
        <f>TableUK10!G88</f>
        <v>6.3399694458762951E-2</v>
      </c>
      <c r="D91" s="308">
        <f>TableUK9!B88</f>
        <v>5.9306040938592111E-2</v>
      </c>
      <c r="E91" s="308">
        <f>DataUK1!AN91/DataUK1!B91-TableUK11a!L91</f>
        <v>3.4124081261469735E-2</v>
      </c>
      <c r="F91" s="308">
        <f>TableUK8!F88</f>
        <v>3.1702446330504244E-2</v>
      </c>
      <c r="G91" s="1202">
        <f>DataUK1!GY91/DataUK1!B91</f>
        <v>5.9019674822132155E-2</v>
      </c>
      <c r="H91" s="303">
        <f t="shared" si="7"/>
        <v>0.68915121179848937</v>
      </c>
      <c r="I91" s="307">
        <f>DataUK1!BJ91/DataUK1!B91</f>
        <v>0.58836744882675995</v>
      </c>
      <c r="J91" s="308">
        <f>TableUK10!F88</f>
        <v>0.44264015975135118</v>
      </c>
      <c r="K91" s="308">
        <f>TableUK9!F88</f>
        <v>6.4553170244633043E-2</v>
      </c>
      <c r="L91" s="308">
        <f t="shared" si="8"/>
        <v>0.10078376297172939</v>
      </c>
      <c r="M91" s="308">
        <f>DataUK2!AG91*DataUK2!X91*DataUK2!E91/DataUK1!B91/1000</f>
        <v>1.6578941851608284E-2</v>
      </c>
      <c r="N91" s="308">
        <f>DataUK2!AW91*DataUK2!AE91*DataUK2!Y91*DataUK2!E91/DataUK1!B91/1000</f>
        <v>8.4204821120121107E-2</v>
      </c>
      <c r="O91" s="394">
        <f>TableUK8!I88</f>
        <v>0</v>
      </c>
      <c r="P91" s="307">
        <f>B91/(1-TableUK9!$H88-TableUK8!J88)</f>
        <v>0.28205149683524272</v>
      </c>
      <c r="Q91" s="236">
        <f>H91/(1-TableUK9!$H88-TableUK8!J88)</f>
        <v>0.78519333175902972</v>
      </c>
      <c r="R91" s="1289">
        <f>(B91-G91)/(1-TableUK9!H88-TableUK8!J88)</f>
        <v>0.21480666824097042</v>
      </c>
      <c r="S91" s="193">
        <f t="shared" si="9"/>
        <v>0.78519333175902972</v>
      </c>
      <c r="U91" s="2024">
        <f t="shared" si="5"/>
        <v>0</v>
      </c>
    </row>
    <row r="92" spans="1:21">
      <c r="A92" s="198">
        <v>1933</v>
      </c>
      <c r="B92" s="303">
        <f t="shared" si="6"/>
        <v>0.25577584825352184</v>
      </c>
      <c r="C92" s="308">
        <f>TableUK10!G89</f>
        <v>7.6911986933057938E-2</v>
      </c>
      <c r="D92" s="308">
        <f>TableUK9!B89</f>
        <v>5.7426453001674239E-2</v>
      </c>
      <c r="E92" s="308">
        <f>DataUK1!AN92/DataUK1!B92-TableUK11a!L92</f>
        <v>4.1279047815762138E-2</v>
      </c>
      <c r="F92" s="308">
        <f>TableUK8!F89</f>
        <v>3.683329347046161E-2</v>
      </c>
      <c r="G92" s="1202">
        <f>DataUK1!GY92/DataUK1!B92</f>
        <v>4.3325067032565889E-2</v>
      </c>
      <c r="H92" s="303">
        <f t="shared" si="7"/>
        <v>0.67130908483979512</v>
      </c>
      <c r="I92" s="307">
        <f>DataUK1!BJ92/DataUK1!B92</f>
        <v>0.57450370724707012</v>
      </c>
      <c r="J92" s="308">
        <f>TableUK10!F89</f>
        <v>0.42971051247493303</v>
      </c>
      <c r="K92" s="308">
        <f>TableUK9!F89</f>
        <v>6.1707725424539582E-2</v>
      </c>
      <c r="L92" s="308">
        <f t="shared" si="8"/>
        <v>9.6805377592725006E-2</v>
      </c>
      <c r="M92" s="308">
        <f>DataUK2!AG92*DataUK2!X92*DataUK2!E92/DataUK1!B92/1000</f>
        <v>1.6079953100136796E-2</v>
      </c>
      <c r="N92" s="308">
        <f>DataUK2!AW92*DataUK2!AE92*DataUK2!Y92*DataUK2!E92/DataUK1!B92/1000</f>
        <v>8.072542449258821E-2</v>
      </c>
      <c r="O92" s="394">
        <f>TableUK8!I89</f>
        <v>0</v>
      </c>
      <c r="P92" s="307">
        <f>B92/(1-TableUK9!$H89-TableUK8!J89)</f>
        <v>0.28941781368010144</v>
      </c>
      <c r="Q92" s="236">
        <f>H92/(1-TableUK9!$H89-TableUK8!J89)</f>
        <v>0.75960576013942716</v>
      </c>
      <c r="R92" s="1289">
        <f>(B92-G92)/(1-TableUK9!H89-TableUK8!J89)</f>
        <v>0.24039423986057287</v>
      </c>
      <c r="S92" s="193">
        <f t="shared" si="9"/>
        <v>0.75960576013942716</v>
      </c>
      <c r="U92" s="2024">
        <f t="shared" si="5"/>
        <v>0</v>
      </c>
    </row>
    <row r="93" spans="1:21">
      <c r="A93" s="198">
        <v>1934</v>
      </c>
      <c r="B93" s="303">
        <f t="shared" si="6"/>
        <v>0.26491285786011187</v>
      </c>
      <c r="C93" s="308">
        <f>TableUK10!G90</f>
        <v>9.3990897226996648E-2</v>
      </c>
      <c r="D93" s="308">
        <f>TableUK9!B90</f>
        <v>5.5049751243781093E-2</v>
      </c>
      <c r="E93" s="308">
        <f>DataUK1!AN93/DataUK1!B93-TableUK11a!L93</f>
        <v>3.8015433600392542E-2</v>
      </c>
      <c r="F93" s="308">
        <f>TableUK8!F90</f>
        <v>3.7765716870194484E-2</v>
      </c>
      <c r="G93" s="1202">
        <f>DataUK1!GY93/DataUK1!B93</f>
        <v>4.0091058918747119E-2</v>
      </c>
      <c r="H93" s="303">
        <f t="shared" si="7"/>
        <v>0.66052419834493104</v>
      </c>
      <c r="I93" s="307">
        <f>DataUK1!BJ93/DataUK1!B93</f>
        <v>0.56693803708729085</v>
      </c>
      <c r="J93" s="308">
        <f>TableUK10!F90</f>
        <v>0.42723768639629528</v>
      </c>
      <c r="K93" s="308">
        <f>TableUK9!F90</f>
        <v>6.0515603799185878E-2</v>
      </c>
      <c r="L93" s="308">
        <f t="shared" si="8"/>
        <v>9.3586161257640202E-2</v>
      </c>
      <c r="M93" s="308">
        <f>DataUK2!AG93*DataUK2!X93*DataUK2!E93/DataUK1!B93/1000</f>
        <v>1.5386702849389422E-2</v>
      </c>
      <c r="N93" s="308">
        <f>DataUK2!AW93*DataUK2!AE93*DataUK2!Y93*DataUK2!E93/DataUK1!B93/1000</f>
        <v>7.819945840825078E-2</v>
      </c>
      <c r="O93" s="394">
        <f>TableUK8!I90</f>
        <v>0</v>
      </c>
      <c r="P93" s="307">
        <f>B93/(1-TableUK9!$H90-TableUK8!J90)</f>
        <v>0.29921958044889263</v>
      </c>
      <c r="Q93" s="236">
        <f>H93/(1-TableUK9!$H90-TableUK8!J90)</f>
        <v>0.74606334740262703</v>
      </c>
      <c r="R93" s="1289">
        <f>(B93-G93)/(1-TableUK9!H90-TableUK8!J90)</f>
        <v>0.25393665259737291</v>
      </c>
      <c r="S93" s="193">
        <f t="shared" si="9"/>
        <v>0.74606334740262703</v>
      </c>
      <c r="U93" s="2024">
        <f t="shared" si="5"/>
        <v>0</v>
      </c>
    </row>
    <row r="94" spans="1:21">
      <c r="A94" s="198">
        <v>1935</v>
      </c>
      <c r="B94" s="303">
        <f t="shared" si="6"/>
        <v>0.27245372282304836</v>
      </c>
      <c r="C94" s="308">
        <f>TableUK10!G91</f>
        <v>9.9173285912241185E-2</v>
      </c>
      <c r="D94" s="308">
        <f>TableUK9!B91</f>
        <v>5.5289667099005603E-2</v>
      </c>
      <c r="E94" s="308">
        <f>DataUK1!AN94/DataUK1!B94-TableUK11a!L94</f>
        <v>4.0577267719040092E-2</v>
      </c>
      <c r="F94" s="308">
        <f>TableUK8!F91</f>
        <v>3.9126675313445734E-2</v>
      </c>
      <c r="G94" s="1202">
        <f>DataUK1!GY94/DataUK1!B94</f>
        <v>3.8286826779315733E-2</v>
      </c>
      <c r="H94" s="303">
        <f t="shared" si="7"/>
        <v>0.65299263703019716</v>
      </c>
      <c r="I94" s="307">
        <f>DataUK1!BJ94/DataUK1!B94</f>
        <v>0.56139213143104183</v>
      </c>
      <c r="J94" s="308">
        <f>TableUK10!F91</f>
        <v>0.41921478326836215</v>
      </c>
      <c r="K94" s="308">
        <f>TableUK9!F91</f>
        <v>6.2645914396887145E-2</v>
      </c>
      <c r="L94" s="308">
        <f t="shared" si="8"/>
        <v>9.1600505599155349E-2</v>
      </c>
      <c r="M94" s="308">
        <f>DataUK2!AG94*DataUK2!X94*DataUK2!E94/DataUK1!B94/1000</f>
        <v>1.5602102177977662E-2</v>
      </c>
      <c r="N94" s="308">
        <f>DataUK2!AW94*DataUK2!AE94*DataUK2!Y94*DataUK2!E94/DataUK1!B94/1000</f>
        <v>7.5998403421177682E-2</v>
      </c>
      <c r="O94" s="394">
        <f>TableUK8!I91</f>
        <v>0</v>
      </c>
      <c r="P94" s="307">
        <f>B94/(1-TableUK9!$H91-TableUK8!J91)</f>
        <v>0.30710792441019047</v>
      </c>
      <c r="Q94" s="236">
        <f>H94/(1-TableUK9!$H91-TableUK8!J91)</f>
        <v>0.73604871805596783</v>
      </c>
      <c r="R94" s="1289">
        <f>(B94-G94)/(1-TableUK9!H91-TableUK8!J91)</f>
        <v>0.26395128194403195</v>
      </c>
      <c r="S94" s="193">
        <f t="shared" si="9"/>
        <v>0.73604871805596783</v>
      </c>
      <c r="U94" s="2024">
        <f t="shared" ref="U94:U112" si="10">1-R94-S94</f>
        <v>0</v>
      </c>
    </row>
    <row r="95" spans="1:21">
      <c r="A95" s="198">
        <v>1936</v>
      </c>
      <c r="B95" s="303">
        <f t="shared" si="6"/>
        <v>0.28206574007660551</v>
      </c>
      <c r="C95" s="308">
        <f>TableUK10!G92</f>
        <v>0.11326148132675294</v>
      </c>
      <c r="D95" s="308">
        <f>TableUK9!B92</f>
        <v>5.261938343743703E-2</v>
      </c>
      <c r="E95" s="308">
        <f>DataUK1!AN95/DataUK1!B95-TableUK11a!L95</f>
        <v>4.13084991068223E-2</v>
      </c>
      <c r="F95" s="308">
        <f>TableUK8!F92</f>
        <v>3.9290751561555509E-2</v>
      </c>
      <c r="G95" s="1202">
        <f>DataUK1!GY95/DataUK1!B95</f>
        <v>3.5585624644037715E-2</v>
      </c>
      <c r="H95" s="303">
        <f t="shared" si="7"/>
        <v>0.64128937882493775</v>
      </c>
      <c r="I95" s="307">
        <f>DataUK1!BJ95/DataUK1!B95</f>
        <v>0.55289139633286322</v>
      </c>
      <c r="J95" s="308">
        <f>TableUK10!F92</f>
        <v>0.41004742363620861</v>
      </c>
      <c r="K95" s="308">
        <f>TableUK9!F92</f>
        <v>6.4799516421519238E-2</v>
      </c>
      <c r="L95" s="308">
        <f t="shared" si="8"/>
        <v>8.8397982492074562E-2</v>
      </c>
      <c r="M95" s="308">
        <f>DataUK2!AG95*DataUK2!X95*DataUK2!E95/DataUK1!B95/1000</f>
        <v>1.4952493592618328E-2</v>
      </c>
      <c r="N95" s="308">
        <f>DataUK2!AW95*DataUK2!AE95*DataUK2!Y95*DataUK2!E95/DataUK1!B95/1000</f>
        <v>7.3445488899456235E-2</v>
      </c>
      <c r="O95" s="394">
        <f>TableUK8!I92</f>
        <v>0</v>
      </c>
      <c r="P95" s="307">
        <f>B95/(1-TableUK9!$H92-TableUK8!J92)</f>
        <v>0.31772407353613102</v>
      </c>
      <c r="Q95" s="236">
        <f>H95/(1-TableUK9!$H92-TableUK8!J92)</f>
        <v>0.72236023311578901</v>
      </c>
      <c r="R95" s="1289">
        <f>(B95-G95)/(1-TableUK9!H92-TableUK8!J92)</f>
        <v>0.27763976688421105</v>
      </c>
      <c r="S95" s="193">
        <f t="shared" si="9"/>
        <v>0.72236023311578901</v>
      </c>
      <c r="U95" s="2024">
        <f t="shared" si="10"/>
        <v>0</v>
      </c>
    </row>
    <row r="96" spans="1:21">
      <c r="A96" s="198">
        <v>1937</v>
      </c>
      <c r="B96" s="303">
        <f t="shared" si="6"/>
        <v>0.27703036507162859</v>
      </c>
      <c r="C96" s="308">
        <f>TableUK10!G93</f>
        <v>0.11891428601967841</v>
      </c>
      <c r="D96" s="308">
        <f>TableUK9!B93</f>
        <v>5.3185398655139299E-2</v>
      </c>
      <c r="E96" s="308">
        <f>DataUK1!AN96/DataUK1!B96-TableUK11a!L96</f>
        <v>3.0760035952168183E-2</v>
      </c>
      <c r="F96" s="308">
        <f>TableUK8!F93</f>
        <v>3.9385206532180597E-2</v>
      </c>
      <c r="G96" s="1202">
        <f>DataUK1!GY96/DataUK1!B96</f>
        <v>3.4785437912462129E-2</v>
      </c>
      <c r="H96" s="303">
        <f t="shared" si="7"/>
        <v>0.6459395108811794</v>
      </c>
      <c r="I96" s="307">
        <f>DataUK1!BJ96/DataUK1!B96</f>
        <v>0.55869356388088376</v>
      </c>
      <c r="J96" s="308">
        <f>TableUK10!F93</f>
        <v>0.41656538431344436</v>
      </c>
      <c r="K96" s="308">
        <f>TableUK9!F93</f>
        <v>7.1123919308357347E-2</v>
      </c>
      <c r="L96" s="308">
        <f t="shared" si="8"/>
        <v>8.7245947000295587E-2</v>
      </c>
      <c r="M96" s="308">
        <f>DataUK2!AG96*DataUK2!X96*DataUK2!E96/DataUK1!B96/1000</f>
        <v>1.4434281418368628E-2</v>
      </c>
      <c r="N96" s="308">
        <f>DataUK2!AW96*DataUK2!AE96*DataUK2!Y96*DataUK2!E96/DataUK1!B96/1000</f>
        <v>7.2811665581926963E-2</v>
      </c>
      <c r="O96" s="394">
        <f>TableUK8!I93</f>
        <v>0</v>
      </c>
      <c r="P96" s="307">
        <f>B96/(1-TableUK9!$H93-TableUK8!J93)</f>
        <v>0.31190634873411782</v>
      </c>
      <c r="Q96" s="236">
        <f>H96/(1-TableUK9!$H93-TableUK8!J93)</f>
        <v>0.72725830718938755</v>
      </c>
      <c r="R96" s="1289">
        <f>(B96-G96)/(1-TableUK9!H93-TableUK8!J93)</f>
        <v>0.27274169281061245</v>
      </c>
      <c r="S96" s="193">
        <f t="shared" si="9"/>
        <v>0.72725830718938755</v>
      </c>
      <c r="U96" s="2024">
        <f t="shared" si="10"/>
        <v>0</v>
      </c>
    </row>
    <row r="97" spans="1:21">
      <c r="A97" s="198">
        <v>1938</v>
      </c>
      <c r="B97" s="303">
        <f t="shared" si="6"/>
        <v>0.26336908847074481</v>
      </c>
      <c r="C97" s="308">
        <f>TableUK10!G94</f>
        <v>0.11059535974508826</v>
      </c>
      <c r="D97" s="308">
        <f>TableUK9!B94</f>
        <v>5.4644495412844031E-2</v>
      </c>
      <c r="E97" s="308">
        <f>DataUK1!AN97/DataUK1!B97-TableUK11a!L97</f>
        <v>2.636101250445054E-2</v>
      </c>
      <c r="F97" s="308">
        <f>TableUK8!F94</f>
        <v>3.669724770642202E-2</v>
      </c>
      <c r="G97" s="1202">
        <f>DataUK1!GY97/DataUK1!B97</f>
        <v>3.5070973101939969E-2</v>
      </c>
      <c r="H97" s="303">
        <f t="shared" si="7"/>
        <v>0.65950769502874862</v>
      </c>
      <c r="I97" s="307">
        <f>DataUK1!BJ97/DataUK1!B97</f>
        <v>0.57129204892966357</v>
      </c>
      <c r="J97" s="308">
        <f>TableUK10!F94</f>
        <v>0.41645671947132346</v>
      </c>
      <c r="K97" s="308">
        <f>TableUK9!F94</f>
        <v>8.5894495412844038E-2</v>
      </c>
      <c r="L97" s="308">
        <f t="shared" si="8"/>
        <v>8.8215646099085054E-2</v>
      </c>
      <c r="M97" s="308">
        <f>DataUK2!AG97*DataUK2!X97*DataUK2!E97/DataUK1!B97/1000</f>
        <v>1.5109890109890113E-2</v>
      </c>
      <c r="N97" s="308">
        <f>DataUK2!AW97*DataUK2!AE97*DataUK2!Y97*DataUK2!E97/DataUK1!B97/1000</f>
        <v>7.3105755989194943E-2</v>
      </c>
      <c r="O97" s="394">
        <f>TableUK8!I94</f>
        <v>0</v>
      </c>
      <c r="P97" s="307">
        <f>B97/(1-TableUK9!$H94-TableUK8!J94)</f>
        <v>0.29665168371990031</v>
      </c>
      <c r="Q97" s="236">
        <f>H97/(1-TableUK9!$H94-TableUK8!J94)</f>
        <v>0.74285129394842042</v>
      </c>
      <c r="R97" s="1289">
        <f>(B97-G97)/(1-TableUK9!H94-TableUK8!J94)</f>
        <v>0.25714870605157958</v>
      </c>
      <c r="S97" s="193">
        <f t="shared" si="9"/>
        <v>0.74285129394842042</v>
      </c>
      <c r="U97" s="2024">
        <f t="shared" si="10"/>
        <v>0</v>
      </c>
    </row>
    <row r="98" spans="1:21">
      <c r="A98" s="214">
        <v>1939</v>
      </c>
      <c r="B98" s="565">
        <f t="shared" si="6"/>
        <v>0.27759767230806665</v>
      </c>
      <c r="C98" s="550">
        <f>TableUK10!G95</f>
        <v>0.1430985352602667</v>
      </c>
      <c r="D98" s="550">
        <f>TableUK9!B95</f>
        <v>4.772378962034135E-2</v>
      </c>
      <c r="E98" s="550">
        <f>DataUK1!AN98/DataUK1!B98-TableUK11a!L98</f>
        <v>2.5507927848946899E-2</v>
      </c>
      <c r="F98" s="550">
        <f>TableUK8!F95</f>
        <v>2.7864855451062352E-2</v>
      </c>
      <c r="G98" s="1960">
        <f>DataUK1!GY98/DataUK1!B98</f>
        <v>3.3402564127449373E-2</v>
      </c>
      <c r="H98" s="565">
        <f t="shared" si="7"/>
        <v>0.64434547001513343</v>
      </c>
      <c r="I98" s="568">
        <f>DataUK1!BJ98/DataUK1!B98</f>
        <v>0.55990943921978409</v>
      </c>
      <c r="J98" s="550">
        <f>TableUK10!F95</f>
        <v>0.37055861094467213</v>
      </c>
      <c r="K98" s="550">
        <f>TableUK9!F95</f>
        <v>0.12319749216300942</v>
      </c>
      <c r="L98" s="550">
        <f t="shared" si="8"/>
        <v>8.4436030795349309E-2</v>
      </c>
      <c r="M98" s="550">
        <f>DataUK2!AG98*DataUK2!X98*DataUK2!E98/DataUK1!B98/1000</f>
        <v>1.4899957428693067E-2</v>
      </c>
      <c r="N98" s="550">
        <f>DataUK2!AW98*DataUK2!AE98*DataUK2!Y98*DataUK2!E98/DataUK1!B98/1000</f>
        <v>6.9536073366656237E-2</v>
      </c>
      <c r="O98" s="553">
        <f>TableUK8!I95</f>
        <v>0</v>
      </c>
      <c r="P98" s="568">
        <f>B98/(1-TableUK9!$H95-TableUK8!J95)</f>
        <v>0.31241980289943527</v>
      </c>
      <c r="Q98" s="244">
        <f>H98/(1-TableUK9!$H95-TableUK8!J95)</f>
        <v>0.72517281239257081</v>
      </c>
      <c r="R98" s="1291">
        <f>(B98-G98)/(1-TableUK9!H95-TableUK8!J95)</f>
        <v>0.2748271876074293</v>
      </c>
      <c r="S98" s="886">
        <f t="shared" si="9"/>
        <v>0.72517281239257081</v>
      </c>
      <c r="U98" s="2024">
        <f t="shared" si="10"/>
        <v>0</v>
      </c>
    </row>
    <row r="99" spans="1:21">
      <c r="A99" s="198">
        <v>1940</v>
      </c>
      <c r="B99" s="303">
        <f t="shared" si="6"/>
        <v>0.26440327544324488</v>
      </c>
      <c r="C99" s="308">
        <f>TableUK10!G96</f>
        <v>0.1632906644321325</v>
      </c>
      <c r="D99" s="308">
        <f>TableUK9!B96</f>
        <v>3.5723491505565322E-2</v>
      </c>
      <c r="E99" s="308">
        <f>DataUK1!AN99/DataUK1!B99-TableUK11a!L99</f>
        <v>1.3251953474580053E-2</v>
      </c>
      <c r="F99" s="308">
        <f>TableUK8!F96</f>
        <v>2.3432923257176334E-2</v>
      </c>
      <c r="G99" s="1202">
        <f>DataUK1!GY99/DataUK1!B99</f>
        <v>2.8704242773790682E-2</v>
      </c>
      <c r="H99" s="303">
        <f t="shared" si="7"/>
        <v>0.64669698373359208</v>
      </c>
      <c r="I99" s="307">
        <f>DataUK1!BJ99/DataUK1!B99</f>
        <v>0.56282952548330401</v>
      </c>
      <c r="J99" s="308">
        <f>TableUK10!F96</f>
        <v>0.24499026535071039</v>
      </c>
      <c r="K99" s="308">
        <f>TableUK9!F96</f>
        <v>0.25940246045694199</v>
      </c>
      <c r="L99" s="308">
        <f t="shared" si="8"/>
        <v>8.3867458250288018E-2</v>
      </c>
      <c r="M99" s="308">
        <f>DataUK2!AG99*DataUK2!X99*DataUK2!E99/DataUK1!B99/1000</f>
        <v>1.607393218933275E-2</v>
      </c>
      <c r="N99" s="308">
        <f>DataUK2!AW99*DataUK2!AE99*DataUK2!Y99*DataUK2!E99/DataUK1!B99/1000</f>
        <v>6.7793526060955275E-2</v>
      </c>
      <c r="O99" s="394">
        <f>TableUK8!I96</f>
        <v>0</v>
      </c>
      <c r="P99" s="307">
        <f>B99/(1-TableUK9!$H96-TableUK8!J96)</f>
        <v>0.29964241738198771</v>
      </c>
      <c r="Q99" s="236">
        <f>H99/(1-TableUK9!$H96-TableUK8!J96)</f>
        <v>0.73288746969841767</v>
      </c>
      <c r="R99" s="1289">
        <f>(B99-G99)/(1-TableUK9!H96-TableUK8!J96)</f>
        <v>0.26711253030158227</v>
      </c>
      <c r="S99" s="193">
        <f t="shared" si="9"/>
        <v>0.73288746969841767</v>
      </c>
      <c r="U99" s="2024">
        <f t="shared" si="10"/>
        <v>0</v>
      </c>
    </row>
    <row r="100" spans="1:21">
      <c r="A100" s="198">
        <v>1941</v>
      </c>
      <c r="B100" s="303">
        <f t="shared" si="6"/>
        <v>0.23958801876159477</v>
      </c>
      <c r="C100" s="308">
        <f>TableUK10!G97</f>
        <v>0.16374185909352909</v>
      </c>
      <c r="D100" s="308">
        <f>TableUK9!B97</f>
        <v>2.5656565656565655E-2</v>
      </c>
      <c r="E100" s="308">
        <f>DataUK1!AN100/DataUK1!B100-TableUK11a!L100</f>
        <v>3.0627528444111679E-3</v>
      </c>
      <c r="F100" s="308">
        <f>TableUK8!F97</f>
        <v>1.7676767676767676E-2</v>
      </c>
      <c r="G100" s="1202">
        <f>DataUK1!GY100/DataUK1!B100</f>
        <v>2.9450073490321176E-2</v>
      </c>
      <c r="H100" s="303">
        <f t="shared" si="7"/>
        <v>0.65728629715296882</v>
      </c>
      <c r="I100" s="307">
        <f>DataUK1!BJ100/DataUK1!B100</f>
        <v>0.57260101010101006</v>
      </c>
      <c r="J100" s="308">
        <f>TableUK10!F97</f>
        <v>0.20942418176578204</v>
      </c>
      <c r="K100" s="308">
        <f>TableUK9!F97</f>
        <v>0.31037878787878787</v>
      </c>
      <c r="L100" s="308">
        <f t="shared" si="8"/>
        <v>8.4685287051958741E-2</v>
      </c>
      <c r="M100" s="308">
        <f>DataUK2!AG100*DataUK2!X100*DataUK2!E100/DataUK1!B100/1000</f>
        <v>1.7837465564738302E-2</v>
      </c>
      <c r="N100" s="308">
        <f>DataUK2!AW100*DataUK2!AE100*DataUK2!Y100*DataUK2!E100/DataUK1!B100/1000</f>
        <v>6.6847821487220446E-2</v>
      </c>
      <c r="O100" s="394">
        <f>TableUK8!I97</f>
        <v>0</v>
      </c>
      <c r="P100" s="307">
        <f>B100/(1-TableUK9!$H97-TableUK8!J97)</f>
        <v>0.27620627490419658</v>
      </c>
      <c r="Q100" s="236">
        <f>H100/(1-TableUK9!$H97-TableUK8!J97)</f>
        <v>0.75774490152132645</v>
      </c>
      <c r="R100" s="1289">
        <f>(B100-G100)/(1-TableUK9!H97-TableUK8!J97)</f>
        <v>0.24225509847867349</v>
      </c>
      <c r="S100" s="193">
        <f t="shared" si="9"/>
        <v>0.75774490152132645</v>
      </c>
      <c r="U100" s="2024">
        <f t="shared" si="10"/>
        <v>0</v>
      </c>
    </row>
    <row r="101" spans="1:21">
      <c r="A101" s="198">
        <v>1942</v>
      </c>
      <c r="B101" s="303">
        <f t="shared" si="6"/>
        <v>0.23490440447441194</v>
      </c>
      <c r="C101" s="308">
        <f>TableUK10!G98</f>
        <v>0.17327613693090804</v>
      </c>
      <c r="D101" s="308">
        <f>TableUK9!B98</f>
        <v>1.9850574712643676E-2</v>
      </c>
      <c r="E101" s="308">
        <f>DataUK1!AN101/DataUK1!B101-TableUK11a!L101</f>
        <v>-1.6953508330663364E-3</v>
      </c>
      <c r="F101" s="308">
        <f>TableUK8!F98</f>
        <v>1.1494252873563218E-2</v>
      </c>
      <c r="G101" s="1202">
        <f>DataUK1!GY101/DataUK1!B101</f>
        <v>3.1978790790363344E-2</v>
      </c>
      <c r="H101" s="303">
        <f t="shared" si="7"/>
        <v>0.66477553574123882</v>
      </c>
      <c r="I101" s="307">
        <f>DataUK1!BJ101/DataUK1!B101</f>
        <v>0.57954022988505749</v>
      </c>
      <c r="J101" s="308">
        <f>TableUK10!F98</f>
        <v>0.21334316176498125</v>
      </c>
      <c r="K101" s="308">
        <f>TableUK9!F98</f>
        <v>0.31593103448275861</v>
      </c>
      <c r="L101" s="308">
        <f t="shared" si="8"/>
        <v>8.523530585618129E-2</v>
      </c>
      <c r="M101" s="308">
        <f>DataUK2!AG101*DataUK2!X101*DataUK2!E101/DataUK1!B101/1000</f>
        <v>1.9706698374950468E-2</v>
      </c>
      <c r="N101" s="308">
        <f>DataUK2!AW101*DataUK2!AE101*DataUK2!Y101*DataUK2!E101/DataUK1!B101/1000</f>
        <v>6.5528607481230822E-2</v>
      </c>
      <c r="O101" s="394">
        <f>TableUK8!I98</f>
        <v>0</v>
      </c>
      <c r="P101" s="307">
        <f>B101/(1-TableUK9!$H98-TableUK8!J98)</f>
        <v>0.27072040256025753</v>
      </c>
      <c r="Q101" s="236">
        <f>H101/(1-TableUK9!$H98-TableUK8!J98)</f>
        <v>0.76613421127947778</v>
      </c>
      <c r="R101" s="1289">
        <f>(B101-G101)/(1-TableUK9!H98-TableUK8!J98)</f>
        <v>0.2338657887205223</v>
      </c>
      <c r="S101" s="193">
        <f t="shared" si="9"/>
        <v>0.76613421127947778</v>
      </c>
      <c r="U101" s="2024">
        <f t="shared" si="10"/>
        <v>0</v>
      </c>
    </row>
    <row r="102" spans="1:21">
      <c r="A102" s="198">
        <v>1943</v>
      </c>
      <c r="B102" s="303">
        <f t="shared" si="6"/>
        <v>0.22020449539224346</v>
      </c>
      <c r="C102" s="308">
        <f>TableUK10!G99</f>
        <v>0.15986601987557689</v>
      </c>
      <c r="D102" s="308">
        <f>TableUK9!B99</f>
        <v>1.9468756803831918E-2</v>
      </c>
      <c r="E102" s="308">
        <f>DataUK1!AN102/DataUK1!B102-TableUK11a!L102</f>
        <v>-4.1011583588163036E-3</v>
      </c>
      <c r="F102" s="308">
        <f>TableUK8!F99</f>
        <v>9.7975179621162638E-3</v>
      </c>
      <c r="G102" s="1202">
        <f>DataUK1!GY102/DataUK1!B102</f>
        <v>3.5173359109534716E-2</v>
      </c>
      <c r="H102" s="303">
        <f t="shared" si="7"/>
        <v>0.68237578729665116</v>
      </c>
      <c r="I102" s="307">
        <f>DataUK1!BJ102/DataUK1!B102</f>
        <v>0.59568909209666887</v>
      </c>
      <c r="J102" s="308">
        <f>TableUK10!F99</f>
        <v>0.22052378566576097</v>
      </c>
      <c r="K102" s="308">
        <f>TableUK9!F99</f>
        <v>0.32547354670150225</v>
      </c>
      <c r="L102" s="308">
        <f t="shared" si="8"/>
        <v>8.6686695199982275E-2</v>
      </c>
      <c r="M102" s="308">
        <f>DataUK2!AG102*DataUK2!X102*DataUK2!E102/DataUK1!B102/1000</f>
        <v>2.1501374690504765E-2</v>
      </c>
      <c r="N102" s="308">
        <f>DataUK2!AW102*DataUK2!AE102*DataUK2!Y102*DataUK2!E102/DataUK1!B102/1000</f>
        <v>6.5185320509477507E-2</v>
      </c>
      <c r="O102" s="394">
        <f>TableUK8!I99</f>
        <v>0</v>
      </c>
      <c r="P102" s="307">
        <f>B102/(1-TableUK9!$H99-TableUK8!J99)</f>
        <v>0.25386527292584693</v>
      </c>
      <c r="Q102" s="236">
        <f>H102/(1-TableUK9!$H99-TableUK8!J99)</f>
        <v>0.78668473671022054</v>
      </c>
      <c r="R102" s="1289">
        <f>(B102-G102)/(1-TableUK9!H99-TableUK8!J99)</f>
        <v>0.21331526328977943</v>
      </c>
      <c r="S102" s="193">
        <f t="shared" si="9"/>
        <v>0.78668473671022054</v>
      </c>
      <c r="U102" s="2024">
        <f t="shared" si="10"/>
        <v>0</v>
      </c>
    </row>
    <row r="103" spans="1:21">
      <c r="A103" s="198">
        <v>1944</v>
      </c>
      <c r="B103" s="303">
        <f t="shared" si="6"/>
        <v>0.20799304491880044</v>
      </c>
      <c r="C103" s="308">
        <f>TableUK10!G100</f>
        <v>0.14729054243336168</v>
      </c>
      <c r="D103" s="308">
        <f>TableUK9!B100</f>
        <v>1.722909556313993E-2</v>
      </c>
      <c r="E103" s="308">
        <f>DataUK1!AN103/DataUK1!B103-TableUK11a!L103</f>
        <v>-3.9759466739986704E-3</v>
      </c>
      <c r="F103" s="308">
        <f>TableUK8!F100</f>
        <v>8.5324232081911266E-3</v>
      </c>
      <c r="G103" s="1202">
        <f>DataUK1!GY103/DataUK1!B103</f>
        <v>3.891693038810639E-2</v>
      </c>
      <c r="H103" s="303">
        <f t="shared" si="7"/>
        <v>0.70165767386521039</v>
      </c>
      <c r="I103" s="307">
        <f>DataUK1!BJ103/DataUK1!B103</f>
        <v>0.6133745733788396</v>
      </c>
      <c r="J103" s="308">
        <f>TableUK10!F100</f>
        <v>0.23909742778327889</v>
      </c>
      <c r="K103" s="308">
        <f>TableUK9!F100</f>
        <v>0.32354948805460748</v>
      </c>
      <c r="L103" s="308">
        <f t="shared" si="8"/>
        <v>8.8283100486370794E-2</v>
      </c>
      <c r="M103" s="308">
        <f>DataUK2!AG103*DataUK2!X103*DataUK2!E103/DataUK1!B103/1000</f>
        <v>2.3376330054205988E-2</v>
      </c>
      <c r="N103" s="308">
        <f>DataUK2!AW103*DataUK2!AE103*DataUK2!Y103*DataUK2!E103/DataUK1!B103/1000</f>
        <v>6.4906770432164806E-2</v>
      </c>
      <c r="O103" s="394">
        <f>TableUK8!I100</f>
        <v>0</v>
      </c>
      <c r="P103" s="307">
        <f>B103/(1-TableUK9!$H100-TableUK8!J100)</f>
        <v>0.23887099328254199</v>
      </c>
      <c r="Q103" s="236">
        <f>H103/(1-TableUK9!$H100-TableUK8!J100)</f>
        <v>0.8058234137873852</v>
      </c>
      <c r="R103" s="1289">
        <f>(B103-G103)/(1-TableUK9!H100-TableUK8!J100)</f>
        <v>0.19417658621261483</v>
      </c>
      <c r="S103" s="193">
        <f t="shared" si="9"/>
        <v>0.8058234137873852</v>
      </c>
      <c r="U103" s="2024">
        <f t="shared" si="10"/>
        <v>0</v>
      </c>
    </row>
    <row r="104" spans="1:21">
      <c r="A104" s="198">
        <v>1945</v>
      </c>
      <c r="B104" s="303">
        <f t="shared" si="6"/>
        <v>0.20592292282475713</v>
      </c>
      <c r="C104" s="308">
        <f>TableUK10!G101</f>
        <v>0.14650657124584995</v>
      </c>
      <c r="D104" s="308">
        <f>TableUK9!B101</f>
        <v>1.097731609073564E-2</v>
      </c>
      <c r="E104" s="308">
        <f>DataUK1!AN104/DataUK1!B104-TableUK11a!L104</f>
        <v>-2.2759858003501277E-3</v>
      </c>
      <c r="F104" s="308">
        <f>TableUK8!F101</f>
        <v>8.4799660801356796E-3</v>
      </c>
      <c r="G104" s="1202">
        <f>DataUK1!GY104/DataUK1!B104</f>
        <v>4.223505520838599E-2</v>
      </c>
      <c r="H104" s="303">
        <f t="shared" si="7"/>
        <v>0.71367062294966654</v>
      </c>
      <c r="I104" s="307">
        <f>DataUK1!BJ104/DataUK1!B104</f>
        <v>0.62423150307398767</v>
      </c>
      <c r="J104" s="308">
        <f>TableUK10!F101</f>
        <v>0.30530246668076805</v>
      </c>
      <c r="K104" s="308">
        <f>TableUK9!F101</f>
        <v>0.26648293406826373</v>
      </c>
      <c r="L104" s="308">
        <f t="shared" si="8"/>
        <v>8.9439119875678888E-2</v>
      </c>
      <c r="M104" s="308">
        <f>DataUK2!AG104*DataUK2!X104*DataUK2!E104/DataUK1!B104/1000</f>
        <v>2.5616564200409867E-2</v>
      </c>
      <c r="N104" s="308">
        <f>DataUK2!AW104*DataUK2!AE104*DataUK2!Y104*DataUK2!E104/DataUK1!B104/1000</f>
        <v>6.3822555675269024E-2</v>
      </c>
      <c r="O104" s="394">
        <f>TableUK8!I101</f>
        <v>0</v>
      </c>
      <c r="P104" s="307">
        <f>B104/(1-TableUK9!$H101-TableUK8!J101)</f>
        <v>0.2347078475206909</v>
      </c>
      <c r="Q104" s="236">
        <f>H104/(1-TableUK9!$H101-TableUK8!J101)</f>
        <v>0.81343103260929728</v>
      </c>
      <c r="R104" s="1289">
        <f>(B104-G104)/(1-TableUK9!H101-TableUK8!J101)</f>
        <v>0.18656896739070258</v>
      </c>
      <c r="S104" s="193">
        <f t="shared" si="9"/>
        <v>0.81343103260929728</v>
      </c>
      <c r="U104" s="2024">
        <f t="shared" si="10"/>
        <v>0</v>
      </c>
    </row>
    <row r="105" spans="1:21">
      <c r="A105" s="198">
        <v>1946</v>
      </c>
      <c r="B105" s="303">
        <f t="shared" si="6"/>
        <v>0.2264696979182374</v>
      </c>
      <c r="C105" s="308">
        <f>TableUK10!G102</f>
        <v>0.15934750571583647</v>
      </c>
      <c r="D105" s="308">
        <f>TableUK9!B102</f>
        <v>1.2724424759641355E-2</v>
      </c>
      <c r="E105" s="29">
        <f>DataUK1!AN105/DataUK1!B105-TableUK11a!L105</f>
        <v>6.9799844525419985E-4</v>
      </c>
      <c r="F105" s="308">
        <f>TableUK8!F102</f>
        <v>8.2100032407907524E-3</v>
      </c>
      <c r="G105" s="1202">
        <f>DataUK1!GY105/DataUK1!B105</f>
        <v>4.5489765756714616E-2</v>
      </c>
      <c r="H105" s="303">
        <f t="shared" si="7"/>
        <v>0.7154227901027097</v>
      </c>
      <c r="I105" s="307">
        <f>DataUK1!BJ105/DataUK1!B105</f>
        <v>0.62601274711029486</v>
      </c>
      <c r="J105" s="308">
        <f>TableUK10!F102</f>
        <v>0.41986274802168194</v>
      </c>
      <c r="K105" s="308">
        <f>TableUK9!F102</f>
        <v>0.15063195419682401</v>
      </c>
      <c r="L105" s="308">
        <f t="shared" si="8"/>
        <v>9.157057016104396E-2</v>
      </c>
      <c r="M105" s="308">
        <f>DataUK2!AG105*DataUK2!X105*DataUK2!E105/DataUK1!B105/1000</f>
        <v>2.9998789584176632E-2</v>
      </c>
      <c r="N105" s="308">
        <f>DataUK2!AW105*DataUK2!AE105*DataUK2!Y105*DataUK2!E105/DataUK1!B105/1000</f>
        <v>6.1571780576867331E-2</v>
      </c>
      <c r="O105" s="394">
        <f>TableUK8!I102</f>
        <v>-2.1605271686291456E-3</v>
      </c>
      <c r="P105" s="307">
        <f>B105/(1-TableUK9!$H102-TableUK8!J102)</f>
        <v>0.25264280472753958</v>
      </c>
      <c r="Q105" s="236">
        <f>H105/(1-TableUK9!$H102-TableUK8!J102)</f>
        <v>0.79810421402516074</v>
      </c>
      <c r="R105" s="1289">
        <f>(B105-G105)/(1-TableUK9!H102-TableUK8!J102)</f>
        <v>0.20189578597483929</v>
      </c>
      <c r="S105" s="193">
        <f t="shared" si="9"/>
        <v>0.79810421402516074</v>
      </c>
      <c r="U105" s="2024">
        <f t="shared" si="10"/>
        <v>0</v>
      </c>
    </row>
    <row r="106" spans="1:21">
      <c r="A106" s="198">
        <v>1947</v>
      </c>
      <c r="B106" s="303">
        <f t="shared" si="6"/>
        <v>0.27685421737687566</v>
      </c>
      <c r="C106" s="308">
        <f>TableUK10!G103</f>
        <v>0.17245254739568702</v>
      </c>
      <c r="D106" s="308">
        <f>TableUK9!B103</f>
        <v>1.0710168994822704E-2</v>
      </c>
      <c r="E106" s="308">
        <f>TableUK10!C103*TableUK9!C103</f>
        <v>3.8102036314567378E-2</v>
      </c>
      <c r="F106" s="308">
        <f>TableUK8!F103</f>
        <v>1.3675881605939242E-2</v>
      </c>
      <c r="G106" s="1202">
        <f>DataUK1!GY106/DataUK1!B106</f>
        <v>4.1913583065859281E-2</v>
      </c>
      <c r="H106" s="303">
        <f t="shared" ref="H106:H137" si="11">J106+K106+L106+O106</f>
        <v>0.65858285889988544</v>
      </c>
      <c r="I106" s="307">
        <f>DataUK1!BJ106/DataUK1!B106</f>
        <v>0.61199570186578112</v>
      </c>
      <c r="J106" s="308">
        <f>TableUK10!F103</f>
        <v>0.45494924745599813</v>
      </c>
      <c r="K106" s="308">
        <f>TableUK9!F103</f>
        <v>0.10497215981244506</v>
      </c>
      <c r="L106" s="308">
        <f>TableUK10!B103*TableUK9!C103</f>
        <v>0.10051746413510544</v>
      </c>
      <c r="M106" s="308"/>
      <c r="N106" s="308">
        <f>DataUK2!AW106*DataUK2!AE106*DataUK2!Y106*DataUK2!E106/DataUK1!B106/1000</f>
        <v>5.8074137073622363E-2</v>
      </c>
      <c r="O106" s="394">
        <f>TableUK8!I103</f>
        <v>-1.856012503663183E-3</v>
      </c>
      <c r="P106" s="307">
        <f>B106/(1-TableUK9!$H103-TableUK8!J103)</f>
        <v>0.30984548193802081</v>
      </c>
      <c r="Q106" s="236">
        <f>H106/(1-TableUK9!$H103-TableUK8!J103)</f>
        <v>0.73706272292097164</v>
      </c>
      <c r="R106" s="1289">
        <f>(B106-G106)/(1-TableUK9!H103-TableUK8!J103)</f>
        <v>0.26293727707902859</v>
      </c>
      <c r="S106" s="193">
        <f t="shared" si="9"/>
        <v>0.73706272292097164</v>
      </c>
      <c r="U106" s="2024">
        <f t="shared" si="10"/>
        <v>0</v>
      </c>
    </row>
    <row r="107" spans="1:21">
      <c r="A107" s="198">
        <v>1948</v>
      </c>
      <c r="B107" s="303">
        <f t="shared" si="6"/>
        <v>0.2754933006081951</v>
      </c>
      <c r="C107" s="308">
        <f>TableUK10!G104</f>
        <v>0.17465662383695169</v>
      </c>
      <c r="D107" s="308">
        <f>TableUK9!B104</f>
        <v>7.0004430660168364E-3</v>
      </c>
      <c r="E107" s="308">
        <f>TableUK10!C104*TableUK9!C104</f>
        <v>3.7117446197219135E-2</v>
      </c>
      <c r="F107" s="308">
        <f>TableUK8!F104</f>
        <v>1.9760744350908285E-2</v>
      </c>
      <c r="G107" s="1202">
        <f>DataUK1!GY107/DataUK1!B107</f>
        <v>3.6958043157099156E-2</v>
      </c>
      <c r="H107" s="303">
        <f t="shared" si="11"/>
        <v>0.64759677622192136</v>
      </c>
      <c r="I107" s="307">
        <f>DataUK1!BJ107/DataUK1!B107</f>
        <v>0.60487372618520163</v>
      </c>
      <c r="J107" s="308">
        <f>TableUK10!F104</f>
        <v>0.44816321271595805</v>
      </c>
      <c r="K107" s="308">
        <f>TableUK9!F104</f>
        <v>0.1059636685866194</v>
      </c>
      <c r="L107" s="308">
        <f>TableUK10!B104*TableUK9!C104</f>
        <v>9.5242158986689904E-2</v>
      </c>
      <c r="M107" s="308"/>
      <c r="N107" s="308">
        <f>DataUK2!AW107*DataUK2!AE107*DataUK2!Y107*DataUK2!E107/DataUK1!B107/1000</f>
        <v>5.5303388512922047E-2</v>
      </c>
      <c r="O107" s="394">
        <f>TableUK8!I104</f>
        <v>-1.7722640673460345E-3</v>
      </c>
      <c r="P107" s="307">
        <f>B107/(1-TableUK9!$H104-TableUK8!J104)</f>
        <v>0.31089418973634819</v>
      </c>
      <c r="Q107" s="236">
        <f>H107/(1-TableUK9!$H104-TableUK8!J104)</f>
        <v>0.73081296196643819</v>
      </c>
      <c r="R107" s="1289">
        <f>(B107-G107)/(1-TableUK9!H104-TableUK8!J104)</f>
        <v>0.26918703803356175</v>
      </c>
      <c r="S107" s="193">
        <f t="shared" si="9"/>
        <v>0.73081296196643819</v>
      </c>
      <c r="U107" s="2024">
        <f t="shared" si="10"/>
        <v>0</v>
      </c>
    </row>
    <row r="108" spans="1:21">
      <c r="A108" s="214">
        <v>1949</v>
      </c>
      <c r="B108" s="565">
        <f t="shared" si="6"/>
        <v>0.2785575189729792</v>
      </c>
      <c r="C108" s="550">
        <f>TableUK10!G105</f>
        <v>0.182037823877364</v>
      </c>
      <c r="D108" s="550">
        <f>TableUK9!B105</f>
        <v>6.6650004165625257E-3</v>
      </c>
      <c r="E108" s="550">
        <f>TableUK10!C105*TableUK9!C105</f>
        <v>3.7763305761576146E-2</v>
      </c>
      <c r="F108" s="550">
        <f>TableUK8!F105</f>
        <v>1.7162376072648505E-2</v>
      </c>
      <c r="G108" s="1960">
        <f>DataUK1!GY108/DataUK1!B108</f>
        <v>3.4929012844828022E-2</v>
      </c>
      <c r="H108" s="565">
        <f t="shared" si="11"/>
        <v>0.64756536207146553</v>
      </c>
      <c r="I108" s="568">
        <f>DataUK1!BJ108/DataUK1!B108</f>
        <v>0.60709822544363912</v>
      </c>
      <c r="J108" s="550">
        <f>TableUK10!F105</f>
        <v>0.44557579748986764</v>
      </c>
      <c r="K108" s="550">
        <f>TableUK9!F105</f>
        <v>0.11122219445138715</v>
      </c>
      <c r="L108" s="550">
        <f>TableUK10!B105*TableUK9!C105</f>
        <v>9.243362023435138E-2</v>
      </c>
      <c r="M108" s="550"/>
      <c r="N108" s="550">
        <f>DataUK2!AW108*DataUK2!AE108*DataUK2!Y108*DataUK2!E108/DataUK1!B108/1000</f>
        <v>5.3426719332066483E-2</v>
      </c>
      <c r="O108" s="553">
        <f>TableUK8!I105</f>
        <v>-1.6662501041406314E-3</v>
      </c>
      <c r="P108" s="568">
        <f>B108/(1-TableUK9!$H105-TableUK8!J105)</f>
        <v>0.31256669161752543</v>
      </c>
      <c r="Q108" s="244">
        <f>H108/(1-TableUK9!$H105-TableUK8!J105)</f>
        <v>0.7266268150830888</v>
      </c>
      <c r="R108" s="1291">
        <f>(B108-G108)/(1-TableUK9!H105-TableUK8!J105)</f>
        <v>0.27337318491691115</v>
      </c>
      <c r="S108" s="886">
        <f t="shared" si="9"/>
        <v>0.7266268150830888</v>
      </c>
      <c r="U108" s="2024">
        <f t="shared" si="10"/>
        <v>0</v>
      </c>
    </row>
    <row r="109" spans="1:21">
      <c r="A109" s="198">
        <v>1950</v>
      </c>
      <c r="B109" s="303">
        <f t="shared" si="6"/>
        <v>0.27469853662008259</v>
      </c>
      <c r="C109" s="308">
        <f>TableUK10!G106</f>
        <v>0.16781390932826964</v>
      </c>
      <c r="D109" s="308">
        <f>TableUK9!B106</f>
        <v>8.7823403750296701E-3</v>
      </c>
      <c r="E109" s="308">
        <f>TableUK10!C106*TableUK9!C106</f>
        <v>3.401447282128988E-2</v>
      </c>
      <c r="F109" s="308">
        <f>TableUK8!F106</f>
        <v>2.9907429385236172E-2</v>
      </c>
      <c r="G109" s="1202">
        <f>DataUK1!GY109/DataUK1!B109</f>
        <v>3.418038471025725E-2</v>
      </c>
      <c r="H109" s="303">
        <f t="shared" si="11"/>
        <v>0.64721030762020071</v>
      </c>
      <c r="I109" s="307">
        <f>DataUK1!BJ109/DataUK1!B109</f>
        <v>0.60677268771263548</v>
      </c>
      <c r="J109" s="308">
        <f>TableUK10!F106</f>
        <v>0.44813972958718745</v>
      </c>
      <c r="K109" s="308">
        <f>TableUK9!F106</f>
        <v>0.10989793496320911</v>
      </c>
      <c r="L109" s="308">
        <f>TableUK10!B106*TableUK9!C106</f>
        <v>9.0834166924539522E-2</v>
      </c>
      <c r="M109" s="308"/>
      <c r="N109" s="308">
        <f>DataUK2!AW109*DataUK2!AE109*DataUK2!Y109*DataUK2!E109/DataUK1!B109/1000</f>
        <v>5.1327532572797693E-2</v>
      </c>
      <c r="O109" s="394">
        <f>TableUK8!I106</f>
        <v>-1.6615238547353431E-3</v>
      </c>
      <c r="P109" s="307">
        <f>B109/(1-TableUK9!$H106-TableUK8!J106)</f>
        <v>0.30943982213379889</v>
      </c>
      <c r="Q109" s="236">
        <f>H109/(1-TableUK9!$H106-TableUK8!J106)</f>
        <v>0.7290633759368732</v>
      </c>
      <c r="R109" s="1289">
        <f>(B109-G109)/(1-TableUK9!H106-TableUK8!J106)</f>
        <v>0.2709366240631268</v>
      </c>
      <c r="S109" s="193">
        <f t="shared" si="9"/>
        <v>0.7290633759368732</v>
      </c>
      <c r="U109" s="2024">
        <f t="shared" si="10"/>
        <v>0</v>
      </c>
    </row>
    <row r="110" spans="1:21">
      <c r="A110" s="198">
        <v>1951</v>
      </c>
      <c r="B110" s="303">
        <f t="shared" si="6"/>
        <v>0.26509798830590309</v>
      </c>
      <c r="C110" s="308">
        <f>TableUK10!G107</f>
        <v>0.1692473892689953</v>
      </c>
      <c r="D110" s="308">
        <f>TableUK9!B107</f>
        <v>6.9859560676989547E-3</v>
      </c>
      <c r="E110" s="308">
        <f>TableUK10!C107*TableUK9!C107</f>
        <v>3.1757267145464285E-2</v>
      </c>
      <c r="F110" s="308">
        <f>TableUK8!F107</f>
        <v>2.3190493338134676E-2</v>
      </c>
      <c r="G110" s="1202">
        <f>DataUK1!GY110/DataUK1!B110</f>
        <v>3.3916882485609909E-2</v>
      </c>
      <c r="H110" s="303">
        <f t="shared" si="11"/>
        <v>0.65243430649515488</v>
      </c>
      <c r="I110" s="307">
        <f>DataUK1!BJ110/DataUK1!B110</f>
        <v>0.61526827511703264</v>
      </c>
      <c r="J110" s="308">
        <f>TableUK10!F107</f>
        <v>0.45235230038533031</v>
      </c>
      <c r="K110" s="308">
        <f>TableUK9!F107</f>
        <v>0.11671588044652501</v>
      </c>
      <c r="L110" s="308">
        <f>TableUK10!B107*TableUK9!C107</f>
        <v>8.4878549141873691E-2</v>
      </c>
      <c r="M110" s="308"/>
      <c r="N110" s="308">
        <f>DataUK2!AW110*DataUK2!AE110*DataUK2!Y110*DataUK2!E110/DataUK1!B110/1000</f>
        <v>4.9978810022603251E-2</v>
      </c>
      <c r="O110" s="394">
        <f>TableUK8!I107</f>
        <v>-1.5124234785740005E-3</v>
      </c>
      <c r="P110" s="307">
        <f>B110/(1-TableUK9!$H107-TableUK8!J107)</f>
        <v>0.30001512491869459</v>
      </c>
      <c r="Q110" s="236">
        <f>H110/(1-TableUK9!$H107-TableUK8!J107)</f>
        <v>0.73836908840860904</v>
      </c>
      <c r="R110" s="1289">
        <f>(B110-G110)/(1-TableUK9!H107-TableUK8!J107)</f>
        <v>0.26163091159139051</v>
      </c>
      <c r="S110" s="193">
        <f t="shared" si="9"/>
        <v>0.73836908840860904</v>
      </c>
      <c r="U110" s="2024">
        <f t="shared" si="10"/>
        <v>0</v>
      </c>
    </row>
    <row r="111" spans="1:21">
      <c r="A111" s="198">
        <v>1952</v>
      </c>
      <c r="B111" s="303">
        <f t="shared" si="6"/>
        <v>0.2759675784918415</v>
      </c>
      <c r="C111" s="308">
        <f>TableUK10!G108</f>
        <v>0.18430240365247749</v>
      </c>
      <c r="D111" s="308">
        <f>TableUK9!B108</f>
        <v>6.7812541963206659E-3</v>
      </c>
      <c r="E111" s="308">
        <f>TableUK10!C108*TableUK9!C108</f>
        <v>3.3288019619463254E-2</v>
      </c>
      <c r="F111" s="308">
        <f>TableUK8!F108</f>
        <v>1.55096011816839E-2</v>
      </c>
      <c r="G111" s="1202">
        <f>DataUK1!GY111/DataUK1!B111</f>
        <v>3.6086299841896166E-2</v>
      </c>
      <c r="H111" s="303">
        <f t="shared" si="11"/>
        <v>0.64772446863083888</v>
      </c>
      <c r="I111" s="307">
        <f>DataUK1!BJ111/DataUK1!B111</f>
        <v>0.61440848663891501</v>
      </c>
      <c r="J111" s="308">
        <f>TableUK10!F108</f>
        <v>0.44120589347389527</v>
      </c>
      <c r="K111" s="308">
        <f>TableUK9!F108</f>
        <v>0.12830670068483954</v>
      </c>
      <c r="L111" s="308">
        <f>TableUK10!B108*TableUK9!C108</f>
        <v>7.9688979346550212E-2</v>
      </c>
      <c r="M111" s="308"/>
      <c r="N111" s="308">
        <f>DataUK2!AW111*DataUK2!AE111*DataUK2!Y111*DataUK2!E111/DataUK1!B111/1000</f>
        <v>4.8602293993974671E-2</v>
      </c>
      <c r="O111" s="394">
        <f>TableUK8!I108</f>
        <v>-1.4771048744460858E-3</v>
      </c>
      <c r="P111" s="307">
        <f>B111/(1-TableUK9!$H108-TableUK8!J108)</f>
        <v>0.31091233843097482</v>
      </c>
      <c r="Q111" s="236">
        <f>H111/(1-TableUK9!$H108-TableUK8!J108)</f>
        <v>0.72974343689770904</v>
      </c>
      <c r="R111" s="1289">
        <f>(B111-G111)/(1-TableUK9!H108-TableUK8!J108)</f>
        <v>0.2702565631022909</v>
      </c>
      <c r="S111" s="193">
        <f t="shared" si="9"/>
        <v>0.72974343689770904</v>
      </c>
      <c r="U111" s="2024">
        <f t="shared" si="10"/>
        <v>0</v>
      </c>
    </row>
    <row r="112" spans="1:21">
      <c r="A112" s="198">
        <v>1953</v>
      </c>
      <c r="B112" s="303">
        <f t="shared" si="6"/>
        <v>0.28078678289774606</v>
      </c>
      <c r="C112" s="308">
        <f>TableUK10!G109</f>
        <v>0.1910020191822312</v>
      </c>
      <c r="D112" s="308">
        <f>TableUK9!B109</f>
        <v>8.2029278142352353E-3</v>
      </c>
      <c r="E112" s="308">
        <f>TableUK10!C109*TableUK9!C109</f>
        <v>3.3203296276391146E-2</v>
      </c>
      <c r="F112" s="308">
        <f>TableUK8!F109</f>
        <v>1.306158505805149E-2</v>
      </c>
      <c r="G112" s="1202">
        <f>DataUK1!GY112/DataUK1!B112</f>
        <v>3.5316954566836985E-2</v>
      </c>
      <c r="H112" s="303">
        <f t="shared" si="11"/>
        <v>0.64208696116934327</v>
      </c>
      <c r="I112" s="307">
        <f>DataUK1!BJ112/DataUK1!B112</f>
        <v>0.61067642604745076</v>
      </c>
      <c r="J112" s="308">
        <f>TableUK10!F109</f>
        <v>0.44174622829366761</v>
      </c>
      <c r="K112" s="308">
        <f>TableUK9!F109</f>
        <v>0.12512619888944979</v>
      </c>
      <c r="L112" s="308">
        <f>TableUK10!B109*TableUK9!C109</f>
        <v>7.6792020104348047E-2</v>
      </c>
      <c r="M112" s="308"/>
      <c r="N112" s="308">
        <f>DataUK2!AW112*DataUK2!AE112*DataUK2!Y112*DataUK2!E112/DataUK1!B112/1000</f>
        <v>4.7008788089950737E-2</v>
      </c>
      <c r="O112" s="394">
        <f>TableUK8!I109</f>
        <v>-1.5774861181221606E-3</v>
      </c>
      <c r="P112" s="307">
        <f>B112/(1-TableUK9!$H109-TableUK8!J109)</f>
        <v>0.31635923043960468</v>
      </c>
      <c r="Q112" s="236">
        <f>H112/(1-TableUK9!$H109-TableUK8!J109)</f>
        <v>0.7234319750186089</v>
      </c>
      <c r="R112" s="1289">
        <f>(B112-G112)/(1-TableUK9!H109-TableUK8!J109)</f>
        <v>0.2765680249813911</v>
      </c>
      <c r="S112" s="193">
        <f t="shared" si="9"/>
        <v>0.7234319750186089</v>
      </c>
      <c r="U112" s="2024">
        <f t="shared" si="10"/>
        <v>0</v>
      </c>
    </row>
    <row r="113" spans="1:21">
      <c r="A113" s="198">
        <v>1954</v>
      </c>
      <c r="B113" s="303">
        <f t="shared" si="6"/>
        <v>0.28037436230245177</v>
      </c>
      <c r="C113" s="308">
        <f>TableUK10!G110</f>
        <v>0.19246067082220242</v>
      </c>
      <c r="D113" s="308">
        <f>TableUK9!B110</f>
        <v>9.1421786880379937E-3</v>
      </c>
      <c r="E113" s="308">
        <f>TableUK10!C110*TableUK9!C110</f>
        <v>3.1740313191407465E-2</v>
      </c>
      <c r="F113" s="308">
        <f>TableUK8!F110</f>
        <v>1.3475808845354705E-2</v>
      </c>
      <c r="G113" s="1202">
        <f>DataUK1!GY113/DataUK1!B113</f>
        <v>3.3555390755449215E-2</v>
      </c>
      <c r="H113" s="303">
        <f t="shared" si="11"/>
        <v>0.64353424899321687</v>
      </c>
      <c r="I113" s="307">
        <f>DataUK1!BJ113/DataUK1!B113</f>
        <v>0.61335707925200356</v>
      </c>
      <c r="J113" s="308">
        <f>TableUK10!F110</f>
        <v>0.45018149243438044</v>
      </c>
      <c r="K113" s="308">
        <f>TableUK9!F110</f>
        <v>0.12071237756010683</v>
      </c>
      <c r="L113" s="308">
        <f>TableUK10!B110*TableUK9!C110</f>
        <v>7.424322850897018E-2</v>
      </c>
      <c r="M113" s="308"/>
      <c r="N113" s="308">
        <f>DataUK2!AW113*DataUK2!AE113*DataUK2!Y113*DataUK2!E113/DataUK1!B113/1000</f>
        <v>4.5930042934247781E-2</v>
      </c>
      <c r="O113" s="394">
        <f>TableUK8!I110</f>
        <v>-1.6028495102404273E-3</v>
      </c>
      <c r="P113" s="307">
        <f>B113/(1-TableUK9!$H110-TableUK8!J110)</f>
        <v>0.31490239585176694</v>
      </c>
      <c r="Q113" s="236">
        <f>H113/(1-TableUK9!$H110-TableUK8!J110)</f>
        <v>0.72278533299711556</v>
      </c>
      <c r="R113" s="1289">
        <f>(B113-G113)/(1-TableUK9!H110-TableUK8!J110)</f>
        <v>0.27721466700288427</v>
      </c>
      <c r="S113" s="193">
        <f t="shared" si="9"/>
        <v>0.72278533299711556</v>
      </c>
      <c r="U113" s="2024">
        <f t="shared" ref="U113:U169" si="12">1-R113-S113</f>
        <v>0</v>
      </c>
    </row>
    <row r="114" spans="1:21">
      <c r="A114" s="198">
        <v>1955</v>
      </c>
      <c r="B114" s="303">
        <f t="shared" si="6"/>
        <v>0.26074718377378509</v>
      </c>
      <c r="C114" s="308">
        <f>TableUK10!G111</f>
        <v>0.17954862078573416</v>
      </c>
      <c r="D114" s="308">
        <f>TableUK9!B111</f>
        <v>9.0275842853162445E-3</v>
      </c>
      <c r="E114" s="308">
        <f>TableUK10!C111*TableUK9!C111</f>
        <v>2.8470007296295813E-2</v>
      </c>
      <c r="F114" s="308">
        <f>TableUK8!F111</f>
        <v>8.3031485093340764E-3</v>
      </c>
      <c r="G114" s="1202">
        <f>DataUK1!GY114/DataUK1!B114</f>
        <v>3.5397822897104775E-2</v>
      </c>
      <c r="H114" s="303">
        <f t="shared" si="11"/>
        <v>0.66158293224117981</v>
      </c>
      <c r="I114" s="307">
        <f>DataUK1!BJ114/DataUK1!B114</f>
        <v>0.6294789634995821</v>
      </c>
      <c r="J114" s="308">
        <f>TableUK10!F111</f>
        <v>0.47230877061326204</v>
      </c>
      <c r="K114" s="308">
        <f>TableUK9!F111</f>
        <v>0.11588743382557815</v>
      </c>
      <c r="L114" s="308">
        <f>TableUK10!B111*TableUK9!C111</f>
        <v>7.4891325183225596E-2</v>
      </c>
      <c r="M114" s="308"/>
      <c r="N114" s="308">
        <f>DataUK2!AW114*DataUK2!AE114*DataUK2!Y114*DataUK2!E114/DataUK1!B114/1000</f>
        <v>4.5841927170426525E-2</v>
      </c>
      <c r="O114" s="394">
        <f>TableUK8!I111</f>
        <v>-1.5045973808860407E-3</v>
      </c>
      <c r="P114" s="307">
        <f>B114/(1-TableUK9!$H111-TableUK8!J111)</f>
        <v>0.29398769871956354</v>
      </c>
      <c r="Q114" s="236">
        <f>H114/(1-TableUK9!$H111-TableUK8!J111)</f>
        <v>0.74592270162528096</v>
      </c>
      <c r="R114" s="1289">
        <f>(B114-G114)/(1-TableUK9!H111-TableUK8!J111)</f>
        <v>0.25407729837471904</v>
      </c>
      <c r="S114" s="193">
        <f t="shared" si="9"/>
        <v>0.74592270162528096</v>
      </c>
      <c r="U114" s="2024">
        <f t="shared" si="12"/>
        <v>0</v>
      </c>
    </row>
    <row r="115" spans="1:21">
      <c r="A115" s="198">
        <v>1956</v>
      </c>
      <c r="B115" s="303">
        <f t="shared" si="6"/>
        <v>0.25227501537365837</v>
      </c>
      <c r="C115" s="308">
        <f>TableUK10!G112</f>
        <v>0.16937873667793082</v>
      </c>
      <c r="D115" s="308">
        <f>TableUK9!B112</f>
        <v>8.9420327527943832E-3</v>
      </c>
      <c r="E115" s="308">
        <f>TableUK10!C112*TableUK9!C112</f>
        <v>2.600173419520807E-2</v>
      </c>
      <c r="F115" s="308">
        <f>TableUK8!F112</f>
        <v>1.0553678190798022E-2</v>
      </c>
      <c r="G115" s="1202">
        <f>DataUK1!GY115/DataUK1!B115</f>
        <v>3.739883355692708E-2</v>
      </c>
      <c r="H115" s="303">
        <f t="shared" si="11"/>
        <v>0.67308846596075744</v>
      </c>
      <c r="I115" s="307">
        <f>DataUK1!BJ115/DataUK1!B115</f>
        <v>0.64049909020015583</v>
      </c>
      <c r="J115" s="308">
        <f>TableUK10!F112</f>
        <v>0.48367352488219073</v>
      </c>
      <c r="K115" s="308">
        <f>TableUK9!F112</f>
        <v>0.11672472056147644</v>
      </c>
      <c r="L115" s="308">
        <f>TableUK10!B112*TableUK9!C112</f>
        <v>7.4249877392577768E-2</v>
      </c>
      <c r="M115" s="308"/>
      <c r="N115" s="308">
        <f>DataUK2!AW115*DataUK2!AE115*DataUK2!Y115*DataUK2!E115/DataUK1!B115/1000</f>
        <v>4.5325594127901873E-2</v>
      </c>
      <c r="O115" s="394">
        <f>TableUK8!I112</f>
        <v>-1.5596568754873924E-3</v>
      </c>
      <c r="P115" s="307">
        <f>B115/(1-TableUK9!$H112-TableUK8!J112)</f>
        <v>0.28410479629463226</v>
      </c>
      <c r="Q115" s="236">
        <f>H115/(1-TableUK9!$H112-TableUK8!J112)</f>
        <v>0.75801268400205912</v>
      </c>
      <c r="R115" s="1289">
        <f>(B115-G115)/(1-TableUK9!H112-TableUK8!J112)</f>
        <v>0.24198731599794066</v>
      </c>
      <c r="S115" s="193">
        <f t="shared" si="9"/>
        <v>0.75801268400205912</v>
      </c>
      <c r="U115" s="2024">
        <f t="shared" si="12"/>
        <v>0</v>
      </c>
    </row>
    <row r="116" spans="1:21">
      <c r="A116" s="198">
        <v>1957</v>
      </c>
      <c r="B116" s="303">
        <f t="shared" si="6"/>
        <v>0.24768666230464853</v>
      </c>
      <c r="C116" s="308">
        <f>TableUK10!G113</f>
        <v>0.16746719485021044</v>
      </c>
      <c r="D116" s="308">
        <f>TableUK9!B113</f>
        <v>9.2597177519187918E-3</v>
      </c>
      <c r="E116" s="308">
        <f>TableUK10!C113*TableUK9!C113</f>
        <v>2.5335024212578699E-2</v>
      </c>
      <c r="F116" s="308">
        <f>TableUK8!F113</f>
        <v>1.1042337212181234E-2</v>
      </c>
      <c r="G116" s="1202">
        <f>DataUK1!GY116/DataUK1!B116</f>
        <v>3.4582388277759349E-2</v>
      </c>
      <c r="H116" s="303">
        <f t="shared" si="11"/>
        <v>0.67721511195974116</v>
      </c>
      <c r="I116" s="307">
        <f>DataUK1!BJ116/DataUK1!B116</f>
        <v>0.64456548650656098</v>
      </c>
      <c r="J116" s="308">
        <f>TableUK10!F113</f>
        <v>0.48875165207045757</v>
      </c>
      <c r="K116" s="308">
        <f>TableUK9!F113</f>
        <v>0.11610794751176032</v>
      </c>
      <c r="L116" s="308">
        <f>TableUK10!B113*TableUK9!C113</f>
        <v>7.3940063008867685E-2</v>
      </c>
      <c r="M116" s="308"/>
      <c r="N116" s="308">
        <f>DataUK2!AW116*DataUK2!AE116*DataUK2!Y116*DataUK2!E116/DataUK1!B116/1000</f>
        <v>4.4299125062285526E-2</v>
      </c>
      <c r="O116" s="394">
        <f>TableUK8!I113</f>
        <v>-1.5845506313443922E-3</v>
      </c>
      <c r="P116" s="307">
        <f>B116/(1-TableUK9!$H113-TableUK8!J113)</f>
        <v>0.27819978560858605</v>
      </c>
      <c r="Q116" s="236">
        <f>H116/(1-TableUK9!$H113-TableUK8!J113)</f>
        <v>0.76064289132519314</v>
      </c>
      <c r="R116" s="1289">
        <f>(B116-G116)/(1-TableUK9!H113-TableUK8!J113)</f>
        <v>0.23935710867480686</v>
      </c>
      <c r="S116" s="193">
        <f t="shared" si="9"/>
        <v>0.76064289132519314</v>
      </c>
      <c r="U116" s="2024">
        <f t="shared" si="12"/>
        <v>0</v>
      </c>
    </row>
    <row r="117" spans="1:21">
      <c r="A117" s="198">
        <v>1958</v>
      </c>
      <c r="B117" s="303">
        <f t="shared" si="6"/>
        <v>0.25270179972263934</v>
      </c>
      <c r="C117" s="308">
        <f>TableUK10!G114</f>
        <v>0.16973696704966293</v>
      </c>
      <c r="D117" s="308">
        <f>TableUK9!B114</f>
        <v>1.1347450384578862E-2</v>
      </c>
      <c r="E117" s="308">
        <f>TableUK10!C114*TableUK9!C114</f>
        <v>2.4616562359148452E-2</v>
      </c>
      <c r="F117" s="308">
        <f>TableUK8!F114</f>
        <v>1.2391985566422941E-2</v>
      </c>
      <c r="G117" s="1202">
        <f>DataUK1!GY117/DataUK1!B117</f>
        <v>3.4608834362826198E-2</v>
      </c>
      <c r="H117" s="303">
        <f t="shared" si="11"/>
        <v>0.67318041798459871</v>
      </c>
      <c r="I117" s="307">
        <f>DataUK1!BJ117/DataUK1!B117</f>
        <v>0.6422467002184028</v>
      </c>
      <c r="J117" s="308">
        <f>TableUK10!F114</f>
        <v>0.49020753210877854</v>
      </c>
      <c r="K117" s="308">
        <f>TableUK9!F114</f>
        <v>0.11349349539454943</v>
      </c>
      <c r="L117" s="308">
        <f>TableUK10!B114*TableUK9!C114</f>
        <v>7.1093672125938812E-2</v>
      </c>
      <c r="M117" s="308"/>
      <c r="N117" s="308">
        <f>DataUK2!AW117*DataUK2!AE117*DataUK2!Y117*DataUK2!E117/DataUK1!B117/1000</f>
        <v>4.2840776008295472E-2</v>
      </c>
      <c r="O117" s="394">
        <f>TableUK8!I114</f>
        <v>-1.6142816446681227E-3</v>
      </c>
      <c r="P117" s="307">
        <f>B117/(1-TableUK9!$H114-TableUK8!J114)</f>
        <v>0.28352894234808385</v>
      </c>
      <c r="Q117" s="236">
        <f>H117/(1-TableUK9!$H114-TableUK8!J114)</f>
        <v>0.75530183057700928</v>
      </c>
      <c r="R117" s="1289">
        <f>(B117-G117)/(1-TableUK9!H114-TableUK8!J114)</f>
        <v>0.24469816942299086</v>
      </c>
      <c r="S117" s="193">
        <f t="shared" si="9"/>
        <v>0.75530183057700928</v>
      </c>
      <c r="U117" s="2024">
        <f t="shared" si="12"/>
        <v>0</v>
      </c>
    </row>
    <row r="118" spans="1:21">
      <c r="A118" s="214">
        <v>1959</v>
      </c>
      <c r="B118" s="565">
        <f t="shared" si="6"/>
        <v>0.25817698203611855</v>
      </c>
      <c r="C118" s="550">
        <f>TableUK10!G115</f>
        <v>0.17779273216689098</v>
      </c>
      <c r="D118" s="550">
        <f>TableUK9!B115</f>
        <v>1.2157918349035441E-2</v>
      </c>
      <c r="E118" s="550">
        <f>TableUK10!C115*TableUK9!C115</f>
        <v>2.5466274462021408E-2</v>
      </c>
      <c r="F118" s="550">
        <f>TableUK8!F115</f>
        <v>1.0453117990130103E-2</v>
      </c>
      <c r="G118" s="1960">
        <f>DataUK1!GY118/DataUK1!B118</f>
        <v>3.2306939068040622E-2</v>
      </c>
      <c r="H118" s="565">
        <f t="shared" si="11"/>
        <v>0.66502273406198031</v>
      </c>
      <c r="I118" s="568">
        <f>DataUK1!BJ118/DataUK1!B118</f>
        <v>0.63566621803499324</v>
      </c>
      <c r="J118" s="550">
        <f>TableUK10!F115</f>
        <v>0.48351017637690641</v>
      </c>
      <c r="K118" s="550">
        <f>TableUK9!F115</f>
        <v>0.11391655450874831</v>
      </c>
      <c r="L118" s="550">
        <f>TableUK10!B115*TableUK9!C115</f>
        <v>6.9255940367891344E-2</v>
      </c>
      <c r="M118" s="550"/>
      <c r="N118" s="550">
        <f>DataUK2!AW118*DataUK2!AE118*DataUK2!Y118*DataUK2!E118/DataUK1!B118/1000</f>
        <v>4.1126172019005237E-2</v>
      </c>
      <c r="O118" s="553">
        <f>TableUK8!I115</f>
        <v>-1.6599371915657244E-3</v>
      </c>
      <c r="P118" s="568">
        <f>B118/(1-TableUK9!$H115-TableUK8!J115)</f>
        <v>0.2897957966353652</v>
      </c>
      <c r="Q118" s="244">
        <f>H118/(1-TableUK9!$H115-TableUK8!J115)</f>
        <v>0.74646775819526345</v>
      </c>
      <c r="R118" s="1291">
        <f>(B118-G118)/(1-TableUK9!H115-TableUK8!J115)</f>
        <v>0.25353224180473649</v>
      </c>
      <c r="S118" s="886">
        <f t="shared" si="9"/>
        <v>0.74646775819526345</v>
      </c>
      <c r="U118" s="2024">
        <f t="shared" si="12"/>
        <v>0</v>
      </c>
    </row>
    <row r="119" spans="1:21">
      <c r="A119" s="198">
        <v>1960</v>
      </c>
      <c r="B119" s="303">
        <f t="shared" si="6"/>
        <v>0.27073323337419664</v>
      </c>
      <c r="C119" s="308">
        <f>TableUK10!G116</f>
        <v>0.190922668436774</v>
      </c>
      <c r="D119" s="308">
        <f>TableUK9!B116</f>
        <v>1.2321606372386325E-2</v>
      </c>
      <c r="E119" s="308">
        <f>TableUK10!C116*TableUK9!C116</f>
        <v>2.6618643244120485E-2</v>
      </c>
      <c r="F119" s="308">
        <f>TableUK8!F116</f>
        <v>8.3388649186856949E-3</v>
      </c>
      <c r="G119" s="1202">
        <f>DataUK1!GY119/DataUK1!B119</f>
        <v>3.2531450402230176E-2</v>
      </c>
      <c r="H119" s="303">
        <f t="shared" si="11"/>
        <v>0.65928411148538513</v>
      </c>
      <c r="I119" s="307">
        <f>DataUK1!BJ119/DataUK1!B119</f>
        <v>0.63134749419183533</v>
      </c>
      <c r="J119" s="308">
        <f>TableUK10!F116</f>
        <v>0.48225648845479835</v>
      </c>
      <c r="K119" s="308">
        <f>TableUK9!F116</f>
        <v>0.11124294722867574</v>
      </c>
      <c r="L119" s="308">
        <f>TableUK10!B116*TableUK9!C116</f>
        <v>6.7236716956906015E-2</v>
      </c>
      <c r="M119" s="308"/>
      <c r="N119" s="308">
        <f>DataUK2!AW119*DataUK2!AE119*DataUK2!Y119*DataUK2!E119/DataUK1!B119/1000</f>
        <v>3.9847052563620144E-2</v>
      </c>
      <c r="O119" s="394">
        <f>TableUK8!I116</f>
        <v>-1.4520411549950216E-3</v>
      </c>
      <c r="P119" s="307">
        <f>B119/(1-TableUK9!$H116-TableUK8!J116)</f>
        <v>0.30165736870760579</v>
      </c>
      <c r="Q119" s="236">
        <f>H119/(1-TableUK9!$H116-TableUK8!J116)</f>
        <v>0.73458994236785113</v>
      </c>
      <c r="R119" s="1289">
        <f>(B119-G119)/(1-TableUK9!H116-TableUK8!J116)</f>
        <v>0.26541005763214898</v>
      </c>
      <c r="S119" s="193">
        <f t="shared" si="9"/>
        <v>0.73458994236785113</v>
      </c>
      <c r="U119" s="2024">
        <f t="shared" si="12"/>
        <v>0</v>
      </c>
    </row>
    <row r="120" spans="1:21">
      <c r="A120" s="198">
        <v>1961</v>
      </c>
      <c r="B120" s="303">
        <f t="shared" si="6"/>
        <v>0.25595325568643268</v>
      </c>
      <c r="C120" s="308">
        <f>TableUK10!G117</f>
        <v>0.17558278722220885</v>
      </c>
      <c r="D120" s="308">
        <f>TableUK9!B117</f>
        <v>1.287996034145044E-2</v>
      </c>
      <c r="E120" s="308">
        <f>TableUK10!C117*TableUK9!C117</f>
        <v>2.4577673305363892E-2</v>
      </c>
      <c r="F120" s="308">
        <f>TableUK8!F117</f>
        <v>8.7629676202452076E-3</v>
      </c>
      <c r="G120" s="1202">
        <f>DataUK1!GY120/DataUK1!B120</f>
        <v>3.4149867197164285E-2</v>
      </c>
      <c r="H120" s="303">
        <f t="shared" si="11"/>
        <v>0.67665621540887699</v>
      </c>
      <c r="I120" s="307">
        <f>DataUK1!BJ120/DataUK1!B120</f>
        <v>0.64669129204652631</v>
      </c>
      <c r="J120" s="308">
        <f>TableUK10!F117</f>
        <v>0.49651402095854225</v>
      </c>
      <c r="K120" s="308">
        <f>TableUK9!F117</f>
        <v>0.11201666142722416</v>
      </c>
      <c r="L120" s="308">
        <f>TableUK10!B117*TableUK9!C117</f>
        <v>6.9500886685480961E-2</v>
      </c>
      <c r="M120" s="308"/>
      <c r="N120" s="308">
        <f>DataUK2!AW120*DataUK2!AE120*DataUK2!Y120*DataUK2!E120/DataUK1!B120/1000</f>
        <v>3.9681533425948372E-2</v>
      </c>
      <c r="O120" s="394">
        <f>TableUK8!I117</f>
        <v>-1.3753536623703239E-3</v>
      </c>
      <c r="P120" s="307">
        <f>B120/(1-TableUK9!$H117-TableUK8!J117)</f>
        <v>0.2848800931905327</v>
      </c>
      <c r="Q120" s="236">
        <f>H120/(1-TableUK9!$H117-TableUK8!J117)</f>
        <v>0.75312925864787894</v>
      </c>
      <c r="R120" s="1289">
        <f>(B120-G120)/(1-TableUK9!H117-TableUK8!J117)</f>
        <v>0.24687074135212134</v>
      </c>
      <c r="S120" s="193">
        <f t="shared" si="9"/>
        <v>0.75312925864787894</v>
      </c>
      <c r="U120" s="2024">
        <f t="shared" si="12"/>
        <v>0</v>
      </c>
    </row>
    <row r="121" spans="1:21">
      <c r="A121" s="198">
        <v>1962</v>
      </c>
      <c r="B121" s="303">
        <f t="shared" si="6"/>
        <v>0.25115939026345679</v>
      </c>
      <c r="C121" s="308">
        <f>TableUK10!G118</f>
        <v>0.1709428762940344</v>
      </c>
      <c r="D121" s="308">
        <f>TableUK9!B118</f>
        <v>1.4429880092351233E-2</v>
      </c>
      <c r="E121" s="308">
        <f>TableUK10!C118*TableUK9!C118</f>
        <v>2.3906265292999662E-2</v>
      </c>
      <c r="F121" s="308">
        <f>TableUK8!F118</f>
        <v>1.1208758471736054E-2</v>
      </c>
      <c r="G121" s="1202">
        <f>DataUK1!GY121/DataUK1!B121</f>
        <v>3.0671610112335462E-2</v>
      </c>
      <c r="H121" s="303">
        <f t="shared" si="11"/>
        <v>0.67621289758776293</v>
      </c>
      <c r="I121" s="307">
        <f>DataUK1!BJ121/DataUK1!B121</f>
        <v>0.64642138973709684</v>
      </c>
      <c r="J121" s="308">
        <f>TableUK10!F118</f>
        <v>0.49534990173469012</v>
      </c>
      <c r="K121" s="308">
        <f>TableUK9!F118</f>
        <v>0.11296641096298503</v>
      </c>
      <c r="L121" s="308">
        <f>TableUK10!B118*TableUK9!C118</f>
        <v>6.9274405698905847E-2</v>
      </c>
      <c r="M121" s="308"/>
      <c r="N121" s="308">
        <f>DataUK2!AW121*DataUK2!AE121*DataUK2!Y121*DataUK2!E121/DataUK1!B121/1000</f>
        <v>3.8698061512218308E-2</v>
      </c>
      <c r="O121" s="394">
        <f>TableUK8!I118</f>
        <v>-1.3778208088180532E-3</v>
      </c>
      <c r="P121" s="307">
        <f>B121/(1-TableUK9!$H118-TableUK8!J118)</f>
        <v>0.28009278513849123</v>
      </c>
      <c r="Q121" s="236">
        <f>H121/(1-TableUK9!$H118-TableUK8!J118)</f>
        <v>0.75411217407897779</v>
      </c>
      <c r="R121" s="1289">
        <f>(B121-G121)/(1-TableUK9!H118-TableUK8!J118)</f>
        <v>0.2458878259210221</v>
      </c>
      <c r="S121" s="193">
        <f t="shared" si="9"/>
        <v>0.75411217407897779</v>
      </c>
      <c r="U121" s="2024">
        <f t="shared" si="12"/>
        <v>0</v>
      </c>
    </row>
    <row r="122" spans="1:21">
      <c r="A122" s="198">
        <v>1963</v>
      </c>
      <c r="B122" s="303">
        <f t="shared" si="6"/>
        <v>0.24092647635032072</v>
      </c>
      <c r="C122" s="308">
        <f>TableUK10!G119</f>
        <v>0.1613808407031592</v>
      </c>
      <c r="D122" s="308">
        <f>TableUK9!B119</f>
        <v>1.428518315227973E-2</v>
      </c>
      <c r="E122" s="308">
        <f>TableUK10!C119*TableUK9!C119</f>
        <v>2.3227740545735311E-2</v>
      </c>
      <c r="F122" s="308">
        <f>TableUK8!F119</f>
        <v>1.2999071494893221E-2</v>
      </c>
      <c r="G122" s="1202">
        <f>DataUK1!GY122/DataUK1!B122</f>
        <v>2.9033640454253266E-2</v>
      </c>
      <c r="H122" s="303">
        <f t="shared" si="11"/>
        <v>0.6838288982657782</v>
      </c>
      <c r="I122" s="307">
        <f>DataUK1!BJ122/DataUK1!B122</f>
        <v>0.65198914363259763</v>
      </c>
      <c r="J122" s="308">
        <f>TableUK10!F119</f>
        <v>0.50023088719950892</v>
      </c>
      <c r="K122" s="308">
        <f>TableUK9!F119</f>
        <v>0.11295621741304193</v>
      </c>
      <c r="L122" s="308">
        <f>TableUK10!B119*TableUK9!C119</f>
        <v>7.1998839578518339E-2</v>
      </c>
      <c r="M122" s="308"/>
      <c r="N122" s="308">
        <f>DataUK2!AW122*DataUK2!AE122*DataUK2!Y122*DataUK2!E122/DataUK1!B122/1000</f>
        <v>3.8470418937673334E-2</v>
      </c>
      <c r="O122" s="394">
        <f>TableUK8!I119</f>
        <v>-1.3570459252910507E-3</v>
      </c>
      <c r="P122" s="307">
        <f>B122/(1-TableUK9!$H119-TableUK8!J119)</f>
        <v>0.26897469064515117</v>
      </c>
      <c r="Q122" s="236">
        <f>H122/(1-TableUK9!$H119-TableUK8!J119)</f>
        <v>0.76343899247421743</v>
      </c>
      <c r="R122" s="1289">
        <f>(B122-G122)/(1-TableUK9!H119-TableUK8!J119)</f>
        <v>0.23656100752578266</v>
      </c>
      <c r="S122" s="193">
        <f t="shared" si="9"/>
        <v>0.76343899247421743</v>
      </c>
      <c r="U122" s="2024">
        <f t="shared" si="12"/>
        <v>0</v>
      </c>
    </row>
    <row r="123" spans="1:21">
      <c r="A123" s="198">
        <v>1964</v>
      </c>
      <c r="B123" s="303">
        <f t="shared" si="6"/>
        <v>0.23873388200380324</v>
      </c>
      <c r="C123" s="308">
        <f>TableUK10!G120</f>
        <v>0.16246765158711959</v>
      </c>
      <c r="D123" s="308">
        <f>TableUK9!B120</f>
        <v>1.5407671897009206E-2</v>
      </c>
      <c r="E123" s="308">
        <f>TableUK10!C120*TableUK9!C120</f>
        <v>2.2368041927804977E-2</v>
      </c>
      <c r="F123" s="308">
        <f>TableUK8!F120</f>
        <v>1.1956628558325418E-2</v>
      </c>
      <c r="G123" s="1202">
        <f>DataUK1!GY123/DataUK1!B123</f>
        <v>2.6533888033544076E-2</v>
      </c>
      <c r="H123" s="303">
        <f t="shared" si="11"/>
        <v>0.67865072834113738</v>
      </c>
      <c r="I123" s="307">
        <f>DataUK1!BJ123/DataUK1!B123</f>
        <v>0.64831133095292692</v>
      </c>
      <c r="J123" s="308">
        <f>TableUK10!F120</f>
        <v>0.50020845132930836</v>
      </c>
      <c r="K123" s="308">
        <f>TableUK9!F120</f>
        <v>0.11065614046581715</v>
      </c>
      <c r="L123" s="308">
        <f>TableUK10!B120*TableUK9!C120</f>
        <v>6.8867146799230297E-2</v>
      </c>
      <c r="M123" s="308"/>
      <c r="N123" s="308">
        <f>DataUK2!AW123*DataUK2!AE123*DataUK2!Y123*DataUK2!E123/DataUK1!B123/1000</f>
        <v>3.7053196984180192E-2</v>
      </c>
      <c r="O123" s="394">
        <f>TableUK8!I120</f>
        <v>-1.0810102532184623E-3</v>
      </c>
      <c r="P123" s="307">
        <f>B123/(1-TableUK9!$H120-TableUK8!J120)</f>
        <v>0.26798415943850346</v>
      </c>
      <c r="Q123" s="236">
        <f>H123/(1-TableUK9!$H120-TableUK8!J120)</f>
        <v>0.76180072748924066</v>
      </c>
      <c r="R123" s="1289">
        <f>(B123-G123)/(1-TableUK9!H120-TableUK8!J120)</f>
        <v>0.2381992725107594</v>
      </c>
      <c r="S123" s="193">
        <f t="shared" si="9"/>
        <v>0.76180072748924066</v>
      </c>
      <c r="U123" s="2024">
        <f t="shared" si="12"/>
        <v>0</v>
      </c>
    </row>
    <row r="124" spans="1:21">
      <c r="A124" s="198">
        <v>1965</v>
      </c>
      <c r="B124" s="303">
        <f t="shared" si="6"/>
        <v>0.23410537538983167</v>
      </c>
      <c r="C124" s="308">
        <f>TableUK10!G121</f>
        <v>0.15708731970169282</v>
      </c>
      <c r="D124" s="308">
        <f>TableUK9!B121</f>
        <v>1.6941644729016724E-2</v>
      </c>
      <c r="E124" s="308">
        <f>TableUK10!C121*TableUK9!C121</f>
        <v>2.2113616315723957E-2</v>
      </c>
      <c r="F124" s="308">
        <f>TableUK8!F121</f>
        <v>1.2270496273404836E-2</v>
      </c>
      <c r="G124" s="1202">
        <f>DataUK1!GY124/DataUK1!B124</f>
        <v>2.5692298369993333E-2</v>
      </c>
      <c r="H124" s="303">
        <f t="shared" si="11"/>
        <v>0.67894073743813887</v>
      </c>
      <c r="I124" s="307">
        <f>DataUK1!BJ124/DataUK1!B124</f>
        <v>0.64760952554081075</v>
      </c>
      <c r="J124" s="308">
        <f>TableUK10!F121</f>
        <v>0.49920177727116227</v>
      </c>
      <c r="K124" s="308">
        <f>TableUK9!F121</f>
        <v>0.11049506150396897</v>
      </c>
      <c r="L124" s="308">
        <f>TableUK10!B121*TableUK9!C121</f>
        <v>7.0274014399540424E-2</v>
      </c>
      <c r="M124" s="308"/>
      <c r="N124" s="308">
        <f>DataUK2!AW124*DataUK2!AE124*DataUK2!Y124*DataUK2!E124/DataUK1!B124/1000</f>
        <v>3.5769316009784981E-2</v>
      </c>
      <c r="O124" s="394">
        <f>TableUK8!I121</f>
        <v>-1.0301157365327515E-3</v>
      </c>
      <c r="P124" s="307">
        <f>B124/(1-TableUK9!$H121-TableUK8!J121)</f>
        <v>0.26382416075241683</v>
      </c>
      <c r="Q124" s="236">
        <f>H124/(1-TableUK9!$H121-TableUK8!J121)</f>
        <v>0.76512967699683188</v>
      </c>
      <c r="R124" s="1289">
        <f>(B124-G124)/(1-TableUK9!H121-TableUK8!J121)</f>
        <v>0.23487032300316799</v>
      </c>
      <c r="S124" s="193">
        <f t="shared" si="9"/>
        <v>0.76512967699683188</v>
      </c>
      <c r="U124" s="2024">
        <f t="shared" si="12"/>
        <v>0</v>
      </c>
    </row>
    <row r="125" spans="1:21">
      <c r="A125" s="198">
        <v>1966</v>
      </c>
      <c r="B125" s="303">
        <f t="shared" si="6"/>
        <v>0.21788143736177773</v>
      </c>
      <c r="C125" s="308">
        <f>TableUK10!G122</f>
        <v>0.14405225263644764</v>
      </c>
      <c r="D125" s="308">
        <f>TableUK9!B122</f>
        <v>1.7721298762744642E-2</v>
      </c>
      <c r="E125" s="308">
        <f>TableUK10!C122*TableUK9!C122</f>
        <v>2.067695765507822E-2</v>
      </c>
      <c r="F125" s="308">
        <f>TableUK8!F122</f>
        <v>1.0254060092229256E-2</v>
      </c>
      <c r="G125" s="1202">
        <f>DataUK1!GY125/DataUK1!B125</f>
        <v>2.5176868215277978E-2</v>
      </c>
      <c r="H125" s="303">
        <f t="shared" si="11"/>
        <v>0.68957423817455554</v>
      </c>
      <c r="I125" s="307">
        <f>DataUK1!BJ125/DataUK1!B125</f>
        <v>0.65631713115458423</v>
      </c>
      <c r="J125" s="308">
        <f>TableUK10!F122</f>
        <v>0.50545872655634394</v>
      </c>
      <c r="K125" s="308">
        <f>TableUK9!F122</f>
        <v>0.11268009051069802</v>
      </c>
      <c r="L125" s="308">
        <f>TableUK10!B122*TableUK9!C122</f>
        <v>7.2552483519795485E-2</v>
      </c>
      <c r="M125" s="308"/>
      <c r="N125" s="308">
        <f>DataUK2!AW125*DataUK2!AE125*DataUK2!Y125*DataUK2!E125/DataUK1!B125/1000</f>
        <v>3.5796872619106107E-2</v>
      </c>
      <c r="O125" s="394">
        <f>TableUK8!I122</f>
        <v>-1.117062412281958E-3</v>
      </c>
      <c r="P125" s="307">
        <f>B125/(1-TableUK9!$H122-TableUK8!J122)</f>
        <v>0.24695304426879672</v>
      </c>
      <c r="Q125" s="236">
        <f>H125/(1-TableUK9!$H122-TableUK8!J122)</f>
        <v>0.78158313727196238</v>
      </c>
      <c r="R125" s="1289">
        <f>(B125-G125)/(1-TableUK9!H122-TableUK8!J122)</f>
        <v>0.2184168627280377</v>
      </c>
      <c r="S125" s="193">
        <f t="shared" si="9"/>
        <v>0.78158313727196238</v>
      </c>
      <c r="U125" s="2024">
        <f t="shared" si="12"/>
        <v>0</v>
      </c>
    </row>
    <row r="126" spans="1:21">
      <c r="A126" s="198">
        <v>1967</v>
      </c>
      <c r="B126" s="303">
        <f t="shared" si="6"/>
        <v>0.22159380908730175</v>
      </c>
      <c r="C126" s="308">
        <f>TableUK10!G123</f>
        <v>0.14619008924825622</v>
      </c>
      <c r="D126" s="308">
        <f>TableUK9!B123</f>
        <v>1.8762582674054808E-2</v>
      </c>
      <c r="E126" s="308">
        <f>TableUK10!C123*TableUK9!C123</f>
        <v>2.1206455367887681E-2</v>
      </c>
      <c r="F126" s="308">
        <f>TableUK8!F123</f>
        <v>9.6565645544068306E-3</v>
      </c>
      <c r="G126" s="1202">
        <f>DataUK1!GY126/DataUK1!B126</f>
        <v>2.57781172426962E-2</v>
      </c>
      <c r="H126" s="303">
        <f t="shared" si="11"/>
        <v>0.68396826298231284</v>
      </c>
      <c r="I126" s="307">
        <f>DataUK1!BJ126/DataUK1!B126</f>
        <v>0.65119070351073405</v>
      </c>
      <c r="J126" s="308">
        <f>TableUK10!F123</f>
        <v>0.49688399453373966</v>
      </c>
      <c r="K126" s="308">
        <f>TableUK9!F123</f>
        <v>0.11606972366949453</v>
      </c>
      <c r="L126" s="308">
        <f>TableUK10!B123*TableUK9!C123</f>
        <v>7.2078403585920131E-2</v>
      </c>
      <c r="M126" s="308"/>
      <c r="N126" s="308">
        <f>DataUK2!AW126*DataUK2!AE126*DataUK2!Y126*DataUK2!E126/DataUK1!B126/1000</f>
        <v>3.9759256317260315E-2</v>
      </c>
      <c r="O126" s="394">
        <f>TableUK8!I123</f>
        <v>-1.0638588068414305E-3</v>
      </c>
      <c r="P126" s="307">
        <f>B126/(1-TableUK9!$H123-TableUK8!J123)</f>
        <v>0.25187298298807498</v>
      </c>
      <c r="Q126" s="236">
        <f>H126/(1-TableUK9!$H123-TableUK8!J123)</f>
        <v>0.77742752550752214</v>
      </c>
      <c r="R126" s="1289">
        <f>(B126-G126)/(1-TableUK9!H123-TableUK8!J123)</f>
        <v>0.22257247449247783</v>
      </c>
      <c r="S126" s="193">
        <f t="shared" si="9"/>
        <v>0.77742752550752214</v>
      </c>
      <c r="U126" s="2024">
        <f t="shared" si="12"/>
        <v>0</v>
      </c>
    </row>
    <row r="127" spans="1:21">
      <c r="A127" s="198">
        <v>1968</v>
      </c>
      <c r="B127" s="303">
        <f t="shared" si="6"/>
        <v>0.2221381034138645</v>
      </c>
      <c r="C127" s="308">
        <f>TableUK10!G124</f>
        <v>0.1462900292958885</v>
      </c>
      <c r="D127" s="308">
        <f>TableUK9!B124</f>
        <v>1.9661076876452167E-2</v>
      </c>
      <c r="E127" s="308">
        <f>TableUK10!C124*TableUK9!C124</f>
        <v>2.1436012293549297E-2</v>
      </c>
      <c r="F127" s="308">
        <f>TableUK8!F124</f>
        <v>7.6522881099100916E-3</v>
      </c>
      <c r="G127" s="1202">
        <f>DataUK1!GY127/DataUK1!B127</f>
        <v>2.709869683806445E-2</v>
      </c>
      <c r="H127" s="303">
        <f t="shared" si="11"/>
        <v>0.67754873364038348</v>
      </c>
      <c r="I127" s="307">
        <f>DataUK1!BJ127/DataUK1!B127</f>
        <v>0.64506515809677745</v>
      </c>
      <c r="J127" s="308">
        <f>TableUK10!F124</f>
        <v>0.49134765567993449</v>
      </c>
      <c r="K127" s="308">
        <f>TableUK9!F124</f>
        <v>0.11541569855540963</v>
      </c>
      <c r="L127" s="308">
        <f>TableUK10!B124*TableUK9!C124</f>
        <v>7.1997623066015218E-2</v>
      </c>
      <c r="M127" s="308"/>
      <c r="N127" s="308">
        <f>DataUK2!AW127*DataUK2!AE127*DataUK2!Y127*DataUK2!E127/DataUK1!B127/1000</f>
        <v>4.1033320154783878E-2</v>
      </c>
      <c r="O127" s="394">
        <f>TableUK8!I124</f>
        <v>-1.2122436609758561E-3</v>
      </c>
      <c r="P127" s="307">
        <f>B127/(1-TableUK9!$H124-TableUK8!J124)</f>
        <v>0.25457382833421255</v>
      </c>
      <c r="Q127" s="236">
        <f>H127/(1-TableUK9!$H124-TableUK8!J124)</f>
        <v>0.7764817127499819</v>
      </c>
      <c r="R127" s="1289">
        <f>(B127-G127)/(1-TableUK9!H124-TableUK8!J124)</f>
        <v>0.22351828725001818</v>
      </c>
      <c r="S127" s="193">
        <f t="shared" si="9"/>
        <v>0.7764817127499819</v>
      </c>
      <c r="U127" s="2024">
        <f t="shared" si="12"/>
        <v>0</v>
      </c>
    </row>
    <row r="128" spans="1:21">
      <c r="A128" s="214">
        <v>1969</v>
      </c>
      <c r="B128" s="565">
        <f t="shared" si="6"/>
        <v>0.22243194579508735</v>
      </c>
      <c r="C128" s="550">
        <f>TableUK10!G125</f>
        <v>0.14398358195937852</v>
      </c>
      <c r="D128" s="550">
        <f>TableUK9!B125</f>
        <v>2.1136625366442337E-2</v>
      </c>
      <c r="E128" s="550">
        <f>TableUK10!C125*TableUK9!C125</f>
        <v>2.1122275989223914E-2</v>
      </c>
      <c r="F128" s="550">
        <f>TableUK8!F125</f>
        <v>1.0829071893005067E-2</v>
      </c>
      <c r="G128" s="1960">
        <f>DataUK1!GY128/DataUK1!B128</f>
        <v>2.5360390587037509E-2</v>
      </c>
      <c r="H128" s="565">
        <f t="shared" si="11"/>
        <v>0.66402477262590442</v>
      </c>
      <c r="I128" s="568">
        <f>DataUK1!BJ128/DataUK1!B128</f>
        <v>0.63204294606289191</v>
      </c>
      <c r="J128" s="550">
        <f>TableUK10!F125</f>
        <v>0.48126817790679949</v>
      </c>
      <c r="K128" s="550">
        <f>TableUK9!F125</f>
        <v>0.11324247402642479</v>
      </c>
      <c r="L128" s="550">
        <f>TableUK10!B125*TableUK9!C125</f>
        <v>7.0601655690481976E-2</v>
      </c>
      <c r="M128" s="550"/>
      <c r="N128" s="550">
        <f>DataUK2!AW128*DataUK2!AE128*DataUK2!Y128*DataUK2!E128/DataUK1!B128/1000</f>
        <v>4.2924137147691339E-2</v>
      </c>
      <c r="O128" s="553">
        <f>TableUK8!I125</f>
        <v>-1.0875349978017909E-3</v>
      </c>
      <c r="P128" s="568">
        <f>B128/(1-TableUK9!$H125-TableUK8!J125)</f>
        <v>0.25831250071011685</v>
      </c>
      <c r="Q128" s="244">
        <f>H128/(1-TableUK9!$H125-TableUK8!J125)</f>
        <v>0.77113878106555889</v>
      </c>
      <c r="R128" s="1291">
        <f>(B128-G128)/(1-TableUK9!H125-TableUK8!J125)</f>
        <v>0.22886121893444106</v>
      </c>
      <c r="S128" s="886">
        <f t="shared" si="9"/>
        <v>0.77113878106555889</v>
      </c>
      <c r="U128" s="2024">
        <f t="shared" si="12"/>
        <v>0</v>
      </c>
    </row>
    <row r="129" spans="1:35">
      <c r="A129" s="198">
        <v>1970</v>
      </c>
      <c r="B129" s="303">
        <f t="shared" si="6"/>
        <v>0.20453077429674671</v>
      </c>
      <c r="C129" s="308">
        <f>TableUK10!G126</f>
        <v>0.12862102431943695</v>
      </c>
      <c r="D129" s="308">
        <f>TableUK9!B126</f>
        <v>2.2548146708758206E-2</v>
      </c>
      <c r="E129" s="308">
        <f>TableUK10!C126*TableUK9!C126</f>
        <v>1.9004014208953399E-2</v>
      </c>
      <c r="F129" s="308">
        <f>TableUK8!F126</f>
        <v>1.1121897686982948E-2</v>
      </c>
      <c r="G129" s="1202">
        <f>DataUK1!GY129/DataUK1!B129</f>
        <v>2.323569137261523E-2</v>
      </c>
      <c r="H129" s="303">
        <f t="shared" si="11"/>
        <v>0.68083137326361132</v>
      </c>
      <c r="I129" s="307">
        <f>DataUK1!BJ129/DataUK1!B129</f>
        <v>0.64696944116157351</v>
      </c>
      <c r="J129" s="308">
        <f>TableUK10!F126</f>
        <v>0.49089774807572051</v>
      </c>
      <c r="K129" s="308">
        <f>TableUK9!F126</f>
        <v>0.11858433226405538</v>
      </c>
      <c r="L129" s="308">
        <f>TableUK10!B126*TableUK9!C126</f>
        <v>7.2531126454140935E-2</v>
      </c>
      <c r="M129" s="308"/>
      <c r="N129" s="308">
        <f>DataUK2!AW129*DataUK2!AE129*DataUK2!Y129*DataUK2!E129/DataUK1!B129/1000</f>
        <v>4.6433518556175994E-2</v>
      </c>
      <c r="O129" s="394">
        <f>TableUK8!I126</f>
        <v>-1.1818335303055885E-3</v>
      </c>
      <c r="P129" s="307">
        <f>B129/(1-TableUK9!$H126-TableUK8!J126)</f>
        <v>0.23723987685190195</v>
      </c>
      <c r="Q129" s="236">
        <f>H129/(1-TableUK9!$H126-TableUK8!J126)</f>
        <v>0.78971172775998044</v>
      </c>
      <c r="R129" s="1289">
        <f>(B129-G129)/(1-TableUK9!H126-TableUK8!J126)</f>
        <v>0.21028827224001975</v>
      </c>
      <c r="S129" s="193">
        <f t="shared" si="9"/>
        <v>0.78971172775998044</v>
      </c>
      <c r="U129" s="2024">
        <f t="shared" si="12"/>
        <v>0</v>
      </c>
      <c r="AI129" s="197"/>
    </row>
    <row r="130" spans="1:35">
      <c r="A130" s="198">
        <v>1971</v>
      </c>
      <c r="B130" s="303">
        <f t="shared" si="6"/>
        <v>0.20822696058418497</v>
      </c>
      <c r="C130" s="308">
        <f>TableUK10!G127</f>
        <v>0.13536119137212035</v>
      </c>
      <c r="D130" s="308">
        <f>TableUK9!B127</f>
        <v>2.3162717151788189E-2</v>
      </c>
      <c r="E130" s="308">
        <f>TableUK10!C127*TableUK9!C127</f>
        <v>2.1655774012998376E-2</v>
      </c>
      <c r="F130" s="308">
        <f>TableUK8!F127</f>
        <v>8.739508739508739E-3</v>
      </c>
      <c r="G130" s="1202">
        <f>DataUK1!GY130/DataUK1!B130</f>
        <v>1.9307769307769309E-2</v>
      </c>
      <c r="H130" s="303">
        <f t="shared" si="11"/>
        <v>0.68285643049920619</v>
      </c>
      <c r="I130" s="307">
        <f>DataUK1!BJ130/DataUK1!B130</f>
        <v>0.64728189728189733</v>
      </c>
      <c r="J130" s="308">
        <f>TableUK10!F127</f>
        <v>0.47992948648914369</v>
      </c>
      <c r="K130" s="308">
        <f>TableUK9!F127</f>
        <v>0.12735812735812735</v>
      </c>
      <c r="L130" s="308">
        <f>TableUK10!B127*TableUK9!C127</f>
        <v>7.6781567864686331E-2</v>
      </c>
      <c r="M130" s="308"/>
      <c r="N130" s="308">
        <f>DataUK2!AW130*DataUK2!AE130*DataUK2!Y130*DataUK2!E130/DataUK1!B130/1000</f>
        <v>5.2139764803902075E-2</v>
      </c>
      <c r="O130" s="394">
        <f>TableUK8!I127</f>
        <v>-1.2127512127512127E-3</v>
      </c>
      <c r="P130" s="307">
        <f>B130/(1-TableUK9!$H127-TableUK8!J127)</f>
        <v>0.2388538465437596</v>
      </c>
      <c r="Q130" s="236">
        <f>H130/(1-TableUK9!$H127-TableUK8!J127)</f>
        <v>0.78329378964322571</v>
      </c>
      <c r="R130" s="1289">
        <f>(B130-G130)/(1-TableUK9!H127-TableUK8!J127)</f>
        <v>0.21670621035677437</v>
      </c>
      <c r="S130" s="193">
        <f t="shared" si="9"/>
        <v>0.78329378964322571</v>
      </c>
      <c r="U130" s="2024">
        <f t="shared" si="12"/>
        <v>0</v>
      </c>
      <c r="AI130" s="197"/>
    </row>
    <row r="131" spans="1:35">
      <c r="A131" s="198">
        <v>1972</v>
      </c>
      <c r="B131" s="303">
        <f t="shared" si="6"/>
        <v>0.20943107320559382</v>
      </c>
      <c r="C131" s="308">
        <f>TableUK10!G128</f>
        <v>0.13591150991164772</v>
      </c>
      <c r="D131" s="308">
        <f>TableUK9!B128</f>
        <v>2.525825396552021E-2</v>
      </c>
      <c r="E131" s="308">
        <f>TableUK10!C128*TableUK9!C128</f>
        <v>2.3012872285903117E-2</v>
      </c>
      <c r="F131" s="308">
        <f>TableUK8!F128</f>
        <v>6.0279351738628728E-3</v>
      </c>
      <c r="G131" s="1202">
        <f>DataUK1!GY131/DataUK1!B131</f>
        <v>1.9220501868659905E-2</v>
      </c>
      <c r="H131" s="303">
        <f t="shared" si="11"/>
        <v>0.69167634459920446</v>
      </c>
      <c r="I131" s="307">
        <f>DataUK1!BJ131/DataUK1!B131</f>
        <v>0.65413430239567372</v>
      </c>
      <c r="J131" s="308">
        <f>TableUK10!F128</f>
        <v>0.47857875957847001</v>
      </c>
      <c r="K131" s="308">
        <f>TableUK9!F128</f>
        <v>0.13295902726348965</v>
      </c>
      <c r="L131" s="308">
        <f>TableUK10!B128*TableUK9!C128</f>
        <v>8.1034136697361495E-2</v>
      </c>
      <c r="M131" s="308"/>
      <c r="N131" s="308">
        <f>DataUK2!AW131*DataUK2!AE131*DataUK2!Y131*DataUK2!E131/DataUK1!B131/1000</f>
        <v>5.2126561209202241E-2</v>
      </c>
      <c r="O131" s="394">
        <f>TableUK8!I128</f>
        <v>-8.9557894011676976E-4</v>
      </c>
      <c r="P131" s="307">
        <f>B131/(1-TableUK9!$H128-TableUK8!J128)</f>
        <v>0.23748064453737708</v>
      </c>
      <c r="Q131" s="236">
        <f>H131/(1-TableUK9!$H128-TableUK8!J128)</f>
        <v>0.78431410206939967</v>
      </c>
      <c r="R131" s="1289">
        <f>(B131-G131)/(1-TableUK9!H128-TableUK8!J128)</f>
        <v>0.21568589793060042</v>
      </c>
      <c r="S131" s="193">
        <f t="shared" si="9"/>
        <v>0.78431410206939967</v>
      </c>
      <c r="U131" s="2024">
        <f t="shared" si="12"/>
        <v>0</v>
      </c>
      <c r="AI131" s="197"/>
    </row>
    <row r="132" spans="1:35">
      <c r="A132" s="198">
        <v>1973</v>
      </c>
      <c r="B132" s="303">
        <f t="shared" si="6"/>
        <v>0.22190016556258779</v>
      </c>
      <c r="C132" s="308">
        <f>TableUK10!G129</f>
        <v>0.13660425645873667</v>
      </c>
      <c r="D132" s="308">
        <f>TableUK9!B129</f>
        <v>2.6707005769848392E-2</v>
      </c>
      <c r="E132" s="308">
        <f>TableUK10!C129*TableUK9!C129</f>
        <v>2.4557645877548401E-2</v>
      </c>
      <c r="F132" s="308">
        <f>TableUK8!F129</f>
        <v>1.4465521355285135E-2</v>
      </c>
      <c r="G132" s="1202">
        <f>DataUK1!GY132/DataUK1!B132</f>
        <v>1.9565736101169171E-2</v>
      </c>
      <c r="H132" s="303">
        <f t="shared" si="11"/>
        <v>0.69634726941713054</v>
      </c>
      <c r="I132" s="307">
        <f>DataUK1!BJ132/DataUK1!B132</f>
        <v>0.65649606299212604</v>
      </c>
      <c r="J132" s="308">
        <f>TableUK10!F129</f>
        <v>0.48068355647018107</v>
      </c>
      <c r="K132" s="308">
        <f>TableUK9!F129</f>
        <v>0.13026425674063469</v>
      </c>
      <c r="L132" s="308">
        <f>TableUK10!B129*TableUK9!C129</f>
        <v>8.6413533992046251E-2</v>
      </c>
      <c r="M132" s="308"/>
      <c r="N132" s="308">
        <f>DataUK2!AW132*DataUK2!AE132*DataUK2!Y132*DataUK2!E132/DataUK1!B132/1000</f>
        <v>4.805266224946031E-2</v>
      </c>
      <c r="O132" s="394">
        <f>TableUK8!I129</f>
        <v>-1.0140777857313291E-3</v>
      </c>
      <c r="P132" s="307">
        <f>B132/(1-TableUK9!$H129-TableUK8!J129)</f>
        <v>0.24691741896991282</v>
      </c>
      <c r="Q132" s="236">
        <f>H132/(1-TableUK9!$H129-TableUK8!J129)</f>
        <v>0.77485417838828952</v>
      </c>
      <c r="R132" s="1289">
        <f>(B132-G132)/(1-TableUK9!H129-TableUK8!J129)</f>
        <v>0.22514582161171029</v>
      </c>
      <c r="S132" s="193">
        <f t="shared" si="9"/>
        <v>0.77485417838828952</v>
      </c>
      <c r="U132" s="2024">
        <f t="shared" si="12"/>
        <v>0</v>
      </c>
      <c r="AI132" s="197"/>
    </row>
    <row r="133" spans="1:35">
      <c r="A133" s="198">
        <v>1974</v>
      </c>
      <c r="B133" s="303">
        <f t="shared" si="6"/>
        <v>0.17905536656625495</v>
      </c>
      <c r="C133" s="308">
        <f>TableUK10!G130</f>
        <v>9.3594804910648921E-2</v>
      </c>
      <c r="D133" s="308">
        <f>TableUK9!B130</f>
        <v>3.1644046449794599E-2</v>
      </c>
      <c r="E133" s="308">
        <f>TableUK10!C130*TableUK9!C130</f>
        <v>1.6851744099425015E-2</v>
      </c>
      <c r="F133" s="308">
        <f>TableUK8!F130</f>
        <v>1.3590978819603305E-2</v>
      </c>
      <c r="G133" s="1202">
        <f>DataUK1!GY133/DataUK1!B133</f>
        <v>2.3373792286783109E-2</v>
      </c>
      <c r="H133" s="303">
        <f t="shared" si="11"/>
        <v>0.75481981173123958</v>
      </c>
      <c r="I133" s="307">
        <f>DataUK1!BJ133/DataUK1!B133</f>
        <v>0.7079823451839492</v>
      </c>
      <c r="J133" s="308">
        <f>TableUK10!F130</f>
        <v>0.51601658128127603</v>
      </c>
      <c r="K133" s="308">
        <f>TableUK9!F130</f>
        <v>0.14713243803321044</v>
      </c>
      <c r="L133" s="308">
        <f>TableUK10!B130*TableUK9!C130</f>
        <v>9.2908782566657536E-2</v>
      </c>
      <c r="M133" s="308"/>
      <c r="N133" s="308">
        <f>DataUK2!AW133*DataUK2!AE133*DataUK2!Y133*DataUK2!E133/DataUK1!B133/1000</f>
        <v>5.2701148020798345E-2</v>
      </c>
      <c r="O133" s="394">
        <f>TableUK8!I130</f>
        <v>-1.2379901499044595E-3</v>
      </c>
      <c r="P133" s="307">
        <f>B133/(1-TableUK9!$H130-TableUK8!J130)</f>
        <v>0.19665578692941002</v>
      </c>
      <c r="Q133" s="236">
        <f>H133/(1-TableUK9!$H130-TableUK8!J130)</f>
        <v>0.82901555486743628</v>
      </c>
      <c r="R133" s="1289">
        <f>(B133-G133)/(1-TableUK9!H130-TableUK8!J130)</f>
        <v>0.17098444513256392</v>
      </c>
      <c r="S133" s="193">
        <f t="shared" si="9"/>
        <v>0.82901555486743628</v>
      </c>
      <c r="U133" s="2024">
        <f t="shared" si="12"/>
        <v>0</v>
      </c>
      <c r="AI133" s="197"/>
    </row>
    <row r="134" spans="1:35">
      <c r="A134" s="198">
        <v>1975</v>
      </c>
      <c r="B134" s="303">
        <f t="shared" si="6"/>
        <v>0.14718024358384912</v>
      </c>
      <c r="C134" s="308">
        <f>TableUK10!G131</f>
        <v>7.8710460664595E-2</v>
      </c>
      <c r="D134" s="308">
        <f>TableUK9!B131</f>
        <v>3.0446851758198938E-2</v>
      </c>
      <c r="E134" s="308">
        <f>TableUK10!C131*TableUK9!C131</f>
        <v>1.3295502190648612E-2</v>
      </c>
      <c r="F134" s="308">
        <f>TableUK8!F131</f>
        <v>2.7606208711531233E-3</v>
      </c>
      <c r="G134" s="1202">
        <f>DataUK1!GY134/DataUK1!B134</f>
        <v>2.196680809925345E-2</v>
      </c>
      <c r="H134" s="303">
        <f t="shared" si="11"/>
        <v>0.78566255141051144</v>
      </c>
      <c r="I134" s="307">
        <f>DataUK1!BJ134/DataUK1!B134</f>
        <v>0.73915892368011171</v>
      </c>
      <c r="J134" s="308">
        <f>TableUK10!F131</f>
        <v>0.53279820811291534</v>
      </c>
      <c r="K134" s="308">
        <f>TableUK9!F131</f>
        <v>0.16396154465868198</v>
      </c>
      <c r="L134" s="308">
        <f>TableUK10!B131*TableUK9!C131</f>
        <v>8.9998453615013796E-2</v>
      </c>
      <c r="M134" s="308"/>
      <c r="N134" s="308">
        <f>DataUK2!AW134*DataUK2!AE134*DataUK2!Y134*DataUK2!E134/DataUK1!B134/1000</f>
        <v>5.8050885480879277E-2</v>
      </c>
      <c r="O134" s="394">
        <f>TableUK8!I131</f>
        <v>-1.095654976099683E-3</v>
      </c>
      <c r="P134" s="307">
        <f>B134/(1-TableUK9!$H131-TableUK8!J131)</f>
        <v>0.16158098983983624</v>
      </c>
      <c r="Q134" s="236">
        <f>H134/(1-TableUK9!$H131-TableUK8!J131)</f>
        <v>0.86253514497466399</v>
      </c>
      <c r="R134" s="1289">
        <f>(B134-G134)/(1-TableUK9!H131-TableUK8!J131)</f>
        <v>0.1374648550253359</v>
      </c>
      <c r="S134" s="193">
        <f t="shared" si="9"/>
        <v>0.86253514497466399</v>
      </c>
      <c r="U134" s="2024">
        <f t="shared" si="12"/>
        <v>0</v>
      </c>
      <c r="AI134" s="197"/>
    </row>
    <row r="135" spans="1:35">
      <c r="A135" s="198">
        <v>1976</v>
      </c>
      <c r="B135" s="303">
        <f t="shared" si="6"/>
        <v>0.17110870610756646</v>
      </c>
      <c r="C135" s="308">
        <f>TableUK10!G132</f>
        <v>9.1156716776524344E-2</v>
      </c>
      <c r="D135" s="308">
        <f>TableUK9!B132</f>
        <v>3.110488999112105E-2</v>
      </c>
      <c r="E135" s="308">
        <f>TableUK10!C132*TableUK9!C132</f>
        <v>1.6150821179463558E-2</v>
      </c>
      <c r="F135" s="308">
        <f>TableUK8!F132</f>
        <v>6.9430487292393706E-3</v>
      </c>
      <c r="G135" s="1202">
        <f>DataUK1!GY135/DataUK1!B135</f>
        <v>2.575322943121814E-2</v>
      </c>
      <c r="H135" s="303">
        <f t="shared" si="11"/>
        <v>0.76094077225021972</v>
      </c>
      <c r="I135" s="307">
        <f>DataUK1!BJ135/DataUK1!B135</f>
        <v>0.71529845973945294</v>
      </c>
      <c r="J135" s="308">
        <f>TableUK10!F132</f>
        <v>0.51184310305526659</v>
      </c>
      <c r="K135" s="308">
        <f>TableUK9!F132</f>
        <v>0.15969012077250552</v>
      </c>
      <c r="L135" s="308">
        <f>TableUK10!B132*TableUK9!C132</f>
        <v>9.068653108309703E-2</v>
      </c>
      <c r="M135" s="308"/>
      <c r="N135" s="308">
        <f>DataUK2!AW135*DataUK2!AE135*DataUK2!Y135*DataUK2!E135/DataUK1!B135/1000</f>
        <v>5.5391171581706554E-2</v>
      </c>
      <c r="O135" s="394">
        <f>TableUK8!I132</f>
        <v>-1.2789826606493578E-3</v>
      </c>
      <c r="P135" s="307">
        <f>B135/(1-TableUK9!$H132-TableUK8!J132)</f>
        <v>0.18879997165411461</v>
      </c>
      <c r="Q135" s="236">
        <f>H135/(1-TableUK9!$H132-TableUK8!J132)</f>
        <v>0.83961593480221308</v>
      </c>
      <c r="R135" s="1289">
        <f>(B135-G135)/(1-TableUK9!H132-TableUK8!J132)</f>
        <v>0.16038406519778681</v>
      </c>
      <c r="S135" s="193">
        <f t="shared" si="9"/>
        <v>0.83961593480221308</v>
      </c>
      <c r="U135" s="2024">
        <f t="shared" si="12"/>
        <v>0</v>
      </c>
      <c r="AI135" s="197"/>
    </row>
    <row r="136" spans="1:35">
      <c r="A136" s="198">
        <v>1977</v>
      </c>
      <c r="B136" s="303">
        <f t="shared" si="6"/>
        <v>0.20129390118165177</v>
      </c>
      <c r="C136" s="308">
        <f>TableUK10!G133</f>
        <v>0.12834836890440476</v>
      </c>
      <c r="D136" s="308">
        <f>TableUK9!B133</f>
        <v>3.0957363227594594E-2</v>
      </c>
      <c r="E136" s="308">
        <f>TableUK10!C133*TableUK9!C133</f>
        <v>2.0169901086892716E-2</v>
      </c>
      <c r="F136" s="308">
        <f>TableUK8!F133</f>
        <v>-5.353885515291739E-3</v>
      </c>
      <c r="G136" s="1202">
        <f>DataUK1!GY136/DataUK1!B136</f>
        <v>2.717215347805144E-2</v>
      </c>
      <c r="H136" s="303">
        <f t="shared" si="11"/>
        <v>0.72117741446859263</v>
      </c>
      <c r="I136" s="307">
        <f>DataUK1!BJ136/DataUK1!B136</f>
        <v>0.68538420840670577</v>
      </c>
      <c r="J136" s="308">
        <f>TableUK10!F133</f>
        <v>0.4952828891844509</v>
      </c>
      <c r="K136" s="308">
        <f>TableUK9!F133</f>
        <v>0.14926127435109801</v>
      </c>
      <c r="L136" s="308">
        <f>TableUK10!B133*TableUK9!C133</f>
        <v>7.783353205151626E-2</v>
      </c>
      <c r="M136" s="308"/>
      <c r="N136" s="308">
        <f>DataUK2!AW136*DataUK2!AE136*DataUK2!Y136*DataUK2!E136/DataUK1!B136/1000</f>
        <v>5.1558883191250335E-2</v>
      </c>
      <c r="O136" s="394">
        <f>TableUK8!I133</f>
        <v>-1.2002811184724843E-3</v>
      </c>
      <c r="P136" s="307">
        <f>B136/(1-TableUK9!$H133-TableUK8!J133)</f>
        <v>0.22483423383673054</v>
      </c>
      <c r="Q136" s="236">
        <f>H136/(1-TableUK9!$H133-TableUK8!J133)</f>
        <v>0.80551556947608149</v>
      </c>
      <c r="R136" s="1289">
        <f>(B136-G136)/(1-TableUK9!H133-TableUK8!J133)</f>
        <v>0.19448443052391853</v>
      </c>
      <c r="S136" s="193">
        <f t="shared" si="9"/>
        <v>0.80551556947608149</v>
      </c>
      <c r="U136" s="2024">
        <f t="shared" si="12"/>
        <v>0</v>
      </c>
      <c r="AI136" s="197"/>
    </row>
    <row r="137" spans="1:35">
      <c r="A137" s="198">
        <v>1978</v>
      </c>
      <c r="B137" s="303">
        <f t="shared" si="6"/>
        <v>0.20309800837199635</v>
      </c>
      <c r="C137" s="308">
        <f>TableUK10!G134</f>
        <v>0.12873496501416995</v>
      </c>
      <c r="D137" s="308">
        <f>TableUK9!B134</f>
        <v>2.9188498275430089E-2</v>
      </c>
      <c r="E137" s="308">
        <f>TableUK10!C134*TableUK9!C134</f>
        <v>1.9273107341880476E-2</v>
      </c>
      <c r="F137" s="308">
        <f>TableUK8!F134</f>
        <v>-2.0726677306361018E-3</v>
      </c>
      <c r="G137" s="1202">
        <f>DataUK1!GY137/DataUK1!B137</f>
        <v>2.7974105471151919E-2</v>
      </c>
      <c r="H137" s="303">
        <f t="shared" si="11"/>
        <v>0.71906640945018241</v>
      </c>
      <c r="I137" s="307">
        <f>DataUK1!BJ137/DataUK1!B137</f>
        <v>0.68419452677541259</v>
      </c>
      <c r="J137" s="308">
        <f>TableUK10!F134</f>
        <v>0.5000312094840641</v>
      </c>
      <c r="K137" s="308">
        <f>TableUK9!F134</f>
        <v>0.14514201228401075</v>
      </c>
      <c r="L137" s="308">
        <f>TableUK10!B134*TableUK9!C134</f>
        <v>7.4860432623071141E-2</v>
      </c>
      <c r="M137" s="308"/>
      <c r="N137" s="308">
        <f>DataUK2!AW137*DataUK2!AE137*DataUK2!Y137*DataUK2!E137/DataUK1!B137/1000</f>
        <v>5.5510531000483553E-2</v>
      </c>
      <c r="O137" s="394">
        <f>TableUK8!I134</f>
        <v>-9.6724494096351416E-4</v>
      </c>
      <c r="P137" s="307">
        <f>B137/(1-TableUK9!$H134-TableUK8!J134)</f>
        <v>0.22713062931537034</v>
      </c>
      <c r="Q137" s="236">
        <f>H137/(1-TableUK9!$H134-TableUK8!J134)</f>
        <v>0.80415365668589656</v>
      </c>
      <c r="R137" s="1289">
        <f>(B137-G137)/(1-TableUK9!H134-TableUK8!J134)</f>
        <v>0.19584634331410319</v>
      </c>
      <c r="S137" s="193">
        <f t="shared" si="9"/>
        <v>0.80415365668589656</v>
      </c>
      <c r="U137" s="2024">
        <f t="shared" si="12"/>
        <v>0</v>
      </c>
      <c r="AI137" s="197"/>
    </row>
    <row r="138" spans="1:35" ht="12.75" customHeight="1">
      <c r="A138" s="214">
        <v>1979</v>
      </c>
      <c r="B138" s="565">
        <f t="shared" si="6"/>
        <v>0.19178959969390028</v>
      </c>
      <c r="C138" s="550">
        <f>TableUK10!G135</f>
        <v>0.1185527655521791</v>
      </c>
      <c r="D138" s="550">
        <f>TableUK9!B135</f>
        <v>2.8867221771372416E-2</v>
      </c>
      <c r="E138" s="550">
        <f>TableUK10!C135*TableUK9!C135</f>
        <v>1.7097477455026242E-2</v>
      </c>
      <c r="F138" s="550">
        <f>TableUK8!F135</f>
        <v>-2.025862324291985E-3</v>
      </c>
      <c r="G138" s="1960">
        <f>DataUK1!GY138/DataUK1!B138</f>
        <v>2.9297997239614494E-2</v>
      </c>
      <c r="H138" s="565">
        <f t="shared" ref="H138:H169" si="13">J138+K138+L138+O138</f>
        <v>0.72295239903845487</v>
      </c>
      <c r="I138" s="568">
        <f>DataUK1!BJ138/DataUK1!B138</f>
        <v>0.68765586404212842</v>
      </c>
      <c r="J138" s="550">
        <f>TableUK10!F135</f>
        <v>0.50866574370634499</v>
      </c>
      <c r="K138" s="550">
        <f>TableUK9!F135</f>
        <v>0.14169781479353383</v>
      </c>
      <c r="L138" s="550">
        <f>TableUK10!B135*TableUK9!C135</f>
        <v>7.3358905164768909E-2</v>
      </c>
      <c r="M138" s="550"/>
      <c r="N138" s="550">
        <f>DataUK2!AW138*DataUK2!AE138*DataUK2!Y138*DataUK2!E138/DataUK1!B138/1000</f>
        <v>5.4863963737316446E-2</v>
      </c>
      <c r="O138" s="553">
        <f>TableUK8!I135</f>
        <v>-7.7006462619285971E-4</v>
      </c>
      <c r="P138" s="568">
        <f>B138/(1-TableUK9!$H135-TableUK8!J135)</f>
        <v>0.21660274322325135</v>
      </c>
      <c r="Q138" s="244">
        <f>H138/(1-TableUK9!$H135-TableUK8!J135)</f>
        <v>0.81648573802482538</v>
      </c>
      <c r="R138" s="1291">
        <f>(B138-G138)/(1-TableUK9!H135-TableUK8!J135)</f>
        <v>0.1835142619751747</v>
      </c>
      <c r="S138" s="886">
        <f t="shared" si="9"/>
        <v>0.81648573802482538</v>
      </c>
      <c r="U138" s="2024">
        <f t="shared" si="12"/>
        <v>0</v>
      </c>
      <c r="AI138" s="197"/>
    </row>
    <row r="139" spans="1:35">
      <c r="A139" s="198">
        <v>1980</v>
      </c>
      <c r="B139" s="303">
        <f t="shared" si="6"/>
        <v>0.16633284375238008</v>
      </c>
      <c r="C139" s="308">
        <f>TableUK10!G136</f>
        <v>0.10367924872867648</v>
      </c>
      <c r="D139" s="308">
        <f>TableUK9!B136</f>
        <v>2.9450904721155656E-2</v>
      </c>
      <c r="E139" s="308">
        <f>TableUK10!C136*TableUK9!C136</f>
        <v>1.4536172386544715E-2</v>
      </c>
      <c r="F139" s="308">
        <f>TableUK8!F136</f>
        <v>-1.1501130843111997E-2</v>
      </c>
      <c r="G139" s="1202">
        <f>DataUK1!GY139/DataUK1!B139</f>
        <v>3.01676487591152E-2</v>
      </c>
      <c r="H139" s="303">
        <f t="shared" si="13"/>
        <v>0.73536494222922211</v>
      </c>
      <c r="I139" s="307">
        <f>DataUK1!BJ139/DataUK1!B139</f>
        <v>0.6999208916926134</v>
      </c>
      <c r="J139" s="308">
        <f>TableUK10!F136</f>
        <v>0.51117472952671694</v>
      </c>
      <c r="K139" s="308">
        <f>TableUK9!F136</f>
        <v>0.15293765656852501</v>
      </c>
      <c r="L139" s="308">
        <f>TableUK10!B136*TableUK9!C136</f>
        <v>7.1668381852293725E-2</v>
      </c>
      <c r="M139" s="308"/>
      <c r="N139" s="308">
        <f>DataUK2!AW139*DataUK2!AE139*DataUK2!Y139*DataUK2!E139/DataUK1!B139/1000</f>
        <v>6.1414181572775763E-2</v>
      </c>
      <c r="O139" s="394">
        <f>TableUK8!I136</f>
        <v>-4.158257183135731E-4</v>
      </c>
      <c r="P139" s="307">
        <f>B139/(1-TableUK9!$H136-TableUK8!J136)</f>
        <v>0.19085151120817537</v>
      </c>
      <c r="Q139" s="236">
        <f>H139/(1-TableUK9!$H136-TableUK8!J136)</f>
        <v>0.84376306776124232</v>
      </c>
      <c r="R139" s="1289">
        <f>(B139-G139)/(1-TableUK9!H136-TableUK8!J136)</f>
        <v>0.15623693223875768</v>
      </c>
      <c r="S139" s="193">
        <f t="shared" si="9"/>
        <v>0.84376306776124232</v>
      </c>
      <c r="U139" s="2024">
        <f t="shared" si="12"/>
        <v>0</v>
      </c>
      <c r="AI139" s="197"/>
    </row>
    <row r="140" spans="1:35">
      <c r="A140" s="198">
        <v>1981</v>
      </c>
      <c r="B140" s="303">
        <f t="shared" si="6"/>
        <v>0.17217405163943469</v>
      </c>
      <c r="C140" s="308">
        <f>TableUK10!G137</f>
        <v>9.9981459055767982E-2</v>
      </c>
      <c r="D140" s="308">
        <f>TableUK9!B137</f>
        <v>3.32422632423586E-2</v>
      </c>
      <c r="E140" s="308">
        <f>TableUK10!C137*TableUK9!C137</f>
        <v>1.4380475463624774E-2</v>
      </c>
      <c r="F140" s="308">
        <f>TableUK8!F137</f>
        <v>-8.7210244772248351E-3</v>
      </c>
      <c r="G140" s="1202">
        <f>DataUK1!GY140/DataUK1!B140</f>
        <v>3.3290878354908189E-2</v>
      </c>
      <c r="H140" s="303">
        <f t="shared" si="13"/>
        <v>0.72893981261270158</v>
      </c>
      <c r="I140" s="307">
        <f>DataUK1!BJ140/DataUK1!B140</f>
        <v>0.69396290206794353</v>
      </c>
      <c r="J140" s="308">
        <f>TableUK10!F137</f>
        <v>0.49902360293159537</v>
      </c>
      <c r="K140" s="308">
        <f>TableUK9!F137</f>
        <v>0.15844661093485865</v>
      </c>
      <c r="L140" s="308">
        <f>TableUK10!B137*TableUK9!C137</f>
        <v>7.1775274590908669E-2</v>
      </c>
      <c r="M140" s="308"/>
      <c r="N140" s="308">
        <f>DataUK2!AW140*DataUK2!AE140*DataUK2!Y140*DataUK2!E140/DataUK1!B140/1000</f>
        <v>6.8729463455676501E-2</v>
      </c>
      <c r="O140" s="394">
        <f>TableUK8!I137</f>
        <v>-3.0567584466109355E-4</v>
      </c>
      <c r="P140" s="307">
        <f>B140/(1-TableUK9!$H137-TableUK8!J137)</f>
        <v>0.19839766223917973</v>
      </c>
      <c r="Q140" s="236">
        <f>H140/(1-TableUK9!$H137-TableUK8!J137)</f>
        <v>0.83996370741328374</v>
      </c>
      <c r="R140" s="1289">
        <f>(B140-G140)/(1-TableUK9!H137-TableUK8!J137)</f>
        <v>0.16003629258671623</v>
      </c>
      <c r="S140" s="193">
        <f t="shared" si="9"/>
        <v>0.83996370741328374</v>
      </c>
      <c r="U140" s="2024">
        <f t="shared" si="12"/>
        <v>0</v>
      </c>
      <c r="AI140" s="197"/>
    </row>
    <row r="141" spans="1:35">
      <c r="A141" s="198">
        <v>1982</v>
      </c>
      <c r="B141" s="303">
        <f t="shared" si="6"/>
        <v>0.1934283294480926</v>
      </c>
      <c r="C141" s="308">
        <f>TableUK10!G138</f>
        <v>0.11979820810935159</v>
      </c>
      <c r="D141" s="308">
        <f>TableUK9!B138</f>
        <v>3.4892201378830125E-2</v>
      </c>
      <c r="E141" s="308">
        <f>TableUK10!C138*TableUK9!C138</f>
        <v>1.7517004357085884E-2</v>
      </c>
      <c r="F141" s="308">
        <f>TableUK8!F138</f>
        <v>-9.7968495747429163E-3</v>
      </c>
      <c r="G141" s="1202">
        <f>DataUK1!GY141/DataUK1!B141</f>
        <v>3.1017765177567897E-2</v>
      </c>
      <c r="H141" s="303">
        <f t="shared" si="13"/>
        <v>0.69875180509083479</v>
      </c>
      <c r="I141" s="307">
        <f>DataUK1!BJ141/DataUK1!B141</f>
        <v>0.66658418748217607</v>
      </c>
      <c r="J141" s="308">
        <f>TableUK10!F138</f>
        <v>0.47465300244186082</v>
      </c>
      <c r="K141" s="308">
        <f>TableUK9!F138</f>
        <v>0.15509301974467798</v>
      </c>
      <c r="L141" s="308">
        <f>TableUK10!B138*TableUK9!C138</f>
        <v>6.9404199303953806E-2</v>
      </c>
      <c r="M141" s="308"/>
      <c r="N141" s="308">
        <f>DataUK2!AW141*DataUK2!AE141*DataUK2!Y141*DataUK2!E141/DataUK1!B141/1000</f>
        <v>7.0346028374697958E-2</v>
      </c>
      <c r="O141" s="394">
        <f>TableUK8!I138</f>
        <v>-3.9841639965778128E-4</v>
      </c>
      <c r="P141" s="307">
        <f>B141/(1-TableUK9!$H138-TableUK8!J138)</f>
        <v>0.22461307684814377</v>
      </c>
      <c r="Q141" s="236">
        <f>H141/(1-TableUK9!$H138-TableUK8!J138)</f>
        <v>0.81140540965466379</v>
      </c>
      <c r="R141" s="1289">
        <f>(B141-G141)/(1-TableUK9!H138-TableUK8!J138)</f>
        <v>0.18859459034533621</v>
      </c>
      <c r="S141" s="193">
        <f t="shared" si="9"/>
        <v>0.81140540965466379</v>
      </c>
      <c r="U141" s="2024">
        <f t="shared" si="12"/>
        <v>0</v>
      </c>
      <c r="AI141" s="197"/>
    </row>
    <row r="142" spans="1:35">
      <c r="A142" s="198">
        <v>1983</v>
      </c>
      <c r="B142" s="303">
        <f t="shared" ref="B142:B169" si="14">C142+D142+E142+F142+G142</f>
        <v>0.22100189358114714</v>
      </c>
      <c r="C142" s="308">
        <f>TableUK10!G139</f>
        <v>0.14062103199387591</v>
      </c>
      <c r="D142" s="308">
        <f>TableUK9!B139</f>
        <v>3.5160825646000995E-2</v>
      </c>
      <c r="E142" s="308">
        <f>TableUK10!C139*TableUK9!C139</f>
        <v>2.0315930406139236E-2</v>
      </c>
      <c r="F142" s="308">
        <f>TableUK8!F139</f>
        <v>-3.9837463150346588E-3</v>
      </c>
      <c r="G142" s="1202">
        <f>DataUK1!GY142/DataUK1!B142</f>
        <v>2.8887851850165611E-2</v>
      </c>
      <c r="H142" s="303">
        <f t="shared" si="13"/>
        <v>0.67473018620001246</v>
      </c>
      <c r="I142" s="307">
        <f>DataUK1!BJ142/DataUK1!B142</f>
        <v>0.64579563001999463</v>
      </c>
      <c r="J142" s="308">
        <f>TableUK10!F139</f>
        <v>0.45691154978226967</v>
      </c>
      <c r="K142" s="308">
        <f>TableUK9!F139</f>
        <v>0.15214496283733794</v>
      </c>
      <c r="L142" s="308">
        <f>TableUK10!B139*TableUK9!C139</f>
        <v>6.6011343506155423E-2</v>
      </c>
      <c r="M142" s="308"/>
      <c r="N142" s="308">
        <f>DataUK2!AW142*DataUK2!AE142*DataUK2!Y142*DataUK2!E142/DataUK1!B142/1000</f>
        <v>7.2809093641759026E-2</v>
      </c>
      <c r="O142" s="394">
        <f>TableUK8!I139</f>
        <v>-3.376699257505568E-4</v>
      </c>
      <c r="P142" s="307">
        <f>B142/(1-TableUK9!$H139-TableUK8!J139)</f>
        <v>0.25494995116785879</v>
      </c>
      <c r="Q142" s="236">
        <f>H142/(1-TableUK9!$H139-TableUK8!J139)</f>
        <v>0.77837535794692414</v>
      </c>
      <c r="R142" s="1289">
        <f>(B142-G142)/(1-TableUK9!H139-TableUK8!J139)</f>
        <v>0.22162464205307594</v>
      </c>
      <c r="S142" s="193">
        <f t="shared" ref="S142:S169" si="15">Q142</f>
        <v>0.77837535794692414</v>
      </c>
      <c r="U142" s="2024">
        <f t="shared" si="12"/>
        <v>0</v>
      </c>
      <c r="AI142" s="197"/>
    </row>
    <row r="143" spans="1:35">
      <c r="A143" s="198">
        <v>1984</v>
      </c>
      <c r="B143" s="303">
        <f t="shared" si="14"/>
        <v>0.22812343086310516</v>
      </c>
      <c r="C143" s="308">
        <f>TableUK10!G140</f>
        <v>0.13955075253156474</v>
      </c>
      <c r="D143" s="308">
        <f>TableUK9!B140</f>
        <v>3.615538863687863E-2</v>
      </c>
      <c r="E143" s="308">
        <f>TableUK10!C140*TableUK9!C140</f>
        <v>2.1804650022734778E-2</v>
      </c>
      <c r="F143" s="308">
        <f>TableUK8!F140</f>
        <v>-1.146567156829988E-3</v>
      </c>
      <c r="G143" s="1202">
        <f>DataUK1!GY143/DataUK1!B143</f>
        <v>3.1759206828757026E-2</v>
      </c>
      <c r="H143" s="303">
        <f t="shared" si="13"/>
        <v>0.67021545359035861</v>
      </c>
      <c r="I143" s="307">
        <f>DataUK1!BJ143/DataUK1!B143</f>
        <v>0.63977040520246053</v>
      </c>
      <c r="J143" s="308">
        <f>TableUK10!F140</f>
        <v>0.45260560308649472</v>
      </c>
      <c r="K143" s="308">
        <f>TableUK9!F140</f>
        <v>0.14722133318327138</v>
      </c>
      <c r="L143" s="308">
        <f>TableUK10!B140*TableUK9!C140</f>
        <v>7.071912257440241E-2</v>
      </c>
      <c r="M143" s="308"/>
      <c r="N143" s="308">
        <f>DataUK2!AW143*DataUK2!AE143*DataUK2!Y143*DataUK2!E143/DataUK1!B143/1000</f>
        <v>8.0044375596222336E-2</v>
      </c>
      <c r="O143" s="394">
        <f>TableUK8!I140</f>
        <v>-3.3060525380987382E-4</v>
      </c>
      <c r="P143" s="307">
        <f>B143/(1-TableUK9!$H140-TableUK8!J140)</f>
        <v>0.26324576580008319</v>
      </c>
      <c r="Q143" s="236">
        <f>H143/(1-TableUK9!$H140-TableUK8!J140)</f>
        <v>0.77340315137255222</v>
      </c>
      <c r="R143" s="1289">
        <f>(B143-G143)/(1-TableUK9!H140-TableUK8!J140)</f>
        <v>0.22659684862744772</v>
      </c>
      <c r="S143" s="193">
        <f t="shared" si="15"/>
        <v>0.77340315137255222</v>
      </c>
      <c r="U143" s="2024">
        <f t="shared" si="12"/>
        <v>0</v>
      </c>
      <c r="AI143" s="197"/>
    </row>
    <row r="144" spans="1:35">
      <c r="A144" s="198">
        <v>1985</v>
      </c>
      <c r="B144" s="303">
        <f t="shared" si="14"/>
        <v>0.23786347203270003</v>
      </c>
      <c r="C144" s="308">
        <f>TableUK10!G141</f>
        <v>0.15514663666863679</v>
      </c>
      <c r="D144" s="308">
        <f>TableUK9!B141</f>
        <v>3.691869027196424E-2</v>
      </c>
      <c r="E144" s="308">
        <f>TableUK10!C141*TableUK9!C141</f>
        <v>2.349978824754994E-2</v>
      </c>
      <c r="F144" s="308">
        <f>TableUK8!F141</f>
        <v>-8.4009260660546561E-3</v>
      </c>
      <c r="G144" s="1202">
        <f>DataUK1!GY144/DataUK1!B144</f>
        <v>3.0699282910603715E-2</v>
      </c>
      <c r="H144" s="303">
        <f t="shared" si="13"/>
        <v>0.66385631892624197</v>
      </c>
      <c r="I144" s="307">
        <f>DataUK1!BJ144/DataUK1!B144</f>
        <v>0.63549834010065653</v>
      </c>
      <c r="J144" s="308">
        <f>TableUK10!F141</f>
        <v>0.45365316073067918</v>
      </c>
      <c r="K144" s="308">
        <f>TableUK9!F141</f>
        <v>0.14187550915923119</v>
      </c>
      <c r="L144" s="308">
        <f>TableUK10!B141*TableUK9!C141</f>
        <v>6.8714046555659505E-2</v>
      </c>
      <c r="M144" s="308"/>
      <c r="N144" s="308">
        <f>DataUK2!AW144*DataUK2!AE144*DataUK2!Y144*DataUK2!E144/DataUK1!B144/1000</f>
        <v>8.2651235416753649E-2</v>
      </c>
      <c r="O144" s="394">
        <f>TableUK8!I141</f>
        <v>-3.863975193279259E-4</v>
      </c>
      <c r="P144" s="307">
        <f>B144/(1-TableUK9!$H141-TableUK8!J141)</f>
        <v>0.27308596047373379</v>
      </c>
      <c r="Q144" s="236">
        <f>H144/(1-TableUK9!$H141-TableUK8!J141)</f>
        <v>0.76215922907913958</v>
      </c>
      <c r="R144" s="1289">
        <f>(B144-G144)/(1-TableUK9!H141-TableUK8!J141)</f>
        <v>0.23784077092086042</v>
      </c>
      <c r="S144" s="193">
        <f t="shared" si="15"/>
        <v>0.76215922907913958</v>
      </c>
      <c r="U144" s="2024">
        <f t="shared" si="12"/>
        <v>0</v>
      </c>
      <c r="AI144" s="197"/>
    </row>
    <row r="145" spans="1:35">
      <c r="A145" s="198">
        <v>1986</v>
      </c>
      <c r="B145" s="303">
        <f t="shared" si="14"/>
        <v>0.23318724761680562</v>
      </c>
      <c r="C145" s="308">
        <f>TableUK10!G142</f>
        <v>0.14146178871343595</v>
      </c>
      <c r="D145" s="308">
        <f>TableUK9!B142</f>
        <v>3.4086420583320266E-2</v>
      </c>
      <c r="E145" s="308">
        <f>TableUK10!C142*TableUK9!C142</f>
        <v>2.3337707078511145E-2</v>
      </c>
      <c r="F145" s="308">
        <f>TableUK8!F142</f>
        <v>2.1124074231496364E-4</v>
      </c>
      <c r="G145" s="1202">
        <f>DataUK1!GY145/DataUK1!B145</f>
        <v>3.4090090499223284E-2</v>
      </c>
      <c r="H145" s="303">
        <f t="shared" si="13"/>
        <v>0.66615207583753011</v>
      </c>
      <c r="I145" s="307">
        <f>DataUK1!BJ145/DataUK1!B145</f>
        <v>0.63338007644677508</v>
      </c>
      <c r="J145" s="308">
        <f>TableUK10!F142</f>
        <v>0.45129572122960832</v>
      </c>
      <c r="K145" s="308">
        <f>TableUK9!F142</f>
        <v>0.14086782290685329</v>
      </c>
      <c r="L145" s="308">
        <f>TableUK10!B142*TableUK9!C142</f>
        <v>7.445266628981681E-2</v>
      </c>
      <c r="M145" s="308"/>
      <c r="N145" s="308">
        <f>DataUK2!AW145*DataUK2!AE145*DataUK2!Y145*DataUK2!E145/DataUK1!B145/1000</f>
        <v>8.5336817036000531E-2</v>
      </c>
      <c r="O145" s="394">
        <f>TableUK8!I142</f>
        <v>-4.641345887483708E-4</v>
      </c>
      <c r="P145" s="307">
        <f>B145/(1-TableUK9!$H142-TableUK8!J142)</f>
        <v>0.26950298103171272</v>
      </c>
      <c r="Q145" s="236">
        <f>H145/(1-TableUK9!$H142-TableUK8!J142)</f>
        <v>0.76989617611378913</v>
      </c>
      <c r="R145" s="1289">
        <f>(B145-G145)/(1-TableUK9!H142-TableUK8!J142)</f>
        <v>0.23010382388621101</v>
      </c>
      <c r="S145" s="193">
        <f t="shared" si="15"/>
        <v>0.76989617611378913</v>
      </c>
      <c r="U145" s="2024">
        <f t="shared" si="12"/>
        <v>0</v>
      </c>
      <c r="AI145" s="197"/>
    </row>
    <row r="146" spans="1:35">
      <c r="A146" s="198">
        <v>1987</v>
      </c>
      <c r="B146" s="303">
        <f t="shared" si="14"/>
        <v>0.23314360594455186</v>
      </c>
      <c r="C146" s="308">
        <f>TableUK10!G143</f>
        <v>0.15186122310198977</v>
      </c>
      <c r="D146" s="308">
        <f>TableUK9!B143</f>
        <v>3.1376945713246E-2</v>
      </c>
      <c r="E146" s="308">
        <f>TableUK10!C143*TableUK9!C143</f>
        <v>2.4598657371475544E-2</v>
      </c>
      <c r="F146" s="308">
        <f>TableUK8!F143</f>
        <v>-1.9858055705926679E-3</v>
      </c>
      <c r="G146" s="1202">
        <f>DataUK1!GY146/DataUK1!B146</f>
        <v>2.7292585328433198E-2</v>
      </c>
      <c r="H146" s="303">
        <f t="shared" si="13"/>
        <v>0.65832531891855006</v>
      </c>
      <c r="I146" s="307">
        <f>DataUK1!BJ146/DataUK1!B146</f>
        <v>0.62668215413659623</v>
      </c>
      <c r="J146" s="308">
        <f>TableUK10!F143</f>
        <v>0.44618330889613694</v>
      </c>
      <c r="K146" s="308">
        <f>TableUK9!F143</f>
        <v>0.14034204820883059</v>
      </c>
      <c r="L146" s="308">
        <f>TableUK10!B143*TableUK9!C143</f>
        <v>7.2273290812600477E-2</v>
      </c>
      <c r="M146" s="308"/>
      <c r="N146" s="308">
        <f>DataUK2!AW146*DataUK2!AE146*DataUK2!Y146*DataUK2!E146/DataUK1!B146/1000</f>
        <v>8.9418544915545142E-2</v>
      </c>
      <c r="O146" s="394">
        <f>TableUK8!I143</f>
        <v>-4.7332899901797833E-4</v>
      </c>
      <c r="P146" s="307">
        <f>B146/(1-TableUK9!$H143-TableUK8!J143)</f>
        <v>0.26978707386283252</v>
      </c>
      <c r="Q146" s="236">
        <f>H146/(1-TableUK9!$H143-TableUK8!J143)</f>
        <v>0.76179512074241384</v>
      </c>
      <c r="R146" s="1289">
        <f>(B146-G146)/(1-TableUK9!H143-TableUK8!J143)</f>
        <v>0.23820487925758632</v>
      </c>
      <c r="S146" s="193">
        <f t="shared" si="15"/>
        <v>0.76179512074241384</v>
      </c>
      <c r="U146" s="2024">
        <f t="shared" si="12"/>
        <v>0</v>
      </c>
      <c r="AI146" s="197"/>
    </row>
    <row r="147" spans="1:35">
      <c r="A147" s="198">
        <v>1988</v>
      </c>
      <c r="B147" s="303">
        <f t="shared" si="14"/>
        <v>0.23816025358117562</v>
      </c>
      <c r="C147" s="308">
        <f>TableUK10!G144</f>
        <v>0.15780715813576973</v>
      </c>
      <c r="D147" s="308">
        <f>TableUK9!B144</f>
        <v>3.0144993767874616E-2</v>
      </c>
      <c r="E147" s="308">
        <f>TableUK10!C144*TableUK9!C144</f>
        <v>2.482940930568546E-2</v>
      </c>
      <c r="F147" s="308">
        <f>TableUK8!F144</f>
        <v>-2.8801955041796775E-3</v>
      </c>
      <c r="G147" s="1202">
        <f>DataUK1!GY147/DataUK1!B147</f>
        <v>2.8258887876025523E-2</v>
      </c>
      <c r="H147" s="303">
        <f t="shared" si="13"/>
        <v>0.6524068637019369</v>
      </c>
      <c r="I147" s="307">
        <f>DataUK1!BJ147/DataUK1!B147</f>
        <v>0.62369324463236298</v>
      </c>
      <c r="J147" s="308">
        <f>TableUK10!F144</f>
        <v>0.44692245776683021</v>
      </c>
      <c r="K147" s="308">
        <f>TableUK9!F144</f>
        <v>0.13532070055664386</v>
      </c>
      <c r="L147" s="308">
        <f>TableUK10!B144*TableUK9!C144</f>
        <v>7.0318867425826007E-2</v>
      </c>
      <c r="M147" s="308"/>
      <c r="N147" s="308">
        <f>DataUK2!AW147*DataUK2!AE147*DataUK2!Y147*DataUK2!E147/DataUK1!B147/1000</f>
        <v>9.2652282642413861E-2</v>
      </c>
      <c r="O147" s="394">
        <f>TableUK8!I144</f>
        <v>-1.5516204736321497E-4</v>
      </c>
      <c r="P147" s="307">
        <f>B147/(1-TableUK9!$H144-TableUK8!J144)</f>
        <v>0.27618923890466845</v>
      </c>
      <c r="Q147" s="236">
        <f>H147/(1-TableUK9!$H144-TableUK8!J144)</f>
        <v>0.75658197550836792</v>
      </c>
      <c r="R147" s="1289">
        <f>(B147-G147)/(1-TableUK9!H144-TableUK8!J144)</f>
        <v>0.24341802449163197</v>
      </c>
      <c r="S147" s="193">
        <f t="shared" si="15"/>
        <v>0.75658197550836792</v>
      </c>
      <c r="U147" s="2024">
        <f t="shared" si="12"/>
        <v>0</v>
      </c>
      <c r="AI147" s="197"/>
    </row>
    <row r="148" spans="1:35">
      <c r="A148" s="214">
        <v>1989</v>
      </c>
      <c r="B148" s="565">
        <f t="shared" si="14"/>
        <v>0.22828495709617924</v>
      </c>
      <c r="C148" s="550">
        <f>TableUK10!G145</f>
        <v>0.15284278801109194</v>
      </c>
      <c r="D148" s="550">
        <f>TableUK9!B145</f>
        <v>2.9878866953580593E-2</v>
      </c>
      <c r="E148" s="550">
        <f>TableUK10!C145*TableUK9!C145</f>
        <v>2.4672473984703895E-2</v>
      </c>
      <c r="F148" s="550">
        <f>TableUK8!F145</f>
        <v>-5.1141775011628162E-3</v>
      </c>
      <c r="G148" s="1960">
        <f>DataUK1!GY148/DataUK1!B148</f>
        <v>2.6005005647965623E-2</v>
      </c>
      <c r="H148" s="565">
        <f t="shared" si="13"/>
        <v>0.66466283798233861</v>
      </c>
      <c r="I148" s="568">
        <f>DataUK1!BJ148/DataUK1!B148</f>
        <v>0.63405834016257279</v>
      </c>
      <c r="J148" s="550">
        <f>TableUK10!F145</f>
        <v>0.45923497751888193</v>
      </c>
      <c r="K148" s="550">
        <f>TableUK9!F145</f>
        <v>0.13160202883784802</v>
      </c>
      <c r="L148" s="550">
        <f>TableUK10!B145*TableUK9!C145</f>
        <v>7.4131486235899005E-2</v>
      </c>
      <c r="M148" s="550"/>
      <c r="N148" s="550">
        <f>DataUK2!AW148*DataUK2!AE148*DataUK2!Y148*DataUK2!E148/DataUK1!B148/1000</f>
        <v>0.10053645822552514</v>
      </c>
      <c r="O148" s="553">
        <f>TableUK8!I145</f>
        <v>-3.0565461029037188E-4</v>
      </c>
      <c r="P148" s="568">
        <f>B148/(1-TableUK9!$H145-TableUK8!J145)</f>
        <v>0.26332182455329872</v>
      </c>
      <c r="Q148" s="244">
        <f>H148/(1-TableUK9!$H145-TableUK8!J145)</f>
        <v>0.76667439430336537</v>
      </c>
      <c r="R148" s="1291">
        <f>(B148-G148)/(1-TableUK9!H145-TableUK8!J145)</f>
        <v>0.23332560569663471</v>
      </c>
      <c r="S148" s="886">
        <f t="shared" si="15"/>
        <v>0.76667439430336537</v>
      </c>
      <c r="U148" s="2024">
        <f t="shared" si="12"/>
        <v>0</v>
      </c>
      <c r="AI148" s="197"/>
    </row>
    <row r="149" spans="1:35">
      <c r="A149" s="198">
        <v>1990</v>
      </c>
      <c r="B149" s="303">
        <f t="shared" si="14"/>
        <v>0.20787107245057432</v>
      </c>
      <c r="C149" s="308">
        <f>TableUK10!G146</f>
        <v>0.13574838559581009</v>
      </c>
      <c r="D149" s="308">
        <f>TableUK9!B146</f>
        <v>3.3385955665781258E-2</v>
      </c>
      <c r="E149" s="308">
        <f>TableUK10!C146*TableUK9!C146</f>
        <v>2.3864814924561318E-2</v>
      </c>
      <c r="F149" s="308">
        <f>TableUK8!F146</f>
        <v>-9.4398073340674956E-3</v>
      </c>
      <c r="G149" s="1202">
        <f>DataUK1!GY149/DataUK1!B149</f>
        <v>2.4311723598489137E-2</v>
      </c>
      <c r="H149" s="303">
        <f t="shared" si="13"/>
        <v>0.68712187754067744</v>
      </c>
      <c r="I149" s="307">
        <f>DataUK1!BJ149/DataUK1!B149</f>
        <v>0.65066331834134394</v>
      </c>
      <c r="J149" s="308">
        <f>TableUK10!F146</f>
        <v>0.47129668701048755</v>
      </c>
      <c r="K149" s="308">
        <f>TableUK9!F146</f>
        <v>0.13319679301791834</v>
      </c>
      <c r="L149" s="308">
        <f>TableUK10!B146*TableUK9!C146</f>
        <v>8.2854821150899496E-2</v>
      </c>
      <c r="M149" s="308"/>
      <c r="N149" s="308">
        <f>DataUK2!AW149*DataUK2!AE149*DataUK2!Y149*DataUK2!E149/DataUK1!B149/1000</f>
        <v>0.10388222055044199</v>
      </c>
      <c r="O149" s="394">
        <f>TableUK8!I146</f>
        <v>-2.2642363862787276E-4</v>
      </c>
      <c r="P149" s="307">
        <f>B149/(1-TableUK9!$H146-TableUK8!J146)</f>
        <v>0.23874532509651708</v>
      </c>
      <c r="Q149" s="236">
        <f>H149/(1-TableUK9!$H146-TableUK8!J146)</f>
        <v>0.78917732082891845</v>
      </c>
      <c r="R149" s="1289">
        <f>(B149-G149)/(1-TableUK9!H146-TableUK8!J146)</f>
        <v>0.2108226791710815</v>
      </c>
      <c r="S149" s="193">
        <f t="shared" si="15"/>
        <v>0.78917732082891845</v>
      </c>
      <c r="U149" s="2024">
        <f t="shared" si="12"/>
        <v>0</v>
      </c>
      <c r="AI149" s="197"/>
    </row>
    <row r="150" spans="1:35">
      <c r="A150" s="198">
        <v>1991</v>
      </c>
      <c r="B150" s="303">
        <f t="shared" si="14"/>
        <v>0.1817883985250493</v>
      </c>
      <c r="C150" s="308">
        <f>TableUK10!G147</f>
        <v>0.11548597233415295</v>
      </c>
      <c r="D150" s="308">
        <f>TableUK9!B147</f>
        <v>3.7132991082877195E-2</v>
      </c>
      <c r="E150" s="308">
        <f>TableUK10!C147*TableUK9!C147</f>
        <v>2.0801719284214707E-2</v>
      </c>
      <c r="F150" s="308">
        <f>TableUK8!F147</f>
        <v>-1.1084914927895005E-2</v>
      </c>
      <c r="G150" s="1202">
        <f>DataUK1!GY150/DataUK1!B150</f>
        <v>1.9452630751699479E-2</v>
      </c>
      <c r="H150" s="303">
        <f t="shared" si="13"/>
        <v>0.69538752194333842</v>
      </c>
      <c r="I150" s="307">
        <f>DataUK1!BJ150/DataUK1!B150</f>
        <v>0.65956226177845889</v>
      </c>
      <c r="J150" s="308">
        <f>TableUK10!F147</f>
        <v>0.47215018271837789</v>
      </c>
      <c r="K150" s="308">
        <f>TableUK9!F147</f>
        <v>0.13831584738103658</v>
      </c>
      <c r="L150" s="308">
        <f>TableUK10!B147*TableUK9!C147</f>
        <v>8.5045268809620017E-2</v>
      </c>
      <c r="M150" s="308"/>
      <c r="N150" s="308">
        <f>DataUK2!AW150*DataUK2!AE150*DataUK2!Y150*DataUK2!E150/DataUK1!B150/1000</f>
        <v>0.10505518938529405</v>
      </c>
      <c r="O150" s="394">
        <f>TableUK8!I147</f>
        <v>-1.2377696569609807E-4</v>
      </c>
      <c r="P150" s="307">
        <f>B150/(1-TableUK9!$H147-TableUK8!J147)</f>
        <v>0.21194294325981891</v>
      </c>
      <c r="Q150" s="236">
        <f>H150/(1-TableUK9!$H147-TableUK8!J147)</f>
        <v>0.8107364347924253</v>
      </c>
      <c r="R150" s="1289">
        <f>(B150-G150)/(1-TableUK9!H147-TableUK8!J147)</f>
        <v>0.18926356520757456</v>
      </c>
      <c r="S150" s="193">
        <f t="shared" si="15"/>
        <v>0.8107364347924253</v>
      </c>
      <c r="U150" s="2024">
        <f t="shared" si="12"/>
        <v>0</v>
      </c>
      <c r="AI150" s="197"/>
    </row>
    <row r="151" spans="1:35">
      <c r="A151" s="198">
        <v>1992</v>
      </c>
      <c r="B151" s="303">
        <f t="shared" si="14"/>
        <v>0.1890571590760835</v>
      </c>
      <c r="C151" s="308">
        <f>TableUK10!G148</f>
        <v>0.10826953129523571</v>
      </c>
      <c r="D151" s="308">
        <f>TableUK9!B148</f>
        <v>4.2196284850937606E-2</v>
      </c>
      <c r="E151" s="308">
        <f>TableUK10!C148*TableUK9!C148</f>
        <v>2.1275438969771517E-2</v>
      </c>
      <c r="F151" s="308">
        <f>TableUK8!F148</f>
        <v>-1.9395757622233487E-3</v>
      </c>
      <c r="G151" s="1202">
        <f>DataUK1!GY151/DataUK1!B151</f>
        <v>1.9255479722361982E-2</v>
      </c>
      <c r="H151" s="303">
        <f t="shared" si="13"/>
        <v>0.69029075443043375</v>
      </c>
      <c r="I151" s="307">
        <f>DataUK1!BJ151/DataUK1!B151</f>
        <v>0.65004030651656308</v>
      </c>
      <c r="J151" s="308">
        <f>TableUK10!F148</f>
        <v>0.45821682474427339</v>
      </c>
      <c r="K151" s="308">
        <f>TableUK9!F148</f>
        <v>0.14212395703381445</v>
      </c>
      <c r="L151" s="308">
        <f>TableUK10!B148*TableUK9!C148</f>
        <v>9.0041620880262047E-2</v>
      </c>
      <c r="M151" s="308"/>
      <c r="N151" s="308">
        <f>DataUK2!AW151*DataUK2!AE151*DataUK2!Y151*DataUK2!E151/DataUK1!B151/1000</f>
        <v>0.10322309892698031</v>
      </c>
      <c r="O151" s="394">
        <f>TableUK8!I148</f>
        <v>-9.1648227916050223E-5</v>
      </c>
      <c r="P151" s="307">
        <f>B151/(1-TableUK9!$H148-TableUK8!J148)</f>
        <v>0.21981028044193721</v>
      </c>
      <c r="Q151" s="236">
        <f>H151/(1-TableUK9!$H148-TableUK8!J148)</f>
        <v>0.80257740600432459</v>
      </c>
      <c r="R151" s="1289">
        <f>(B151-G151)/(1-TableUK9!H148-TableUK8!J148)</f>
        <v>0.1974225939956753</v>
      </c>
      <c r="S151" s="193">
        <f t="shared" si="15"/>
        <v>0.80257740600432459</v>
      </c>
      <c r="U151" s="2024">
        <f t="shared" si="12"/>
        <v>0</v>
      </c>
      <c r="AI151" s="197"/>
    </row>
    <row r="152" spans="1:35">
      <c r="A152" s="198">
        <v>1993</v>
      </c>
      <c r="B152" s="303">
        <f t="shared" si="14"/>
        <v>0.21528924070402555</v>
      </c>
      <c r="C152" s="308">
        <f>TableUK10!G149</f>
        <v>0.13067814070220643</v>
      </c>
      <c r="D152" s="308">
        <f>TableUK9!B149</f>
        <v>4.2707208235808335E-2</v>
      </c>
      <c r="E152" s="308">
        <f>TableUK10!C149*TableUK9!C149</f>
        <v>2.610734952464986E-2</v>
      </c>
      <c r="F152" s="308">
        <f>TableUK8!F149</f>
        <v>-4.5247180711590522E-3</v>
      </c>
      <c r="G152" s="1202">
        <f>DataUK1!GY152/DataUK1!B152</f>
        <v>2.0321260312519986E-2</v>
      </c>
      <c r="H152" s="303">
        <f t="shared" si="13"/>
        <v>0.6693988433168091</v>
      </c>
      <c r="I152" s="307">
        <f>DataUK1!BJ152/DataUK1!B152</f>
        <v>0.63348717730073123</v>
      </c>
      <c r="J152" s="308">
        <f>TableUK10!F149</f>
        <v>0.44359824340744847</v>
      </c>
      <c r="K152" s="308">
        <f>TableUK9!F149</f>
        <v>0.1371147683102745</v>
      </c>
      <c r="L152" s="308">
        <f>TableUK10!B149*TableUK9!C149</f>
        <v>8.8623654476003899E-2</v>
      </c>
      <c r="M152" s="308"/>
      <c r="N152" s="308">
        <f>DataUK2!AW152*DataUK2!AE152*DataUK2!Y152*DataUK2!E152/DataUK1!B152/1000</f>
        <v>0.10273505440427565</v>
      </c>
      <c r="O152" s="394">
        <f>TableUK8!I149</f>
        <v>6.217712308227988E-5</v>
      </c>
      <c r="P152" s="307">
        <f>B152/(1-TableUK9!$H149-TableUK8!J149)</f>
        <v>0.24907161496595809</v>
      </c>
      <c r="Q152" s="236">
        <f>H152/(1-TableUK9!$H149-TableUK8!J149)</f>
        <v>0.77443838073857096</v>
      </c>
      <c r="R152" s="1289">
        <f>(B152-G152)/(1-TableUK9!H149-TableUK8!J149)</f>
        <v>0.22556161926142895</v>
      </c>
      <c r="S152" s="193">
        <f t="shared" si="15"/>
        <v>0.77443838073857096</v>
      </c>
      <c r="U152" s="2024">
        <f t="shared" si="12"/>
        <v>0</v>
      </c>
      <c r="AI152" s="197"/>
    </row>
    <row r="153" spans="1:35">
      <c r="A153" s="198">
        <v>1994</v>
      </c>
      <c r="B153" s="303">
        <f t="shared" si="14"/>
        <v>0.24495692754525719</v>
      </c>
      <c r="C153" s="308">
        <f>TableUK10!G150</f>
        <v>0.14748614430456661</v>
      </c>
      <c r="D153" s="308">
        <f>TableUK9!B150</f>
        <v>4.2727076299040184E-2</v>
      </c>
      <c r="E153" s="308">
        <f>TableUK10!C150*TableUK9!C150</f>
        <v>2.8797346180063178E-2</v>
      </c>
      <c r="F153" s="308">
        <f>TableUK8!F150</f>
        <v>2.5155797245266544E-3</v>
      </c>
      <c r="G153" s="1202">
        <f>DataUK1!GY153/DataUK1!B153</f>
        <v>2.3430781037060561E-2</v>
      </c>
      <c r="H153" s="303">
        <f t="shared" si="13"/>
        <v>0.64073883450504787</v>
      </c>
      <c r="I153" s="307">
        <f>DataUK1!BJ153/DataUK1!B153</f>
        <v>0.61053004141362022</v>
      </c>
      <c r="J153" s="308">
        <f>TableUK10!F150</f>
        <v>0.43105558422313078</v>
      </c>
      <c r="K153" s="308">
        <f>TableUK9!F150</f>
        <v>0.12579883300916922</v>
      </c>
      <c r="L153" s="308">
        <f>TableUK10!B150*TableUK9!C150</f>
        <v>8.4165580029598244E-2</v>
      </c>
      <c r="M153" s="308"/>
      <c r="N153" s="308">
        <f>DataUK2!AW153*DataUK2!AE153*DataUK2!Y153*DataUK2!E153/DataUK1!B153/1000</f>
        <v>0.10083968961873149</v>
      </c>
      <c r="O153" s="394">
        <f>TableUK8!I150</f>
        <v>-2.8116275685044788E-4</v>
      </c>
      <c r="P153" s="307">
        <f>B153/(1-TableUK9!$H150-TableUK8!J150)</f>
        <v>0.28408544118005258</v>
      </c>
      <c r="Q153" s="236">
        <f>H153/(1-TableUK9!$H150-TableUK8!J150)</f>
        <v>0.74308808616130739</v>
      </c>
      <c r="R153" s="1289">
        <f>(B153-G153)/(1-TableUK9!H150-TableUK8!J150)</f>
        <v>0.25691191383869266</v>
      </c>
      <c r="S153" s="193">
        <f t="shared" si="15"/>
        <v>0.74308808616130739</v>
      </c>
      <c r="U153" s="2024">
        <f t="shared" si="12"/>
        <v>0</v>
      </c>
      <c r="AI153" s="197"/>
    </row>
    <row r="154" spans="1:35">
      <c r="A154" s="198">
        <v>1995</v>
      </c>
      <c r="B154" s="303">
        <f t="shared" si="14"/>
        <v>0.25498500623948162</v>
      </c>
      <c r="C154" s="308">
        <f>TableUK10!G151</f>
        <v>0.15389634770913552</v>
      </c>
      <c r="D154" s="308">
        <f>TableUK9!B151</f>
        <v>4.439648919240579E-2</v>
      </c>
      <c r="E154" s="308">
        <f>TableUK10!C151*TableUK9!C151</f>
        <v>3.0342205602232584E-2</v>
      </c>
      <c r="F154" s="308">
        <f>TableUK8!F151</f>
        <v>-8.5530469054731668E-4</v>
      </c>
      <c r="G154" s="1202">
        <f>DataUK1!GY154/DataUK1!B154</f>
        <v>2.7205268426255036E-2</v>
      </c>
      <c r="H154" s="303">
        <f t="shared" si="13"/>
        <v>0.63348858818631293</v>
      </c>
      <c r="I154" s="307">
        <f>DataUK1!BJ154/DataUK1!B154</f>
        <v>0.60472078061434686</v>
      </c>
      <c r="J154" s="308">
        <f>TableUK10!F151</f>
        <v>0.42732494842324742</v>
      </c>
      <c r="K154" s="308">
        <f>TableUK9!F151</f>
        <v>0.12237592990887715</v>
      </c>
      <c r="L154" s="308">
        <f>TableUK10!B151*TableUK9!C151</f>
        <v>8.425139151792832E-2</v>
      </c>
      <c r="M154" s="308"/>
      <c r="N154" s="308">
        <f>DataUK2!AW154*DataUK2!AE154*DataUK2!Y154*DataUK2!E154/DataUK1!B154/1000</f>
        <v>9.7800804832086155E-2</v>
      </c>
      <c r="O154" s="394">
        <f>TableUK8!I151</f>
        <v>-4.6368166373993722E-4</v>
      </c>
      <c r="P154" s="307">
        <f>B154/(1-TableUK9!$H151-TableUK8!J151)</f>
        <v>0.29605756828867519</v>
      </c>
      <c r="Q154" s="236">
        <f>H154/(1-TableUK9!$H151-TableUK8!J151)</f>
        <v>0.73552987967033601</v>
      </c>
      <c r="R154" s="1289">
        <f>(B154-G154)/(1-TableUK9!H151-TableUK8!J151)</f>
        <v>0.2644701203296641</v>
      </c>
      <c r="S154" s="193">
        <f t="shared" si="15"/>
        <v>0.73552987967033601</v>
      </c>
      <c r="U154" s="2024">
        <f t="shared" si="12"/>
        <v>0</v>
      </c>
      <c r="AI154" s="197"/>
    </row>
    <row r="155" spans="1:35">
      <c r="A155" s="198">
        <v>1996</v>
      </c>
      <c r="B155" s="303">
        <f t="shared" si="14"/>
        <v>0.26953900054283914</v>
      </c>
      <c r="C155" s="308">
        <f>TableUK10!G152</f>
        <v>0.16916496721633117</v>
      </c>
      <c r="D155" s="308">
        <f>TableUK9!B152</f>
        <v>4.4389462170238522E-2</v>
      </c>
      <c r="E155" s="308">
        <f>TableUK10!C152*TableUK9!C152</f>
        <v>3.2999598778637805E-2</v>
      </c>
      <c r="F155" s="308">
        <f>TableUK8!F152</f>
        <v>-3.6010082823190494E-3</v>
      </c>
      <c r="G155" s="1202">
        <f>DataUK1!GY155/DataUK1!B155</f>
        <v>2.6585980659950641E-2</v>
      </c>
      <c r="H155" s="303">
        <f t="shared" si="13"/>
        <v>0.61868775172828472</v>
      </c>
      <c r="I155" s="307">
        <f>DataUK1!BJ155/DataUK1!B155</f>
        <v>0.59121968785406254</v>
      </c>
      <c r="J155" s="308">
        <f>TableUK10!F152</f>
        <v>0.41681963632744001</v>
      </c>
      <c r="K155" s="308">
        <f>TableUK9!F152</f>
        <v>0.12042152290446204</v>
      </c>
      <c r="L155" s="308">
        <f>TableUK10!B152*TableUK9!C152</f>
        <v>8.1310456817416901E-2</v>
      </c>
      <c r="M155" s="308"/>
      <c r="N155" s="308">
        <f>DataUK2!AW155*DataUK2!AE155*DataUK2!Y155*DataUK2!E155/DataUK1!B155/1000</f>
        <v>9.2036767374546927E-2</v>
      </c>
      <c r="O155" s="394">
        <f>TableUK8!I152</f>
        <v>1.3613567896572016E-4</v>
      </c>
      <c r="P155" s="307">
        <f>B155/(1-TableUK9!$H152-TableUK8!J152)</f>
        <v>0.31282062017426471</v>
      </c>
      <c r="Q155" s="236">
        <f>H155/(1-TableUK9!$H152-TableUK8!J152)</f>
        <v>0.71803444325343035</v>
      </c>
      <c r="R155" s="1289">
        <f>(B155-G155)/(1-TableUK9!H152-TableUK8!J152)</f>
        <v>0.28196555674656992</v>
      </c>
      <c r="S155" s="193">
        <f t="shared" si="15"/>
        <v>0.71803444325343035</v>
      </c>
      <c r="U155" s="2024">
        <f t="shared" si="12"/>
        <v>0</v>
      </c>
      <c r="AI155" s="197"/>
    </row>
    <row r="156" spans="1:35">
      <c r="A156" s="198">
        <v>1997</v>
      </c>
      <c r="B156" s="303">
        <f t="shared" si="14"/>
        <v>0.28079180276827387</v>
      </c>
      <c r="C156" s="308">
        <f>TableUK10!G153</f>
        <v>0.17633420868611627</v>
      </c>
      <c r="D156" s="308">
        <f>TableUK9!B153</f>
        <v>4.5130893559212439E-2</v>
      </c>
      <c r="E156" s="308">
        <f>TableUK10!C153*TableUK9!C153</f>
        <v>3.0967240406678476E-2</v>
      </c>
      <c r="F156" s="308">
        <f>TableUK8!F153</f>
        <v>3.3039617504990073E-4</v>
      </c>
      <c r="G156" s="1202">
        <f>DataUK1!GY156/DataUK1!B156</f>
        <v>2.8029063941216785E-2</v>
      </c>
      <c r="H156" s="303">
        <f t="shared" si="13"/>
        <v>0.60784557241160087</v>
      </c>
      <c r="I156" s="307">
        <f>DataUK1!BJ156/DataUK1!B156</f>
        <v>0.58674128341165455</v>
      </c>
      <c r="J156" s="308">
        <f>TableUK10!F153</f>
        <v>0.41981202915131871</v>
      </c>
      <c r="K156" s="308">
        <f>TableUK9!F153</f>
        <v>0.11419420195670991</v>
      </c>
      <c r="L156" s="308">
        <f>TableUK10!B153*TableUK9!C153</f>
        <v>7.3726023607170857E-2</v>
      </c>
      <c r="M156" s="308"/>
      <c r="N156" s="308">
        <f>DataUK2!AW156*DataUK2!AE156*DataUK2!Y156*DataUK2!E156/DataUK1!B156/1000</f>
        <v>8.7140880009521027E-2</v>
      </c>
      <c r="O156" s="394">
        <f>TableUK8!I153</f>
        <v>1.1331769640141224E-4</v>
      </c>
      <c r="P156" s="307">
        <f>B156/(1-TableUK9!$H153-TableUK8!J153)</f>
        <v>0.32627131193299225</v>
      </c>
      <c r="Q156" s="236">
        <f>H156/(1-TableUK9!$H153-TableUK8!J153)</f>
        <v>0.70629758564234602</v>
      </c>
      <c r="R156" s="1289">
        <f>(B156-G156)/(1-TableUK9!H153-TableUK8!J153)</f>
        <v>0.29370241435765387</v>
      </c>
      <c r="S156" s="193">
        <f t="shared" si="15"/>
        <v>0.70629758564234602</v>
      </c>
      <c r="U156" s="2024">
        <f t="shared" si="12"/>
        <v>0</v>
      </c>
      <c r="AI156" s="197"/>
    </row>
    <row r="157" spans="1:35">
      <c r="A157" s="198">
        <v>1998</v>
      </c>
      <c r="B157" s="303">
        <f t="shared" si="14"/>
        <v>0.27447431213301432</v>
      </c>
      <c r="C157" s="308">
        <f>TableUK10!G154</f>
        <v>0.15811561046537848</v>
      </c>
      <c r="D157" s="308">
        <f>TableUK9!B154</f>
        <v>4.7109197544928601E-2</v>
      </c>
      <c r="E157" s="308">
        <f>TableUK10!C154*TableUK9!C154</f>
        <v>2.8511928924630687E-2</v>
      </c>
      <c r="F157" s="308">
        <f>TableUK8!F154</f>
        <v>1.4974942428454039E-2</v>
      </c>
      <c r="G157" s="1202">
        <f>DataUK1!GY157/DataUK1!B157</f>
        <v>2.5762632769622512E-2</v>
      </c>
      <c r="H157" s="303">
        <f t="shared" si="13"/>
        <v>0.61373670914055956</v>
      </c>
      <c r="I157" s="307">
        <f>DataUK1!BJ157/DataUK1!B157</f>
        <v>0.59047609385937327</v>
      </c>
      <c r="J157" s="308">
        <f>TableUK10!F154</f>
        <v>0.42835385957615174</v>
      </c>
      <c r="K157" s="308">
        <f>TableUK9!F154</f>
        <v>0.10815334827995496</v>
      </c>
      <c r="L157" s="308">
        <f>TableUK10!B154*TableUK9!C154</f>
        <v>7.7242182241713031E-2</v>
      </c>
      <c r="M157" s="308"/>
      <c r="N157" s="308">
        <f>DataUK2!AW157*DataUK2!AE157*DataUK2!Y157*DataUK2!E157/DataUK1!B157/1000</f>
        <v>8.1886424230474472E-2</v>
      </c>
      <c r="O157" s="394">
        <f>TableUK8!I154</f>
        <v>-1.2680957260101651E-5</v>
      </c>
      <c r="P157" s="307">
        <f>B157/(1-TableUK9!$H154-TableUK8!J154)</f>
        <v>0.31825013043288536</v>
      </c>
      <c r="Q157" s="236">
        <f>H157/(1-TableUK9!$H154-TableUK8!J154)</f>
        <v>0.71162137621380417</v>
      </c>
      <c r="R157" s="1289">
        <f>(B157-G157)/(1-TableUK9!H154-TableUK8!J154)</f>
        <v>0.28837862378619578</v>
      </c>
      <c r="S157" s="193">
        <f t="shared" si="15"/>
        <v>0.71162137621380417</v>
      </c>
      <c r="U157" s="2024">
        <f t="shared" si="12"/>
        <v>0</v>
      </c>
      <c r="AI157" s="197"/>
    </row>
    <row r="158" spans="1:35">
      <c r="A158" s="380">
        <v>1999</v>
      </c>
      <c r="B158" s="565">
        <f t="shared" si="14"/>
        <v>0.24637241092396059</v>
      </c>
      <c r="C158" s="550">
        <f>TableUK10!G155</f>
        <v>0.15028397282583456</v>
      </c>
      <c r="D158" s="550">
        <f>TableUK9!B155</f>
        <v>4.9162091705572425E-2</v>
      </c>
      <c r="E158" s="550">
        <f>TableUK10!C155*TableUK9!C155</f>
        <v>2.7216350774722703E-2</v>
      </c>
      <c r="F158" s="550">
        <f>TableUK8!F155</f>
        <v>-1.5172802720606815E-3</v>
      </c>
      <c r="G158" s="1960">
        <f>DataUK1!GY158/DataUK1!B158</f>
        <v>2.1227275889891595E-2</v>
      </c>
      <c r="H158" s="565">
        <f t="shared" si="13"/>
        <v>0.63037511632422039</v>
      </c>
      <c r="I158" s="568">
        <f>DataUK1!BJ158/DataUK1!B158</f>
        <v>0.60556572094005456</v>
      </c>
      <c r="J158" s="550">
        <f>TableUK10!F155</f>
        <v>0.44108057698152775</v>
      </c>
      <c r="K158" s="550">
        <f>TableUK9!F155</f>
        <v>0.10916971933366616</v>
      </c>
      <c r="L158" s="550">
        <f>TableUK10!B155*TableUK9!C155</f>
        <v>7.98794673664808E-2</v>
      </c>
      <c r="M158" s="550"/>
      <c r="N158" s="550">
        <f>DataUK2!AW158*DataUK2!AE158*DataUK2!Y158*DataUK2!E158/DataUK1!B158/1000</f>
        <v>8.1344778650963373E-2</v>
      </c>
      <c r="O158" s="553">
        <f>TableUK8!I155</f>
        <v>2.4535264254561302E-4</v>
      </c>
      <c r="P158" s="568">
        <f>B158/(1-TableUK9!$H155-TableUK8!J155)</f>
        <v>0.2879796364058021</v>
      </c>
      <c r="Q158" s="244">
        <f>H158/(1-TableUK9!$H155-TableUK8!J155)</f>
        <v>0.73683248914726296</v>
      </c>
      <c r="R158" s="1291">
        <f>(B158-G158)/(1-TableUK9!H155-TableUK8!J155)</f>
        <v>0.2631675108527371</v>
      </c>
      <c r="S158" s="886">
        <f t="shared" si="15"/>
        <v>0.73683248914726296</v>
      </c>
      <c r="U158" s="2024">
        <f t="shared" si="12"/>
        <v>0</v>
      </c>
      <c r="AI158" s="197"/>
    </row>
    <row r="159" spans="1:35">
      <c r="A159" s="200">
        <v>2000</v>
      </c>
      <c r="B159" s="303">
        <f t="shared" si="14"/>
        <v>0.23144957151688014</v>
      </c>
      <c r="C159" s="308">
        <f>TableUK10!G156</f>
        <v>0.13677450473779856</v>
      </c>
      <c r="D159" s="308">
        <f>TableUK9!B156</f>
        <v>4.8448822753197569E-2</v>
      </c>
      <c r="E159" s="308">
        <f>TableUK10!C156*TableUK9!C156</f>
        <v>2.5176453643382758E-2</v>
      </c>
      <c r="F159" s="308">
        <f>TableUK8!F156</f>
        <v>2.1002294845344103E-3</v>
      </c>
      <c r="G159" s="1202">
        <f>DataUK1!GY159/DataUK1!B159</f>
        <v>1.8949560897966844E-2</v>
      </c>
      <c r="H159" s="303">
        <f t="shared" si="13"/>
        <v>0.64308691258543682</v>
      </c>
      <c r="I159" s="307">
        <f>DataUK1!BJ159/DataUK1!B159</f>
        <v>0.6166484600440898</v>
      </c>
      <c r="J159" s="308">
        <f>TableUK10!F156</f>
        <v>0.44953599177052939</v>
      </c>
      <c r="K159" s="308">
        <f>TableUK9!F156</f>
        <v>0.11062984874409057</v>
      </c>
      <c r="L159" s="308">
        <f>TableUK10!B156*TableUK9!C156</f>
        <v>8.2747307910485873E-2</v>
      </c>
      <c r="M159" s="308"/>
      <c r="N159" s="308">
        <f>DataUK2!AW159*DataUK2!AE159*DataUK2!Y159*DataUK2!E159/DataUK1!B159/1000</f>
        <v>8.0357920139470018E-2</v>
      </c>
      <c r="O159" s="394">
        <f>TableUK8!I156</f>
        <v>1.737641603310323E-4</v>
      </c>
      <c r="P159" s="307">
        <f>B159/(1-TableUK9!$H156-TableUK8!J156)</f>
        <v>0.27051555515838599</v>
      </c>
      <c r="Q159" s="236">
        <f>H159/(1-TableUK9!$H156-TableUK8!J156)</f>
        <v>0.75163247023101198</v>
      </c>
      <c r="R159" s="1289">
        <f>(B159-G159)/(1-TableUK9!H156-TableUK8!J156)</f>
        <v>0.24836752976898802</v>
      </c>
      <c r="S159" s="193">
        <f t="shared" si="15"/>
        <v>0.75163247023101198</v>
      </c>
      <c r="U159" s="2024">
        <f t="shared" si="12"/>
        <v>0</v>
      </c>
      <c r="AI159" s="197"/>
    </row>
    <row r="160" spans="1:35">
      <c r="A160" s="200">
        <v>2001</v>
      </c>
      <c r="B160" s="303">
        <f t="shared" si="14"/>
        <v>0.22952232878965256</v>
      </c>
      <c r="C160" s="308">
        <f>TableUK10!G157</f>
        <v>0.12885633891769932</v>
      </c>
      <c r="D160" s="308">
        <f>TableUK9!B157</f>
        <v>5.0882520613204023E-2</v>
      </c>
      <c r="E160" s="308">
        <f>TableUK10!C157*TableUK9!C157</f>
        <v>2.4279122948808584E-2</v>
      </c>
      <c r="F160" s="308">
        <f>TableUK8!F157</f>
        <v>1.0262927900710915E-2</v>
      </c>
      <c r="G160" s="1202">
        <f>DataUK1!GY160/DataUK1!B160</f>
        <v>1.5241418409229726E-2</v>
      </c>
      <c r="H160" s="303">
        <f t="shared" si="13"/>
        <v>0.6462106004159931</v>
      </c>
      <c r="I160" s="307">
        <f>DataUK1!BJ160/DataUK1!B160</f>
        <v>0.61875070592582926</v>
      </c>
      <c r="J160" s="308">
        <f>TableUK10!F157</f>
        <v>0.44849400662117306</v>
      </c>
      <c r="K160" s="308">
        <f>TableUK9!F157</f>
        <v>0.11313893826562112</v>
      </c>
      <c r="L160" s="308">
        <f>TableUK10!B157*TableUK9!C157</f>
        <v>8.4505280997577245E-2</v>
      </c>
      <c r="M160" s="308"/>
      <c r="N160" s="308">
        <f>DataUK2!AW160*DataUK2!AE160*DataUK2!Y160*DataUK2!E160/DataUK1!B160/1000</f>
        <v>8.3628625039784923E-2</v>
      </c>
      <c r="O160" s="394">
        <f>TableUK8!I157</f>
        <v>7.2374531621639107E-5</v>
      </c>
      <c r="P160" s="307">
        <f>B160/(1-TableUK9!$H157-TableUK8!J157)</f>
        <v>0.26673398390324776</v>
      </c>
      <c r="Q160" s="236">
        <f>H160/(1-TableUK9!$H157-TableUK8!J157)</f>
        <v>0.75097847254518746</v>
      </c>
      <c r="R160" s="1289">
        <f>(B160-G160)/(1-TableUK9!H157-TableUK8!J157)</f>
        <v>0.24902152745481257</v>
      </c>
      <c r="S160" s="193">
        <f t="shared" si="15"/>
        <v>0.75097847254518746</v>
      </c>
      <c r="U160" s="2024">
        <f t="shared" si="12"/>
        <v>0</v>
      </c>
      <c r="AI160" s="197"/>
    </row>
    <row r="161" spans="1:35">
      <c r="A161" s="200">
        <v>2002</v>
      </c>
      <c r="B161" s="303">
        <f t="shared" si="14"/>
        <v>0.24526298830013313</v>
      </c>
      <c r="C161" s="308">
        <f>TableUK10!G158</f>
        <v>0.13576789188329552</v>
      </c>
      <c r="D161" s="308">
        <f>TableUK9!B158</f>
        <v>5.0656581318070396E-2</v>
      </c>
      <c r="E161" s="308">
        <f>TableUK10!C158*TableUK9!C158</f>
        <v>2.5882079187659043E-2</v>
      </c>
      <c r="F161" s="308">
        <f>TableUK8!F158</f>
        <v>1.9014359781473065E-2</v>
      </c>
      <c r="G161" s="1202">
        <f>DataUK1!GY161/DataUK1!B161</f>
        <v>1.3942076129635111E-2</v>
      </c>
      <c r="H161" s="303">
        <f t="shared" si="13"/>
        <v>0.63177693504835786</v>
      </c>
      <c r="I161" s="307">
        <f>DataUK1!BJ161/DataUK1!B161</f>
        <v>0.60525297988929261</v>
      </c>
      <c r="J161" s="308">
        <f>TableUK10!F158</f>
        <v>0.4344558433883432</v>
      </c>
      <c r="K161" s="308">
        <f>TableUK9!F158</f>
        <v>0.11442960530454845</v>
      </c>
      <c r="L161" s="308">
        <f>TableUK10!B158*TableUK9!C158</f>
        <v>8.2822384483836844E-2</v>
      </c>
      <c r="M161" s="308"/>
      <c r="N161" s="308">
        <f>DataUK2!AW161*DataUK2!AE161*DataUK2!Y161*DataUK2!E161/DataUK1!B161/1000</f>
        <v>8.1272332948095313E-2</v>
      </c>
      <c r="O161" s="394">
        <f>TableUK8!I158</f>
        <v>6.9101871629349943E-5</v>
      </c>
      <c r="P161" s="307">
        <f>B161/(1-TableUK9!$H158-TableUK8!J158)</f>
        <v>0.28416591362200644</v>
      </c>
      <c r="Q161" s="236">
        <f>H161/(1-TableUK9!$H158-TableUK8!J158)</f>
        <v>0.73198761540666668</v>
      </c>
      <c r="R161" s="1289">
        <f>(B161-G161)/(1-TableUK9!H158-TableUK8!J158)</f>
        <v>0.26801238459333326</v>
      </c>
      <c r="S161" s="193">
        <f t="shared" si="15"/>
        <v>0.73198761540666668</v>
      </c>
      <c r="U161" s="2024">
        <f t="shared" si="12"/>
        <v>0</v>
      </c>
      <c r="AI161" s="197"/>
    </row>
    <row r="162" spans="1:35">
      <c r="A162" s="200">
        <v>2003</v>
      </c>
      <c r="B162" s="303">
        <f t="shared" si="14"/>
        <v>0.25391393948409607</v>
      </c>
      <c r="C162" s="308">
        <f>TableUK10!G159</f>
        <v>0.14176499199280235</v>
      </c>
      <c r="D162" s="308">
        <f>TableUK9!B159</f>
        <v>5.2336063943048981E-2</v>
      </c>
      <c r="E162" s="308">
        <f>TableUK10!C159*TableUK9!C159</f>
        <v>2.7876457257850734E-2</v>
      </c>
      <c r="F162" s="308">
        <f>TableUK8!F159</f>
        <v>1.7201692294543165E-2</v>
      </c>
      <c r="G162" s="1202">
        <f>DataUK1!GY162/DataUK1!B162</f>
        <v>1.4734733995850848E-2</v>
      </c>
      <c r="H162" s="303">
        <f t="shared" si="13"/>
        <v>0.62559554373670256</v>
      </c>
      <c r="I162" s="307">
        <f>DataUK1!BJ162/DataUK1!B162</f>
        <v>0.59828109338699775</v>
      </c>
      <c r="J162" s="308">
        <f>TableUK10!F159</f>
        <v>0.42387102664314968</v>
      </c>
      <c r="K162" s="308">
        <f>TableUK9!F159</f>
        <v>0.11831784523818774</v>
      </c>
      <c r="L162" s="308">
        <f>TableUK10!B159*TableUK9!C159</f>
        <v>8.3349368493308928E-2</v>
      </c>
      <c r="M162" s="308"/>
      <c r="N162" s="308">
        <f>DataUK2!AW162*DataUK2!AE162*DataUK2!Y162*DataUK2!E162/DataUK1!B162/1000</f>
        <v>8.5646318837932764E-2</v>
      </c>
      <c r="O162" s="394">
        <f>TableUK8!I159</f>
        <v>5.7303362056238882E-5</v>
      </c>
      <c r="P162" s="307">
        <f>B162/(1-TableUK9!$H159-TableUK8!J159)</f>
        <v>0.29361858647198685</v>
      </c>
      <c r="Q162" s="236">
        <f>H162/(1-TableUK9!$H159-TableUK8!J159)</f>
        <v>0.72342022509028048</v>
      </c>
      <c r="R162" s="1289">
        <f>(B162-G162)/(1-TableUK9!H159-TableUK8!J159)</f>
        <v>0.27657977490971952</v>
      </c>
      <c r="S162" s="193">
        <f t="shared" si="15"/>
        <v>0.72342022509028048</v>
      </c>
      <c r="U162" s="2024">
        <f t="shared" si="12"/>
        <v>0</v>
      </c>
      <c r="AI162" s="197"/>
    </row>
    <row r="163" spans="1:35">
      <c r="A163" s="200">
        <v>2004</v>
      </c>
      <c r="B163" s="303">
        <f t="shared" si="14"/>
        <v>0.26152208130248489</v>
      </c>
      <c r="C163" s="308">
        <f>TableUK10!G160</f>
        <v>0.14938706722698747</v>
      </c>
      <c r="D163" s="308">
        <f>TableUK9!B160</f>
        <v>5.2907203457495479E-2</v>
      </c>
      <c r="E163" s="308">
        <f>TableUK10!C160*TableUK9!C160</f>
        <v>2.7271568258349227E-2</v>
      </c>
      <c r="F163" s="308">
        <f>TableUK8!F160</f>
        <v>1.7076579558256554E-2</v>
      </c>
      <c r="G163" s="1202">
        <f>DataUK1!GY163/DataUK1!B163</f>
        <v>1.4879662801396144E-2</v>
      </c>
      <c r="H163" s="303">
        <f t="shared" si="13"/>
        <v>0.61685188684729264</v>
      </c>
      <c r="I163" s="307">
        <f>DataUK1!BJ163/DataUK1!B163</f>
        <v>0.59556080840636416</v>
      </c>
      <c r="J163" s="308">
        <f>TableUK10!F160</f>
        <v>0.41916858270750862</v>
      </c>
      <c r="K163" s="308">
        <f>TableUK9!F160</f>
        <v>0.1216168127282885</v>
      </c>
      <c r="L163" s="308">
        <f>TableUK10!B160*TableUK9!C160</f>
        <v>7.6521916035032722E-2</v>
      </c>
      <c r="M163" s="308"/>
      <c r="N163" s="308">
        <f>DataUK2!AW163*DataUK2!AE163*DataUK2!Y163*DataUK2!E163/DataUK1!B163/1000</f>
        <v>8.6286577668768474E-2</v>
      </c>
      <c r="O163" s="394">
        <f>TableUK8!I160</f>
        <v>-4.5542462353715584E-4</v>
      </c>
      <c r="P163" s="307">
        <f>B163/(1-TableUK9!$H160-TableUK8!J160)</f>
        <v>0.30286485930787044</v>
      </c>
      <c r="Q163" s="236">
        <f>H163/(1-TableUK9!$H160-TableUK8!J160)</f>
        <v>0.71436705838890324</v>
      </c>
      <c r="R163" s="1289">
        <f>(B163-G163)/(1-TableUK9!H160-TableUK8!J160)</f>
        <v>0.2856329416110967</v>
      </c>
      <c r="S163" s="193">
        <f t="shared" si="15"/>
        <v>0.71436705838890324</v>
      </c>
      <c r="U163" s="2024">
        <f t="shared" si="12"/>
        <v>0</v>
      </c>
      <c r="AI163" s="197"/>
    </row>
    <row r="164" spans="1:35">
      <c r="A164" s="200">
        <v>2005</v>
      </c>
      <c r="B164" s="303">
        <f t="shared" si="14"/>
        <v>0.26505321831344381</v>
      </c>
      <c r="C164" s="308">
        <f>TableUK10!G161</f>
        <v>0.14723074598311442</v>
      </c>
      <c r="D164" s="308">
        <f>TableUK9!B161</f>
        <v>5.378305126271294E-2</v>
      </c>
      <c r="E164" s="308">
        <f>TableUK10!C161*TableUK9!C161</f>
        <v>2.7767676268735775E-2</v>
      </c>
      <c r="F164" s="308">
        <f>TableUK8!F161</f>
        <v>1.97834688082342E-2</v>
      </c>
      <c r="G164" s="1202">
        <f>DataUK1!GY164/DataUK1!B164</f>
        <v>1.6488275990646471E-2</v>
      </c>
      <c r="H164" s="303">
        <f t="shared" si="13"/>
        <v>0.61911552158969663</v>
      </c>
      <c r="I164" s="307">
        <f>DataUK1!BJ164/DataUK1!B164</f>
        <v>0.5958230990642075</v>
      </c>
      <c r="J164" s="308">
        <f>TableUK10!F161</f>
        <v>0.41669107061667682</v>
      </c>
      <c r="K164" s="308">
        <f>TableUK9!F161</f>
        <v>0.12437308231122556</v>
      </c>
      <c r="L164" s="308">
        <f>TableUK10!B161*TableUK9!C161</f>
        <v>7.8587815851206791E-2</v>
      </c>
      <c r="M164" s="308"/>
      <c r="N164" s="308">
        <f>DataUK2!AW164*DataUK2!AE164*DataUK2!Y164*DataUK2!E164/DataUK1!B164/1000</f>
        <v>8.3284673413122234E-2</v>
      </c>
      <c r="O164" s="394">
        <f>TableUK8!I161</f>
        <v>-5.3644718941246717E-4</v>
      </c>
      <c r="P164" s="307">
        <f>B164/(1-TableUK9!$H161-TableUK8!J161)</f>
        <v>0.3054733042141819</v>
      </c>
      <c r="Q164" s="236">
        <f>H164/(1-TableUK9!$H161-TableUK8!J161)</f>
        <v>0.71352940090182171</v>
      </c>
      <c r="R164" s="1289">
        <f>(B164-G164)/(1-TableUK9!H161-TableUK8!J161)</f>
        <v>0.28647059909817812</v>
      </c>
      <c r="S164" s="193">
        <f t="shared" si="15"/>
        <v>0.71352940090182171</v>
      </c>
      <c r="U164" s="2024">
        <f t="shared" si="12"/>
        <v>0</v>
      </c>
      <c r="AI164" s="197"/>
    </row>
    <row r="165" spans="1:35">
      <c r="A165" s="200">
        <v>2006</v>
      </c>
      <c r="B165" s="303">
        <f t="shared" si="14"/>
        <v>0.26522580208140611</v>
      </c>
      <c r="C165" s="308">
        <f>TableUK10!G162</f>
        <v>0.15841674489423235</v>
      </c>
      <c r="D165" s="308">
        <f>TableUK9!B162</f>
        <v>5.3371203185665406E-2</v>
      </c>
      <c r="E165" s="308">
        <f>TableUK10!C162*TableUK9!C162</f>
        <v>2.80797263533814E-2</v>
      </c>
      <c r="F165" s="308">
        <f>TableUK8!F162</f>
        <v>8.8018696617122878E-3</v>
      </c>
      <c r="G165" s="1202">
        <f>DataUK1!GY165/DataUK1!B165</f>
        <v>1.6556257986414687E-2</v>
      </c>
      <c r="H165" s="303">
        <f t="shared" si="13"/>
        <v>0.61858111163168805</v>
      </c>
      <c r="I165" s="307">
        <f>DataUK1!BJ165/DataUK1!B165</f>
        <v>0.59983270562916136</v>
      </c>
      <c r="J165" s="308">
        <f>TableUK10!F162</f>
        <v>0.419581007465196</v>
      </c>
      <c r="K165" s="308">
        <f>TableUK9!F162</f>
        <v>0.12543378841885802</v>
      </c>
      <c r="L165" s="308">
        <f>TableUK10!B162*TableUK9!C162</f>
        <v>7.4371682618304652E-2</v>
      </c>
      <c r="M165" s="308"/>
      <c r="N165" s="308">
        <f>DataUK2!AW165*DataUK2!AE165*DataUK2!Y165*DataUK2!E165/DataUK1!B165/1000</f>
        <v>8.7317239000589866E-2</v>
      </c>
      <c r="O165" s="394">
        <f>TableUK8!I162</f>
        <v>-8.0536687067052262E-4</v>
      </c>
      <c r="P165" s="307">
        <f>B165/(1-TableUK9!$H162-TableUK8!J162)</f>
        <v>0.305823697370595</v>
      </c>
      <c r="Q165" s="236">
        <f>H165/(1-TableUK9!$H162-TableUK8!J162)</f>
        <v>0.71326681340283526</v>
      </c>
      <c r="R165" s="1289">
        <f>(B165-G165)/(1-TableUK9!H162-TableUK8!J162)</f>
        <v>0.28673318659716468</v>
      </c>
      <c r="S165" s="193">
        <f t="shared" si="15"/>
        <v>0.71326681340283526</v>
      </c>
      <c r="U165" s="2024">
        <f t="shared" si="12"/>
        <v>0</v>
      </c>
      <c r="AI165" s="197"/>
    </row>
    <row r="166" spans="1:35">
      <c r="A166" s="200">
        <v>2007</v>
      </c>
      <c r="B166" s="303">
        <f t="shared" si="14"/>
        <v>0.2782958223329362</v>
      </c>
      <c r="C166" s="308">
        <f>TableUK10!G163</f>
        <v>0.1631595220354454</v>
      </c>
      <c r="D166" s="308">
        <f>TableUK9!B163</f>
        <v>5.2711905445836982E-2</v>
      </c>
      <c r="E166" s="308">
        <f>TableUK10!C163*TableUK9!C163</f>
        <v>2.7825176992226738E-2</v>
      </c>
      <c r="F166" s="308">
        <f>TableUK8!F163</f>
        <v>1.7388506419893528E-2</v>
      </c>
      <c r="G166" s="1202">
        <f>DataUK1!GY166/DataUK1!B166</f>
        <v>1.721071143953358E-2</v>
      </c>
      <c r="H166" s="303">
        <f t="shared" si="13"/>
        <v>0.6078925758365622</v>
      </c>
      <c r="I166" s="307">
        <f>DataUK1!BJ166/DataUK1!B166</f>
        <v>0.59148928470561946</v>
      </c>
      <c r="J166" s="308">
        <f>TableUK10!F163</f>
        <v>0.41650362237604899</v>
      </c>
      <c r="K166" s="308">
        <f>TableUK9!F163</f>
        <v>0.12093598830014625</v>
      </c>
      <c r="L166" s="308">
        <f>TableUK10!B163*TableUK9!C163</f>
        <v>7.103040549481035E-2</v>
      </c>
      <c r="M166" s="308"/>
      <c r="N166" s="308">
        <f>DataUK2!AW166*DataUK2!AE166*DataUK2!Y166*DataUK2!E166/DataUK1!B166/1000</f>
        <v>8.7700425576081056E-2</v>
      </c>
      <c r="O166" s="394">
        <f>TableUK8!I163</f>
        <v>-5.774403344433719E-4</v>
      </c>
      <c r="P166" s="307">
        <f>B166/(1-TableUK9!$H163-TableUK8!J163)</f>
        <v>0.32025658032738041</v>
      </c>
      <c r="Q166" s="236">
        <f>H166/(1-TableUK9!$H163-TableUK8!J163)</f>
        <v>0.69954911975255929</v>
      </c>
      <c r="R166" s="1289">
        <f>(B166-G166)/(1-TableUK9!H163-TableUK8!J163)</f>
        <v>0.3004508802474406</v>
      </c>
      <c r="S166" s="193">
        <f t="shared" si="15"/>
        <v>0.69954911975255929</v>
      </c>
      <c r="U166" s="2024">
        <f t="shared" si="12"/>
        <v>0</v>
      </c>
      <c r="AI166" s="197"/>
    </row>
    <row r="167" spans="1:35">
      <c r="A167" s="200">
        <v>2008</v>
      </c>
      <c r="B167" s="303">
        <f t="shared" si="14"/>
        <v>0.28176890572918356</v>
      </c>
      <c r="C167" s="308">
        <f>TableUK10!G164</f>
        <v>0.1558849996884237</v>
      </c>
      <c r="D167" s="308">
        <f>TableUK9!B164</f>
        <v>5.4306567926541212E-2</v>
      </c>
      <c r="E167" s="308">
        <f>TableUK10!C164*TableUK9!C164</f>
        <v>2.9186305134873351E-2</v>
      </c>
      <c r="F167" s="308">
        <f>TableUK8!F164</f>
        <v>2.576587465900234E-2</v>
      </c>
      <c r="G167" s="1202">
        <f>DataUK1!GY167/DataUK1!B167</f>
        <v>1.6625158320342948E-2</v>
      </c>
      <c r="H167" s="303">
        <f t="shared" si="13"/>
        <v>0.60944066169092559</v>
      </c>
      <c r="I167" s="307">
        <f>DataUK1!BJ167/DataUK1!B167</f>
        <v>0.58682729077357754</v>
      </c>
      <c r="J167" s="308">
        <f>TableUK10!F164</f>
        <v>0.41270383744154326</v>
      </c>
      <c r="K167" s="308">
        <f>TableUK9!F164</f>
        <v>0.12001062573070928</v>
      </c>
      <c r="L167" s="308">
        <f>TableUK10!B164*TableUK9!C164</f>
        <v>7.727042469755066E-2</v>
      </c>
      <c r="M167" s="308"/>
      <c r="N167" s="308">
        <f>DataUK2!AW167*DataUK2!AE167*DataUK2!Y167*DataUK2!E167/DataUK1!B167/1000</f>
        <v>8.663157860708498E-2</v>
      </c>
      <c r="O167" s="394">
        <f>TableUK8!I164</f>
        <v>-5.4422617887763057E-4</v>
      </c>
      <c r="P167" s="307">
        <f>B167/(1-TableUK9!$H164-TableUK8!J164)</f>
        <v>0.3221746269399155</v>
      </c>
      <c r="Q167" s="236">
        <f>H167/(1-TableUK9!$H164-TableUK8!J164)</f>
        <v>0.69683458263135478</v>
      </c>
      <c r="R167" s="1289">
        <f>(B167-G167)/(1-TableUK9!H164-TableUK8!J164)</f>
        <v>0.30316541736864527</v>
      </c>
      <c r="S167" s="193">
        <f t="shared" si="15"/>
        <v>0.69683458263135478</v>
      </c>
      <c r="U167" s="2024">
        <f t="shared" si="12"/>
        <v>0</v>
      </c>
    </row>
    <row r="168" spans="1:35">
      <c r="A168" s="380">
        <v>2009</v>
      </c>
      <c r="B168" s="565">
        <f t="shared" si="14"/>
        <v>0.24851007215429066</v>
      </c>
      <c r="C168" s="550">
        <f>TableUK10!G165</f>
        <v>0.128840943230807</v>
      </c>
      <c r="D168" s="550">
        <f>TableUK9!B165</f>
        <v>6.3075985320059688E-2</v>
      </c>
      <c r="E168" s="550">
        <f>TableUK10!C165*TableUK9!C165</f>
        <v>2.4863224692500775E-2</v>
      </c>
      <c r="F168" s="550">
        <f>TableUK8!F165</f>
        <v>1.6471393154834764E-2</v>
      </c>
      <c r="G168" s="1960">
        <f>DataUK1!GY168/DataUK1!B168</f>
        <v>1.5258525756088459E-2</v>
      </c>
      <c r="H168" s="565">
        <f t="shared" si="13"/>
        <v>0.64426080754537118</v>
      </c>
      <c r="I168" s="568">
        <f>DataUK1!BJ168/DataUK1!B168</f>
        <v>0.61948896896702133</v>
      </c>
      <c r="J168" s="550">
        <f>TableUK10!F165</f>
        <v>0.43172816459910385</v>
      </c>
      <c r="K168" s="550">
        <f>TableUK9!F165</f>
        <v>0.12942594930198326</v>
      </c>
      <c r="L168" s="550">
        <f>TableUK10!B165*TableUK9!C165</f>
        <v>8.3313223990290133E-2</v>
      </c>
      <c r="M168" s="550"/>
      <c r="N168" s="550">
        <f>DataUK2!AW168*DataUK2!AE168*DataUK2!Y168*DataUK2!E168/DataUK1!B168/1000</f>
        <v>9.3546854742997565E-2</v>
      </c>
      <c r="O168" s="553">
        <f>TableUK8!I165</f>
        <v>-2.0653034600610979E-4</v>
      </c>
      <c r="P168" s="568">
        <f>B168/(1-TableUK9!$H165-TableUK8!J165)</f>
        <v>0.28319837440177009</v>
      </c>
      <c r="Q168" s="244">
        <f>H168/(1-TableUK9!$H165-TableUK8!J165)</f>
        <v>0.73419001413488827</v>
      </c>
      <c r="R168" s="1291">
        <f>(B168-G168)/(1-TableUK9!H165-TableUK8!J165)</f>
        <v>0.26580998586511179</v>
      </c>
      <c r="S168" s="886">
        <f t="shared" si="15"/>
        <v>0.73419001413488827</v>
      </c>
      <c r="U168" s="2024">
        <f t="shared" si="12"/>
        <v>0</v>
      </c>
    </row>
    <row r="169" spans="1:35" ht="13" thickBot="1">
      <c r="A169" s="221">
        <v>2010</v>
      </c>
      <c r="B169" s="567">
        <f t="shared" si="14"/>
        <v>0.25913341810292645</v>
      </c>
      <c r="C169" s="552">
        <f>TableUK10!G166</f>
        <v>0.12186620684843749</v>
      </c>
      <c r="D169" s="552">
        <f>TableUK9!B166</f>
        <v>6.7502077842563041E-2</v>
      </c>
      <c r="E169" s="552">
        <f>TableUK10!C166*TableUK9!C166</f>
        <v>2.36925890242097E-2</v>
      </c>
      <c r="F169" s="552">
        <f>TableUK8!F166</f>
        <v>1.7852625161929436E-2</v>
      </c>
      <c r="G169" s="1962">
        <f>DataUK1!GY169/DataUK1!B169</f>
        <v>2.8219919225786788E-2</v>
      </c>
      <c r="H169" s="567">
        <f t="shared" si="13"/>
        <v>0.63431091627183545</v>
      </c>
      <c r="I169" s="573">
        <f>DataUK1!BJ169/DataUK1!B169</f>
        <v>0.60959689095481218</v>
      </c>
      <c r="J169" s="552">
        <f>TableUK10!F166</f>
        <v>0.42512840051817419</v>
      </c>
      <c r="K169" s="552">
        <f>TableUK9!F166</f>
        <v>0.12682770707917396</v>
      </c>
      <c r="L169" s="552">
        <f>TableUK10!B166*TableUK9!C166</f>
        <v>8.2651234796562986E-2</v>
      </c>
      <c r="M169" s="552"/>
      <c r="N169" s="552">
        <f>DataUK2!AW169*DataUK2!AE169*DataUK2!Y169*DataUK2!E169/DataUK1!B169/1000</f>
        <v>9.5817608314315711E-2</v>
      </c>
      <c r="O169" s="555">
        <f>TableUK8!I166</f>
        <v>-2.9642612207574488E-4</v>
      </c>
      <c r="P169" s="1245">
        <f>B169/(1-TableUK9!$H166-TableUK8!J166)</f>
        <v>0.29949850416358009</v>
      </c>
      <c r="Q169" s="248">
        <f>H169/(1-TableUK9!$H166-TableUK8!J166)</f>
        <v>0.73311721810649466</v>
      </c>
      <c r="R169" s="567">
        <f>(B169-G169)/(1-TableUK9!H166-TableUK8!J166)</f>
        <v>0.26688278189350539</v>
      </c>
      <c r="S169" s="226">
        <f t="shared" si="15"/>
        <v>0.73311721810649466</v>
      </c>
      <c r="U169" s="2024">
        <f t="shared" si="12"/>
        <v>0</v>
      </c>
    </row>
    <row r="170" spans="1:35" ht="13" thickTop="1">
      <c r="B170" s="154"/>
      <c r="C170" s="154"/>
      <c r="D170" s="154"/>
      <c r="E170" s="154"/>
      <c r="F170" s="154"/>
      <c r="G170" s="154"/>
      <c r="H170" s="154"/>
      <c r="I170" s="154"/>
      <c r="J170" s="154"/>
      <c r="K170" s="154"/>
      <c r="L170" s="154"/>
      <c r="M170" s="154"/>
      <c r="N170" s="154"/>
      <c r="O170" s="154"/>
      <c r="P170" s="154"/>
      <c r="Q170" s="154"/>
      <c r="R170" s="154"/>
      <c r="S170" s="154"/>
    </row>
    <row r="171" spans="1:35">
      <c r="B171" s="118"/>
      <c r="C171" s="118"/>
      <c r="D171" s="118"/>
      <c r="E171" s="118"/>
      <c r="F171" s="118"/>
      <c r="G171" s="118"/>
      <c r="H171" s="118"/>
      <c r="I171" s="118"/>
      <c r="J171" s="118"/>
      <c r="K171" s="118"/>
      <c r="L171" s="118"/>
      <c r="M171" s="118"/>
      <c r="N171" s="118"/>
      <c r="O171" s="118"/>
      <c r="P171" s="118"/>
      <c r="Q171" s="118"/>
      <c r="R171" s="154"/>
      <c r="S171" s="154"/>
    </row>
    <row r="172" spans="1:35">
      <c r="B172" s="118"/>
      <c r="C172" s="118"/>
      <c r="D172" s="118"/>
      <c r="E172" s="118"/>
      <c r="F172" s="118"/>
      <c r="G172" s="118"/>
      <c r="H172" s="118"/>
      <c r="I172" s="118"/>
      <c r="J172" s="118"/>
      <c r="K172" s="118"/>
      <c r="L172" s="118"/>
      <c r="M172" s="118"/>
      <c r="N172" s="118"/>
      <c r="O172" s="118"/>
      <c r="P172" s="118"/>
      <c r="Q172" s="118"/>
      <c r="R172" s="154"/>
      <c r="S172" s="154"/>
    </row>
    <row r="173" spans="1:35">
      <c r="B173" s="118"/>
      <c r="C173" s="118"/>
      <c r="D173" s="118"/>
      <c r="E173" s="118"/>
      <c r="F173" s="118"/>
      <c r="G173" s="118"/>
      <c r="H173" s="118"/>
      <c r="I173" s="118"/>
      <c r="J173" s="118"/>
      <c r="K173" s="118"/>
      <c r="L173" s="118"/>
      <c r="M173" s="118"/>
      <c r="N173" s="118"/>
      <c r="O173" s="118"/>
      <c r="P173" s="118"/>
      <c r="Q173" s="118"/>
      <c r="R173" s="154"/>
      <c r="S173" s="154"/>
    </row>
    <row r="174" spans="1:35">
      <c r="B174" s="118"/>
      <c r="C174" s="118"/>
      <c r="D174" s="118"/>
      <c r="E174" s="118"/>
      <c r="F174" s="118"/>
      <c r="G174" s="118"/>
      <c r="H174" s="118"/>
      <c r="I174" s="118"/>
      <c r="J174" s="118"/>
      <c r="K174" s="118"/>
      <c r="L174" s="118"/>
      <c r="M174" s="118"/>
      <c r="N174" s="118"/>
      <c r="O174" s="118"/>
      <c r="P174" s="118"/>
      <c r="Q174" s="118"/>
      <c r="R174" s="154"/>
      <c r="S174" s="154"/>
    </row>
    <row r="175" spans="1:35">
      <c r="B175" s="118"/>
      <c r="C175" s="118"/>
      <c r="D175" s="118"/>
      <c r="E175" s="118"/>
      <c r="F175" s="118"/>
      <c r="G175" s="118"/>
      <c r="H175" s="118"/>
      <c r="I175" s="118"/>
      <c r="J175" s="118"/>
      <c r="K175" s="118"/>
      <c r="L175" s="118"/>
      <c r="M175" s="118"/>
      <c r="N175" s="118"/>
      <c r="O175" s="118"/>
      <c r="P175" s="118"/>
      <c r="Q175" s="118"/>
      <c r="R175" s="154"/>
      <c r="S175" s="154"/>
    </row>
    <row r="176" spans="1:35">
      <c r="B176" s="118"/>
      <c r="C176" s="118"/>
      <c r="D176" s="118"/>
      <c r="E176" s="118"/>
      <c r="F176" s="118"/>
      <c r="G176" s="118"/>
      <c r="H176" s="118"/>
      <c r="I176" s="118"/>
      <c r="J176" s="118"/>
      <c r="K176" s="118"/>
      <c r="L176" s="118"/>
      <c r="M176" s="118"/>
      <c r="N176" s="118"/>
      <c r="O176" s="118"/>
      <c r="P176" s="118"/>
      <c r="Q176" s="118"/>
      <c r="R176" s="154"/>
      <c r="S176" s="154"/>
    </row>
    <row r="177" spans="2:19">
      <c r="B177" s="118"/>
      <c r="C177" s="118"/>
      <c r="D177" s="118"/>
      <c r="E177" s="118"/>
      <c r="F177" s="118"/>
      <c r="G177" s="118"/>
      <c r="H177" s="118"/>
      <c r="I177" s="118"/>
      <c r="J177" s="118"/>
      <c r="K177" s="118"/>
      <c r="L177" s="118"/>
      <c r="M177" s="118"/>
      <c r="N177" s="118"/>
      <c r="O177" s="118"/>
      <c r="P177" s="118"/>
      <c r="Q177" s="118"/>
      <c r="R177" s="154"/>
      <c r="S177" s="154"/>
    </row>
    <row r="178" spans="2:19">
      <c r="B178" s="118"/>
      <c r="C178" s="118"/>
      <c r="D178" s="118"/>
      <c r="E178" s="118"/>
      <c r="F178" s="118"/>
      <c r="G178" s="118"/>
      <c r="H178" s="118"/>
      <c r="I178" s="118"/>
      <c r="J178" s="118"/>
      <c r="K178" s="118"/>
      <c r="L178" s="118"/>
      <c r="M178" s="118"/>
      <c r="N178" s="118"/>
      <c r="O178" s="118"/>
      <c r="P178" s="118"/>
      <c r="Q178" s="118"/>
      <c r="R178" s="154"/>
      <c r="S178" s="154"/>
    </row>
    <row r="179" spans="2:19">
      <c r="B179" s="118"/>
      <c r="C179" s="118"/>
      <c r="D179" s="118"/>
      <c r="E179" s="118"/>
      <c r="F179" s="118"/>
      <c r="G179" s="118"/>
      <c r="H179" s="118"/>
      <c r="I179" s="118"/>
      <c r="J179" s="118"/>
      <c r="K179" s="118"/>
      <c r="L179" s="118"/>
      <c r="M179" s="118"/>
      <c r="N179" s="118"/>
      <c r="O179" s="118"/>
      <c r="P179" s="118"/>
      <c r="Q179" s="118"/>
      <c r="R179" s="154"/>
      <c r="S179" s="154"/>
    </row>
    <row r="180" spans="2:19">
      <c r="B180" s="118"/>
      <c r="C180" s="118"/>
      <c r="D180" s="118"/>
      <c r="E180" s="118"/>
      <c r="F180" s="118"/>
      <c r="G180" s="118"/>
      <c r="H180" s="118"/>
      <c r="I180" s="118"/>
      <c r="J180" s="118"/>
      <c r="K180" s="118"/>
      <c r="L180" s="118"/>
      <c r="M180" s="118"/>
      <c r="N180" s="118"/>
      <c r="O180" s="118"/>
      <c r="P180" s="118"/>
      <c r="Q180" s="118"/>
      <c r="R180" s="154"/>
      <c r="S180" s="154"/>
    </row>
    <row r="181" spans="2:19">
      <c r="B181" s="118"/>
      <c r="C181" s="118"/>
      <c r="D181" s="118"/>
      <c r="E181" s="118"/>
      <c r="F181" s="118"/>
      <c r="G181" s="118"/>
      <c r="H181" s="118"/>
      <c r="I181" s="118"/>
      <c r="J181" s="118"/>
      <c r="K181" s="118"/>
      <c r="L181" s="118"/>
      <c r="M181" s="118"/>
      <c r="N181" s="118"/>
      <c r="O181" s="118"/>
      <c r="P181" s="118"/>
      <c r="Q181" s="118"/>
      <c r="R181" s="154"/>
      <c r="S181" s="154"/>
    </row>
    <row r="182" spans="2:19">
      <c r="B182" s="118"/>
      <c r="C182" s="118"/>
      <c r="D182" s="118"/>
      <c r="E182" s="118"/>
      <c r="F182" s="118"/>
      <c r="G182" s="118"/>
      <c r="H182" s="118"/>
      <c r="I182" s="118"/>
      <c r="J182" s="118"/>
      <c r="K182" s="118"/>
      <c r="L182" s="118"/>
      <c r="M182" s="118"/>
      <c r="N182" s="118"/>
      <c r="O182" s="118"/>
      <c r="P182" s="118"/>
      <c r="Q182" s="118"/>
      <c r="R182" s="154"/>
      <c r="S182" s="154"/>
    </row>
    <row r="183" spans="2:19">
      <c r="B183" s="118"/>
      <c r="C183" s="118"/>
      <c r="D183" s="118"/>
      <c r="E183" s="118"/>
      <c r="F183" s="118"/>
      <c r="G183" s="118"/>
      <c r="H183" s="118"/>
      <c r="I183" s="118"/>
      <c r="J183" s="118"/>
      <c r="K183" s="118"/>
      <c r="L183" s="118"/>
      <c r="M183" s="118"/>
      <c r="N183" s="118"/>
      <c r="O183" s="118"/>
      <c r="P183" s="118"/>
      <c r="Q183" s="118"/>
      <c r="R183" s="118"/>
      <c r="S183" s="118"/>
    </row>
    <row r="184" spans="2:19">
      <c r="B184" s="118"/>
      <c r="C184" s="118"/>
      <c r="D184" s="118"/>
      <c r="E184" s="118"/>
      <c r="F184" s="118"/>
      <c r="G184" s="118"/>
      <c r="H184" s="118"/>
      <c r="I184" s="118"/>
      <c r="J184" s="118"/>
      <c r="K184" s="118"/>
      <c r="L184" s="118"/>
      <c r="M184" s="118"/>
      <c r="N184" s="118"/>
      <c r="O184" s="118"/>
      <c r="P184" s="118"/>
      <c r="Q184" s="118"/>
      <c r="R184" s="118"/>
      <c r="S184" s="118"/>
    </row>
    <row r="185" spans="2:19">
      <c r="B185" s="118"/>
      <c r="C185" s="118"/>
      <c r="D185" s="118"/>
      <c r="E185" s="118"/>
      <c r="F185" s="118"/>
      <c r="G185" s="118"/>
      <c r="H185" s="118"/>
      <c r="I185" s="118"/>
      <c r="J185" s="118"/>
      <c r="K185" s="118"/>
      <c r="L185" s="118"/>
      <c r="M185" s="118"/>
      <c r="N185" s="118"/>
      <c r="O185" s="118"/>
      <c r="P185" s="118"/>
      <c r="Q185" s="118"/>
      <c r="R185" s="118"/>
      <c r="S185" s="118"/>
    </row>
    <row r="186" spans="2:19">
      <c r="B186" s="118"/>
      <c r="C186" s="118"/>
      <c r="D186" s="118"/>
      <c r="E186" s="118"/>
      <c r="F186" s="118"/>
      <c r="G186" s="118"/>
      <c r="H186" s="118"/>
      <c r="I186" s="118"/>
      <c r="J186" s="118"/>
      <c r="K186" s="118"/>
      <c r="L186" s="118"/>
      <c r="M186" s="118"/>
      <c r="N186" s="118"/>
      <c r="O186" s="118"/>
      <c r="P186" s="118"/>
      <c r="Q186" s="118"/>
      <c r="R186" s="118"/>
      <c r="S186" s="118"/>
    </row>
    <row r="187" spans="2:19">
      <c r="B187" s="118"/>
      <c r="C187" s="118"/>
      <c r="D187" s="118"/>
      <c r="E187" s="118"/>
      <c r="F187" s="118"/>
      <c r="G187" s="118"/>
      <c r="H187" s="118"/>
      <c r="I187" s="118"/>
      <c r="J187" s="118"/>
      <c r="K187" s="118"/>
      <c r="L187" s="118"/>
      <c r="M187" s="118"/>
      <c r="N187" s="118"/>
      <c r="O187" s="118"/>
      <c r="P187" s="118"/>
      <c r="Q187" s="118"/>
      <c r="R187" s="118"/>
      <c r="S187" s="118"/>
    </row>
    <row r="188" spans="2:19">
      <c r="B188" s="118"/>
      <c r="C188" s="118"/>
      <c r="D188" s="118"/>
      <c r="E188" s="118"/>
      <c r="F188" s="118"/>
      <c r="G188" s="118"/>
      <c r="H188" s="118"/>
      <c r="I188" s="118"/>
      <c r="J188" s="118"/>
      <c r="K188" s="118"/>
      <c r="L188" s="118"/>
      <c r="M188" s="118"/>
      <c r="N188" s="118"/>
      <c r="O188" s="118"/>
      <c r="P188" s="118"/>
      <c r="Q188" s="118"/>
      <c r="R188" s="118"/>
      <c r="S188" s="118"/>
    </row>
    <row r="189" spans="2:19">
      <c r="B189" s="118"/>
      <c r="C189" s="118"/>
      <c r="D189" s="118"/>
      <c r="E189" s="118"/>
      <c r="F189" s="118"/>
      <c r="G189" s="118"/>
      <c r="H189" s="118"/>
      <c r="I189" s="118"/>
      <c r="J189" s="118"/>
      <c r="K189" s="118"/>
      <c r="L189" s="118"/>
      <c r="M189" s="118"/>
      <c r="N189" s="118"/>
      <c r="O189" s="118"/>
      <c r="P189" s="118"/>
      <c r="Q189" s="118"/>
      <c r="R189" s="118"/>
      <c r="S189" s="118"/>
    </row>
    <row r="190" spans="2:19">
      <c r="B190" s="118"/>
      <c r="C190" s="118"/>
      <c r="D190" s="118"/>
      <c r="E190" s="118"/>
      <c r="F190" s="118"/>
      <c r="G190" s="118"/>
      <c r="H190" s="118"/>
      <c r="I190" s="118"/>
      <c r="J190" s="118"/>
      <c r="K190" s="118"/>
      <c r="L190" s="118"/>
      <c r="M190" s="118"/>
      <c r="N190" s="118"/>
      <c r="O190" s="118"/>
      <c r="P190" s="118"/>
      <c r="Q190" s="118"/>
      <c r="R190" s="118"/>
      <c r="S190" s="118"/>
    </row>
    <row r="191" spans="2:19">
      <c r="B191" s="118"/>
      <c r="C191" s="118"/>
      <c r="D191" s="118"/>
      <c r="E191" s="118"/>
      <c r="F191" s="118"/>
      <c r="G191" s="118"/>
      <c r="H191" s="118"/>
      <c r="I191" s="118"/>
      <c r="J191" s="118"/>
      <c r="K191" s="118"/>
      <c r="L191" s="118"/>
      <c r="M191" s="118"/>
      <c r="N191" s="118"/>
      <c r="O191" s="118"/>
      <c r="P191" s="118"/>
      <c r="Q191" s="118"/>
      <c r="R191" s="118"/>
      <c r="S191" s="118"/>
    </row>
    <row r="192" spans="2:19">
      <c r="B192" s="118"/>
      <c r="C192" s="118"/>
      <c r="D192" s="118"/>
      <c r="E192" s="118"/>
      <c r="F192" s="118"/>
      <c r="G192" s="118"/>
      <c r="H192" s="118"/>
      <c r="I192" s="118"/>
      <c r="J192" s="118"/>
      <c r="K192" s="118"/>
      <c r="L192" s="118"/>
      <c r="M192" s="118"/>
      <c r="N192" s="118"/>
      <c r="O192" s="118"/>
      <c r="P192" s="118"/>
      <c r="Q192" s="118"/>
      <c r="R192" s="118"/>
      <c r="S192" s="118"/>
    </row>
    <row r="193" spans="2:19">
      <c r="B193" s="118"/>
      <c r="C193" s="118"/>
      <c r="D193" s="118"/>
      <c r="E193" s="118"/>
      <c r="F193" s="118"/>
      <c r="G193" s="118"/>
      <c r="H193" s="118"/>
      <c r="I193" s="118"/>
      <c r="J193" s="118"/>
      <c r="K193" s="118"/>
      <c r="L193" s="118"/>
      <c r="M193" s="118"/>
      <c r="N193" s="118"/>
      <c r="O193" s="118"/>
      <c r="P193" s="118"/>
      <c r="Q193" s="118"/>
      <c r="R193" s="118"/>
      <c r="S193" s="118"/>
    </row>
    <row r="194" spans="2:19">
      <c r="B194" s="118"/>
      <c r="C194" s="118"/>
      <c r="D194" s="118"/>
      <c r="E194" s="118"/>
      <c r="F194" s="118"/>
      <c r="G194" s="118"/>
      <c r="H194" s="118"/>
      <c r="I194" s="118"/>
      <c r="J194" s="118"/>
      <c r="K194" s="118"/>
      <c r="L194" s="118"/>
      <c r="M194" s="118"/>
      <c r="N194" s="118"/>
      <c r="O194" s="118"/>
      <c r="P194" s="118"/>
      <c r="Q194" s="118"/>
      <c r="R194" s="118"/>
      <c r="S194" s="118"/>
    </row>
    <row r="195" spans="2:19">
      <c r="B195" s="118"/>
      <c r="C195" s="118"/>
      <c r="D195" s="118"/>
      <c r="E195" s="118"/>
      <c r="F195" s="118"/>
      <c r="G195" s="118"/>
      <c r="H195" s="118"/>
      <c r="I195" s="118"/>
      <c r="J195" s="118"/>
      <c r="K195" s="118"/>
      <c r="L195" s="118"/>
      <c r="M195" s="118"/>
      <c r="N195" s="118"/>
      <c r="O195" s="118"/>
      <c r="P195" s="118"/>
      <c r="Q195" s="118"/>
      <c r="R195" s="118"/>
      <c r="S195" s="118"/>
    </row>
    <row r="196" spans="2:19">
      <c r="B196" s="118"/>
      <c r="C196" s="118"/>
      <c r="D196" s="118"/>
      <c r="E196" s="118"/>
      <c r="F196" s="118"/>
      <c r="G196" s="118"/>
      <c r="H196" s="118"/>
      <c r="I196" s="118"/>
      <c r="J196" s="118"/>
      <c r="K196" s="118"/>
      <c r="L196" s="118"/>
      <c r="M196" s="118"/>
      <c r="N196" s="118"/>
      <c r="O196" s="118"/>
      <c r="P196" s="118"/>
      <c r="Q196" s="118"/>
      <c r="R196" s="118"/>
      <c r="S196" s="118"/>
    </row>
    <row r="197" spans="2:19">
      <c r="B197" s="118"/>
      <c r="C197" s="118"/>
      <c r="D197" s="118"/>
      <c r="E197" s="118"/>
      <c r="F197" s="118"/>
      <c r="G197" s="118"/>
      <c r="H197" s="118"/>
      <c r="I197" s="118"/>
      <c r="J197" s="118"/>
      <c r="K197" s="118"/>
      <c r="L197" s="118"/>
      <c r="M197" s="118"/>
      <c r="N197" s="118"/>
      <c r="O197" s="118"/>
      <c r="P197" s="118"/>
      <c r="Q197" s="118"/>
      <c r="R197" s="118"/>
      <c r="S197" s="118"/>
    </row>
    <row r="198" spans="2:19">
      <c r="B198" s="118"/>
      <c r="C198" s="118"/>
      <c r="D198" s="118"/>
      <c r="E198" s="118"/>
      <c r="F198" s="118"/>
      <c r="G198" s="118"/>
      <c r="H198" s="118"/>
      <c r="I198" s="118"/>
      <c r="J198" s="118"/>
      <c r="K198" s="118"/>
      <c r="L198" s="118"/>
      <c r="M198" s="118"/>
      <c r="N198" s="118"/>
      <c r="O198" s="118"/>
      <c r="P198" s="118"/>
      <c r="Q198" s="118"/>
      <c r="R198" s="118"/>
      <c r="S198" s="118"/>
    </row>
    <row r="199" spans="2:19">
      <c r="B199" s="118"/>
      <c r="C199" s="118"/>
      <c r="D199" s="118"/>
      <c r="E199" s="118"/>
      <c r="F199" s="118"/>
      <c r="G199" s="118"/>
      <c r="H199" s="118"/>
      <c r="I199" s="118"/>
      <c r="J199" s="118"/>
      <c r="K199" s="118"/>
      <c r="L199" s="118"/>
      <c r="M199" s="118"/>
      <c r="N199" s="118"/>
      <c r="O199" s="118"/>
      <c r="P199" s="118"/>
      <c r="Q199" s="118"/>
      <c r="R199" s="118"/>
      <c r="S199" s="118"/>
    </row>
    <row r="200" spans="2:19">
      <c r="B200" s="118"/>
      <c r="C200" s="118"/>
      <c r="D200" s="118"/>
      <c r="E200" s="118"/>
      <c r="F200" s="118"/>
      <c r="G200" s="118"/>
      <c r="H200" s="118"/>
      <c r="I200" s="118"/>
      <c r="J200" s="118"/>
      <c r="K200" s="118"/>
      <c r="L200" s="118"/>
      <c r="M200" s="118"/>
      <c r="N200" s="118"/>
      <c r="O200" s="118"/>
      <c r="P200" s="118"/>
      <c r="Q200" s="118"/>
      <c r="R200" s="118"/>
      <c r="S200" s="118"/>
    </row>
    <row r="201" spans="2:19">
      <c r="B201" s="118"/>
      <c r="C201" s="118"/>
      <c r="D201" s="118"/>
      <c r="E201" s="118"/>
      <c r="F201" s="118"/>
      <c r="G201" s="118"/>
      <c r="H201" s="118"/>
      <c r="I201" s="118"/>
      <c r="J201" s="118"/>
      <c r="K201" s="118"/>
      <c r="L201" s="118"/>
      <c r="M201" s="118"/>
      <c r="N201" s="118"/>
      <c r="O201" s="118"/>
      <c r="P201" s="118"/>
      <c r="Q201" s="118"/>
      <c r="R201" s="118"/>
      <c r="S201" s="118"/>
    </row>
    <row r="202" spans="2:19">
      <c r="B202" s="118"/>
      <c r="C202" s="118"/>
      <c r="D202" s="118"/>
      <c r="E202" s="118"/>
      <c r="F202" s="118"/>
      <c r="G202" s="118"/>
      <c r="H202" s="118"/>
      <c r="I202" s="118"/>
      <c r="J202" s="118"/>
      <c r="K202" s="118"/>
      <c r="L202" s="118"/>
      <c r="M202" s="118"/>
      <c r="N202" s="118"/>
      <c r="O202" s="118"/>
      <c r="P202" s="118"/>
      <c r="Q202" s="118"/>
      <c r="R202" s="118"/>
      <c r="S202" s="118"/>
    </row>
    <row r="203" spans="2:19">
      <c r="B203" s="118"/>
      <c r="C203" s="118"/>
      <c r="D203" s="118"/>
      <c r="E203" s="118"/>
      <c r="F203" s="118"/>
      <c r="G203" s="118"/>
      <c r="H203" s="118"/>
      <c r="I203" s="118"/>
      <c r="J203" s="118"/>
      <c r="K203" s="118"/>
      <c r="L203" s="118"/>
      <c r="M203" s="118"/>
      <c r="N203" s="118"/>
      <c r="O203" s="118"/>
      <c r="P203" s="118"/>
      <c r="Q203" s="118"/>
      <c r="R203" s="118"/>
      <c r="S203" s="118"/>
    </row>
    <row r="204" spans="2:19">
      <c r="B204" s="118"/>
      <c r="C204" s="118"/>
      <c r="D204" s="118"/>
      <c r="E204" s="118"/>
      <c r="F204" s="118"/>
      <c r="G204" s="118"/>
      <c r="H204" s="118"/>
      <c r="I204" s="118"/>
      <c r="J204" s="118"/>
      <c r="K204" s="118"/>
      <c r="L204" s="118"/>
      <c r="M204" s="118"/>
      <c r="N204" s="118"/>
      <c r="O204" s="118"/>
      <c r="P204" s="118"/>
      <c r="Q204" s="118"/>
      <c r="R204" s="118"/>
      <c r="S204" s="118"/>
    </row>
    <row r="205" spans="2:19">
      <c r="B205" s="118"/>
      <c r="C205" s="118"/>
      <c r="D205" s="118"/>
      <c r="E205" s="118"/>
      <c r="F205" s="118"/>
      <c r="G205" s="118"/>
      <c r="H205" s="118"/>
      <c r="I205" s="118"/>
      <c r="J205" s="118"/>
      <c r="K205" s="118"/>
      <c r="L205" s="118"/>
      <c r="M205" s="118"/>
      <c r="N205" s="118"/>
      <c r="O205" s="118"/>
      <c r="P205" s="118"/>
      <c r="Q205" s="118"/>
      <c r="R205" s="118"/>
      <c r="S205" s="118"/>
    </row>
    <row r="206" spans="2:19">
      <c r="B206" s="118"/>
      <c r="C206" s="118"/>
      <c r="D206" s="118"/>
      <c r="E206" s="118"/>
      <c r="F206" s="118"/>
      <c r="G206" s="118"/>
      <c r="H206" s="118"/>
      <c r="I206" s="118"/>
      <c r="J206" s="118"/>
      <c r="K206" s="118"/>
      <c r="L206" s="118"/>
      <c r="M206" s="118"/>
      <c r="N206" s="118"/>
      <c r="O206" s="118"/>
      <c r="P206" s="118"/>
      <c r="Q206" s="118"/>
      <c r="R206" s="118"/>
      <c r="S206" s="118"/>
    </row>
    <row r="207" spans="2:19">
      <c r="B207" s="118"/>
      <c r="C207" s="118"/>
      <c r="D207" s="118"/>
      <c r="E207" s="118"/>
      <c r="F207" s="118"/>
      <c r="G207" s="118"/>
      <c r="H207" s="118"/>
      <c r="I207" s="118"/>
      <c r="J207" s="118"/>
      <c r="K207" s="118"/>
      <c r="L207" s="118"/>
      <c r="M207" s="118"/>
      <c r="N207" s="118"/>
      <c r="O207" s="118"/>
      <c r="P207" s="118"/>
      <c r="Q207" s="118"/>
      <c r="R207" s="118"/>
      <c r="S207" s="118"/>
    </row>
    <row r="208" spans="2:19">
      <c r="B208" s="118"/>
      <c r="C208" s="118"/>
      <c r="D208" s="118"/>
      <c r="E208" s="118"/>
      <c r="F208" s="118"/>
      <c r="G208" s="118"/>
      <c r="H208" s="118"/>
      <c r="I208" s="118"/>
      <c r="J208" s="118"/>
      <c r="K208" s="118"/>
      <c r="L208" s="118"/>
      <c r="M208" s="118"/>
      <c r="N208" s="118"/>
      <c r="O208" s="118"/>
      <c r="P208" s="118"/>
      <c r="Q208" s="118"/>
      <c r="R208" s="118"/>
      <c r="S208" s="118"/>
    </row>
    <row r="209" spans="2:19">
      <c r="B209" s="118"/>
      <c r="C209" s="118"/>
      <c r="D209" s="118"/>
      <c r="E209" s="118"/>
      <c r="F209" s="118"/>
      <c r="G209" s="118"/>
      <c r="H209" s="118"/>
      <c r="I209" s="118"/>
      <c r="J209" s="118"/>
      <c r="K209" s="118"/>
      <c r="L209" s="118"/>
      <c r="M209" s="118"/>
      <c r="N209" s="118"/>
      <c r="O209" s="118"/>
      <c r="P209" s="118"/>
      <c r="Q209" s="118"/>
      <c r="R209" s="118"/>
      <c r="S209" s="118"/>
    </row>
    <row r="210" spans="2:19">
      <c r="B210" s="118"/>
      <c r="C210" s="118"/>
      <c r="D210" s="118"/>
      <c r="E210" s="118"/>
      <c r="F210" s="118"/>
      <c r="G210" s="118"/>
      <c r="H210" s="118"/>
      <c r="I210" s="118"/>
      <c r="J210" s="118"/>
      <c r="K210" s="118"/>
      <c r="L210" s="118"/>
      <c r="M210" s="118"/>
      <c r="N210" s="118"/>
      <c r="O210" s="118"/>
      <c r="P210" s="118"/>
      <c r="Q210" s="118"/>
      <c r="R210" s="118"/>
      <c r="S210" s="118"/>
    </row>
    <row r="211" spans="2:19">
      <c r="B211" s="118"/>
      <c r="C211" s="118"/>
      <c r="D211" s="118"/>
      <c r="E211" s="118"/>
      <c r="F211" s="118"/>
      <c r="G211" s="118"/>
      <c r="H211" s="118"/>
      <c r="I211" s="118"/>
      <c r="J211" s="118"/>
      <c r="K211" s="118"/>
      <c r="L211" s="118"/>
      <c r="M211" s="118"/>
      <c r="N211" s="118"/>
      <c r="O211" s="118"/>
      <c r="P211" s="118"/>
      <c r="Q211" s="118"/>
      <c r="R211" s="118"/>
      <c r="S211" s="118"/>
    </row>
    <row r="212" spans="2:19">
      <c r="B212" s="118"/>
      <c r="C212" s="118"/>
      <c r="D212" s="118"/>
      <c r="E212" s="118"/>
      <c r="F212" s="118"/>
      <c r="G212" s="118"/>
      <c r="H212" s="118"/>
      <c r="I212" s="118"/>
      <c r="J212" s="118"/>
      <c r="K212" s="118"/>
      <c r="L212" s="118"/>
      <c r="M212" s="118"/>
      <c r="N212" s="118"/>
      <c r="O212" s="118"/>
      <c r="P212" s="118"/>
      <c r="Q212" s="118"/>
      <c r="R212" s="118"/>
      <c r="S212" s="118"/>
    </row>
    <row r="213" spans="2:19">
      <c r="B213" s="118"/>
      <c r="C213" s="118"/>
      <c r="D213" s="118"/>
      <c r="E213" s="118"/>
      <c r="F213" s="118"/>
      <c r="G213" s="118"/>
      <c r="H213" s="118"/>
      <c r="I213" s="118"/>
      <c r="J213" s="118"/>
      <c r="K213" s="118"/>
      <c r="L213" s="118"/>
      <c r="M213" s="118"/>
      <c r="N213" s="118"/>
      <c r="O213" s="118"/>
      <c r="P213" s="118"/>
      <c r="Q213" s="118"/>
      <c r="R213" s="118"/>
      <c r="S213" s="118"/>
    </row>
    <row r="214" spans="2:19">
      <c r="B214" s="118"/>
      <c r="C214" s="118"/>
      <c r="D214" s="118"/>
      <c r="E214" s="118"/>
      <c r="F214" s="118"/>
      <c r="G214" s="118"/>
      <c r="H214" s="118"/>
      <c r="I214" s="118"/>
      <c r="J214" s="118"/>
      <c r="K214" s="118"/>
      <c r="L214" s="118"/>
      <c r="M214" s="118"/>
      <c r="N214" s="118"/>
      <c r="O214" s="118"/>
      <c r="P214" s="118"/>
      <c r="Q214" s="118"/>
      <c r="R214" s="118"/>
      <c r="S214" s="118"/>
    </row>
    <row r="215" spans="2:19">
      <c r="B215" s="118"/>
      <c r="C215" s="118"/>
      <c r="D215" s="118"/>
      <c r="E215" s="118"/>
      <c r="F215" s="118"/>
      <c r="G215" s="118"/>
      <c r="H215" s="118"/>
      <c r="I215" s="118"/>
      <c r="J215" s="118"/>
      <c r="K215" s="118"/>
      <c r="L215" s="118"/>
      <c r="M215" s="118"/>
      <c r="N215" s="118"/>
      <c r="O215" s="118"/>
      <c r="P215" s="118"/>
      <c r="Q215" s="118"/>
      <c r="R215" s="118"/>
      <c r="S215" s="118"/>
    </row>
    <row r="216" spans="2:19">
      <c r="B216" s="118"/>
      <c r="C216" s="118"/>
      <c r="D216" s="118"/>
      <c r="E216" s="118"/>
      <c r="F216" s="118"/>
      <c r="G216" s="118"/>
      <c r="H216" s="118"/>
      <c r="I216" s="118"/>
      <c r="J216" s="118"/>
      <c r="K216" s="118"/>
      <c r="L216" s="118"/>
      <c r="M216" s="118"/>
      <c r="N216" s="118"/>
      <c r="O216" s="118"/>
      <c r="P216" s="118"/>
      <c r="Q216" s="118"/>
      <c r="R216" s="118"/>
      <c r="S216" s="118"/>
    </row>
    <row r="217" spans="2:19">
      <c r="B217" s="118"/>
      <c r="C217" s="118"/>
      <c r="D217" s="118"/>
      <c r="E217" s="118"/>
      <c r="F217" s="118"/>
      <c r="G217" s="118"/>
      <c r="H217" s="118"/>
      <c r="I217" s="118"/>
      <c r="J217" s="118"/>
      <c r="K217" s="118"/>
      <c r="L217" s="118"/>
      <c r="M217" s="118"/>
      <c r="N217" s="118"/>
      <c r="O217" s="118"/>
      <c r="P217" s="118"/>
      <c r="Q217" s="118"/>
      <c r="R217" s="118"/>
      <c r="S217" s="118"/>
    </row>
    <row r="218" spans="2:19">
      <c r="B218" s="118"/>
      <c r="C218" s="118"/>
      <c r="D218" s="118"/>
      <c r="E218" s="118"/>
      <c r="F218" s="118"/>
      <c r="G218" s="118"/>
      <c r="H218" s="118"/>
      <c r="I218" s="118"/>
      <c r="J218" s="118"/>
      <c r="K218" s="118"/>
      <c r="L218" s="118"/>
      <c r="M218" s="118"/>
      <c r="N218" s="118"/>
      <c r="O218" s="118"/>
      <c r="P218" s="118"/>
      <c r="Q218" s="118"/>
      <c r="R218" s="118"/>
      <c r="S218" s="118"/>
    </row>
    <row r="219" spans="2:19">
      <c r="B219" s="118"/>
      <c r="C219" s="118"/>
      <c r="D219" s="118"/>
      <c r="E219" s="118"/>
      <c r="F219" s="118"/>
      <c r="G219" s="118"/>
      <c r="H219" s="118"/>
      <c r="I219" s="118"/>
      <c r="J219" s="118"/>
      <c r="K219" s="118"/>
      <c r="L219" s="118"/>
      <c r="M219" s="118"/>
      <c r="N219" s="118"/>
      <c r="O219" s="118"/>
      <c r="P219" s="118"/>
      <c r="Q219" s="118"/>
      <c r="R219" s="118"/>
      <c r="S219" s="118"/>
    </row>
    <row r="220" spans="2:19">
      <c r="B220" s="118"/>
      <c r="C220" s="118"/>
      <c r="D220" s="118"/>
      <c r="E220" s="118"/>
      <c r="F220" s="118"/>
      <c r="G220" s="118"/>
      <c r="H220" s="118"/>
      <c r="I220" s="118"/>
      <c r="J220" s="118"/>
      <c r="K220" s="118"/>
      <c r="L220" s="118"/>
      <c r="M220" s="118"/>
      <c r="N220" s="118"/>
      <c r="O220" s="118"/>
      <c r="P220" s="118"/>
      <c r="Q220" s="118"/>
      <c r="R220" s="118"/>
      <c r="S220" s="118"/>
    </row>
    <row r="221" spans="2:19">
      <c r="B221" s="118"/>
      <c r="C221" s="118"/>
      <c r="D221" s="118"/>
      <c r="E221" s="118"/>
      <c r="F221" s="118"/>
      <c r="G221" s="118"/>
      <c r="H221" s="118"/>
      <c r="I221" s="118"/>
      <c r="J221" s="118"/>
      <c r="K221" s="118"/>
      <c r="L221" s="118"/>
      <c r="M221" s="118"/>
      <c r="N221" s="118"/>
      <c r="O221" s="118"/>
      <c r="P221" s="118"/>
      <c r="Q221" s="118"/>
      <c r="R221" s="118"/>
      <c r="S221" s="118"/>
    </row>
    <row r="222" spans="2:19">
      <c r="B222" s="118"/>
      <c r="C222" s="118"/>
      <c r="D222" s="118"/>
      <c r="E222" s="118"/>
      <c r="F222" s="118"/>
      <c r="G222" s="118"/>
      <c r="H222" s="118"/>
      <c r="I222" s="118"/>
      <c r="J222" s="118"/>
      <c r="K222" s="118"/>
      <c r="L222" s="118"/>
      <c r="M222" s="118"/>
      <c r="N222" s="118"/>
      <c r="O222" s="118"/>
      <c r="P222" s="118"/>
      <c r="Q222" s="118"/>
      <c r="R222" s="118"/>
      <c r="S222" s="118"/>
    </row>
    <row r="223" spans="2:19">
      <c r="B223" s="118"/>
      <c r="C223" s="118"/>
      <c r="D223" s="118"/>
      <c r="E223" s="118"/>
      <c r="F223" s="118"/>
      <c r="G223" s="118"/>
      <c r="H223" s="118"/>
      <c r="I223" s="118"/>
      <c r="J223" s="118"/>
      <c r="K223" s="118"/>
      <c r="L223" s="118"/>
      <c r="M223" s="118"/>
      <c r="N223" s="118"/>
      <c r="O223" s="118"/>
      <c r="P223" s="118"/>
      <c r="Q223" s="118"/>
      <c r="R223" s="118"/>
      <c r="S223" s="118"/>
    </row>
    <row r="224" spans="2:19">
      <c r="B224" s="118"/>
      <c r="C224" s="118"/>
      <c r="D224" s="118"/>
      <c r="E224" s="118"/>
      <c r="F224" s="118"/>
      <c r="G224" s="118"/>
      <c r="H224" s="118"/>
      <c r="I224" s="118"/>
      <c r="J224" s="118"/>
      <c r="K224" s="118"/>
      <c r="L224" s="118"/>
      <c r="M224" s="118"/>
      <c r="N224" s="118"/>
      <c r="O224" s="118"/>
      <c r="P224" s="118"/>
      <c r="Q224" s="118"/>
      <c r="R224" s="118"/>
      <c r="S224" s="118"/>
    </row>
    <row r="225" spans="2:19">
      <c r="B225" s="118"/>
      <c r="C225" s="118"/>
      <c r="D225" s="118"/>
      <c r="E225" s="118"/>
      <c r="F225" s="118"/>
      <c r="G225" s="118"/>
      <c r="H225" s="118"/>
      <c r="I225" s="118"/>
      <c r="J225" s="118"/>
      <c r="K225" s="118"/>
      <c r="L225" s="118"/>
      <c r="M225" s="118"/>
      <c r="N225" s="118"/>
      <c r="O225" s="118"/>
      <c r="P225" s="118"/>
      <c r="Q225" s="118"/>
      <c r="R225" s="118"/>
      <c r="S225" s="118"/>
    </row>
    <row r="226" spans="2:19">
      <c r="B226" s="118"/>
      <c r="C226" s="118"/>
      <c r="D226" s="118"/>
      <c r="E226" s="118"/>
      <c r="F226" s="118"/>
      <c r="G226" s="118"/>
      <c r="H226" s="118"/>
      <c r="I226" s="118"/>
      <c r="J226" s="118"/>
      <c r="K226" s="118"/>
      <c r="L226" s="118"/>
      <c r="M226" s="118"/>
      <c r="N226" s="118"/>
      <c r="O226" s="118"/>
      <c r="P226" s="118"/>
      <c r="Q226" s="118"/>
      <c r="R226" s="118"/>
      <c r="S226" s="118"/>
    </row>
    <row r="227" spans="2:19">
      <c r="B227" s="118"/>
      <c r="C227" s="118"/>
      <c r="D227" s="118"/>
      <c r="E227" s="118"/>
      <c r="F227" s="118"/>
      <c r="G227" s="118"/>
      <c r="H227" s="118"/>
      <c r="I227" s="118"/>
      <c r="J227" s="118"/>
      <c r="K227" s="118"/>
      <c r="L227" s="118"/>
      <c r="M227" s="118"/>
      <c r="N227" s="118"/>
      <c r="O227" s="118"/>
      <c r="P227" s="118"/>
      <c r="Q227" s="118"/>
      <c r="R227" s="118"/>
      <c r="S227" s="118"/>
    </row>
    <row r="228" spans="2:19">
      <c r="B228" s="118"/>
      <c r="C228" s="118"/>
      <c r="D228" s="118"/>
      <c r="E228" s="118"/>
      <c r="F228" s="118"/>
      <c r="G228" s="118"/>
      <c r="H228" s="118"/>
      <c r="I228" s="118"/>
      <c r="J228" s="118"/>
      <c r="K228" s="118"/>
      <c r="L228" s="118"/>
      <c r="M228" s="118"/>
      <c r="N228" s="118"/>
      <c r="O228" s="118"/>
      <c r="P228" s="118"/>
      <c r="Q228" s="118"/>
      <c r="R228" s="118"/>
      <c r="S228" s="118"/>
    </row>
    <row r="229" spans="2:19">
      <c r="B229" s="118"/>
      <c r="C229" s="118"/>
      <c r="D229" s="118"/>
      <c r="E229" s="118"/>
      <c r="F229" s="118"/>
      <c r="G229" s="118"/>
      <c r="H229" s="118"/>
      <c r="I229" s="118"/>
      <c r="J229" s="118"/>
      <c r="K229" s="118"/>
      <c r="L229" s="118"/>
      <c r="M229" s="118"/>
      <c r="N229" s="118"/>
      <c r="O229" s="118"/>
      <c r="P229" s="118"/>
      <c r="Q229" s="118"/>
      <c r="R229" s="118"/>
      <c r="S229" s="118"/>
    </row>
    <row r="230" spans="2:19">
      <c r="B230" s="118"/>
      <c r="C230" s="118"/>
      <c r="D230" s="118"/>
      <c r="E230" s="118"/>
      <c r="F230" s="118"/>
      <c r="G230" s="118"/>
      <c r="H230" s="118"/>
      <c r="I230" s="118"/>
      <c r="J230" s="118"/>
      <c r="K230" s="118"/>
      <c r="L230" s="118"/>
      <c r="M230" s="118"/>
      <c r="N230" s="118"/>
      <c r="O230" s="118"/>
      <c r="P230" s="118"/>
      <c r="Q230" s="118"/>
      <c r="R230" s="118"/>
      <c r="S230" s="118"/>
    </row>
    <row r="231" spans="2:19">
      <c r="B231" s="118"/>
      <c r="C231" s="118"/>
      <c r="D231" s="118"/>
      <c r="E231" s="118"/>
      <c r="F231" s="118"/>
      <c r="G231" s="118"/>
      <c r="H231" s="118"/>
      <c r="I231" s="118"/>
      <c r="J231" s="118"/>
      <c r="K231" s="118"/>
      <c r="L231" s="118"/>
      <c r="M231" s="118"/>
      <c r="N231" s="118"/>
      <c r="O231" s="118"/>
      <c r="P231" s="118"/>
      <c r="Q231" s="118"/>
      <c r="R231" s="118"/>
      <c r="S231" s="118"/>
    </row>
    <row r="232" spans="2:19">
      <c r="B232" s="118"/>
      <c r="C232" s="118"/>
      <c r="D232" s="118"/>
      <c r="E232" s="118"/>
      <c r="F232" s="118"/>
      <c r="G232" s="118"/>
      <c r="H232" s="118"/>
      <c r="I232" s="118"/>
      <c r="J232" s="118"/>
      <c r="K232" s="118"/>
      <c r="L232" s="118"/>
      <c r="M232" s="118"/>
      <c r="N232" s="118"/>
      <c r="O232" s="118"/>
      <c r="P232" s="118"/>
      <c r="Q232" s="118"/>
      <c r="R232" s="118"/>
      <c r="S232" s="118"/>
    </row>
    <row r="233" spans="2:19">
      <c r="B233" s="118"/>
      <c r="C233" s="118"/>
      <c r="D233" s="118"/>
      <c r="E233" s="118"/>
      <c r="F233" s="118"/>
      <c r="G233" s="118"/>
      <c r="H233" s="118"/>
      <c r="I233" s="118"/>
      <c r="J233" s="118"/>
      <c r="K233" s="118"/>
      <c r="L233" s="118"/>
      <c r="M233" s="118"/>
      <c r="N233" s="118"/>
      <c r="O233" s="118"/>
      <c r="P233" s="118"/>
      <c r="Q233" s="118"/>
      <c r="R233" s="118"/>
      <c r="S233" s="118"/>
    </row>
    <row r="234" spans="2:19">
      <c r="B234" s="118"/>
      <c r="C234" s="118"/>
      <c r="D234" s="118"/>
      <c r="E234" s="118"/>
      <c r="F234" s="118"/>
      <c r="G234" s="118"/>
      <c r="H234" s="118"/>
      <c r="I234" s="118"/>
      <c r="J234" s="118"/>
      <c r="K234" s="118"/>
      <c r="L234" s="118"/>
      <c r="M234" s="118"/>
      <c r="N234" s="118"/>
      <c r="O234" s="118"/>
      <c r="P234" s="118"/>
      <c r="Q234" s="118"/>
      <c r="R234" s="118"/>
      <c r="S234" s="118"/>
    </row>
    <row r="235" spans="2:19">
      <c r="B235" s="118"/>
      <c r="C235" s="118"/>
      <c r="D235" s="118"/>
      <c r="E235" s="118"/>
      <c r="F235" s="118"/>
      <c r="G235" s="118"/>
      <c r="H235" s="118"/>
      <c r="I235" s="118"/>
      <c r="J235" s="118"/>
      <c r="K235" s="118"/>
      <c r="L235" s="118"/>
      <c r="M235" s="118"/>
      <c r="N235" s="118"/>
      <c r="O235" s="118"/>
      <c r="P235" s="118"/>
      <c r="Q235" s="118"/>
      <c r="R235" s="118"/>
      <c r="S235" s="118"/>
    </row>
    <row r="236" spans="2:19">
      <c r="B236" s="118"/>
      <c r="C236" s="118"/>
      <c r="D236" s="118"/>
      <c r="E236" s="118"/>
      <c r="F236" s="118"/>
      <c r="G236" s="118"/>
      <c r="H236" s="118"/>
      <c r="I236" s="118"/>
      <c r="J236" s="118"/>
      <c r="K236" s="118"/>
      <c r="L236" s="118"/>
      <c r="M236" s="118"/>
      <c r="N236" s="118"/>
      <c r="O236" s="118"/>
      <c r="P236" s="118"/>
      <c r="Q236" s="118"/>
      <c r="R236" s="118"/>
      <c r="S236" s="118"/>
    </row>
    <row r="237" spans="2:19">
      <c r="B237" s="118"/>
      <c r="C237" s="118"/>
      <c r="D237" s="118"/>
      <c r="E237" s="118"/>
      <c r="F237" s="118"/>
      <c r="G237" s="118"/>
      <c r="H237" s="118"/>
      <c r="I237" s="118"/>
      <c r="J237" s="118"/>
      <c r="K237" s="118"/>
      <c r="L237" s="118"/>
      <c r="M237" s="118"/>
      <c r="N237" s="118"/>
      <c r="O237" s="118"/>
      <c r="P237" s="118"/>
      <c r="Q237" s="118"/>
      <c r="R237" s="118"/>
      <c r="S237" s="118"/>
    </row>
    <row r="238" spans="2:19">
      <c r="B238" s="118"/>
      <c r="C238" s="118"/>
      <c r="D238" s="118"/>
      <c r="E238" s="118"/>
      <c r="F238" s="118"/>
      <c r="G238" s="118"/>
      <c r="H238" s="118"/>
      <c r="I238" s="118"/>
      <c r="J238" s="118"/>
      <c r="K238" s="118"/>
      <c r="L238" s="118"/>
      <c r="M238" s="118"/>
      <c r="N238" s="118"/>
      <c r="O238" s="118"/>
      <c r="P238" s="118"/>
      <c r="Q238" s="118"/>
      <c r="R238" s="118"/>
      <c r="S238" s="118"/>
    </row>
    <row r="239" spans="2:19">
      <c r="B239" s="118"/>
      <c r="C239" s="118"/>
      <c r="D239" s="118"/>
      <c r="E239" s="118"/>
      <c r="F239" s="118"/>
      <c r="G239" s="118"/>
      <c r="H239" s="118"/>
      <c r="I239" s="118"/>
      <c r="J239" s="118"/>
      <c r="K239" s="118"/>
      <c r="L239" s="118"/>
      <c r="M239" s="118"/>
      <c r="N239" s="118"/>
      <c r="O239" s="118"/>
      <c r="P239" s="118"/>
      <c r="Q239" s="118"/>
      <c r="R239" s="118"/>
      <c r="S239" s="118"/>
    </row>
    <row r="240" spans="2:19">
      <c r="B240" s="118"/>
      <c r="C240" s="118"/>
      <c r="D240" s="118"/>
      <c r="E240" s="118"/>
      <c r="F240" s="118"/>
      <c r="G240" s="118"/>
      <c r="H240" s="118"/>
      <c r="I240" s="118"/>
      <c r="J240" s="118"/>
      <c r="K240" s="118"/>
      <c r="L240" s="118"/>
      <c r="M240" s="118"/>
      <c r="N240" s="118"/>
      <c r="O240" s="118"/>
      <c r="P240" s="118"/>
      <c r="Q240" s="118"/>
      <c r="R240" s="118"/>
      <c r="S240" s="118"/>
    </row>
    <row r="241" spans="2:19">
      <c r="B241" s="118"/>
      <c r="C241" s="118"/>
      <c r="D241" s="118"/>
      <c r="E241" s="118"/>
      <c r="F241" s="118"/>
      <c r="G241" s="118"/>
      <c r="H241" s="118"/>
      <c r="I241" s="118"/>
      <c r="J241" s="118"/>
      <c r="K241" s="118"/>
      <c r="L241" s="118"/>
      <c r="M241" s="118"/>
      <c r="N241" s="118"/>
      <c r="O241" s="118"/>
      <c r="P241" s="118"/>
      <c r="Q241" s="118"/>
      <c r="R241" s="118"/>
      <c r="S241" s="118"/>
    </row>
    <row r="242" spans="2:19">
      <c r="B242" s="118"/>
      <c r="C242" s="118"/>
      <c r="D242" s="118"/>
      <c r="E242" s="118"/>
      <c r="F242" s="118"/>
      <c r="G242" s="118"/>
      <c r="H242" s="118"/>
      <c r="I242" s="118"/>
      <c r="J242" s="118"/>
      <c r="K242" s="118"/>
      <c r="L242" s="118"/>
      <c r="M242" s="118"/>
      <c r="N242" s="118"/>
      <c r="O242" s="118"/>
      <c r="P242" s="118"/>
      <c r="Q242" s="118"/>
      <c r="R242" s="118"/>
      <c r="S242" s="118"/>
    </row>
    <row r="243" spans="2:19">
      <c r="B243" s="118"/>
      <c r="C243" s="118"/>
      <c r="D243" s="118"/>
      <c r="E243" s="118"/>
      <c r="F243" s="118"/>
      <c r="G243" s="118"/>
      <c r="H243" s="118"/>
      <c r="I243" s="118"/>
      <c r="J243" s="118"/>
      <c r="K243" s="118"/>
      <c r="L243" s="118"/>
      <c r="M243" s="118"/>
      <c r="N243" s="118"/>
      <c r="O243" s="118"/>
      <c r="P243" s="118"/>
      <c r="Q243" s="118"/>
      <c r="R243" s="118"/>
      <c r="S243" s="118"/>
    </row>
    <row r="244" spans="2:19">
      <c r="B244" s="118"/>
      <c r="C244" s="118"/>
      <c r="D244" s="118"/>
      <c r="E244" s="118"/>
      <c r="F244" s="118"/>
      <c r="G244" s="118"/>
      <c r="H244" s="118"/>
      <c r="I244" s="118"/>
      <c r="J244" s="118"/>
      <c r="K244" s="118"/>
      <c r="L244" s="118"/>
      <c r="M244" s="118"/>
      <c r="N244" s="118"/>
      <c r="O244" s="118"/>
      <c r="P244" s="118"/>
      <c r="Q244" s="118"/>
      <c r="R244" s="118"/>
      <c r="S244" s="118"/>
    </row>
    <row r="245" spans="2:19">
      <c r="B245" s="118"/>
      <c r="C245" s="118"/>
      <c r="D245" s="118"/>
      <c r="E245" s="118"/>
      <c r="F245" s="118"/>
      <c r="G245" s="118"/>
      <c r="H245" s="118"/>
      <c r="I245" s="118"/>
      <c r="J245" s="118"/>
      <c r="K245" s="118"/>
      <c r="L245" s="118"/>
      <c r="M245" s="118"/>
      <c r="N245" s="118"/>
      <c r="O245" s="118"/>
      <c r="P245" s="118"/>
      <c r="Q245" s="118"/>
      <c r="R245" s="118"/>
      <c r="S245" s="118"/>
    </row>
    <row r="246" spans="2:19">
      <c r="B246" s="118"/>
      <c r="C246" s="118"/>
      <c r="D246" s="118"/>
      <c r="E246" s="118"/>
      <c r="F246" s="118"/>
      <c r="G246" s="118"/>
      <c r="H246" s="118"/>
      <c r="I246" s="118"/>
      <c r="J246" s="118"/>
      <c r="K246" s="118"/>
      <c r="L246" s="118"/>
      <c r="M246" s="118"/>
      <c r="N246" s="118"/>
      <c r="O246" s="118"/>
      <c r="P246" s="118"/>
      <c r="Q246" s="118"/>
      <c r="R246" s="118"/>
      <c r="S246" s="118"/>
    </row>
    <row r="247" spans="2:19">
      <c r="B247" s="118"/>
      <c r="C247" s="118"/>
      <c r="D247" s="118"/>
      <c r="E247" s="118"/>
      <c r="F247" s="118"/>
      <c r="G247" s="118"/>
      <c r="H247" s="118"/>
      <c r="I247" s="118"/>
      <c r="J247" s="118"/>
      <c r="K247" s="118"/>
      <c r="L247" s="118"/>
      <c r="M247" s="118"/>
      <c r="N247" s="118"/>
      <c r="O247" s="118"/>
      <c r="P247" s="118"/>
      <c r="Q247" s="118"/>
      <c r="R247" s="118"/>
      <c r="S247" s="118"/>
    </row>
    <row r="248" spans="2:19">
      <c r="B248" s="118"/>
      <c r="C248" s="118"/>
      <c r="D248" s="118"/>
      <c r="E248" s="118"/>
      <c r="F248" s="118"/>
      <c r="G248" s="118"/>
      <c r="H248" s="118"/>
      <c r="I248" s="118"/>
      <c r="J248" s="118"/>
      <c r="K248" s="118"/>
      <c r="L248" s="118"/>
      <c r="M248" s="118"/>
      <c r="N248" s="118"/>
      <c r="O248" s="118"/>
      <c r="P248" s="118"/>
      <c r="Q248" s="118"/>
      <c r="R248" s="118"/>
      <c r="S248" s="118"/>
    </row>
    <row r="249" spans="2:19">
      <c r="B249" s="118"/>
      <c r="C249" s="118"/>
      <c r="D249" s="118"/>
      <c r="E249" s="118"/>
      <c r="F249" s="118"/>
      <c r="G249" s="118"/>
      <c r="H249" s="118"/>
      <c r="I249" s="118"/>
      <c r="J249" s="118"/>
      <c r="K249" s="118"/>
      <c r="L249" s="118"/>
      <c r="M249" s="118"/>
      <c r="N249" s="118"/>
      <c r="O249" s="118"/>
      <c r="P249" s="118"/>
      <c r="Q249" s="118"/>
      <c r="R249" s="118"/>
      <c r="S249" s="118"/>
    </row>
    <row r="250" spans="2:19">
      <c r="B250" s="118"/>
      <c r="C250" s="118"/>
      <c r="D250" s="118"/>
      <c r="E250" s="118"/>
      <c r="F250" s="118"/>
      <c r="G250" s="118"/>
      <c r="H250" s="118"/>
      <c r="I250" s="118"/>
      <c r="J250" s="118"/>
      <c r="K250" s="118"/>
      <c r="L250" s="118"/>
      <c r="M250" s="118"/>
      <c r="N250" s="118"/>
      <c r="O250" s="118"/>
      <c r="P250" s="118"/>
      <c r="Q250" s="118"/>
      <c r="R250" s="118"/>
      <c r="S250" s="118"/>
    </row>
    <row r="251" spans="2:19">
      <c r="B251" s="118"/>
      <c r="C251" s="118"/>
      <c r="D251" s="118"/>
      <c r="E251" s="118"/>
      <c r="F251" s="118"/>
      <c r="G251" s="118"/>
      <c r="H251" s="118"/>
      <c r="I251" s="118"/>
      <c r="J251" s="118"/>
      <c r="K251" s="118"/>
      <c r="L251" s="118"/>
      <c r="M251" s="118"/>
      <c r="N251" s="118"/>
      <c r="O251" s="118"/>
      <c r="P251" s="118"/>
      <c r="Q251" s="118"/>
      <c r="R251" s="118"/>
      <c r="S251" s="118"/>
    </row>
    <row r="252" spans="2:19">
      <c r="B252" s="118"/>
      <c r="C252" s="118"/>
      <c r="D252" s="118"/>
      <c r="E252" s="118"/>
      <c r="F252" s="118"/>
      <c r="G252" s="118"/>
      <c r="H252" s="118"/>
      <c r="I252" s="118"/>
      <c r="J252" s="118"/>
      <c r="K252" s="118"/>
      <c r="L252" s="118"/>
      <c r="M252" s="118"/>
      <c r="N252" s="118"/>
      <c r="O252" s="118"/>
      <c r="P252" s="118"/>
      <c r="Q252" s="118"/>
      <c r="R252" s="118"/>
      <c r="S252" s="118"/>
    </row>
    <row r="253" spans="2:19">
      <c r="B253" s="118"/>
      <c r="C253" s="118"/>
      <c r="D253" s="118"/>
      <c r="E253" s="118"/>
      <c r="F253" s="118"/>
      <c r="G253" s="118"/>
      <c r="H253" s="118"/>
      <c r="I253" s="118"/>
      <c r="J253" s="118"/>
      <c r="K253" s="118"/>
      <c r="L253" s="118"/>
      <c r="M253" s="118"/>
      <c r="N253" s="118"/>
      <c r="O253" s="118"/>
      <c r="P253" s="118"/>
      <c r="Q253" s="118"/>
      <c r="R253" s="118"/>
      <c r="S253" s="118"/>
    </row>
    <row r="254" spans="2:19">
      <c r="B254" s="118"/>
      <c r="C254" s="118"/>
      <c r="D254" s="118"/>
      <c r="E254" s="118"/>
      <c r="F254" s="118"/>
      <c r="G254" s="118"/>
      <c r="H254" s="118"/>
      <c r="I254" s="118"/>
      <c r="J254" s="118"/>
      <c r="K254" s="118"/>
      <c r="L254" s="118"/>
      <c r="M254" s="118"/>
      <c r="N254" s="118"/>
      <c r="O254" s="118"/>
      <c r="P254" s="118"/>
      <c r="Q254" s="118"/>
      <c r="R254" s="118"/>
      <c r="S254" s="118"/>
    </row>
    <row r="255" spans="2:19">
      <c r="B255" s="118"/>
      <c r="C255" s="118"/>
      <c r="D255" s="118"/>
      <c r="E255" s="118"/>
      <c r="F255" s="118"/>
      <c r="G255" s="118"/>
      <c r="H255" s="118"/>
      <c r="I255" s="118"/>
      <c r="J255" s="118"/>
      <c r="K255" s="118"/>
      <c r="L255" s="118"/>
      <c r="M255" s="118"/>
      <c r="N255" s="118"/>
      <c r="O255" s="118"/>
      <c r="P255" s="118"/>
      <c r="Q255" s="118"/>
      <c r="R255" s="118"/>
      <c r="S255" s="118"/>
    </row>
    <row r="256" spans="2:19">
      <c r="B256" s="118"/>
      <c r="C256" s="118"/>
      <c r="D256" s="118"/>
      <c r="E256" s="118"/>
      <c r="F256" s="118"/>
      <c r="G256" s="118"/>
      <c r="H256" s="118"/>
      <c r="I256" s="118"/>
      <c r="J256" s="118"/>
      <c r="K256" s="118"/>
      <c r="L256" s="118"/>
      <c r="M256" s="118"/>
      <c r="N256" s="118"/>
      <c r="O256" s="118"/>
      <c r="P256" s="118"/>
      <c r="Q256" s="118"/>
      <c r="R256" s="118"/>
      <c r="S256" s="118"/>
    </row>
    <row r="257" spans="2:19">
      <c r="B257" s="118"/>
      <c r="C257" s="118"/>
      <c r="D257" s="118"/>
      <c r="E257" s="118"/>
      <c r="F257" s="118"/>
      <c r="G257" s="118"/>
      <c r="H257" s="118"/>
      <c r="I257" s="118"/>
      <c r="J257" s="118"/>
      <c r="K257" s="118"/>
      <c r="L257" s="118"/>
      <c r="M257" s="118"/>
      <c r="N257" s="118"/>
      <c r="O257" s="118"/>
      <c r="P257" s="118"/>
      <c r="Q257" s="118"/>
      <c r="R257" s="118"/>
      <c r="S257" s="118"/>
    </row>
    <row r="258" spans="2:19">
      <c r="B258" s="118"/>
      <c r="C258" s="118"/>
      <c r="D258" s="118"/>
      <c r="E258" s="118"/>
      <c r="F258" s="118"/>
      <c r="G258" s="118"/>
      <c r="H258" s="118"/>
      <c r="I258" s="118"/>
      <c r="J258" s="118"/>
      <c r="K258" s="118"/>
      <c r="L258" s="118"/>
      <c r="M258" s="118"/>
      <c r="N258" s="118"/>
      <c r="O258" s="118"/>
      <c r="P258" s="118"/>
      <c r="Q258" s="118"/>
      <c r="R258" s="118"/>
      <c r="S258" s="118"/>
    </row>
    <row r="259" spans="2:19">
      <c r="B259" s="118"/>
      <c r="C259" s="118"/>
      <c r="D259" s="118"/>
      <c r="E259" s="118"/>
      <c r="F259" s="118"/>
      <c r="G259" s="118"/>
      <c r="H259" s="118"/>
      <c r="I259" s="118"/>
      <c r="J259" s="118"/>
      <c r="K259" s="118"/>
      <c r="L259" s="118"/>
      <c r="M259" s="118"/>
      <c r="N259" s="118"/>
      <c r="O259" s="118"/>
      <c r="P259" s="118"/>
      <c r="Q259" s="118"/>
      <c r="R259" s="118"/>
      <c r="S259" s="118"/>
    </row>
    <row r="260" spans="2:19">
      <c r="B260" s="118"/>
      <c r="C260" s="118"/>
      <c r="D260" s="118"/>
      <c r="E260" s="118"/>
      <c r="F260" s="118"/>
      <c r="G260" s="118"/>
      <c r="H260" s="118"/>
      <c r="I260" s="118"/>
      <c r="J260" s="118"/>
      <c r="K260" s="118"/>
      <c r="L260" s="118"/>
      <c r="M260" s="118"/>
      <c r="N260" s="118"/>
      <c r="O260" s="118"/>
      <c r="P260" s="118"/>
      <c r="Q260" s="118"/>
      <c r="R260" s="118"/>
      <c r="S260" s="118"/>
    </row>
    <row r="261" spans="2:19">
      <c r="B261" s="118"/>
      <c r="C261" s="118"/>
      <c r="D261" s="118"/>
      <c r="E261" s="118"/>
      <c r="F261" s="118"/>
      <c r="G261" s="118"/>
      <c r="H261" s="118"/>
      <c r="I261" s="118"/>
      <c r="J261" s="118"/>
      <c r="K261" s="118"/>
      <c r="L261" s="118"/>
      <c r="M261" s="118"/>
      <c r="N261" s="118"/>
      <c r="O261" s="118"/>
      <c r="P261" s="118"/>
      <c r="Q261" s="118"/>
      <c r="R261" s="118"/>
      <c r="S261" s="118"/>
    </row>
    <row r="262" spans="2:19">
      <c r="B262" s="118"/>
      <c r="C262" s="118"/>
      <c r="D262" s="118"/>
      <c r="E262" s="118"/>
      <c r="F262" s="118"/>
      <c r="G262" s="118"/>
      <c r="H262" s="118"/>
      <c r="I262" s="118"/>
      <c r="J262" s="118"/>
      <c r="K262" s="118"/>
      <c r="L262" s="118"/>
      <c r="M262" s="118"/>
      <c r="N262" s="118"/>
      <c r="O262" s="118"/>
      <c r="P262" s="118"/>
      <c r="Q262" s="118"/>
      <c r="R262" s="118"/>
      <c r="S262" s="118"/>
    </row>
    <row r="263" spans="2:19">
      <c r="B263" s="118"/>
      <c r="C263" s="118"/>
      <c r="D263" s="118"/>
      <c r="E263" s="118"/>
      <c r="F263" s="118"/>
      <c r="G263" s="118"/>
      <c r="H263" s="118"/>
      <c r="I263" s="118"/>
      <c r="J263" s="118"/>
      <c r="K263" s="118"/>
      <c r="L263" s="118"/>
      <c r="M263" s="118"/>
      <c r="N263" s="118"/>
      <c r="O263" s="118"/>
      <c r="P263" s="118"/>
      <c r="Q263" s="118"/>
      <c r="R263" s="118"/>
      <c r="S263" s="118"/>
    </row>
    <row r="264" spans="2:19">
      <c r="B264" s="118"/>
      <c r="C264" s="118"/>
      <c r="D264" s="118"/>
      <c r="E264" s="118"/>
      <c r="F264" s="118"/>
      <c r="G264" s="118"/>
      <c r="H264" s="118"/>
      <c r="I264" s="118"/>
      <c r="J264" s="118"/>
      <c r="K264" s="118"/>
      <c r="L264" s="118"/>
      <c r="M264" s="118"/>
      <c r="N264" s="118"/>
      <c r="O264" s="118"/>
      <c r="P264" s="118"/>
      <c r="Q264" s="118"/>
      <c r="R264" s="118"/>
      <c r="S264" s="118"/>
    </row>
    <row r="265" spans="2:19">
      <c r="B265" s="118"/>
      <c r="C265" s="118"/>
      <c r="D265" s="118"/>
      <c r="E265" s="118"/>
      <c r="F265" s="118"/>
      <c r="G265" s="118"/>
      <c r="H265" s="118"/>
      <c r="I265" s="118"/>
      <c r="J265" s="118"/>
      <c r="K265" s="118"/>
      <c r="L265" s="118"/>
      <c r="M265" s="118"/>
      <c r="N265" s="118"/>
      <c r="O265" s="118"/>
      <c r="P265" s="118"/>
      <c r="Q265" s="118"/>
      <c r="R265" s="118"/>
      <c r="S265" s="118"/>
    </row>
    <row r="266" spans="2:19">
      <c r="B266" s="118"/>
      <c r="C266" s="118"/>
      <c r="D266" s="118"/>
      <c r="E266" s="118"/>
      <c r="F266" s="118"/>
      <c r="G266" s="118"/>
      <c r="H266" s="118"/>
      <c r="I266" s="118"/>
      <c r="J266" s="118"/>
      <c r="K266" s="118"/>
      <c r="L266" s="118"/>
      <c r="M266" s="118"/>
      <c r="N266" s="118"/>
      <c r="O266" s="118"/>
      <c r="P266" s="118"/>
      <c r="Q266" s="118"/>
      <c r="R266" s="118"/>
      <c r="S266" s="118"/>
    </row>
    <row r="267" spans="2:19">
      <c r="B267" s="118"/>
      <c r="C267" s="118"/>
      <c r="D267" s="118"/>
      <c r="E267" s="118"/>
      <c r="F267" s="118"/>
      <c r="G267" s="118"/>
      <c r="H267" s="118"/>
      <c r="I267" s="118"/>
      <c r="J267" s="118"/>
      <c r="K267" s="118"/>
      <c r="L267" s="118"/>
      <c r="M267" s="118"/>
      <c r="N267" s="118"/>
      <c r="O267" s="118"/>
      <c r="P267" s="118"/>
      <c r="Q267" s="118"/>
      <c r="R267" s="118"/>
      <c r="S267" s="118"/>
    </row>
    <row r="268" spans="2:19">
      <c r="B268" s="118"/>
      <c r="C268" s="118"/>
      <c r="D268" s="118"/>
      <c r="E268" s="118"/>
      <c r="F268" s="118"/>
      <c r="G268" s="118"/>
      <c r="H268" s="118"/>
      <c r="I268" s="118"/>
      <c r="J268" s="118"/>
      <c r="K268" s="118"/>
      <c r="L268" s="118"/>
      <c r="M268" s="118"/>
      <c r="N268" s="118"/>
      <c r="O268" s="118"/>
      <c r="P268" s="118"/>
      <c r="Q268" s="118"/>
      <c r="R268" s="118"/>
      <c r="S268" s="118"/>
    </row>
    <row r="269" spans="2:19">
      <c r="B269" s="118"/>
      <c r="C269" s="118"/>
      <c r="D269" s="118"/>
      <c r="E269" s="118"/>
      <c r="F269" s="118"/>
      <c r="G269" s="118"/>
      <c r="H269" s="118"/>
      <c r="I269" s="118"/>
      <c r="J269" s="118"/>
      <c r="K269" s="118"/>
      <c r="L269" s="118"/>
      <c r="M269" s="118"/>
      <c r="N269" s="118"/>
      <c r="O269" s="118"/>
      <c r="P269" s="118"/>
      <c r="Q269" s="118"/>
      <c r="R269" s="118"/>
      <c r="S269" s="118"/>
    </row>
    <row r="270" spans="2:19">
      <c r="B270" s="118"/>
      <c r="C270" s="118"/>
      <c r="D270" s="118"/>
      <c r="E270" s="118"/>
      <c r="F270" s="118"/>
      <c r="G270" s="118"/>
      <c r="H270" s="118"/>
      <c r="I270" s="118"/>
      <c r="J270" s="118"/>
      <c r="K270" s="118"/>
      <c r="L270" s="118"/>
      <c r="M270" s="118"/>
      <c r="N270" s="118"/>
      <c r="O270" s="118"/>
      <c r="P270" s="118"/>
      <c r="Q270" s="118"/>
      <c r="R270" s="118"/>
      <c r="S270" s="118"/>
    </row>
    <row r="271" spans="2:19">
      <c r="B271" s="118"/>
      <c r="C271" s="118"/>
      <c r="D271" s="118"/>
      <c r="E271" s="118"/>
      <c r="F271" s="118"/>
      <c r="G271" s="118"/>
      <c r="H271" s="118"/>
      <c r="I271" s="118"/>
      <c r="J271" s="118"/>
      <c r="K271" s="118"/>
      <c r="L271" s="118"/>
      <c r="M271" s="118"/>
      <c r="N271" s="118"/>
      <c r="O271" s="118"/>
      <c r="P271" s="118"/>
      <c r="Q271" s="118"/>
      <c r="R271" s="118"/>
      <c r="S271" s="118"/>
    </row>
    <row r="272" spans="2:19">
      <c r="B272" s="118"/>
      <c r="C272" s="118"/>
      <c r="D272" s="118"/>
      <c r="E272" s="118"/>
      <c r="F272" s="118"/>
      <c r="G272" s="118"/>
      <c r="H272" s="118"/>
      <c r="I272" s="118"/>
      <c r="J272" s="118"/>
      <c r="K272" s="118"/>
      <c r="L272" s="118"/>
      <c r="M272" s="118"/>
      <c r="N272" s="118"/>
      <c r="O272" s="118"/>
      <c r="P272" s="118"/>
      <c r="Q272" s="118"/>
      <c r="R272" s="118"/>
      <c r="S272" s="118"/>
    </row>
    <row r="273" spans="2:19">
      <c r="B273" s="118"/>
      <c r="C273" s="118"/>
      <c r="D273" s="118"/>
      <c r="E273" s="118"/>
      <c r="F273" s="118"/>
      <c r="G273" s="118"/>
      <c r="H273" s="118"/>
      <c r="I273" s="118"/>
      <c r="J273" s="118"/>
      <c r="K273" s="118"/>
      <c r="L273" s="118"/>
      <c r="M273" s="118"/>
      <c r="N273" s="118"/>
      <c r="O273" s="118"/>
      <c r="P273" s="118"/>
      <c r="Q273" s="118"/>
      <c r="R273" s="118"/>
      <c r="S273" s="118"/>
    </row>
    <row r="274" spans="2:19">
      <c r="B274" s="118"/>
      <c r="C274" s="118"/>
      <c r="D274" s="118"/>
      <c r="E274" s="118"/>
      <c r="F274" s="118"/>
      <c r="G274" s="118"/>
      <c r="H274" s="118"/>
      <c r="I274" s="118"/>
      <c r="J274" s="118"/>
      <c r="K274" s="118"/>
      <c r="L274" s="118"/>
      <c r="M274" s="118"/>
      <c r="N274" s="118"/>
      <c r="O274" s="118"/>
      <c r="P274" s="118"/>
      <c r="Q274" s="118"/>
      <c r="R274" s="118"/>
      <c r="S274" s="118"/>
    </row>
    <row r="275" spans="2:19">
      <c r="B275" s="118"/>
      <c r="C275" s="118"/>
      <c r="D275" s="118"/>
      <c r="E275" s="118"/>
      <c r="F275" s="118"/>
      <c r="G275" s="118"/>
      <c r="H275" s="118"/>
      <c r="I275" s="118"/>
      <c r="J275" s="118"/>
      <c r="K275" s="118"/>
      <c r="L275" s="118"/>
      <c r="M275" s="118"/>
      <c r="N275" s="118"/>
      <c r="O275" s="118"/>
      <c r="P275" s="118"/>
      <c r="Q275" s="118"/>
      <c r="R275" s="118"/>
      <c r="S275" s="118"/>
    </row>
    <row r="276" spans="2:19">
      <c r="B276" s="118"/>
      <c r="C276" s="118"/>
      <c r="D276" s="118"/>
      <c r="E276" s="118"/>
      <c r="F276" s="118"/>
      <c r="G276" s="118"/>
      <c r="H276" s="118"/>
      <c r="I276" s="118"/>
      <c r="J276" s="118"/>
      <c r="K276" s="118"/>
      <c r="L276" s="118"/>
      <c r="M276" s="118"/>
      <c r="N276" s="118"/>
      <c r="O276" s="118"/>
      <c r="P276" s="118"/>
      <c r="Q276" s="118"/>
      <c r="R276" s="118"/>
      <c r="S276" s="118"/>
    </row>
    <row r="277" spans="2:19">
      <c r="B277" s="118"/>
      <c r="C277" s="118"/>
      <c r="D277" s="118"/>
      <c r="E277" s="118"/>
      <c r="F277" s="118"/>
      <c r="G277" s="118"/>
      <c r="H277" s="118"/>
      <c r="I277" s="118"/>
      <c r="J277" s="118"/>
      <c r="K277" s="118"/>
      <c r="L277" s="118"/>
      <c r="M277" s="118"/>
      <c r="N277" s="118"/>
      <c r="O277" s="118"/>
      <c r="P277" s="118"/>
      <c r="Q277" s="118"/>
      <c r="R277" s="118"/>
      <c r="S277" s="118"/>
    </row>
    <row r="278" spans="2:19">
      <c r="B278" s="118"/>
      <c r="C278" s="118"/>
      <c r="D278" s="118"/>
      <c r="E278" s="118"/>
      <c r="F278" s="118"/>
      <c r="G278" s="118"/>
      <c r="H278" s="118"/>
      <c r="I278" s="118"/>
      <c r="J278" s="118"/>
      <c r="K278" s="118"/>
      <c r="L278" s="118"/>
      <c r="M278" s="118"/>
      <c r="N278" s="118"/>
      <c r="O278" s="118"/>
      <c r="P278" s="118"/>
      <c r="Q278" s="118"/>
      <c r="R278" s="118"/>
      <c r="S278" s="118"/>
    </row>
    <row r="279" spans="2:19">
      <c r="B279" s="118"/>
      <c r="C279" s="118"/>
      <c r="D279" s="118"/>
      <c r="E279" s="118"/>
      <c r="F279" s="118"/>
      <c r="G279" s="118"/>
      <c r="H279" s="118"/>
      <c r="I279" s="118"/>
      <c r="J279" s="118"/>
      <c r="K279" s="118"/>
      <c r="L279" s="118"/>
      <c r="M279" s="118"/>
      <c r="N279" s="118"/>
      <c r="O279" s="118"/>
      <c r="P279" s="118"/>
      <c r="Q279" s="118"/>
      <c r="R279" s="118"/>
      <c r="S279" s="118"/>
    </row>
    <row r="280" spans="2:19">
      <c r="B280" s="118"/>
      <c r="C280" s="118"/>
      <c r="D280" s="118"/>
      <c r="E280" s="118"/>
      <c r="F280" s="118"/>
      <c r="G280" s="118"/>
      <c r="H280" s="118"/>
      <c r="I280" s="118"/>
      <c r="J280" s="118"/>
      <c r="K280" s="118"/>
      <c r="L280" s="118"/>
      <c r="M280" s="118"/>
      <c r="N280" s="118"/>
      <c r="O280" s="118"/>
      <c r="P280" s="118"/>
      <c r="Q280" s="118"/>
      <c r="R280" s="118"/>
      <c r="S280" s="118"/>
    </row>
    <row r="281" spans="2:19">
      <c r="B281" s="118"/>
      <c r="C281" s="118"/>
      <c r="D281" s="118"/>
      <c r="E281" s="118"/>
      <c r="F281" s="118"/>
      <c r="G281" s="118"/>
      <c r="H281" s="118"/>
      <c r="I281" s="118"/>
      <c r="J281" s="118"/>
      <c r="K281" s="118"/>
      <c r="L281" s="118"/>
      <c r="M281" s="118"/>
      <c r="N281" s="118"/>
      <c r="O281" s="118"/>
      <c r="P281" s="118"/>
      <c r="Q281" s="118"/>
      <c r="R281" s="118"/>
      <c r="S281" s="118"/>
    </row>
    <row r="282" spans="2:19">
      <c r="B282" s="118"/>
      <c r="C282" s="118"/>
      <c r="D282" s="118"/>
      <c r="E282" s="118"/>
      <c r="F282" s="118"/>
      <c r="G282" s="118"/>
      <c r="H282" s="118"/>
      <c r="I282" s="118"/>
      <c r="J282" s="118"/>
      <c r="K282" s="118"/>
      <c r="L282" s="118"/>
      <c r="M282" s="118"/>
      <c r="N282" s="118"/>
      <c r="O282" s="118"/>
      <c r="P282" s="118"/>
      <c r="Q282" s="118"/>
      <c r="R282" s="118"/>
      <c r="S282" s="118"/>
    </row>
    <row r="283" spans="2:19">
      <c r="B283" s="118"/>
      <c r="C283" s="118"/>
      <c r="D283" s="118"/>
      <c r="E283" s="118"/>
      <c r="F283" s="118"/>
      <c r="G283" s="118"/>
      <c r="H283" s="118"/>
      <c r="I283" s="118"/>
      <c r="J283" s="118"/>
      <c r="K283" s="118"/>
      <c r="L283" s="118"/>
      <c r="M283" s="118"/>
      <c r="N283" s="118"/>
      <c r="O283" s="118"/>
      <c r="P283" s="118"/>
      <c r="Q283" s="118"/>
      <c r="R283" s="118"/>
      <c r="S283" s="118"/>
    </row>
    <row r="284" spans="2:19">
      <c r="B284" s="118"/>
      <c r="C284" s="118"/>
      <c r="D284" s="118"/>
      <c r="E284" s="118"/>
      <c r="F284" s="118"/>
      <c r="G284" s="118"/>
      <c r="H284" s="118"/>
      <c r="I284" s="118"/>
      <c r="J284" s="118"/>
      <c r="K284" s="118"/>
      <c r="L284" s="118"/>
      <c r="M284" s="118"/>
      <c r="N284" s="118"/>
      <c r="O284" s="118"/>
      <c r="P284" s="118"/>
      <c r="Q284" s="118"/>
      <c r="R284" s="118"/>
      <c r="S284" s="118"/>
    </row>
    <row r="285" spans="2:19">
      <c r="B285" s="118"/>
      <c r="C285" s="118"/>
      <c r="D285" s="118"/>
      <c r="E285" s="118"/>
      <c r="F285" s="118"/>
      <c r="G285" s="118"/>
      <c r="H285" s="118"/>
      <c r="I285" s="118"/>
      <c r="J285" s="118"/>
      <c r="K285" s="118"/>
      <c r="L285" s="118"/>
      <c r="M285" s="118"/>
      <c r="N285" s="118"/>
      <c r="O285" s="118"/>
      <c r="P285" s="118"/>
      <c r="Q285" s="118"/>
      <c r="R285" s="118"/>
      <c r="S285" s="118"/>
    </row>
    <row r="286" spans="2:19">
      <c r="B286" s="118"/>
      <c r="C286" s="118"/>
      <c r="D286" s="118"/>
      <c r="E286" s="118"/>
      <c r="F286" s="118"/>
      <c r="G286" s="118"/>
      <c r="H286" s="118"/>
      <c r="I286" s="118"/>
      <c r="J286" s="118"/>
      <c r="K286" s="118"/>
      <c r="L286" s="118"/>
      <c r="M286" s="118"/>
      <c r="N286" s="118"/>
      <c r="O286" s="118"/>
      <c r="P286" s="118"/>
      <c r="Q286" s="118"/>
      <c r="R286" s="118"/>
      <c r="S286" s="118"/>
    </row>
    <row r="287" spans="2:19">
      <c r="B287" s="118"/>
      <c r="C287" s="118"/>
      <c r="D287" s="118"/>
      <c r="E287" s="118"/>
      <c r="F287" s="118"/>
      <c r="G287" s="118"/>
      <c r="H287" s="118"/>
      <c r="I287" s="118"/>
      <c r="J287" s="118"/>
      <c r="K287" s="118"/>
      <c r="L287" s="118"/>
      <c r="M287" s="118"/>
      <c r="N287" s="118"/>
      <c r="O287" s="118"/>
      <c r="P287" s="118"/>
      <c r="Q287" s="118"/>
      <c r="R287" s="118"/>
      <c r="S287" s="118"/>
    </row>
    <row r="288" spans="2:19">
      <c r="B288" s="118"/>
      <c r="C288" s="118"/>
      <c r="D288" s="118"/>
      <c r="E288" s="118"/>
      <c r="F288" s="118"/>
      <c r="G288" s="118"/>
      <c r="H288" s="118"/>
      <c r="I288" s="118"/>
      <c r="J288" s="118"/>
      <c r="K288" s="118"/>
      <c r="L288" s="118"/>
      <c r="M288" s="118"/>
      <c r="N288" s="118"/>
      <c r="O288" s="118"/>
      <c r="P288" s="118"/>
      <c r="Q288" s="118"/>
      <c r="R288" s="118"/>
      <c r="S288" s="118"/>
    </row>
    <row r="289" spans="2:19">
      <c r="B289" s="118"/>
      <c r="C289" s="118"/>
      <c r="D289" s="118"/>
      <c r="E289" s="118"/>
      <c r="F289" s="118"/>
      <c r="G289" s="118"/>
      <c r="H289" s="118"/>
      <c r="I289" s="118"/>
      <c r="J289" s="118"/>
      <c r="K289" s="118"/>
      <c r="L289" s="118"/>
      <c r="M289" s="118"/>
      <c r="N289" s="118"/>
      <c r="O289" s="118"/>
      <c r="P289" s="118"/>
      <c r="Q289" s="118"/>
      <c r="R289" s="118"/>
      <c r="S289" s="118"/>
    </row>
    <row r="290" spans="2:19">
      <c r="B290" s="118"/>
      <c r="C290" s="118"/>
      <c r="D290" s="118"/>
      <c r="E290" s="118"/>
      <c r="F290" s="118"/>
      <c r="G290" s="118"/>
      <c r="H290" s="118"/>
      <c r="I290" s="118"/>
      <c r="J290" s="118"/>
      <c r="K290" s="118"/>
      <c r="L290" s="118"/>
      <c r="M290" s="118"/>
      <c r="N290" s="118"/>
      <c r="O290" s="118"/>
      <c r="P290" s="118"/>
      <c r="Q290" s="118"/>
      <c r="R290" s="118"/>
      <c r="S290" s="118"/>
    </row>
    <row r="291" spans="2:19">
      <c r="B291" s="118"/>
      <c r="C291" s="118"/>
      <c r="D291" s="118"/>
      <c r="E291" s="118"/>
      <c r="F291" s="118"/>
      <c r="G291" s="118"/>
      <c r="H291" s="118"/>
      <c r="I291" s="118"/>
      <c r="J291" s="118"/>
      <c r="K291" s="118"/>
      <c r="L291" s="118"/>
      <c r="M291" s="118"/>
      <c r="N291" s="118"/>
      <c r="O291" s="118"/>
      <c r="P291" s="118"/>
      <c r="Q291" s="118"/>
      <c r="R291" s="118"/>
      <c r="S291" s="118"/>
    </row>
    <row r="292" spans="2:19">
      <c r="B292" s="118"/>
      <c r="C292" s="118"/>
      <c r="D292" s="118"/>
      <c r="E292" s="118"/>
      <c r="F292" s="118"/>
      <c r="G292" s="118"/>
      <c r="H292" s="118"/>
      <c r="I292" s="118"/>
      <c r="J292" s="118"/>
      <c r="K292" s="118"/>
      <c r="L292" s="118"/>
      <c r="M292" s="118"/>
      <c r="N292" s="118"/>
      <c r="O292" s="118"/>
      <c r="P292" s="118"/>
      <c r="Q292" s="118"/>
      <c r="R292" s="118"/>
      <c r="S292" s="118"/>
    </row>
    <row r="293" spans="2:19">
      <c r="B293" s="118"/>
      <c r="C293" s="118"/>
      <c r="D293" s="118"/>
      <c r="E293" s="118"/>
      <c r="F293" s="118"/>
      <c r="G293" s="118"/>
      <c r="H293" s="118"/>
      <c r="I293" s="118"/>
      <c r="J293" s="118"/>
      <c r="K293" s="118"/>
      <c r="L293" s="118"/>
      <c r="M293" s="118"/>
      <c r="N293" s="118"/>
      <c r="O293" s="118"/>
      <c r="P293" s="118"/>
      <c r="Q293" s="118"/>
      <c r="R293" s="118"/>
      <c r="S293" s="118"/>
    </row>
    <row r="294" spans="2:19">
      <c r="B294" s="118"/>
      <c r="C294" s="118"/>
      <c r="D294" s="118"/>
      <c r="E294" s="118"/>
      <c r="F294" s="118"/>
      <c r="G294" s="118"/>
      <c r="H294" s="118"/>
      <c r="I294" s="118"/>
      <c r="J294" s="118"/>
      <c r="K294" s="118"/>
      <c r="L294" s="118"/>
      <c r="M294" s="118"/>
      <c r="N294" s="118"/>
      <c r="O294" s="118"/>
      <c r="P294" s="118"/>
      <c r="Q294" s="118"/>
      <c r="R294" s="118"/>
      <c r="S294" s="118"/>
    </row>
    <row r="295" spans="2:19">
      <c r="B295" s="118"/>
      <c r="C295" s="118"/>
      <c r="D295" s="118"/>
      <c r="E295" s="118"/>
      <c r="F295" s="118"/>
      <c r="G295" s="118"/>
      <c r="H295" s="118"/>
      <c r="I295" s="118"/>
      <c r="J295" s="118"/>
      <c r="K295" s="118"/>
      <c r="L295" s="118"/>
      <c r="M295" s="118"/>
      <c r="N295" s="118"/>
      <c r="O295" s="118"/>
      <c r="P295" s="118"/>
      <c r="Q295" s="118"/>
      <c r="R295" s="118"/>
      <c r="S295" s="118"/>
    </row>
    <row r="296" spans="2:19">
      <c r="B296" s="118"/>
      <c r="C296" s="118"/>
      <c r="D296" s="118"/>
      <c r="E296" s="118"/>
      <c r="F296" s="118"/>
      <c r="G296" s="118"/>
      <c r="H296" s="118"/>
      <c r="I296" s="118"/>
      <c r="J296" s="118"/>
      <c r="K296" s="118"/>
      <c r="L296" s="118"/>
      <c r="M296" s="118"/>
      <c r="N296" s="118"/>
      <c r="O296" s="118"/>
      <c r="P296" s="118"/>
      <c r="Q296" s="118"/>
      <c r="R296" s="118"/>
      <c r="S296" s="118"/>
    </row>
    <row r="297" spans="2:19">
      <c r="B297" s="118"/>
      <c r="C297" s="118"/>
      <c r="D297" s="118"/>
      <c r="E297" s="118"/>
      <c r="F297" s="118"/>
      <c r="G297" s="118"/>
      <c r="H297" s="118"/>
      <c r="I297" s="118"/>
      <c r="J297" s="118"/>
      <c r="K297" s="118"/>
      <c r="L297" s="118"/>
      <c r="M297" s="118"/>
      <c r="N297" s="118"/>
      <c r="O297" s="118"/>
      <c r="P297" s="118"/>
      <c r="Q297" s="118"/>
      <c r="R297" s="118"/>
      <c r="S297" s="118"/>
    </row>
    <row r="298" spans="2:19">
      <c r="B298" s="118"/>
      <c r="C298" s="118"/>
      <c r="D298" s="118"/>
      <c r="E298" s="118"/>
      <c r="F298" s="118"/>
      <c r="G298" s="118"/>
      <c r="H298" s="118"/>
      <c r="I298" s="118"/>
      <c r="J298" s="118"/>
      <c r="K298" s="118"/>
      <c r="L298" s="118"/>
      <c r="M298" s="118"/>
      <c r="N298" s="118"/>
      <c r="O298" s="118"/>
      <c r="P298" s="118"/>
      <c r="Q298" s="118"/>
      <c r="R298" s="118"/>
      <c r="S298" s="118"/>
    </row>
    <row r="299" spans="2:19">
      <c r="B299" s="118"/>
      <c r="C299" s="118"/>
      <c r="D299" s="118"/>
      <c r="E299" s="118"/>
      <c r="F299" s="118"/>
      <c r="G299" s="118"/>
      <c r="H299" s="118"/>
      <c r="I299" s="118"/>
      <c r="J299" s="118"/>
      <c r="K299" s="118"/>
      <c r="L299" s="118"/>
      <c r="M299" s="118"/>
      <c r="N299" s="118"/>
      <c r="O299" s="118"/>
      <c r="P299" s="118"/>
      <c r="Q299" s="118"/>
      <c r="R299" s="118"/>
      <c r="S299" s="118"/>
    </row>
    <row r="300" spans="2:19">
      <c r="B300" s="118"/>
      <c r="C300" s="118"/>
      <c r="D300" s="118"/>
      <c r="E300" s="118"/>
      <c r="F300" s="118"/>
      <c r="G300" s="118"/>
      <c r="H300" s="118"/>
      <c r="I300" s="118"/>
      <c r="J300" s="118"/>
      <c r="K300" s="118"/>
      <c r="L300" s="118"/>
      <c r="M300" s="118"/>
      <c r="N300" s="118"/>
      <c r="O300" s="118"/>
      <c r="P300" s="118"/>
      <c r="Q300" s="118"/>
      <c r="R300" s="118"/>
      <c r="S300" s="118"/>
    </row>
    <row r="301" spans="2:19">
      <c r="B301" s="118"/>
      <c r="C301" s="118"/>
      <c r="D301" s="118"/>
      <c r="E301" s="118"/>
      <c r="F301" s="118"/>
      <c r="G301" s="118"/>
      <c r="H301" s="118"/>
      <c r="I301" s="118"/>
      <c r="J301" s="118"/>
      <c r="K301" s="118"/>
      <c r="L301" s="118"/>
      <c r="M301" s="118"/>
      <c r="N301" s="118"/>
      <c r="O301" s="118"/>
      <c r="P301" s="118"/>
      <c r="Q301" s="118"/>
      <c r="R301" s="118"/>
      <c r="S301" s="118"/>
    </row>
    <row r="302" spans="2:19">
      <c r="B302" s="118"/>
      <c r="C302" s="118"/>
      <c r="D302" s="118"/>
      <c r="E302" s="118"/>
      <c r="F302" s="118"/>
      <c r="G302" s="118"/>
      <c r="H302" s="118"/>
      <c r="I302" s="118"/>
      <c r="J302" s="118"/>
      <c r="K302" s="118"/>
      <c r="L302" s="118"/>
      <c r="M302" s="118"/>
      <c r="N302" s="118"/>
      <c r="O302" s="118"/>
      <c r="P302" s="118"/>
      <c r="Q302" s="118"/>
      <c r="R302" s="118"/>
      <c r="S302" s="118"/>
    </row>
    <row r="303" spans="2:19">
      <c r="B303" s="118"/>
      <c r="C303" s="118"/>
      <c r="D303" s="118"/>
      <c r="E303" s="118"/>
      <c r="F303" s="118"/>
      <c r="G303" s="118"/>
      <c r="H303" s="118"/>
      <c r="I303" s="118"/>
      <c r="J303" s="118"/>
      <c r="K303" s="118"/>
      <c r="L303" s="118"/>
      <c r="M303" s="118"/>
      <c r="N303" s="118"/>
      <c r="O303" s="118"/>
      <c r="P303" s="118"/>
      <c r="Q303" s="118"/>
      <c r="R303" s="118"/>
      <c r="S303" s="118"/>
    </row>
    <row r="304" spans="2:19">
      <c r="B304" s="118"/>
      <c r="C304" s="118"/>
      <c r="D304" s="118"/>
      <c r="E304" s="118"/>
      <c r="F304" s="118"/>
      <c r="G304" s="118"/>
      <c r="H304" s="118"/>
      <c r="I304" s="118"/>
      <c r="J304" s="118"/>
      <c r="K304" s="118"/>
      <c r="L304" s="118"/>
      <c r="M304" s="118"/>
      <c r="N304" s="118"/>
      <c r="O304" s="118"/>
      <c r="P304" s="118"/>
      <c r="Q304" s="118"/>
      <c r="R304" s="118"/>
      <c r="S304" s="118"/>
    </row>
    <row r="305" spans="2:19">
      <c r="B305" s="118"/>
      <c r="C305" s="118"/>
      <c r="D305" s="118"/>
      <c r="E305" s="118"/>
      <c r="F305" s="118"/>
      <c r="G305" s="118"/>
      <c r="H305" s="118"/>
      <c r="I305" s="118"/>
      <c r="J305" s="118"/>
      <c r="K305" s="118"/>
      <c r="L305" s="118"/>
      <c r="M305" s="118"/>
      <c r="N305" s="118"/>
      <c r="O305" s="118"/>
      <c r="P305" s="118"/>
      <c r="Q305" s="118"/>
      <c r="R305" s="118"/>
      <c r="S305" s="118"/>
    </row>
    <row r="306" spans="2:19">
      <c r="B306" s="118"/>
      <c r="C306" s="118"/>
      <c r="D306" s="118"/>
      <c r="E306" s="118"/>
      <c r="F306" s="118"/>
      <c r="G306" s="118"/>
      <c r="H306" s="118"/>
      <c r="I306" s="118"/>
      <c r="J306" s="118"/>
      <c r="K306" s="118"/>
      <c r="L306" s="118"/>
      <c r="M306" s="118"/>
      <c r="N306" s="118"/>
      <c r="O306" s="118"/>
      <c r="P306" s="118"/>
      <c r="Q306" s="118"/>
      <c r="R306" s="118"/>
      <c r="S306" s="118"/>
    </row>
    <row r="307" spans="2:19">
      <c r="B307" s="118"/>
      <c r="C307" s="118"/>
      <c r="D307" s="118"/>
      <c r="E307" s="118"/>
      <c r="F307" s="118"/>
      <c r="G307" s="118"/>
      <c r="H307" s="118"/>
      <c r="I307" s="118"/>
      <c r="J307" s="118"/>
      <c r="K307" s="118"/>
      <c r="L307" s="118"/>
      <c r="M307" s="118"/>
      <c r="N307" s="118"/>
      <c r="O307" s="118"/>
      <c r="P307" s="118"/>
      <c r="Q307" s="118"/>
      <c r="R307" s="118"/>
      <c r="S307" s="118"/>
    </row>
    <row r="308" spans="2:19">
      <c r="B308" s="118"/>
      <c r="C308" s="118"/>
      <c r="D308" s="118"/>
      <c r="E308" s="118"/>
      <c r="F308" s="118"/>
      <c r="G308" s="118"/>
      <c r="H308" s="118"/>
      <c r="I308" s="118"/>
      <c r="J308" s="118"/>
      <c r="K308" s="118"/>
      <c r="L308" s="118"/>
      <c r="M308" s="118"/>
      <c r="N308" s="118"/>
      <c r="O308" s="118"/>
      <c r="P308" s="118"/>
      <c r="Q308" s="118"/>
      <c r="R308" s="118"/>
      <c r="S308" s="118"/>
    </row>
    <row r="309" spans="2:19">
      <c r="B309" s="118"/>
      <c r="C309" s="118"/>
      <c r="D309" s="118"/>
      <c r="E309" s="118"/>
      <c r="F309" s="118"/>
      <c r="G309" s="118"/>
      <c r="H309" s="118"/>
      <c r="I309" s="118"/>
      <c r="J309" s="118"/>
      <c r="K309" s="118"/>
      <c r="L309" s="118"/>
      <c r="M309" s="118"/>
      <c r="N309" s="118"/>
      <c r="O309" s="118"/>
      <c r="P309" s="118"/>
      <c r="Q309" s="118"/>
      <c r="R309" s="118"/>
      <c r="S309" s="118"/>
    </row>
    <row r="310" spans="2:19">
      <c r="B310" s="118"/>
      <c r="C310" s="118"/>
      <c r="D310" s="118"/>
      <c r="E310" s="118"/>
      <c r="F310" s="118"/>
      <c r="G310" s="118"/>
      <c r="H310" s="118"/>
      <c r="I310" s="118"/>
      <c r="J310" s="118"/>
      <c r="K310" s="118"/>
      <c r="L310" s="118"/>
      <c r="M310" s="118"/>
      <c r="N310" s="118"/>
      <c r="O310" s="118"/>
      <c r="P310" s="118"/>
      <c r="Q310" s="118"/>
      <c r="R310" s="118"/>
      <c r="S310" s="118"/>
    </row>
    <row r="311" spans="2:19">
      <c r="B311" s="118"/>
      <c r="C311" s="118"/>
      <c r="D311" s="118"/>
      <c r="E311" s="118"/>
      <c r="F311" s="118"/>
      <c r="G311" s="118"/>
      <c r="H311" s="118"/>
      <c r="I311" s="118"/>
      <c r="J311" s="118"/>
      <c r="K311" s="118"/>
      <c r="L311" s="118"/>
      <c r="M311" s="118"/>
      <c r="N311" s="118"/>
      <c r="O311" s="118"/>
      <c r="P311" s="118"/>
      <c r="Q311" s="118"/>
      <c r="R311" s="118"/>
      <c r="S311" s="118"/>
    </row>
    <row r="312" spans="2:19">
      <c r="B312" s="118"/>
      <c r="C312" s="118"/>
      <c r="D312" s="118"/>
      <c r="E312" s="118"/>
      <c r="F312" s="118"/>
      <c r="G312" s="118"/>
      <c r="H312" s="118"/>
      <c r="I312" s="118"/>
      <c r="J312" s="118"/>
      <c r="K312" s="118"/>
      <c r="L312" s="118"/>
      <c r="M312" s="118"/>
      <c r="N312" s="118"/>
      <c r="O312" s="118"/>
      <c r="P312" s="118"/>
      <c r="Q312" s="118"/>
      <c r="R312" s="118"/>
      <c r="S312" s="118"/>
    </row>
    <row r="313" spans="2:19">
      <c r="B313" s="118"/>
      <c r="C313" s="118"/>
      <c r="D313" s="118"/>
      <c r="E313" s="118"/>
      <c r="F313" s="118"/>
      <c r="G313" s="118"/>
      <c r="H313" s="118"/>
      <c r="I313" s="118"/>
      <c r="J313" s="118"/>
      <c r="K313" s="118"/>
      <c r="L313" s="118"/>
      <c r="M313" s="118"/>
      <c r="N313" s="118"/>
      <c r="O313" s="118"/>
      <c r="P313" s="118"/>
      <c r="Q313" s="118"/>
      <c r="R313" s="118"/>
      <c r="S313" s="118"/>
    </row>
    <row r="314" spans="2:19">
      <c r="B314" s="118"/>
      <c r="C314" s="118"/>
      <c r="D314" s="118"/>
      <c r="E314" s="118"/>
      <c r="F314" s="118"/>
      <c r="G314" s="118"/>
      <c r="H314" s="118"/>
      <c r="I314" s="118"/>
      <c r="J314" s="118"/>
      <c r="K314" s="118"/>
      <c r="L314" s="118"/>
      <c r="M314" s="118"/>
      <c r="N314" s="118"/>
      <c r="O314" s="118"/>
      <c r="P314" s="118"/>
      <c r="Q314" s="118"/>
      <c r="R314" s="118"/>
      <c r="S314" s="118"/>
    </row>
    <row r="315" spans="2:19">
      <c r="B315" s="118"/>
      <c r="C315" s="118"/>
      <c r="D315" s="118"/>
      <c r="E315" s="118"/>
      <c r="F315" s="118"/>
      <c r="G315" s="118"/>
      <c r="H315" s="118"/>
      <c r="I315" s="118"/>
      <c r="J315" s="118"/>
      <c r="K315" s="118"/>
      <c r="L315" s="118"/>
      <c r="M315" s="118"/>
      <c r="N315" s="118"/>
      <c r="O315" s="118"/>
      <c r="P315" s="118"/>
      <c r="Q315" s="118"/>
      <c r="R315" s="118"/>
      <c r="S315" s="118"/>
    </row>
    <row r="316" spans="2:19">
      <c r="B316" s="118"/>
      <c r="C316" s="118"/>
      <c r="D316" s="118"/>
      <c r="E316" s="118"/>
      <c r="F316" s="118"/>
      <c r="G316" s="118"/>
      <c r="H316" s="118"/>
      <c r="I316" s="118"/>
      <c r="J316" s="118"/>
      <c r="K316" s="118"/>
      <c r="L316" s="118"/>
      <c r="M316" s="118"/>
      <c r="N316" s="118"/>
      <c r="O316" s="118"/>
      <c r="P316" s="118"/>
      <c r="Q316" s="118"/>
      <c r="R316" s="118"/>
      <c r="S316" s="118"/>
    </row>
    <row r="317" spans="2:19">
      <c r="B317" s="118"/>
      <c r="C317" s="118"/>
      <c r="D317" s="118"/>
      <c r="E317" s="118"/>
      <c r="F317" s="118"/>
      <c r="G317" s="118"/>
      <c r="H317" s="118"/>
      <c r="I317" s="118"/>
      <c r="J317" s="118"/>
      <c r="K317" s="118"/>
      <c r="L317" s="118"/>
      <c r="M317" s="118"/>
      <c r="N317" s="118"/>
      <c r="O317" s="118"/>
      <c r="P317" s="118"/>
      <c r="Q317" s="118"/>
      <c r="R317" s="118"/>
      <c r="S317" s="118"/>
    </row>
    <row r="318" spans="2:19">
      <c r="B318" s="118"/>
      <c r="C318" s="118"/>
      <c r="D318" s="118"/>
      <c r="E318" s="118"/>
      <c r="F318" s="118"/>
      <c r="G318" s="118"/>
      <c r="H318" s="118"/>
      <c r="I318" s="118"/>
      <c r="J318" s="118"/>
      <c r="K318" s="118"/>
      <c r="L318" s="118"/>
      <c r="M318" s="118"/>
      <c r="N318" s="118"/>
      <c r="O318" s="118"/>
      <c r="P318" s="118"/>
      <c r="Q318" s="118"/>
      <c r="R318" s="118"/>
      <c r="S318" s="118"/>
    </row>
    <row r="319" spans="2:19">
      <c r="B319" s="118"/>
      <c r="C319" s="118"/>
      <c r="D319" s="118"/>
      <c r="E319" s="118"/>
      <c r="F319" s="118"/>
      <c r="G319" s="118"/>
      <c r="H319" s="118"/>
      <c r="I319" s="118"/>
      <c r="J319" s="118"/>
      <c r="K319" s="118"/>
      <c r="L319" s="118"/>
      <c r="M319" s="118"/>
      <c r="N319" s="118"/>
      <c r="O319" s="118"/>
      <c r="P319" s="118"/>
      <c r="Q319" s="118"/>
      <c r="R319" s="118"/>
      <c r="S319" s="118"/>
    </row>
    <row r="320" spans="2:19">
      <c r="B320" s="118"/>
      <c r="C320" s="118"/>
      <c r="D320" s="118"/>
      <c r="E320" s="118"/>
      <c r="F320" s="118"/>
      <c r="G320" s="118"/>
      <c r="H320" s="118"/>
      <c r="I320" s="118"/>
      <c r="J320" s="118"/>
      <c r="K320" s="118"/>
      <c r="L320" s="118"/>
      <c r="M320" s="118"/>
      <c r="N320" s="118"/>
      <c r="O320" s="118"/>
      <c r="P320" s="118"/>
      <c r="Q320" s="118"/>
      <c r="R320" s="118"/>
      <c r="S320" s="118"/>
    </row>
    <row r="321" spans="2:19">
      <c r="B321" s="118"/>
      <c r="C321" s="118"/>
      <c r="D321" s="118"/>
      <c r="E321" s="118"/>
      <c r="F321" s="118"/>
      <c r="G321" s="118"/>
      <c r="H321" s="118"/>
      <c r="I321" s="118"/>
      <c r="J321" s="118"/>
      <c r="K321" s="118"/>
      <c r="L321" s="118"/>
      <c r="M321" s="118"/>
      <c r="N321" s="118"/>
      <c r="O321" s="118"/>
      <c r="P321" s="118"/>
      <c r="Q321" s="118"/>
      <c r="R321" s="118"/>
      <c r="S321" s="118"/>
    </row>
    <row r="322" spans="2:19">
      <c r="B322" s="118"/>
      <c r="C322" s="118"/>
      <c r="D322" s="118"/>
      <c r="E322" s="118"/>
      <c r="F322" s="118"/>
      <c r="G322" s="118"/>
      <c r="H322" s="118"/>
      <c r="I322" s="118"/>
      <c r="J322" s="118"/>
      <c r="K322" s="118"/>
      <c r="L322" s="118"/>
      <c r="M322" s="118"/>
      <c r="N322" s="118"/>
      <c r="O322" s="118"/>
      <c r="P322" s="118"/>
      <c r="Q322" s="118"/>
      <c r="R322" s="118"/>
      <c r="S322" s="118"/>
    </row>
    <row r="323" spans="2:19">
      <c r="B323" s="118"/>
      <c r="C323" s="118"/>
      <c r="D323" s="118"/>
      <c r="E323" s="118"/>
      <c r="F323" s="118"/>
      <c r="G323" s="118"/>
      <c r="H323" s="118"/>
      <c r="I323" s="118"/>
      <c r="J323" s="118"/>
      <c r="K323" s="118"/>
      <c r="L323" s="118"/>
      <c r="M323" s="118"/>
      <c r="N323" s="118"/>
      <c r="O323" s="118"/>
      <c r="P323" s="118"/>
      <c r="Q323" s="118"/>
      <c r="R323" s="118"/>
      <c r="S323" s="118"/>
    </row>
    <row r="324" spans="2:19">
      <c r="B324" s="118"/>
      <c r="C324" s="118"/>
      <c r="D324" s="118"/>
      <c r="E324" s="118"/>
      <c r="F324" s="118"/>
      <c r="G324" s="118"/>
      <c r="H324" s="118"/>
      <c r="I324" s="118"/>
      <c r="J324" s="118"/>
      <c r="K324" s="118"/>
      <c r="L324" s="118"/>
      <c r="M324" s="118"/>
      <c r="N324" s="118"/>
      <c r="O324" s="118"/>
      <c r="P324" s="118"/>
      <c r="Q324" s="118"/>
      <c r="R324" s="118"/>
      <c r="S324" s="118"/>
    </row>
    <row r="325" spans="2:19">
      <c r="B325" s="118"/>
      <c r="C325" s="118"/>
      <c r="D325" s="118"/>
      <c r="E325" s="118"/>
      <c r="F325" s="118"/>
      <c r="G325" s="118"/>
      <c r="H325" s="118"/>
      <c r="I325" s="118"/>
      <c r="J325" s="118"/>
      <c r="K325" s="118"/>
      <c r="L325" s="118"/>
      <c r="M325" s="118"/>
      <c r="N325" s="118"/>
      <c r="O325" s="118"/>
      <c r="P325" s="118"/>
      <c r="Q325" s="118"/>
      <c r="R325" s="118"/>
      <c r="S325" s="118"/>
    </row>
    <row r="326" spans="2:19">
      <c r="B326" s="118"/>
      <c r="C326" s="118"/>
      <c r="D326" s="118"/>
      <c r="E326" s="118"/>
      <c r="F326" s="118"/>
      <c r="G326" s="118"/>
      <c r="H326" s="118"/>
      <c r="I326" s="118"/>
      <c r="J326" s="118"/>
      <c r="K326" s="118"/>
      <c r="L326" s="118"/>
      <c r="M326" s="118"/>
      <c r="N326" s="118"/>
      <c r="O326" s="118"/>
      <c r="P326" s="118"/>
      <c r="Q326" s="118"/>
      <c r="R326" s="118"/>
      <c r="S326" s="118"/>
    </row>
    <row r="327" spans="2:19">
      <c r="B327" s="118"/>
      <c r="C327" s="118"/>
      <c r="D327" s="118"/>
      <c r="E327" s="118"/>
      <c r="F327" s="118"/>
      <c r="G327" s="118"/>
      <c r="H327" s="118"/>
      <c r="I327" s="118"/>
      <c r="J327" s="118"/>
      <c r="K327" s="118"/>
      <c r="L327" s="118"/>
      <c r="M327" s="118"/>
      <c r="N327" s="118"/>
      <c r="O327" s="118"/>
      <c r="P327" s="118"/>
      <c r="Q327" s="118"/>
      <c r="R327" s="118"/>
      <c r="S327" s="118"/>
    </row>
    <row r="328" spans="2:19">
      <c r="B328" s="118"/>
      <c r="C328" s="118"/>
      <c r="D328" s="118"/>
      <c r="E328" s="118"/>
      <c r="F328" s="118"/>
      <c r="G328" s="118"/>
      <c r="H328" s="118"/>
      <c r="I328" s="118"/>
      <c r="J328" s="118"/>
      <c r="K328" s="118"/>
      <c r="L328" s="118"/>
      <c r="M328" s="118"/>
      <c r="N328" s="118"/>
      <c r="O328" s="118"/>
      <c r="P328" s="118"/>
      <c r="Q328" s="118"/>
      <c r="R328" s="118"/>
      <c r="S328" s="118"/>
    </row>
    <row r="329" spans="2:19">
      <c r="B329" s="118"/>
      <c r="C329" s="118"/>
      <c r="D329" s="118"/>
      <c r="E329" s="118"/>
      <c r="F329" s="118"/>
      <c r="G329" s="118"/>
      <c r="H329" s="118"/>
      <c r="I329" s="118"/>
      <c r="J329" s="118"/>
      <c r="K329" s="118"/>
      <c r="L329" s="118"/>
      <c r="M329" s="118"/>
      <c r="N329" s="118"/>
      <c r="O329" s="118"/>
      <c r="P329" s="118"/>
      <c r="Q329" s="118"/>
      <c r="R329" s="118"/>
      <c r="S329" s="118"/>
    </row>
    <row r="330" spans="2:19">
      <c r="B330" s="118"/>
      <c r="C330" s="118"/>
      <c r="D330" s="118"/>
      <c r="E330" s="118"/>
      <c r="F330" s="118"/>
      <c r="G330" s="118"/>
      <c r="H330" s="118"/>
      <c r="I330" s="118"/>
      <c r="J330" s="118"/>
      <c r="K330" s="118"/>
      <c r="L330" s="118"/>
      <c r="M330" s="118"/>
      <c r="N330" s="118"/>
      <c r="O330" s="118"/>
      <c r="P330" s="118"/>
      <c r="Q330" s="118"/>
      <c r="R330" s="118"/>
      <c r="S330" s="118"/>
    </row>
    <row r="331" spans="2:19">
      <c r="B331" s="118"/>
      <c r="C331" s="118"/>
      <c r="D331" s="118"/>
      <c r="E331" s="118"/>
      <c r="F331" s="118"/>
      <c r="G331" s="118"/>
      <c r="H331" s="118"/>
      <c r="I331" s="118"/>
      <c r="J331" s="118"/>
      <c r="K331" s="118"/>
      <c r="L331" s="118"/>
      <c r="M331" s="118"/>
      <c r="N331" s="118"/>
      <c r="O331" s="118"/>
      <c r="P331" s="118"/>
      <c r="Q331" s="118"/>
      <c r="R331" s="118"/>
      <c r="S331" s="118"/>
    </row>
    <row r="332" spans="2:19">
      <c r="B332" s="118"/>
      <c r="C332" s="118"/>
      <c r="D332" s="118"/>
      <c r="E332" s="118"/>
      <c r="F332" s="118"/>
      <c r="G332" s="118"/>
      <c r="H332" s="118"/>
      <c r="I332" s="118"/>
      <c r="J332" s="118"/>
      <c r="K332" s="118"/>
      <c r="L332" s="118"/>
      <c r="M332" s="118"/>
      <c r="N332" s="118"/>
      <c r="O332" s="118"/>
      <c r="P332" s="118"/>
      <c r="Q332" s="118"/>
      <c r="R332" s="118"/>
      <c r="S332" s="118"/>
    </row>
    <row r="333" spans="2:19">
      <c r="B333" s="118"/>
      <c r="C333" s="118"/>
      <c r="D333" s="118"/>
      <c r="E333" s="118"/>
      <c r="F333" s="118"/>
      <c r="G333" s="118"/>
      <c r="H333" s="118"/>
      <c r="I333" s="118"/>
      <c r="J333" s="118"/>
      <c r="K333" s="118"/>
      <c r="L333" s="118"/>
      <c r="M333" s="118"/>
      <c r="N333" s="118"/>
      <c r="O333" s="118"/>
      <c r="P333" s="118"/>
      <c r="Q333" s="118"/>
      <c r="R333" s="118"/>
      <c r="S333" s="118"/>
    </row>
    <row r="334" spans="2:19">
      <c r="B334" s="118"/>
      <c r="C334" s="118"/>
      <c r="D334" s="118"/>
      <c r="E334" s="118"/>
      <c r="F334" s="118"/>
      <c r="G334" s="118"/>
      <c r="H334" s="118"/>
      <c r="I334" s="118"/>
      <c r="J334" s="118"/>
      <c r="K334" s="118"/>
      <c r="L334" s="118"/>
      <c r="M334" s="118"/>
      <c r="N334" s="118"/>
      <c r="O334" s="118"/>
      <c r="P334" s="118"/>
      <c r="Q334" s="118"/>
      <c r="R334" s="118"/>
      <c r="S334" s="118"/>
    </row>
    <row r="335" spans="2:19">
      <c r="B335" s="118"/>
      <c r="C335" s="118"/>
      <c r="D335" s="118"/>
      <c r="E335" s="118"/>
      <c r="F335" s="118"/>
      <c r="G335" s="118"/>
      <c r="H335" s="118"/>
      <c r="I335" s="118"/>
      <c r="J335" s="118"/>
      <c r="K335" s="118"/>
      <c r="L335" s="118"/>
      <c r="M335" s="118"/>
      <c r="N335" s="118"/>
      <c r="O335" s="118"/>
      <c r="P335" s="118"/>
      <c r="Q335" s="118"/>
      <c r="R335" s="118"/>
      <c r="S335" s="118"/>
    </row>
    <row r="336" spans="2:19">
      <c r="B336" s="118"/>
      <c r="C336" s="118"/>
      <c r="D336" s="118"/>
      <c r="E336" s="118"/>
      <c r="F336" s="118"/>
      <c r="G336" s="118"/>
      <c r="H336" s="118"/>
      <c r="I336" s="118"/>
      <c r="J336" s="118"/>
      <c r="K336" s="118"/>
      <c r="L336" s="118"/>
      <c r="M336" s="118"/>
      <c r="N336" s="118"/>
      <c r="O336" s="118"/>
      <c r="P336" s="118"/>
      <c r="Q336" s="118"/>
      <c r="R336" s="118"/>
      <c r="S336" s="118"/>
    </row>
    <row r="337" spans="2:19">
      <c r="B337" s="118"/>
      <c r="C337" s="118"/>
      <c r="D337" s="118"/>
      <c r="E337" s="118"/>
      <c r="F337" s="118"/>
      <c r="G337" s="118"/>
      <c r="H337" s="118"/>
      <c r="I337" s="118"/>
      <c r="J337" s="118"/>
      <c r="K337" s="118"/>
      <c r="L337" s="118"/>
      <c r="M337" s="118"/>
      <c r="N337" s="118"/>
      <c r="O337" s="118"/>
      <c r="P337" s="118"/>
      <c r="Q337" s="118"/>
      <c r="R337" s="118"/>
      <c r="S337" s="118"/>
    </row>
    <row r="338" spans="2:19">
      <c r="B338" s="118"/>
      <c r="C338" s="118"/>
      <c r="D338" s="118"/>
      <c r="E338" s="118"/>
      <c r="F338" s="118"/>
      <c r="G338" s="118"/>
      <c r="H338" s="118"/>
      <c r="I338" s="118"/>
      <c r="J338" s="118"/>
      <c r="K338" s="118"/>
      <c r="L338" s="118"/>
      <c r="M338" s="118"/>
      <c r="N338" s="118"/>
      <c r="O338" s="118"/>
      <c r="P338" s="118"/>
      <c r="Q338" s="118"/>
      <c r="R338" s="118"/>
      <c r="S338" s="118"/>
    </row>
    <row r="339" spans="2:19">
      <c r="B339" s="118"/>
      <c r="C339" s="118"/>
      <c r="D339" s="118"/>
      <c r="E339" s="118"/>
      <c r="F339" s="118"/>
      <c r="G339" s="118"/>
      <c r="H339" s="118"/>
      <c r="I339" s="118"/>
      <c r="J339" s="118"/>
      <c r="K339" s="118"/>
      <c r="L339" s="118"/>
      <c r="M339" s="118"/>
      <c r="N339" s="118"/>
      <c r="O339" s="118"/>
      <c r="P339" s="118"/>
      <c r="Q339" s="118"/>
      <c r="R339" s="118"/>
      <c r="S339" s="118"/>
    </row>
    <row r="340" spans="2:19">
      <c r="B340" s="118"/>
      <c r="C340" s="118"/>
      <c r="D340" s="118"/>
      <c r="E340" s="118"/>
      <c r="F340" s="118"/>
      <c r="G340" s="118"/>
      <c r="H340" s="118"/>
      <c r="I340" s="118"/>
      <c r="J340" s="118"/>
      <c r="K340" s="118"/>
      <c r="L340" s="118"/>
      <c r="M340" s="118"/>
      <c r="N340" s="118"/>
      <c r="O340" s="118"/>
      <c r="P340" s="118"/>
      <c r="Q340" s="118"/>
      <c r="R340" s="118"/>
      <c r="S340" s="118"/>
    </row>
    <row r="341" spans="2:19">
      <c r="B341" s="118"/>
      <c r="C341" s="118"/>
      <c r="D341" s="118"/>
      <c r="E341" s="118"/>
      <c r="F341" s="118"/>
      <c r="G341" s="118"/>
      <c r="H341" s="118"/>
      <c r="I341" s="118"/>
      <c r="J341" s="118"/>
      <c r="K341" s="118"/>
      <c r="L341" s="118"/>
      <c r="M341" s="118"/>
      <c r="N341" s="118"/>
      <c r="O341" s="118"/>
      <c r="P341" s="118"/>
      <c r="Q341" s="118"/>
      <c r="R341" s="118"/>
      <c r="S341" s="118"/>
    </row>
    <row r="342" spans="2:19">
      <c r="B342" s="118"/>
      <c r="C342" s="118"/>
      <c r="D342" s="118"/>
      <c r="E342" s="118"/>
      <c r="F342" s="118"/>
      <c r="G342" s="118"/>
      <c r="H342" s="118"/>
      <c r="I342" s="118"/>
      <c r="J342" s="118"/>
      <c r="K342" s="118"/>
      <c r="L342" s="118"/>
      <c r="M342" s="118"/>
      <c r="N342" s="118"/>
      <c r="O342" s="118"/>
      <c r="P342" s="118"/>
      <c r="Q342" s="118"/>
      <c r="R342" s="118"/>
      <c r="S342" s="118"/>
    </row>
    <row r="343" spans="2:19">
      <c r="B343" s="118"/>
      <c r="C343" s="118"/>
      <c r="D343" s="118"/>
      <c r="E343" s="118"/>
      <c r="F343" s="118"/>
      <c r="G343" s="118"/>
      <c r="H343" s="118"/>
      <c r="I343" s="118"/>
      <c r="J343" s="118"/>
      <c r="K343" s="118"/>
      <c r="L343" s="118"/>
      <c r="M343" s="118"/>
      <c r="N343" s="118"/>
      <c r="O343" s="118"/>
      <c r="P343" s="118"/>
      <c r="Q343" s="118"/>
      <c r="R343" s="118"/>
      <c r="S343" s="118"/>
    </row>
    <row r="344" spans="2:19">
      <c r="B344" s="118"/>
      <c r="C344" s="118"/>
      <c r="D344" s="118"/>
      <c r="E344" s="118"/>
      <c r="F344" s="118"/>
      <c r="G344" s="118"/>
      <c r="H344" s="118"/>
      <c r="I344" s="118"/>
      <c r="J344" s="118"/>
      <c r="K344" s="118"/>
      <c r="L344" s="118"/>
      <c r="M344" s="118"/>
      <c r="N344" s="118"/>
      <c r="O344" s="118"/>
      <c r="P344" s="118"/>
      <c r="Q344" s="118"/>
      <c r="R344" s="118"/>
      <c r="S344" s="118"/>
    </row>
    <row r="345" spans="2:19">
      <c r="B345" s="118"/>
      <c r="C345" s="118"/>
      <c r="D345" s="118"/>
      <c r="E345" s="118"/>
      <c r="F345" s="118"/>
      <c r="G345" s="118"/>
      <c r="H345" s="118"/>
      <c r="I345" s="118"/>
      <c r="J345" s="118"/>
      <c r="K345" s="118"/>
      <c r="L345" s="118"/>
      <c r="M345" s="118"/>
      <c r="N345" s="118"/>
      <c r="O345" s="118"/>
      <c r="P345" s="118"/>
      <c r="Q345" s="118"/>
      <c r="R345" s="118"/>
      <c r="S345" s="118"/>
    </row>
    <row r="346" spans="2:19">
      <c r="B346" s="118"/>
      <c r="C346" s="118"/>
      <c r="D346" s="118"/>
      <c r="E346" s="118"/>
      <c r="F346" s="118"/>
      <c r="G346" s="118"/>
      <c r="H346" s="118"/>
      <c r="I346" s="118"/>
      <c r="J346" s="118"/>
      <c r="K346" s="118"/>
      <c r="L346" s="118"/>
      <c r="M346" s="118"/>
      <c r="N346" s="118"/>
      <c r="O346" s="118"/>
      <c r="P346" s="118"/>
      <c r="Q346" s="118"/>
      <c r="R346" s="118"/>
      <c r="S346" s="118"/>
    </row>
    <row r="347" spans="2:19">
      <c r="B347" s="118"/>
      <c r="C347" s="118"/>
      <c r="D347" s="118"/>
      <c r="E347" s="118"/>
      <c r="F347" s="118"/>
      <c r="G347" s="118"/>
      <c r="H347" s="118"/>
      <c r="I347" s="118"/>
      <c r="J347" s="118"/>
      <c r="K347" s="118"/>
      <c r="L347" s="118"/>
      <c r="M347" s="118"/>
      <c r="N347" s="118"/>
      <c r="O347" s="118"/>
      <c r="P347" s="118"/>
      <c r="Q347" s="118"/>
      <c r="R347" s="118"/>
      <c r="S347" s="118"/>
    </row>
    <row r="348" spans="2:19">
      <c r="B348" s="118"/>
      <c r="C348" s="118"/>
      <c r="D348" s="118"/>
      <c r="E348" s="118"/>
      <c r="F348" s="118"/>
      <c r="G348" s="118"/>
      <c r="H348" s="118"/>
      <c r="I348" s="118"/>
      <c r="J348" s="118"/>
      <c r="K348" s="118"/>
      <c r="L348" s="118"/>
      <c r="M348" s="118"/>
      <c r="N348" s="118"/>
      <c r="O348" s="118"/>
      <c r="P348" s="118"/>
      <c r="Q348" s="118"/>
      <c r="R348" s="118"/>
      <c r="S348" s="118"/>
    </row>
    <row r="349" spans="2:19">
      <c r="B349" s="118"/>
      <c r="C349" s="118"/>
      <c r="D349" s="118"/>
      <c r="E349" s="118"/>
      <c r="F349" s="118"/>
      <c r="G349" s="118"/>
      <c r="H349" s="118"/>
      <c r="I349" s="118"/>
      <c r="J349" s="118"/>
      <c r="K349" s="118"/>
      <c r="L349" s="118"/>
      <c r="M349" s="118"/>
      <c r="N349" s="118"/>
      <c r="O349" s="118"/>
      <c r="P349" s="118"/>
      <c r="Q349" s="118"/>
      <c r="R349" s="118"/>
      <c r="S349" s="118"/>
    </row>
    <row r="350" spans="2:19">
      <c r="B350" s="118"/>
      <c r="C350" s="118"/>
      <c r="D350" s="118"/>
      <c r="E350" s="118"/>
      <c r="F350" s="118"/>
      <c r="G350" s="118"/>
      <c r="H350" s="118"/>
      <c r="I350" s="118"/>
      <c r="J350" s="118"/>
      <c r="K350" s="118"/>
      <c r="L350" s="118"/>
      <c r="M350" s="118"/>
      <c r="N350" s="118"/>
      <c r="O350" s="118"/>
      <c r="P350" s="118"/>
      <c r="Q350" s="118"/>
      <c r="R350" s="118"/>
      <c r="S350" s="118"/>
    </row>
    <row r="351" spans="2:19">
      <c r="B351" s="118"/>
      <c r="C351" s="118"/>
      <c r="D351" s="118"/>
      <c r="E351" s="118"/>
      <c r="F351" s="118"/>
      <c r="G351" s="118"/>
      <c r="H351" s="118"/>
      <c r="I351" s="118"/>
      <c r="J351" s="118"/>
      <c r="K351" s="118"/>
      <c r="L351" s="118"/>
      <c r="M351" s="118"/>
      <c r="N351" s="118"/>
      <c r="O351" s="118"/>
      <c r="P351" s="118"/>
      <c r="Q351" s="118"/>
      <c r="R351" s="118"/>
      <c r="S351" s="118"/>
    </row>
    <row r="352" spans="2:19">
      <c r="B352" s="118"/>
      <c r="C352" s="118"/>
      <c r="D352" s="118"/>
      <c r="E352" s="118"/>
      <c r="F352" s="118"/>
      <c r="G352" s="118"/>
      <c r="H352" s="118"/>
      <c r="I352" s="118"/>
      <c r="J352" s="118"/>
      <c r="K352" s="118"/>
      <c r="L352" s="118"/>
      <c r="M352" s="118"/>
      <c r="N352" s="118"/>
      <c r="O352" s="118"/>
      <c r="P352" s="118"/>
      <c r="Q352" s="118"/>
      <c r="R352" s="118"/>
      <c r="S352" s="118"/>
    </row>
    <row r="353" spans="2:19">
      <c r="B353" s="118"/>
      <c r="C353" s="118"/>
      <c r="D353" s="118"/>
      <c r="E353" s="118"/>
      <c r="F353" s="118"/>
      <c r="G353" s="118"/>
      <c r="H353" s="118"/>
      <c r="I353" s="118"/>
      <c r="J353" s="118"/>
      <c r="K353" s="118"/>
      <c r="L353" s="118"/>
      <c r="M353" s="118"/>
      <c r="N353" s="118"/>
      <c r="O353" s="118"/>
      <c r="P353" s="118"/>
      <c r="Q353" s="118"/>
      <c r="R353" s="118"/>
      <c r="S353" s="118"/>
    </row>
    <row r="354" spans="2:19">
      <c r="B354" s="118"/>
      <c r="C354" s="118"/>
      <c r="D354" s="118"/>
      <c r="E354" s="118"/>
      <c r="F354" s="118"/>
      <c r="G354" s="118"/>
      <c r="H354" s="118"/>
      <c r="I354" s="118"/>
      <c r="J354" s="118"/>
      <c r="K354" s="118"/>
      <c r="L354" s="118"/>
      <c r="M354" s="118"/>
      <c r="N354" s="118"/>
      <c r="O354" s="118"/>
      <c r="P354" s="118"/>
      <c r="Q354" s="118"/>
      <c r="R354" s="118"/>
      <c r="S354" s="118"/>
    </row>
    <row r="355" spans="2:19">
      <c r="B355" s="118"/>
      <c r="C355" s="118"/>
      <c r="D355" s="118"/>
      <c r="E355" s="118"/>
      <c r="F355" s="118"/>
      <c r="G355" s="118"/>
      <c r="H355" s="118"/>
      <c r="I355" s="118"/>
      <c r="J355" s="118"/>
      <c r="K355" s="118"/>
      <c r="L355" s="118"/>
      <c r="M355" s="118"/>
      <c r="N355" s="118"/>
      <c r="O355" s="118"/>
      <c r="P355" s="118"/>
      <c r="Q355" s="118"/>
      <c r="R355" s="118"/>
      <c r="S355" s="118"/>
    </row>
    <row r="356" spans="2:19">
      <c r="B356" s="118"/>
      <c r="C356" s="118"/>
      <c r="D356" s="118"/>
      <c r="E356" s="118"/>
      <c r="F356" s="118"/>
      <c r="G356" s="118"/>
      <c r="H356" s="118"/>
      <c r="I356" s="118"/>
      <c r="J356" s="118"/>
      <c r="K356" s="118"/>
      <c r="L356" s="118"/>
      <c r="M356" s="118"/>
      <c r="N356" s="118"/>
      <c r="O356" s="118"/>
      <c r="P356" s="118"/>
      <c r="Q356" s="118"/>
      <c r="R356" s="118"/>
      <c r="S356" s="118"/>
    </row>
    <row r="357" spans="2:19">
      <c r="B357" s="118"/>
      <c r="C357" s="118"/>
      <c r="D357" s="118"/>
      <c r="E357" s="118"/>
      <c r="F357" s="118"/>
      <c r="G357" s="118"/>
      <c r="H357" s="118"/>
      <c r="I357" s="118"/>
      <c r="J357" s="118"/>
      <c r="K357" s="118"/>
      <c r="L357" s="118"/>
      <c r="M357" s="118"/>
      <c r="N357" s="118"/>
      <c r="O357" s="118"/>
      <c r="P357" s="118"/>
      <c r="Q357" s="118"/>
      <c r="R357" s="118"/>
      <c r="S357" s="118"/>
    </row>
    <row r="358" spans="2:19">
      <c r="B358" s="118"/>
      <c r="C358" s="118"/>
      <c r="D358" s="118"/>
      <c r="E358" s="118"/>
      <c r="F358" s="118"/>
      <c r="G358" s="118"/>
      <c r="H358" s="118"/>
      <c r="I358" s="118"/>
      <c r="J358" s="118"/>
      <c r="K358" s="118"/>
      <c r="L358" s="118"/>
      <c r="M358" s="118"/>
      <c r="N358" s="118"/>
      <c r="O358" s="118"/>
      <c r="P358" s="118"/>
      <c r="Q358" s="118"/>
      <c r="R358" s="118"/>
      <c r="S358" s="118"/>
    </row>
    <row r="359" spans="2:19">
      <c r="B359" s="118"/>
      <c r="C359" s="118"/>
      <c r="D359" s="118"/>
      <c r="E359" s="118"/>
      <c r="F359" s="118"/>
      <c r="G359" s="118"/>
      <c r="H359" s="118"/>
      <c r="I359" s="118"/>
      <c r="J359" s="118"/>
      <c r="K359" s="118"/>
      <c r="L359" s="118"/>
      <c r="M359" s="118"/>
      <c r="N359" s="118"/>
      <c r="O359" s="118"/>
      <c r="P359" s="118"/>
      <c r="Q359" s="118"/>
      <c r="R359" s="118"/>
      <c r="S359" s="118"/>
    </row>
    <row r="360" spans="2:19">
      <c r="B360" s="118"/>
      <c r="C360" s="118"/>
      <c r="D360" s="118"/>
      <c r="E360" s="118"/>
      <c r="F360" s="118"/>
      <c r="G360" s="118"/>
      <c r="H360" s="118"/>
      <c r="I360" s="118"/>
      <c r="J360" s="118"/>
      <c r="K360" s="118"/>
      <c r="L360" s="118"/>
      <c r="M360" s="118"/>
      <c r="N360" s="118"/>
      <c r="O360" s="118"/>
      <c r="P360" s="118"/>
      <c r="Q360" s="118"/>
      <c r="R360" s="118"/>
      <c r="S360" s="118"/>
    </row>
    <row r="361" spans="2:19">
      <c r="B361" s="118"/>
      <c r="C361" s="118"/>
      <c r="D361" s="118"/>
      <c r="E361" s="118"/>
      <c r="F361" s="118"/>
      <c r="G361" s="118"/>
      <c r="H361" s="118"/>
      <c r="I361" s="118"/>
      <c r="J361" s="118"/>
      <c r="K361" s="118"/>
      <c r="L361" s="118"/>
      <c r="M361" s="118"/>
      <c r="N361" s="118"/>
      <c r="O361" s="118"/>
      <c r="P361" s="118"/>
      <c r="Q361" s="118"/>
      <c r="R361" s="118"/>
      <c r="S361" s="118"/>
    </row>
    <row r="362" spans="2:19">
      <c r="B362" s="118"/>
      <c r="C362" s="118"/>
      <c r="D362" s="118"/>
      <c r="E362" s="118"/>
      <c r="F362" s="118"/>
      <c r="G362" s="118"/>
      <c r="H362" s="118"/>
      <c r="I362" s="118"/>
      <c r="J362" s="118"/>
      <c r="K362" s="118"/>
      <c r="L362" s="118"/>
      <c r="M362" s="118"/>
      <c r="N362" s="118"/>
      <c r="O362" s="118"/>
      <c r="P362" s="118"/>
      <c r="Q362" s="118"/>
      <c r="R362" s="118"/>
      <c r="S362" s="118"/>
    </row>
    <row r="363" spans="2:19">
      <c r="B363" s="118"/>
      <c r="C363" s="118"/>
      <c r="D363" s="118"/>
      <c r="E363" s="118"/>
      <c r="F363" s="118"/>
      <c r="G363" s="118"/>
      <c r="H363" s="118"/>
      <c r="I363" s="118"/>
      <c r="J363" s="118"/>
      <c r="K363" s="118"/>
      <c r="L363" s="118"/>
      <c r="M363" s="118"/>
      <c r="N363" s="118"/>
      <c r="O363" s="118"/>
      <c r="P363" s="118"/>
      <c r="Q363" s="118"/>
      <c r="R363" s="118"/>
      <c r="S363" s="118"/>
    </row>
    <row r="364" spans="2:19">
      <c r="B364" s="118"/>
      <c r="C364" s="118"/>
      <c r="D364" s="118"/>
      <c r="E364" s="118"/>
      <c r="F364" s="118"/>
      <c r="G364" s="118"/>
      <c r="H364" s="118"/>
      <c r="I364" s="118"/>
      <c r="J364" s="118"/>
      <c r="K364" s="118"/>
      <c r="L364" s="118"/>
      <c r="M364" s="118"/>
      <c r="N364" s="118"/>
      <c r="O364" s="118"/>
      <c r="P364" s="118"/>
      <c r="Q364" s="118"/>
      <c r="R364" s="118"/>
      <c r="S364" s="118"/>
    </row>
    <row r="365" spans="2:19">
      <c r="B365" s="118"/>
      <c r="C365" s="118"/>
      <c r="D365" s="118"/>
      <c r="E365" s="118"/>
      <c r="F365" s="118"/>
      <c r="G365" s="118"/>
      <c r="H365" s="118"/>
      <c r="I365" s="118"/>
      <c r="J365" s="118"/>
      <c r="K365" s="118"/>
      <c r="L365" s="118"/>
      <c r="M365" s="118"/>
      <c r="N365" s="118"/>
      <c r="O365" s="118"/>
      <c r="P365" s="118"/>
      <c r="Q365" s="118"/>
      <c r="R365" s="118"/>
      <c r="S365" s="118"/>
    </row>
    <row r="366" spans="2:19">
      <c r="B366" s="118"/>
      <c r="C366" s="118"/>
      <c r="D366" s="118"/>
      <c r="E366" s="118"/>
      <c r="F366" s="118"/>
      <c r="G366" s="118"/>
      <c r="H366" s="118"/>
      <c r="I366" s="118"/>
      <c r="J366" s="118"/>
      <c r="K366" s="118"/>
      <c r="L366" s="118"/>
      <c r="M366" s="118"/>
      <c r="N366" s="118"/>
      <c r="O366" s="118"/>
      <c r="P366" s="118"/>
      <c r="Q366" s="118"/>
      <c r="R366" s="118"/>
      <c r="S366" s="118"/>
    </row>
    <row r="367" spans="2:19">
      <c r="B367" s="118"/>
      <c r="C367" s="118"/>
      <c r="D367" s="118"/>
      <c r="E367" s="118"/>
      <c r="F367" s="118"/>
      <c r="G367" s="118"/>
      <c r="H367" s="118"/>
      <c r="I367" s="118"/>
      <c r="J367" s="118"/>
      <c r="K367" s="118"/>
      <c r="L367" s="118"/>
      <c r="M367" s="118"/>
      <c r="N367" s="118"/>
      <c r="O367" s="118"/>
      <c r="P367" s="118"/>
      <c r="Q367" s="118"/>
      <c r="R367" s="118"/>
      <c r="S367" s="118"/>
    </row>
    <row r="368" spans="2:19">
      <c r="B368" s="118"/>
      <c r="C368" s="118"/>
      <c r="D368" s="118"/>
      <c r="E368" s="118"/>
      <c r="F368" s="118"/>
      <c r="G368" s="118"/>
      <c r="H368" s="118"/>
      <c r="I368" s="118"/>
      <c r="J368" s="118"/>
      <c r="K368" s="118"/>
      <c r="L368" s="118"/>
      <c r="M368" s="118"/>
      <c r="N368" s="118"/>
      <c r="O368" s="118"/>
      <c r="P368" s="118"/>
      <c r="Q368" s="118"/>
      <c r="R368" s="118"/>
      <c r="S368" s="118"/>
    </row>
    <row r="369" spans="2:19">
      <c r="B369" s="118"/>
      <c r="C369" s="118"/>
      <c r="D369" s="118"/>
      <c r="E369" s="118"/>
      <c r="F369" s="118"/>
      <c r="G369" s="118"/>
      <c r="H369" s="118"/>
      <c r="I369" s="118"/>
      <c r="J369" s="118"/>
      <c r="K369" s="118"/>
      <c r="L369" s="118"/>
      <c r="M369" s="118"/>
      <c r="N369" s="118"/>
      <c r="O369" s="118"/>
      <c r="P369" s="118"/>
      <c r="Q369" s="118"/>
      <c r="R369" s="118"/>
      <c r="S369" s="118"/>
    </row>
    <row r="370" spans="2:19">
      <c r="B370" s="118"/>
      <c r="C370" s="118"/>
      <c r="D370" s="118"/>
      <c r="E370" s="118"/>
      <c r="F370" s="118"/>
      <c r="G370" s="118"/>
      <c r="H370" s="118"/>
      <c r="I370" s="118"/>
      <c r="J370" s="118"/>
      <c r="K370" s="118"/>
      <c r="L370" s="118"/>
      <c r="M370" s="118"/>
      <c r="N370" s="118"/>
      <c r="O370" s="118"/>
      <c r="P370" s="118"/>
      <c r="Q370" s="118"/>
      <c r="R370" s="118"/>
      <c r="S370" s="118"/>
    </row>
    <row r="371" spans="2:19">
      <c r="B371" s="118"/>
      <c r="C371" s="118"/>
      <c r="D371" s="118"/>
      <c r="E371" s="118"/>
      <c r="F371" s="118"/>
      <c r="G371" s="118"/>
      <c r="H371" s="118"/>
      <c r="I371" s="118"/>
      <c r="J371" s="118"/>
      <c r="K371" s="118"/>
      <c r="L371" s="118"/>
      <c r="M371" s="118"/>
      <c r="N371" s="118"/>
      <c r="O371" s="118"/>
      <c r="P371" s="118"/>
      <c r="Q371" s="118"/>
      <c r="R371" s="118"/>
      <c r="S371" s="118"/>
    </row>
    <row r="372" spans="2:19">
      <c r="B372" s="118"/>
      <c r="C372" s="118"/>
      <c r="D372" s="118"/>
      <c r="E372" s="118"/>
      <c r="F372" s="118"/>
      <c r="G372" s="118"/>
      <c r="H372" s="118"/>
      <c r="I372" s="118"/>
      <c r="J372" s="118"/>
      <c r="K372" s="118"/>
      <c r="L372" s="118"/>
      <c r="M372" s="118"/>
      <c r="N372" s="118"/>
      <c r="O372" s="118"/>
      <c r="P372" s="118"/>
      <c r="Q372" s="118"/>
      <c r="R372" s="118"/>
      <c r="S372" s="118"/>
    </row>
    <row r="373" spans="2:19">
      <c r="B373" s="118"/>
      <c r="C373" s="118"/>
      <c r="D373" s="118"/>
      <c r="E373" s="118"/>
      <c r="F373" s="118"/>
      <c r="G373" s="118"/>
      <c r="H373" s="118"/>
      <c r="I373" s="118"/>
      <c r="J373" s="118"/>
      <c r="K373" s="118"/>
      <c r="L373" s="118"/>
      <c r="M373" s="118"/>
      <c r="N373" s="118"/>
      <c r="O373" s="118"/>
      <c r="P373" s="118"/>
      <c r="Q373" s="118"/>
      <c r="R373" s="118"/>
      <c r="S373" s="118"/>
    </row>
    <row r="374" spans="2:19">
      <c r="B374" s="118"/>
      <c r="C374" s="118"/>
      <c r="D374" s="118"/>
      <c r="E374" s="118"/>
      <c r="F374" s="118"/>
      <c r="G374" s="118"/>
      <c r="H374" s="118"/>
      <c r="I374" s="118"/>
      <c r="J374" s="118"/>
      <c r="K374" s="118"/>
      <c r="L374" s="118"/>
      <c r="M374" s="118"/>
      <c r="N374" s="118"/>
      <c r="O374" s="118"/>
      <c r="P374" s="118"/>
      <c r="Q374" s="118"/>
      <c r="R374" s="118"/>
      <c r="S374" s="118"/>
    </row>
    <row r="375" spans="2:19">
      <c r="B375" s="118"/>
      <c r="C375" s="118"/>
      <c r="D375" s="118"/>
      <c r="E375" s="118"/>
      <c r="F375" s="118"/>
      <c r="G375" s="118"/>
      <c r="H375" s="118"/>
      <c r="I375" s="118"/>
      <c r="J375" s="118"/>
      <c r="K375" s="118"/>
      <c r="L375" s="118"/>
      <c r="M375" s="118"/>
      <c r="N375" s="118"/>
      <c r="O375" s="118"/>
      <c r="P375" s="118"/>
      <c r="Q375" s="118"/>
      <c r="R375" s="118"/>
      <c r="S375" s="118"/>
    </row>
    <row r="376" spans="2:19">
      <c r="B376" s="118"/>
      <c r="C376" s="118"/>
      <c r="D376" s="118"/>
      <c r="E376" s="118"/>
      <c r="F376" s="118"/>
      <c r="G376" s="118"/>
      <c r="H376" s="118"/>
      <c r="I376" s="118"/>
      <c r="J376" s="118"/>
      <c r="K376" s="118"/>
      <c r="L376" s="118"/>
      <c r="M376" s="118"/>
      <c r="N376" s="118"/>
      <c r="O376" s="118"/>
      <c r="P376" s="118"/>
      <c r="Q376" s="118"/>
      <c r="R376" s="118"/>
      <c r="S376" s="118"/>
    </row>
    <row r="377" spans="2:19">
      <c r="R377" s="118"/>
      <c r="S377" s="118"/>
    </row>
    <row r="378" spans="2:19">
      <c r="R378" s="118"/>
      <c r="S378" s="118"/>
    </row>
    <row r="379" spans="2:19">
      <c r="R379" s="118"/>
      <c r="S379" s="118"/>
    </row>
    <row r="380" spans="2:19">
      <c r="R380" s="118"/>
      <c r="S380" s="118"/>
    </row>
    <row r="381" spans="2:19">
      <c r="R381" s="118"/>
      <c r="S381" s="118"/>
    </row>
    <row r="382" spans="2:19">
      <c r="R382" s="118"/>
      <c r="S382" s="118"/>
    </row>
    <row r="383" spans="2:19">
      <c r="R383" s="118"/>
      <c r="S383" s="118"/>
    </row>
    <row r="384" spans="2:19">
      <c r="R384" s="118"/>
      <c r="S384" s="118"/>
    </row>
    <row r="385" spans="18:19">
      <c r="R385" s="118"/>
      <c r="S385" s="118"/>
    </row>
    <row r="386" spans="18:19">
      <c r="R386" s="118"/>
      <c r="S386" s="118"/>
    </row>
    <row r="387" spans="18:19">
      <c r="R387" s="118"/>
      <c r="S387" s="118"/>
    </row>
    <row r="388" spans="18:19">
      <c r="R388" s="118"/>
      <c r="S388" s="118"/>
    </row>
  </sheetData>
  <mergeCells count="5">
    <mergeCell ref="B1:C1"/>
    <mergeCell ref="P7:S10"/>
    <mergeCell ref="A4:S4"/>
    <mergeCell ref="B7:O10"/>
    <mergeCell ref="A11:A12"/>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53" fitToHeight="2"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enableFormatConditionsCalculation="0">
    <tabColor theme="6" tint="0.39997558519241921"/>
    <pageSetUpPr fitToPage="1"/>
  </sheetPr>
  <dimension ref="A1:V400"/>
  <sheetViews>
    <sheetView workbookViewId="0">
      <pane xSplit="1" ySplit="9" topLeftCell="B10" activePane="bottomRight" state="frozen"/>
      <selection activeCell="B2" sqref="B2:C2"/>
      <selection pane="topRight" activeCell="B2" sqref="B2:C2"/>
      <selection pane="bottomLeft" activeCell="B2" sqref="B2:C2"/>
      <selection pane="bottomRight" activeCell="A3" sqref="A3:O3"/>
    </sheetView>
  </sheetViews>
  <sheetFormatPr baseColWidth="10" defaultColWidth="10.33203125" defaultRowHeight="12" x14ac:dyDescent="0"/>
  <cols>
    <col min="1" max="1" width="8.6640625" style="76" customWidth="1"/>
    <col min="2" max="2" width="11.6640625" style="76" customWidth="1"/>
    <col min="3" max="4" width="8.83203125" style="76" customWidth="1"/>
    <col min="5" max="5" width="8.6640625" style="76" customWidth="1"/>
    <col min="6" max="6" width="9.6640625" style="76" customWidth="1"/>
    <col min="7" max="7" width="10.1640625" style="76" customWidth="1"/>
    <col min="8" max="10" width="7.6640625" style="76" customWidth="1"/>
    <col min="11" max="18" width="8.6640625" style="76" customWidth="1"/>
    <col min="19" max="16384" width="10.33203125" style="76"/>
  </cols>
  <sheetData>
    <row r="1" spans="1:22">
      <c r="B1" s="2252" t="s">
        <v>1416</v>
      </c>
      <c r="C1" s="2252"/>
      <c r="D1" s="75"/>
      <c r="E1" s="75"/>
      <c r="F1" s="87"/>
      <c r="G1" s="75"/>
      <c r="H1" s="75"/>
      <c r="I1" s="75"/>
      <c r="J1" s="75"/>
      <c r="K1" s="75"/>
      <c r="L1" s="75"/>
      <c r="M1" s="75"/>
      <c r="N1" s="75"/>
      <c r="O1" s="75"/>
    </row>
    <row r="2" spans="1:22" ht="13" thickBot="1"/>
    <row r="3" spans="1:22" ht="19.75" customHeight="1" thickTop="1">
      <c r="A3" s="2264" t="s">
        <v>1445</v>
      </c>
      <c r="B3" s="2265"/>
      <c r="C3" s="2265"/>
      <c r="D3" s="2265"/>
      <c r="E3" s="2265"/>
      <c r="F3" s="2265"/>
      <c r="G3" s="2265"/>
      <c r="H3" s="2265"/>
      <c r="I3" s="2265"/>
      <c r="J3" s="2265"/>
      <c r="K3" s="2265"/>
      <c r="L3" s="2265"/>
      <c r="M3" s="2265"/>
      <c r="N3" s="2265"/>
      <c r="O3" s="2266"/>
    </row>
    <row r="4" spans="1:22">
      <c r="A4" s="120"/>
      <c r="B4" s="83"/>
      <c r="C4" s="83"/>
      <c r="D4" s="83"/>
      <c r="E4" s="83"/>
      <c r="F4" s="83"/>
      <c r="G4" s="83"/>
      <c r="H4" s="83"/>
      <c r="I4" s="83"/>
      <c r="J4" s="83"/>
      <c r="K4" s="83"/>
      <c r="L4" s="83"/>
      <c r="M4" s="83"/>
      <c r="N4" s="83"/>
      <c r="O4" s="121"/>
    </row>
    <row r="5" spans="1:22">
      <c r="A5" s="120"/>
      <c r="B5" s="358" t="s">
        <v>952</v>
      </c>
      <c r="C5" s="358" t="s">
        <v>953</v>
      </c>
      <c r="D5" s="358" t="s">
        <v>954</v>
      </c>
      <c r="E5" s="358" t="s">
        <v>955</v>
      </c>
      <c r="F5" s="358" t="s">
        <v>956</v>
      </c>
      <c r="G5" s="358" t="s">
        <v>957</v>
      </c>
      <c r="H5" s="358" t="s">
        <v>958</v>
      </c>
      <c r="I5" s="358" t="s">
        <v>959</v>
      </c>
      <c r="J5" s="358" t="s">
        <v>960</v>
      </c>
      <c r="K5" s="358" t="s">
        <v>961</v>
      </c>
      <c r="L5" s="577" t="s">
        <v>962</v>
      </c>
      <c r="M5" s="577" t="s">
        <v>963</v>
      </c>
      <c r="N5" s="577" t="s">
        <v>964</v>
      </c>
      <c r="O5" s="578" t="s">
        <v>965</v>
      </c>
    </row>
    <row r="6" spans="1:22" ht="17" customHeight="1">
      <c r="A6" s="120"/>
      <c r="B6" s="2561" t="s">
        <v>1444</v>
      </c>
      <c r="C6" s="2561"/>
      <c r="D6" s="2561"/>
      <c r="E6" s="2561"/>
      <c r="F6" s="2561"/>
      <c r="G6" s="2561"/>
      <c r="H6" s="2561"/>
      <c r="I6" s="2561"/>
      <c r="J6" s="2561"/>
      <c r="K6" s="2561"/>
      <c r="L6" s="2561"/>
      <c r="M6" s="2561"/>
      <c r="N6" s="2561"/>
      <c r="O6" s="2562"/>
    </row>
    <row r="7" spans="1:22" ht="19.75" customHeight="1">
      <c r="A7" s="2560"/>
      <c r="B7" s="2533" t="s">
        <v>848</v>
      </c>
      <c r="C7" s="2533"/>
      <c r="D7" s="2533"/>
      <c r="E7" s="2533"/>
      <c r="F7" s="2533"/>
      <c r="G7" s="2533"/>
      <c r="H7" s="2533"/>
      <c r="I7" s="2533"/>
      <c r="J7" s="2563"/>
      <c r="K7" s="2351" t="s">
        <v>824</v>
      </c>
      <c r="L7" s="2351"/>
      <c r="M7" s="2351"/>
      <c r="N7" s="2351"/>
      <c r="O7" s="2559"/>
    </row>
    <row r="8" spans="1:22" ht="70" customHeight="1">
      <c r="A8" s="2560"/>
      <c r="B8" s="2216" t="s">
        <v>822</v>
      </c>
      <c r="C8" s="2217" t="s">
        <v>843</v>
      </c>
      <c r="D8" s="2218" t="s">
        <v>844</v>
      </c>
      <c r="E8" s="2219" t="s">
        <v>821</v>
      </c>
      <c r="F8" s="2218" t="s">
        <v>997</v>
      </c>
      <c r="G8" s="2220" t="s">
        <v>996</v>
      </c>
      <c r="H8" s="2221" t="s">
        <v>427</v>
      </c>
      <c r="I8" s="2218" t="s">
        <v>1006</v>
      </c>
      <c r="J8" s="2222" t="s">
        <v>998</v>
      </c>
      <c r="K8" s="2147" t="s">
        <v>250</v>
      </c>
      <c r="L8" s="1070" t="s">
        <v>823</v>
      </c>
      <c r="M8" s="1070" t="s">
        <v>249</v>
      </c>
      <c r="N8" s="1070" t="s">
        <v>863</v>
      </c>
      <c r="O8" s="2152" t="s">
        <v>260</v>
      </c>
    </row>
    <row r="9" spans="1:22" ht="30" customHeight="1">
      <c r="A9" s="2560"/>
      <c r="B9" s="2213" t="s">
        <v>846</v>
      </c>
      <c r="C9" s="2223"/>
      <c r="D9" s="2224"/>
      <c r="E9" s="2131" t="s">
        <v>847</v>
      </c>
      <c r="F9" s="2225" t="s">
        <v>841</v>
      </c>
      <c r="G9" s="2226" t="s">
        <v>842</v>
      </c>
      <c r="H9" s="2227"/>
      <c r="I9" s="2225"/>
      <c r="J9" s="2226"/>
      <c r="K9" s="1067" t="s">
        <v>825</v>
      </c>
      <c r="L9" s="2228" t="s">
        <v>826</v>
      </c>
      <c r="M9" s="2228" t="s">
        <v>827</v>
      </c>
      <c r="N9" s="1069" t="s">
        <v>828</v>
      </c>
      <c r="O9" s="2185" t="s">
        <v>829</v>
      </c>
    </row>
    <row r="10" spans="1:22" ht="12" customHeight="1">
      <c r="A10" s="348" t="s">
        <v>1250</v>
      </c>
      <c r="B10" s="1954">
        <f t="shared" ref="B10:B23" si="0">1-E10+O10</f>
        <v>0.95</v>
      </c>
      <c r="C10" s="1918"/>
      <c r="D10" s="1919"/>
      <c r="E10" s="307">
        <f t="shared" ref="E10:E24" si="1">F10+G10</f>
        <v>0.05</v>
      </c>
      <c r="F10" s="1920">
        <f>TableUK12d!B10</f>
        <v>0.05</v>
      </c>
      <c r="G10" s="1921">
        <v>0</v>
      </c>
      <c r="H10" s="1923"/>
      <c r="I10" s="1533"/>
      <c r="J10" s="1924"/>
      <c r="K10" s="295">
        <v>0</v>
      </c>
      <c r="L10" s="335"/>
      <c r="M10" s="335"/>
      <c r="N10" s="1428">
        <v>0</v>
      </c>
      <c r="O10" s="1565">
        <v>0</v>
      </c>
      <c r="S10" s="564">
        <f t="shared" ref="S10:S16" si="2">B10+E10-O10</f>
        <v>1</v>
      </c>
      <c r="T10" s="1244">
        <f>G10-K10-N10-O10</f>
        <v>0</v>
      </c>
      <c r="V10" s="233"/>
    </row>
    <row r="11" spans="1:22" ht="12" customHeight="1">
      <c r="A11" s="348" t="s">
        <v>1249</v>
      </c>
      <c r="B11" s="1954">
        <f t="shared" si="0"/>
        <v>0.94669631184436731</v>
      </c>
      <c r="C11" s="1918"/>
      <c r="D11" s="1919"/>
      <c r="E11" s="307">
        <f t="shared" si="1"/>
        <v>5.4701402375323477E-2</v>
      </c>
      <c r="F11" s="1920">
        <f>TableUK12d!B11</f>
        <v>0.05</v>
      </c>
      <c r="G11" s="394">
        <f t="shared" ref="G11:G18" si="3">K11+N11+O11</f>
        <v>4.7014023753234714E-3</v>
      </c>
      <c r="H11" s="1923"/>
      <c r="I11" s="1533"/>
      <c r="J11" s="1924"/>
      <c r="K11" s="1930">
        <f>AVERAGE(0.94-0.58)/AVERAGE(DataUK4!B21:B30)</f>
        <v>4.5743374462606746E-3</v>
      </c>
      <c r="L11" s="335"/>
      <c r="M11" s="335"/>
      <c r="N11" s="1582">
        <f>-0.1/AVERAGE(DataUK4!B21:B30)</f>
        <v>-1.2706492906279653E-3</v>
      </c>
      <c r="O11" s="1945">
        <f>0.11/AVERAGE(DataUK4!B21:B30)</f>
        <v>1.3977142196907619E-3</v>
      </c>
      <c r="S11" s="564">
        <f t="shared" si="2"/>
        <v>1</v>
      </c>
      <c r="T11" s="1244">
        <f t="shared" ref="T11:T74" si="4">G11-K11-N11-O11</f>
        <v>0</v>
      </c>
      <c r="V11" s="233"/>
    </row>
    <row r="12" spans="1:22" ht="12" customHeight="1">
      <c r="A12" s="348" t="s">
        <v>1251</v>
      </c>
      <c r="B12" s="1954">
        <f t="shared" si="0"/>
        <v>0.96270151450726826</v>
      </c>
      <c r="C12" s="1918"/>
      <c r="D12" s="1919"/>
      <c r="E12" s="307">
        <f t="shared" si="1"/>
        <v>3.7298485492731723E-2</v>
      </c>
      <c r="F12" s="1920">
        <f>TableUK12d!B12</f>
        <v>0.05</v>
      </c>
      <c r="G12" s="394">
        <f t="shared" si="3"/>
        <v>-1.2701514507268282E-2</v>
      </c>
      <c r="H12" s="1923"/>
      <c r="I12" s="1533"/>
      <c r="J12" s="1922"/>
      <c r="K12" s="1930">
        <f>AVERAGE(-0.58,-1.12)/AVERAGE(DataUK4!B31:B40)</f>
        <v>-9.9965623436833705E-3</v>
      </c>
      <c r="L12" s="335"/>
      <c r="M12" s="335"/>
      <c r="N12" s="1582">
        <f>-0.23/AVERAGE(DataUK4!B31:B40)</f>
        <v>-2.7049521635849117E-3</v>
      </c>
      <c r="O12" s="1945">
        <f>0/AVERAGE(DataUK4!B31:B40)</f>
        <v>0</v>
      </c>
      <c r="S12" s="564">
        <f t="shared" si="2"/>
        <v>1</v>
      </c>
      <c r="T12" s="1244">
        <f t="shared" si="4"/>
        <v>4.3368086899420177E-19</v>
      </c>
      <c r="V12" s="233"/>
    </row>
    <row r="13" spans="1:22" ht="12" customHeight="1">
      <c r="A13" s="348" t="s">
        <v>1252</v>
      </c>
      <c r="B13" s="1954">
        <f t="shared" si="0"/>
        <v>0.96627342626705548</v>
      </c>
      <c r="C13" s="1918"/>
      <c r="D13" s="1919"/>
      <c r="E13" s="307">
        <f t="shared" si="1"/>
        <v>3.394427843216926E-2</v>
      </c>
      <c r="F13" s="1920">
        <f>TableUK12d!B13</f>
        <v>0.05</v>
      </c>
      <c r="G13" s="394">
        <f t="shared" si="3"/>
        <v>-1.6055721567830743E-2</v>
      </c>
      <c r="H13" s="1923"/>
      <c r="I13" s="1533"/>
      <c r="J13" s="1922"/>
      <c r="K13" s="1931">
        <f>AVERAGE(-1.12,-0.31)/AVERAGE(DataUK4!B41:B50)</f>
        <v>-7.7829429972874446E-3</v>
      </c>
      <c r="L13" s="335"/>
      <c r="M13" s="335"/>
      <c r="N13" s="1428">
        <f>-0.78/AVERAGE(DataUK4!B41:B50)</f>
        <v>-8.4904832697681211E-3</v>
      </c>
      <c r="O13" s="1565">
        <f>0.02/AVERAGE(DataUK4!B41:B50)</f>
        <v>2.1770469922482362E-4</v>
      </c>
      <c r="S13" s="564">
        <f t="shared" si="2"/>
        <v>0.99999999999999989</v>
      </c>
      <c r="T13" s="1244">
        <f t="shared" si="4"/>
        <v>-6.2341624917916505E-19</v>
      </c>
      <c r="V13" s="233"/>
    </row>
    <row r="14" spans="1:22" ht="12" customHeight="1">
      <c r="A14" s="748" t="s">
        <v>1253</v>
      </c>
      <c r="B14" s="1955">
        <f t="shared" si="0"/>
        <v>0.94959700110628187</v>
      </c>
      <c r="C14" s="1946"/>
      <c r="D14" s="1947"/>
      <c r="E14" s="568">
        <f t="shared" si="1"/>
        <v>5.1813495021731507E-2</v>
      </c>
      <c r="F14" s="1948">
        <f>TableUK12d!B14</f>
        <v>0.05</v>
      </c>
      <c r="G14" s="553">
        <f t="shared" si="3"/>
        <v>1.8134950217315014E-3</v>
      </c>
      <c r="H14" s="1949"/>
      <c r="I14" s="1950"/>
      <c r="J14" s="1956"/>
      <c r="K14" s="1951">
        <f>1.52/AVERAGE(DataUK4!B51:B60)</f>
        <v>1.5313957961288231E-2</v>
      </c>
      <c r="L14" s="753"/>
      <c r="M14" s="753"/>
      <c r="N14" s="1914">
        <f>-1.48/AVERAGE(DataUK4!B51:B60)</f>
        <v>-1.4910959067570119E-2</v>
      </c>
      <c r="O14" s="1916">
        <f>0.14/AVERAGE(DataUK4!B51:B60)</f>
        <v>1.4104961280133898E-3</v>
      </c>
      <c r="S14" s="564">
        <f t="shared" si="2"/>
        <v>1</v>
      </c>
      <c r="T14" s="1244">
        <f t="shared" si="4"/>
        <v>0</v>
      </c>
      <c r="V14" s="233"/>
    </row>
    <row r="15" spans="1:22" ht="12" customHeight="1">
      <c r="A15" s="348" t="s">
        <v>1254</v>
      </c>
      <c r="B15" s="1954">
        <f t="shared" si="0"/>
        <v>0.94272648196417452</v>
      </c>
      <c r="C15" s="1918"/>
      <c r="D15" s="1919"/>
      <c r="E15" s="307">
        <f t="shared" si="1"/>
        <v>5.7273518035825463E-2</v>
      </c>
      <c r="F15" s="1920">
        <f>TableUK12d!B15</f>
        <v>0.05</v>
      </c>
      <c r="G15" s="394">
        <f t="shared" si="3"/>
        <v>7.2735180358254586E-3</v>
      </c>
      <c r="H15" s="1923"/>
      <c r="I15" s="1533"/>
      <c r="J15" s="1922"/>
      <c r="K15" s="1931">
        <f>2.2/AVERAGE(DataUK4!B61:B70)</f>
        <v>2.0515050870276927E-2</v>
      </c>
      <c r="L15" s="335"/>
      <c r="M15" s="335"/>
      <c r="N15" s="1428">
        <f>-1.42/AVERAGE(DataUK4!B61:B70)</f>
        <v>-1.3241532834451468E-2</v>
      </c>
      <c r="O15" s="1565">
        <f>0/AVERAGE(DataUK4!B61:B70)</f>
        <v>0</v>
      </c>
      <c r="S15" s="564">
        <f t="shared" si="2"/>
        <v>1</v>
      </c>
      <c r="T15" s="1244">
        <f t="shared" si="4"/>
        <v>0</v>
      </c>
      <c r="V15" s="233"/>
    </row>
    <row r="16" spans="1:22" ht="12" customHeight="1">
      <c r="A16" s="348" t="s">
        <v>1255</v>
      </c>
      <c r="B16" s="1954">
        <f t="shared" si="0"/>
        <v>0.95606517602196595</v>
      </c>
      <c r="C16" s="1918"/>
      <c r="D16" s="1919"/>
      <c r="E16" s="307">
        <f t="shared" si="1"/>
        <v>3.5270286803797055E-2</v>
      </c>
      <c r="F16" s="1920">
        <f>TableUK12d!B16</f>
        <v>0.05</v>
      </c>
      <c r="G16" s="394">
        <f t="shared" si="3"/>
        <v>-1.4729713196202945E-2</v>
      </c>
      <c r="H16" s="1957">
        <f t="shared" ref="H16:H23" si="5">J16+E16</f>
        <v>6.5270286803797053E-2</v>
      </c>
      <c r="I16" s="1533"/>
      <c r="J16" s="1922">
        <f>TableUK12d!L16</f>
        <v>0.03</v>
      </c>
      <c r="K16" s="1931">
        <f>0.42/AVERAGE(DataUK4!B71:B80)</f>
        <v>3.6391056131795502E-3</v>
      </c>
      <c r="L16" s="335"/>
      <c r="M16" s="335"/>
      <c r="N16" s="1428">
        <f>-1.12/AVERAGE(DataUK4!B71:B80)</f>
        <v>-9.7042816351454696E-3</v>
      </c>
      <c r="O16" s="1565">
        <f>-1/AVERAGE(DataUK4!B71:B80)</f>
        <v>-8.6645371742370258E-3</v>
      </c>
      <c r="S16" s="564">
        <f t="shared" si="2"/>
        <v>1</v>
      </c>
      <c r="T16" s="1244">
        <f t="shared" si="4"/>
        <v>0</v>
      </c>
      <c r="V16" s="233"/>
    </row>
    <row r="17" spans="1:22" ht="12" customHeight="1">
      <c r="A17" s="348" t="s">
        <v>1256</v>
      </c>
      <c r="B17" s="1954">
        <f t="shared" si="0"/>
        <v>0.95228114965032518</v>
      </c>
      <c r="C17" s="1918"/>
      <c r="D17" s="1919"/>
      <c r="E17" s="307">
        <f t="shared" si="1"/>
        <v>4.7718850349674796E-2</v>
      </c>
      <c r="F17" s="1920">
        <f>TableUK12d!B17</f>
        <v>0.06</v>
      </c>
      <c r="G17" s="394">
        <f t="shared" si="3"/>
        <v>-1.2281149650325198E-2</v>
      </c>
      <c r="H17" s="1957">
        <f t="shared" si="5"/>
        <v>7.7718850349674795E-2</v>
      </c>
      <c r="I17" s="1533"/>
      <c r="J17" s="1922">
        <f>TableUK12d!L17</f>
        <v>0.03</v>
      </c>
      <c r="K17" s="1931">
        <f>0.24/AVERAGE(DataUK4!B81:B90)</f>
        <v>1.7863490400473016E-3</v>
      </c>
      <c r="L17" s="335"/>
      <c r="M17" s="335"/>
      <c r="N17" s="1428">
        <f>-1.89/AVERAGE(DataUK4!B81:B90)</f>
        <v>-1.40674986903725E-2</v>
      </c>
      <c r="O17" s="1565">
        <f>0/AVERAGE(DataUK4!B81:B90)</f>
        <v>0</v>
      </c>
      <c r="S17" s="564">
        <f t="shared" ref="S17:S24" si="6">B17+E17-O17</f>
        <v>1</v>
      </c>
      <c r="T17" s="1244">
        <f t="shared" si="4"/>
        <v>0</v>
      </c>
      <c r="V17" s="233"/>
    </row>
    <row r="18" spans="1:22" ht="12" customHeight="1">
      <c r="A18" s="348" t="s">
        <v>1257</v>
      </c>
      <c r="B18" s="1954">
        <f t="shared" si="0"/>
        <v>0.93092565381955406</v>
      </c>
      <c r="C18" s="1918"/>
      <c r="D18" s="1919"/>
      <c r="E18" s="307">
        <f t="shared" si="1"/>
        <v>8.1419864658058949E-2</v>
      </c>
      <c r="F18" s="1920">
        <f>TableUK12d!B18</f>
        <v>0.09</v>
      </c>
      <c r="G18" s="394">
        <f t="shared" si="3"/>
        <v>-8.5801353419410406E-3</v>
      </c>
      <c r="H18" s="1957">
        <f t="shared" si="5"/>
        <v>0.11141986465805895</v>
      </c>
      <c r="I18" s="1533"/>
      <c r="J18" s="1922">
        <f>TableUK12d!L18</f>
        <v>0.03</v>
      </c>
      <c r="K18" s="1931">
        <f>-1.5/AVERAGE(DataUK4!B91:B100)</f>
        <v>-9.2591388582097568E-3</v>
      </c>
      <c r="L18" s="335"/>
      <c r="M18" s="335"/>
      <c r="N18" s="1428">
        <f>-1.89/AVERAGE(DataUK4!B91:B100)</f>
        <v>-1.1666514961344292E-2</v>
      </c>
      <c r="O18" s="1565">
        <f>2/AVERAGE(DataUK4!B91:B100)</f>
        <v>1.2345518477613008E-2</v>
      </c>
      <c r="S18" s="564">
        <f t="shared" si="6"/>
        <v>1</v>
      </c>
      <c r="T18" s="1244">
        <f t="shared" si="4"/>
        <v>0</v>
      </c>
      <c r="V18" s="233"/>
    </row>
    <row r="19" spans="1:22" ht="12" customHeight="1">
      <c r="A19" s="748" t="s">
        <v>1258</v>
      </c>
      <c r="B19" s="1955">
        <f t="shared" si="0"/>
        <v>0.92475662245611079</v>
      </c>
      <c r="C19" s="1946"/>
      <c r="D19" s="1947"/>
      <c r="E19" s="568">
        <f t="shared" si="1"/>
        <v>0.11143727002358339</v>
      </c>
      <c r="F19" s="1948">
        <f>TableUK12d!B19</f>
        <v>0.1</v>
      </c>
      <c r="G19" s="553">
        <f t="shared" ref="G19:G39" si="7">K19+N19+O19</f>
        <v>1.1437270023583378E-2</v>
      </c>
      <c r="H19" s="1958">
        <f t="shared" si="5"/>
        <v>0.14143727002358339</v>
      </c>
      <c r="I19" s="1950"/>
      <c r="J19" s="1956">
        <f>TableUK12d!L19</f>
        <v>0.03</v>
      </c>
      <c r="K19" s="1951">
        <f>-2.55/AVERAGE(DataUK4!B101:B110)</f>
        <v>-1.2305923443096039E-2</v>
      </c>
      <c r="L19" s="753"/>
      <c r="M19" s="753"/>
      <c r="N19" s="1914">
        <f>-2.58/AVERAGE(DataUK4!B101:B110)</f>
        <v>-1.2450699013014817E-2</v>
      </c>
      <c r="O19" s="1916">
        <f>7.5/AVERAGE(DataUK4!B101:B110)</f>
        <v>3.6193892479694234E-2</v>
      </c>
      <c r="S19" s="564">
        <f t="shared" si="6"/>
        <v>0.99999999999999978</v>
      </c>
      <c r="T19" s="1244">
        <f t="shared" si="4"/>
        <v>0</v>
      </c>
      <c r="V19" s="233"/>
    </row>
    <row r="20" spans="1:22" ht="12" customHeight="1">
      <c r="A20" s="348" t="s">
        <v>1259</v>
      </c>
      <c r="B20" s="1954">
        <f t="shared" si="0"/>
        <v>0.9</v>
      </c>
      <c r="C20" s="1918"/>
      <c r="D20" s="1919"/>
      <c r="E20" s="307">
        <f t="shared" si="1"/>
        <v>0.1</v>
      </c>
      <c r="F20" s="1920">
        <f>TableUK12d!B20</f>
        <v>0.08</v>
      </c>
      <c r="G20" s="1921">
        <v>0.02</v>
      </c>
      <c r="H20" s="1957">
        <f t="shared" si="5"/>
        <v>0.13</v>
      </c>
      <c r="I20" s="1533"/>
      <c r="J20" s="1922">
        <f>TableUK12d!L20</f>
        <v>0.03</v>
      </c>
      <c r="K20" s="1932">
        <f>G20-N20-O20</f>
        <v>0.02</v>
      </c>
      <c r="L20" s="335"/>
      <c r="M20" s="335"/>
      <c r="N20" s="1428">
        <v>0</v>
      </c>
      <c r="O20" s="1565">
        <v>0</v>
      </c>
      <c r="S20" s="564">
        <f t="shared" si="6"/>
        <v>1</v>
      </c>
      <c r="T20" s="1244">
        <f t="shared" si="4"/>
        <v>0</v>
      </c>
      <c r="V20" s="233"/>
    </row>
    <row r="21" spans="1:22" ht="12" customHeight="1">
      <c r="A21" s="348" t="s">
        <v>1260</v>
      </c>
      <c r="B21" s="1954">
        <f t="shared" si="0"/>
        <v>0.91104750242335386</v>
      </c>
      <c r="C21" s="1918"/>
      <c r="D21" s="1919"/>
      <c r="E21" s="307">
        <f t="shared" si="1"/>
        <v>8.8952497576646139E-2</v>
      </c>
      <c r="F21" s="1920">
        <f>TableUK12d!B21</f>
        <v>6.5368467030682137E-2</v>
      </c>
      <c r="G21" s="1922">
        <f>8.82/AVERAGE(DataUK4!B121:B130)</f>
        <v>2.3584030545964006E-2</v>
      </c>
      <c r="H21" s="1957">
        <f t="shared" si="5"/>
        <v>0.13358403054596402</v>
      </c>
      <c r="I21" s="1533"/>
      <c r="J21" s="1922">
        <f>TableUK12d!L21</f>
        <v>4.4631532969317871E-2</v>
      </c>
      <c r="K21" s="1932">
        <f>G21-N21-O21</f>
        <v>2.3584030545964006E-2</v>
      </c>
      <c r="L21" s="335"/>
      <c r="M21" s="335"/>
      <c r="N21" s="1428">
        <v>0</v>
      </c>
      <c r="O21" s="1565">
        <v>0</v>
      </c>
      <c r="S21" s="564">
        <f t="shared" si="6"/>
        <v>1</v>
      </c>
      <c r="T21" s="1244">
        <f t="shared" si="4"/>
        <v>0</v>
      </c>
      <c r="V21" s="233"/>
    </row>
    <row r="22" spans="1:22" ht="12" customHeight="1">
      <c r="A22" s="348" t="s">
        <v>1261</v>
      </c>
      <c r="B22" s="1954">
        <f t="shared" si="0"/>
        <v>0.9045488076686472</v>
      </c>
      <c r="C22" s="1918"/>
      <c r="D22" s="1919"/>
      <c r="E22" s="307">
        <f t="shared" si="1"/>
        <v>9.545119233135281E-2</v>
      </c>
      <c r="F22" s="1920">
        <f>TableUK12d!B22</f>
        <v>7.5368467030682118E-2</v>
      </c>
      <c r="G22" s="394">
        <f t="shared" si="7"/>
        <v>2.0082725300670692E-2</v>
      </c>
      <c r="H22" s="1957">
        <f t="shared" si="5"/>
        <v>0.14008272530067067</v>
      </c>
      <c r="I22" s="1533"/>
      <c r="J22" s="1922">
        <f>TableUK12d!L22</f>
        <v>4.4631532969317871E-2</v>
      </c>
      <c r="K22" s="1931">
        <f>SUM(DataUK4!BA131:BA140)/SUM(DataUK4!$B131:$B140)</f>
        <v>8.9516023627020536E-3</v>
      </c>
      <c r="L22" s="335"/>
      <c r="M22" s="83"/>
      <c r="N22" s="1428">
        <f>SUM(DataUK4!BB131:BB140)/SUM(DataUK4!$B131:$B140)</f>
        <v>1.1131122937968639E-2</v>
      </c>
      <c r="O22" s="1933">
        <v>0</v>
      </c>
      <c r="S22" s="564">
        <f t="shared" si="6"/>
        <v>1</v>
      </c>
      <c r="T22" s="1244">
        <f t="shared" si="4"/>
        <v>0</v>
      </c>
      <c r="V22" s="233"/>
    </row>
    <row r="23" spans="1:22" ht="12" customHeight="1">
      <c r="A23" s="348" t="s">
        <v>1262</v>
      </c>
      <c r="B23" s="1954">
        <f t="shared" si="0"/>
        <v>0.91468028339792051</v>
      </c>
      <c r="C23" s="1918"/>
      <c r="D23" s="1919"/>
      <c r="E23" s="307">
        <f t="shared" si="1"/>
        <v>8.5319716602079446E-2</v>
      </c>
      <c r="F23" s="1920">
        <f>TableUK12d!B23</f>
        <v>7.5368467030682118E-2</v>
      </c>
      <c r="G23" s="394">
        <f t="shared" si="7"/>
        <v>9.9512495713973258E-3</v>
      </c>
      <c r="H23" s="1957">
        <f t="shared" si="5"/>
        <v>0.12995124957139731</v>
      </c>
      <c r="I23" s="1533"/>
      <c r="J23" s="1922">
        <f>TableUK12d!L23</f>
        <v>4.4631532969317871E-2</v>
      </c>
      <c r="K23" s="1930">
        <f>SUM(DataUK4!BA141:BA150)/SUM(DataUK4!$B141:$B150)</f>
        <v>-4.2712104901952569E-3</v>
      </c>
      <c r="L23" s="335"/>
      <c r="M23" s="83"/>
      <c r="N23" s="1428">
        <f>SUM(DataUK4!BB141:BB150)/SUM(DataUK4!$B141:$B150)</f>
        <v>1.4222460061592583E-2</v>
      </c>
      <c r="O23" s="1933">
        <v>0</v>
      </c>
      <c r="S23" s="564">
        <f t="shared" si="6"/>
        <v>1</v>
      </c>
      <c r="T23" s="1244">
        <f t="shared" si="4"/>
        <v>0</v>
      </c>
      <c r="V23" s="233"/>
    </row>
    <row r="24" spans="1:22" ht="12" customHeight="1">
      <c r="A24" s="748" t="s">
        <v>1263</v>
      </c>
      <c r="B24" s="1955">
        <f>1-E24+O24</f>
        <v>0.92332056469034729</v>
      </c>
      <c r="C24" s="1946"/>
      <c r="D24" s="1947"/>
      <c r="E24" s="568">
        <f t="shared" si="1"/>
        <v>7.6679435309652683E-2</v>
      </c>
      <c r="F24" s="1948">
        <f>TableUK12d!B24</f>
        <v>6.5368467030682137E-2</v>
      </c>
      <c r="G24" s="553">
        <f t="shared" si="7"/>
        <v>1.1310968278970553E-2</v>
      </c>
      <c r="H24" s="1958">
        <f>J24+E24</f>
        <v>0.12131096827897056</v>
      </c>
      <c r="I24" s="1950"/>
      <c r="J24" s="1956">
        <f>TableUK12d!L24</f>
        <v>4.4631532969317871E-2</v>
      </c>
      <c r="K24" s="1940">
        <f>SUM(DataUK4!BA151:BA164)/SUM(DataUK4!$B151:$B164)</f>
        <v>-4.0527899370904228E-3</v>
      </c>
      <c r="L24" s="753"/>
      <c r="M24" s="1952"/>
      <c r="N24" s="216">
        <f>SUM(DataUK4!BB151:BB164)/SUM(DataUK4!$B151:$B164)</f>
        <v>1.5363758216060975E-2</v>
      </c>
      <c r="O24" s="1953">
        <v>0</v>
      </c>
      <c r="S24" s="564">
        <f t="shared" si="6"/>
        <v>1</v>
      </c>
      <c r="T24" s="1244">
        <f t="shared" si="4"/>
        <v>1.7347234759768071E-18</v>
      </c>
      <c r="V24" s="233"/>
    </row>
    <row r="25" spans="1:22">
      <c r="A25" s="198">
        <f>A26-1</f>
        <v>1855</v>
      </c>
      <c r="B25" s="192">
        <f t="shared" ref="B25:B39" si="8">C25+D25</f>
        <v>0.92740052253828598</v>
      </c>
      <c r="C25" s="202">
        <f>DataUK1!DU13/DataUK1!$G13</f>
        <v>0.87605072389681271</v>
      </c>
      <c r="D25" s="308">
        <f>DataUK1!DT13/DataUK1!$G13</f>
        <v>5.1349798641473293E-2</v>
      </c>
      <c r="E25" s="307">
        <f t="shared" ref="E25:E39" si="9">F25+G25</f>
        <v>7.2599477461714079E-2</v>
      </c>
      <c r="F25" s="308">
        <f>(DataUK1!DW13-DataUK1!F13)/DataUK1!$G13</f>
        <v>4.4111264928106929E-2</v>
      </c>
      <c r="G25" s="394">
        <f t="shared" si="7"/>
        <v>2.848821253360715E-2</v>
      </c>
      <c r="H25" s="1925">
        <f>E25+J25</f>
        <v>0.11723101043103196</v>
      </c>
      <c r="I25" s="556">
        <f>F25+J25</f>
        <v>8.8742797897424813E-2</v>
      </c>
      <c r="J25" s="557">
        <f>(DataUK1!F13)/DataUK1!$G13</f>
        <v>4.4631532969317878E-2</v>
      </c>
      <c r="K25" s="1398">
        <f t="shared" ref="K25:K39" si="10">L25-M25</f>
        <v>1.0852652393755102E-2</v>
      </c>
      <c r="L25" s="1934">
        <f>DataUK1!EI13/DataUK1!$G13</f>
        <v>0.20620039548134703</v>
      </c>
      <c r="M25" s="1934">
        <f>DataUK1!EJ13/DataUK1!$G13</f>
        <v>0.19534774308759192</v>
      </c>
      <c r="N25" s="203">
        <f>DataUK1!C13/DataUK1!$G13</f>
        <v>1.7635560139852048E-2</v>
      </c>
      <c r="O25" s="1935">
        <f>DataUK1!HN13/DataUK1!$G13</f>
        <v>0</v>
      </c>
      <c r="S25" s="564">
        <f>B25+E25-O25</f>
        <v>1</v>
      </c>
      <c r="T25" s="1244">
        <f t="shared" si="4"/>
        <v>0</v>
      </c>
      <c r="V25" s="233"/>
    </row>
    <row r="26" spans="1:22">
      <c r="A26" s="198">
        <f>A27-1</f>
        <v>1856</v>
      </c>
      <c r="B26" s="192">
        <f t="shared" si="8"/>
        <v>0.93013217135564641</v>
      </c>
      <c r="C26" s="202">
        <f>DataUK1!DU14/DataUK1!$G14</f>
        <v>0.87894778004560059</v>
      </c>
      <c r="D26" s="308">
        <f>DataUK1!DT14/DataUK1!$G14</f>
        <v>5.1184391310045818E-2</v>
      </c>
      <c r="E26" s="307">
        <f t="shared" si="9"/>
        <v>6.9867828644353716E-2</v>
      </c>
      <c r="F26" s="308">
        <f>(DataUK1!DW14-DataUK1!F14)/DataUK1!$G14</f>
        <v>4.139510592392686E-2</v>
      </c>
      <c r="G26" s="394">
        <f t="shared" si="7"/>
        <v>2.8472722720426856E-2</v>
      </c>
      <c r="H26" s="1926">
        <f t="shared" ref="H26:H89" si="11">E26+J26</f>
        <v>0.11296887488192456</v>
      </c>
      <c r="I26" s="308">
        <f t="shared" ref="I26:I89" si="12">F26+J26</f>
        <v>8.4496152161497709E-2</v>
      </c>
      <c r="J26" s="394">
        <f>(DataUK1!F14)/DataUK1!$G14</f>
        <v>4.3101046237570849E-2</v>
      </c>
      <c r="K26" s="1398">
        <f t="shared" si="10"/>
        <v>9.0595026837721748E-3</v>
      </c>
      <c r="L26" s="1934">
        <f>DataUK1!EI14/DataUK1!$G14</f>
        <v>0.23295864043985617</v>
      </c>
      <c r="M26" s="1934">
        <f>DataUK1!EJ14/DataUK1!$G14</f>
        <v>0.223899137756084</v>
      </c>
      <c r="N26" s="203">
        <f>DataUK1!C14/DataUK1!$G14</f>
        <v>1.9413220036654681E-2</v>
      </c>
      <c r="O26" s="1935">
        <f>DataUK1!HN14/DataUK1!$G14</f>
        <v>0</v>
      </c>
      <c r="S26" s="564">
        <f t="shared" ref="S26:S89" si="13">B26+E26-O26</f>
        <v>1.0000000000000002</v>
      </c>
      <c r="T26" s="1244">
        <f t="shared" si="4"/>
        <v>0</v>
      </c>
      <c r="V26" s="233"/>
    </row>
    <row r="27" spans="1:22">
      <c r="A27" s="198">
        <f t="shared" ref="A27:A87" si="14">A28-1</f>
        <v>1857</v>
      </c>
      <c r="B27" s="192">
        <f t="shared" si="8"/>
        <v>0.94326978306550602</v>
      </c>
      <c r="C27" s="202">
        <f>DataUK1!DU15/DataUK1!$G15</f>
        <v>0.89214978413822743</v>
      </c>
      <c r="D27" s="308">
        <f>DataUK1!DT15/DataUK1!$G15</f>
        <v>5.1119998927278622E-2</v>
      </c>
      <c r="E27" s="307">
        <f t="shared" si="9"/>
        <v>5.6730216934494038E-2</v>
      </c>
      <c r="F27" s="308">
        <f>(DataUK1!DW15-DataUK1!F15)/DataUK1!$G15</f>
        <v>3.1678105039429146E-2</v>
      </c>
      <c r="G27" s="394">
        <f t="shared" si="7"/>
        <v>2.5052111895064892E-2</v>
      </c>
      <c r="H27" s="1926">
        <f t="shared" si="11"/>
        <v>0.10022671076012099</v>
      </c>
      <c r="I27" s="308">
        <f t="shared" si="12"/>
        <v>7.5174598865056105E-2</v>
      </c>
      <c r="J27" s="394">
        <f>(DataUK1!F15)/DataUK1!$G15</f>
        <v>4.349649382562696E-2</v>
      </c>
      <c r="K27" s="1398">
        <f t="shared" si="10"/>
        <v>3.9555966150102428E-3</v>
      </c>
      <c r="L27" s="1934">
        <f>DataUK1!EI15/DataUK1!$G15</f>
        <v>0.25183965115565238</v>
      </c>
      <c r="M27" s="1934">
        <f>DataUK1!EJ15/DataUK1!$G15</f>
        <v>0.24788405454064213</v>
      </c>
      <c r="N27" s="203">
        <f>DataUK1!C15/DataUK1!$G15</f>
        <v>2.1096515280054649E-2</v>
      </c>
      <c r="O27" s="1935">
        <f>DataUK1!HN15/DataUK1!$G15</f>
        <v>0</v>
      </c>
      <c r="S27" s="564">
        <f t="shared" si="13"/>
        <v>1</v>
      </c>
      <c r="T27" s="1244">
        <f t="shared" si="4"/>
        <v>0</v>
      </c>
      <c r="V27" s="233"/>
    </row>
    <row r="28" spans="1:22">
      <c r="A28" s="198">
        <f t="shared" si="14"/>
        <v>1858</v>
      </c>
      <c r="B28" s="192">
        <f t="shared" si="8"/>
        <v>0.92920593078497737</v>
      </c>
      <c r="C28" s="202">
        <f>DataUK1!DU16/DataUK1!$G16</f>
        <v>0.87804262401218203</v>
      </c>
      <c r="D28" s="308">
        <f>DataUK1!DT16/DataUK1!$G16</f>
        <v>5.1163306772795361E-2</v>
      </c>
      <c r="E28" s="307">
        <f t="shared" si="9"/>
        <v>7.0794069215022459E-2</v>
      </c>
      <c r="F28" s="308">
        <f>(DataUK1!DW16-DataUK1!F16)/DataUK1!$G16</f>
        <v>2.9302029488429259E-2</v>
      </c>
      <c r="G28" s="394">
        <f t="shared" si="7"/>
        <v>4.1492039726593197E-2</v>
      </c>
      <c r="H28" s="1926">
        <f t="shared" si="11"/>
        <v>0.11547545098142938</v>
      </c>
      <c r="I28" s="308">
        <f t="shared" si="12"/>
        <v>7.3983411254836179E-2</v>
      </c>
      <c r="J28" s="394">
        <f>(DataUK1!F16)/DataUK1!$G16</f>
        <v>4.4681381766406916E-2</v>
      </c>
      <c r="K28" s="1398">
        <f t="shared" si="10"/>
        <v>2.0076793416093475E-2</v>
      </c>
      <c r="L28" s="1934">
        <f>DataUK1!EI16/DataUK1!$G16</f>
        <v>0.24092152099312186</v>
      </c>
      <c r="M28" s="1934">
        <f>DataUK1!EJ16/DataUK1!$G16</f>
        <v>0.22084472757702839</v>
      </c>
      <c r="N28" s="203">
        <f>DataUK1!C16/DataUK1!$G16</f>
        <v>2.1415246310499722E-2</v>
      </c>
      <c r="O28" s="1935">
        <f>DataUK1!HN16/DataUK1!$G16</f>
        <v>0</v>
      </c>
      <c r="S28" s="564">
        <f t="shared" si="13"/>
        <v>0.99999999999999978</v>
      </c>
      <c r="T28" s="1244">
        <f t="shared" si="4"/>
        <v>0</v>
      </c>
      <c r="V28" s="233"/>
    </row>
    <row r="29" spans="1:22">
      <c r="A29" s="198">
        <f t="shared" si="14"/>
        <v>1859</v>
      </c>
      <c r="B29" s="192">
        <f t="shared" si="8"/>
        <v>0.91911378024526902</v>
      </c>
      <c r="C29" s="202">
        <f>DataUK1!DU17/DataUK1!$G17</f>
        <v>0.86808374650725617</v>
      </c>
      <c r="D29" s="308">
        <f>DataUK1!DT17/DataUK1!$G17</f>
        <v>5.1030033738012889E-2</v>
      </c>
      <c r="E29" s="307">
        <f t="shared" si="9"/>
        <v>8.0886219754730898E-2</v>
      </c>
      <c r="F29" s="308">
        <f>(DataUK1!DW17-DataUK1!F17)/DataUK1!$G17</f>
        <v>3.4658525724588725E-2</v>
      </c>
      <c r="G29" s="394">
        <f t="shared" si="7"/>
        <v>4.6227694030142166E-2</v>
      </c>
      <c r="H29" s="1926">
        <f t="shared" si="11"/>
        <v>0.1233166389181114</v>
      </c>
      <c r="I29" s="308">
        <f t="shared" si="12"/>
        <v>7.7088944887969232E-2</v>
      </c>
      <c r="J29" s="394">
        <f>(DataUK1!F17)/DataUK1!$G17</f>
        <v>4.2430419163380508E-2</v>
      </c>
      <c r="K29" s="1398">
        <f t="shared" si="10"/>
        <v>2.4397949627019466E-2</v>
      </c>
      <c r="L29" s="1934">
        <f>DataUK1!EI17/DataUK1!$G17</f>
        <v>0.25425231716578206</v>
      </c>
      <c r="M29" s="1934">
        <f>DataUK1!EJ17/DataUK1!$G17</f>
        <v>0.22985436753876259</v>
      </c>
      <c r="N29" s="203">
        <f>DataUK1!C17/DataUK1!$G17</f>
        <v>2.1829744403122704E-2</v>
      </c>
      <c r="O29" s="1935">
        <f>DataUK1!HN17/DataUK1!$G17</f>
        <v>0</v>
      </c>
      <c r="S29" s="564">
        <f t="shared" si="13"/>
        <v>0.99999999999999989</v>
      </c>
      <c r="T29" s="1244">
        <f t="shared" si="4"/>
        <v>-3.4694469519536142E-18</v>
      </c>
      <c r="V29" s="233"/>
    </row>
    <row r="30" spans="1:22">
      <c r="A30" s="198">
        <f t="shared" si="14"/>
        <v>1860</v>
      </c>
      <c r="B30" s="192">
        <f t="shared" si="8"/>
        <v>0.93523960506424009</v>
      </c>
      <c r="C30" s="202">
        <f>DataUK1!DU18/DataUK1!$G18</f>
        <v>0.88434703820972971</v>
      </c>
      <c r="D30" s="308">
        <f>DataUK1!DT18/DataUK1!$G18</f>
        <v>5.0892566854510379E-2</v>
      </c>
      <c r="E30" s="307">
        <f t="shared" si="9"/>
        <v>6.4760394935759927E-2</v>
      </c>
      <c r="F30" s="308">
        <f>(DataUK1!DW18-DataUK1!F18)/DataUK1!$G18</f>
        <v>3.8778745903477872E-2</v>
      </c>
      <c r="G30" s="394">
        <f t="shared" si="7"/>
        <v>2.5981649032282051E-2</v>
      </c>
      <c r="H30" s="1926">
        <f t="shared" si="11"/>
        <v>0.10611893829327007</v>
      </c>
      <c r="I30" s="308">
        <f t="shared" si="12"/>
        <v>8.0137289260988023E-2</v>
      </c>
      <c r="J30" s="394">
        <f>(DataUK1!F18)/DataUK1!$G18</f>
        <v>4.1358543357510151E-2</v>
      </c>
      <c r="K30" s="1398">
        <f t="shared" si="10"/>
        <v>2.4744427649792677E-3</v>
      </c>
      <c r="L30" s="1934">
        <f>DataUK1!EI18/DataUK1!$G18</f>
        <v>0.2635281544702891</v>
      </c>
      <c r="M30" s="1934">
        <f>DataUK1!EJ18/DataUK1!$G18</f>
        <v>0.26105371170530983</v>
      </c>
      <c r="N30" s="203">
        <f>DataUK1!C18/DataUK1!$G18</f>
        <v>2.3507206267302783E-2</v>
      </c>
      <c r="O30" s="1935">
        <f>DataUK1!HN18/DataUK1!$G18</f>
        <v>0</v>
      </c>
      <c r="S30" s="564">
        <f t="shared" si="13"/>
        <v>1</v>
      </c>
      <c r="T30" s="1244">
        <f t="shared" si="4"/>
        <v>0</v>
      </c>
      <c r="V30" s="233"/>
    </row>
    <row r="31" spans="1:22">
      <c r="A31" s="198">
        <f t="shared" si="14"/>
        <v>1861</v>
      </c>
      <c r="B31" s="192">
        <f t="shared" si="8"/>
        <v>0.93693602506218332</v>
      </c>
      <c r="C31" s="202">
        <f>DataUK1!DU19/DataUK1!$G19</f>
        <v>0.88612221896564336</v>
      </c>
      <c r="D31" s="308">
        <f>DataUK1!DT19/DataUK1!$G19</f>
        <v>5.0813806096539946E-2</v>
      </c>
      <c r="E31" s="307">
        <f t="shared" si="9"/>
        <v>6.306397493781675E-2</v>
      </c>
      <c r="F31" s="308">
        <f>(DataUK1!DW19-DataUK1!F19)/DataUK1!$G19</f>
        <v>4.7747252128067935E-2</v>
      </c>
      <c r="G31" s="394">
        <f t="shared" si="7"/>
        <v>1.5316722809748815E-2</v>
      </c>
      <c r="H31" s="1926">
        <f t="shared" si="11"/>
        <v>0.1029042858066908</v>
      </c>
      <c r="I31" s="308">
        <f t="shared" si="12"/>
        <v>8.7587562996941981E-2</v>
      </c>
      <c r="J31" s="394">
        <f>(DataUK1!F19)/DataUK1!$G19</f>
        <v>3.9840310868874046E-2</v>
      </c>
      <c r="K31" s="1398">
        <f t="shared" si="10"/>
        <v>-8.2474661283262474E-3</v>
      </c>
      <c r="L31" s="1934">
        <f>DataUK1!EI19/DataUK1!$G19</f>
        <v>0.24742398384978817</v>
      </c>
      <c r="M31" s="1934">
        <f>DataUK1!EJ19/DataUK1!$G19</f>
        <v>0.25567144997811442</v>
      </c>
      <c r="N31" s="203">
        <f>DataUK1!C19/DataUK1!$G19</f>
        <v>2.3564188938075062E-2</v>
      </c>
      <c r="O31" s="1935">
        <f>DataUK1!HN19/DataUK1!$G19</f>
        <v>0</v>
      </c>
      <c r="S31" s="564">
        <f t="shared" si="13"/>
        <v>1</v>
      </c>
      <c r="T31" s="1244">
        <f t="shared" si="4"/>
        <v>0</v>
      </c>
      <c r="V31" s="233"/>
    </row>
    <row r="32" spans="1:22">
      <c r="A32" s="198">
        <f t="shared" si="14"/>
        <v>1862</v>
      </c>
      <c r="B32" s="192">
        <f t="shared" si="8"/>
        <v>0.93151794491505935</v>
      </c>
      <c r="C32" s="202">
        <f>DataUK1!DU20/DataUK1!$G20</f>
        <v>0.88071703535848156</v>
      </c>
      <c r="D32" s="308">
        <f>DataUK1!DT20/DataUK1!$G20</f>
        <v>5.0800909556577747E-2</v>
      </c>
      <c r="E32" s="307">
        <f t="shared" si="9"/>
        <v>6.8482055084940735E-2</v>
      </c>
      <c r="F32" s="308">
        <f>(DataUK1!DW20-DataUK1!F20)/DataUK1!$G20</f>
        <v>5.241796655759335E-2</v>
      </c>
      <c r="G32" s="394">
        <f t="shared" si="7"/>
        <v>1.6064088527347392E-2</v>
      </c>
      <c r="H32" s="1926">
        <f t="shared" si="11"/>
        <v>0.10859637900751681</v>
      </c>
      <c r="I32" s="308">
        <f t="shared" si="12"/>
        <v>9.2532290480169421E-2</v>
      </c>
      <c r="J32" s="394">
        <f>(DataUK1!F20)/DataUK1!$G20</f>
        <v>4.0114323922576078E-2</v>
      </c>
      <c r="K32" s="1398">
        <f t="shared" si="10"/>
        <v>-8.0320442636737099E-3</v>
      </c>
      <c r="L32" s="1934">
        <f>DataUK1!EI20/DataUK1!$G20</f>
        <v>0.25014080706869524</v>
      </c>
      <c r="M32" s="1934">
        <f>DataUK1!EJ20/DataUK1!$G20</f>
        <v>0.25817285133236895</v>
      </c>
      <c r="N32" s="203">
        <f>DataUK1!C20/DataUK1!$G20</f>
        <v>2.4096132791021102E-2</v>
      </c>
      <c r="O32" s="1935">
        <f>DataUK1!HN20/DataUK1!$G20</f>
        <v>0</v>
      </c>
      <c r="S32" s="564">
        <f t="shared" si="13"/>
        <v>1</v>
      </c>
      <c r="T32" s="1244">
        <f t="shared" si="4"/>
        <v>0</v>
      </c>
      <c r="V32" s="233"/>
    </row>
    <row r="33" spans="1:22">
      <c r="A33" s="198">
        <f t="shared" si="14"/>
        <v>1863</v>
      </c>
      <c r="B33" s="192">
        <f t="shared" si="8"/>
        <v>0.89687347681909158</v>
      </c>
      <c r="C33" s="202">
        <f>DataUK1!DU21/DataUK1!$G21</f>
        <v>0.84599724268156684</v>
      </c>
      <c r="D33" s="308">
        <f>DataUK1!DT21/DataUK1!$G21</f>
        <v>5.0876234137524692E-2</v>
      </c>
      <c r="E33" s="307">
        <f t="shared" si="9"/>
        <v>0.10312652318090847</v>
      </c>
      <c r="F33" s="308">
        <f>(DataUK1!DW21-DataUK1!F21)/DataUK1!$G21</f>
        <v>7.1146025173445426E-2</v>
      </c>
      <c r="G33" s="394">
        <f t="shared" si="7"/>
        <v>3.198049800746304E-2</v>
      </c>
      <c r="H33" s="1926">
        <f t="shared" si="11"/>
        <v>0.1438094975919787</v>
      </c>
      <c r="I33" s="308">
        <f t="shared" si="12"/>
        <v>0.11182899958451564</v>
      </c>
      <c r="J33" s="394">
        <f>(DataUK1!F21)/DataUK1!$G21</f>
        <v>4.0682974411070223E-2</v>
      </c>
      <c r="K33" s="1398">
        <f t="shared" si="10"/>
        <v>8.8222063468863521E-3</v>
      </c>
      <c r="L33" s="1934">
        <f>DataUK1!EI21/DataUK1!$G21</f>
        <v>0.28341337889372425</v>
      </c>
      <c r="M33" s="1934">
        <f>DataUK1!EJ21/DataUK1!$G21</f>
        <v>0.2745911725468379</v>
      </c>
      <c r="N33" s="203">
        <f>DataUK1!C21/DataUK1!$G21</f>
        <v>2.3158291660576692E-2</v>
      </c>
      <c r="O33" s="1935">
        <f>DataUK1!HN21/DataUK1!$G21</f>
        <v>0</v>
      </c>
      <c r="S33" s="564">
        <f t="shared" si="13"/>
        <v>1</v>
      </c>
      <c r="T33" s="1244">
        <f t="shared" si="4"/>
        <v>-3.4694469519536142E-18</v>
      </c>
      <c r="V33" s="233"/>
    </row>
    <row r="34" spans="1:22">
      <c r="A34" s="198">
        <f t="shared" si="14"/>
        <v>1864</v>
      </c>
      <c r="B34" s="192">
        <f t="shared" si="8"/>
        <v>0.88201537912454719</v>
      </c>
      <c r="C34" s="202">
        <f>DataUK1!DU22/DataUK1!$G22</f>
        <v>0.83117138796578915</v>
      </c>
      <c r="D34" s="308">
        <f>DataUK1!DT22/DataUK1!$G22</f>
        <v>5.0843991158758053E-2</v>
      </c>
      <c r="E34" s="307">
        <f t="shared" si="9"/>
        <v>0.11798462087545272</v>
      </c>
      <c r="F34" s="308">
        <f>(DataUK1!DW22-DataUK1!F22)/DataUK1!$G22</f>
        <v>9.030779368735084E-2</v>
      </c>
      <c r="G34" s="394">
        <f t="shared" si="7"/>
        <v>2.7676827188101875E-2</v>
      </c>
      <c r="H34" s="1926">
        <f t="shared" si="11"/>
        <v>0.15934779117855</v>
      </c>
      <c r="I34" s="308">
        <f t="shared" si="12"/>
        <v>0.13167096399044811</v>
      </c>
      <c r="J34" s="394">
        <f>(DataUK1!F22)/DataUK1!$G22</f>
        <v>4.1363170303097267E-2</v>
      </c>
      <c r="K34" s="1398">
        <f t="shared" si="10"/>
        <v>3.193480060165621E-3</v>
      </c>
      <c r="L34" s="1934">
        <f>DataUK1!EI22/DataUK1!$G22</f>
        <v>0.29592915224201211</v>
      </c>
      <c r="M34" s="1934">
        <f>DataUK1!EJ22/DataUK1!$G22</f>
        <v>0.29273567218184648</v>
      </c>
      <c r="N34" s="203">
        <f>DataUK1!C22/DataUK1!$G22</f>
        <v>2.4483347127936254E-2</v>
      </c>
      <c r="O34" s="1935">
        <f>DataUK1!HN22/DataUK1!$G22</f>
        <v>0</v>
      </c>
      <c r="S34" s="564">
        <f t="shared" si="13"/>
        <v>0.99999999999999989</v>
      </c>
      <c r="T34" s="1244">
        <f t="shared" si="4"/>
        <v>0</v>
      </c>
      <c r="V34" s="233"/>
    </row>
    <row r="35" spans="1:22">
      <c r="A35" s="198">
        <f t="shared" si="14"/>
        <v>1865</v>
      </c>
      <c r="B35" s="192">
        <f t="shared" si="8"/>
        <v>0.86739079941249453</v>
      </c>
      <c r="C35" s="202">
        <f>DataUK1!DU23/DataUK1!$G23</f>
        <v>0.81656591914231935</v>
      </c>
      <c r="D35" s="308">
        <f>DataUK1!DT23/DataUK1!$G23</f>
        <v>5.0824880270175191E-2</v>
      </c>
      <c r="E35" s="307">
        <f t="shared" si="9"/>
        <v>0.13260920058750553</v>
      </c>
      <c r="F35" s="308">
        <f>(DataUK1!DW23-DataUK1!F23)/DataUK1!$G23</f>
        <v>9.0521976135900434E-2</v>
      </c>
      <c r="G35" s="394">
        <f t="shared" si="7"/>
        <v>4.20872244516051E-2</v>
      </c>
      <c r="H35" s="1926">
        <f t="shared" si="11"/>
        <v>0.1737432300602415</v>
      </c>
      <c r="I35" s="308">
        <f t="shared" si="12"/>
        <v>0.13165600560863644</v>
      </c>
      <c r="J35" s="394">
        <f>(DataUK1!F23)/DataUK1!$G23</f>
        <v>4.1134029472735992E-2</v>
      </c>
      <c r="K35" s="1398">
        <f t="shared" si="10"/>
        <v>1.7450800382372844E-2</v>
      </c>
      <c r="L35" s="1934">
        <f>DataUK1!EI23/DataUK1!$G23</f>
        <v>0.2956370888307871</v>
      </c>
      <c r="M35" s="1934">
        <f>DataUK1!EJ23/DataUK1!$G23</f>
        <v>0.27818628844841425</v>
      </c>
      <c r="N35" s="203">
        <f>DataUK1!C23/DataUK1!$G23</f>
        <v>2.4636424069232256E-2</v>
      </c>
      <c r="O35" s="1935">
        <f>DataUK1!HN23/DataUK1!$G23</f>
        <v>0</v>
      </c>
      <c r="S35" s="564">
        <f t="shared" si="13"/>
        <v>1</v>
      </c>
      <c r="T35" s="1244">
        <f t="shared" si="4"/>
        <v>0</v>
      </c>
      <c r="V35" s="233"/>
    </row>
    <row r="36" spans="1:22">
      <c r="A36" s="198">
        <f t="shared" si="14"/>
        <v>1866</v>
      </c>
      <c r="B36" s="192">
        <f t="shared" si="8"/>
        <v>0.88246182410289176</v>
      </c>
      <c r="C36" s="202">
        <f>DataUK1!DU24/DataUK1!$G24</f>
        <v>0.83169509261944263</v>
      </c>
      <c r="D36" s="308">
        <f>DataUK1!DT24/DataUK1!$G24</f>
        <v>5.0766731483449075E-2</v>
      </c>
      <c r="E36" s="307">
        <f t="shared" si="9"/>
        <v>0.11753817589710844</v>
      </c>
      <c r="F36" s="308">
        <f>(DataUK1!DW24-DataUK1!F24)/DataUK1!$G24</f>
        <v>7.2444744738322922E-2</v>
      </c>
      <c r="G36" s="394">
        <f t="shared" si="7"/>
        <v>4.5093431158785516E-2</v>
      </c>
      <c r="H36" s="1926">
        <f t="shared" si="11"/>
        <v>0.15892678801338803</v>
      </c>
      <c r="I36" s="308">
        <f t="shared" si="12"/>
        <v>0.1138333568546025</v>
      </c>
      <c r="J36" s="394">
        <f>(DataUK1!F24)/DataUK1!$G24</f>
        <v>4.1388612116279581E-2</v>
      </c>
      <c r="K36" s="1398">
        <f t="shared" si="10"/>
        <v>1.9039448711487217E-2</v>
      </c>
      <c r="L36" s="1934">
        <f>DataUK1!EI24/DataUK1!$G24</f>
        <v>0.31465194186352563</v>
      </c>
      <c r="M36" s="1934">
        <f>DataUK1!EJ24/DataUK1!$G24</f>
        <v>0.29561249315203841</v>
      </c>
      <c r="N36" s="203">
        <f>DataUK1!C24/DataUK1!$G24</f>
        <v>2.6053982447298302E-2</v>
      </c>
      <c r="O36" s="1935">
        <f>DataUK1!HN24/DataUK1!$G24</f>
        <v>0</v>
      </c>
      <c r="S36" s="564">
        <f t="shared" si="13"/>
        <v>1.0000000000000002</v>
      </c>
      <c r="T36" s="1244">
        <f t="shared" si="4"/>
        <v>-3.4694469519536142E-18</v>
      </c>
      <c r="V36" s="233"/>
    </row>
    <row r="37" spans="1:22">
      <c r="A37" s="198">
        <f t="shared" si="14"/>
        <v>1867</v>
      </c>
      <c r="B37" s="192">
        <f t="shared" si="8"/>
        <v>0.89075373519366507</v>
      </c>
      <c r="C37" s="202">
        <f>DataUK1!DU25/DataUK1!$G25</f>
        <v>0.84009566275548531</v>
      </c>
      <c r="D37" s="308">
        <f>DataUK1!DT25/DataUK1!$G25</f>
        <v>5.0658072438179727E-2</v>
      </c>
      <c r="E37" s="307">
        <f t="shared" si="9"/>
        <v>0.10924626480633487</v>
      </c>
      <c r="F37" s="308">
        <f>(DataUK1!DW25-DataUK1!F25)/DataUK1!$G25</f>
        <v>5.7396372855294836E-2</v>
      </c>
      <c r="G37" s="394">
        <f t="shared" si="7"/>
        <v>5.1849891951040034E-2</v>
      </c>
      <c r="H37" s="1926">
        <f t="shared" si="11"/>
        <v>0.15087432091559846</v>
      </c>
      <c r="I37" s="308">
        <f t="shared" si="12"/>
        <v>9.9024428964558431E-2</v>
      </c>
      <c r="J37" s="394">
        <f>(DataUK1!F25)/DataUK1!$G25</f>
        <v>4.1628056109263588E-2</v>
      </c>
      <c r="K37" s="1398">
        <f t="shared" si="10"/>
        <v>2.338328460537098E-2</v>
      </c>
      <c r="L37" s="1934">
        <f>DataUK1!EI25/DataUK1!$G25</f>
        <v>0.30296603532176347</v>
      </c>
      <c r="M37" s="1934">
        <f>DataUK1!EJ25/DataUK1!$G25</f>
        <v>0.27958275071639249</v>
      </c>
      <c r="N37" s="203">
        <f>DataUK1!C25/DataUK1!$G25</f>
        <v>2.846660734566905E-2</v>
      </c>
      <c r="O37" s="1935">
        <f>DataUK1!HN25/DataUK1!$G25</f>
        <v>0</v>
      </c>
      <c r="S37" s="564">
        <f t="shared" si="13"/>
        <v>1</v>
      </c>
      <c r="T37" s="1244">
        <f t="shared" si="4"/>
        <v>3.4694469519536142E-18</v>
      </c>
      <c r="V37" s="233"/>
    </row>
    <row r="38" spans="1:22">
      <c r="A38" s="198">
        <f t="shared" si="14"/>
        <v>1868</v>
      </c>
      <c r="B38" s="192">
        <f t="shared" si="8"/>
        <v>0.90423860080016716</v>
      </c>
      <c r="C38" s="202">
        <f>DataUK1!DU26/DataUK1!$G26</f>
        <v>0.85371101164154495</v>
      </c>
      <c r="D38" s="308">
        <f>DataUK1!DT26/DataUK1!$G26</f>
        <v>5.0527589158622245E-2</v>
      </c>
      <c r="E38" s="307">
        <f t="shared" si="9"/>
        <v>9.5761399199832814E-2</v>
      </c>
      <c r="F38" s="308">
        <f>(DataUK1!DW26-DataUK1!F26)/DataUK1!$G26</f>
        <v>5.5110610973572817E-2</v>
      </c>
      <c r="G38" s="394">
        <f t="shared" si="7"/>
        <v>4.0650788226259997E-2</v>
      </c>
      <c r="H38" s="1926">
        <f t="shared" si="11"/>
        <v>0.13781754324762924</v>
      </c>
      <c r="I38" s="308">
        <f t="shared" si="12"/>
        <v>9.7166755021369247E-2</v>
      </c>
      <c r="J38" s="394">
        <f>(DataUK1!F26)/DataUK1!$G26</f>
        <v>4.205614404779643E-2</v>
      </c>
      <c r="K38" s="1398">
        <f t="shared" si="10"/>
        <v>9.1464273509084815E-3</v>
      </c>
      <c r="L38" s="1934">
        <f>DataUK1!EI26/DataUK1!$G26</f>
        <v>0.30894599051957616</v>
      </c>
      <c r="M38" s="1934">
        <f>DataUK1!EJ26/DataUK1!$G26</f>
        <v>0.29979956316866768</v>
      </c>
      <c r="N38" s="203">
        <f>DataUK1!C26/DataUK1!$G26</f>
        <v>3.1504360875351516E-2</v>
      </c>
      <c r="O38" s="1935">
        <f>DataUK1!HN26/DataUK1!$G26</f>
        <v>0</v>
      </c>
      <c r="S38" s="564">
        <f t="shared" si="13"/>
        <v>1</v>
      </c>
      <c r="T38" s="1244">
        <f t="shared" si="4"/>
        <v>0</v>
      </c>
      <c r="V38" s="233"/>
    </row>
    <row r="39" spans="1:22">
      <c r="A39" s="214">
        <f t="shared" si="14"/>
        <v>1869</v>
      </c>
      <c r="B39" s="195">
        <f t="shared" si="8"/>
        <v>0.90054056435191021</v>
      </c>
      <c r="C39" s="241">
        <f>DataUK1!DU27/DataUK1!$G27</f>
        <v>0.85006679607207225</v>
      </c>
      <c r="D39" s="550">
        <f>DataUK1!DT27/DataUK1!$G27</f>
        <v>5.0473768279837954E-2</v>
      </c>
      <c r="E39" s="568">
        <f t="shared" si="9"/>
        <v>9.9459435648089789E-2</v>
      </c>
      <c r="F39" s="550">
        <f>(DataUK1!DW27-DataUK1!F27)/DataUK1!$G27</f>
        <v>5.0313348527970404E-2</v>
      </c>
      <c r="G39" s="553">
        <f t="shared" si="7"/>
        <v>4.9146087120119385E-2</v>
      </c>
      <c r="H39" s="1927">
        <f t="shared" si="11"/>
        <v>0.14137121874412761</v>
      </c>
      <c r="I39" s="550">
        <f t="shared" si="12"/>
        <v>9.2225131624008222E-2</v>
      </c>
      <c r="J39" s="553">
        <f>(DataUK1!F27)/DataUK1!$G27</f>
        <v>4.1911783096037811E-2</v>
      </c>
      <c r="K39" s="1940">
        <f t="shared" si="10"/>
        <v>1.6709669620840584E-2</v>
      </c>
      <c r="L39" s="1938">
        <f>DataUK1!EI27/DataUK1!$G27</f>
        <v>0.306671583629545</v>
      </c>
      <c r="M39" s="1938">
        <f>DataUK1!EJ27/DataUK1!$G27</f>
        <v>0.28996191400870441</v>
      </c>
      <c r="N39" s="216">
        <f>DataUK1!C27/DataUK1!$G27</f>
        <v>3.2436417499278801E-2</v>
      </c>
      <c r="O39" s="1939">
        <f>DataUK1!HN27/DataUK1!$G27</f>
        <v>0</v>
      </c>
      <c r="S39" s="564">
        <f t="shared" si="13"/>
        <v>1</v>
      </c>
      <c r="T39" s="1244">
        <f t="shared" si="4"/>
        <v>0</v>
      </c>
      <c r="V39" s="233"/>
    </row>
    <row r="40" spans="1:22">
      <c r="A40" s="198">
        <f t="shared" si="14"/>
        <v>1870</v>
      </c>
      <c r="B40" s="192">
        <f t="shared" ref="B40:B103" si="15">C40+D40</f>
        <v>0.88532901001055109</v>
      </c>
      <c r="C40" s="202">
        <f>DataUK1!DU28/DataUK1!$G28</f>
        <v>0.83579093646259561</v>
      </c>
      <c r="D40" s="308">
        <f>DataUK1!DT28/DataUK1!$G28</f>
        <v>4.9538073547955433E-2</v>
      </c>
      <c r="E40" s="307">
        <f t="shared" ref="E40:E103" si="16">F40+G40</f>
        <v>0.11467098998944902</v>
      </c>
      <c r="F40" s="308">
        <f>(DataUK1!DW28-DataUK1!F28)/DataUK1!$G28</f>
        <v>6.3331531948840669E-2</v>
      </c>
      <c r="G40" s="394">
        <f t="shared" ref="G40:G103" si="17">K40+N40+O40</f>
        <v>5.1339458040608361E-2</v>
      </c>
      <c r="H40" s="1926">
        <f t="shared" si="11"/>
        <v>0.15497053449651302</v>
      </c>
      <c r="I40" s="308">
        <f t="shared" si="12"/>
        <v>0.10363107645590466</v>
      </c>
      <c r="J40" s="394">
        <f>(DataUK1!F28)/DataUK1!$G28</f>
        <v>4.0299544507063995E-2</v>
      </c>
      <c r="K40" s="1398">
        <f t="shared" ref="K40:K103" si="18">L40-M40</f>
        <v>1.9815229419182179E-2</v>
      </c>
      <c r="L40" s="1934">
        <f>DataUK1!EI28/DataUK1!$G28</f>
        <v>0.29362567230242675</v>
      </c>
      <c r="M40" s="1934">
        <f>DataUK1!EJ28/DataUK1!$G28</f>
        <v>0.27381044288324458</v>
      </c>
      <c r="N40" s="203">
        <f>DataUK1!C28/DataUK1!$G28</f>
        <v>3.1524228621426183E-2</v>
      </c>
      <c r="O40" s="1935">
        <f>DataUK1!HN28/DataUK1!$G28</f>
        <v>0</v>
      </c>
      <c r="S40" s="564">
        <f t="shared" si="13"/>
        <v>1</v>
      </c>
      <c r="T40" s="1244">
        <f t="shared" si="4"/>
        <v>0</v>
      </c>
      <c r="V40" s="233"/>
    </row>
    <row r="41" spans="1:22">
      <c r="A41" s="198">
        <f t="shared" si="14"/>
        <v>1871</v>
      </c>
      <c r="B41" s="192">
        <f t="shared" si="15"/>
        <v>0.8474844546273117</v>
      </c>
      <c r="C41" s="202">
        <f>DataUK1!DU29/DataUK1!$G29</f>
        <v>0.80128440842726556</v>
      </c>
      <c r="D41" s="308">
        <f>DataUK1!DT29/DataUK1!$G29</f>
        <v>4.6200046200046196E-2</v>
      </c>
      <c r="E41" s="307">
        <f t="shared" si="16"/>
        <v>0.15251554537268816</v>
      </c>
      <c r="F41" s="308">
        <f>(DataUK1!DW29-DataUK1!F29)/DataUK1!$G29</f>
        <v>8.8165481022623837E-2</v>
      </c>
      <c r="G41" s="394">
        <f t="shared" si="17"/>
        <v>6.4350064350064323E-2</v>
      </c>
      <c r="H41" s="1926">
        <f t="shared" si="11"/>
        <v>0.19119158404872683</v>
      </c>
      <c r="I41" s="308">
        <f t="shared" si="12"/>
        <v>0.1268415196986625</v>
      </c>
      <c r="J41" s="394">
        <f>(DataUK1!F29)/DataUK1!$G29</f>
        <v>3.8676038676038665E-2</v>
      </c>
      <c r="K41" s="1398">
        <f t="shared" si="18"/>
        <v>3.2175032175032148E-2</v>
      </c>
      <c r="L41" s="1934">
        <f>DataUK1!EI29/DataUK1!$G29</f>
        <v>0.30525030525030522</v>
      </c>
      <c r="M41" s="1934">
        <f>DataUK1!EJ29/DataUK1!$G29</f>
        <v>0.27307527307527307</v>
      </c>
      <c r="N41" s="203">
        <f>DataUK1!C29/DataUK1!$G29</f>
        <v>3.2175032175032169E-2</v>
      </c>
      <c r="O41" s="1935">
        <f>DataUK1!HN29/DataUK1!$G29</f>
        <v>0</v>
      </c>
      <c r="S41" s="564">
        <f t="shared" si="13"/>
        <v>0.99999999999999989</v>
      </c>
      <c r="T41" s="1244">
        <f t="shared" si="4"/>
        <v>6.9388939039072284E-18</v>
      </c>
      <c r="V41" s="233"/>
    </row>
    <row r="42" spans="1:22">
      <c r="A42" s="198">
        <f t="shared" si="14"/>
        <v>1872</v>
      </c>
      <c r="B42" s="192">
        <f t="shared" si="15"/>
        <v>0.85442398862910551</v>
      </c>
      <c r="C42" s="202">
        <f>DataUK1!DU30/DataUK1!$G30</f>
        <v>0.80955663407130196</v>
      </c>
      <c r="D42" s="308">
        <f>DataUK1!DT30/DataUK1!$G30</f>
        <v>4.4867354557803545E-2</v>
      </c>
      <c r="E42" s="307">
        <f t="shared" si="16"/>
        <v>0.14557601137089446</v>
      </c>
      <c r="F42" s="308">
        <f>(DataUK1!DW30-DataUK1!F30)/DataUK1!$G30</f>
        <v>6.7648500823130384E-2</v>
      </c>
      <c r="G42" s="394">
        <f t="shared" si="17"/>
        <v>7.7927510547764076E-2</v>
      </c>
      <c r="H42" s="1926">
        <f t="shared" si="11"/>
        <v>0.1861837784834609</v>
      </c>
      <c r="I42" s="308">
        <f t="shared" si="12"/>
        <v>0.10825626793569684</v>
      </c>
      <c r="J42" s="394">
        <f>(DataUK1!F30)/DataUK1!$G30</f>
        <v>4.0607767112566452E-2</v>
      </c>
      <c r="K42" s="1398">
        <f t="shared" si="18"/>
        <v>4.3293061415424494E-2</v>
      </c>
      <c r="L42" s="1934">
        <f>DataUK1!EI30/DataUK1!$G30</f>
        <v>0.32351724075889926</v>
      </c>
      <c r="M42" s="1934">
        <f>DataUK1!EJ30/DataUK1!$G30</f>
        <v>0.28022417934347477</v>
      </c>
      <c r="N42" s="203">
        <f>DataUK1!C30/DataUK1!$G30</f>
        <v>3.4634449132339581E-2</v>
      </c>
      <c r="O42" s="1935">
        <f>DataUK1!HN30/DataUK1!$G30</f>
        <v>0</v>
      </c>
      <c r="S42" s="564">
        <f t="shared" si="13"/>
        <v>1</v>
      </c>
      <c r="T42" s="1244">
        <f t="shared" si="4"/>
        <v>0</v>
      </c>
      <c r="V42" s="233"/>
    </row>
    <row r="43" spans="1:22">
      <c r="A43" s="198">
        <f t="shared" si="14"/>
        <v>1873</v>
      </c>
      <c r="B43" s="192">
        <f t="shared" si="15"/>
        <v>0.87155688884231119</v>
      </c>
      <c r="C43" s="202">
        <f>DataUK1!DU31/DataUK1!$G31</f>
        <v>0.82952778942220362</v>
      </c>
      <c r="D43" s="308">
        <f>DataUK1!DT31/DataUK1!$G31</f>
        <v>4.2029099420107595E-2</v>
      </c>
      <c r="E43" s="307">
        <f t="shared" si="16"/>
        <v>0.12844311115768881</v>
      </c>
      <c r="F43" s="308">
        <f>(DataUK1!DW31-DataUK1!F31)/DataUK1!$G31</f>
        <v>6.1196552085516623E-2</v>
      </c>
      <c r="G43" s="394">
        <f t="shared" si="17"/>
        <v>6.7246559072172196E-2</v>
      </c>
      <c r="H43" s="1926">
        <f t="shared" si="11"/>
        <v>0.17152894222035908</v>
      </c>
      <c r="I43" s="308">
        <f t="shared" si="12"/>
        <v>0.10428238314818691</v>
      </c>
      <c r="J43" s="394">
        <f>(DataUK1!F31)/DataUK1!$G31</f>
        <v>4.3085831062670291E-2</v>
      </c>
      <c r="K43" s="1398">
        <f t="shared" si="18"/>
        <v>2.7509955984070467E-2</v>
      </c>
      <c r="L43" s="1934">
        <f>DataUK1!EI31/DataUK1!$G31</f>
        <v>0.31177950115279818</v>
      </c>
      <c r="M43" s="1934">
        <f>DataUK1!EJ31/DataUK1!$G31</f>
        <v>0.28426954516872771</v>
      </c>
      <c r="N43" s="203">
        <f>DataUK1!C31/DataUK1!$G31</f>
        <v>3.9736603088101723E-2</v>
      </c>
      <c r="O43" s="1935">
        <f>DataUK1!HN31/DataUK1!$G31</f>
        <v>0</v>
      </c>
      <c r="S43" s="564">
        <f t="shared" si="13"/>
        <v>1</v>
      </c>
      <c r="T43" s="1244">
        <f t="shared" si="4"/>
        <v>6.9388939039072284E-18</v>
      </c>
      <c r="V43" s="233"/>
    </row>
    <row r="44" spans="1:22">
      <c r="A44" s="198">
        <f t="shared" si="14"/>
        <v>1874</v>
      </c>
      <c r="B44" s="192">
        <f t="shared" si="15"/>
        <v>0.84462351224560772</v>
      </c>
      <c r="C44" s="202">
        <f>DataUK1!DU32/DataUK1!$G32</f>
        <v>0.80157089048940011</v>
      </c>
      <c r="D44" s="308">
        <f>DataUK1!DT32/DataUK1!$G32</f>
        <v>4.305262175620763E-2</v>
      </c>
      <c r="E44" s="307">
        <f t="shared" si="16"/>
        <v>0.15537648775439217</v>
      </c>
      <c r="F44" s="308">
        <f>(DataUK1!DW32-DataUK1!F32)/DataUK1!$G32</f>
        <v>9.5993561194105764E-2</v>
      </c>
      <c r="G44" s="394">
        <f t="shared" si="17"/>
        <v>5.938292656028641E-2</v>
      </c>
      <c r="H44" s="1926">
        <f t="shared" si="11"/>
        <v>0.19828913546942198</v>
      </c>
      <c r="I44" s="308">
        <f t="shared" si="12"/>
        <v>0.13890620890913558</v>
      </c>
      <c r="J44" s="394">
        <f>(DataUK1!F32)/DataUK1!$G32</f>
        <v>4.2912647715029804E-2</v>
      </c>
      <c r="K44" s="1398">
        <f t="shared" si="18"/>
        <v>1.7072591386082359E-2</v>
      </c>
      <c r="L44" s="1934">
        <f>DataUK1!EI32/DataUK1!$G32</f>
        <v>0.29171862672740689</v>
      </c>
      <c r="M44" s="1934">
        <f>DataUK1!EJ32/DataUK1!$G32</f>
        <v>0.27464603534132453</v>
      </c>
      <c r="N44" s="203">
        <f>DataUK1!C32/DataUK1!$G32</f>
        <v>4.2310335174204051E-2</v>
      </c>
      <c r="O44" s="1935">
        <f>DataUK1!HN32/DataUK1!$G32</f>
        <v>0</v>
      </c>
      <c r="S44" s="564">
        <f t="shared" si="13"/>
        <v>0.99999999999999989</v>
      </c>
      <c r="T44" s="1244">
        <f t="shared" si="4"/>
        <v>0</v>
      </c>
      <c r="V44" s="233"/>
    </row>
    <row r="45" spans="1:22">
      <c r="A45" s="198">
        <f t="shared" si="14"/>
        <v>1875</v>
      </c>
      <c r="B45" s="192">
        <f t="shared" si="15"/>
        <v>0.86131145048117652</v>
      </c>
      <c r="C45" s="202">
        <f>DataUK1!DU33/DataUK1!$G33</f>
        <v>0.81569200356266158</v>
      </c>
      <c r="D45" s="308">
        <f>DataUK1!DT33/DataUK1!$G33</f>
        <v>4.5619446918514973E-2</v>
      </c>
      <c r="E45" s="307">
        <f t="shared" si="16"/>
        <v>0.13868854951882337</v>
      </c>
      <c r="F45" s="308">
        <f>(DataUK1!DW33-DataUK1!F33)/DataUK1!$G33</f>
        <v>9.4589750830925565E-2</v>
      </c>
      <c r="G45" s="394">
        <f t="shared" si="17"/>
        <v>4.409879868789781E-2</v>
      </c>
      <c r="H45" s="1926">
        <f t="shared" si="11"/>
        <v>0.18109291160689062</v>
      </c>
      <c r="I45" s="308">
        <f t="shared" si="12"/>
        <v>0.1369941129189928</v>
      </c>
      <c r="J45" s="394">
        <f>(DataUK1!F33)/DataUK1!$G33</f>
        <v>4.2404362088067242E-2</v>
      </c>
      <c r="K45" s="1398">
        <f t="shared" si="18"/>
        <v>0</v>
      </c>
      <c r="L45" s="1934">
        <f>DataUK1!EI33/DataUK1!$G33</f>
        <v>0.28284057089479286</v>
      </c>
      <c r="M45" s="1934">
        <f>DataUK1!EJ33/DataUK1!$G33</f>
        <v>0.28284057089479286</v>
      </c>
      <c r="N45" s="203">
        <f>DataUK1!C33/DataUK1!$G33</f>
        <v>4.409879868789781E-2</v>
      </c>
      <c r="O45" s="1935">
        <f>DataUK1!HN33/DataUK1!$G33</f>
        <v>0</v>
      </c>
      <c r="S45" s="564">
        <f t="shared" si="13"/>
        <v>0.99999999999999989</v>
      </c>
      <c r="T45" s="1244">
        <f t="shared" si="4"/>
        <v>0</v>
      </c>
      <c r="V45" s="233"/>
    </row>
    <row r="46" spans="1:22">
      <c r="A46" s="198">
        <f t="shared" si="14"/>
        <v>1876</v>
      </c>
      <c r="B46" s="192">
        <f t="shared" si="15"/>
        <v>0.87541901159393554</v>
      </c>
      <c r="C46" s="202">
        <f>DataUK1!DU34/DataUK1!$G34</f>
        <v>0.82852046621767084</v>
      </c>
      <c r="D46" s="308">
        <f>DataUK1!DT34/DataUK1!$G34</f>
        <v>4.6898545376264721E-2</v>
      </c>
      <c r="E46" s="307">
        <f t="shared" si="16"/>
        <v>0.12458098840606444</v>
      </c>
      <c r="F46" s="308">
        <f>(DataUK1!DW34-DataUK1!F34)/DataUK1!$G34</f>
        <v>0.10074730141156926</v>
      </c>
      <c r="G46" s="394">
        <f t="shared" si="17"/>
        <v>2.383368699449518E-2</v>
      </c>
      <c r="H46" s="1926">
        <f t="shared" si="11"/>
        <v>0.16788141587477309</v>
      </c>
      <c r="I46" s="308">
        <f t="shared" si="12"/>
        <v>0.14404772888027792</v>
      </c>
      <c r="J46" s="394">
        <f>(DataUK1!F34)/DataUK1!$G34</f>
        <v>4.3300427468708665E-2</v>
      </c>
      <c r="K46" s="1398">
        <f t="shared" si="18"/>
        <v>-1.9989543930866938E-2</v>
      </c>
      <c r="L46" s="1934">
        <f>DataUK1!EI34/DataUK1!$G34</f>
        <v>0.26601470000307531</v>
      </c>
      <c r="M46" s="1934">
        <f>DataUK1!EJ34/DataUK1!$G34</f>
        <v>0.28600424393394225</v>
      </c>
      <c r="N46" s="203">
        <f>DataUK1!C34/DataUK1!$G34</f>
        <v>4.3823230925362118E-2</v>
      </c>
      <c r="O46" s="1935">
        <f>DataUK1!HN34/DataUK1!$G34</f>
        <v>0</v>
      </c>
      <c r="S46" s="564">
        <f t="shared" si="13"/>
        <v>1</v>
      </c>
      <c r="T46" s="1244">
        <f t="shared" si="4"/>
        <v>0</v>
      </c>
      <c r="V46" s="233"/>
    </row>
    <row r="47" spans="1:22">
      <c r="A47" s="198">
        <f t="shared" si="14"/>
        <v>1877</v>
      </c>
      <c r="B47" s="192">
        <f t="shared" si="15"/>
        <v>0.89861091861780362</v>
      </c>
      <c r="C47" s="202">
        <f>DataUK1!DU35/DataUK1!$G35</f>
        <v>0.85010260514232827</v>
      </c>
      <c r="D47" s="308">
        <f>DataUK1!DT35/DataUK1!$G35</f>
        <v>4.8508313475475358E-2</v>
      </c>
      <c r="E47" s="307">
        <f t="shared" si="16"/>
        <v>0.10138908138219627</v>
      </c>
      <c r="F47" s="308">
        <f>(DataUK1!DW35-DataUK1!F35)/DataUK1!$G35</f>
        <v>9.3565159853893798E-2</v>
      </c>
      <c r="G47" s="394">
        <f t="shared" si="17"/>
        <v>7.8239215283024618E-3</v>
      </c>
      <c r="H47" s="1926">
        <f t="shared" si="11"/>
        <v>0.14588260541057696</v>
      </c>
      <c r="I47" s="308">
        <f t="shared" si="12"/>
        <v>0.13805868388227449</v>
      </c>
      <c r="J47" s="394">
        <f>(DataUK1!F35)/DataUK1!$G35</f>
        <v>4.4493524028380707E-2</v>
      </c>
      <c r="K47" s="1398">
        <f t="shared" si="18"/>
        <v>-3.5207646877361165E-2</v>
      </c>
      <c r="L47" s="1934">
        <f>DataUK1!EI35/DataUK1!$G35</f>
        <v>0.27149007703209593</v>
      </c>
      <c r="M47" s="1934">
        <f>DataUK1!EJ35/DataUK1!$G35</f>
        <v>0.3066977239094571</v>
      </c>
      <c r="N47" s="203">
        <f>DataUK1!C35/DataUK1!$G35</f>
        <v>4.3031568405663627E-2</v>
      </c>
      <c r="O47" s="1935">
        <f>DataUK1!HN35/DataUK1!$G35</f>
        <v>0</v>
      </c>
      <c r="S47" s="564">
        <f t="shared" si="13"/>
        <v>0.99999999999999989</v>
      </c>
      <c r="T47" s="1244">
        <f t="shared" si="4"/>
        <v>0</v>
      </c>
      <c r="V47" s="233"/>
    </row>
    <row r="48" spans="1:22">
      <c r="A48" s="198">
        <f t="shared" si="14"/>
        <v>1878</v>
      </c>
      <c r="B48" s="192">
        <f t="shared" si="15"/>
        <v>0.90149751391934452</v>
      </c>
      <c r="C48" s="202">
        <f>DataUK1!DU36/DataUK1!$G36</f>
        <v>0.85096375104902677</v>
      </c>
      <c r="D48" s="308">
        <f>DataUK1!DT36/DataUK1!$G36</f>
        <v>5.0533762870317731E-2</v>
      </c>
      <c r="E48" s="307">
        <f t="shared" si="16"/>
        <v>9.8502486080655399E-2</v>
      </c>
      <c r="F48" s="308">
        <f>(DataUK1!DW36-DataUK1!F36)/DataUK1!$G36</f>
        <v>7.9552325004286287E-2</v>
      </c>
      <c r="G48" s="394">
        <f t="shared" si="17"/>
        <v>1.8950161076369113E-2</v>
      </c>
      <c r="H48" s="1926">
        <f t="shared" si="11"/>
        <v>0.14313011541550474</v>
      </c>
      <c r="I48" s="308">
        <f t="shared" si="12"/>
        <v>0.12417995433913562</v>
      </c>
      <c r="J48" s="394">
        <f>(DataUK1!F36)/DataUK1!$G36</f>
        <v>4.4627629334849331E-2</v>
      </c>
      <c r="K48" s="1398">
        <f t="shared" si="18"/>
        <v>-2.4477291390310185E-2</v>
      </c>
      <c r="L48" s="1934">
        <f>DataUK1!EI36/DataUK1!$G36</f>
        <v>0.26451266502431936</v>
      </c>
      <c r="M48" s="1934">
        <f>DataUK1!EJ36/DataUK1!$G36</f>
        <v>0.28898995641462955</v>
      </c>
      <c r="N48" s="203">
        <f>DataUK1!C36/DataUK1!$G36</f>
        <v>4.3427452466679298E-2</v>
      </c>
      <c r="O48" s="1935">
        <f>DataUK1!HN36/DataUK1!$G36</f>
        <v>0</v>
      </c>
      <c r="S48" s="564">
        <f t="shared" si="13"/>
        <v>0.99999999999999989</v>
      </c>
      <c r="T48" s="1244">
        <f t="shared" si="4"/>
        <v>0</v>
      </c>
      <c r="V48" s="233"/>
    </row>
    <row r="49" spans="1:22">
      <c r="A49" s="214">
        <f t="shared" si="14"/>
        <v>1879</v>
      </c>
      <c r="B49" s="195">
        <f t="shared" si="15"/>
        <v>0.91910765359755409</v>
      </c>
      <c r="C49" s="241">
        <f>DataUK1!DU37/DataUK1!$G37</f>
        <v>0.86101469042344114</v>
      </c>
      <c r="D49" s="550">
        <f>DataUK1!DT37/DataUK1!$G37</f>
        <v>5.8092963174112902E-2</v>
      </c>
      <c r="E49" s="568">
        <f t="shared" si="16"/>
        <v>8.0892346402445817E-2</v>
      </c>
      <c r="F49" s="550">
        <f>(DataUK1!DW37-DataUK1!F37)/DataUK1!$G37</f>
        <v>5.3950682321697835E-2</v>
      </c>
      <c r="G49" s="553">
        <f t="shared" si="17"/>
        <v>2.6941664080747982E-2</v>
      </c>
      <c r="H49" s="1927">
        <f t="shared" si="11"/>
        <v>0.12740761053900154</v>
      </c>
      <c r="I49" s="550">
        <f t="shared" si="12"/>
        <v>0.10046594645825357</v>
      </c>
      <c r="J49" s="553">
        <f>(DataUK1!F37)/DataUK1!$G37</f>
        <v>4.6515264136555733E-2</v>
      </c>
      <c r="K49" s="1940">
        <f t="shared" si="18"/>
        <v>-2.0206248060561038E-2</v>
      </c>
      <c r="L49" s="1938">
        <f>DataUK1!EI37/DataUK1!$G37</f>
        <v>0.28372939985037748</v>
      </c>
      <c r="M49" s="1938">
        <f>DataUK1!EJ37/DataUK1!$G37</f>
        <v>0.30393564791093852</v>
      </c>
      <c r="N49" s="216">
        <f>DataUK1!C37/DataUK1!$G37</f>
        <v>4.714791214130902E-2</v>
      </c>
      <c r="O49" s="1939">
        <f>DataUK1!HN37/DataUK1!$G37</f>
        <v>0</v>
      </c>
      <c r="S49" s="564">
        <f t="shared" si="13"/>
        <v>0.99999999999999989</v>
      </c>
      <c r="T49" s="1244">
        <f t="shared" si="4"/>
        <v>0</v>
      </c>
      <c r="V49" s="233"/>
    </row>
    <row r="50" spans="1:22">
      <c r="A50" s="198">
        <f t="shared" si="14"/>
        <v>1880</v>
      </c>
      <c r="B50" s="192">
        <f t="shared" si="15"/>
        <v>0.88701861084844846</v>
      </c>
      <c r="C50" s="202">
        <f>DataUK1!DU38/DataUK1!$G38</f>
        <v>0.83436667239748996</v>
      </c>
      <c r="D50" s="308">
        <f>DataUK1!DT38/DataUK1!$G38</f>
        <v>5.2651938450958481E-2</v>
      </c>
      <c r="E50" s="307">
        <f t="shared" si="16"/>
        <v>0.11298138915155156</v>
      </c>
      <c r="F50" s="308">
        <f>(DataUK1!DW38-DataUK1!F38)/DataUK1!$G38</f>
        <v>8.6655419926072313E-2</v>
      </c>
      <c r="G50" s="394">
        <f t="shared" si="17"/>
        <v>2.6325969225479244E-2</v>
      </c>
      <c r="H50" s="1926">
        <f t="shared" si="11"/>
        <v>0.15699411157912826</v>
      </c>
      <c r="I50" s="308">
        <f t="shared" si="12"/>
        <v>0.13066814235364901</v>
      </c>
      <c r="J50" s="394">
        <f>(DataUK1!F38)/DataUK1!$G38</f>
        <v>4.4012722427576707E-2</v>
      </c>
      <c r="K50" s="1398">
        <f t="shared" si="18"/>
        <v>-1.7299922633886355E-2</v>
      </c>
      <c r="L50" s="1934">
        <f>DataUK1!EI38/DataUK1!$G38</f>
        <v>0.29033783202957103</v>
      </c>
      <c r="M50" s="1934">
        <f>DataUK1!EJ38/DataUK1!$G38</f>
        <v>0.30763775466345739</v>
      </c>
      <c r="N50" s="203">
        <f>DataUK1!C38/DataUK1!$G38</f>
        <v>4.3625891859365599E-2</v>
      </c>
      <c r="O50" s="1935">
        <f>DataUK1!HN38/DataUK1!$G38</f>
        <v>0</v>
      </c>
      <c r="S50" s="564">
        <f t="shared" si="13"/>
        <v>1</v>
      </c>
      <c r="T50" s="1244">
        <f t="shared" si="4"/>
        <v>0</v>
      </c>
      <c r="V50" s="233"/>
    </row>
    <row r="51" spans="1:22">
      <c r="A51" s="198">
        <f t="shared" si="14"/>
        <v>1881</v>
      </c>
      <c r="B51" s="192">
        <f t="shared" si="15"/>
        <v>0.89082030050786365</v>
      </c>
      <c r="C51" s="202">
        <f>DataUK1!DU39/DataUK1!$G39</f>
        <v>0.83632803248923326</v>
      </c>
      <c r="D51" s="308">
        <f>DataUK1!DT39/DataUK1!$G39</f>
        <v>5.4492268018630434E-2</v>
      </c>
      <c r="E51" s="307">
        <f t="shared" si="16"/>
        <v>0.10917969949213638</v>
      </c>
      <c r="F51" s="308">
        <f>(DataUK1!DW39-DataUK1!F39)/DataUK1!$G39</f>
        <v>6.159490206741685E-2</v>
      </c>
      <c r="G51" s="394">
        <f t="shared" si="17"/>
        <v>4.7584797424719535E-2</v>
      </c>
      <c r="H51" s="1926">
        <f t="shared" si="11"/>
        <v>0.15451024937065261</v>
      </c>
      <c r="I51" s="308">
        <f t="shared" si="12"/>
        <v>0.10692545194593307</v>
      </c>
      <c r="J51" s="394">
        <f>(DataUK1!F39)/DataUK1!$G39</f>
        <v>4.5330549878516223E-2</v>
      </c>
      <c r="K51" s="1398">
        <f t="shared" si="18"/>
        <v>2.3024901979702972E-3</v>
      </c>
      <c r="L51" s="1934">
        <f>DataUK1!EI39/DataUK1!$G39</f>
        <v>0.30623119633004992</v>
      </c>
      <c r="M51" s="1934">
        <f>DataUK1!EJ39/DataUK1!$G39</f>
        <v>0.30392870613207962</v>
      </c>
      <c r="N51" s="203">
        <f>DataUK1!C39/DataUK1!$G39</f>
        <v>4.5282307226749238E-2</v>
      </c>
      <c r="O51" s="1935">
        <f>DataUK1!HN39/DataUK1!$G39</f>
        <v>0</v>
      </c>
      <c r="S51" s="564">
        <f t="shared" si="13"/>
        <v>1</v>
      </c>
      <c r="T51" s="1244">
        <f t="shared" si="4"/>
        <v>0</v>
      </c>
      <c r="V51" s="233"/>
    </row>
    <row r="52" spans="1:22">
      <c r="A52" s="198">
        <f t="shared" si="14"/>
        <v>1882</v>
      </c>
      <c r="B52" s="192">
        <f t="shared" si="15"/>
        <v>0.88898758925535537</v>
      </c>
      <c r="C52" s="202">
        <f>DataUK1!DU40/DataUK1!$G40</f>
        <v>0.83394678680720846</v>
      </c>
      <c r="D52" s="308">
        <f>DataUK1!DT40/DataUK1!$G40</f>
        <v>5.5040802448146894E-2</v>
      </c>
      <c r="E52" s="307">
        <f t="shared" si="16"/>
        <v>0.11101241074464464</v>
      </c>
      <c r="F52" s="308">
        <f>(DataUK1!DW40-DataUK1!F40)/DataUK1!$G40</f>
        <v>6.4153349200952017E-2</v>
      </c>
      <c r="G52" s="394">
        <f t="shared" si="17"/>
        <v>4.6859061543692626E-2</v>
      </c>
      <c r="H52" s="1926">
        <f t="shared" si="11"/>
        <v>0.15604386263175785</v>
      </c>
      <c r="I52" s="308">
        <f t="shared" si="12"/>
        <v>0.10918480108806523</v>
      </c>
      <c r="J52" s="394">
        <f>(DataUK1!F40)/DataUK1!$G40</f>
        <v>4.5031451887113216E-2</v>
      </c>
      <c r="K52" s="1398">
        <f t="shared" si="18"/>
        <v>0</v>
      </c>
      <c r="L52" s="1934">
        <f>DataUK1!EI40/DataUK1!$G40</f>
        <v>0.3064433866031962</v>
      </c>
      <c r="M52" s="1934">
        <f>DataUK1!EJ40/DataUK1!$G40</f>
        <v>0.3064433866031962</v>
      </c>
      <c r="N52" s="203">
        <f>DataUK1!C40/DataUK1!$G40</f>
        <v>4.6859061543692626E-2</v>
      </c>
      <c r="O52" s="1935">
        <f>DataUK1!HN40/DataUK1!$G40</f>
        <v>0</v>
      </c>
      <c r="S52" s="564">
        <f t="shared" si="13"/>
        <v>1</v>
      </c>
      <c r="T52" s="1244">
        <f t="shared" si="4"/>
        <v>0</v>
      </c>
      <c r="V52" s="233"/>
    </row>
    <row r="53" spans="1:22">
      <c r="A53" s="198">
        <f t="shared" si="14"/>
        <v>1883</v>
      </c>
      <c r="B53" s="192">
        <f t="shared" si="15"/>
        <v>0.88434012527899786</v>
      </c>
      <c r="C53" s="202">
        <f>DataUK1!DU41/DataUK1!$G41</f>
        <v>0.82962056303549581</v>
      </c>
      <c r="D53" s="308">
        <f>DataUK1!DT41/DataUK1!$G41</f>
        <v>5.4719562243502051E-2</v>
      </c>
      <c r="E53" s="307">
        <f t="shared" si="16"/>
        <v>0.1156598747210022</v>
      </c>
      <c r="F53" s="308">
        <f>(DataUK1!DW41-DataUK1!F41)/DataUK1!$G41</f>
        <v>7.8220174238606027E-2</v>
      </c>
      <c r="G53" s="394">
        <f t="shared" si="17"/>
        <v>3.7439700482396164E-2</v>
      </c>
      <c r="H53" s="1926">
        <f t="shared" si="11"/>
        <v>0.15965152278781763</v>
      </c>
      <c r="I53" s="308">
        <f t="shared" si="12"/>
        <v>0.12221182230542148</v>
      </c>
      <c r="J53" s="394">
        <f>(DataUK1!F41)/DataUK1!$G41</f>
        <v>4.399164806681545E-2</v>
      </c>
      <c r="K53" s="1398">
        <f t="shared" si="18"/>
        <v>-8.6399308805529262E-3</v>
      </c>
      <c r="L53" s="1934">
        <f>DataUK1!EI41/DataUK1!$G41</f>
        <v>0.29807761537907695</v>
      </c>
      <c r="M53" s="1934">
        <f>DataUK1!EJ41/DataUK1!$G41</f>
        <v>0.30671754625962988</v>
      </c>
      <c r="N53" s="203">
        <f>DataUK1!C41/DataUK1!$G41</f>
        <v>4.607963136294909E-2</v>
      </c>
      <c r="O53" s="1935">
        <f>DataUK1!HN41/DataUK1!$G41</f>
        <v>0</v>
      </c>
      <c r="S53" s="564">
        <f t="shared" si="13"/>
        <v>1</v>
      </c>
      <c r="T53" s="1244">
        <f t="shared" si="4"/>
        <v>0</v>
      </c>
      <c r="V53" s="233"/>
    </row>
    <row r="54" spans="1:22">
      <c r="A54" s="198">
        <f t="shared" si="14"/>
        <v>1884</v>
      </c>
      <c r="B54" s="192">
        <f t="shared" si="15"/>
        <v>0.89623277618721475</v>
      </c>
      <c r="C54" s="202">
        <f>DataUK1!DU42/DataUK1!$G42</f>
        <v>0.83965316271531099</v>
      </c>
      <c r="D54" s="308">
        <f>DataUK1!DT42/DataUK1!$G42</f>
        <v>5.6579613471903753E-2</v>
      </c>
      <c r="E54" s="307">
        <f t="shared" si="16"/>
        <v>0.10376722381278519</v>
      </c>
      <c r="F54" s="308">
        <f>(DataUK1!DW42-DataUK1!F42)/DataUK1!$G42</f>
        <v>5.0165484734139558E-2</v>
      </c>
      <c r="G54" s="394">
        <f t="shared" si="17"/>
        <v>5.3601739078645641E-2</v>
      </c>
      <c r="H54" s="1926">
        <f t="shared" si="11"/>
        <v>0.14825666724806108</v>
      </c>
      <c r="I54" s="308">
        <f t="shared" si="12"/>
        <v>9.4654928169415453E-2</v>
      </c>
      <c r="J54" s="394">
        <f>(DataUK1!F42)/DataUK1!$G42</f>
        <v>4.4489443435275888E-2</v>
      </c>
      <c r="K54" s="1398">
        <f t="shared" si="18"/>
        <v>3.7223429915725914E-3</v>
      </c>
      <c r="L54" s="1934">
        <f>DataUK1!EI42/DataUK1!$G42</f>
        <v>0.29406509633423661</v>
      </c>
      <c r="M54" s="1934">
        <f>DataUK1!EJ42/DataUK1!$G42</f>
        <v>0.29034275334266402</v>
      </c>
      <c r="N54" s="203">
        <f>DataUK1!C42/DataUK1!$G42</f>
        <v>4.987939608707305E-2</v>
      </c>
      <c r="O54" s="1935">
        <f>DataUK1!HN42/DataUK1!$G42</f>
        <v>0</v>
      </c>
      <c r="S54" s="564">
        <f t="shared" si="13"/>
        <v>1</v>
      </c>
      <c r="T54" s="1244">
        <f t="shared" si="4"/>
        <v>0</v>
      </c>
      <c r="V54" s="233"/>
    </row>
    <row r="55" spans="1:22">
      <c r="A55" s="198">
        <f t="shared" si="14"/>
        <v>1885</v>
      </c>
      <c r="B55" s="192">
        <f t="shared" si="15"/>
        <v>0.91354050325208602</v>
      </c>
      <c r="C55" s="202">
        <f>DataUK1!DU43/DataUK1!$G43</f>
        <v>0.84992225653154641</v>
      </c>
      <c r="D55" s="308">
        <f>DataUK1!DT43/DataUK1!$G43</f>
        <v>6.3618246720539604E-2</v>
      </c>
      <c r="E55" s="307">
        <f t="shared" si="16"/>
        <v>8.6459496747914005E-2</v>
      </c>
      <c r="F55" s="308">
        <f>(DataUK1!DW43-DataUK1!F43)/DataUK1!$G43</f>
        <v>3.8170948032323709E-2</v>
      </c>
      <c r="G55" s="394">
        <f t="shared" si="17"/>
        <v>4.8288548715590289E-2</v>
      </c>
      <c r="H55" s="1926">
        <f t="shared" si="11"/>
        <v>0.13194490068545642</v>
      </c>
      <c r="I55" s="308">
        <f t="shared" si="12"/>
        <v>8.3656351969866122E-2</v>
      </c>
      <c r="J55" s="394">
        <f>(DataUK1!F43)/DataUK1!$G43</f>
        <v>4.5485403937542419E-2</v>
      </c>
      <c r="K55" s="1398">
        <f t="shared" si="18"/>
        <v>-5.3653943017322736E-3</v>
      </c>
      <c r="L55" s="1934">
        <f>DataUK1!EI43/DataUK1!$G43</f>
        <v>0.27823401878982984</v>
      </c>
      <c r="M55" s="1934">
        <f>DataUK1!EJ43/DataUK1!$G43</f>
        <v>0.28359941309156211</v>
      </c>
      <c r="N55" s="203">
        <f>DataUK1!C43/DataUK1!$G43</f>
        <v>5.3653943017322563E-2</v>
      </c>
      <c r="O55" s="1935">
        <f>DataUK1!HN43/DataUK1!$G43</f>
        <v>0</v>
      </c>
      <c r="S55" s="564">
        <f t="shared" si="13"/>
        <v>1</v>
      </c>
      <c r="T55" s="1244">
        <f t="shared" si="4"/>
        <v>0</v>
      </c>
      <c r="V55" s="233"/>
    </row>
    <row r="56" spans="1:22">
      <c r="A56" s="198">
        <f t="shared" si="14"/>
        <v>1886</v>
      </c>
      <c r="B56" s="192">
        <f t="shared" si="15"/>
        <v>0.90777060412411892</v>
      </c>
      <c r="C56" s="202">
        <f>DataUK1!DU44/DataUK1!$G44</f>
        <v>0.84628214419043857</v>
      </c>
      <c r="D56" s="308">
        <f>DataUK1!DT44/DataUK1!$G44</f>
        <v>6.1488459933680302E-2</v>
      </c>
      <c r="E56" s="307">
        <f t="shared" si="16"/>
        <v>9.2229395875881109E-2</v>
      </c>
      <c r="F56" s="308">
        <f>(DataUK1!DW44-DataUK1!F44)/DataUK1!$G44</f>
        <v>3.1509541691371809E-2</v>
      </c>
      <c r="G56" s="394">
        <f t="shared" si="17"/>
        <v>6.0719854184509293E-2</v>
      </c>
      <c r="H56" s="1926">
        <f t="shared" si="11"/>
        <v>0.13676460899927526</v>
      </c>
      <c r="I56" s="308">
        <f t="shared" si="12"/>
        <v>7.6044754814765955E-2</v>
      </c>
      <c r="J56" s="394">
        <f>(DataUK1!F44)/DataUK1!$G44</f>
        <v>4.4535213123394146E-2</v>
      </c>
      <c r="K56" s="1398">
        <f t="shared" si="18"/>
        <v>3.843028745855015E-3</v>
      </c>
      <c r="L56" s="1934">
        <f>DataUK1!EI44/DataUK1!$G44</f>
        <v>0.27285504095570634</v>
      </c>
      <c r="M56" s="1934">
        <f>DataUK1!EJ44/DataUK1!$G44</f>
        <v>0.26901201220985133</v>
      </c>
      <c r="N56" s="203">
        <f>DataUK1!C44/DataUK1!$G44</f>
        <v>5.6876825438654278E-2</v>
      </c>
      <c r="O56" s="1935">
        <f>DataUK1!HN44/DataUK1!$G44</f>
        <v>0</v>
      </c>
      <c r="S56" s="564">
        <f t="shared" si="13"/>
        <v>1</v>
      </c>
      <c r="T56" s="1244">
        <f t="shared" si="4"/>
        <v>0</v>
      </c>
      <c r="V56" s="233"/>
    </row>
    <row r="57" spans="1:22">
      <c r="A57" s="198">
        <f t="shared" si="14"/>
        <v>1887</v>
      </c>
      <c r="B57" s="192">
        <f t="shared" si="15"/>
        <v>0.88760796094630112</v>
      </c>
      <c r="C57" s="202">
        <f>DataUK1!DU45/DataUK1!$G45</f>
        <v>0.8306546501439479</v>
      </c>
      <c r="D57" s="308">
        <f>DataUK1!DT45/DataUK1!$G45</f>
        <v>5.6953310802353233E-2</v>
      </c>
      <c r="E57" s="307">
        <f t="shared" si="16"/>
        <v>0.11239203905369878</v>
      </c>
      <c r="F57" s="308">
        <f>(DataUK1!DW45-DataUK1!F45)/DataUK1!$G45</f>
        <v>4.6676680435598902E-2</v>
      </c>
      <c r="G57" s="394">
        <f t="shared" si="17"/>
        <v>6.5715358618099878E-2</v>
      </c>
      <c r="H57" s="1926">
        <f t="shared" si="11"/>
        <v>0.1550757291275503</v>
      </c>
      <c r="I57" s="308">
        <f t="shared" si="12"/>
        <v>8.9360370509450435E-2</v>
      </c>
      <c r="J57" s="394">
        <f>(DataUK1!F45)/DataUK1!$G45</f>
        <v>4.2683690073851532E-2</v>
      </c>
      <c r="K57" s="1398">
        <f t="shared" si="18"/>
        <v>8.0318771644344311E-3</v>
      </c>
      <c r="L57" s="1934">
        <f>DataUK1!EI45/DataUK1!$G45</f>
        <v>0.2723536529394584</v>
      </c>
      <c r="M57" s="1934">
        <f>DataUK1!EJ45/DataUK1!$G45</f>
        <v>0.26432177577502397</v>
      </c>
      <c r="N57" s="203">
        <f>DataUK1!C45/DataUK1!$G45</f>
        <v>5.7683481453665454E-2</v>
      </c>
      <c r="O57" s="1935">
        <f>DataUK1!HN45/DataUK1!$G45</f>
        <v>0</v>
      </c>
      <c r="S57" s="564">
        <f t="shared" si="13"/>
        <v>0.99999999999999989</v>
      </c>
      <c r="T57" s="1244">
        <f t="shared" si="4"/>
        <v>-6.9388939039072284E-18</v>
      </c>
      <c r="V57" s="233"/>
    </row>
    <row r="58" spans="1:22">
      <c r="A58" s="198">
        <f t="shared" si="14"/>
        <v>1888</v>
      </c>
      <c r="B58" s="192">
        <f t="shared" si="15"/>
        <v>0.88911762894850266</v>
      </c>
      <c r="C58" s="202">
        <f>DataUK1!DU46/DataUK1!$G46</f>
        <v>0.833084296299337</v>
      </c>
      <c r="D58" s="308">
        <f>DataUK1!DT46/DataUK1!$G46</f>
        <v>5.6033332649165657E-2</v>
      </c>
      <c r="E58" s="307">
        <f t="shared" si="16"/>
        <v>0.11088237105149726</v>
      </c>
      <c r="F58" s="308">
        <f>(DataUK1!DW46-DataUK1!F46)/DataUK1!$G46</f>
        <v>4.4073397508261274E-2</v>
      </c>
      <c r="G58" s="394">
        <f t="shared" si="17"/>
        <v>6.6808973543235978E-2</v>
      </c>
      <c r="H58" s="1926">
        <f t="shared" si="11"/>
        <v>0.1532460335378994</v>
      </c>
      <c r="I58" s="308">
        <f t="shared" si="12"/>
        <v>8.6437059994663418E-2</v>
      </c>
      <c r="J58" s="394">
        <f>(DataUK1!F46)/DataUK1!$G46</f>
        <v>4.2363662486402151E-2</v>
      </c>
      <c r="K58" s="1398">
        <f t="shared" si="18"/>
        <v>6.4653845364421869E-3</v>
      </c>
      <c r="L58" s="1934">
        <f>DataUK1!EI46/DataUK1!$G46</f>
        <v>0.28447691960345639</v>
      </c>
      <c r="M58" s="1934">
        <f>DataUK1!EJ46/DataUK1!$G46</f>
        <v>0.2780115350670142</v>
      </c>
      <c r="N58" s="203">
        <f>DataUK1!C46/DataUK1!$G46</f>
        <v>6.0343589006793784E-2</v>
      </c>
      <c r="O58" s="1935">
        <f>DataUK1!HN46/DataUK1!$G46</f>
        <v>0</v>
      </c>
      <c r="S58" s="564">
        <f t="shared" si="13"/>
        <v>0.99999999999999989</v>
      </c>
      <c r="T58" s="1244">
        <f t="shared" si="4"/>
        <v>6.9388939039072284E-18</v>
      </c>
      <c r="V58" s="233"/>
    </row>
    <row r="59" spans="1:22">
      <c r="A59" s="214">
        <f t="shared" si="14"/>
        <v>1889</v>
      </c>
      <c r="B59" s="195">
        <f t="shared" si="15"/>
        <v>0.88795584411973261</v>
      </c>
      <c r="C59" s="241">
        <f>DataUK1!DU47/DataUK1!$G47</f>
        <v>0.83234390423623961</v>
      </c>
      <c r="D59" s="550">
        <f>DataUK1!DT47/DataUK1!$G47</f>
        <v>5.5611939883492986E-2</v>
      </c>
      <c r="E59" s="568">
        <f t="shared" si="16"/>
        <v>0.11204415588026743</v>
      </c>
      <c r="F59" s="550">
        <f>(DataUK1!DW47-DataUK1!F47)/DataUK1!$G47</f>
        <v>5.2956469754056143E-2</v>
      </c>
      <c r="G59" s="553">
        <f t="shared" si="17"/>
        <v>5.9087686126211292E-2</v>
      </c>
      <c r="H59" s="1927">
        <f t="shared" si="11"/>
        <v>0.15546317794430459</v>
      </c>
      <c r="I59" s="550">
        <f t="shared" si="12"/>
        <v>9.6375491818093281E-2</v>
      </c>
      <c r="J59" s="553">
        <f>(DataUK1!F47)/DataUK1!$G47</f>
        <v>4.3419022064037138E-2</v>
      </c>
      <c r="K59" s="1940">
        <f t="shared" si="18"/>
        <v>-2.7805969941746556E-3</v>
      </c>
      <c r="L59" s="1938">
        <f>DataUK1!EI47/DataUK1!$G47</f>
        <v>0.2933529828854255</v>
      </c>
      <c r="M59" s="1938">
        <f>DataUK1!EJ47/DataUK1!$G47</f>
        <v>0.29613357987960015</v>
      </c>
      <c r="N59" s="216">
        <f>DataUK1!C47/DataUK1!$G47</f>
        <v>6.1868283120385947E-2</v>
      </c>
      <c r="O59" s="1939">
        <f>DataUK1!HN47/DataUK1!$G47</f>
        <v>0</v>
      </c>
      <c r="S59" s="564">
        <f t="shared" si="13"/>
        <v>1</v>
      </c>
      <c r="T59" s="1244">
        <f t="shared" si="4"/>
        <v>0</v>
      </c>
      <c r="V59" s="233"/>
    </row>
    <row r="60" spans="1:22">
      <c r="A60" s="198">
        <f t="shared" si="14"/>
        <v>1890</v>
      </c>
      <c r="B60" s="192">
        <f t="shared" si="15"/>
        <v>0.88122049898853672</v>
      </c>
      <c r="C60" s="202">
        <f>DataUK1!DU48/DataUK1!$G48</f>
        <v>0.82390424814565066</v>
      </c>
      <c r="D60" s="308">
        <f>DataUK1!DT48/DataUK1!$G48</f>
        <v>5.7316250842886045E-2</v>
      </c>
      <c r="E60" s="307">
        <f t="shared" si="16"/>
        <v>0.11877950101146324</v>
      </c>
      <c r="F60" s="308">
        <f>(DataUK1!DW48-DataUK1!F48)/DataUK1!$G48</f>
        <v>4.5954146999325693E-2</v>
      </c>
      <c r="G60" s="394">
        <f t="shared" si="17"/>
        <v>7.282535401213755E-2</v>
      </c>
      <c r="H60" s="1926">
        <f t="shared" si="11"/>
        <v>0.16395819285232635</v>
      </c>
      <c r="I60" s="308">
        <f t="shared" si="12"/>
        <v>9.1132838840188801E-2</v>
      </c>
      <c r="J60" s="394">
        <f>(DataUK1!F48)/DataUK1!$G48</f>
        <v>4.5178691840863115E-2</v>
      </c>
      <c r="K60" s="1398">
        <f t="shared" si="18"/>
        <v>9.4403236682400471E-3</v>
      </c>
      <c r="L60" s="1934">
        <f>DataUK1!EI48/DataUK1!$G48</f>
        <v>0.29265003371544168</v>
      </c>
      <c r="M60" s="1934">
        <f>DataUK1!EJ48/DataUK1!$G48</f>
        <v>0.28320971004720163</v>
      </c>
      <c r="N60" s="203">
        <f>DataUK1!C48/DataUK1!$G48</f>
        <v>6.3385030343897503E-2</v>
      </c>
      <c r="O60" s="1935">
        <f>DataUK1!HN48/DataUK1!$G48</f>
        <v>0</v>
      </c>
      <c r="S60" s="564">
        <f t="shared" si="13"/>
        <v>1</v>
      </c>
      <c r="T60" s="1244">
        <f t="shared" si="4"/>
        <v>0</v>
      </c>
      <c r="V60" s="233"/>
    </row>
    <row r="61" spans="1:22">
      <c r="A61" s="198">
        <f t="shared" si="14"/>
        <v>1891</v>
      </c>
      <c r="B61" s="192">
        <f t="shared" si="15"/>
        <v>0.89610707650734667</v>
      </c>
      <c r="C61" s="202">
        <f>DataUK1!DU49/DataUK1!$G49</f>
        <v>0.83916990373247757</v>
      </c>
      <c r="D61" s="308">
        <f>DataUK1!DT49/DataUK1!$G49</f>
        <v>5.6937172774869108E-2</v>
      </c>
      <c r="E61" s="307">
        <f t="shared" si="16"/>
        <v>0.10389292349265326</v>
      </c>
      <c r="F61" s="308">
        <f>(DataUK1!DW49-DataUK1!F49)/DataUK1!$G49</f>
        <v>5.6118054382705625E-2</v>
      </c>
      <c r="G61" s="394">
        <f t="shared" si="17"/>
        <v>4.7774869109947639E-2</v>
      </c>
      <c r="H61" s="1926">
        <f t="shared" si="11"/>
        <v>0.14708664077014016</v>
      </c>
      <c r="I61" s="308">
        <f t="shared" si="12"/>
        <v>9.9311771660192533E-2</v>
      </c>
      <c r="J61" s="394">
        <f>(DataUK1!F49)/DataUK1!$G49</f>
        <v>4.3193717277486908E-2</v>
      </c>
      <c r="K61" s="1398">
        <f t="shared" si="18"/>
        <v>-1.3743455497382207E-2</v>
      </c>
      <c r="L61" s="1934">
        <f>DataUK1!EI49/DataUK1!$G49</f>
        <v>0.26897905759162305</v>
      </c>
      <c r="M61" s="1934">
        <f>DataUK1!EJ49/DataUK1!$G49</f>
        <v>0.28272251308900526</v>
      </c>
      <c r="N61" s="203">
        <f>DataUK1!C49/DataUK1!$G49</f>
        <v>6.1518324607329845E-2</v>
      </c>
      <c r="O61" s="1935">
        <f>DataUK1!HN49/DataUK1!$G49</f>
        <v>0</v>
      </c>
      <c r="S61" s="564">
        <f t="shared" si="13"/>
        <v>0.99999999999999989</v>
      </c>
      <c r="T61" s="1244">
        <f t="shared" si="4"/>
        <v>0</v>
      </c>
      <c r="V61" s="233"/>
    </row>
    <row r="62" spans="1:22">
      <c r="A62" s="198">
        <f t="shared" si="14"/>
        <v>1892</v>
      </c>
      <c r="B62" s="192">
        <f t="shared" si="15"/>
        <v>0.91036145354580988</v>
      </c>
      <c r="C62" s="202">
        <f>DataUK1!DU50/DataUK1!$G50</f>
        <v>0.85243868390533051</v>
      </c>
      <c r="D62" s="308">
        <f>DataUK1!DT50/DataUK1!$G50</f>
        <v>5.7922769640479363E-2</v>
      </c>
      <c r="E62" s="307">
        <f t="shared" si="16"/>
        <v>8.9638546454190116E-2</v>
      </c>
      <c r="F62" s="308">
        <f>(DataUK1!DW50-DataUK1!F50)/DataUK1!$G50</f>
        <v>4.702869292556161E-2</v>
      </c>
      <c r="G62" s="394">
        <f t="shared" si="17"/>
        <v>4.2609853528628505E-2</v>
      </c>
      <c r="H62" s="1926">
        <f t="shared" si="11"/>
        <v>0.13291417894420343</v>
      </c>
      <c r="I62" s="308">
        <f t="shared" si="12"/>
        <v>9.0304325415574926E-2</v>
      </c>
      <c r="J62" s="394">
        <f>(DataUK1!F50)/DataUK1!$G50</f>
        <v>4.3275632490013316E-2</v>
      </c>
      <c r="K62" s="1398">
        <f t="shared" si="18"/>
        <v>-2.0639147802929414E-2</v>
      </c>
      <c r="L62" s="1934">
        <f>DataUK1!EI50/DataUK1!$G50</f>
        <v>0.2596537949400799</v>
      </c>
      <c r="M62" s="1934">
        <f>DataUK1!EJ50/DataUK1!$G50</f>
        <v>0.28029294274300931</v>
      </c>
      <c r="N62" s="203">
        <f>DataUK1!C50/DataUK1!$G50</f>
        <v>6.3249001331557919E-2</v>
      </c>
      <c r="O62" s="1935">
        <f>DataUK1!HN50/DataUK1!$G50</f>
        <v>0</v>
      </c>
      <c r="S62" s="564">
        <f t="shared" si="13"/>
        <v>1</v>
      </c>
      <c r="T62" s="1244">
        <f t="shared" si="4"/>
        <v>0</v>
      </c>
      <c r="V62" s="233"/>
    </row>
    <row r="63" spans="1:22">
      <c r="A63" s="198">
        <f t="shared" si="14"/>
        <v>1893</v>
      </c>
      <c r="B63" s="192">
        <f t="shared" si="15"/>
        <v>0.91985195154777932</v>
      </c>
      <c r="C63" s="202">
        <f>DataUK1!DU51/DataUK1!$G51</f>
        <v>0.85995962314939445</v>
      </c>
      <c r="D63" s="308">
        <f>DataUK1!DT51/DataUK1!$G51</f>
        <v>5.9892328398384924E-2</v>
      </c>
      <c r="E63" s="307">
        <f t="shared" si="16"/>
        <v>8.0148048452220746E-2</v>
      </c>
      <c r="F63" s="308">
        <f>(DataUK1!DW51-DataUK1!F51)/DataUK1!$G51</f>
        <v>4.1117092866756383E-2</v>
      </c>
      <c r="G63" s="394">
        <f t="shared" si="17"/>
        <v>3.9030955585464364E-2</v>
      </c>
      <c r="H63" s="1926">
        <f t="shared" si="11"/>
        <v>0.12321668909825036</v>
      </c>
      <c r="I63" s="308">
        <f t="shared" si="12"/>
        <v>8.4185733512785993E-2</v>
      </c>
      <c r="J63" s="394">
        <f>(DataUK1!F51)/DataUK1!$G51</f>
        <v>4.306864064602961E-2</v>
      </c>
      <c r="K63" s="1398">
        <f t="shared" si="18"/>
        <v>-2.4899057873485841E-2</v>
      </c>
      <c r="L63" s="1934">
        <f>DataUK1!EI51/DataUK1!$G51</f>
        <v>0.24562584118438763</v>
      </c>
      <c r="M63" s="1934">
        <f>DataUK1!EJ51/DataUK1!$G51</f>
        <v>0.27052489905787347</v>
      </c>
      <c r="N63" s="203">
        <f>DataUK1!C51/DataUK1!$G51</f>
        <v>6.3930013458950205E-2</v>
      </c>
      <c r="O63" s="1935">
        <f>DataUK1!HN51/DataUK1!$G51</f>
        <v>0</v>
      </c>
      <c r="S63" s="564">
        <f t="shared" si="13"/>
        <v>1</v>
      </c>
      <c r="T63" s="1244">
        <f t="shared" si="4"/>
        <v>0</v>
      </c>
      <c r="V63" s="233"/>
    </row>
    <row r="64" spans="1:22">
      <c r="A64" s="198">
        <f t="shared" si="14"/>
        <v>1894</v>
      </c>
      <c r="B64" s="192">
        <f t="shared" si="15"/>
        <v>0.90336492196979212</v>
      </c>
      <c r="C64" s="202">
        <f>DataUK1!DU52/DataUK1!$G52</f>
        <v>0.8443506547843187</v>
      </c>
      <c r="D64" s="308">
        <f>DataUK1!DT52/DataUK1!$G52</f>
        <v>5.901426718547341E-2</v>
      </c>
      <c r="E64" s="307">
        <f t="shared" si="16"/>
        <v>9.6635078030207905E-2</v>
      </c>
      <c r="F64" s="308">
        <f>(DataUK1!DW52-DataUK1!F52)/DataUK1!$G52</f>
        <v>6.4209656499728027E-2</v>
      </c>
      <c r="G64" s="394">
        <f t="shared" si="17"/>
        <v>3.2425421530479885E-2</v>
      </c>
      <c r="H64" s="1926">
        <f t="shared" si="11"/>
        <v>0.13813961758922216</v>
      </c>
      <c r="I64" s="308">
        <f t="shared" si="12"/>
        <v>0.1057141960587423</v>
      </c>
      <c r="J64" s="394">
        <f>(DataUK1!F52)/DataUK1!$G52</f>
        <v>4.1504539559014265E-2</v>
      </c>
      <c r="K64" s="1398">
        <f t="shared" si="18"/>
        <v>-2.7885862516212723E-2</v>
      </c>
      <c r="L64" s="1934">
        <f>DataUK1!EI52/DataUK1!$G52</f>
        <v>0.23540856031128404</v>
      </c>
      <c r="M64" s="1934">
        <f>DataUK1!EJ52/DataUK1!$G52</f>
        <v>0.26329442282749677</v>
      </c>
      <c r="N64" s="203">
        <f>DataUK1!C52/DataUK1!$G52</f>
        <v>6.0311284046692608E-2</v>
      </c>
      <c r="O64" s="1935">
        <f>DataUK1!HN52/DataUK1!$G52</f>
        <v>0</v>
      </c>
      <c r="S64" s="564">
        <f t="shared" si="13"/>
        <v>1</v>
      </c>
      <c r="T64" s="1244">
        <f t="shared" si="4"/>
        <v>0</v>
      </c>
      <c r="V64" s="233"/>
    </row>
    <row r="65" spans="1:22">
      <c r="A65" s="198">
        <f t="shared" si="14"/>
        <v>1895</v>
      </c>
      <c r="B65" s="192">
        <f t="shared" si="15"/>
        <v>0.90155650800812093</v>
      </c>
      <c r="C65" s="202">
        <f>DataUK1!DU53/DataUK1!$G53</f>
        <v>0.83989090088796836</v>
      </c>
      <c r="D65" s="308">
        <f>DataUK1!DT53/DataUK1!$G53</f>
        <v>6.1665607120152573E-2</v>
      </c>
      <c r="E65" s="307">
        <f t="shared" si="16"/>
        <v>9.8443491991879045E-2</v>
      </c>
      <c r="F65" s="308">
        <f>(DataUK1!DW53-DataUK1!F53)/DataUK1!$G53</f>
        <v>6.2842729118388924E-2</v>
      </c>
      <c r="G65" s="394">
        <f t="shared" si="17"/>
        <v>3.5600762873490115E-2</v>
      </c>
      <c r="H65" s="1926">
        <f t="shared" si="11"/>
        <v>0.13913007813301065</v>
      </c>
      <c r="I65" s="308">
        <f t="shared" si="12"/>
        <v>0.10352931525952053</v>
      </c>
      <c r="J65" s="394">
        <f>(DataUK1!F53)/DataUK1!$G53</f>
        <v>4.0686586141131596E-2</v>
      </c>
      <c r="K65" s="1398">
        <f t="shared" si="18"/>
        <v>-2.415766052129692E-2</v>
      </c>
      <c r="L65" s="1934">
        <f>DataUK1!EI53/DataUK1!$G53</f>
        <v>0.23839796567069294</v>
      </c>
      <c r="M65" s="1934">
        <f>DataUK1!EJ53/DataUK1!$G53</f>
        <v>0.26255562619198985</v>
      </c>
      <c r="N65" s="203">
        <f>DataUK1!C53/DataUK1!$G53</f>
        <v>5.9758423394787034E-2</v>
      </c>
      <c r="O65" s="1935">
        <f>DataUK1!HN53/DataUK1!$G53</f>
        <v>0</v>
      </c>
      <c r="S65" s="564">
        <f t="shared" si="13"/>
        <v>1</v>
      </c>
      <c r="T65" s="1244">
        <f t="shared" si="4"/>
        <v>0</v>
      </c>
      <c r="V65" s="233"/>
    </row>
    <row r="66" spans="1:22">
      <c r="A66" s="198">
        <f t="shared" si="14"/>
        <v>1896</v>
      </c>
      <c r="B66" s="192">
        <f t="shared" si="15"/>
        <v>0.89551709225295362</v>
      </c>
      <c r="C66" s="202">
        <f>DataUK1!DU54/DataUK1!$G54</f>
        <v>0.83335987104637221</v>
      </c>
      <c r="D66" s="308">
        <f>DataUK1!DT54/DataUK1!$G54</f>
        <v>6.2157221206581355E-2</v>
      </c>
      <c r="E66" s="307">
        <f t="shared" si="16"/>
        <v>0.10448290774704638</v>
      </c>
      <c r="F66" s="308">
        <f>(DataUK1!DW54-DataUK1!F54)/DataUK1!$G54</f>
        <v>7.3404297143755751E-2</v>
      </c>
      <c r="G66" s="394">
        <f t="shared" si="17"/>
        <v>3.1078610603290639E-2</v>
      </c>
      <c r="H66" s="1926">
        <f t="shared" si="11"/>
        <v>0.14470228617483433</v>
      </c>
      <c r="I66" s="308">
        <f t="shared" si="12"/>
        <v>0.11362367557154368</v>
      </c>
      <c r="J66" s="394">
        <f>(DataUK1!F54)/DataUK1!$G54</f>
        <v>4.0219378427787937E-2</v>
      </c>
      <c r="K66" s="1398">
        <f t="shared" si="18"/>
        <v>-2.742230347349181E-2</v>
      </c>
      <c r="L66" s="1934">
        <f>DataUK1!EI54/DataUK1!$G54</f>
        <v>0.24009750152346129</v>
      </c>
      <c r="M66" s="1934">
        <f>DataUK1!EJ54/DataUK1!$G54</f>
        <v>0.2675198049969531</v>
      </c>
      <c r="N66" s="203">
        <f>DataUK1!C54/DataUK1!$G54</f>
        <v>5.850091407678245E-2</v>
      </c>
      <c r="O66" s="1935">
        <f>DataUK1!HN54/DataUK1!$G54</f>
        <v>0</v>
      </c>
      <c r="S66" s="564">
        <f t="shared" si="13"/>
        <v>1</v>
      </c>
      <c r="T66" s="1244">
        <f t="shared" si="4"/>
        <v>0</v>
      </c>
      <c r="V66" s="233"/>
    </row>
    <row r="67" spans="1:22">
      <c r="A67" s="198">
        <f t="shared" si="14"/>
        <v>1897</v>
      </c>
      <c r="B67" s="192">
        <f t="shared" si="15"/>
        <v>0.90083703948262817</v>
      </c>
      <c r="C67" s="202">
        <f>DataUK1!DU55/DataUK1!$G55</f>
        <v>0.83702006175836563</v>
      </c>
      <c r="D67" s="308">
        <f>DataUK1!DT55/DataUK1!$G55</f>
        <v>6.3816977724262494E-2</v>
      </c>
      <c r="E67" s="307">
        <f t="shared" si="16"/>
        <v>9.9162960517371945E-2</v>
      </c>
      <c r="F67" s="308">
        <f>(DataUK1!DW55-DataUK1!F55)/DataUK1!$G55</f>
        <v>7.387698821153206E-2</v>
      </c>
      <c r="G67" s="394">
        <f t="shared" si="17"/>
        <v>2.5285972305839878E-2</v>
      </c>
      <c r="H67" s="1926">
        <f t="shared" si="11"/>
        <v>0.14070420073410886</v>
      </c>
      <c r="I67" s="308">
        <f t="shared" si="12"/>
        <v>0.11541822842826896</v>
      </c>
      <c r="J67" s="394">
        <f>(DataUK1!F55)/DataUK1!$G55</f>
        <v>4.1541240216736906E-2</v>
      </c>
      <c r="K67" s="1398">
        <f t="shared" si="18"/>
        <v>-3.3112582781456928E-2</v>
      </c>
      <c r="L67" s="1934">
        <f>DataUK1!EI55/DataUK1!$G55</f>
        <v>0.23600240818783866</v>
      </c>
      <c r="M67" s="1934">
        <f>DataUK1!EJ55/DataUK1!$G55</f>
        <v>0.26911499096929559</v>
      </c>
      <c r="N67" s="203">
        <f>DataUK1!C55/DataUK1!$G55</f>
        <v>5.8398555087296806E-2</v>
      </c>
      <c r="O67" s="1935">
        <f>DataUK1!HN55/DataUK1!$G55</f>
        <v>0</v>
      </c>
      <c r="S67" s="564">
        <f t="shared" si="13"/>
        <v>1</v>
      </c>
      <c r="T67" s="1244">
        <f t="shared" si="4"/>
        <v>0</v>
      </c>
      <c r="V67" s="233"/>
    </row>
    <row r="68" spans="1:22">
      <c r="A68" s="198">
        <f t="shared" si="14"/>
        <v>1898</v>
      </c>
      <c r="B68" s="192">
        <f t="shared" si="15"/>
        <v>0.88464171945369996</v>
      </c>
      <c r="C68" s="202">
        <f>DataUK1!DU56/DataUK1!$G56</f>
        <v>0.8210775877851415</v>
      </c>
      <c r="D68" s="308">
        <f>DataUK1!DT56/DataUK1!$G56</f>
        <v>6.3564131668558455E-2</v>
      </c>
      <c r="E68" s="307">
        <f t="shared" si="16"/>
        <v>0.11535828054629996</v>
      </c>
      <c r="F68" s="308">
        <f>(DataUK1!DW56-DataUK1!F56)/DataUK1!$G56</f>
        <v>9.8332173849364671E-2</v>
      </c>
      <c r="G68" s="394">
        <f t="shared" si="17"/>
        <v>1.7026106696935286E-2</v>
      </c>
      <c r="H68" s="1926">
        <f t="shared" si="11"/>
        <v>0.15678847350884251</v>
      </c>
      <c r="I68" s="308">
        <f t="shared" si="12"/>
        <v>0.13976236681190723</v>
      </c>
      <c r="J68" s="394">
        <f>(DataUK1!F56)/DataUK1!$G56</f>
        <v>4.1430192962542564E-2</v>
      </c>
      <c r="K68" s="1398">
        <f t="shared" si="18"/>
        <v>-4.0295119182746891E-2</v>
      </c>
      <c r="L68" s="1934">
        <f>DataUK1!EI56/DataUK1!$G56</f>
        <v>0.22417707150964813</v>
      </c>
      <c r="M68" s="1934">
        <f>DataUK1!EJ56/DataUK1!$G56</f>
        <v>0.26447219069239503</v>
      </c>
      <c r="N68" s="203">
        <f>DataUK1!C56/DataUK1!$G56</f>
        <v>5.7321225879682178E-2</v>
      </c>
      <c r="O68" s="1935">
        <f>DataUK1!HN56/DataUK1!$G56</f>
        <v>0</v>
      </c>
      <c r="S68" s="564">
        <f t="shared" si="13"/>
        <v>0.99999999999999989</v>
      </c>
      <c r="T68" s="1244">
        <f t="shared" si="4"/>
        <v>0</v>
      </c>
      <c r="V68" s="233"/>
    </row>
    <row r="69" spans="1:22">
      <c r="A69" s="214">
        <f t="shared" si="14"/>
        <v>1899</v>
      </c>
      <c r="B69" s="195">
        <f t="shared" si="15"/>
        <v>0.86861734020865822</v>
      </c>
      <c r="C69" s="241">
        <f>DataUK1!DU57/DataUK1!$G57</f>
        <v>0.79639216761173837</v>
      </c>
      <c r="D69" s="550">
        <f>DataUK1!DT57/DataUK1!$G57</f>
        <v>7.2225172596919809E-2</v>
      </c>
      <c r="E69" s="568">
        <f t="shared" si="16"/>
        <v>0.13138265979134184</v>
      </c>
      <c r="F69" s="550">
        <f>(DataUK1!DW57-DataUK1!F57)/DataUK1!$G57</f>
        <v>0.10589142240419365</v>
      </c>
      <c r="G69" s="553">
        <f t="shared" si="17"/>
        <v>2.5491237387148202E-2</v>
      </c>
      <c r="H69" s="1927">
        <f t="shared" si="11"/>
        <v>0.17386805543658879</v>
      </c>
      <c r="I69" s="550">
        <f t="shared" si="12"/>
        <v>0.14837681804944058</v>
      </c>
      <c r="J69" s="553">
        <f>(DataUK1!F57)/DataUK1!$G57</f>
        <v>4.2485395645246948E-2</v>
      </c>
      <c r="K69" s="1940">
        <f t="shared" si="18"/>
        <v>-2.9208709506107239E-2</v>
      </c>
      <c r="L69" s="1938">
        <f>DataUK1!EI57/DataUK1!$G57</f>
        <v>0.22889006903876793</v>
      </c>
      <c r="M69" s="1938">
        <f>DataUK1!EJ57/DataUK1!$G57</f>
        <v>0.25809877854487517</v>
      </c>
      <c r="N69" s="216">
        <f>DataUK1!C57/DataUK1!$G57</f>
        <v>5.4699946893255441E-2</v>
      </c>
      <c r="O69" s="1939">
        <f>DataUK1!HN57/DataUK1!$G57</f>
        <v>0</v>
      </c>
      <c r="S69" s="564">
        <f t="shared" si="13"/>
        <v>1</v>
      </c>
      <c r="T69" s="1244">
        <f t="shared" si="4"/>
        <v>0</v>
      </c>
      <c r="V69" s="233"/>
    </row>
    <row r="70" spans="1:22">
      <c r="A70" s="199">
        <f t="shared" si="14"/>
        <v>1900</v>
      </c>
      <c r="B70" s="194">
        <f t="shared" si="15"/>
        <v>0.89143422045745413</v>
      </c>
      <c r="C70" s="237">
        <f>DataUK1!DU58/DataUK1!$G58</f>
        <v>0.79886046664260169</v>
      </c>
      <c r="D70" s="551">
        <f>DataUK1!DT58/DataUK1!$G58</f>
        <v>9.2573753814852486E-2</v>
      </c>
      <c r="E70" s="569">
        <f t="shared" si="16"/>
        <v>0.10856577954254575</v>
      </c>
      <c r="F70" s="551">
        <f>(DataUK1!DW58-DataUK1!F58)/DataUK1!$G58</f>
        <v>9.025448757916836E-2</v>
      </c>
      <c r="G70" s="554">
        <f t="shared" si="17"/>
        <v>1.8311291963377385E-2</v>
      </c>
      <c r="H70" s="1928">
        <f t="shared" si="11"/>
        <v>0.15332671545302387</v>
      </c>
      <c r="I70" s="551">
        <f t="shared" si="12"/>
        <v>0.13501542348964649</v>
      </c>
      <c r="J70" s="554">
        <f>(DataUK1!F58)/DataUK1!$G58</f>
        <v>4.4760935910478125E-2</v>
      </c>
      <c r="K70" s="1941">
        <f t="shared" si="18"/>
        <v>-3.4587995930824039E-2</v>
      </c>
      <c r="L70" s="1936">
        <f>DataUK1!EI58/DataUK1!$G58</f>
        <v>0.23753814852492369</v>
      </c>
      <c r="M70" s="1936">
        <f>DataUK1!EJ58/DataUK1!$G58</f>
        <v>0.27212614445574773</v>
      </c>
      <c r="N70" s="212">
        <f>DataUK1!C58/DataUK1!$G58</f>
        <v>5.2899287894201424E-2</v>
      </c>
      <c r="O70" s="1937">
        <f>DataUK1!HN58/DataUK1!$G58</f>
        <v>0</v>
      </c>
      <c r="S70" s="564">
        <f t="shared" si="13"/>
        <v>0.99999999999999989</v>
      </c>
      <c r="T70" s="1244">
        <f t="shared" si="4"/>
        <v>0</v>
      </c>
      <c r="V70" s="233"/>
    </row>
    <row r="71" spans="1:22">
      <c r="A71" s="198">
        <f t="shared" si="14"/>
        <v>1901</v>
      </c>
      <c r="B71" s="192">
        <f t="shared" si="15"/>
        <v>0.88986514292950092</v>
      </c>
      <c r="C71" s="202">
        <f>DataUK1!DU59/DataUK1!$G59</f>
        <v>0.79074836177150287</v>
      </c>
      <c r="D71" s="308">
        <f>DataUK1!DT59/DataUK1!$G59</f>
        <v>9.9116781157998032E-2</v>
      </c>
      <c r="E71" s="307">
        <f t="shared" si="16"/>
        <v>0.11013485707049914</v>
      </c>
      <c r="F71" s="308">
        <f>(DataUK1!DW59-DataUK1!F59)/DataUK1!$G59</f>
        <v>9.835860584380629E-2</v>
      </c>
      <c r="G71" s="394">
        <f t="shared" si="17"/>
        <v>1.1776251226692853E-2</v>
      </c>
      <c r="H71" s="1926">
        <f t="shared" si="11"/>
        <v>0.15282376776726067</v>
      </c>
      <c r="I71" s="308">
        <f t="shared" si="12"/>
        <v>0.14104751654056782</v>
      </c>
      <c r="J71" s="394">
        <f>(DataUK1!F59)/DataUK1!$G59</f>
        <v>4.2688910696761534E-2</v>
      </c>
      <c r="K71" s="1398">
        <f t="shared" si="18"/>
        <v>-4.0235525024533841E-2</v>
      </c>
      <c r="L71" s="1934">
        <f>DataUK1!EI59/DataUK1!$G59</f>
        <v>0.22473012757605496</v>
      </c>
      <c r="M71" s="1934">
        <f>DataUK1!EJ59/DataUK1!$G59</f>
        <v>0.2649656526005888</v>
      </c>
      <c r="N71" s="203">
        <f>DataUK1!C59/DataUK1!$G59</f>
        <v>5.2011776251226695E-2</v>
      </c>
      <c r="O71" s="1935">
        <f>DataUK1!HN59/DataUK1!$G59</f>
        <v>0</v>
      </c>
      <c r="S71" s="564">
        <f t="shared" si="13"/>
        <v>1</v>
      </c>
      <c r="T71" s="1244">
        <f t="shared" si="4"/>
        <v>0</v>
      </c>
      <c r="V71" s="233"/>
    </row>
    <row r="72" spans="1:22">
      <c r="A72" s="198">
        <f t="shared" si="14"/>
        <v>1902</v>
      </c>
      <c r="B72" s="192">
        <f t="shared" si="15"/>
        <v>0.89425328554360828</v>
      </c>
      <c r="C72" s="202">
        <f>DataUK1!DU60/DataUK1!$G60</f>
        <v>0.80042612504978106</v>
      </c>
      <c r="D72" s="308">
        <f>DataUK1!DT60/DataUK1!$G60</f>
        <v>9.3827160493827166E-2</v>
      </c>
      <c r="E72" s="307">
        <f t="shared" si="16"/>
        <v>0.10574671445639178</v>
      </c>
      <c r="F72" s="308">
        <f>(DataUK1!DW60-DataUK1!F60)/DataUK1!$G60</f>
        <v>8.9944245320589311E-2</v>
      </c>
      <c r="G72" s="394">
        <f t="shared" si="17"/>
        <v>1.5802469135802466E-2</v>
      </c>
      <c r="H72" s="1926">
        <f t="shared" si="11"/>
        <v>0.14772202309836707</v>
      </c>
      <c r="I72" s="308">
        <f t="shared" si="12"/>
        <v>0.13191955396256461</v>
      </c>
      <c r="J72" s="394">
        <f>(DataUK1!F60)/DataUK1!$G60</f>
        <v>4.1975308641975309E-2</v>
      </c>
      <c r="K72" s="1398">
        <f t="shared" si="18"/>
        <v>-3.8024691358024693E-2</v>
      </c>
      <c r="L72" s="1934">
        <f>DataUK1!EI60/DataUK1!$G60</f>
        <v>0.2271604938271605</v>
      </c>
      <c r="M72" s="1934">
        <f>DataUK1!EJ60/DataUK1!$G60</f>
        <v>0.26518518518518519</v>
      </c>
      <c r="N72" s="203">
        <f>DataUK1!C60/DataUK1!$G60</f>
        <v>5.3827160493827159E-2</v>
      </c>
      <c r="O72" s="1935">
        <f>DataUK1!HN60/DataUK1!$G60</f>
        <v>0</v>
      </c>
      <c r="S72" s="564">
        <f t="shared" si="13"/>
        <v>1</v>
      </c>
      <c r="T72" s="1244">
        <f t="shared" si="4"/>
        <v>0</v>
      </c>
      <c r="V72" s="233"/>
    </row>
    <row r="73" spans="1:22">
      <c r="A73" s="198">
        <f t="shared" si="14"/>
        <v>1903</v>
      </c>
      <c r="B73" s="192">
        <f t="shared" si="15"/>
        <v>0.89117726787109541</v>
      </c>
      <c r="C73" s="202">
        <f>DataUK1!DU61/DataUK1!$G61</f>
        <v>0.80763796979892533</v>
      </c>
      <c r="D73" s="308">
        <f>DataUK1!DT61/DataUK1!$G61</f>
        <v>8.3539298072170046E-2</v>
      </c>
      <c r="E73" s="307">
        <f t="shared" si="16"/>
        <v>0.1088227321289046</v>
      </c>
      <c r="F73" s="308">
        <f>(DataUK1!DW61-DataUK1!F61)/DataUK1!$G61</f>
        <v>8.5095594214915471E-2</v>
      </c>
      <c r="G73" s="394">
        <f t="shared" si="17"/>
        <v>2.372713791398913E-2</v>
      </c>
      <c r="H73" s="1926">
        <f t="shared" si="11"/>
        <v>0.15133385422480178</v>
      </c>
      <c r="I73" s="308">
        <f t="shared" si="12"/>
        <v>0.12760671631081266</v>
      </c>
      <c r="J73" s="394">
        <f>(DataUK1!F61)/DataUK1!$G61</f>
        <v>4.2511122095897184E-2</v>
      </c>
      <c r="K73" s="1398">
        <f t="shared" si="18"/>
        <v>-3.163618388531883E-2</v>
      </c>
      <c r="L73" s="1934">
        <f>DataUK1!EI61/DataUK1!$G61</f>
        <v>0.23677706376668314</v>
      </c>
      <c r="M73" s="1934">
        <f>DataUK1!EJ61/DataUK1!$G61</f>
        <v>0.26841324765200197</v>
      </c>
      <c r="N73" s="203">
        <f>DataUK1!C61/DataUK1!$G61</f>
        <v>5.536332179930796E-2</v>
      </c>
      <c r="O73" s="1935">
        <f>DataUK1!HN61/DataUK1!$G61</f>
        <v>0</v>
      </c>
      <c r="S73" s="564">
        <f t="shared" si="13"/>
        <v>1</v>
      </c>
      <c r="T73" s="1244">
        <f t="shared" si="4"/>
        <v>0</v>
      </c>
      <c r="V73" s="233"/>
    </row>
    <row r="74" spans="1:22">
      <c r="A74" s="198">
        <f t="shared" si="14"/>
        <v>1904</v>
      </c>
      <c r="B74" s="192">
        <f t="shared" si="15"/>
        <v>0.89209827567131872</v>
      </c>
      <c r="C74" s="202">
        <f>DataUK1!DU62/DataUK1!$G62</f>
        <v>0.81223546332442997</v>
      </c>
      <c r="D74" s="308">
        <f>DataUK1!DT62/DataUK1!$G62</f>
        <v>7.9862812346888787E-2</v>
      </c>
      <c r="E74" s="307">
        <f t="shared" si="16"/>
        <v>0.10790172432868128</v>
      </c>
      <c r="F74" s="308">
        <f>(DataUK1!DW62-DataUK1!F62)/DataUK1!$G62</f>
        <v>8.1444105514374573E-2</v>
      </c>
      <c r="G74" s="394">
        <f t="shared" si="17"/>
        <v>2.6457618814306708E-2</v>
      </c>
      <c r="H74" s="1926">
        <f t="shared" si="11"/>
        <v>0.15052788797395322</v>
      </c>
      <c r="I74" s="308">
        <f t="shared" si="12"/>
        <v>0.1240702691596465</v>
      </c>
      <c r="J74" s="394">
        <f>(DataUK1!F62)/DataUK1!$G62</f>
        <v>4.2626163645271928E-2</v>
      </c>
      <c r="K74" s="1398">
        <f t="shared" si="18"/>
        <v>-2.8907398334149931E-2</v>
      </c>
      <c r="L74" s="1934">
        <f>DataUK1!EI62/DataUK1!$G62</f>
        <v>0.24105830475257226</v>
      </c>
      <c r="M74" s="1934">
        <f>DataUK1!EJ62/DataUK1!$G62</f>
        <v>0.26996570308672219</v>
      </c>
      <c r="N74" s="203">
        <f>DataUK1!C62/DataUK1!$G62</f>
        <v>5.5365017148456638E-2</v>
      </c>
      <c r="O74" s="1935">
        <f>DataUK1!HN62/DataUK1!$G62</f>
        <v>0</v>
      </c>
      <c r="S74" s="564">
        <f t="shared" si="13"/>
        <v>1</v>
      </c>
      <c r="T74" s="1244">
        <f t="shared" si="4"/>
        <v>0</v>
      </c>
      <c r="V74" s="233"/>
    </row>
    <row r="75" spans="1:22">
      <c r="A75" s="198">
        <f t="shared" si="14"/>
        <v>1905</v>
      </c>
      <c r="B75" s="192">
        <f t="shared" si="15"/>
        <v>0.87975740949092995</v>
      </c>
      <c r="C75" s="202">
        <f>DataUK1!DU63/DataUK1!$G63</f>
        <v>0.80187876639489553</v>
      </c>
      <c r="D75" s="308">
        <f>DataUK1!DT63/DataUK1!$G63</f>
        <v>7.78786430960344E-2</v>
      </c>
      <c r="E75" s="307">
        <f t="shared" si="16"/>
        <v>0.1202425905090701</v>
      </c>
      <c r="F75" s="308">
        <f>(DataUK1!DW63-DataUK1!F63)/DataUK1!$G63</f>
        <v>7.6764329639504858E-2</v>
      </c>
      <c r="G75" s="394">
        <f t="shared" si="17"/>
        <v>4.3478260869565237E-2</v>
      </c>
      <c r="H75" s="1926">
        <f t="shared" si="11"/>
        <v>0.16276528520567785</v>
      </c>
      <c r="I75" s="308">
        <f t="shared" si="12"/>
        <v>0.1192870243361126</v>
      </c>
      <c r="J75" s="394">
        <f>(DataUK1!F63)/DataUK1!$G63</f>
        <v>4.2522694696607743E-2</v>
      </c>
      <c r="K75" s="1398">
        <f t="shared" si="18"/>
        <v>-1.5289058767319619E-2</v>
      </c>
      <c r="L75" s="1934">
        <f>DataUK1!EI63/DataUK1!$G63</f>
        <v>0.25561395126612518</v>
      </c>
      <c r="M75" s="1934">
        <f>DataUK1!EJ63/DataUK1!$G63</f>
        <v>0.2709030100334448</v>
      </c>
      <c r="N75" s="203">
        <f>DataUK1!C63/DataUK1!$G63</f>
        <v>5.8767319636884856E-2</v>
      </c>
      <c r="O75" s="1935">
        <f>DataUK1!HN63/DataUK1!$G63</f>
        <v>0</v>
      </c>
      <c r="S75" s="564">
        <f t="shared" si="13"/>
        <v>1</v>
      </c>
      <c r="T75" s="1244">
        <f t="shared" ref="T75:T138" si="19">G75-K75-N75-O75</f>
        <v>0</v>
      </c>
      <c r="V75" s="233"/>
    </row>
    <row r="76" spans="1:22">
      <c r="A76" s="198">
        <f t="shared" si="14"/>
        <v>1906</v>
      </c>
      <c r="B76" s="192">
        <f t="shared" si="15"/>
        <v>0.86880098795000382</v>
      </c>
      <c r="C76" s="202">
        <f>DataUK1!DU64/DataUK1!$G64</f>
        <v>0.79316293690592032</v>
      </c>
      <c r="D76" s="308">
        <f>DataUK1!DT64/DataUK1!$G64</f>
        <v>7.5638051044083526E-2</v>
      </c>
      <c r="E76" s="307">
        <f t="shared" si="16"/>
        <v>0.13119901204999612</v>
      </c>
      <c r="F76" s="308">
        <f>(DataUK1!DW64-DataUK1!F64)/DataUK1!$G64</f>
        <v>7.3658408801736283E-2</v>
      </c>
      <c r="G76" s="394">
        <f t="shared" si="17"/>
        <v>5.7540603248259832E-2</v>
      </c>
      <c r="H76" s="1926">
        <f t="shared" si="11"/>
        <v>0.17435446448619102</v>
      </c>
      <c r="I76" s="308">
        <f t="shared" si="12"/>
        <v>0.11681386123793118</v>
      </c>
      <c r="J76" s="394">
        <f>(DataUK1!F64)/DataUK1!$G64</f>
        <v>4.3155452436194897E-2</v>
      </c>
      <c r="K76" s="1398">
        <f t="shared" si="18"/>
        <v>-4.6403712296984034E-3</v>
      </c>
      <c r="L76" s="1934">
        <f>DataUK1!EI64/DataUK1!$G64</f>
        <v>0.27888631090487237</v>
      </c>
      <c r="M76" s="1934">
        <f>DataUK1!EJ64/DataUK1!$G64</f>
        <v>0.28352668213457077</v>
      </c>
      <c r="N76" s="203">
        <f>DataUK1!C64/DataUK1!$G64</f>
        <v>6.2180974477958235E-2</v>
      </c>
      <c r="O76" s="1935">
        <f>DataUK1!HN64/DataUK1!$G64</f>
        <v>0</v>
      </c>
      <c r="S76" s="564">
        <f t="shared" si="13"/>
        <v>1</v>
      </c>
      <c r="T76" s="1244">
        <f t="shared" si="19"/>
        <v>0</v>
      </c>
      <c r="V76" s="233"/>
    </row>
    <row r="77" spans="1:22">
      <c r="A77" s="198">
        <f t="shared" si="14"/>
        <v>1907</v>
      </c>
      <c r="B77" s="192">
        <f t="shared" si="15"/>
        <v>0.87448360727784136</v>
      </c>
      <c r="C77" s="202">
        <f>DataUK1!DU65/DataUK1!$G65</f>
        <v>0.80045999238229182</v>
      </c>
      <c r="D77" s="308">
        <f>DataUK1!DT65/DataUK1!$G65</f>
        <v>7.4023614895549497E-2</v>
      </c>
      <c r="E77" s="307">
        <f t="shared" si="16"/>
        <v>0.12551639272215862</v>
      </c>
      <c r="F77" s="308">
        <f>(DataUK1!DW65-DataUK1!F65)/DataUK1!$G65</f>
        <v>5.0130380006445659E-2</v>
      </c>
      <c r="G77" s="394">
        <f t="shared" si="17"/>
        <v>7.5386012715712963E-2</v>
      </c>
      <c r="H77" s="1926">
        <f t="shared" si="11"/>
        <v>0.17002138818083254</v>
      </c>
      <c r="I77" s="308">
        <f t="shared" si="12"/>
        <v>9.4635375465119589E-2</v>
      </c>
      <c r="J77" s="394">
        <f>(DataUK1!F65)/DataUK1!$G65</f>
        <v>4.4504995458673931E-2</v>
      </c>
      <c r="K77" s="1398">
        <f t="shared" si="18"/>
        <v>9.9909173478655577E-3</v>
      </c>
      <c r="L77" s="1934">
        <f>DataUK1!EI65/DataUK1!$G65</f>
        <v>0.30472297910990009</v>
      </c>
      <c r="M77" s="1934">
        <f>DataUK1!EJ65/DataUK1!$G65</f>
        <v>0.29473206176203454</v>
      </c>
      <c r="N77" s="203">
        <f>DataUK1!C65/DataUK1!$G65</f>
        <v>6.5395095367847406E-2</v>
      </c>
      <c r="O77" s="1935">
        <f>DataUK1!HN65/DataUK1!$G65</f>
        <v>0</v>
      </c>
      <c r="S77" s="564">
        <f t="shared" si="13"/>
        <v>1</v>
      </c>
      <c r="T77" s="1244">
        <f t="shared" si="19"/>
        <v>0</v>
      </c>
      <c r="V77" s="233"/>
    </row>
    <row r="78" spans="1:22">
      <c r="A78" s="198">
        <f t="shared" si="14"/>
        <v>1908</v>
      </c>
      <c r="B78" s="192">
        <f t="shared" si="15"/>
        <v>0.90900896813514209</v>
      </c>
      <c r="C78" s="202">
        <f>DataUK1!DU66/DataUK1!$G66</f>
        <v>0.83071548477836765</v>
      </c>
      <c r="D78" s="308">
        <f>DataUK1!DT66/DataUK1!$G66</f>
        <v>7.8293483356774496E-2</v>
      </c>
      <c r="E78" s="307">
        <f t="shared" si="16"/>
        <v>9.0991031864857796E-2</v>
      </c>
      <c r="F78" s="308">
        <f>(DataUK1!DW66-DataUK1!F66)/DataUK1!$G66</f>
        <v>1.9729897312584035E-2</v>
      </c>
      <c r="G78" s="394">
        <f t="shared" si="17"/>
        <v>7.1261134552273758E-2</v>
      </c>
      <c r="H78" s="1926">
        <f t="shared" si="11"/>
        <v>0.13646688746729568</v>
      </c>
      <c r="I78" s="308">
        <f t="shared" si="12"/>
        <v>6.5205752915021911E-2</v>
      </c>
      <c r="J78" s="394">
        <f>(DataUK1!F66)/DataUK1!$G66</f>
        <v>4.547585560243788E-2</v>
      </c>
      <c r="K78" s="1398">
        <f t="shared" si="18"/>
        <v>4.6882325363334365E-4</v>
      </c>
      <c r="L78" s="1934">
        <f>DataUK1!EI66/DataUK1!$G66</f>
        <v>0.27988748241912798</v>
      </c>
      <c r="M78" s="1934">
        <f>DataUK1!EJ66/DataUK1!$G66</f>
        <v>0.27941865916549463</v>
      </c>
      <c r="N78" s="203">
        <f>DataUK1!C66/DataUK1!$G66</f>
        <v>7.0792311298640415E-2</v>
      </c>
      <c r="O78" s="1935">
        <f>DataUK1!HN66/DataUK1!$G66</f>
        <v>0</v>
      </c>
      <c r="S78" s="564">
        <f t="shared" si="13"/>
        <v>0.99999999999999989</v>
      </c>
      <c r="T78" s="1244">
        <f t="shared" si="19"/>
        <v>0</v>
      </c>
      <c r="V78" s="233"/>
    </row>
    <row r="79" spans="1:22">
      <c r="A79" s="198">
        <f t="shared" si="14"/>
        <v>1909</v>
      </c>
      <c r="B79" s="192">
        <f t="shared" si="15"/>
        <v>0.89012938352555482</v>
      </c>
      <c r="C79" s="202">
        <f>DataUK1!DU67/DataUK1!$G67</f>
        <v>0.81163573561266911</v>
      </c>
      <c r="D79" s="308">
        <f>DataUK1!DT67/DataUK1!$G67</f>
        <v>7.8493647912885656E-2</v>
      </c>
      <c r="E79" s="307">
        <f t="shared" si="16"/>
        <v>0.1098706164744452</v>
      </c>
      <c r="F79" s="308">
        <f>(DataUK1!DW67-DataUK1!F67)/DataUK1!$G67</f>
        <v>4.4081142790234673E-2</v>
      </c>
      <c r="G79" s="394">
        <f t="shared" si="17"/>
        <v>6.5789473684210523E-2</v>
      </c>
      <c r="H79" s="1926">
        <f t="shared" si="11"/>
        <v>0.1538815057666412</v>
      </c>
      <c r="I79" s="308">
        <f t="shared" si="12"/>
        <v>8.8092032082430688E-2</v>
      </c>
      <c r="J79" s="394">
        <f>(DataUK1!F67)/DataUK1!$G67</f>
        <v>4.4010889292196008E-2</v>
      </c>
      <c r="K79" s="1398">
        <f t="shared" si="18"/>
        <v>-5.8983666061706019E-3</v>
      </c>
      <c r="L79" s="1934">
        <f>DataUK1!EI67/DataUK1!$G67</f>
        <v>0.27903811252268601</v>
      </c>
      <c r="M79" s="1934">
        <f>DataUK1!EJ67/DataUK1!$G67</f>
        <v>0.28493647912885661</v>
      </c>
      <c r="N79" s="203">
        <f>DataUK1!C67/DataUK1!$G67</f>
        <v>7.1687840290381125E-2</v>
      </c>
      <c r="O79" s="1935">
        <f>DataUK1!HN67/DataUK1!$G67</f>
        <v>0</v>
      </c>
      <c r="S79" s="564">
        <f t="shared" si="13"/>
        <v>1</v>
      </c>
      <c r="T79" s="1244">
        <f t="shared" si="19"/>
        <v>0</v>
      </c>
      <c r="V79" s="233"/>
    </row>
    <row r="80" spans="1:22">
      <c r="A80" s="199">
        <f t="shared" si="14"/>
        <v>1910</v>
      </c>
      <c r="B80" s="194">
        <f t="shared" si="15"/>
        <v>0.87528749317159948</v>
      </c>
      <c r="C80" s="237">
        <f>DataUK1!DU68/DataUK1!$G68</f>
        <v>0.79626013754849922</v>
      </c>
      <c r="D80" s="551">
        <f>DataUK1!DT68/DataUK1!$G68</f>
        <v>7.9027355623100301E-2</v>
      </c>
      <c r="E80" s="569">
        <f t="shared" si="16"/>
        <v>0.12471250682840049</v>
      </c>
      <c r="F80" s="551">
        <f>(DataUK1!DW68-DataUK1!F68)/DataUK1!$G68</f>
        <v>4.7422016164049598E-2</v>
      </c>
      <c r="G80" s="554">
        <f t="shared" si="17"/>
        <v>7.7290490664350883E-2</v>
      </c>
      <c r="H80" s="1928">
        <f t="shared" si="11"/>
        <v>0.1681341307971369</v>
      </c>
      <c r="I80" s="551">
        <f t="shared" si="12"/>
        <v>9.0843640132786035E-2</v>
      </c>
      <c r="J80" s="554">
        <f>(DataUK1!F68)/DataUK1!$G68</f>
        <v>4.3421623968736431E-2</v>
      </c>
      <c r="K80" s="1941">
        <f t="shared" si="18"/>
        <v>3.4737299174989467E-3</v>
      </c>
      <c r="L80" s="1936">
        <f>DataUK1!EI68/DataUK1!$G68</f>
        <v>0.30004342162396874</v>
      </c>
      <c r="M80" s="1936">
        <f>DataUK1!EJ68/DataUK1!$G68</f>
        <v>0.2965696917064698</v>
      </c>
      <c r="N80" s="212">
        <f>DataUK1!C68/DataUK1!$G68</f>
        <v>7.3816760746851937E-2</v>
      </c>
      <c r="O80" s="1937">
        <f>DataUK1!HN68/DataUK1!$G68</f>
        <v>0</v>
      </c>
      <c r="S80" s="564">
        <f t="shared" si="13"/>
        <v>1</v>
      </c>
      <c r="T80" s="1244">
        <f t="shared" si="19"/>
        <v>0</v>
      </c>
      <c r="V80" s="233"/>
    </row>
    <row r="81" spans="1:22">
      <c r="A81" s="198">
        <f t="shared" si="14"/>
        <v>1911</v>
      </c>
      <c r="B81" s="192">
        <f t="shared" si="15"/>
        <v>0.87124308273721163</v>
      </c>
      <c r="C81" s="202">
        <f>DataUK1!DU69/DataUK1!$G69</f>
        <v>0.79258199487110281</v>
      </c>
      <c r="D81" s="308">
        <f>DataUK1!DT69/DataUK1!$G69</f>
        <v>7.8661087866108786E-2</v>
      </c>
      <c r="E81" s="307">
        <f t="shared" si="16"/>
        <v>0.12875691726278837</v>
      </c>
      <c r="F81" s="308">
        <f>(DataUK1!DW69-DataUK1!F69)/DataUK1!$G69</f>
        <v>4.2146038601700533E-2</v>
      </c>
      <c r="G81" s="394">
        <f t="shared" si="17"/>
        <v>8.661087866108784E-2</v>
      </c>
      <c r="H81" s="1926">
        <f t="shared" si="11"/>
        <v>0.17185315157241179</v>
      </c>
      <c r="I81" s="308">
        <f t="shared" si="12"/>
        <v>8.5242272911323969E-2</v>
      </c>
      <c r="J81" s="394">
        <f>(DataUK1!F69)/DataUK1!$G69</f>
        <v>4.3096234309623428E-2</v>
      </c>
      <c r="K81" s="1398">
        <f t="shared" si="18"/>
        <v>1.2552301255230103E-2</v>
      </c>
      <c r="L81" s="1934">
        <f>DataUK1!EI69/DataUK1!$G69</f>
        <v>0.29916317991631797</v>
      </c>
      <c r="M81" s="1934">
        <f>DataUK1!EJ69/DataUK1!$G69</f>
        <v>0.28661087866108786</v>
      </c>
      <c r="N81" s="203">
        <f>DataUK1!C69/DataUK1!$G69</f>
        <v>7.4058577405857737E-2</v>
      </c>
      <c r="O81" s="1935">
        <f>DataUK1!HN69/DataUK1!$G69</f>
        <v>0</v>
      </c>
      <c r="S81" s="564">
        <f t="shared" si="13"/>
        <v>1</v>
      </c>
      <c r="T81" s="1244">
        <f t="shared" si="19"/>
        <v>0</v>
      </c>
      <c r="V81" s="233"/>
    </row>
    <row r="82" spans="1:22">
      <c r="A82" s="198">
        <f t="shared" si="14"/>
        <v>1912</v>
      </c>
      <c r="B82" s="192">
        <f t="shared" si="15"/>
        <v>0.87952171342224572</v>
      </c>
      <c r="C82" s="202">
        <f>DataUK1!DU70/DataUK1!$G70</f>
        <v>0.79968464621246971</v>
      </c>
      <c r="D82" s="308">
        <f>DataUK1!DT70/DataUK1!$G70</f>
        <v>7.9837067209775972E-2</v>
      </c>
      <c r="E82" s="307">
        <f t="shared" si="16"/>
        <v>0.12047828657775433</v>
      </c>
      <c r="F82" s="308">
        <f>(DataUK1!DW70-DataUK1!F70)/DataUK1!$G70</f>
        <v>3.6160567636817451E-2</v>
      </c>
      <c r="G82" s="394">
        <f t="shared" si="17"/>
        <v>8.4317718940936884E-2</v>
      </c>
      <c r="H82" s="1926">
        <f t="shared" si="11"/>
        <v>0.16528480388936329</v>
      </c>
      <c r="I82" s="308">
        <f t="shared" si="12"/>
        <v>8.0967084948426415E-2</v>
      </c>
      <c r="J82" s="394">
        <f>(DataUK1!F70)/DataUK1!$G70</f>
        <v>4.4806517311608958E-2</v>
      </c>
      <c r="K82" s="1398">
        <f t="shared" si="18"/>
        <v>8.1466395112016476E-3</v>
      </c>
      <c r="L82" s="1934">
        <f>DataUK1!EI70/DataUK1!$G70</f>
        <v>0.31283095723014259</v>
      </c>
      <c r="M82" s="1934">
        <f>DataUK1!EJ70/DataUK1!$G70</f>
        <v>0.30468431771894094</v>
      </c>
      <c r="N82" s="203">
        <f>DataUK1!C70/DataUK1!$G70</f>
        <v>7.6171079429735236E-2</v>
      </c>
      <c r="O82" s="1935">
        <f>DataUK1!HN70/DataUK1!$G70</f>
        <v>0</v>
      </c>
      <c r="S82" s="564">
        <f t="shared" si="13"/>
        <v>1</v>
      </c>
      <c r="T82" s="1244">
        <f t="shared" si="19"/>
        <v>0</v>
      </c>
      <c r="V82" s="233"/>
    </row>
    <row r="83" spans="1:22">
      <c r="A83" s="198">
        <f t="shared" si="14"/>
        <v>1913</v>
      </c>
      <c r="B83" s="192">
        <f t="shared" si="15"/>
        <v>0.85464647592117204</v>
      </c>
      <c r="C83" s="202">
        <f>DataUK1!DU71/DataUK1!$G71</f>
        <v>0.77659957088464759</v>
      </c>
      <c r="D83" s="308">
        <f>DataUK1!DT71/DataUK1!$G71</f>
        <v>7.8046905036524422E-2</v>
      </c>
      <c r="E83" s="307">
        <f t="shared" si="16"/>
        <v>0.14535352407882812</v>
      </c>
      <c r="F83" s="308">
        <f>(DataUK1!DW71-DataUK1!F71)/DataUK1!$G71</f>
        <v>5.3465788592476728E-2</v>
      </c>
      <c r="G83" s="394">
        <f t="shared" si="17"/>
        <v>9.1887735486351402E-2</v>
      </c>
      <c r="H83" s="1926">
        <f t="shared" si="11"/>
        <v>0.18995175552827065</v>
      </c>
      <c r="I83" s="308">
        <f t="shared" si="12"/>
        <v>9.8064020041919248E-2</v>
      </c>
      <c r="J83" s="394">
        <f>(DataUK1!F71)/DataUK1!$G71</f>
        <v>4.4598231449442527E-2</v>
      </c>
      <c r="K83" s="1398">
        <f t="shared" si="18"/>
        <v>1.4994232987312561E-2</v>
      </c>
      <c r="L83" s="1934">
        <f>DataUK1!EI71/DataUK1!$G71</f>
        <v>0.31372549019607848</v>
      </c>
      <c r="M83" s="1934">
        <f>DataUK1!EJ71/DataUK1!$G71</f>
        <v>0.29873125720876592</v>
      </c>
      <c r="N83" s="203">
        <f>DataUK1!C71/DataUK1!$G71</f>
        <v>7.689350249903884E-2</v>
      </c>
      <c r="O83" s="1935">
        <f>DataUK1!HN71/DataUK1!$G71</f>
        <v>0</v>
      </c>
      <c r="S83" s="564">
        <f t="shared" si="13"/>
        <v>1.0000000000000002</v>
      </c>
      <c r="T83" s="1244">
        <f t="shared" si="19"/>
        <v>0</v>
      </c>
      <c r="V83" s="233"/>
    </row>
    <row r="84" spans="1:22">
      <c r="A84" s="198">
        <f t="shared" si="14"/>
        <v>1914</v>
      </c>
      <c r="B84" s="192">
        <f t="shared" si="15"/>
        <v>0.89386888023871225</v>
      </c>
      <c r="C84" s="202">
        <f>DataUK1!DU72/DataUK1!$G72</f>
        <v>0.7705342780308706</v>
      </c>
      <c r="D84" s="308">
        <f>DataUK1!DT72/DataUK1!$G72</f>
        <v>0.12333460220784165</v>
      </c>
      <c r="E84" s="307">
        <f t="shared" si="16"/>
        <v>0.10613111976128772</v>
      </c>
      <c r="F84" s="308">
        <f>(DataUK1!DW72-DataUK1!F72)/DataUK1!$G72</f>
        <v>5.4741702174687053E-2</v>
      </c>
      <c r="G84" s="394">
        <f t="shared" si="17"/>
        <v>5.1389417586600664E-2</v>
      </c>
      <c r="H84" s="1926">
        <f t="shared" si="11"/>
        <v>0.15028795265051498</v>
      </c>
      <c r="I84" s="308">
        <f t="shared" si="12"/>
        <v>9.88985350639143E-2</v>
      </c>
      <c r="J84" s="394">
        <f>(DataUK1!F72)/DataUK1!$G72</f>
        <v>4.4156832889227254E-2</v>
      </c>
      <c r="K84" s="1398">
        <f t="shared" si="18"/>
        <v>-2.0936429387133637E-2</v>
      </c>
      <c r="L84" s="1934">
        <f>DataUK1!EI72/DataUK1!$G72</f>
        <v>0.2607537114579368</v>
      </c>
      <c r="M84" s="1934">
        <f>DataUK1!EJ72/DataUK1!$G72</f>
        <v>0.28169014084507044</v>
      </c>
      <c r="N84" s="203">
        <f>DataUK1!C72/DataUK1!$G72</f>
        <v>7.2325846973734301E-2</v>
      </c>
      <c r="O84" s="1935">
        <f>DataUK1!HN72/DataUK1!$G72</f>
        <v>0</v>
      </c>
      <c r="S84" s="564">
        <f t="shared" si="13"/>
        <v>1</v>
      </c>
      <c r="T84" s="1244">
        <f t="shared" si="19"/>
        <v>0</v>
      </c>
      <c r="V84" s="233"/>
    </row>
    <row r="85" spans="1:22">
      <c r="A85" s="198">
        <f t="shared" si="14"/>
        <v>1915</v>
      </c>
      <c r="B85" s="192">
        <f t="shared" si="15"/>
        <v>1.0775014103287348</v>
      </c>
      <c r="C85" s="202">
        <f>DataUK1!DU73/DataUK1!$G73</f>
        <v>0.74522796040822614</v>
      </c>
      <c r="D85" s="308">
        <f>DataUK1!DT73/DataUK1!$G73</f>
        <v>0.33227344992050872</v>
      </c>
      <c r="E85" s="307">
        <f t="shared" si="16"/>
        <v>-7.7501410328734865E-2</v>
      </c>
      <c r="F85" s="308">
        <f>(DataUK1!DW73-DataUK1!F73)/DataUK1!$G73</f>
        <v>-6.0013334017129168E-2</v>
      </c>
      <c r="G85" s="394">
        <f t="shared" si="17"/>
        <v>-1.7488076311605705E-2</v>
      </c>
      <c r="H85" s="1926">
        <f t="shared" si="11"/>
        <v>-2.6944971537001955E-2</v>
      </c>
      <c r="I85" s="308">
        <f t="shared" si="12"/>
        <v>-9.4568952253962571E-3</v>
      </c>
      <c r="J85" s="394">
        <f>(DataUK1!F73)/DataUK1!$G73</f>
        <v>5.0556438791732911E-2</v>
      </c>
      <c r="K85" s="1398">
        <f t="shared" si="18"/>
        <v>-6.9952305246422875E-2</v>
      </c>
      <c r="L85" s="1934">
        <f>DataUK1!EI73/DataUK1!$G73</f>
        <v>0.23847376788553259</v>
      </c>
      <c r="M85" s="1934">
        <f>DataUK1!EJ73/DataUK1!$G73</f>
        <v>0.30842607313195547</v>
      </c>
      <c r="N85" s="203">
        <f>DataUK1!C73/DataUK1!$G73</f>
        <v>5.246422893481717E-2</v>
      </c>
      <c r="O85" s="1935">
        <f>DataUK1!HN73/DataUK1!$G73</f>
        <v>0</v>
      </c>
      <c r="S85" s="564">
        <f t="shared" si="13"/>
        <v>1</v>
      </c>
      <c r="T85" s="1244">
        <f t="shared" si="19"/>
        <v>0</v>
      </c>
      <c r="V85" s="233"/>
    </row>
    <row r="86" spans="1:22">
      <c r="A86" s="198">
        <f t="shared" si="14"/>
        <v>1916</v>
      </c>
      <c r="B86" s="192">
        <f t="shared" si="15"/>
        <v>1.0780018294815572</v>
      </c>
      <c r="C86" s="202">
        <f>DataUK1!DU74/DataUK1!$G74</f>
        <v>0.70769323898948056</v>
      </c>
      <c r="D86" s="308">
        <f>DataUK1!DT74/DataUK1!$G74</f>
        <v>0.37030859049207671</v>
      </c>
      <c r="E86" s="307">
        <f t="shared" si="16"/>
        <v>-7.8001829481557275E-2</v>
      </c>
      <c r="F86" s="308">
        <f>(DataUK1!DW74-DataUK1!F74)/DataUK1!$G74</f>
        <v>-9.468239662084002E-2</v>
      </c>
      <c r="G86" s="394">
        <f t="shared" si="17"/>
        <v>1.6680567139282745E-2</v>
      </c>
      <c r="H86" s="1926">
        <f t="shared" si="11"/>
        <v>-2.4902024088173901E-2</v>
      </c>
      <c r="I86" s="308">
        <f t="shared" si="12"/>
        <v>-4.1582591227456646E-2</v>
      </c>
      <c r="J86" s="394">
        <f>(DataUK1!F74)/DataUK1!$G74</f>
        <v>5.3099805393383374E-2</v>
      </c>
      <c r="K86" s="1398">
        <f t="shared" si="18"/>
        <v>-3.892132332499304E-2</v>
      </c>
      <c r="L86" s="1934">
        <f>DataUK1!EI74/DataUK1!$G74</f>
        <v>0.27800945232137891</v>
      </c>
      <c r="M86" s="1934">
        <f>DataUK1!EJ74/DataUK1!$G74</f>
        <v>0.31693077564637195</v>
      </c>
      <c r="N86" s="203">
        <f>DataUK1!C74/DataUK1!$G74</f>
        <v>5.5601890464275786E-2</v>
      </c>
      <c r="O86" s="1935">
        <f>DataUK1!HN74/DataUK1!$G74</f>
        <v>0</v>
      </c>
      <c r="S86" s="564">
        <f t="shared" si="13"/>
        <v>0.99999999999999989</v>
      </c>
      <c r="T86" s="1244">
        <f t="shared" si="19"/>
        <v>0</v>
      </c>
      <c r="V86" s="233"/>
    </row>
    <row r="87" spans="1:22">
      <c r="A87" s="198">
        <f t="shared" si="14"/>
        <v>1917</v>
      </c>
      <c r="B87" s="192">
        <f t="shared" si="15"/>
        <v>1.0256818035288302</v>
      </c>
      <c r="C87" s="202">
        <f>DataUK1!DU75/DataUK1!$G75</f>
        <v>0.651486822405135</v>
      </c>
      <c r="D87" s="308">
        <f>DataUK1!DT75/DataUK1!$G75</f>
        <v>0.37419498112369531</v>
      </c>
      <c r="E87" s="307">
        <f t="shared" si="16"/>
        <v>-2.568180352883033E-2</v>
      </c>
      <c r="F87" s="308">
        <f>(DataUK1!DW75-DataUK1!F75)/DataUK1!$G75</f>
        <v>-3.0123286984304443E-2</v>
      </c>
      <c r="G87" s="394">
        <f t="shared" si="17"/>
        <v>4.4414834554741128E-3</v>
      </c>
      <c r="H87" s="1926">
        <f t="shared" si="11"/>
        <v>2.517318203634844E-2</v>
      </c>
      <c r="I87" s="308">
        <f t="shared" si="12"/>
        <v>2.0731698580874328E-2</v>
      </c>
      <c r="J87" s="394">
        <f>(DataUK1!F75)/DataUK1!$G75</f>
        <v>5.085498556517877E-2</v>
      </c>
      <c r="K87" s="1398">
        <f t="shared" si="18"/>
        <v>-3.8862980235398636E-2</v>
      </c>
      <c r="L87" s="1934">
        <f>DataUK1!EI75/DataUK1!$G75</f>
        <v>0.24095047745947146</v>
      </c>
      <c r="M87" s="1934">
        <f>DataUK1!EJ75/DataUK1!$G75</f>
        <v>0.27981345769487009</v>
      </c>
      <c r="N87" s="203">
        <f>DataUK1!C75/DataUK1!$G75</f>
        <v>4.3304463690872749E-2</v>
      </c>
      <c r="O87" s="1935">
        <f>DataUK1!HN75/DataUK1!$G75</f>
        <v>0</v>
      </c>
      <c r="S87" s="564">
        <f t="shared" si="13"/>
        <v>0.99999999999999989</v>
      </c>
      <c r="T87" s="1244">
        <f t="shared" si="19"/>
        <v>0</v>
      </c>
      <c r="V87" s="233"/>
    </row>
    <row r="88" spans="1:22">
      <c r="A88" s="198">
        <f>A89-1</f>
        <v>1918</v>
      </c>
      <c r="B88" s="192">
        <f t="shared" si="15"/>
        <v>1.0463564159375118</v>
      </c>
      <c r="C88" s="202">
        <f>DataUK1!DU76/DataUK1!$G76</f>
        <v>0.68896409929024749</v>
      </c>
      <c r="D88" s="308">
        <f>DataUK1!DT76/DataUK1!$G76</f>
        <v>0.35739231664726429</v>
      </c>
      <c r="E88" s="307">
        <f t="shared" si="16"/>
        <v>-4.635641593751183E-2</v>
      </c>
      <c r="F88" s="308">
        <f>(DataUK1!DW76-DataUK1!F76)/DataUK1!$G76</f>
        <v>8.9404408727326544E-3</v>
      </c>
      <c r="G88" s="394">
        <f t="shared" si="17"/>
        <v>-5.5296856810244481E-2</v>
      </c>
      <c r="H88" s="1926">
        <f t="shared" si="11"/>
        <v>4.8659356340830448E-3</v>
      </c>
      <c r="I88" s="308">
        <f t="shared" si="12"/>
        <v>6.0162792444327526E-2</v>
      </c>
      <c r="J88" s="394">
        <f>(DataUK1!F76)/DataUK1!$G76</f>
        <v>5.1222351571594875E-2</v>
      </c>
      <c r="K88" s="1398">
        <f t="shared" si="18"/>
        <v>-8.9251067132324419E-2</v>
      </c>
      <c r="L88" s="1934">
        <f>DataUK1!EI76/DataUK1!$G76</f>
        <v>0.18238261544431508</v>
      </c>
      <c r="M88" s="1934">
        <f>DataUK1!EJ76/DataUK1!$G76</f>
        <v>0.2716336825766395</v>
      </c>
      <c r="N88" s="203">
        <f>DataUK1!C76/DataUK1!$G76</f>
        <v>3.3954210322079938E-2</v>
      </c>
      <c r="O88" s="1935">
        <f>DataUK1!HN76/DataUK1!$G76</f>
        <v>0</v>
      </c>
      <c r="S88" s="564">
        <f t="shared" si="13"/>
        <v>1</v>
      </c>
      <c r="T88" s="1244">
        <f t="shared" si="19"/>
        <v>0</v>
      </c>
      <c r="V88" s="233"/>
    </row>
    <row r="89" spans="1:22">
      <c r="A89" s="198">
        <v>1919</v>
      </c>
      <c r="B89" s="192">
        <f t="shared" si="15"/>
        <v>0.99474603457494215</v>
      </c>
      <c r="C89" s="202">
        <f>DataUK1!DU77/DataUK1!$G77</f>
        <v>0.8225545060298225</v>
      </c>
      <c r="D89" s="308">
        <f>DataUK1!DT77/DataUK1!$G77</f>
        <v>0.17219152854511971</v>
      </c>
      <c r="E89" s="307">
        <f t="shared" si="16"/>
        <v>5.2539654250578095E-3</v>
      </c>
      <c r="F89" s="308">
        <f>(DataUK1!DW77-DataUK1!F77)/DataUK1!$G77</f>
        <v>1.3541258242737381E-2</v>
      </c>
      <c r="G89" s="394">
        <f t="shared" si="17"/>
        <v>-8.2872928176795715E-3</v>
      </c>
      <c r="H89" s="1926">
        <f t="shared" si="11"/>
        <v>6.4369987524505332E-2</v>
      </c>
      <c r="I89" s="308">
        <f t="shared" si="12"/>
        <v>7.2657280342184896E-2</v>
      </c>
      <c r="J89" s="394">
        <f>(DataUK1!F77)/DataUK1!$G77</f>
        <v>5.9116022099447517E-2</v>
      </c>
      <c r="K89" s="1398">
        <f t="shared" si="18"/>
        <v>-3.8674033149171283E-2</v>
      </c>
      <c r="L89" s="1934">
        <f>DataUK1!EI77/DataUK1!$G77</f>
        <v>0.27071823204419887</v>
      </c>
      <c r="M89" s="1934">
        <f>DataUK1!EJ77/DataUK1!$G77</f>
        <v>0.30939226519337015</v>
      </c>
      <c r="N89" s="203">
        <f>DataUK1!C77/DataUK1!$G77</f>
        <v>3.0386740331491711E-2</v>
      </c>
      <c r="O89" s="1935">
        <f>DataUK1!HN77/DataUK1!$G77</f>
        <v>0</v>
      </c>
      <c r="S89" s="564">
        <f t="shared" si="13"/>
        <v>1</v>
      </c>
      <c r="T89" s="1244">
        <f t="shared" si="19"/>
        <v>0</v>
      </c>
      <c r="V89" s="233"/>
    </row>
    <row r="90" spans="1:22">
      <c r="A90" s="199" t="s">
        <v>651</v>
      </c>
      <c r="B90" s="194">
        <f t="shared" si="15"/>
        <v>0.93136399873728626</v>
      </c>
      <c r="C90" s="237">
        <f>DataUK1!DU78/DataUK1!$G78</f>
        <v>0.84511420606851861</v>
      </c>
      <c r="D90" s="551">
        <f>DataUK1!DT78/DataUK1!$G78</f>
        <v>8.6249792668767616E-2</v>
      </c>
      <c r="E90" s="569">
        <f t="shared" si="16"/>
        <v>6.8636001262713908E-2</v>
      </c>
      <c r="F90" s="551">
        <f>(DataUK1!DW78-DataUK1!F78)/DataUK1!$G78</f>
        <v>1.589093574604444E-2</v>
      </c>
      <c r="G90" s="554">
        <f t="shared" si="17"/>
        <v>5.2745065516669465E-2</v>
      </c>
      <c r="H90" s="1928">
        <f t="shared" ref="H90:H153" si="20">E90+J90</f>
        <v>0.14410456984788558</v>
      </c>
      <c r="I90" s="551">
        <f t="shared" ref="I90:I153" si="21">F90+J90</f>
        <v>9.1359504331216118E-2</v>
      </c>
      <c r="J90" s="554">
        <f>(DataUK1!F78)/DataUK1!$G78</f>
        <v>7.5468568585171675E-2</v>
      </c>
      <c r="K90" s="1941">
        <f t="shared" si="18"/>
        <v>1.061535909769451E-2</v>
      </c>
      <c r="L90" s="1936">
        <f>DataUK1!EI78/DataUK1!$G78</f>
        <v>0.33985735611212475</v>
      </c>
      <c r="M90" s="1936">
        <f>DataUK1!EJ78/DataUK1!$G78</f>
        <v>0.32924199701443024</v>
      </c>
      <c r="N90" s="212">
        <f>DataUK1!C78/DataUK1!$G78</f>
        <v>4.2129706418974955E-2</v>
      </c>
      <c r="O90" s="1937">
        <f>DataUK1!HN78/DataUK1!$G78</f>
        <v>0</v>
      </c>
      <c r="S90" s="564">
        <f t="shared" ref="S90:S153" si="22">B90+E90-O90</f>
        <v>1.0000000000000002</v>
      </c>
      <c r="T90" s="1244">
        <f t="shared" si="19"/>
        <v>0</v>
      </c>
      <c r="V90" s="233"/>
    </row>
    <row r="91" spans="1:22">
      <c r="A91" s="198" t="s">
        <v>652</v>
      </c>
      <c r="B91" s="192">
        <f t="shared" si="15"/>
        <v>0.92584153288451576</v>
      </c>
      <c r="C91" s="202">
        <f>DataUK1!DU79/DataUK1!$G79</f>
        <v>0.84160193336785771</v>
      </c>
      <c r="D91" s="308">
        <f>DataUK1!DT79/DataUK1!$G79</f>
        <v>8.4239599516658034E-2</v>
      </c>
      <c r="E91" s="307">
        <f t="shared" si="16"/>
        <v>7.4158467115484239E-2</v>
      </c>
      <c r="F91" s="308">
        <f>(DataUK1!DW79-DataUK1!F79)/DataUK1!$G79</f>
        <v>1.5812187122389094E-2</v>
      </c>
      <c r="G91" s="394">
        <f t="shared" si="17"/>
        <v>5.8346279993095149E-2</v>
      </c>
      <c r="H91" s="1926">
        <f t="shared" si="20"/>
        <v>0.14924909373381673</v>
      </c>
      <c r="I91" s="308">
        <f t="shared" si="21"/>
        <v>9.0902813740721566E-2</v>
      </c>
      <c r="J91" s="394">
        <f>(DataUK1!F79)/DataUK1!$G79</f>
        <v>7.5090626618332476E-2</v>
      </c>
      <c r="K91" s="1398">
        <f t="shared" si="18"/>
        <v>1.5881235974451957E-2</v>
      </c>
      <c r="L91" s="1934">
        <f>DataUK1!EI79/DataUK1!$G79</f>
        <v>0.36733989297427933</v>
      </c>
      <c r="M91" s="1934">
        <f>DataUK1!EJ79/DataUK1!$G79</f>
        <v>0.35145865699982737</v>
      </c>
      <c r="N91" s="203">
        <f>DataUK1!C79/DataUK1!$G79</f>
        <v>4.2465044018643192E-2</v>
      </c>
      <c r="O91" s="1935">
        <f>DataUK1!HN79/DataUK1!$G79</f>
        <v>0</v>
      </c>
      <c r="S91" s="564">
        <f t="shared" si="22"/>
        <v>1</v>
      </c>
      <c r="T91" s="1244">
        <f t="shared" si="19"/>
        <v>0</v>
      </c>
      <c r="V91" s="233"/>
    </row>
    <row r="92" spans="1:22">
      <c r="A92" s="198">
        <v>1921</v>
      </c>
      <c r="B92" s="192">
        <f t="shared" si="15"/>
        <v>0.94084677419354845</v>
      </c>
      <c r="C92" s="202">
        <f>DataUK1!DU80/DataUK1!$G80</f>
        <v>0.84225806451612906</v>
      </c>
      <c r="D92" s="308">
        <f>DataUK1!DT80/DataUK1!$G80</f>
        <v>9.8588709677419353E-2</v>
      </c>
      <c r="E92" s="307">
        <f t="shared" si="16"/>
        <v>5.9153225806451611E-2</v>
      </c>
      <c r="F92" s="308">
        <f>(DataUK1!DW80-DataUK1!F80)/DataUK1!$G80</f>
        <v>2.8911290322580642E-2</v>
      </c>
      <c r="G92" s="394">
        <f t="shared" si="17"/>
        <v>3.0241935483870969E-2</v>
      </c>
      <c r="H92" s="1926">
        <f t="shared" si="20"/>
        <v>0.13012096774193549</v>
      </c>
      <c r="I92" s="308">
        <f t="shared" si="21"/>
        <v>9.9879032258064521E-2</v>
      </c>
      <c r="J92" s="394">
        <f>(DataUK1!F80)/DataUK1!$G80</f>
        <v>7.0967741935483872E-2</v>
      </c>
      <c r="K92" s="1398">
        <f t="shared" si="18"/>
        <v>-5.6451612903225812E-3</v>
      </c>
      <c r="L92" s="1934">
        <f>DataUK1!EI80/DataUK1!$G80</f>
        <v>0.23508064516129032</v>
      </c>
      <c r="M92" s="1934">
        <f>DataUK1!EJ80/DataUK1!$G80</f>
        <v>0.2407258064516129</v>
      </c>
      <c r="N92" s="203">
        <f>DataUK1!C80/DataUK1!$G80</f>
        <v>3.588709677419355E-2</v>
      </c>
      <c r="O92" s="1935">
        <f>DataUK1!HN80/DataUK1!$G80</f>
        <v>0</v>
      </c>
      <c r="S92" s="564">
        <f t="shared" si="22"/>
        <v>1</v>
      </c>
      <c r="T92" s="1244">
        <f t="shared" si="19"/>
        <v>0</v>
      </c>
      <c r="V92" s="233"/>
    </row>
    <row r="93" spans="1:22">
      <c r="A93" s="198">
        <f t="shared" ref="A93:A119" si="23">A92+1</f>
        <v>1922</v>
      </c>
      <c r="B93" s="192">
        <f t="shared" si="15"/>
        <v>0.93712291760468247</v>
      </c>
      <c r="C93" s="202">
        <f>DataUK1!DU81/DataUK1!$G81</f>
        <v>0.83919405673120206</v>
      </c>
      <c r="D93" s="308">
        <f>DataUK1!DT81/DataUK1!$G81</f>
        <v>9.7928860873480419E-2</v>
      </c>
      <c r="E93" s="307">
        <f t="shared" si="16"/>
        <v>6.2877082395317446E-2</v>
      </c>
      <c r="F93" s="308">
        <f>(DataUK1!DW81-DataUK1!F81)/DataUK1!$G81</f>
        <v>2.0328680774425938E-2</v>
      </c>
      <c r="G93" s="394">
        <f t="shared" si="17"/>
        <v>4.2548401620891511E-2</v>
      </c>
      <c r="H93" s="1926">
        <f t="shared" si="20"/>
        <v>0.13356596127870329</v>
      </c>
      <c r="I93" s="308">
        <f t="shared" si="21"/>
        <v>9.1017559657811803E-2</v>
      </c>
      <c r="J93" s="394">
        <f>(DataUK1!F81)/DataUK1!$G81</f>
        <v>7.0688878883385861E-2</v>
      </c>
      <c r="K93" s="1398">
        <f t="shared" si="18"/>
        <v>2.7014858171994782E-3</v>
      </c>
      <c r="L93" s="1934">
        <f>DataUK1!EI81/DataUK1!$G81</f>
        <v>0.2505628095452499</v>
      </c>
      <c r="M93" s="1934">
        <f>DataUK1!EJ81/DataUK1!$G81</f>
        <v>0.24786132372805042</v>
      </c>
      <c r="N93" s="203">
        <f>DataUK1!C81/DataUK1!$G81</f>
        <v>3.9846915803692033E-2</v>
      </c>
      <c r="O93" s="1935">
        <f>DataUK1!HN81/DataUK1!$G81</f>
        <v>0</v>
      </c>
      <c r="S93" s="564">
        <f t="shared" si="22"/>
        <v>0.99999999999999989</v>
      </c>
      <c r="T93" s="1244">
        <f t="shared" si="19"/>
        <v>0</v>
      </c>
      <c r="V93" s="233"/>
    </row>
    <row r="94" spans="1:22">
      <c r="A94" s="198">
        <f t="shared" si="23"/>
        <v>1923</v>
      </c>
      <c r="B94" s="192">
        <f t="shared" si="15"/>
        <v>0.93887198689445361</v>
      </c>
      <c r="C94" s="202">
        <f>DataUK1!DU82/DataUK1!$G82</f>
        <v>0.8464310788673064</v>
      </c>
      <c r="D94" s="308">
        <f>DataUK1!DT82/DataUK1!$G82</f>
        <v>9.2440908027147203E-2</v>
      </c>
      <c r="E94" s="307">
        <f t="shared" si="16"/>
        <v>6.1128013105546414E-2</v>
      </c>
      <c r="F94" s="308">
        <f>(DataUK1!DW82-DataUK1!F82)/DataUK1!$G82</f>
        <v>1.900304235899836E-2</v>
      </c>
      <c r="G94" s="394">
        <f t="shared" si="17"/>
        <v>4.2124970746548057E-2</v>
      </c>
      <c r="H94" s="1926">
        <f t="shared" si="20"/>
        <v>0.12852796630002336</v>
      </c>
      <c r="I94" s="308">
        <f t="shared" si="21"/>
        <v>8.6402995553475304E-2</v>
      </c>
      <c r="J94" s="394">
        <f>(DataUK1!F82)/DataUK1!$G82</f>
        <v>6.7399953194476947E-2</v>
      </c>
      <c r="K94" s="1398">
        <f t="shared" si="18"/>
        <v>9.3611046103436735E-4</v>
      </c>
      <c r="L94" s="1934">
        <f>DataUK1!EI82/DataUK1!$G82</f>
        <v>0.27170606131523517</v>
      </c>
      <c r="M94" s="1934">
        <f>DataUK1!EJ82/DataUK1!$G82</f>
        <v>0.2707699508542008</v>
      </c>
      <c r="N94" s="203">
        <f>DataUK1!C82/DataUK1!$G82</f>
        <v>4.118886028551369E-2</v>
      </c>
      <c r="O94" s="1935">
        <f>DataUK1!HN82/DataUK1!$G82</f>
        <v>0</v>
      </c>
      <c r="S94" s="564">
        <f t="shared" si="22"/>
        <v>1</v>
      </c>
      <c r="T94" s="1244">
        <f t="shared" si="19"/>
        <v>0</v>
      </c>
      <c r="V94" s="233"/>
    </row>
    <row r="95" spans="1:22">
      <c r="A95" s="198">
        <f t="shared" si="23"/>
        <v>1924</v>
      </c>
      <c r="B95" s="192">
        <f t="shared" si="15"/>
        <v>0.93785780240073879</v>
      </c>
      <c r="C95" s="202">
        <f>DataUK1!DU83/DataUK1!$G83</f>
        <v>0.84598337950138514</v>
      </c>
      <c r="D95" s="308">
        <f>DataUK1!DT83/DataUK1!$G83</f>
        <v>9.1874422899353644E-2</v>
      </c>
      <c r="E95" s="307">
        <f t="shared" si="16"/>
        <v>6.2142197599261303E-2</v>
      </c>
      <c r="F95" s="308">
        <f>(DataUK1!DW83-DataUK1!F83)/DataUK1!$G83</f>
        <v>4.5521698984302861E-2</v>
      </c>
      <c r="G95" s="394">
        <f t="shared" si="17"/>
        <v>1.6620498614958443E-2</v>
      </c>
      <c r="H95" s="1926">
        <f t="shared" si="20"/>
        <v>0.12746999076638965</v>
      </c>
      <c r="I95" s="308">
        <f t="shared" si="21"/>
        <v>0.11084949215143121</v>
      </c>
      <c r="J95" s="394">
        <f>(DataUK1!F83)/DataUK1!$G83</f>
        <v>6.5327793167128348E-2</v>
      </c>
      <c r="K95" s="1398">
        <f t="shared" si="18"/>
        <v>-2.862419205909511E-2</v>
      </c>
      <c r="L95" s="1934">
        <f>DataUK1!EI83/DataUK1!$G83</f>
        <v>0.2770083102493075</v>
      </c>
      <c r="M95" s="1934">
        <f>DataUK1!EJ83/DataUK1!$G83</f>
        <v>0.30563250230840261</v>
      </c>
      <c r="N95" s="203">
        <f>DataUK1!C83/DataUK1!$G83</f>
        <v>4.5244690674053553E-2</v>
      </c>
      <c r="O95" s="1935">
        <f>DataUK1!HN83/DataUK1!$G83</f>
        <v>0</v>
      </c>
      <c r="S95" s="564">
        <f t="shared" si="22"/>
        <v>1</v>
      </c>
      <c r="T95" s="1244">
        <f t="shared" si="19"/>
        <v>0</v>
      </c>
      <c r="V95" s="233"/>
    </row>
    <row r="96" spans="1:22">
      <c r="A96" s="198">
        <f t="shared" si="23"/>
        <v>1925</v>
      </c>
      <c r="B96" s="192">
        <f t="shared" si="15"/>
        <v>0.9065969954278249</v>
      </c>
      <c r="C96" s="202">
        <f>DataUK1!DU84/DataUK1!$G84</f>
        <v>0.816895275419116</v>
      </c>
      <c r="D96" s="308">
        <f>DataUK1!DT84/DataUK1!$G84</f>
        <v>8.9701720008708907E-2</v>
      </c>
      <c r="E96" s="307">
        <f t="shared" si="16"/>
        <v>9.3403004572175041E-2</v>
      </c>
      <c r="F96" s="308">
        <f>(DataUK1!DW84-DataUK1!F84)/DataUK1!$G84</f>
        <v>8.6218158066623127E-2</v>
      </c>
      <c r="G96" s="394">
        <f t="shared" si="17"/>
        <v>7.1848465055519145E-3</v>
      </c>
      <c r="H96" s="1926">
        <f t="shared" si="20"/>
        <v>0.15501850642281734</v>
      </c>
      <c r="I96" s="308">
        <f t="shared" si="21"/>
        <v>0.14783365991726541</v>
      </c>
      <c r="J96" s="394">
        <f>(DataUK1!F84)/DataUK1!$G84</f>
        <v>6.1615501850642282E-2</v>
      </c>
      <c r="K96" s="1398">
        <f t="shared" si="18"/>
        <v>-4.3326801654691938E-2</v>
      </c>
      <c r="L96" s="1934">
        <f>DataUK1!EI84/DataUK1!$G84</f>
        <v>0.25212279555845851</v>
      </c>
      <c r="M96" s="1934">
        <f>DataUK1!EJ84/DataUK1!$G84</f>
        <v>0.29544959721315045</v>
      </c>
      <c r="N96" s="203">
        <f>DataUK1!C84/DataUK1!$G84</f>
        <v>5.0511648160243852E-2</v>
      </c>
      <c r="O96" s="1935">
        <f>DataUK1!HN84/DataUK1!$G84</f>
        <v>0</v>
      </c>
      <c r="S96" s="564">
        <f t="shared" si="22"/>
        <v>1</v>
      </c>
      <c r="T96" s="1244">
        <f t="shared" si="19"/>
        <v>0</v>
      </c>
      <c r="V96" s="233"/>
    </row>
    <row r="97" spans="1:22">
      <c r="A97" s="198">
        <f t="shared" si="23"/>
        <v>1926</v>
      </c>
      <c r="B97" s="192">
        <f t="shared" si="15"/>
        <v>0.95004597701149418</v>
      </c>
      <c r="C97" s="202">
        <f>DataUK1!DU85/DataUK1!$G85</f>
        <v>0.85349425287356318</v>
      </c>
      <c r="D97" s="308">
        <f>DataUK1!DT85/DataUK1!$G85</f>
        <v>9.6551724137931033E-2</v>
      </c>
      <c r="E97" s="307">
        <f t="shared" si="16"/>
        <v>4.9954022988505785E-2</v>
      </c>
      <c r="F97" s="308">
        <f>(DataUK1!DW85-DataUK1!F85)/DataUK1!$G85</f>
        <v>5.8689655172413806E-2</v>
      </c>
      <c r="G97" s="394">
        <f t="shared" si="17"/>
        <v>-8.7356321839080209E-3</v>
      </c>
      <c r="H97" s="1926">
        <f t="shared" si="20"/>
        <v>0.1150114942528736</v>
      </c>
      <c r="I97" s="308">
        <f t="shared" si="21"/>
        <v>0.12374712643678162</v>
      </c>
      <c r="J97" s="394">
        <f>(DataUK1!F85)/DataUK1!$G85</f>
        <v>6.5057471264367811E-2</v>
      </c>
      <c r="K97" s="1398">
        <f t="shared" si="18"/>
        <v>-6.3218390804597679E-2</v>
      </c>
      <c r="L97" s="1934">
        <f>DataUK1!EI85/DataUK1!$G85</f>
        <v>0.23379310344827586</v>
      </c>
      <c r="M97" s="1934">
        <f>DataUK1!EJ85/DataUK1!$G85</f>
        <v>0.29701149425287354</v>
      </c>
      <c r="N97" s="203">
        <f>DataUK1!C85/DataUK1!$G85</f>
        <v>5.4482758620689659E-2</v>
      </c>
      <c r="O97" s="1935">
        <f>DataUK1!HN85/DataUK1!$G85</f>
        <v>0</v>
      </c>
      <c r="S97" s="564">
        <f t="shared" si="22"/>
        <v>1</v>
      </c>
      <c r="T97" s="1244">
        <f t="shared" si="19"/>
        <v>0</v>
      </c>
      <c r="V97" s="233"/>
    </row>
    <row r="98" spans="1:22">
      <c r="A98" s="198">
        <f t="shared" si="23"/>
        <v>1927</v>
      </c>
      <c r="B98" s="192">
        <f t="shared" si="15"/>
        <v>0.91454187623004579</v>
      </c>
      <c r="C98" s="202">
        <f>DataUK1!DU86/DataUK1!$G86</f>
        <v>0.82204242291712215</v>
      </c>
      <c r="D98" s="308">
        <f>DataUK1!DT86/DataUK1!$G86</f>
        <v>9.2499453312923682E-2</v>
      </c>
      <c r="E98" s="307">
        <f t="shared" si="16"/>
        <v>8.5458123769954097E-2</v>
      </c>
      <c r="F98" s="308">
        <f>(DataUK1!DW86-DataUK1!F86)/DataUK1!$G86</f>
        <v>6.9713535972009633E-2</v>
      </c>
      <c r="G98" s="394">
        <f t="shared" si="17"/>
        <v>1.5744587797944458E-2</v>
      </c>
      <c r="H98" s="1926">
        <f t="shared" si="20"/>
        <v>0.14646840148698886</v>
      </c>
      <c r="I98" s="308">
        <f t="shared" si="21"/>
        <v>0.1307238136890444</v>
      </c>
      <c r="J98" s="394">
        <f>(DataUK1!F86)/DataUK1!$G86</f>
        <v>6.1010277717034767E-2</v>
      </c>
      <c r="K98" s="1398">
        <f t="shared" si="18"/>
        <v>-3.6518696698010056E-2</v>
      </c>
      <c r="L98" s="1934">
        <f>DataUK1!EI86/DataUK1!$G86</f>
        <v>0.23835556527443691</v>
      </c>
      <c r="M98" s="1934">
        <f>DataUK1!EJ86/DataUK1!$G86</f>
        <v>0.27487426197244696</v>
      </c>
      <c r="N98" s="203">
        <f>DataUK1!C86/DataUK1!$G86</f>
        <v>5.2263284495954514E-2</v>
      </c>
      <c r="O98" s="1935">
        <f>DataUK1!HN86/DataUK1!$G86</f>
        <v>0</v>
      </c>
      <c r="S98" s="564">
        <f t="shared" si="22"/>
        <v>0.99999999999999989</v>
      </c>
      <c r="T98" s="1244">
        <f t="shared" si="19"/>
        <v>0</v>
      </c>
      <c r="V98" s="233"/>
    </row>
    <row r="99" spans="1:22">
      <c r="A99" s="198">
        <f t="shared" si="23"/>
        <v>1928</v>
      </c>
      <c r="B99" s="192">
        <f t="shared" si="15"/>
        <v>0.91830985915492958</v>
      </c>
      <c r="C99" s="202">
        <f>DataUK1!DU87/DataUK1!$G87</f>
        <v>0.8262188515709642</v>
      </c>
      <c r="D99" s="308">
        <f>DataUK1!DT87/DataUK1!$G87</f>
        <v>9.2091007583965337E-2</v>
      </c>
      <c r="E99" s="307">
        <f t="shared" si="16"/>
        <v>8.1690140845070439E-2</v>
      </c>
      <c r="F99" s="308">
        <f>(DataUK1!DW87-DataUK1!F87)/DataUK1!$G87</f>
        <v>6.0671722643553631E-2</v>
      </c>
      <c r="G99" s="394">
        <f t="shared" si="17"/>
        <v>2.1018418201516807E-2</v>
      </c>
      <c r="H99" s="1926">
        <f t="shared" si="20"/>
        <v>0.14322860238353197</v>
      </c>
      <c r="I99" s="308">
        <f t="shared" si="21"/>
        <v>0.12221018418201518</v>
      </c>
      <c r="J99" s="394">
        <f>(DataUK1!F87)/DataUK1!$G87</f>
        <v>6.1538461538461542E-2</v>
      </c>
      <c r="K99" s="1398">
        <f t="shared" si="18"/>
        <v>-3.0985915492957733E-2</v>
      </c>
      <c r="L99" s="1934">
        <f>DataUK1!EI87/DataUK1!$G87</f>
        <v>0.23661971830985915</v>
      </c>
      <c r="M99" s="1934">
        <f>DataUK1!EJ87/DataUK1!$G87</f>
        <v>0.26760563380281688</v>
      </c>
      <c r="N99" s="203">
        <f>DataUK1!C87/DataUK1!$G87</f>
        <v>5.200433369447454E-2</v>
      </c>
      <c r="O99" s="1935">
        <f>DataUK1!HN87/DataUK1!$G87</f>
        <v>0</v>
      </c>
      <c r="S99" s="564">
        <f t="shared" si="22"/>
        <v>1</v>
      </c>
      <c r="T99" s="1244">
        <f t="shared" si="19"/>
        <v>0</v>
      </c>
      <c r="V99" s="233"/>
    </row>
    <row r="100" spans="1:22">
      <c r="A100" s="214">
        <f t="shared" si="23"/>
        <v>1929</v>
      </c>
      <c r="B100" s="195">
        <f t="shared" si="15"/>
        <v>0.91627111396194139</v>
      </c>
      <c r="C100" s="241">
        <f>DataUK1!DU88/DataUK1!$G88</f>
        <v>0.82326277528330127</v>
      </c>
      <c r="D100" s="550">
        <f>DataUK1!DT88/DataUK1!$G88</f>
        <v>9.3008338678640154E-2</v>
      </c>
      <c r="E100" s="568">
        <f t="shared" si="16"/>
        <v>8.3728886038058614E-2</v>
      </c>
      <c r="F100" s="550">
        <f>(DataUK1!DW88-DataUK1!F88)/DataUK1!$G88</f>
        <v>6.8762026940346374E-2</v>
      </c>
      <c r="G100" s="553">
        <f t="shared" si="17"/>
        <v>1.4966859097712233E-2</v>
      </c>
      <c r="H100" s="1927">
        <f t="shared" si="20"/>
        <v>0.14637588197562543</v>
      </c>
      <c r="I100" s="550">
        <f t="shared" si="21"/>
        <v>0.13140902287791317</v>
      </c>
      <c r="J100" s="553">
        <f>(DataUK1!F88)/DataUK1!$G88</f>
        <v>6.2646995937566813E-2</v>
      </c>
      <c r="K100" s="1940">
        <f t="shared" si="18"/>
        <v>-3.698952319863158E-2</v>
      </c>
      <c r="L100" s="1938">
        <f>DataUK1!EI88/DataUK1!$G88</f>
        <v>0.23433825101560829</v>
      </c>
      <c r="M100" s="1938">
        <f>DataUK1!EJ88/DataUK1!$G88</f>
        <v>0.27132777421423987</v>
      </c>
      <c r="N100" s="216">
        <f>DataUK1!C88/DataUK1!$G88</f>
        <v>5.1956382296343813E-2</v>
      </c>
      <c r="O100" s="1939">
        <f>DataUK1!HN88/DataUK1!$G88</f>
        <v>0</v>
      </c>
      <c r="S100" s="564">
        <f t="shared" si="22"/>
        <v>1</v>
      </c>
      <c r="T100" s="1244">
        <f t="shared" si="19"/>
        <v>0</v>
      </c>
      <c r="V100" s="233"/>
    </row>
    <row r="101" spans="1:22">
      <c r="A101" s="198">
        <f t="shared" si="23"/>
        <v>1930</v>
      </c>
      <c r="B101" s="192">
        <f t="shared" si="15"/>
        <v>0.92091559991321326</v>
      </c>
      <c r="C101" s="202">
        <f>DataUK1!DU89/DataUK1!$G89</f>
        <v>0.82479930570622695</v>
      </c>
      <c r="D101" s="308">
        <f>DataUK1!DT89/DataUK1!$G89</f>
        <v>9.6116294206986336E-2</v>
      </c>
      <c r="E101" s="307">
        <f t="shared" si="16"/>
        <v>7.908440008678673E-2</v>
      </c>
      <c r="F101" s="308">
        <f>(DataUK1!DW89-DataUK1!F89)/DataUK1!$G89</f>
        <v>7.9301366890865699E-2</v>
      </c>
      <c r="G101" s="394">
        <f t="shared" si="17"/>
        <v>-2.1696680407896907E-4</v>
      </c>
      <c r="H101" s="1926">
        <f t="shared" si="20"/>
        <v>0.14222174007376873</v>
      </c>
      <c r="I101" s="308">
        <f t="shared" si="21"/>
        <v>0.14243870687784771</v>
      </c>
      <c r="J101" s="394">
        <f>(DataUK1!F89)/DataUK1!$G89</f>
        <v>6.3137339986981997E-2</v>
      </c>
      <c r="K101" s="1398">
        <f t="shared" si="18"/>
        <v>-4.6864829681058789E-2</v>
      </c>
      <c r="L101" s="1934">
        <f>DataUK1!EI89/DataUK1!$G89</f>
        <v>0.19179865480581471</v>
      </c>
      <c r="M101" s="1934">
        <f>DataUK1!EJ89/DataUK1!$G89</f>
        <v>0.2386634844868735</v>
      </c>
      <c r="N101" s="203">
        <f>DataUK1!C89/DataUK1!$G89</f>
        <v>4.664786287697982E-2</v>
      </c>
      <c r="O101" s="1935">
        <f>DataUK1!HN89/DataUK1!$G89</f>
        <v>0</v>
      </c>
      <c r="S101" s="564">
        <f t="shared" si="22"/>
        <v>1</v>
      </c>
      <c r="T101" s="1244">
        <f t="shared" si="19"/>
        <v>0</v>
      </c>
      <c r="V101" s="233"/>
    </row>
    <row r="102" spans="1:22">
      <c r="A102" s="198">
        <f t="shared" si="23"/>
        <v>1931</v>
      </c>
      <c r="B102" s="192">
        <f t="shared" si="15"/>
        <v>0.97485822306238179</v>
      </c>
      <c r="C102" s="202">
        <f>DataUK1!DU90/DataUK1!$G90</f>
        <v>0.87017958412098295</v>
      </c>
      <c r="D102" s="308">
        <f>DataUK1!DT90/DataUK1!$G90</f>
        <v>0.10467863894139887</v>
      </c>
      <c r="E102" s="307">
        <f t="shared" si="16"/>
        <v>2.5141776937618147E-2</v>
      </c>
      <c r="F102" s="308">
        <f>(DataUK1!DW90-DataUK1!F90)/DataUK1!$G90</f>
        <v>5.6096408317580337E-2</v>
      </c>
      <c r="G102" s="394">
        <f t="shared" si="17"/>
        <v>-3.095463137996219E-2</v>
      </c>
      <c r="H102" s="1926">
        <f t="shared" si="20"/>
        <v>9.3667296786389409E-2</v>
      </c>
      <c r="I102" s="308">
        <f t="shared" si="21"/>
        <v>0.12462192816635161</v>
      </c>
      <c r="J102" s="394">
        <f>(DataUK1!F90)/DataUK1!$G90</f>
        <v>6.8525519848771269E-2</v>
      </c>
      <c r="K102" s="1398">
        <f t="shared" si="18"/>
        <v>-6.9470699432892247E-2</v>
      </c>
      <c r="L102" s="1934">
        <f>DataUK1!EI90/DataUK1!$G90</f>
        <v>0.14933837429111532</v>
      </c>
      <c r="M102" s="1934">
        <f>DataUK1!EJ90/DataUK1!$G90</f>
        <v>0.21880907372400757</v>
      </c>
      <c r="N102" s="203">
        <f>DataUK1!C90/DataUK1!$G90</f>
        <v>3.8516068052930057E-2</v>
      </c>
      <c r="O102" s="1935">
        <f>DataUK1!HN90/DataUK1!$G90</f>
        <v>0</v>
      </c>
      <c r="S102" s="564">
        <f t="shared" si="22"/>
        <v>0.99999999999999989</v>
      </c>
      <c r="T102" s="1244">
        <f t="shared" si="19"/>
        <v>0</v>
      </c>
      <c r="V102" s="233"/>
    </row>
    <row r="103" spans="1:22">
      <c r="A103" s="198">
        <f t="shared" si="23"/>
        <v>1932</v>
      </c>
      <c r="B103" s="192">
        <f t="shared" si="15"/>
        <v>0.97327669902912617</v>
      </c>
      <c r="C103" s="202">
        <f>DataUK1!DU91/DataUK1!$G91</f>
        <v>0.86866504854368931</v>
      </c>
      <c r="D103" s="308">
        <f>DataUK1!DT91/DataUK1!$G91</f>
        <v>0.1046116504854369</v>
      </c>
      <c r="E103" s="307">
        <f t="shared" si="16"/>
        <v>2.6723300970873803E-2</v>
      </c>
      <c r="F103" s="308">
        <f>(DataUK1!DW91-DataUK1!F91)/DataUK1!$G91</f>
        <v>4.1043689320388356E-2</v>
      </c>
      <c r="G103" s="394">
        <f t="shared" si="17"/>
        <v>-1.4320388349514553E-2</v>
      </c>
      <c r="H103" s="1926">
        <f t="shared" si="20"/>
        <v>9.5412621359223321E-2</v>
      </c>
      <c r="I103" s="308">
        <f t="shared" si="21"/>
        <v>0.10973300970873787</v>
      </c>
      <c r="J103" s="394">
        <f>(DataUK1!F91)/DataUK1!$G91</f>
        <v>6.8689320388349517E-2</v>
      </c>
      <c r="K103" s="1398">
        <f t="shared" si="18"/>
        <v>-4.5145631067961156E-2</v>
      </c>
      <c r="L103" s="1934">
        <f>DataUK1!EI91/DataUK1!$G91</f>
        <v>0.14029126213592233</v>
      </c>
      <c r="M103" s="1934">
        <f>DataUK1!EJ91/DataUK1!$G91</f>
        <v>0.18543689320388348</v>
      </c>
      <c r="N103" s="203">
        <f>DataUK1!C91/DataUK1!$G91</f>
        <v>3.0825242718446604E-2</v>
      </c>
      <c r="O103" s="1935">
        <f>DataUK1!HN91/DataUK1!$G91</f>
        <v>0</v>
      </c>
      <c r="S103" s="564">
        <f t="shared" si="22"/>
        <v>1</v>
      </c>
      <c r="T103" s="1244">
        <f t="shared" si="19"/>
        <v>0</v>
      </c>
      <c r="V103" s="233"/>
    </row>
    <row r="104" spans="1:22">
      <c r="A104" s="198">
        <f t="shared" si="23"/>
        <v>1933</v>
      </c>
      <c r="B104" s="192">
        <f t="shared" ref="B104:B118" si="24">C104+D104</f>
        <v>0.97309927360774817</v>
      </c>
      <c r="C104" s="202">
        <f>DataUK1!DU92/DataUK1!$G92</f>
        <v>0.86898305084745764</v>
      </c>
      <c r="D104" s="308">
        <f>DataUK1!DT92/DataUK1!$G92</f>
        <v>0.10411622276029056</v>
      </c>
      <c r="E104" s="307">
        <f t="shared" ref="E104:E118" si="25">F104+G104</f>
        <v>2.6900726392251814E-2</v>
      </c>
      <c r="F104" s="308">
        <f>(DataUK1!DW92-DataUK1!F92)/DataUK1!$G92</f>
        <v>2.9806295399515743E-2</v>
      </c>
      <c r="G104" s="394">
        <f t="shared" ref="G104:G118" si="26">K104+N104+O104</f>
        <v>-2.9055690072639292E-3</v>
      </c>
      <c r="H104" s="1926">
        <f t="shared" si="20"/>
        <v>9.5423728813559316E-2</v>
      </c>
      <c r="I104" s="308">
        <f t="shared" si="21"/>
        <v>9.8329297820823253E-2</v>
      </c>
      <c r="J104" s="394">
        <f>(DataUK1!F92)/DataUK1!$G92</f>
        <v>6.8523002421307502E-2</v>
      </c>
      <c r="K104" s="1398">
        <f t="shared" ref="K104:K118" si="27">L104-M104</f>
        <v>-4.019370460048427E-2</v>
      </c>
      <c r="L104" s="1934">
        <f>DataUK1!EI92/DataUK1!$G92</f>
        <v>0.13874092009685229</v>
      </c>
      <c r="M104" s="1934">
        <f>DataUK1!EJ92/DataUK1!$G92</f>
        <v>0.17893462469733656</v>
      </c>
      <c r="N104" s="203">
        <f>DataUK1!C92/DataUK1!$G92</f>
        <v>3.7288135593220341E-2</v>
      </c>
      <c r="O104" s="1935">
        <f>DataUK1!HN92/DataUK1!$G92</f>
        <v>0</v>
      </c>
      <c r="S104" s="564">
        <f t="shared" si="22"/>
        <v>1</v>
      </c>
      <c r="T104" s="1244">
        <f t="shared" si="19"/>
        <v>0</v>
      </c>
      <c r="V104" s="233"/>
    </row>
    <row r="105" spans="1:22">
      <c r="A105" s="198">
        <f t="shared" si="23"/>
        <v>1934</v>
      </c>
      <c r="B105" s="192">
        <f t="shared" si="24"/>
        <v>0.93676671214188267</v>
      </c>
      <c r="C105" s="202">
        <f>DataUK1!DU93/DataUK1!$G93</f>
        <v>0.83535698044565709</v>
      </c>
      <c r="D105" s="308">
        <f>DataUK1!DT93/DataUK1!$G93</f>
        <v>0.10140973169622555</v>
      </c>
      <c r="E105" s="307">
        <f t="shared" si="25"/>
        <v>6.323328785811734E-2</v>
      </c>
      <c r="F105" s="308">
        <f>(DataUK1!DW93-DataUK1!F93)/DataUK1!$G93</f>
        <v>6.8690313778990458E-2</v>
      </c>
      <c r="G105" s="394">
        <f t="shared" si="26"/>
        <v>-5.4570259208731181E-3</v>
      </c>
      <c r="H105" s="1926">
        <f t="shared" si="20"/>
        <v>0.12735334242837654</v>
      </c>
      <c r="I105" s="308">
        <f t="shared" si="21"/>
        <v>0.13281036834924967</v>
      </c>
      <c r="J105" s="394">
        <f>(DataUK1!F93)/DataUK1!$G93</f>
        <v>6.4120054570259211E-2</v>
      </c>
      <c r="K105" s="1398">
        <f t="shared" si="27"/>
        <v>-4.3428831286948605E-2</v>
      </c>
      <c r="L105" s="1934">
        <f>DataUK1!EI93/DataUK1!$G93</f>
        <v>0.13824465666211916</v>
      </c>
      <c r="M105" s="1934">
        <f>DataUK1!EJ93/DataUK1!$G93</f>
        <v>0.18167348794906776</v>
      </c>
      <c r="N105" s="203">
        <f>DataUK1!C93/DataUK1!$G93</f>
        <v>3.7971805366075487E-2</v>
      </c>
      <c r="O105" s="1935">
        <f>DataUK1!HN93/DataUK1!$G93</f>
        <v>0</v>
      </c>
      <c r="S105" s="564">
        <f t="shared" si="22"/>
        <v>1</v>
      </c>
      <c r="T105" s="1244">
        <f t="shared" si="19"/>
        <v>0</v>
      </c>
      <c r="V105" s="233"/>
    </row>
    <row r="106" spans="1:22">
      <c r="A106" s="198">
        <f t="shared" si="23"/>
        <v>1935</v>
      </c>
      <c r="B106" s="192">
        <f t="shared" si="24"/>
        <v>0.92988705473501299</v>
      </c>
      <c r="C106" s="202">
        <f>DataUK1!DU94/DataUK1!$G94</f>
        <v>0.82497827975673321</v>
      </c>
      <c r="D106" s="308">
        <f>DataUK1!DT94/DataUK1!$G94</f>
        <v>0.10490877497827976</v>
      </c>
      <c r="E106" s="307">
        <f t="shared" si="25"/>
        <v>7.0112945264986973E-2</v>
      </c>
      <c r="F106" s="308">
        <f>(DataUK1!DW94-DataUK1!F94)/DataUK1!$G94</f>
        <v>6.5117289313640331E-2</v>
      </c>
      <c r="G106" s="394">
        <f t="shared" si="26"/>
        <v>4.995655951346642E-3</v>
      </c>
      <c r="H106" s="1926">
        <f t="shared" si="20"/>
        <v>0.13483927019982622</v>
      </c>
      <c r="I106" s="308">
        <f t="shared" si="21"/>
        <v>0.12984361424847959</v>
      </c>
      <c r="J106" s="394">
        <f>(DataUK1!F94)/DataUK1!$G94</f>
        <v>6.4726324934839263E-2</v>
      </c>
      <c r="K106" s="1398">
        <f t="shared" si="27"/>
        <v>-3.4317984361424858E-2</v>
      </c>
      <c r="L106" s="1934">
        <f>DataUK1!EI94/DataUK1!$G94</f>
        <v>0.14986967854039965</v>
      </c>
      <c r="M106" s="1934">
        <f>DataUK1!EJ94/DataUK1!$G94</f>
        <v>0.18418766290182451</v>
      </c>
      <c r="N106" s="203">
        <f>DataUK1!C94/DataUK1!$G94</f>
        <v>3.93136403127715E-2</v>
      </c>
      <c r="O106" s="1935">
        <f>DataUK1!HN94/DataUK1!$G94</f>
        <v>0</v>
      </c>
      <c r="S106" s="564">
        <f t="shared" si="22"/>
        <v>1</v>
      </c>
      <c r="T106" s="1244">
        <f t="shared" si="19"/>
        <v>0</v>
      </c>
      <c r="V106" s="233"/>
    </row>
    <row r="107" spans="1:22">
      <c r="A107" s="198">
        <f t="shared" si="23"/>
        <v>1936</v>
      </c>
      <c r="B107" s="192">
        <f t="shared" si="24"/>
        <v>0.93265732803679702</v>
      </c>
      <c r="C107" s="202">
        <f>DataUK1!DU95/DataUK1!$G95</f>
        <v>0.8205937696006691</v>
      </c>
      <c r="D107" s="308">
        <f>DataUK1!DT95/DataUK1!$G95</f>
        <v>0.11206355843612795</v>
      </c>
      <c r="E107" s="307">
        <f t="shared" si="25"/>
        <v>6.7342671963203038E-2</v>
      </c>
      <c r="F107" s="308">
        <f>(DataUK1!DW95-DataUK1!F95)/DataUK1!$G95</f>
        <v>7.2987664645619912E-2</v>
      </c>
      <c r="G107" s="394">
        <f t="shared" si="26"/>
        <v>-5.6449926824168745E-3</v>
      </c>
      <c r="H107" s="1926">
        <f t="shared" si="20"/>
        <v>0.13361906753083841</v>
      </c>
      <c r="I107" s="308">
        <f t="shared" si="21"/>
        <v>0.13926406021325527</v>
      </c>
      <c r="J107" s="394">
        <f>(DataUK1!F95)/DataUK1!$G95</f>
        <v>6.6276395567635371E-2</v>
      </c>
      <c r="K107" s="1398">
        <f t="shared" si="27"/>
        <v>-4.6414384277649989E-2</v>
      </c>
      <c r="L107" s="1934">
        <f>DataUK1!EI95/DataUK1!$G95</f>
        <v>0.14572444072757684</v>
      </c>
      <c r="M107" s="1934">
        <f>DataUK1!EJ95/DataUK1!$G95</f>
        <v>0.19213882500522683</v>
      </c>
      <c r="N107" s="203">
        <f>DataUK1!C95/DataUK1!$G95</f>
        <v>4.0769391595233115E-2</v>
      </c>
      <c r="O107" s="1935">
        <f>DataUK1!HN95/DataUK1!$G95</f>
        <v>0</v>
      </c>
      <c r="S107" s="564">
        <f t="shared" si="22"/>
        <v>1</v>
      </c>
      <c r="T107" s="1244">
        <f t="shared" si="19"/>
        <v>0</v>
      </c>
      <c r="V107" s="233"/>
    </row>
    <row r="108" spans="1:22">
      <c r="A108" s="198">
        <f t="shared" si="23"/>
        <v>1937</v>
      </c>
      <c r="B108" s="192">
        <f t="shared" si="24"/>
        <v>0.92151060930504192</v>
      </c>
      <c r="C108" s="202">
        <f>DataUK1!DU96/DataUK1!$G96</f>
        <v>0.80140159626241003</v>
      </c>
      <c r="D108" s="308">
        <f>DataUK1!DT96/DataUK1!$G96</f>
        <v>0.12010901304263188</v>
      </c>
      <c r="E108" s="307">
        <f t="shared" si="25"/>
        <v>7.8489390694958139E-2</v>
      </c>
      <c r="F108" s="308">
        <f>(DataUK1!DW96-DataUK1!F96)/DataUK1!$G96</f>
        <v>8.7444033482577385E-2</v>
      </c>
      <c r="G108" s="394">
        <f t="shared" si="26"/>
        <v>-8.9546427876192533E-3</v>
      </c>
      <c r="H108" s="1926">
        <f t="shared" si="20"/>
        <v>0.14798520537278564</v>
      </c>
      <c r="I108" s="308">
        <f t="shared" si="21"/>
        <v>0.1569398481604049</v>
      </c>
      <c r="J108" s="394">
        <f>(DataUK1!F96)/DataUK1!$G96</f>
        <v>6.9495814677827519E-2</v>
      </c>
      <c r="K108" s="1398">
        <f t="shared" si="27"/>
        <v>-4.8861203036791923E-2</v>
      </c>
      <c r="L108" s="1934">
        <f>DataUK1!EI96/DataUK1!$G96</f>
        <v>0.16410356239050028</v>
      </c>
      <c r="M108" s="1934">
        <f>DataUK1!EJ96/DataUK1!$G96</f>
        <v>0.2129647654272922</v>
      </c>
      <c r="N108" s="203">
        <f>DataUK1!C96/DataUK1!$G96</f>
        <v>3.9906560249172669E-2</v>
      </c>
      <c r="O108" s="1935">
        <f>DataUK1!HN96/DataUK1!$G96</f>
        <v>0</v>
      </c>
      <c r="S108" s="564">
        <f t="shared" si="22"/>
        <v>1</v>
      </c>
      <c r="T108" s="1244">
        <f t="shared" si="19"/>
        <v>0</v>
      </c>
      <c r="V108" s="233"/>
    </row>
    <row r="109" spans="1:22">
      <c r="A109" s="198">
        <f t="shared" si="23"/>
        <v>1938</v>
      </c>
      <c r="B109" s="192">
        <f t="shared" si="24"/>
        <v>0.92017055988134955</v>
      </c>
      <c r="C109" s="202">
        <f>DataUK1!DU97/DataUK1!$G97</f>
        <v>0.7813125695216907</v>
      </c>
      <c r="D109" s="308">
        <f>DataUK1!DT97/DataUK1!$G97</f>
        <v>0.13885799035965887</v>
      </c>
      <c r="E109" s="307">
        <f t="shared" si="25"/>
        <v>7.9829440118650369E-2</v>
      </c>
      <c r="F109" s="308">
        <f>(DataUK1!DW97-DataUK1!F97)/DataUK1!$G97</f>
        <v>8.9469781238413051E-2</v>
      </c>
      <c r="G109" s="394">
        <f t="shared" si="26"/>
        <v>-9.6403411197626757E-3</v>
      </c>
      <c r="H109" s="1926">
        <f t="shared" si="20"/>
        <v>0.14842417500926958</v>
      </c>
      <c r="I109" s="308">
        <f t="shared" si="21"/>
        <v>0.15806451612903227</v>
      </c>
      <c r="J109" s="394">
        <f>(DataUK1!F97)/DataUK1!$G97</f>
        <v>6.8594734890619208E-2</v>
      </c>
      <c r="K109" s="1398">
        <f t="shared" si="27"/>
        <v>-4.5235446792732642E-2</v>
      </c>
      <c r="L109" s="1934">
        <f>DataUK1!EI97/DataUK1!$G97</f>
        <v>0.14034111976269931</v>
      </c>
      <c r="M109" s="1934">
        <f>DataUK1!EJ97/DataUK1!$G97</f>
        <v>0.18557656655543195</v>
      </c>
      <c r="N109" s="203">
        <f>DataUK1!C97/DataUK1!$G97</f>
        <v>3.5595105672969966E-2</v>
      </c>
      <c r="O109" s="1935">
        <f>DataUK1!HN97/DataUK1!$G97</f>
        <v>0</v>
      </c>
      <c r="S109" s="564">
        <f t="shared" si="22"/>
        <v>0.99999999999999989</v>
      </c>
      <c r="T109" s="1244">
        <f t="shared" si="19"/>
        <v>0</v>
      </c>
      <c r="V109" s="233"/>
    </row>
    <row r="110" spans="1:22">
      <c r="A110" s="214">
        <f t="shared" si="23"/>
        <v>1939</v>
      </c>
      <c r="B110" s="195">
        <f t="shared" si="24"/>
        <v>0.9699720670391061</v>
      </c>
      <c r="C110" s="241">
        <f>DataUK1!DU98/DataUK1!$G98</f>
        <v>0.76414106145251393</v>
      </c>
      <c r="D110" s="550">
        <f>DataUK1!DT98/DataUK1!$G98</f>
        <v>0.20583100558659218</v>
      </c>
      <c r="E110" s="568">
        <f t="shared" si="25"/>
        <v>3.0027932960893844E-2</v>
      </c>
      <c r="F110" s="550">
        <f>(DataUK1!DW98-DataUK1!F98)/DataUK1!$G98</f>
        <v>7.1927374301675978E-2</v>
      </c>
      <c r="G110" s="553">
        <f t="shared" si="26"/>
        <v>-4.1899441340782134E-2</v>
      </c>
      <c r="H110" s="1927">
        <f t="shared" si="20"/>
        <v>9.8114525139664788E-2</v>
      </c>
      <c r="I110" s="550">
        <f t="shared" si="21"/>
        <v>0.14001396648044692</v>
      </c>
      <c r="J110" s="553">
        <f>(DataUK1!F98)/DataUK1!$G98</f>
        <v>6.8086592178770944E-2</v>
      </c>
      <c r="K110" s="1940">
        <f t="shared" si="27"/>
        <v>-6.9832402234636881E-2</v>
      </c>
      <c r="L110" s="1938">
        <f>DataUK1!EI98/DataUK1!$G98</f>
        <v>0.12220670391061453</v>
      </c>
      <c r="M110" s="1938">
        <f>DataUK1!EJ98/DataUK1!$G98</f>
        <v>0.19203910614525141</v>
      </c>
      <c r="N110" s="216">
        <f>DataUK1!C98/DataUK1!$G98</f>
        <v>2.7932960893854747E-2</v>
      </c>
      <c r="O110" s="1939">
        <f>DataUK1!HN98/DataUK1!$G98</f>
        <v>0</v>
      </c>
      <c r="S110" s="564">
        <f t="shared" si="22"/>
        <v>1</v>
      </c>
      <c r="T110" s="1244">
        <f t="shared" si="19"/>
        <v>0</v>
      </c>
      <c r="V110" s="233"/>
    </row>
    <row r="111" spans="1:22">
      <c r="A111" s="198">
        <f t="shared" si="23"/>
        <v>1940</v>
      </c>
      <c r="B111" s="192">
        <f t="shared" si="24"/>
        <v>1.0488882751001243</v>
      </c>
      <c r="C111" s="202">
        <f>DataUK1!DU99/DataUK1!$G99</f>
        <v>0.64120977765502007</v>
      </c>
      <c r="D111" s="308">
        <f>DataUK1!DT99/DataUK1!$G99</f>
        <v>0.40767849744510426</v>
      </c>
      <c r="E111" s="307">
        <f t="shared" si="25"/>
        <v>-4.88882751001243E-2</v>
      </c>
      <c r="F111" s="308">
        <f>(DataUK1!DW99-DataUK1!F99)/DataUK1!$G99</f>
        <v>6.0212677806932742E-2</v>
      </c>
      <c r="G111" s="394">
        <f t="shared" si="26"/>
        <v>-0.10910095290705704</v>
      </c>
      <c r="H111" s="1926">
        <f t="shared" si="20"/>
        <v>1.1876812594945441E-2</v>
      </c>
      <c r="I111" s="308">
        <f t="shared" si="21"/>
        <v>0.12097776550200248</v>
      </c>
      <c r="J111" s="394">
        <f>(DataUK1!F99)/DataUK1!$G99</f>
        <v>6.076508769506974E-2</v>
      </c>
      <c r="K111" s="1398">
        <f t="shared" si="27"/>
        <v>-0.13119734843253694</v>
      </c>
      <c r="L111" s="1934">
        <f>DataUK1!EI99/DataUK1!$G99</f>
        <v>8.2861483220549648E-2</v>
      </c>
      <c r="M111" s="1934">
        <f>DataUK1!EJ99/DataUK1!$G99</f>
        <v>0.21405883165308659</v>
      </c>
      <c r="N111" s="203">
        <f>DataUK1!C99/DataUK1!$G99</f>
        <v>2.2096395525479907E-2</v>
      </c>
      <c r="O111" s="1935">
        <f>DataUK1!HN99/DataUK1!$G99</f>
        <v>0</v>
      </c>
      <c r="S111" s="564">
        <f t="shared" si="22"/>
        <v>1</v>
      </c>
      <c r="T111" s="1244">
        <f t="shared" si="19"/>
        <v>-6.9388939039072284E-18</v>
      </c>
      <c r="V111" s="233"/>
    </row>
    <row r="112" spans="1:22">
      <c r="A112" s="198">
        <f t="shared" si="23"/>
        <v>1941</v>
      </c>
      <c r="B112" s="192">
        <f t="shared" si="24"/>
        <v>1.0691771927753511</v>
      </c>
      <c r="C112" s="202">
        <f>DataUK1!DU100/DataUK1!$G100</f>
        <v>0.58552709243300671</v>
      </c>
      <c r="D112" s="308">
        <f>DataUK1!DT100/DataUK1!$G100</f>
        <v>0.48365010034234446</v>
      </c>
      <c r="E112" s="307">
        <f t="shared" si="25"/>
        <v>-6.9177192775351212E-2</v>
      </c>
      <c r="F112" s="308">
        <f>(DataUK1!DW100-DataUK1!F100)/DataUK1!$G100</f>
        <v>2.6443159013103529E-2</v>
      </c>
      <c r="G112" s="394">
        <f t="shared" si="26"/>
        <v>-9.5620351788454738E-2</v>
      </c>
      <c r="H112" s="1926">
        <f t="shared" si="20"/>
        <v>-1.0152284263959407E-2</v>
      </c>
      <c r="I112" s="308">
        <f t="shared" si="21"/>
        <v>8.5468067524495331E-2</v>
      </c>
      <c r="J112" s="394">
        <f>(DataUK1!F100)/DataUK1!$G100</f>
        <v>5.9024908511391805E-2</v>
      </c>
      <c r="K112" s="1398">
        <f t="shared" si="27"/>
        <v>-0.11214732617164444</v>
      </c>
      <c r="L112" s="1934">
        <f>DataUK1!EI100/DataUK1!$G100</f>
        <v>7.0829890213670171E-2</v>
      </c>
      <c r="M112" s="1934">
        <f>DataUK1!EJ100/DataUK1!$G100</f>
        <v>0.18297721638531461</v>
      </c>
      <c r="N112" s="203">
        <f>DataUK1!C100/DataUK1!$G100</f>
        <v>1.6526974383189705E-2</v>
      </c>
      <c r="O112" s="1935">
        <f>DataUK1!HN100/DataUK1!$G100</f>
        <v>0</v>
      </c>
      <c r="S112" s="564">
        <f t="shared" si="22"/>
        <v>0.99999999999999989</v>
      </c>
      <c r="T112" s="1244">
        <f t="shared" si="19"/>
        <v>-3.4694469519536142E-18</v>
      </c>
      <c r="V112" s="233"/>
    </row>
    <row r="113" spans="1:22">
      <c r="A113" s="198">
        <f t="shared" si="23"/>
        <v>1942</v>
      </c>
      <c r="B113" s="192">
        <f t="shared" si="24"/>
        <v>1.0758650802314158</v>
      </c>
      <c r="C113" s="202">
        <f>DataUK1!DU101/DataUK1!$G101</f>
        <v>0.57581050103700471</v>
      </c>
      <c r="D113" s="308">
        <f>DataUK1!DT101/DataUK1!$G101</f>
        <v>0.5000545791944111</v>
      </c>
      <c r="E113" s="307">
        <f t="shared" si="25"/>
        <v>-7.5865080231415763E-2</v>
      </c>
      <c r="F113" s="308">
        <f>(DataUK1!DW101-DataUK1!F101)/DataUK1!$G101</f>
        <v>-4.9121274969981445E-3</v>
      </c>
      <c r="G113" s="394">
        <f t="shared" si="26"/>
        <v>-7.0952952734417624E-2</v>
      </c>
      <c r="H113" s="1926">
        <f t="shared" si="20"/>
        <v>-1.8011134155659844E-2</v>
      </c>
      <c r="I113" s="308">
        <f t="shared" si="21"/>
        <v>5.2941818578757772E-2</v>
      </c>
      <c r="J113" s="394">
        <f>(DataUK1!F101)/DataUK1!$G101</f>
        <v>5.7853946075755919E-2</v>
      </c>
      <c r="K113" s="1398">
        <f t="shared" si="27"/>
        <v>-8.1868791616635725E-2</v>
      </c>
      <c r="L113" s="1934">
        <f>DataUK1!EI101/DataUK1!$G101</f>
        <v>6.5495033293308594E-2</v>
      </c>
      <c r="M113" s="1934">
        <f>DataUK1!EJ101/DataUK1!$G101</f>
        <v>0.14736382490994432</v>
      </c>
      <c r="N113" s="203">
        <f>DataUK1!C101/DataUK1!$G101</f>
        <v>1.0915838882218098E-2</v>
      </c>
      <c r="O113" s="1935">
        <f>DataUK1!HN101/DataUK1!$G101</f>
        <v>0</v>
      </c>
      <c r="S113" s="564">
        <f t="shared" si="22"/>
        <v>1</v>
      </c>
      <c r="T113" s="1244">
        <f t="shared" si="19"/>
        <v>3.4694469519536142E-18</v>
      </c>
      <c r="V113" s="233"/>
    </row>
    <row r="114" spans="1:22">
      <c r="A114" s="198">
        <f t="shared" si="23"/>
        <v>1943</v>
      </c>
      <c r="B114" s="192">
        <f t="shared" si="24"/>
        <v>1.0746021905352345</v>
      </c>
      <c r="C114" s="202">
        <f>DataUK1!DU102/DataUK1!$G102</f>
        <v>0.55972308328166975</v>
      </c>
      <c r="D114" s="308">
        <f>DataUK1!DT102/DataUK1!$G102</f>
        <v>0.51487910725356478</v>
      </c>
      <c r="E114" s="307">
        <f t="shared" si="25"/>
        <v>-7.460219053523455E-2</v>
      </c>
      <c r="F114" s="308">
        <f>(DataUK1!DW102-DataUK1!F102)/DataUK1!$G102</f>
        <v>-5.3730109526761724E-3</v>
      </c>
      <c r="G114" s="394">
        <f t="shared" si="26"/>
        <v>-6.9229179582558378E-2</v>
      </c>
      <c r="H114" s="1926">
        <f t="shared" si="20"/>
        <v>-1.0539367637941721E-2</v>
      </c>
      <c r="I114" s="308">
        <f t="shared" si="21"/>
        <v>5.8689811944616657E-2</v>
      </c>
      <c r="J114" s="394">
        <f>(DataUK1!F102)/DataUK1!$G102</f>
        <v>6.4062822897292829E-2</v>
      </c>
      <c r="K114" s="1398">
        <f t="shared" si="27"/>
        <v>-7.8528621616036368E-2</v>
      </c>
      <c r="L114" s="1934">
        <f>DataUK1!EI102/DataUK1!$G102</f>
        <v>7.6462078941930148E-2</v>
      </c>
      <c r="M114" s="1934">
        <f>DataUK1!EJ102/DataUK1!$G102</f>
        <v>0.15499070055796652</v>
      </c>
      <c r="N114" s="203">
        <f>DataUK1!C102/DataUK1!$G102</f>
        <v>9.299442033477991E-3</v>
      </c>
      <c r="O114" s="1935">
        <f>DataUK1!HN102/DataUK1!$G102</f>
        <v>0</v>
      </c>
      <c r="S114" s="564">
        <f t="shared" si="22"/>
        <v>1</v>
      </c>
      <c r="T114" s="1244">
        <f t="shared" si="19"/>
        <v>-1.7347234759768071E-18</v>
      </c>
      <c r="V114" s="233"/>
    </row>
    <row r="115" spans="1:22">
      <c r="A115" s="198">
        <f t="shared" si="23"/>
        <v>1944</v>
      </c>
      <c r="B115" s="192">
        <f t="shared" si="24"/>
        <v>1.1144094001236859</v>
      </c>
      <c r="C115" s="202">
        <f>DataUK1!DU103/DataUK1!$G103</f>
        <v>0.59327973613687901</v>
      </c>
      <c r="D115" s="308">
        <f>DataUK1!DT103/DataUK1!$G103</f>
        <v>0.52112966398680682</v>
      </c>
      <c r="E115" s="307">
        <f t="shared" si="25"/>
        <v>-0.11440940012368583</v>
      </c>
      <c r="F115" s="308">
        <f>(DataUK1!DW103-DataUK1!F103)/DataUK1!$G103</f>
        <v>-4.7412904555761699E-2</v>
      </c>
      <c r="G115" s="394">
        <f t="shared" si="26"/>
        <v>-6.6996495567924141E-2</v>
      </c>
      <c r="H115" s="1926">
        <f t="shared" si="20"/>
        <v>-4.7412904555761692E-2</v>
      </c>
      <c r="I115" s="308">
        <f t="shared" si="21"/>
        <v>1.9583591012162442E-2</v>
      </c>
      <c r="J115" s="394">
        <f>(DataUK1!F103)/DataUK1!$G103</f>
        <v>6.6996495567924141E-2</v>
      </c>
      <c r="K115" s="1398">
        <f t="shared" si="27"/>
        <v>-7.5242218099360964E-2</v>
      </c>
      <c r="L115" s="1934">
        <f>DataUK1!EI103/DataUK1!$G103</f>
        <v>9.9979385693671402E-2</v>
      </c>
      <c r="M115" s="1934">
        <f>DataUK1!EJ103/DataUK1!$G103</f>
        <v>0.17522160379303237</v>
      </c>
      <c r="N115" s="203">
        <f>DataUK1!C103/DataUK1!$G103</f>
        <v>8.2457225314368169E-3</v>
      </c>
      <c r="O115" s="1935">
        <f>DataUK1!HN103/DataUK1!$G103</f>
        <v>0</v>
      </c>
      <c r="S115" s="564">
        <f t="shared" si="22"/>
        <v>1</v>
      </c>
      <c r="T115" s="1244">
        <f t="shared" si="19"/>
        <v>5.2041704279304213E-18</v>
      </c>
      <c r="V115" s="233"/>
    </row>
    <row r="116" spans="1:22">
      <c r="A116" s="198">
        <f t="shared" si="23"/>
        <v>1945</v>
      </c>
      <c r="B116" s="192">
        <f t="shared" si="24"/>
        <v>1.1299751914572322</v>
      </c>
      <c r="C116" s="202">
        <f>DataUK1!DU104/DataUK1!$G104</f>
        <v>0.6780282601661094</v>
      </c>
      <c r="D116" s="308">
        <f>DataUK1!DT104/DataUK1!$G104</f>
        <v>0.45194693129112284</v>
      </c>
      <c r="E116" s="307">
        <f t="shared" si="25"/>
        <v>-0.12997519145723224</v>
      </c>
      <c r="F116" s="308">
        <f>(DataUK1!DW104-DataUK1!F104)/DataUK1!$G104</f>
        <v>-4.1527343328659261E-2</v>
      </c>
      <c r="G116" s="394">
        <f t="shared" si="26"/>
        <v>-8.8447848128572981E-2</v>
      </c>
      <c r="H116" s="1926">
        <f t="shared" si="20"/>
        <v>-6.094272462517529E-2</v>
      </c>
      <c r="I116" s="308">
        <f t="shared" si="21"/>
        <v>2.7505123503397691E-2</v>
      </c>
      <c r="J116" s="394">
        <f>(DataUK1!F104)/DataUK1!$G104</f>
        <v>6.9032466832056952E-2</v>
      </c>
      <c r="K116" s="1398">
        <f t="shared" si="27"/>
        <v>-9.7076906482580105E-2</v>
      </c>
      <c r="L116" s="1934">
        <f>DataUK1!EI104/DataUK1!$G104</f>
        <v>8.6290583540071186E-2</v>
      </c>
      <c r="M116" s="1934">
        <f>DataUK1!EJ104/DataUK1!$G104</f>
        <v>0.18336749002265129</v>
      </c>
      <c r="N116" s="203">
        <f>DataUK1!C104/DataUK1!$G104</f>
        <v>8.629058354007119E-3</v>
      </c>
      <c r="O116" s="1935">
        <f>DataUK1!HN104/DataUK1!$G104</f>
        <v>0</v>
      </c>
      <c r="S116" s="564">
        <f t="shared" si="22"/>
        <v>1</v>
      </c>
      <c r="T116" s="1244">
        <f t="shared" si="19"/>
        <v>5.2041704279304213E-18</v>
      </c>
      <c r="V116" s="233"/>
    </row>
    <row r="117" spans="1:22">
      <c r="A117" s="198">
        <f t="shared" si="23"/>
        <v>1946</v>
      </c>
      <c r="B117" s="192">
        <f t="shared" si="24"/>
        <v>0.99280920421860019</v>
      </c>
      <c r="C117" s="202">
        <f>DataUK1!DU105/DataUK1!$G105</f>
        <v>0.74523276872270161</v>
      </c>
      <c r="D117" s="308">
        <f>DataUK1!DT105/DataUK1!$G105</f>
        <v>0.24757643549589858</v>
      </c>
      <c r="E117" s="307">
        <f t="shared" si="25"/>
        <v>7.1907957813997919E-3</v>
      </c>
      <c r="F117" s="308">
        <f>(DataUK1!DW105-DataUK1!F105)/DataUK1!$G105</f>
        <v>4.1173963992755941E-2</v>
      </c>
      <c r="G117" s="394">
        <f t="shared" si="26"/>
        <v>-3.3983168211356149E-2</v>
      </c>
      <c r="H117" s="1926">
        <f t="shared" si="20"/>
        <v>8.069670821348672E-2</v>
      </c>
      <c r="I117" s="308">
        <f t="shared" si="21"/>
        <v>0.11467987642484287</v>
      </c>
      <c r="J117" s="394">
        <f>(DataUK1!F105)/DataUK1!$G105</f>
        <v>7.3505912432086928E-2</v>
      </c>
      <c r="K117" s="1398">
        <f t="shared" si="27"/>
        <v>-3.9948865452221177E-2</v>
      </c>
      <c r="L117" s="1934">
        <f>DataUK1!EI105/DataUK1!$G105</f>
        <v>0.15180568871844038</v>
      </c>
      <c r="M117" s="1934">
        <f>DataUK1!EJ105/DataUK1!$G105</f>
        <v>0.19175455417066156</v>
      </c>
      <c r="N117" s="203">
        <f>DataUK1!C105/DataUK1!$G105</f>
        <v>5.9656972408650257E-3</v>
      </c>
      <c r="O117" s="1935">
        <f>DataUK1!HN105/DataUK1!$G105</f>
        <v>0</v>
      </c>
      <c r="S117" s="564">
        <f t="shared" si="22"/>
        <v>1</v>
      </c>
      <c r="T117" s="1244">
        <f t="shared" si="19"/>
        <v>2.6020852139652106E-18</v>
      </c>
      <c r="V117" s="233"/>
    </row>
    <row r="118" spans="1:22">
      <c r="A118" s="198">
        <f t="shared" si="23"/>
        <v>1947</v>
      </c>
      <c r="B118" s="192">
        <f t="shared" si="24"/>
        <v>0.93814340969949417</v>
      </c>
      <c r="C118" s="202">
        <f>DataUK1!DU106/DataUK1!$G106</f>
        <v>0.76051770306456412</v>
      </c>
      <c r="D118" s="308">
        <f>DataUK1!DT106/DataUK1!$G106</f>
        <v>0.17762570663493008</v>
      </c>
      <c r="E118" s="307">
        <f t="shared" si="25"/>
        <v>6.1856590300505832E-2</v>
      </c>
      <c r="F118" s="308">
        <f>(DataUK1!DW106-DataUK1!F106)/DataUK1!$G106</f>
        <v>0.10489933551522365</v>
      </c>
      <c r="G118" s="394">
        <f t="shared" si="26"/>
        <v>-4.304274521471782E-2</v>
      </c>
      <c r="H118" s="1926">
        <f t="shared" si="20"/>
        <v>0.13822275116532781</v>
      </c>
      <c r="I118" s="308">
        <f t="shared" si="21"/>
        <v>0.18126549638004563</v>
      </c>
      <c r="J118" s="394">
        <f>(DataUK1!F106)/DataUK1!$G106</f>
        <v>7.636616086482198E-2</v>
      </c>
      <c r="K118" s="1398">
        <f t="shared" si="27"/>
        <v>-5.5043141922046984E-2</v>
      </c>
      <c r="L118" s="1934">
        <f>DataUK1!EI106/DataUK1!$G106</f>
        <v>0.16334424278488546</v>
      </c>
      <c r="M118" s="1934">
        <f>DataUK1!EJ106/DataUK1!$G106</f>
        <v>0.21838738470693245</v>
      </c>
      <c r="N118" s="203">
        <f>DataUK1!C106/DataUK1!$G106</f>
        <v>1.2000396707329167E-2</v>
      </c>
      <c r="O118" s="1935">
        <f>DataUK1!HN106/DataUK1!$G106</f>
        <v>0</v>
      </c>
      <c r="S118" s="564">
        <f t="shared" si="22"/>
        <v>1</v>
      </c>
      <c r="T118" s="1244">
        <f t="shared" si="19"/>
        <v>-3.4694469519536142E-18</v>
      </c>
      <c r="V118" s="233"/>
    </row>
    <row r="119" spans="1:22">
      <c r="A119" s="198">
        <f t="shared" si="23"/>
        <v>1948</v>
      </c>
      <c r="B119" s="192">
        <f>C119+D119</f>
        <v>0.9372812920592194</v>
      </c>
      <c r="C119" s="202">
        <f>DataUK1!DU107/DataUK1!$G107</f>
        <v>0.75845670704351731</v>
      </c>
      <c r="D119" s="308">
        <f>DataUK1!DT107/DataUK1!$G107</f>
        <v>0.17882458501570211</v>
      </c>
      <c r="E119" s="307">
        <f>F119+G119</f>
        <v>7.133243606998653E-2</v>
      </c>
      <c r="F119" s="308">
        <f>(DataUK1!DW107-DataUK1!F107)/DataUK1!$G107</f>
        <v>6.3885150291610585E-2</v>
      </c>
      <c r="G119" s="394">
        <f>K119+N119+O119</f>
        <v>7.4472857783759484E-3</v>
      </c>
      <c r="H119" s="1926">
        <f t="shared" si="20"/>
        <v>0.15791834903544189</v>
      </c>
      <c r="I119" s="308">
        <f t="shared" si="21"/>
        <v>0.15047106325706594</v>
      </c>
      <c r="J119" s="394">
        <f>(DataUK1!F107)/DataUK1!$G107</f>
        <v>8.6585912965455356E-2</v>
      </c>
      <c r="K119" s="1398">
        <f>L119-M119</f>
        <v>-1.9380888290713327E-2</v>
      </c>
      <c r="L119" s="1934">
        <f>DataUK1!EI107/DataUK1!$G107</f>
        <v>0.19659039928218933</v>
      </c>
      <c r="M119" s="1934">
        <f>DataUK1!EJ107/DataUK1!$G107</f>
        <v>0.21597128757290265</v>
      </c>
      <c r="N119" s="203">
        <f>DataUK1!C107/DataUK1!$G107</f>
        <v>1.8214445939883354E-2</v>
      </c>
      <c r="O119" s="1935">
        <f>DataUK1!HN107/DataUK1!$G107</f>
        <v>8.6137281292059213E-3</v>
      </c>
      <c r="S119" s="564">
        <f t="shared" si="22"/>
        <v>1</v>
      </c>
      <c r="T119" s="1244">
        <f t="shared" si="19"/>
        <v>0</v>
      </c>
      <c r="V119" s="233"/>
    </row>
    <row r="120" spans="1:22">
      <c r="A120" s="214">
        <v>1949</v>
      </c>
      <c r="B120" s="195">
        <f t="shared" ref="B120:B181" si="28">C120+D120</f>
        <v>0.94027434608503024</v>
      </c>
      <c r="C120" s="241">
        <f>DataUK1!DU108/DataUK1!$G108</f>
        <v>0.75070290534208062</v>
      </c>
      <c r="D120" s="550">
        <f>DataUK1!DT108/DataUK1!$G108</f>
        <v>0.18957144074294965</v>
      </c>
      <c r="E120" s="568">
        <f t="shared" ref="E120:E181" si="29">F120+G120</f>
        <v>6.2196472693192451E-2</v>
      </c>
      <c r="F120" s="550">
        <f>(DataUK1!DW108-DataUK1!F108)/DataUK1!$G108</f>
        <v>5.9214450029820224E-2</v>
      </c>
      <c r="G120" s="553">
        <f t="shared" ref="G120:G181" si="30">K120+N120+O120</f>
        <v>2.9820226633722256E-3</v>
      </c>
      <c r="H120" s="1927">
        <f t="shared" si="20"/>
        <v>0.15012354093891112</v>
      </c>
      <c r="I120" s="550">
        <f t="shared" si="21"/>
        <v>0.1471415182755389</v>
      </c>
      <c r="J120" s="553">
        <f>(DataUK1!F108)/DataUK1!$G108</f>
        <v>8.7927068245718665E-2</v>
      </c>
      <c r="K120" s="1940">
        <f t="shared" ref="K120:K181" si="31">L120-M120</f>
        <v>-1.5336116554485829E-2</v>
      </c>
      <c r="L120" s="1938">
        <f>DataUK1!EI108/DataUK1!$G108</f>
        <v>0.21206441168952883</v>
      </c>
      <c r="M120" s="1938">
        <f>DataUK1!EJ108/DataUK1!$G108</f>
        <v>0.22740052824401466</v>
      </c>
      <c r="N120" s="216">
        <f>DataUK1!C108/DataUK1!$G108</f>
        <v>1.584732043963534E-2</v>
      </c>
      <c r="O120" s="1939">
        <f>DataUK1!HN108/DataUK1!$G108</f>
        <v>2.4708187782227146E-3</v>
      </c>
      <c r="S120" s="564">
        <f t="shared" si="22"/>
        <v>1</v>
      </c>
      <c r="T120" s="1244">
        <f t="shared" si="19"/>
        <v>0</v>
      </c>
      <c r="V120" s="233"/>
    </row>
    <row r="121" spans="1:22">
      <c r="A121" s="198">
        <f t="shared" ref="A121:A141" si="32">A120+1</f>
        <v>1950</v>
      </c>
      <c r="B121" s="192">
        <f t="shared" si="28"/>
        <v>0.93745460414817217</v>
      </c>
      <c r="C121" s="202">
        <f>DataUK1!DU109/DataUK1!$G109</f>
        <v>0.75062545395851832</v>
      </c>
      <c r="D121" s="308">
        <f>DataUK1!DT109/DataUK1!$G109</f>
        <v>0.18682915018965379</v>
      </c>
      <c r="E121" s="307">
        <f t="shared" si="29"/>
        <v>6.5692841578565087E-2</v>
      </c>
      <c r="F121" s="308">
        <f>(DataUK1!DW109-DataUK1!F109)/DataUK1!$G109</f>
        <v>3.8414978613509808E-2</v>
      </c>
      <c r="G121" s="394">
        <f t="shared" si="30"/>
        <v>2.7277862965055279E-2</v>
      </c>
      <c r="H121" s="1926">
        <f t="shared" si="20"/>
        <v>0.1555161003954483</v>
      </c>
      <c r="I121" s="308">
        <f t="shared" si="21"/>
        <v>0.12823823743039303</v>
      </c>
      <c r="J121" s="394">
        <f>(DataUK1!F109)/DataUK1!$G109</f>
        <v>8.9823258816883217E-2</v>
      </c>
      <c r="K121" s="1398">
        <f t="shared" si="31"/>
        <v>-4.6808167218142238E-3</v>
      </c>
      <c r="L121" s="1934">
        <f>DataUK1!EI109/DataUK1!$G109</f>
        <v>0.24114276491001532</v>
      </c>
      <c r="M121" s="1934">
        <f>DataUK1!EJ109/DataUK1!$G109</f>
        <v>0.24582358163182955</v>
      </c>
      <c r="N121" s="203">
        <f>DataUK1!C109/DataUK1!$G109</f>
        <v>2.8811233960132354E-2</v>
      </c>
      <c r="O121" s="1935">
        <f>DataUK1!HN109/DataUK1!$G109</f>
        <v>3.1474457267371479E-3</v>
      </c>
      <c r="S121" s="564">
        <f t="shared" si="22"/>
        <v>1.0000000000000002</v>
      </c>
      <c r="T121" s="1244">
        <f t="shared" si="19"/>
        <v>0</v>
      </c>
      <c r="V121" s="233"/>
    </row>
    <row r="122" spans="1:22">
      <c r="A122" s="198">
        <f t="shared" si="32"/>
        <v>1951</v>
      </c>
      <c r="B122" s="192">
        <f t="shared" si="28"/>
        <v>0.93241167434715821</v>
      </c>
      <c r="C122" s="202">
        <f>DataUK1!DU110/DataUK1!$G110</f>
        <v>0.73484017262819101</v>
      </c>
      <c r="D122" s="308">
        <f>DataUK1!DT110/DataUK1!$G110</f>
        <v>0.19757150171896715</v>
      </c>
      <c r="E122" s="307">
        <f t="shared" si="29"/>
        <v>6.9709604271816258E-2</v>
      </c>
      <c r="F122" s="308">
        <f>(DataUK1!DW110-DataUK1!F110)/DataUK1!$G110</f>
        <v>9.3848292004974035E-2</v>
      </c>
      <c r="G122" s="394">
        <f t="shared" si="30"/>
        <v>-2.4138687733157776E-2</v>
      </c>
      <c r="H122" s="1926">
        <f t="shared" si="20"/>
        <v>0.16502084704849684</v>
      </c>
      <c r="I122" s="308">
        <f t="shared" si="21"/>
        <v>0.18915953478165459</v>
      </c>
      <c r="J122" s="394">
        <f>(DataUK1!F110)/DataUK1!$G110</f>
        <v>9.5311242776680571E-2</v>
      </c>
      <c r="K122" s="1398">
        <f t="shared" si="31"/>
        <v>-4.8277375466315553E-2</v>
      </c>
      <c r="L122" s="1934">
        <f>DataUK1!EI110/DataUK1!$G110</f>
        <v>0.26618389291200351</v>
      </c>
      <c r="M122" s="1934">
        <f>DataUK1!EJ110/DataUK1!$G110</f>
        <v>0.31446126837831906</v>
      </c>
      <c r="N122" s="203">
        <f>DataUK1!C110/DataUK1!$G110</f>
        <v>2.2017409114183307E-2</v>
      </c>
      <c r="O122" s="1935">
        <f>DataUK1!HN110/DataUK1!$G110</f>
        <v>2.1212786189744714E-3</v>
      </c>
      <c r="S122" s="564">
        <f t="shared" si="22"/>
        <v>0.99999999999999989</v>
      </c>
      <c r="T122" s="1244">
        <f t="shared" si="19"/>
        <v>0</v>
      </c>
      <c r="V122" s="233"/>
    </row>
    <row r="123" spans="1:22">
      <c r="A123" s="198">
        <f t="shared" si="32"/>
        <v>1952</v>
      </c>
      <c r="B123" s="192">
        <f t="shared" si="28"/>
        <v>0.93798977853492327</v>
      </c>
      <c r="C123" s="202">
        <f>DataUK1!DU111/DataUK1!$G111</f>
        <v>0.72095400340715499</v>
      </c>
      <c r="D123" s="308">
        <f>DataUK1!DT111/DataUK1!$G111</f>
        <v>0.21703577512776831</v>
      </c>
      <c r="E123" s="307">
        <f t="shared" si="29"/>
        <v>7.3526405451448035E-2</v>
      </c>
      <c r="F123" s="308">
        <f>(DataUK1!DW111-DataUK1!F111)/DataUK1!$G111</f>
        <v>5.7921635434412269E-2</v>
      </c>
      <c r="G123" s="394">
        <f t="shared" si="30"/>
        <v>1.5604770017035759E-2</v>
      </c>
      <c r="H123" s="1926">
        <f t="shared" si="20"/>
        <v>0.17335604770017035</v>
      </c>
      <c r="I123" s="308">
        <f t="shared" si="21"/>
        <v>0.15775127768313457</v>
      </c>
      <c r="J123" s="394">
        <f>(DataUK1!F111)/DataUK1!$G111</f>
        <v>9.9829642248722317E-2</v>
      </c>
      <c r="K123" s="1398">
        <f t="shared" si="31"/>
        <v>-1.0153321976149932E-2</v>
      </c>
      <c r="L123" s="1934">
        <f>DataUK1!EI111/DataUK1!$G111</f>
        <v>0.25553662691652468</v>
      </c>
      <c r="M123" s="1934">
        <f>DataUK1!EJ111/DataUK1!$G111</f>
        <v>0.26568994889267461</v>
      </c>
      <c r="N123" s="203">
        <f>DataUK1!C111/DataUK1!$G111</f>
        <v>1.4241908006814311E-2</v>
      </c>
      <c r="O123" s="1935">
        <f>DataUK1!HN111/DataUK1!$G111</f>
        <v>1.151618398637138E-2</v>
      </c>
      <c r="S123" s="564">
        <f t="shared" si="22"/>
        <v>1</v>
      </c>
      <c r="T123" s="1244">
        <f t="shared" si="19"/>
        <v>0</v>
      </c>
      <c r="V123" s="233"/>
    </row>
    <row r="124" spans="1:22">
      <c r="A124" s="198">
        <f t="shared" si="32"/>
        <v>1953</v>
      </c>
      <c r="B124" s="192">
        <f t="shared" si="28"/>
        <v>0.9231207289293849</v>
      </c>
      <c r="C124" s="202">
        <f>DataUK1!DU112/DataUK1!$G112</f>
        <v>0.71399645659326749</v>
      </c>
      <c r="D124" s="308">
        <f>DataUK1!DT112/DataUK1!$G112</f>
        <v>0.20912427233611744</v>
      </c>
      <c r="E124" s="307">
        <f t="shared" si="29"/>
        <v>8.5927613262465175E-2</v>
      </c>
      <c r="F124" s="308">
        <f>(DataUK1!DW112-DataUK1!F112)/DataUK1!$G112</f>
        <v>7.3019488737028598E-2</v>
      </c>
      <c r="G124" s="394">
        <f t="shared" si="30"/>
        <v>1.2908124525436576E-2</v>
      </c>
      <c r="H124" s="1926">
        <f t="shared" si="20"/>
        <v>0.18153631991900782</v>
      </c>
      <c r="I124" s="308">
        <f t="shared" si="21"/>
        <v>0.16862819539357124</v>
      </c>
      <c r="J124" s="394">
        <f>(DataUK1!F112)/DataUK1!$G112</f>
        <v>9.5608706656542641E-2</v>
      </c>
      <c r="K124" s="1398">
        <f t="shared" si="31"/>
        <v>-7.6562895469501624E-3</v>
      </c>
      <c r="L124" s="1934">
        <f>DataUK1!EI112/DataUK1!$G112</f>
        <v>0.2326626170589724</v>
      </c>
      <c r="M124" s="1934">
        <f>DataUK1!EJ112/DataUK1!$G112</f>
        <v>0.24031890660592256</v>
      </c>
      <c r="N124" s="203">
        <f>DataUK1!C112/DataUK1!$G112</f>
        <v>1.1516071880536573E-2</v>
      </c>
      <c r="O124" s="1935">
        <f>DataUK1!HN112/DataUK1!$G112</f>
        <v>9.0483421918501651E-3</v>
      </c>
      <c r="S124" s="564">
        <f t="shared" si="22"/>
        <v>1</v>
      </c>
      <c r="T124" s="1244">
        <f t="shared" si="19"/>
        <v>0</v>
      </c>
      <c r="V124" s="233"/>
    </row>
    <row r="125" spans="1:22">
      <c r="A125" s="198">
        <f t="shared" si="32"/>
        <v>1954</v>
      </c>
      <c r="B125" s="192">
        <f t="shared" si="28"/>
        <v>0.92123102765612819</v>
      </c>
      <c r="C125" s="202">
        <f>DataUK1!DU113/DataUK1!$G113</f>
        <v>0.71791949127122201</v>
      </c>
      <c r="D125" s="308">
        <f>DataUK1!DT113/DataUK1!$G113</f>
        <v>0.20331153638490612</v>
      </c>
      <c r="E125" s="307">
        <f t="shared" si="29"/>
        <v>8.2068510408542822E-2</v>
      </c>
      <c r="F125" s="308">
        <f>(DataUK1!DW113-DataUK1!F113)/DataUK1!$G113</f>
        <v>7.2469854220409149E-2</v>
      </c>
      <c r="G125" s="394">
        <f t="shared" si="30"/>
        <v>9.5986561881336689E-3</v>
      </c>
      <c r="H125" s="1926">
        <f t="shared" si="20"/>
        <v>0.17739516467694524</v>
      </c>
      <c r="I125" s="308">
        <f t="shared" si="21"/>
        <v>0.16779650848881156</v>
      </c>
      <c r="J125" s="394">
        <f>(DataUK1!F113)/DataUK1!$G113</f>
        <v>9.5326654268402422E-2</v>
      </c>
      <c r="K125" s="1398">
        <f t="shared" si="31"/>
        <v>-5.6992021117043545E-3</v>
      </c>
      <c r="L125" s="1934">
        <f>DataUK1!EI113/DataUK1!$G113</f>
        <v>0.22958785769992202</v>
      </c>
      <c r="M125" s="1934">
        <f>DataUK1!EJ113/DataUK1!$G113</f>
        <v>0.23528705981162637</v>
      </c>
      <c r="N125" s="203">
        <f>DataUK1!C113/DataUK1!$G113</f>
        <v>1.1998320235167077E-2</v>
      </c>
      <c r="O125" s="1935">
        <f>DataUK1!HN113/DataUK1!$G113</f>
        <v>3.299538064670946E-3</v>
      </c>
      <c r="S125" s="564">
        <f t="shared" si="22"/>
        <v>1</v>
      </c>
      <c r="T125" s="1244">
        <f t="shared" si="19"/>
        <v>0</v>
      </c>
      <c r="V125" s="233"/>
    </row>
    <row r="126" spans="1:22">
      <c r="A126" s="198">
        <f t="shared" si="32"/>
        <v>1955</v>
      </c>
      <c r="B126" s="192">
        <f t="shared" si="28"/>
        <v>0.92028089887640441</v>
      </c>
      <c r="C126" s="202">
        <f>DataUK1!DU114/DataUK1!$G114</f>
        <v>0.72556179775280893</v>
      </c>
      <c r="D126" s="308">
        <f>DataUK1!DT114/DataUK1!$G114</f>
        <v>0.1947191011235955</v>
      </c>
      <c r="E126" s="307">
        <f t="shared" si="29"/>
        <v>8.2134831460674171E-2</v>
      </c>
      <c r="F126" s="308">
        <f>(DataUK1!DW114-DataUK1!F114)/DataUK1!$G114</f>
        <v>8.8202247191011232E-2</v>
      </c>
      <c r="G126" s="394">
        <f t="shared" si="30"/>
        <v>-6.0674157303370613E-3</v>
      </c>
      <c r="H126" s="1926">
        <f t="shared" si="20"/>
        <v>0.1807865168539326</v>
      </c>
      <c r="I126" s="308">
        <f t="shared" si="21"/>
        <v>0.18685393258426966</v>
      </c>
      <c r="J126" s="394">
        <f>(DataUK1!F114)/DataUK1!$G114</f>
        <v>9.8651685393258429E-2</v>
      </c>
      <c r="K126" s="1398">
        <f t="shared" si="31"/>
        <v>-1.5337078651685376E-2</v>
      </c>
      <c r="L126" s="1934">
        <f>DataUK1!EI114/DataUK1!$G114</f>
        <v>0.23404494382022473</v>
      </c>
      <c r="M126" s="1934">
        <f>DataUK1!EJ114/DataUK1!$G114</f>
        <v>0.2493820224719101</v>
      </c>
      <c r="N126" s="203">
        <f>DataUK1!C114/DataUK1!$G114</f>
        <v>6.8539325842696631E-3</v>
      </c>
      <c r="O126" s="1935">
        <f>DataUK1!HN114/DataUK1!$G114</f>
        <v>2.4157303370786515E-3</v>
      </c>
      <c r="S126" s="564">
        <f t="shared" si="22"/>
        <v>1</v>
      </c>
      <c r="T126" s="1244">
        <f t="shared" si="19"/>
        <v>0</v>
      </c>
      <c r="V126" s="233"/>
    </row>
    <row r="127" spans="1:22">
      <c r="A127" s="198">
        <f t="shared" si="32"/>
        <v>1956</v>
      </c>
      <c r="B127" s="192">
        <f t="shared" si="28"/>
        <v>0.90121722846441954</v>
      </c>
      <c r="C127" s="202">
        <f>DataUK1!DU115/DataUK1!$G115</f>
        <v>0.70656471077819394</v>
      </c>
      <c r="D127" s="308">
        <f>DataUK1!DT115/DataUK1!$G115</f>
        <v>0.19465251768622555</v>
      </c>
      <c r="E127" s="307">
        <f t="shared" si="29"/>
        <v>9.8886808156471079E-2</v>
      </c>
      <c r="F127" s="308">
        <f>(DataUK1!DW115-DataUK1!F115)/DataUK1!$G115</f>
        <v>8.5830212234706618E-2</v>
      </c>
      <c r="G127" s="394">
        <f t="shared" si="30"/>
        <v>1.3056595921764462E-2</v>
      </c>
      <c r="H127" s="1926">
        <f t="shared" si="20"/>
        <v>0.19897003745318353</v>
      </c>
      <c r="I127" s="308">
        <f t="shared" si="21"/>
        <v>0.18591344153141906</v>
      </c>
      <c r="J127" s="394">
        <f>(DataUK1!F115)/DataUK1!$G115</f>
        <v>0.10008322929671244</v>
      </c>
      <c r="K127" s="1398">
        <f t="shared" si="31"/>
        <v>3.9533915938410324E-3</v>
      </c>
      <c r="L127" s="1934">
        <f>DataUK1!EI115/DataUK1!$G115</f>
        <v>0.23855597170203913</v>
      </c>
      <c r="M127" s="1934">
        <f>DataUK1!EJ115/DataUK1!$G115</f>
        <v>0.23460258010819809</v>
      </c>
      <c r="N127" s="203">
        <f>DataUK1!C115/DataUK1!$G115</f>
        <v>8.9991677070328756E-3</v>
      </c>
      <c r="O127" s="1935">
        <f>DataUK1!HN115/DataUK1!$G115</f>
        <v>1.0403662089055348E-4</v>
      </c>
      <c r="S127" s="564">
        <f t="shared" si="22"/>
        <v>1</v>
      </c>
      <c r="T127" s="1244">
        <f t="shared" si="19"/>
        <v>8.2670415652019713E-19</v>
      </c>
      <c r="V127" s="233"/>
    </row>
    <row r="128" spans="1:22">
      <c r="A128" s="198">
        <f t="shared" si="32"/>
        <v>1957</v>
      </c>
      <c r="B128" s="192">
        <f t="shared" si="28"/>
        <v>0.8982608267231611</v>
      </c>
      <c r="C128" s="202">
        <f>DataUK1!DU116/DataUK1!$G116</f>
        <v>0.70572005715130315</v>
      </c>
      <c r="D128" s="308">
        <f>DataUK1!DT116/DataUK1!$G116</f>
        <v>0.19254076957185792</v>
      </c>
      <c r="E128" s="307">
        <f t="shared" si="29"/>
        <v>0.10149283145292408</v>
      </c>
      <c r="F128" s="308">
        <f>(DataUK1!DW116-DataUK1!F116)/DataUK1!$G116</f>
        <v>8.7796226043257625E-2</v>
      </c>
      <c r="G128" s="394">
        <f t="shared" si="30"/>
        <v>1.3696605409666449E-2</v>
      </c>
      <c r="H128" s="1926">
        <f t="shared" si="20"/>
        <v>0.20278858944671627</v>
      </c>
      <c r="I128" s="308">
        <f t="shared" si="21"/>
        <v>0.1890919840370498</v>
      </c>
      <c r="J128" s="394">
        <f>(DataUK1!F116)/DataUK1!$G116</f>
        <v>0.10129575799379219</v>
      </c>
      <c r="K128" s="1398">
        <f t="shared" si="31"/>
        <v>4.5326895600334982E-3</v>
      </c>
      <c r="L128" s="1934">
        <f>DataUK1!EI116/DataUK1!$G116</f>
        <v>0.23762132334827807</v>
      </c>
      <c r="M128" s="1934">
        <f>DataUK1!EJ116/DataUK1!$G116</f>
        <v>0.23308863378824457</v>
      </c>
      <c r="N128" s="203">
        <f>DataUK1!C116/DataUK1!$G116</f>
        <v>9.4102576735478147E-3</v>
      </c>
      <c r="O128" s="1935">
        <f>DataUK1!HN116/DataUK1!$G116</f>
        <v>-2.4634182391486425E-4</v>
      </c>
      <c r="S128" s="564">
        <f t="shared" si="22"/>
        <v>1</v>
      </c>
      <c r="T128" s="1244">
        <f t="shared" si="19"/>
        <v>0</v>
      </c>
      <c r="V128" s="233"/>
    </row>
    <row r="129" spans="1:22">
      <c r="A129" s="198">
        <f t="shared" si="32"/>
        <v>1958</v>
      </c>
      <c r="B129" s="192">
        <f t="shared" si="28"/>
        <v>0.90354321396470982</v>
      </c>
      <c r="C129" s="202">
        <f>DataUK1!DU117/DataUK1!$G117</f>
        <v>0.71507639907280385</v>
      </c>
      <c r="D129" s="308">
        <f>DataUK1!DT117/DataUK1!$G117</f>
        <v>0.18846681489190595</v>
      </c>
      <c r="E129" s="307">
        <f t="shared" si="29"/>
        <v>9.6646009745021064E-2</v>
      </c>
      <c r="F129" s="308">
        <f>(DataUK1!DW117-DataUK1!F117)/DataUK1!$G117</f>
        <v>7.8480533610861436E-2</v>
      </c>
      <c r="G129" s="394">
        <f t="shared" si="30"/>
        <v>1.8165476134159631E-2</v>
      </c>
      <c r="H129" s="1926">
        <f t="shared" si="20"/>
        <v>0.19958370783859219</v>
      </c>
      <c r="I129" s="308">
        <f t="shared" si="21"/>
        <v>0.18141823170443255</v>
      </c>
      <c r="J129" s="394">
        <f>(DataUK1!F117)/DataUK1!$G117</f>
        <v>0.10293769809357113</v>
      </c>
      <c r="K129" s="1398">
        <f t="shared" si="31"/>
        <v>7.2378068972042409E-3</v>
      </c>
      <c r="L129" s="1934">
        <f>DataUK1!EI117/DataUK1!$G117</f>
        <v>0.22177018780453192</v>
      </c>
      <c r="M129" s="1934">
        <f>DataUK1!EJ117/DataUK1!$G117</f>
        <v>0.21453238090732768</v>
      </c>
      <c r="N129" s="203">
        <f>DataUK1!C117/DataUK1!$G117</f>
        <v>1.0738445527224562E-2</v>
      </c>
      <c r="O129" s="1935">
        <f>DataUK1!HN117/DataUK1!$G117</f>
        <v>1.8922370973082928E-4</v>
      </c>
      <c r="S129" s="564">
        <f t="shared" si="22"/>
        <v>1.0000000000000002</v>
      </c>
      <c r="T129" s="1244">
        <f t="shared" si="19"/>
        <v>-8.4025668367626594E-19</v>
      </c>
      <c r="V129" s="233"/>
    </row>
    <row r="130" spans="1:22">
      <c r="A130" s="198">
        <f t="shared" si="32"/>
        <v>1959</v>
      </c>
      <c r="B130" s="192">
        <f t="shared" si="28"/>
        <v>0.9051898449786564</v>
      </c>
      <c r="C130" s="202">
        <f>DataUK1!DU118/DataUK1!$G118</f>
        <v>0.71503033026286222</v>
      </c>
      <c r="D130" s="308">
        <f>DataUK1!DT118/DataUK1!$G118</f>
        <v>0.1901595147157942</v>
      </c>
      <c r="E130" s="307">
        <f t="shared" si="29"/>
        <v>9.481015502134349E-2</v>
      </c>
      <c r="F130" s="308">
        <f>(DataUK1!DW118-DataUK1!F118)/DataUK1!$G118</f>
        <v>8.5913277915075262E-2</v>
      </c>
      <c r="G130" s="394">
        <f t="shared" si="30"/>
        <v>8.8968771062682313E-3</v>
      </c>
      <c r="H130" s="1926">
        <f t="shared" si="20"/>
        <v>0.19573129633790157</v>
      </c>
      <c r="I130" s="308">
        <f t="shared" si="21"/>
        <v>0.18683441923163335</v>
      </c>
      <c r="J130" s="394">
        <f>(DataUK1!F118)/DataUK1!$G118</f>
        <v>0.10092114131655808</v>
      </c>
      <c r="K130" s="1398">
        <f t="shared" si="31"/>
        <v>8.9867445517838318E-5</v>
      </c>
      <c r="L130" s="1934">
        <f>DataUK1!EI118/DataUK1!$G118</f>
        <v>0.21729948326218826</v>
      </c>
      <c r="M130" s="1934">
        <f>DataUK1!EJ118/DataUK1!$G118</f>
        <v>0.21720961581667042</v>
      </c>
      <c r="N130" s="203">
        <f>DataUK1!C118/DataUK1!$G118</f>
        <v>8.807009660750393E-3</v>
      </c>
      <c r="O130" s="1935">
        <f>DataUK1!HN118/DataUK1!$G118</f>
        <v>0</v>
      </c>
      <c r="S130" s="564">
        <f t="shared" si="22"/>
        <v>0.99999999999999989</v>
      </c>
      <c r="T130" s="1244">
        <f t="shared" si="19"/>
        <v>0</v>
      </c>
      <c r="V130" s="233"/>
    </row>
    <row r="131" spans="1:22">
      <c r="A131" s="199">
        <f t="shared" si="32"/>
        <v>1960</v>
      </c>
      <c r="B131" s="194">
        <f t="shared" si="28"/>
        <v>0.89929035822037129</v>
      </c>
      <c r="C131" s="237">
        <f>DataUK1!DU119/DataUK1!$G119</f>
        <v>0.70938681851017715</v>
      </c>
      <c r="D131" s="551">
        <f>DataUK1!DT119/DataUK1!$G119</f>
        <v>0.18990353971019419</v>
      </c>
      <c r="E131" s="569">
        <f t="shared" si="29"/>
        <v>0.10045468066119916</v>
      </c>
      <c r="F131" s="551">
        <f>(DataUK1!DW119-DataUK1!F119)/DataUK1!$G119</f>
        <v>0.10916585220753836</v>
      </c>
      <c r="G131" s="554">
        <f t="shared" si="30"/>
        <v>-8.711171546339198E-3</v>
      </c>
      <c r="H131" s="1928">
        <f t="shared" si="20"/>
        <v>0.2007818807631836</v>
      </c>
      <c r="I131" s="551">
        <f t="shared" si="21"/>
        <v>0.20949305230952281</v>
      </c>
      <c r="J131" s="554">
        <f>(DataUK1!F119)/DataUK1!$G119</f>
        <v>0.10032720010198445</v>
      </c>
      <c r="K131" s="1941">
        <f t="shared" si="31"/>
        <v>-1.5510134704457584E-2</v>
      </c>
      <c r="L131" s="1936">
        <f>DataUK1!EI119/DataUK1!$G119</f>
        <v>0.21816173033612374</v>
      </c>
      <c r="M131" s="1936">
        <f>DataUK1!EJ119/DataUK1!$G119</f>
        <v>0.23367186504058132</v>
      </c>
      <c r="N131" s="212">
        <f>DataUK1!C119/DataUK1!$G119</f>
        <v>7.0539242765478268E-3</v>
      </c>
      <c r="O131" s="1937">
        <f>DataUK1!HN119/DataUK1!$G119</f>
        <v>-2.5496111842943949E-4</v>
      </c>
      <c r="S131" s="564">
        <f t="shared" si="22"/>
        <v>0.99999999999999989</v>
      </c>
      <c r="T131" s="1244">
        <f t="shared" si="19"/>
        <v>-9.7578195523695399E-19</v>
      </c>
      <c r="V131" s="233"/>
    </row>
    <row r="132" spans="1:22">
      <c r="A132" s="198">
        <f t="shared" si="32"/>
        <v>1961</v>
      </c>
      <c r="B132" s="192">
        <f t="shared" si="28"/>
        <v>0.89132606176834872</v>
      </c>
      <c r="C132" s="202">
        <f>DataUK1!DU120/DataUK1!$G120</f>
        <v>0.70150625274681366</v>
      </c>
      <c r="D132" s="308">
        <f>DataUK1!DT120/DataUK1!$G120</f>
        <v>0.18981980902153503</v>
      </c>
      <c r="E132" s="307">
        <f t="shared" si="29"/>
        <v>0.10831435534779656</v>
      </c>
      <c r="F132" s="308">
        <f>(DataUK1!DW120-DataUK1!F120)/DataUK1!$G120</f>
        <v>0.10487834112429582</v>
      </c>
      <c r="G132" s="394">
        <f t="shared" si="30"/>
        <v>3.4360142235007394E-3</v>
      </c>
      <c r="H132" s="1926">
        <f t="shared" si="20"/>
        <v>0.20991649686363817</v>
      </c>
      <c r="I132" s="308">
        <f t="shared" si="21"/>
        <v>0.20648048264013746</v>
      </c>
      <c r="J132" s="394">
        <f>(DataUK1!F120)/DataUK1!$G120</f>
        <v>0.10160214151584163</v>
      </c>
      <c r="K132" s="1398">
        <f t="shared" si="31"/>
        <v>-3.7156897998321947E-3</v>
      </c>
      <c r="L132" s="1934">
        <f>DataUK1!EI120/DataUK1!$G120</f>
        <v>0.21439130608494147</v>
      </c>
      <c r="M132" s="1934">
        <f>DataUK1!EJ120/DataUK1!$G120</f>
        <v>0.21810699588477367</v>
      </c>
      <c r="N132" s="203">
        <f>DataUK1!C120/DataUK1!$G120</f>
        <v>7.5112869071876625E-3</v>
      </c>
      <c r="O132" s="1935">
        <f>DataUK1!HN120/DataUK1!$G120</f>
        <v>-3.595828838547285E-4</v>
      </c>
      <c r="S132" s="564">
        <f t="shared" si="22"/>
        <v>1</v>
      </c>
      <c r="T132" s="1244">
        <f t="shared" si="19"/>
        <v>5.9631119486702744E-19</v>
      </c>
      <c r="V132" s="233"/>
    </row>
    <row r="133" spans="1:22">
      <c r="A133" s="198">
        <f t="shared" si="32"/>
        <v>1962</v>
      </c>
      <c r="B133" s="192">
        <f t="shared" si="28"/>
        <v>0.90189125295508277</v>
      </c>
      <c r="C133" s="202">
        <f>DataUK1!DU121/DataUK1!$G121</f>
        <v>0.70910546785632578</v>
      </c>
      <c r="D133" s="308">
        <f>DataUK1!DT121/DataUK1!$G121</f>
        <v>0.19278578509875696</v>
      </c>
      <c r="E133" s="307">
        <f t="shared" si="29"/>
        <v>9.7574925646305197E-2</v>
      </c>
      <c r="F133" s="308">
        <f>(DataUK1!DW121-DataUK1!F121)/DataUK1!$G121</f>
        <v>9.010142606573629E-2</v>
      </c>
      <c r="G133" s="394">
        <f t="shared" si="30"/>
        <v>7.4734995805689044E-3</v>
      </c>
      <c r="H133" s="1926">
        <f t="shared" si="20"/>
        <v>0.19968733318081294</v>
      </c>
      <c r="I133" s="308">
        <f t="shared" si="21"/>
        <v>0.19221383360024402</v>
      </c>
      <c r="J133" s="394">
        <f>(DataUK1!F121)/DataUK1!$G121</f>
        <v>0.10211240753450775</v>
      </c>
      <c r="K133" s="1398">
        <f t="shared" si="31"/>
        <v>-2.0590253946465298E-3</v>
      </c>
      <c r="L133" s="1934">
        <f>DataUK1!EI121/DataUK1!$G121</f>
        <v>0.20971554945473958</v>
      </c>
      <c r="M133" s="1934">
        <f>DataUK1!EJ121/DataUK1!$G121</f>
        <v>0.21177457484938611</v>
      </c>
      <c r="N133" s="203">
        <f>DataUK1!C121/DataUK1!$G121</f>
        <v>1.0066346373827499E-2</v>
      </c>
      <c r="O133" s="1935">
        <f>DataUK1!HN121/DataUK1!$G121</f>
        <v>-5.3382139861206433E-4</v>
      </c>
      <c r="S133" s="564">
        <f t="shared" si="22"/>
        <v>1</v>
      </c>
      <c r="T133" s="1244">
        <f t="shared" si="19"/>
        <v>-1.1926223897340549E-18</v>
      </c>
      <c r="V133" s="233"/>
    </row>
    <row r="134" spans="1:22">
      <c r="A134" s="198">
        <f t="shared" si="32"/>
        <v>1963</v>
      </c>
      <c r="B134" s="192">
        <f t="shared" si="28"/>
        <v>0.89845236812811946</v>
      </c>
      <c r="C134" s="202">
        <f>DataUK1!DU122/DataUK1!$G122</f>
        <v>0.71234155624977558</v>
      </c>
      <c r="D134" s="308">
        <f>DataUK1!DT122/DataUK1!$G122</f>
        <v>0.18611081187834391</v>
      </c>
      <c r="E134" s="307">
        <f t="shared" si="29"/>
        <v>0.10021903838557938</v>
      </c>
      <c r="F134" s="308">
        <f>(DataUK1!DW122-DataUK1!F122)/DataUK1!$G122</f>
        <v>9.4114689935006643E-2</v>
      </c>
      <c r="G134" s="394">
        <f t="shared" si="30"/>
        <v>6.1043484505727448E-3</v>
      </c>
      <c r="H134" s="1926">
        <f t="shared" si="20"/>
        <v>0.20201802578189523</v>
      </c>
      <c r="I134" s="308">
        <f t="shared" si="21"/>
        <v>0.19591367733132248</v>
      </c>
      <c r="J134" s="394">
        <f>(DataUK1!F122)/DataUK1!$G122</f>
        <v>0.10179898739631585</v>
      </c>
      <c r="K134" s="1398">
        <f t="shared" si="31"/>
        <v>-4.2730439154008981E-3</v>
      </c>
      <c r="L134" s="1934">
        <f>DataUK1!EI122/DataUK1!$G122</f>
        <v>0.21013321842795074</v>
      </c>
      <c r="M134" s="1934">
        <f>DataUK1!EJ122/DataUK1!$G122</f>
        <v>0.21440626234335164</v>
      </c>
      <c r="N134" s="203">
        <f>DataUK1!C122/DataUK1!$G122</f>
        <v>1.1705985852274767E-2</v>
      </c>
      <c r="O134" s="1935">
        <f>DataUK1!HN122/DataUK1!$G122</f>
        <v>-1.3285934863011238E-3</v>
      </c>
      <c r="S134" s="564">
        <f t="shared" si="22"/>
        <v>0.99999999999999989</v>
      </c>
      <c r="T134" s="1244">
        <f t="shared" si="19"/>
        <v>0</v>
      </c>
      <c r="V134" s="233"/>
    </row>
    <row r="135" spans="1:22">
      <c r="A135" s="198">
        <f t="shared" si="32"/>
        <v>1964</v>
      </c>
      <c r="B135" s="192">
        <f t="shared" si="28"/>
        <v>0.87936539284421189</v>
      </c>
      <c r="C135" s="202">
        <f>DataUK1!DU123/DataUK1!$G123</f>
        <v>0.69747539580658968</v>
      </c>
      <c r="D135" s="308">
        <f>DataUK1!DT123/DataUK1!$G123</f>
        <v>0.18188999703762221</v>
      </c>
      <c r="E135" s="307">
        <f t="shared" si="29"/>
        <v>0.11819887429643525</v>
      </c>
      <c r="F135" s="308">
        <f>(DataUK1!DW123-DataUK1!F123)/DataUK1!$G123</f>
        <v>0.12896218031006221</v>
      </c>
      <c r="G135" s="394">
        <f t="shared" si="30"/>
        <v>-1.0763306013626957E-2</v>
      </c>
      <c r="H135" s="1926">
        <f t="shared" si="20"/>
        <v>0.21895263487047822</v>
      </c>
      <c r="I135" s="308">
        <f t="shared" si="21"/>
        <v>0.22971594088410519</v>
      </c>
      <c r="J135" s="394">
        <f>(DataUK1!F123)/DataUK1!$G123</f>
        <v>0.10075376057404299</v>
      </c>
      <c r="K135" s="1398">
        <f t="shared" si="31"/>
        <v>-1.925545571245188E-2</v>
      </c>
      <c r="L135" s="1934">
        <f>DataUK1!EI123/DataUK1!$G123</f>
        <v>0.20351535499160658</v>
      </c>
      <c r="M135" s="1934">
        <f>DataUK1!EJ123/DataUK1!$G123</f>
        <v>0.22277081070405846</v>
      </c>
      <c r="N135" s="203">
        <f>DataUK1!C123/DataUK1!$G123</f>
        <v>1.0927882558177808E-2</v>
      </c>
      <c r="O135" s="1935">
        <f>DataUK1!HN123/DataUK1!$G123</f>
        <v>-2.4357328593528852E-3</v>
      </c>
      <c r="S135" s="564">
        <f t="shared" si="22"/>
        <v>1</v>
      </c>
      <c r="T135" s="1244">
        <f t="shared" si="19"/>
        <v>0</v>
      </c>
      <c r="V135" s="233"/>
    </row>
    <row r="136" spans="1:22">
      <c r="A136" s="198">
        <f t="shared" si="32"/>
        <v>1965</v>
      </c>
      <c r="B136" s="192">
        <f t="shared" si="28"/>
        <v>0.87814626109772098</v>
      </c>
      <c r="C136" s="202">
        <f>DataUK1!DU124/DataUK1!$G124</f>
        <v>0.68764682551789369</v>
      </c>
      <c r="D136" s="308">
        <f>DataUK1!DT124/DataUK1!$G124</f>
        <v>0.19049943557982732</v>
      </c>
      <c r="E136" s="307">
        <f t="shared" si="29"/>
        <v>0.11956554901302742</v>
      </c>
      <c r="F136" s="308">
        <f>(DataUK1!DW124-DataUK1!F124)/DataUK1!$G124</f>
        <v>0.12057235256429813</v>
      </c>
      <c r="G136" s="394">
        <f t="shared" si="30"/>
        <v>-1.0068035512707067E-3</v>
      </c>
      <c r="H136" s="1926">
        <f t="shared" si="20"/>
        <v>0.22064252372090185</v>
      </c>
      <c r="I136" s="308">
        <f t="shared" si="21"/>
        <v>0.22164932727217257</v>
      </c>
      <c r="J136" s="394">
        <f>(DataUK1!F124)/DataUK1!$G124</f>
        <v>0.10107697470787443</v>
      </c>
      <c r="K136" s="1398">
        <f t="shared" si="31"/>
        <v>-1.0037526314183726E-2</v>
      </c>
      <c r="L136" s="1934">
        <f>DataUK1!EI124/DataUK1!$G124</f>
        <v>0.2012386734600482</v>
      </c>
      <c r="M136" s="1934">
        <f>DataUK1!EJ124/DataUK1!$G124</f>
        <v>0.21127619977423193</v>
      </c>
      <c r="N136" s="203">
        <f>DataUK1!C124/DataUK1!$G124</f>
        <v>1.1318912652164628E-2</v>
      </c>
      <c r="O136" s="1935">
        <f>DataUK1!HN124/DataUK1!$G124</f>
        <v>-2.2881898892516093E-3</v>
      </c>
      <c r="S136" s="564">
        <f t="shared" si="22"/>
        <v>1</v>
      </c>
      <c r="T136" s="1244">
        <f t="shared" si="19"/>
        <v>0</v>
      </c>
      <c r="V136" s="233"/>
    </row>
    <row r="137" spans="1:22">
      <c r="A137" s="198">
        <f t="shared" si="32"/>
        <v>1966</v>
      </c>
      <c r="B137" s="192">
        <f t="shared" si="28"/>
        <v>0.87886183530492712</v>
      </c>
      <c r="C137" s="202">
        <f>DataUK1!DU125/DataUK1!$G125</f>
        <v>0.68387504306879521</v>
      </c>
      <c r="D137" s="308">
        <f>DataUK1!DT125/DataUK1!$G125</f>
        <v>0.19498679223613186</v>
      </c>
      <c r="E137" s="307">
        <f t="shared" si="29"/>
        <v>0.11852532445159067</v>
      </c>
      <c r="F137" s="308">
        <f>(DataUK1!DW125-DataUK1!F125)/DataUK1!$G125</f>
        <v>0.11390260709773745</v>
      </c>
      <c r="G137" s="394">
        <f t="shared" si="30"/>
        <v>4.6227173538532194E-3</v>
      </c>
      <c r="H137" s="1926">
        <f t="shared" si="20"/>
        <v>0.22137360744228779</v>
      </c>
      <c r="I137" s="308">
        <f t="shared" si="21"/>
        <v>0.21675089008843457</v>
      </c>
      <c r="J137" s="394">
        <f>(DataUK1!F125)/DataUK1!$G125</f>
        <v>0.10284828299069713</v>
      </c>
      <c r="K137" s="1398">
        <f t="shared" si="31"/>
        <v>-1.9237395199264984E-3</v>
      </c>
      <c r="L137" s="1934">
        <f>DataUK1!EI125/DataUK1!$G125</f>
        <v>0.20523716549902377</v>
      </c>
      <c r="M137" s="1934">
        <f>DataUK1!EJ125/DataUK1!$G125</f>
        <v>0.20716090501895026</v>
      </c>
      <c r="N137" s="203">
        <f>DataUK1!C125/DataUK1!$G125</f>
        <v>9.159297117261973E-3</v>
      </c>
      <c r="O137" s="1935">
        <f>DataUK1!HN125/DataUK1!$G125</f>
        <v>-2.6128402434822556E-3</v>
      </c>
      <c r="S137" s="564">
        <f t="shared" si="22"/>
        <v>1</v>
      </c>
      <c r="T137" s="1244">
        <f t="shared" si="19"/>
        <v>0</v>
      </c>
      <c r="V137" s="233"/>
    </row>
    <row r="138" spans="1:22">
      <c r="A138" s="198">
        <f t="shared" si="32"/>
        <v>1967</v>
      </c>
      <c r="B138" s="192">
        <f t="shared" si="28"/>
        <v>0.88274720503636162</v>
      </c>
      <c r="C138" s="202">
        <f>DataUK1!DU126/DataUK1!$G126</f>
        <v>0.67925757082383587</v>
      </c>
      <c r="D138" s="308">
        <f>DataUK1!DT126/DataUK1!$G126</f>
        <v>0.20348963421252578</v>
      </c>
      <c r="E138" s="307">
        <f t="shared" si="29"/>
        <v>0.11405079778573754</v>
      </c>
      <c r="F138" s="308">
        <f>(DataUK1!DW126-DataUK1!F126)/DataUK1!$G126</f>
        <v>0.12075328340388582</v>
      </c>
      <c r="G138" s="394">
        <f t="shared" si="30"/>
        <v>-6.7024856181482802E-3</v>
      </c>
      <c r="H138" s="1926">
        <f t="shared" si="20"/>
        <v>0.21665038532508413</v>
      </c>
      <c r="I138" s="308">
        <f t="shared" si="21"/>
        <v>0.22335287094323239</v>
      </c>
      <c r="J138" s="394">
        <f>(DataUK1!F126)/DataUK1!$G126</f>
        <v>0.10259958753934657</v>
      </c>
      <c r="K138" s="1398">
        <f t="shared" si="31"/>
        <v>-1.2048192771084348E-2</v>
      </c>
      <c r="L138" s="1934">
        <f>DataUK1!EI126/DataUK1!$G126</f>
        <v>0.1999891457722783</v>
      </c>
      <c r="M138" s="1934">
        <f>DataUK1!EJ126/DataUK1!$G126</f>
        <v>0.21203733854336265</v>
      </c>
      <c r="N138" s="203">
        <f>DataUK1!C126/DataUK1!$G126</f>
        <v>8.5477043308368611E-3</v>
      </c>
      <c r="O138" s="1935">
        <f>DataUK1!HN126/DataUK1!$G126</f>
        <v>-3.2019971779007925E-3</v>
      </c>
      <c r="S138" s="564">
        <f t="shared" si="22"/>
        <v>1</v>
      </c>
      <c r="T138" s="1244">
        <f t="shared" si="19"/>
        <v>0</v>
      </c>
      <c r="V138" s="233"/>
    </row>
    <row r="139" spans="1:22">
      <c r="A139" s="198">
        <f t="shared" si="32"/>
        <v>1968</v>
      </c>
      <c r="B139" s="192">
        <f t="shared" si="28"/>
        <v>0.87586759878724108</v>
      </c>
      <c r="C139" s="202">
        <f>DataUK1!DU127/DataUK1!$G127</f>
        <v>0.67586258738630389</v>
      </c>
      <c r="D139" s="308">
        <f>DataUK1!DT127/DataUK1!$G127</f>
        <v>0.20000501140093713</v>
      </c>
      <c r="E139" s="307">
        <f t="shared" si="29"/>
        <v>0.12115061765516552</v>
      </c>
      <c r="F139" s="308">
        <f>(DataUK1!DW127-DataUK1!F127)/DataUK1!$G127</f>
        <v>0.12693878573755293</v>
      </c>
      <c r="G139" s="394">
        <f t="shared" si="30"/>
        <v>-5.7881680823874083E-3</v>
      </c>
      <c r="H139" s="1926">
        <f t="shared" si="20"/>
        <v>0.22423513493197025</v>
      </c>
      <c r="I139" s="308">
        <f t="shared" si="21"/>
        <v>0.23002330301435767</v>
      </c>
      <c r="J139" s="394">
        <f>(DataUK1!F127)/DataUK1!$G127</f>
        <v>0.10308451727680473</v>
      </c>
      <c r="K139" s="1398">
        <f t="shared" si="31"/>
        <v>-9.1959207196371517E-3</v>
      </c>
      <c r="L139" s="1934">
        <f>DataUK1!EI127/DataUK1!$G127</f>
        <v>0.22456087599288382</v>
      </c>
      <c r="M139" s="1934">
        <f>DataUK1!EJ127/DataUK1!$G127</f>
        <v>0.23375679671252098</v>
      </c>
      <c r="N139" s="203">
        <f>DataUK1!C127/DataUK1!$G127</f>
        <v>6.3895361948432686E-3</v>
      </c>
      <c r="O139" s="1935">
        <f>DataUK1!HN127/DataUK1!$G127</f>
        <v>-2.9817835575935252E-3</v>
      </c>
      <c r="S139" s="564">
        <f t="shared" si="22"/>
        <v>1.0000000000000002</v>
      </c>
      <c r="T139" s="1244">
        <f t="shared" ref="T139:T181" si="33">G139-K139-N139-O139</f>
        <v>0</v>
      </c>
      <c r="V139" s="233"/>
    </row>
    <row r="140" spans="1:22">
      <c r="A140" s="214">
        <f t="shared" si="32"/>
        <v>1969</v>
      </c>
      <c r="B140" s="195">
        <f t="shared" si="28"/>
        <v>0.8660488626790227</v>
      </c>
      <c r="C140" s="241">
        <f>DataUK1!DU128/DataUK1!$G128</f>
        <v>0.66996630160067394</v>
      </c>
      <c r="D140" s="550">
        <f>DataUK1!DT128/DataUK1!$G128</f>
        <v>0.19608256107834879</v>
      </c>
      <c r="E140" s="568">
        <f t="shared" si="29"/>
        <v>0.13140035570532621</v>
      </c>
      <c r="F140" s="550">
        <f>(DataUK1!DW128-DataUK1!F128)/DataUK1!$G128</f>
        <v>0.11993353926799588</v>
      </c>
      <c r="G140" s="553">
        <f t="shared" si="30"/>
        <v>1.1466816437330319E-2</v>
      </c>
      <c r="H140" s="1927">
        <f t="shared" si="20"/>
        <v>0.23619301694280631</v>
      </c>
      <c r="I140" s="550">
        <f t="shared" si="21"/>
        <v>0.22472620050547598</v>
      </c>
      <c r="J140" s="553">
        <f>(DataUK1!F128)/DataUK1!$G128</f>
        <v>0.10479266123748011</v>
      </c>
      <c r="K140" s="1940">
        <f t="shared" si="31"/>
        <v>4.1654965833567148E-3</v>
      </c>
      <c r="L140" s="1938">
        <f>DataUK1!EI128/DataUK1!$G128</f>
        <v>0.23551436862304595</v>
      </c>
      <c r="M140" s="1938">
        <f>DataUK1!EJ128/DataUK1!$G128</f>
        <v>0.23134887203968924</v>
      </c>
      <c r="N140" s="216">
        <f>DataUK1!C128/DataUK1!$G128</f>
        <v>9.852101469624638E-3</v>
      </c>
      <c r="O140" s="1939">
        <f>DataUK1!HN128/DataUK1!$G128</f>
        <v>-2.5507816156510343E-3</v>
      </c>
      <c r="S140" s="564">
        <f t="shared" si="22"/>
        <v>0.99999999999999989</v>
      </c>
      <c r="T140" s="1244">
        <f t="shared" si="33"/>
        <v>0</v>
      </c>
      <c r="V140" s="233"/>
    </row>
    <row r="141" spans="1:22">
      <c r="A141" s="198">
        <f t="shared" si="32"/>
        <v>1970</v>
      </c>
      <c r="B141" s="192">
        <f t="shared" si="28"/>
        <v>0.86639520753832056</v>
      </c>
      <c r="C141" s="202">
        <f>DataUK1!DU129/DataUK1!$G129</f>
        <v>0.66552966508197076</v>
      </c>
      <c r="D141" s="308">
        <f>DataUK1!DT129/DataUK1!$G129</f>
        <v>0.2008655424563498</v>
      </c>
      <c r="E141" s="307">
        <f t="shared" si="29"/>
        <v>0.13170742106721808</v>
      </c>
      <c r="F141" s="308">
        <f>(DataUK1!DW129-DataUK1!F129)/DataUK1!$G129</f>
        <v>0.1142473404822308</v>
      </c>
      <c r="G141" s="394">
        <f t="shared" si="30"/>
        <v>1.7460080584987291E-2</v>
      </c>
      <c r="H141" s="1926">
        <f t="shared" si="20"/>
        <v>0.24022000980663866</v>
      </c>
      <c r="I141" s="308">
        <f t="shared" si="21"/>
        <v>0.22275992922165136</v>
      </c>
      <c r="J141" s="394">
        <f>(DataUK1!F129)/DataUK1!$G129</f>
        <v>0.10851258873942056</v>
      </c>
      <c r="K141" s="1398">
        <f t="shared" si="31"/>
        <v>9.3163067346024864E-3</v>
      </c>
      <c r="L141" s="1934">
        <f>DataUK1!EI129/DataUK1!$G129</f>
        <v>0.24493146012322253</v>
      </c>
      <c r="M141" s="1934">
        <f>DataUK1!EJ129/DataUK1!$G129</f>
        <v>0.23561515338862005</v>
      </c>
      <c r="N141" s="203">
        <f>DataUK1!C129/DataUK1!$G129</f>
        <v>1.0041145244846185E-2</v>
      </c>
      <c r="O141" s="1935">
        <f>DataUK1!HN129/DataUK1!$G129</f>
        <v>-1.897371394461381E-3</v>
      </c>
      <c r="S141" s="564">
        <f t="shared" si="22"/>
        <v>1</v>
      </c>
      <c r="T141" s="1244">
        <f t="shared" si="33"/>
        <v>0</v>
      </c>
      <c r="V141" s="233"/>
    </row>
    <row r="142" spans="1:22">
      <c r="A142" s="198">
        <v>1971</v>
      </c>
      <c r="B142" s="192">
        <f t="shared" si="28"/>
        <v>0.87240701513329899</v>
      </c>
      <c r="C142" s="202">
        <f>DataUK1!DU130/DataUK1!$G130</f>
        <v>0.66767809774622622</v>
      </c>
      <c r="D142" s="308">
        <f>DataUK1!DT130/DataUK1!$G130</f>
        <v>0.20472891738707277</v>
      </c>
      <c r="E142" s="307">
        <f t="shared" si="29"/>
        <v>0.12587546039197725</v>
      </c>
      <c r="F142" s="308">
        <f>(DataUK1!DW130-DataUK1!F130)/DataUK1!$G130</f>
        <v>0.1044445716684796</v>
      </c>
      <c r="G142" s="394">
        <f t="shared" si="30"/>
        <v>2.1430888723497639E-2</v>
      </c>
      <c r="H142" s="1926">
        <f t="shared" si="20"/>
        <v>0.23898398885517452</v>
      </c>
      <c r="I142" s="308">
        <f t="shared" si="21"/>
        <v>0.21755310013167689</v>
      </c>
      <c r="J142" s="394">
        <f>(DataUK1!F130)/DataUK1!$G130</f>
        <v>0.11310852846319727</v>
      </c>
      <c r="K142" s="1398">
        <f t="shared" si="31"/>
        <v>1.5686723535810382E-2</v>
      </c>
      <c r="L142" s="1934">
        <f>DataUK1!EI130/DataUK1!$G130</f>
        <v>0.24650292933340967</v>
      </c>
      <c r="M142" s="1934">
        <f>DataUK1!EJ130/DataUK1!$G130</f>
        <v>0.23081620579759929</v>
      </c>
      <c r="N142" s="203">
        <f>DataUK1!C130/DataUK1!$G130</f>
        <v>7.4616896624110224E-3</v>
      </c>
      <c r="O142" s="1935">
        <f>DataUK1!HN130/DataUK1!$G130</f>
        <v>-1.7175244747237649E-3</v>
      </c>
      <c r="S142" s="564">
        <f t="shared" si="22"/>
        <v>1</v>
      </c>
      <c r="T142" s="1244">
        <f t="shared" si="33"/>
        <v>0</v>
      </c>
      <c r="V142" s="233"/>
    </row>
    <row r="143" spans="1:22">
      <c r="A143" s="198">
        <v>1972</v>
      </c>
      <c r="B143" s="192">
        <f t="shared" si="28"/>
        <v>0.89932060036743033</v>
      </c>
      <c r="C143" s="202">
        <f>DataUK1!DU131/DataUK1!$G131</f>
        <v>0.68728552116191199</v>
      </c>
      <c r="D143" s="308">
        <f>DataUK1!DT131/DataUK1!$G131</f>
        <v>0.2120350792055184</v>
      </c>
      <c r="E143" s="307">
        <f t="shared" si="29"/>
        <v>9.8218309126832826E-2</v>
      </c>
      <c r="F143" s="308">
        <f>(DataUK1!DW131-DataUK1!F131)/DataUK1!$G131</f>
        <v>9.5757218621096055E-2</v>
      </c>
      <c r="G143" s="394">
        <f t="shared" si="30"/>
        <v>2.4610905057367749E-3</v>
      </c>
      <c r="H143" s="1926">
        <f t="shared" si="20"/>
        <v>0.21761586190162571</v>
      </c>
      <c r="I143" s="308">
        <f t="shared" si="21"/>
        <v>0.21515477139588896</v>
      </c>
      <c r="J143" s="394">
        <f>(DataUK1!F131)/DataUK1!$G131</f>
        <v>0.11939755277479289</v>
      </c>
      <c r="K143" s="1398">
        <f t="shared" si="31"/>
        <v>-2.426427259177022E-4</v>
      </c>
      <c r="L143" s="1934">
        <f>DataUK1!EI131/DataUK1!$G131</f>
        <v>0.23647266803008771</v>
      </c>
      <c r="M143" s="1934">
        <f>DataUK1!EJ131/DataUK1!$G131</f>
        <v>0.23671531075600541</v>
      </c>
      <c r="N143" s="203">
        <f>DataUK1!C131/DataUK1!$G131</f>
        <v>5.1648237373912442E-3</v>
      </c>
      <c r="O143" s="1935">
        <f>DataUK1!HN131/DataUK1!$G131</f>
        <v>-2.4610905057367671E-3</v>
      </c>
      <c r="S143" s="564">
        <f t="shared" si="22"/>
        <v>0.99999999999999989</v>
      </c>
      <c r="T143" s="1244">
        <f t="shared" si="33"/>
        <v>0</v>
      </c>
      <c r="V143" s="233"/>
    </row>
    <row r="144" spans="1:22">
      <c r="A144" s="198">
        <v>1973</v>
      </c>
      <c r="B144" s="192">
        <f t="shared" si="28"/>
        <v>0.88688153465788921</v>
      </c>
      <c r="C144" s="202">
        <f>DataUK1!DU132/DataUK1!$G132</f>
        <v>0.67824908403085993</v>
      </c>
      <c r="D144" s="308">
        <f>DataUK1!DT132/DataUK1!$G132</f>
        <v>0.20863245062702929</v>
      </c>
      <c r="E144" s="307">
        <f t="shared" si="29"/>
        <v>0.11040779243990348</v>
      </c>
      <c r="F144" s="308">
        <f>(DataUK1!DW132-DataUK1!F132)/DataUK1!$G132</f>
        <v>0.12679098031038694</v>
      </c>
      <c r="G144" s="394">
        <f t="shared" si="30"/>
        <v>-1.6383187870483453E-2</v>
      </c>
      <c r="H144" s="1926">
        <f t="shared" si="20"/>
        <v>0.23404128563343363</v>
      </c>
      <c r="I144" s="308">
        <f t="shared" si="21"/>
        <v>0.25042447350391706</v>
      </c>
      <c r="J144" s="394">
        <f>(DataUK1!F132)/DataUK1!$G132</f>
        <v>0.12363349319353013</v>
      </c>
      <c r="K144" s="1398">
        <f t="shared" si="31"/>
        <v>-2.4813082720204938E-2</v>
      </c>
      <c r="L144" s="1934">
        <f>DataUK1!EI132/DataUK1!$G132</f>
        <v>0.25578624407971168</v>
      </c>
      <c r="M144" s="1934">
        <f>DataUK1!EJ132/DataUK1!$G132</f>
        <v>0.28059932679991662</v>
      </c>
      <c r="N144" s="203">
        <f>DataUK1!C132/DataUK1!$G132</f>
        <v>1.1140567751928747E-2</v>
      </c>
      <c r="O144" s="1935">
        <f>DataUK1!HN132/DataUK1!$G132</f>
        <v>-2.7106729022072624E-3</v>
      </c>
      <c r="S144" s="564">
        <f t="shared" si="22"/>
        <v>1</v>
      </c>
      <c r="T144" s="1244">
        <f t="shared" si="33"/>
        <v>0</v>
      </c>
      <c r="V144" s="233"/>
    </row>
    <row r="145" spans="1:22">
      <c r="A145" s="198">
        <v>1974</v>
      </c>
      <c r="B145" s="192">
        <f t="shared" si="28"/>
        <v>0.92258294213829839</v>
      </c>
      <c r="C145" s="202">
        <f>DataUK1!DU133/DataUK1!$G133</f>
        <v>0.69377340577034652</v>
      </c>
      <c r="D145" s="308">
        <f>DataUK1!DT133/DataUK1!$G133</f>
        <v>0.2288095363679519</v>
      </c>
      <c r="E145" s="307">
        <f t="shared" si="29"/>
        <v>7.4845719710955216E-2</v>
      </c>
      <c r="F145" s="308">
        <f>(DataUK1!DW133-DataUK1!F133)/DataUK1!$G133</f>
        <v>0.11879582256448125</v>
      </c>
      <c r="G145" s="394">
        <f t="shared" si="30"/>
        <v>-4.3950102853526025E-2</v>
      </c>
      <c r="H145" s="1926">
        <f t="shared" si="20"/>
        <v>0.20983437945039296</v>
      </c>
      <c r="I145" s="308">
        <f t="shared" si="21"/>
        <v>0.25378448230391898</v>
      </c>
      <c r="J145" s="394">
        <f>(DataUK1!F133)/DataUK1!$G133</f>
        <v>0.13498865973943774</v>
      </c>
      <c r="K145" s="1398">
        <f t="shared" si="31"/>
        <v>-5.2072894139986281E-2</v>
      </c>
      <c r="L145" s="1934">
        <f>DataUK1!EI133/DataUK1!$G133</f>
        <v>0.30405084656363734</v>
      </c>
      <c r="M145" s="1934">
        <f>DataUK1!EJ133/DataUK1!$G133</f>
        <v>0.35612374070362363</v>
      </c>
      <c r="N145" s="203">
        <f>DataUK1!C133/DataUK1!$G133</f>
        <v>1.0694129437206604E-2</v>
      </c>
      <c r="O145" s="1935">
        <f>DataUK1!HN133/DataUK1!$G133</f>
        <v>-2.5713381507463475E-3</v>
      </c>
      <c r="S145" s="564">
        <f t="shared" si="22"/>
        <v>1</v>
      </c>
      <c r="T145" s="1244">
        <f t="shared" si="33"/>
        <v>0</v>
      </c>
      <c r="V145" s="233"/>
    </row>
    <row r="146" spans="1:22">
      <c r="A146" s="198">
        <v>1975</v>
      </c>
      <c r="B146" s="192">
        <f t="shared" si="28"/>
        <v>0.93723402002921818</v>
      </c>
      <c r="C146" s="202">
        <f>DataUK1!DU134/DataUK1!$G134</f>
        <v>0.68397874277487247</v>
      </c>
      <c r="D146" s="308">
        <f>DataUK1!DT134/DataUK1!$G134</f>
        <v>0.25325527725434566</v>
      </c>
      <c r="E146" s="307">
        <f t="shared" si="29"/>
        <v>5.984417014249116E-2</v>
      </c>
      <c r="F146" s="308">
        <f>(DataUK1!DW134-DataUK1!F134)/DataUK1!$G134</f>
        <v>7.7787893544494086E-2</v>
      </c>
      <c r="G146" s="394">
        <f t="shared" si="30"/>
        <v>-1.7943723402002929E-2</v>
      </c>
      <c r="H146" s="1926">
        <f t="shared" si="20"/>
        <v>0.19993224788803962</v>
      </c>
      <c r="I146" s="308">
        <f t="shared" si="21"/>
        <v>0.21787597129004255</v>
      </c>
      <c r="J146" s="394">
        <f>(DataUK1!F134)/DataUK1!$G134</f>
        <v>0.14008807774554846</v>
      </c>
      <c r="K146" s="1398">
        <f t="shared" si="31"/>
        <v>-1.6271093137981418E-2</v>
      </c>
      <c r="L146" s="1934">
        <f>DataUK1!EI134/DataUK1!$G134</f>
        <v>0.28708898816455292</v>
      </c>
      <c r="M146" s="1934">
        <f>DataUK1!EJ134/DataUK1!$G134</f>
        <v>0.30336008130253433</v>
      </c>
      <c r="N146" s="203">
        <f>DataUK1!C134/DataUK1!$G134</f>
        <v>1.2491795642692299E-3</v>
      </c>
      <c r="O146" s="1935">
        <f>DataUK1!HN134/DataUK1!$G134</f>
        <v>-2.9218098282907412E-3</v>
      </c>
      <c r="S146" s="564">
        <f t="shared" si="22"/>
        <v>1.0000000000000002</v>
      </c>
      <c r="T146" s="1244">
        <f t="shared" si="33"/>
        <v>0</v>
      </c>
      <c r="V146" s="233"/>
    </row>
    <row r="147" spans="1:22">
      <c r="A147" s="198">
        <v>1976</v>
      </c>
      <c r="B147" s="192">
        <f t="shared" si="28"/>
        <v>0.91377233842829564</v>
      </c>
      <c r="C147" s="202">
        <f>DataUK1!DU135/DataUK1!$G135</f>
        <v>0.66553018898000393</v>
      </c>
      <c r="D147" s="308">
        <f>DataUK1!DT135/DataUK1!$G135</f>
        <v>0.24824214944829173</v>
      </c>
      <c r="E147" s="307">
        <f t="shared" si="29"/>
        <v>8.4075733692283175E-2</v>
      </c>
      <c r="F147" s="308">
        <f>(DataUK1!DW135-DataUK1!F135)/DataUK1!$G135</f>
        <v>9.2683445209967949E-2</v>
      </c>
      <c r="G147" s="394">
        <f t="shared" si="30"/>
        <v>-8.6077115176847793E-3</v>
      </c>
      <c r="H147" s="1926">
        <f t="shared" si="20"/>
        <v>0.22643063353465226</v>
      </c>
      <c r="I147" s="308">
        <f t="shared" si="21"/>
        <v>0.23503834505233701</v>
      </c>
      <c r="J147" s="394">
        <f>(DataUK1!F135)/DataUK1!$G135</f>
        <v>0.14235489984236907</v>
      </c>
      <c r="K147" s="1398">
        <f t="shared" si="31"/>
        <v>-9.369299162253597E-3</v>
      </c>
      <c r="L147" s="1934">
        <f>DataUK1!EI135/DataUK1!$G135</f>
        <v>0.31388923327606666</v>
      </c>
      <c r="M147" s="1934">
        <f>DataUK1!EJ135/DataUK1!$G135</f>
        <v>0.32325853243832026</v>
      </c>
      <c r="N147" s="203">
        <f>DataUK1!C135/DataUK1!$G135</f>
        <v>2.9135155239900109E-3</v>
      </c>
      <c r="O147" s="1935">
        <f>DataUK1!HN135/DataUK1!$G135</f>
        <v>-2.1519278794211935E-3</v>
      </c>
      <c r="S147" s="564">
        <f t="shared" si="22"/>
        <v>1</v>
      </c>
      <c r="T147" s="1244">
        <f t="shared" si="33"/>
        <v>0</v>
      </c>
      <c r="V147" s="233"/>
    </row>
    <row r="148" spans="1:22">
      <c r="A148" s="198">
        <v>1977</v>
      </c>
      <c r="B148" s="192">
        <f t="shared" si="28"/>
        <v>0.91200050106476271</v>
      </c>
      <c r="C148" s="202">
        <f>DataUK1!DU136/DataUK1!$G136</f>
        <v>0.672757735187273</v>
      </c>
      <c r="D148" s="308">
        <f>DataUK1!DT136/DataUK1!$G136</f>
        <v>0.23924276587748966</v>
      </c>
      <c r="E148" s="307">
        <f t="shared" si="29"/>
        <v>8.5760365777276706E-2</v>
      </c>
      <c r="F148" s="308">
        <f>(DataUK1!DW136-DataUK1!F136)/DataUK1!$G136</f>
        <v>8.7999498935237383E-2</v>
      </c>
      <c r="G148" s="394">
        <f t="shared" si="30"/>
        <v>-2.2391331579606701E-3</v>
      </c>
      <c r="H148" s="1926">
        <f t="shared" si="20"/>
        <v>0.23400507328072151</v>
      </c>
      <c r="I148" s="308">
        <f t="shared" si="21"/>
        <v>0.23624420643868221</v>
      </c>
      <c r="J148" s="394">
        <f>(DataUK1!F136)/DataUK1!$G136</f>
        <v>0.14824470750344482</v>
      </c>
      <c r="K148" s="1398">
        <f t="shared" si="31"/>
        <v>1.1219153200551168E-2</v>
      </c>
      <c r="L148" s="1934">
        <f>DataUK1!EI136/DataUK1!$G136</f>
        <v>0.3423055242390079</v>
      </c>
      <c r="M148" s="1934">
        <f>DataUK1!EJ136/DataUK1!$G136</f>
        <v>0.33108637103845673</v>
      </c>
      <c r="N148" s="203">
        <f>DataUK1!C136/DataUK1!$G136</f>
        <v>-1.1219153200551172E-2</v>
      </c>
      <c r="O148" s="1935">
        <f>DataUK1!HN136/DataUK1!$G136</f>
        <v>-2.2391331579606666E-3</v>
      </c>
      <c r="S148" s="564">
        <f t="shared" si="22"/>
        <v>1.0000000000000002</v>
      </c>
      <c r="T148" s="1244">
        <f t="shared" si="33"/>
        <v>0</v>
      </c>
      <c r="V148" s="233"/>
    </row>
    <row r="149" spans="1:22">
      <c r="A149" s="198">
        <v>1978</v>
      </c>
      <c r="B149" s="192">
        <f t="shared" si="28"/>
        <v>0.90726915787543061</v>
      </c>
      <c r="C149" s="202">
        <f>DataUK1!DU137/DataUK1!$G137</f>
        <v>0.67207613561486579</v>
      </c>
      <c r="D149" s="308">
        <f>DataUK1!DT137/DataUK1!$G137</f>
        <v>0.23519302226056477</v>
      </c>
      <c r="E149" s="307">
        <f t="shared" si="29"/>
        <v>8.7547805530836659E-2</v>
      </c>
      <c r="F149" s="308">
        <f>(DataUK1!DW137-DataUK1!F137)/DataUK1!$G137</f>
        <v>8.1970776640332588E-2</v>
      </c>
      <c r="G149" s="394">
        <f t="shared" si="30"/>
        <v>5.5770288905040771E-3</v>
      </c>
      <c r="H149" s="1926">
        <f t="shared" si="20"/>
        <v>0.23783548783718605</v>
      </c>
      <c r="I149" s="308">
        <f t="shared" si="21"/>
        <v>0.23225845894668198</v>
      </c>
      <c r="J149" s="394">
        <f>(DataUK1!F137)/DataUK1!$G137</f>
        <v>0.1502876823063494</v>
      </c>
      <c r="K149" s="1398">
        <f t="shared" si="31"/>
        <v>1.8211954269721664E-2</v>
      </c>
      <c r="L149" s="1934">
        <f>DataUK1!EI137/DataUK1!$G137</f>
        <v>0.32569577001718619</v>
      </c>
      <c r="M149" s="1934">
        <f>DataUK1!EJ137/DataUK1!$G137</f>
        <v>0.30748381574746453</v>
      </c>
      <c r="N149" s="203">
        <f>DataUK1!C137/DataUK1!$G137</f>
        <v>-7.4518887854847808E-3</v>
      </c>
      <c r="O149" s="1935">
        <f>DataUK1!HN137/DataUK1!$G137</f>
        <v>-5.1830365937328053E-3</v>
      </c>
      <c r="S149" s="564">
        <f t="shared" si="22"/>
        <v>1</v>
      </c>
      <c r="T149" s="1244">
        <f t="shared" si="33"/>
        <v>0</v>
      </c>
      <c r="V149" s="233"/>
    </row>
    <row r="150" spans="1:22" ht="12.75" customHeight="1">
      <c r="A150" s="198">
        <v>1979</v>
      </c>
      <c r="B150" s="192">
        <f t="shared" si="28"/>
        <v>0.92095108918068824</v>
      </c>
      <c r="C150" s="202">
        <f>DataUK1!DU138/DataUK1!$G138</f>
        <v>0.68580381885574637</v>
      </c>
      <c r="D150" s="308">
        <f>DataUK1!DT138/DataUK1!$G138</f>
        <v>0.23514727032494182</v>
      </c>
      <c r="E150" s="307">
        <f t="shared" si="29"/>
        <v>7.8119336318885013E-2</v>
      </c>
      <c r="F150" s="308">
        <f>(DataUK1!DW138-DataUK1!F138)/DataUK1!$G138</f>
        <v>8.3977409585725471E-2</v>
      </c>
      <c r="G150" s="394">
        <f t="shared" si="30"/>
        <v>-5.8580732668404613E-3</v>
      </c>
      <c r="H150" s="1926">
        <f t="shared" si="20"/>
        <v>0.23214807712545166</v>
      </c>
      <c r="I150" s="308">
        <f t="shared" si="21"/>
        <v>0.23800615039229212</v>
      </c>
      <c r="J150" s="394">
        <f>(DataUK1!F138)/DataUK1!$G138</f>
        <v>0.15402874080656664</v>
      </c>
      <c r="K150" s="1398">
        <f t="shared" si="31"/>
        <v>7.2904364907686037E-3</v>
      </c>
      <c r="L150" s="1934">
        <f>DataUK1!EI138/DataUK1!$G138</f>
        <v>0.32425195561427922</v>
      </c>
      <c r="M150" s="1934">
        <f>DataUK1!EJ138/DataUK1!$G138</f>
        <v>0.31696151912351062</v>
      </c>
      <c r="N150" s="203">
        <f>DataUK1!C138/DataUK1!$G138</f>
        <v>-1.2218935257182279E-2</v>
      </c>
      <c r="O150" s="1935">
        <f>DataUK1!HN138/DataUK1!$G138</f>
        <v>-9.295745004267858E-4</v>
      </c>
      <c r="S150" s="564">
        <f t="shared" si="22"/>
        <v>1</v>
      </c>
      <c r="T150" s="1244">
        <f t="shared" si="33"/>
        <v>0</v>
      </c>
      <c r="V150" s="233"/>
    </row>
    <row r="151" spans="1:22">
      <c r="A151" s="199">
        <v>1980</v>
      </c>
      <c r="B151" s="194">
        <f t="shared" si="28"/>
        <v>0.94312624159246528</v>
      </c>
      <c r="C151" s="237">
        <f>DataUK1!DU139/DataUK1!$G139</f>
        <v>0.68784978874020597</v>
      </c>
      <c r="D151" s="551">
        <f>DataUK1!DT139/DataUK1!$G139</f>
        <v>0.25527645285225931</v>
      </c>
      <c r="E151" s="569">
        <f t="shared" si="29"/>
        <v>5.536620044974639E-2</v>
      </c>
      <c r="F151" s="551">
        <f>(DataUK1!DW139-DataUK1!F139)/DataUK1!$G139</f>
        <v>4.659312069539262E-2</v>
      </c>
      <c r="G151" s="554">
        <f t="shared" si="30"/>
        <v>8.7730797543537683E-3</v>
      </c>
      <c r="H151" s="1928">
        <f t="shared" si="20"/>
        <v>0.21569675396049087</v>
      </c>
      <c r="I151" s="551">
        <f t="shared" si="21"/>
        <v>0.20692367420613711</v>
      </c>
      <c r="J151" s="554">
        <f>(DataUK1!F139)/DataUK1!$G139</f>
        <v>0.16033055351074449</v>
      </c>
      <c r="K151" s="1941">
        <f t="shared" si="31"/>
        <v>2.8956205189226258E-2</v>
      </c>
      <c r="L151" s="1936">
        <f>DataUK1!EI139/DataUK1!$G139</f>
        <v>0.31909808706525356</v>
      </c>
      <c r="M151" s="1936">
        <f>DataUK1!EJ139/DataUK1!$G139</f>
        <v>0.2901418818760273</v>
      </c>
      <c r="N151" s="212">
        <f>DataUK1!C139/DataUK1!$G139</f>
        <v>-1.8675567477084112E-2</v>
      </c>
      <c r="O151" s="1937">
        <f>DataUK1!HN139/DataUK1!$G139</f>
        <v>-1.5075579577883771E-3</v>
      </c>
      <c r="S151" s="564">
        <f t="shared" si="22"/>
        <v>1</v>
      </c>
      <c r="T151" s="1244">
        <f t="shared" si="33"/>
        <v>0</v>
      </c>
      <c r="V151" s="233"/>
    </row>
    <row r="152" spans="1:22">
      <c r="A152" s="198">
        <v>1981</v>
      </c>
      <c r="B152" s="192">
        <f t="shared" si="28"/>
        <v>0.95619877049180324</v>
      </c>
      <c r="C152" s="202">
        <f>DataUK1!DU140/DataUK1!$G140</f>
        <v>0.69454405737704916</v>
      </c>
      <c r="D152" s="308">
        <f>DataUK1!DT140/DataUK1!$G140</f>
        <v>0.26165471311475408</v>
      </c>
      <c r="E152" s="307">
        <f t="shared" si="29"/>
        <v>4.5210040983606536E-2</v>
      </c>
      <c r="F152" s="308">
        <f>(DataUK1!DW140-DataUK1!F140)/DataUK1!$G140</f>
        <v>2.304413056206089E-2</v>
      </c>
      <c r="G152" s="394">
        <f t="shared" si="30"/>
        <v>2.2165910421545646E-2</v>
      </c>
      <c r="H152" s="1926">
        <f t="shared" si="20"/>
        <v>0.20960187353629975</v>
      </c>
      <c r="I152" s="308">
        <f t="shared" si="21"/>
        <v>0.18743596311475411</v>
      </c>
      <c r="J152" s="394">
        <f>(DataUK1!F140)/DataUK1!$G140</f>
        <v>0.16439183255269321</v>
      </c>
      <c r="K152" s="1398">
        <f t="shared" si="31"/>
        <v>3.6656542740046816E-2</v>
      </c>
      <c r="L152" s="1934">
        <f>DataUK1!EI140/DataUK1!$G140</f>
        <v>0.31277444379391101</v>
      </c>
      <c r="M152" s="1934">
        <f>DataUK1!EJ140/DataUK1!$G140</f>
        <v>0.27611790105386419</v>
      </c>
      <c r="N152" s="203">
        <f>DataUK1!C140/DataUK1!$G140</f>
        <v>-1.5899443793911006E-2</v>
      </c>
      <c r="O152" s="1935">
        <f>DataUK1!HN140/DataUK1!$G140</f>
        <v>1.4088114754098361E-3</v>
      </c>
      <c r="S152" s="564">
        <f t="shared" si="22"/>
        <v>1</v>
      </c>
      <c r="T152" s="1244">
        <f t="shared" si="33"/>
        <v>0</v>
      </c>
      <c r="V152" s="233"/>
    </row>
    <row r="153" spans="1:22">
      <c r="A153" s="198">
        <v>1982</v>
      </c>
      <c r="B153" s="192">
        <f t="shared" si="28"/>
        <v>0.9593854980560903</v>
      </c>
      <c r="C153" s="202">
        <f>DataUK1!DU141/DataUK1!$G141</f>
        <v>0.69810893443551125</v>
      </c>
      <c r="D153" s="308">
        <f>DataUK1!DT141/DataUK1!$G141</f>
        <v>0.26127656362057899</v>
      </c>
      <c r="E153" s="307">
        <f t="shared" si="29"/>
        <v>4.3193799620025425E-2</v>
      </c>
      <c r="F153" s="308">
        <f>(DataUK1!DW141-DataUK1!F141)/DataUK1!$G141</f>
        <v>3.3828642366746771E-2</v>
      </c>
      <c r="G153" s="394">
        <f t="shared" si="30"/>
        <v>9.3651572532786505E-3</v>
      </c>
      <c r="H153" s="1926">
        <f t="shared" si="20"/>
        <v>0.20542113849780028</v>
      </c>
      <c r="I153" s="308">
        <f t="shared" si="21"/>
        <v>0.19605598124452162</v>
      </c>
      <c r="J153" s="394">
        <f>(DataUK1!F141)/DataUK1!$G141</f>
        <v>0.16222733887777485</v>
      </c>
      <c r="K153" s="1398">
        <f t="shared" si="31"/>
        <v>2.5751036961545404E-2</v>
      </c>
      <c r="L153" s="1934">
        <f>DataUK1!EI141/DataUK1!$G141</f>
        <v>0.3100064167893406</v>
      </c>
      <c r="M153" s="1934">
        <f>DataUK1!EJ141/DataUK1!$G141</f>
        <v>0.2842553798277952</v>
      </c>
      <c r="N153" s="203">
        <f>DataUK1!C141/DataUK1!$G141</f>
        <v>-1.8965177384382456E-2</v>
      </c>
      <c r="O153" s="1935">
        <f>DataUK1!HN141/DataUK1!$G141</f>
        <v>2.5792976761157037E-3</v>
      </c>
      <c r="P153" s="154"/>
      <c r="Q153" s="154"/>
      <c r="R153" s="154"/>
      <c r="S153" s="564">
        <f t="shared" si="22"/>
        <v>0.99999999999999989</v>
      </c>
      <c r="T153" s="1244">
        <f t="shared" si="33"/>
        <v>0</v>
      </c>
      <c r="V153" s="233"/>
    </row>
    <row r="154" spans="1:22">
      <c r="A154" s="198">
        <v>1983</v>
      </c>
      <c r="B154" s="192">
        <f t="shared" si="28"/>
        <v>0.95146734585265724</v>
      </c>
      <c r="C154" s="202">
        <f>DataUK1!DU142/DataUK1!$G142</f>
        <v>0.69471603436478369</v>
      </c>
      <c r="D154" s="308">
        <f>DataUK1!DT142/DataUK1!$G142</f>
        <v>0.2567513114878735</v>
      </c>
      <c r="E154" s="307">
        <f t="shared" si="29"/>
        <v>5.0570212118908248E-2</v>
      </c>
      <c r="F154" s="308">
        <f>(DataUK1!DW142-DataUK1!F142)/DataUK1!$G142</f>
        <v>4.5788033148331179E-2</v>
      </c>
      <c r="G154" s="394">
        <f t="shared" si="30"/>
        <v>4.7821789705770699E-3</v>
      </c>
      <c r="H154" s="1926">
        <f t="shared" ref="H154:H181" si="34">E154+J154</f>
        <v>0.20840112521858131</v>
      </c>
      <c r="I154" s="308">
        <f t="shared" ref="I154:I181" si="35">F154+J154</f>
        <v>0.20361894624800425</v>
      </c>
      <c r="J154" s="394">
        <f>(DataUK1!F142)/DataUK1!$G142</f>
        <v>0.15783091309967306</v>
      </c>
      <c r="K154" s="1398">
        <f t="shared" si="31"/>
        <v>1.4399756709495948E-2</v>
      </c>
      <c r="L154" s="1934">
        <f>DataUK1!EI142/DataUK1!$G142</f>
        <v>0.30940849996198588</v>
      </c>
      <c r="M154" s="1934">
        <f>DataUK1!EJ142/DataUK1!$G142</f>
        <v>0.29500874325248994</v>
      </c>
      <c r="N154" s="203">
        <f>DataUK1!C142/DataUK1!$G142</f>
        <v>-1.16551357104843E-2</v>
      </c>
      <c r="O154" s="1935">
        <f>DataUK1!HN142/DataUK1!$G142</f>
        <v>2.0375579715654225E-3</v>
      </c>
      <c r="P154" s="154"/>
      <c r="Q154" s="154"/>
      <c r="R154" s="154"/>
      <c r="S154" s="564">
        <f t="shared" ref="S154:S181" si="36">B154+E154-O154</f>
        <v>1</v>
      </c>
      <c r="T154" s="1244">
        <f t="shared" si="33"/>
        <v>0</v>
      </c>
      <c r="V154" s="233"/>
    </row>
    <row r="155" spans="1:22">
      <c r="A155" s="198">
        <v>1984</v>
      </c>
      <c r="B155" s="192">
        <f t="shared" si="28"/>
        <v>0.94812012797624301</v>
      </c>
      <c r="C155" s="202">
        <f>DataUK1!DU143/DataUK1!$G143</f>
        <v>0.69521856716101316</v>
      </c>
      <c r="D155" s="308">
        <f>DataUK1!DT143/DataUK1!$G143</f>
        <v>0.25290156081522985</v>
      </c>
      <c r="E155" s="307">
        <f t="shared" si="29"/>
        <v>5.3117211390592674E-2</v>
      </c>
      <c r="F155" s="308">
        <f>(DataUK1!DW143-DataUK1!F143)/DataUK1!$G143</f>
        <v>5.7691831792551218E-2</v>
      </c>
      <c r="G155" s="394">
        <f t="shared" si="30"/>
        <v>-4.5746204019585434E-3</v>
      </c>
      <c r="H155" s="1926">
        <f t="shared" si="34"/>
        <v>0.2095699361886412</v>
      </c>
      <c r="I155" s="308">
        <f t="shared" si="35"/>
        <v>0.21414455659059975</v>
      </c>
      <c r="J155" s="394">
        <f>(DataUK1!F143)/DataUK1!$G143</f>
        <v>0.15645272479804853</v>
      </c>
      <c r="K155" s="1398">
        <f t="shared" si="31"/>
        <v>2.446396691000996E-3</v>
      </c>
      <c r="L155" s="1934">
        <f>DataUK1!EI143/DataUK1!$G143</f>
        <v>0.33041203400915631</v>
      </c>
      <c r="M155" s="1934">
        <f>DataUK1!EJ143/DataUK1!$G143</f>
        <v>0.32796563731815531</v>
      </c>
      <c r="N155" s="203">
        <f>DataUK1!C143/DataUK1!$G143</f>
        <v>-8.2583564597953091E-3</v>
      </c>
      <c r="O155" s="1935">
        <f>DataUK1!HN143/DataUK1!$G143</f>
        <v>1.2373393668357697E-3</v>
      </c>
      <c r="P155" s="154"/>
      <c r="Q155" s="154"/>
      <c r="R155" s="154"/>
      <c r="S155" s="564">
        <f t="shared" si="36"/>
        <v>0.99999999999999989</v>
      </c>
      <c r="T155" s="1244">
        <f t="shared" si="33"/>
        <v>0</v>
      </c>
      <c r="V155" s="233"/>
    </row>
    <row r="156" spans="1:22">
      <c r="A156" s="198">
        <v>1985</v>
      </c>
      <c r="B156" s="192">
        <f t="shared" si="28"/>
        <v>0.94139336308946242</v>
      </c>
      <c r="C156" s="202">
        <f>DataUK1!DU144/DataUK1!$G144</f>
        <v>0.69662332621773726</v>
      </c>
      <c r="D156" s="308">
        <f>DataUK1!DT144/DataUK1!$G144</f>
        <v>0.24477003687172522</v>
      </c>
      <c r="E156" s="307">
        <f t="shared" si="29"/>
        <v>5.720292386312182E-2</v>
      </c>
      <c r="F156" s="308">
        <f>(DataUK1!DW144-DataUK1!F144)/DataUK1!$G144</f>
        <v>5.9046510123552623E-2</v>
      </c>
      <c r="G156" s="394">
        <f t="shared" si="30"/>
        <v>-1.8435862604308057E-3</v>
      </c>
      <c r="H156" s="1926">
        <f t="shared" si="34"/>
        <v>0.21163076525001617</v>
      </c>
      <c r="I156" s="308">
        <f t="shared" si="35"/>
        <v>0.21347435151044697</v>
      </c>
      <c r="J156" s="394">
        <f>(DataUK1!F144)/DataUK1!$G144</f>
        <v>0.15442784138689436</v>
      </c>
      <c r="K156" s="1398">
        <f t="shared" si="31"/>
        <v>1.6440261336438333E-2</v>
      </c>
      <c r="L156" s="1934">
        <f>DataUK1!EI144/DataUK1!$G144</f>
        <v>0.33643185199560127</v>
      </c>
      <c r="M156" s="1934">
        <f>DataUK1!EJ144/DataUK1!$G144</f>
        <v>0.31999159065916294</v>
      </c>
      <c r="N156" s="203">
        <f>DataUK1!C144/DataUK1!$G144</f>
        <v>-1.6880134549453394E-2</v>
      </c>
      <c r="O156" s="1935">
        <f>DataUK1!HN144/DataUK1!$G144</f>
        <v>-1.403713047415745E-3</v>
      </c>
      <c r="P156" s="154"/>
      <c r="Q156" s="154"/>
      <c r="R156" s="154"/>
      <c r="S156" s="564">
        <f t="shared" si="36"/>
        <v>1</v>
      </c>
      <c r="T156" s="1244">
        <f t="shared" si="33"/>
        <v>0</v>
      </c>
      <c r="V156" s="233"/>
    </row>
    <row r="157" spans="1:22">
      <c r="A157" s="198">
        <v>1986</v>
      </c>
      <c r="B157" s="192">
        <f t="shared" si="28"/>
        <v>0.95716791313467531</v>
      </c>
      <c r="C157" s="202">
        <f>DataUK1!DU145/DataUK1!$G145</f>
        <v>0.71414101273160258</v>
      </c>
      <c r="D157" s="308">
        <f>DataUK1!DT145/DataUK1!$G145</f>
        <v>0.24302690040307279</v>
      </c>
      <c r="E157" s="307">
        <f t="shared" si="29"/>
        <v>4.592161444249563E-2</v>
      </c>
      <c r="F157" s="308">
        <f>(DataUK1!DW145-DataUK1!F145)/DataUK1!$G145</f>
        <v>5.6720021274116392E-2</v>
      </c>
      <c r="G157" s="394">
        <f t="shared" si="30"/>
        <v>-1.079840683162076E-2</v>
      </c>
      <c r="H157" s="1926">
        <f t="shared" si="34"/>
        <v>0.19907433690192691</v>
      </c>
      <c r="I157" s="308">
        <f t="shared" si="35"/>
        <v>0.2098727437335477</v>
      </c>
      <c r="J157" s="394">
        <f>(DataUK1!F145)/DataUK1!$G145</f>
        <v>0.15315272245943129</v>
      </c>
      <c r="K157" s="1398">
        <f t="shared" si="31"/>
        <v>-4.2876905930757658E-3</v>
      </c>
      <c r="L157" s="1934">
        <f>DataUK1!EI145/DataUK1!$G145</f>
        <v>0.2979153158698335</v>
      </c>
      <c r="M157" s="1934">
        <f>DataUK1!EJ145/DataUK1!$G145</f>
        <v>0.30220300646290926</v>
      </c>
      <c r="N157" s="203">
        <f>DataUK1!C145/DataUK1!$G145</f>
        <v>-9.6002438157159545E-3</v>
      </c>
      <c r="O157" s="1935">
        <f>DataUK1!HN145/DataUK1!$G145</f>
        <v>3.0895275771709607E-3</v>
      </c>
      <c r="P157" s="154"/>
      <c r="Q157" s="154"/>
      <c r="R157" s="154"/>
      <c r="S157" s="564">
        <f t="shared" si="36"/>
        <v>1</v>
      </c>
      <c r="T157" s="1244">
        <f t="shared" si="33"/>
        <v>0</v>
      </c>
      <c r="V157" s="233"/>
    </row>
    <row r="158" spans="1:22">
      <c r="A158" s="198">
        <v>1987</v>
      </c>
      <c r="B158" s="192">
        <f t="shared" si="28"/>
        <v>0.95296089051138577</v>
      </c>
      <c r="C158" s="202">
        <f>DataUK1!DU146/DataUK1!$G146</f>
        <v>0.71566256538876905</v>
      </c>
      <c r="D158" s="308">
        <f>DataUK1!DT146/DataUK1!$G146</f>
        <v>0.2372983251226167</v>
      </c>
      <c r="E158" s="307">
        <f t="shared" si="29"/>
        <v>4.9212614489852008E-2</v>
      </c>
      <c r="F158" s="308">
        <f>(DataUK1!DW146-DataUK1!F146)/DataUK1!$G146</f>
        <v>6.8532054438275453E-2</v>
      </c>
      <c r="G158" s="394">
        <f t="shared" si="30"/>
        <v>-1.9319439948423441E-2</v>
      </c>
      <c r="H158" s="1926">
        <f t="shared" si="34"/>
        <v>0.20222573440802594</v>
      </c>
      <c r="I158" s="308">
        <f t="shared" si="35"/>
        <v>0.22154517435644938</v>
      </c>
      <c r="J158" s="394">
        <f>(DataUK1!F146)/DataUK1!$G146</f>
        <v>0.15301311991817393</v>
      </c>
      <c r="K158" s="1398">
        <f t="shared" si="31"/>
        <v>-8.416551281388629E-3</v>
      </c>
      <c r="L158" s="1934">
        <f>DataUK1!EI146/DataUK1!$G146</f>
        <v>0.29556675707069197</v>
      </c>
      <c r="M158" s="1934">
        <f>DataUK1!EJ146/DataUK1!$G146</f>
        <v>0.30398330835208059</v>
      </c>
      <c r="N158" s="203">
        <f>DataUK1!C146/DataUK1!$G146</f>
        <v>-1.307639366827254E-2</v>
      </c>
      <c r="O158" s="1935">
        <f>DataUK1!HN146/DataUK1!$G146</f>
        <v>2.1735050012377283E-3</v>
      </c>
      <c r="P158" s="154"/>
      <c r="Q158" s="154"/>
      <c r="R158" s="154"/>
      <c r="S158" s="564">
        <f t="shared" si="36"/>
        <v>1</v>
      </c>
      <c r="T158" s="1244">
        <f t="shared" si="33"/>
        <v>0</v>
      </c>
      <c r="V158" s="233"/>
    </row>
    <row r="159" spans="1:22">
      <c r="A159" s="198">
        <v>1988</v>
      </c>
      <c r="B159" s="192">
        <f t="shared" si="28"/>
        <v>0.94877712911421863</v>
      </c>
      <c r="C159" s="202">
        <f>DataUK1!DU147/DataUK1!$G147</f>
        <v>0.72090711611939717</v>
      </c>
      <c r="D159" s="308">
        <f>DataUK1!DT147/DataUK1!$G147</f>
        <v>0.22787001299482146</v>
      </c>
      <c r="E159" s="307">
        <f t="shared" si="29"/>
        <v>5.1470160398766479E-2</v>
      </c>
      <c r="F159" s="308">
        <f>(DataUK1!DW147-DataUK1!F147)/DataUK1!$G147</f>
        <v>9.8685486529994759E-2</v>
      </c>
      <c r="G159" s="394">
        <f t="shared" si="30"/>
        <v>-4.721532613122828E-2</v>
      </c>
      <c r="H159" s="1926">
        <f t="shared" si="34"/>
        <v>0.20087666556760217</v>
      </c>
      <c r="I159" s="308">
        <f t="shared" si="35"/>
        <v>0.24809199169883045</v>
      </c>
      <c r="J159" s="394">
        <f>(DataUK1!F147)/DataUK1!$G147</f>
        <v>0.14940650516883569</v>
      </c>
      <c r="K159" s="1398">
        <f t="shared" si="31"/>
        <v>-3.6766132004111773E-2</v>
      </c>
      <c r="L159" s="1934">
        <f>DataUK1!EI147/DataUK1!$G147</f>
        <v>0.26620958513547588</v>
      </c>
      <c r="M159" s="1934">
        <f>DataUK1!EJ147/DataUK1!$G147</f>
        <v>0.30297571713958765</v>
      </c>
      <c r="N159" s="203">
        <f>DataUK1!C147/DataUK1!$G147</f>
        <v>-1.0696483640101631E-2</v>
      </c>
      <c r="O159" s="1935">
        <f>DataUK1!HN147/DataUK1!$G147</f>
        <v>2.4728951298512382E-4</v>
      </c>
      <c r="P159" s="154"/>
      <c r="Q159" s="154"/>
      <c r="R159" s="154"/>
      <c r="S159" s="564">
        <f t="shared" si="36"/>
        <v>0.99999999999999989</v>
      </c>
      <c r="T159" s="1244">
        <f t="shared" si="33"/>
        <v>5.4210108624275222E-19</v>
      </c>
      <c r="V159" s="233"/>
    </row>
    <row r="160" spans="1:22">
      <c r="A160" s="214">
        <v>1989</v>
      </c>
      <c r="B160" s="195">
        <f t="shared" si="28"/>
        <v>0.94792354204965779</v>
      </c>
      <c r="C160" s="241">
        <f>DataUK1!DU148/DataUK1!$G148</f>
        <v>0.72262508582692864</v>
      </c>
      <c r="D160" s="550">
        <f>DataUK1!DT148/DataUK1!$G148</f>
        <v>0.22529845622272918</v>
      </c>
      <c r="E160" s="568">
        <f t="shared" si="29"/>
        <v>5.2570378081463615E-2</v>
      </c>
      <c r="F160" s="550">
        <f>(DataUK1!DW148-DataUK1!F148)/DataUK1!$G148</f>
        <v>0.10852510576092493</v>
      </c>
      <c r="G160" s="553">
        <f t="shared" si="30"/>
        <v>-5.5954727679461316E-2</v>
      </c>
      <c r="H160" s="1927">
        <f t="shared" si="34"/>
        <v>0.20131342886885648</v>
      </c>
      <c r="I160" s="550">
        <f t="shared" si="35"/>
        <v>0.25726815654831781</v>
      </c>
      <c r="J160" s="553">
        <f>(DataUK1!F148)/DataUK1!$G148</f>
        <v>0.14874305078739286</v>
      </c>
      <c r="K160" s="1940">
        <f t="shared" si="31"/>
        <v>-4.1768366962723402E-2</v>
      </c>
      <c r="L160" s="1938">
        <f>DataUK1!EI148/DataUK1!$G148</f>
        <v>0.27498504950275754</v>
      </c>
      <c r="M160" s="1938">
        <f>DataUK1!EJ148/DataUK1!$G148</f>
        <v>0.31675341646548094</v>
      </c>
      <c r="N160" s="216">
        <f>DataUK1!C148/DataUK1!$G148</f>
        <v>-1.4680280847859311E-2</v>
      </c>
      <c r="O160" s="1939">
        <f>DataUK1!HN148/DataUK1!$G148</f>
        <v>4.9392013112139804E-4</v>
      </c>
      <c r="P160" s="154"/>
      <c r="Q160" s="154"/>
      <c r="R160" s="154"/>
      <c r="S160" s="564">
        <f t="shared" si="36"/>
        <v>1</v>
      </c>
      <c r="T160" s="1244">
        <f t="shared" si="33"/>
        <v>-1.1926223897340549E-18</v>
      </c>
      <c r="V160" s="233"/>
    </row>
    <row r="161" spans="1:22">
      <c r="A161" s="198">
        <v>1990</v>
      </c>
      <c r="B161" s="192">
        <f t="shared" si="28"/>
        <v>0.96177968979961503</v>
      </c>
      <c r="C161" s="202">
        <f>DataUK1!DU149/DataUK1!$G149</f>
        <v>0.73024505212889679</v>
      </c>
      <c r="D161" s="308">
        <f>DataUK1!DT149/DataUK1!$G149</f>
        <v>0.23153463767071827</v>
      </c>
      <c r="E161" s="307">
        <f t="shared" si="29"/>
        <v>3.9953480234245511E-2</v>
      </c>
      <c r="F161" s="308">
        <f>(DataUK1!DW149-DataUK1!F149)/DataUK1!$G149</f>
        <v>8.3313607031483175E-2</v>
      </c>
      <c r="G161" s="394">
        <f t="shared" si="30"/>
        <v>-4.3360126797237664E-2</v>
      </c>
      <c r="H161" s="1926">
        <f t="shared" si="34"/>
        <v>0.19356133507610918</v>
      </c>
      <c r="I161" s="308">
        <f t="shared" si="35"/>
        <v>0.23692146187334684</v>
      </c>
      <c r="J161" s="394">
        <f>(DataUK1!F149)/DataUK1!$G149</f>
        <v>0.15360785484186368</v>
      </c>
      <c r="K161" s="1398">
        <f t="shared" si="31"/>
        <v>-2.4832497967333278E-2</v>
      </c>
      <c r="L161" s="1934">
        <f>DataUK1!EI149/DataUK1!$G149</f>
        <v>0.28114199849737037</v>
      </c>
      <c r="M161" s="1934">
        <f>DataUK1!EJ149/DataUK1!$G149</f>
        <v>0.30597449646470365</v>
      </c>
      <c r="N161" s="203">
        <f>DataUK1!C149/DataUK1!$G149</f>
        <v>-2.0260798863765014E-2</v>
      </c>
      <c r="O161" s="1935">
        <f>DataUK1!HN149/DataUK1!$G149</f>
        <v>1.7331700338606259E-3</v>
      </c>
      <c r="P161" s="154"/>
      <c r="Q161" s="154"/>
      <c r="R161" s="154"/>
      <c r="S161" s="564">
        <f t="shared" si="36"/>
        <v>0.99999999999999989</v>
      </c>
      <c r="T161" s="1244">
        <f t="shared" si="33"/>
        <v>2.8189256484623115E-18</v>
      </c>
      <c r="V161" s="233"/>
    </row>
    <row r="162" spans="1:22">
      <c r="A162" s="198">
        <v>1991</v>
      </c>
      <c r="B162" s="192">
        <f t="shared" si="28"/>
        <v>0.98188730401980429</v>
      </c>
      <c r="C162" s="202">
        <f>DataUK1!DU150/DataUK1!$G150</f>
        <v>0.738575189594876</v>
      </c>
      <c r="D162" s="308">
        <f>DataUK1!DT150/DataUK1!$G150</f>
        <v>0.24331211442492828</v>
      </c>
      <c r="E162" s="307">
        <f t="shared" si="29"/>
        <v>2.363157687924871E-2</v>
      </c>
      <c r="F162" s="308">
        <f>(DataUK1!DW150-DataUK1!F150)/DataUK1!$G150</f>
        <v>4.3917246257220321E-2</v>
      </c>
      <c r="G162" s="394">
        <f t="shared" si="30"/>
        <v>-2.0285669377971612E-2</v>
      </c>
      <c r="H162" s="1926">
        <f t="shared" si="34"/>
        <v>0.18171440921057805</v>
      </c>
      <c r="I162" s="308">
        <f t="shared" si="35"/>
        <v>0.20200007858854965</v>
      </c>
      <c r="J162" s="394">
        <f>(DataUK1!F150)/DataUK1!$G150</f>
        <v>0.15808283233132933</v>
      </c>
      <c r="K162" s="1398">
        <f t="shared" si="31"/>
        <v>-7.6839954418640999E-3</v>
      </c>
      <c r="L162" s="1934">
        <f>DataUK1!EI150/DataUK1!$G150</f>
        <v>0.27243113678337066</v>
      </c>
      <c r="M162" s="1934">
        <f>DataUK1!EJ150/DataUK1!$G150</f>
        <v>0.28011513222523476</v>
      </c>
      <c r="N162" s="203">
        <f>DataUK1!C150/DataUK1!$G150</f>
        <v>-1.8120554835160518E-2</v>
      </c>
      <c r="O162" s="1935">
        <f>DataUK1!HN150/DataUK1!$G150</f>
        <v>5.5188808990530077E-3</v>
      </c>
      <c r="P162" s="154"/>
      <c r="Q162" s="154"/>
      <c r="R162" s="154"/>
      <c r="S162" s="564">
        <f t="shared" si="36"/>
        <v>0.99999999999999989</v>
      </c>
      <c r="T162" s="1244">
        <f t="shared" si="33"/>
        <v>0</v>
      </c>
      <c r="V162" s="233"/>
    </row>
    <row r="163" spans="1:22">
      <c r="A163" s="198">
        <v>1992</v>
      </c>
      <c r="B163" s="192">
        <f t="shared" si="28"/>
        <v>0.98528204274548159</v>
      </c>
      <c r="C163" s="202">
        <f>DataUK1!DU151/DataUK1!$G151</f>
        <v>0.73908123586700158</v>
      </c>
      <c r="D163" s="308">
        <f>DataUK1!DT151/DataUK1!$G151</f>
        <v>0.24620080687848006</v>
      </c>
      <c r="E163" s="307">
        <f t="shared" si="29"/>
        <v>1.3692993399457214E-2</v>
      </c>
      <c r="F163" s="308">
        <f>(DataUK1!DW151-DataUK1!F151)/DataUK1!$G151</f>
        <v>3.7240976857887263E-2</v>
      </c>
      <c r="G163" s="394">
        <f t="shared" si="30"/>
        <v>-2.3547983458430049E-2</v>
      </c>
      <c r="H163" s="1926">
        <f t="shared" si="34"/>
        <v>0.16721686776282935</v>
      </c>
      <c r="I163" s="308">
        <f t="shared" si="35"/>
        <v>0.19076485122125941</v>
      </c>
      <c r="J163" s="394">
        <f>(DataUK1!F151)/DataUK1!$G151</f>
        <v>0.15352387436337214</v>
      </c>
      <c r="K163" s="1398">
        <f t="shared" si="31"/>
        <v>-1.2525881272526296E-2</v>
      </c>
      <c r="L163" s="1934">
        <f>DataUK1!EI151/DataUK1!$G151</f>
        <v>0.2721017183107548</v>
      </c>
      <c r="M163" s="1934">
        <f>DataUK1!EJ151/DataUK1!$G151</f>
        <v>0.2846275995832811</v>
      </c>
      <c r="N163" s="203">
        <f>DataUK1!C151/DataUK1!$G151</f>
        <v>-9.9971383308426216E-3</v>
      </c>
      <c r="O163" s="1935">
        <f>DataUK1!HN151/DataUK1!$G151</f>
        <v>-1.0249638550611331E-3</v>
      </c>
      <c r="P163" s="154"/>
      <c r="Q163" s="154"/>
      <c r="R163" s="154"/>
      <c r="S163" s="564">
        <f t="shared" si="36"/>
        <v>0.99999999999999989</v>
      </c>
      <c r="T163" s="1244">
        <f t="shared" si="33"/>
        <v>0</v>
      </c>
      <c r="V163" s="233"/>
    </row>
    <row r="164" spans="1:22">
      <c r="A164" s="198">
        <v>1993</v>
      </c>
      <c r="B164" s="192">
        <f t="shared" si="28"/>
        <v>0.98558023691260377</v>
      </c>
      <c r="C164" s="202">
        <f>DataUK1!DU152/DataUK1!$G152</f>
        <v>0.74791973111058996</v>
      </c>
      <c r="D164" s="308">
        <f>DataUK1!DT152/DataUK1!$G152</f>
        <v>0.23766050580201384</v>
      </c>
      <c r="E164" s="307">
        <f t="shared" si="29"/>
        <v>1.399695865043666E-2</v>
      </c>
      <c r="F164" s="308">
        <f>(DataUK1!DW152-DataUK1!F152)/DataUK1!$G152</f>
        <v>3.5583079295373313E-2</v>
      </c>
      <c r="G164" s="394">
        <f t="shared" si="30"/>
        <v>-2.1586120644936653E-2</v>
      </c>
      <c r="H164" s="1926">
        <f t="shared" si="34"/>
        <v>0.16369637667256459</v>
      </c>
      <c r="I164" s="308">
        <f t="shared" si="35"/>
        <v>0.18528249731750124</v>
      </c>
      <c r="J164" s="394">
        <f>(DataUK1!F152)/DataUK1!$G152</f>
        <v>0.14969941802212794</v>
      </c>
      <c r="K164" s="1398">
        <f t="shared" si="31"/>
        <v>-8.6905853176718062E-3</v>
      </c>
      <c r="L164" s="1934">
        <f>DataUK1!EI152/DataUK1!$G152</f>
        <v>0.29460231512076573</v>
      </c>
      <c r="M164" s="1934">
        <f>DataUK1!EJ152/DataUK1!$G152</f>
        <v>0.30329290043843754</v>
      </c>
      <c r="N164" s="203">
        <f>DataUK1!C152/DataUK1!$G152</f>
        <v>-1.2472730890305343E-2</v>
      </c>
      <c r="O164" s="1935">
        <f>DataUK1!HN152/DataUK1!$G152</f>
        <v>-4.2280443695950313E-4</v>
      </c>
      <c r="P164" s="154"/>
      <c r="Q164" s="154"/>
      <c r="R164" s="154"/>
      <c r="S164" s="564">
        <f t="shared" si="36"/>
        <v>1</v>
      </c>
      <c r="T164" s="1244">
        <f t="shared" si="33"/>
        <v>-7.589415207398531E-19</v>
      </c>
      <c r="V164" s="233"/>
    </row>
    <row r="165" spans="1:22">
      <c r="A165" s="198">
        <v>1994</v>
      </c>
      <c r="B165" s="192">
        <f t="shared" si="28"/>
        <v>0.96010135090435178</v>
      </c>
      <c r="C165" s="202">
        <f>DataUK1!DU153/DataUK1!$G153</f>
        <v>0.73140356448219745</v>
      </c>
      <c r="D165" s="308">
        <f>DataUK1!DT153/DataUK1!$G153</f>
        <v>0.2286977864221543</v>
      </c>
      <c r="E165" s="307">
        <f t="shared" si="29"/>
        <v>3.6435385490678616E-2</v>
      </c>
      <c r="F165" s="308">
        <f>(DataUK1!DW153-DataUK1!F153)/DataUK1!$G153</f>
        <v>4.762897101046587E-2</v>
      </c>
      <c r="G165" s="394">
        <f t="shared" si="30"/>
        <v>-1.1193585519787256E-2</v>
      </c>
      <c r="H165" s="1926">
        <f t="shared" si="34"/>
        <v>0.17973908096164279</v>
      </c>
      <c r="I165" s="308">
        <f t="shared" si="35"/>
        <v>0.19093266648143004</v>
      </c>
      <c r="J165" s="394">
        <f>(DataUK1!F153)/DataUK1!$G153</f>
        <v>0.14330369547096417</v>
      </c>
      <c r="K165" s="1398">
        <f t="shared" si="31"/>
        <v>-4.9038092591857652E-3</v>
      </c>
      <c r="L165" s="1934">
        <f>DataUK1!EI153/DataUK1!$G153</f>
        <v>0.30301902644914591</v>
      </c>
      <c r="M165" s="1934">
        <f>DataUK1!EJ153/DataUK1!$G153</f>
        <v>0.30792283570833168</v>
      </c>
      <c r="N165" s="203">
        <f>DataUK1!C153/DataUK1!$G153</f>
        <v>-2.8265126556318554E-3</v>
      </c>
      <c r="O165" s="1935">
        <f>DataUK1!HN153/DataUK1!$G153</f>
        <v>-3.4632636049696346E-3</v>
      </c>
      <c r="P165" s="154"/>
      <c r="Q165" s="154"/>
      <c r="R165" s="154"/>
      <c r="S165" s="564">
        <f t="shared" si="36"/>
        <v>1</v>
      </c>
      <c r="T165" s="1244">
        <f t="shared" si="33"/>
        <v>0</v>
      </c>
      <c r="V165" s="233"/>
    </row>
    <row r="166" spans="1:22">
      <c r="A166" s="198">
        <v>1995</v>
      </c>
      <c r="B166" s="192">
        <f t="shared" si="28"/>
        <v>0.95300523678311455</v>
      </c>
      <c r="C166" s="202">
        <f>DataUK1!DU154/DataUK1!$G154</f>
        <v>0.72894673770186214</v>
      </c>
      <c r="D166" s="308">
        <f>DataUK1!DT154/DataUK1!$G154</f>
        <v>0.22405849908125239</v>
      </c>
      <c r="E166" s="307">
        <f t="shared" si="29"/>
        <v>4.4010595752613291E-2</v>
      </c>
      <c r="F166" s="308">
        <f>(DataUK1!DW154-DataUK1!F154)/DataUK1!$G154</f>
        <v>5.7372773427281087E-2</v>
      </c>
      <c r="G166" s="394">
        <f t="shared" si="30"/>
        <v>-1.3362177674667795E-2</v>
      </c>
      <c r="H166" s="1926">
        <f t="shared" si="34"/>
        <v>0.1836320372699802</v>
      </c>
      <c r="I166" s="308">
        <f t="shared" si="35"/>
        <v>0.196994214944648</v>
      </c>
      <c r="J166" s="394">
        <f>(DataUK1!F154)/DataUK1!$G154</f>
        <v>0.13962144151736691</v>
      </c>
      <c r="K166" s="1398">
        <f t="shared" si="31"/>
        <v>-1.3440502280029354E-3</v>
      </c>
      <c r="L166" s="1934">
        <f>DataUK1!EI154/DataUK1!$G154</f>
        <v>0.3244941405362729</v>
      </c>
      <c r="M166" s="1934">
        <f>DataUK1!EJ154/DataUK1!$G154</f>
        <v>0.32583819076427584</v>
      </c>
      <c r="N166" s="203">
        <f>DataUK1!C154/DataUK1!$G154</f>
        <v>-9.0339599823926284E-3</v>
      </c>
      <c r="O166" s="1935">
        <f>DataUK1!HN154/DataUK1!$G154</f>
        <v>-2.9841674642722311E-3</v>
      </c>
      <c r="P166" s="154"/>
      <c r="Q166" s="154"/>
      <c r="R166" s="154"/>
      <c r="S166" s="564">
        <f t="shared" si="36"/>
        <v>1.0000000000000002</v>
      </c>
      <c r="T166" s="1244">
        <f t="shared" si="33"/>
        <v>0</v>
      </c>
      <c r="V166" s="233"/>
    </row>
    <row r="167" spans="1:22">
      <c r="A167" s="198">
        <v>1996</v>
      </c>
      <c r="B167" s="192">
        <f t="shared" si="28"/>
        <v>0.95028412833642206</v>
      </c>
      <c r="C167" s="202">
        <f>DataUK1!DU155/DataUK1!$G155</f>
        <v>0.73251534819993502</v>
      </c>
      <c r="D167" s="308">
        <f>DataUK1!DT155/DataUK1!$G155</f>
        <v>0.21776878013648698</v>
      </c>
      <c r="E167" s="307">
        <f t="shared" si="29"/>
        <v>4.9071788881374631E-2</v>
      </c>
      <c r="F167" s="308">
        <f>(DataUK1!DW155-DataUK1!F155)/DataUK1!$G155</f>
        <v>5.6493379121763852E-2</v>
      </c>
      <c r="G167" s="394">
        <f t="shared" si="30"/>
        <v>-7.4215902403892194E-3</v>
      </c>
      <c r="H167" s="1926">
        <f t="shared" si="34"/>
        <v>0.1857402999669176</v>
      </c>
      <c r="I167" s="308">
        <f t="shared" si="35"/>
        <v>0.19316189020730684</v>
      </c>
      <c r="J167" s="394">
        <f>(DataUK1!F155)/DataUK1!$G155</f>
        <v>0.13666851108554298</v>
      </c>
      <c r="K167" s="1398">
        <f t="shared" si="31"/>
        <v>8.636564579546091E-4</v>
      </c>
      <c r="L167" s="1934">
        <f>DataUK1!EI155/DataUK1!$G155</f>
        <v>0.33528461139850868</v>
      </c>
      <c r="M167" s="1934">
        <f>DataUK1!EJ155/DataUK1!$G155</f>
        <v>0.33442095494055407</v>
      </c>
      <c r="N167" s="203">
        <f>DataUK1!C155/DataUK1!$G155</f>
        <v>-7.6411639161404216E-3</v>
      </c>
      <c r="O167" s="1935">
        <f>DataUK1!HN155/DataUK1!$G155</f>
        <v>-6.4408278220340722E-4</v>
      </c>
      <c r="P167" s="154"/>
      <c r="Q167" s="154"/>
      <c r="R167" s="154"/>
      <c r="S167" s="564">
        <f t="shared" si="36"/>
        <v>1.0000000000000002</v>
      </c>
      <c r="T167" s="1244">
        <f t="shared" si="33"/>
        <v>0</v>
      </c>
      <c r="V167" s="233"/>
    </row>
    <row r="168" spans="1:22">
      <c r="A168" s="198">
        <v>1997</v>
      </c>
      <c r="B168" s="192">
        <f t="shared" si="28"/>
        <v>0.93131817871527067</v>
      </c>
      <c r="C168" s="202">
        <f>DataUK1!DU156/DataUK1!$G156</f>
        <v>0.72581063553826197</v>
      </c>
      <c r="D168" s="308">
        <f>DataUK1!DT156/DataUK1!$G156</f>
        <v>0.20550754317700867</v>
      </c>
      <c r="E168" s="307">
        <f t="shared" si="29"/>
        <v>6.6191548911188489E-2</v>
      </c>
      <c r="F168" s="308">
        <f>(DataUK1!DW156-DataUK1!F156)/DataUK1!$G156</f>
        <v>6.5945798348010107E-2</v>
      </c>
      <c r="G168" s="394">
        <f t="shared" si="30"/>
        <v>2.4575056317838097E-4</v>
      </c>
      <c r="H168" s="1926">
        <f t="shared" si="34"/>
        <v>0.1961348897535668</v>
      </c>
      <c r="I168" s="308">
        <f t="shared" si="35"/>
        <v>0.19588913919038842</v>
      </c>
      <c r="J168" s="394">
        <f>(DataUK1!F156)/DataUK1!$G156</f>
        <v>0.12994334084237832</v>
      </c>
      <c r="K168" s="1398">
        <f t="shared" si="31"/>
        <v>5.9908526179261457E-3</v>
      </c>
      <c r="L168" s="1934">
        <f>DataUK1!EI156/DataUK1!$G156</f>
        <v>0.32406853710150862</v>
      </c>
      <c r="M168" s="1934">
        <f>DataUK1!EJ156/DataUK1!$G156</f>
        <v>0.31807768448358248</v>
      </c>
      <c r="N168" s="203">
        <f>DataUK1!C156/DataUK1!$G156</f>
        <v>-3.2548296812069085E-3</v>
      </c>
      <c r="O168" s="1935">
        <f>DataUK1!HN156/DataUK1!$G156</f>
        <v>-2.4902723735408562E-3</v>
      </c>
      <c r="P168" s="154"/>
      <c r="Q168" s="154"/>
      <c r="R168" s="154"/>
      <c r="S168" s="564">
        <f t="shared" si="36"/>
        <v>1</v>
      </c>
      <c r="T168" s="1244">
        <f t="shared" si="33"/>
        <v>0</v>
      </c>
      <c r="V168" s="233"/>
    </row>
    <row r="169" spans="1:22">
      <c r="A169" s="198">
        <v>1998</v>
      </c>
      <c r="B169" s="192">
        <f t="shared" si="28"/>
        <v>0.91844410516010899</v>
      </c>
      <c r="C169" s="202">
        <f>DataUK1!DU157/DataUK1!$G157</f>
        <v>0.71969900632522943</v>
      </c>
      <c r="D169" s="308">
        <f>DataUK1!DT157/DataUK1!$G157</f>
        <v>0.19874509883487956</v>
      </c>
      <c r="E169" s="307">
        <f t="shared" si="29"/>
        <v>7.619568139510112E-2</v>
      </c>
      <c r="F169" s="308">
        <f>(DataUK1!DW157-DataUK1!F157)/DataUK1!$G157</f>
        <v>7.9629667202645735E-2</v>
      </c>
      <c r="G169" s="394">
        <f t="shared" si="30"/>
        <v>-3.4339858075446185E-3</v>
      </c>
      <c r="H169" s="1926">
        <f t="shared" si="34"/>
        <v>0.20168199363926409</v>
      </c>
      <c r="I169" s="308">
        <f t="shared" si="35"/>
        <v>0.2051159794468087</v>
      </c>
      <c r="J169" s="394">
        <f>(DataUK1!F157)/DataUK1!$G157</f>
        <v>0.12548631224416298</v>
      </c>
      <c r="K169" s="1398">
        <f t="shared" si="31"/>
        <v>-8.7143096268266773E-3</v>
      </c>
      <c r="L169" s="1934">
        <f>DataUK1!EI157/DataUK1!$G157</f>
        <v>0.29570574241555792</v>
      </c>
      <c r="M169" s="1934">
        <f>DataUK1!EJ157/DataUK1!$G157</f>
        <v>0.30442005204238459</v>
      </c>
      <c r="N169" s="203">
        <f>DataUK1!C157/DataUK1!$G157</f>
        <v>1.0640537264071987E-2</v>
      </c>
      <c r="O169" s="1935">
        <f>DataUK1!HN157/DataUK1!$G157</f>
        <v>-5.3602134447899279E-3</v>
      </c>
      <c r="P169" s="154"/>
      <c r="Q169" s="154"/>
      <c r="R169" s="154"/>
      <c r="S169" s="564">
        <f t="shared" si="36"/>
        <v>1</v>
      </c>
      <c r="T169" s="1244">
        <f t="shared" si="33"/>
        <v>0</v>
      </c>
      <c r="V169" s="233"/>
    </row>
    <row r="170" spans="1:22">
      <c r="A170" s="200">
        <f t="shared" ref="A170:A181" si="37">A169+1</f>
        <v>1999</v>
      </c>
      <c r="B170" s="192">
        <f t="shared" si="28"/>
        <v>0.94496905630897299</v>
      </c>
      <c r="C170" s="202">
        <f>DataUK1!DU158/DataUK1!$G158</f>
        <v>0.73786360362779679</v>
      </c>
      <c r="D170" s="308">
        <f>DataUK1!DT158/DataUK1!$G158</f>
        <v>0.20710545268117622</v>
      </c>
      <c r="E170" s="307">
        <f t="shared" si="29"/>
        <v>5.077206645264451E-2</v>
      </c>
      <c r="F170" s="308">
        <f>(DataUK1!DW158-DataUK1!F158)/DataUK1!$G158</f>
        <v>7.6435189141022666E-2</v>
      </c>
      <c r="G170" s="394">
        <f t="shared" si="30"/>
        <v>-2.5663122688378157E-2</v>
      </c>
      <c r="H170" s="1926">
        <f t="shared" si="34"/>
        <v>0.17955519207060283</v>
      </c>
      <c r="I170" s="308">
        <f t="shared" si="35"/>
        <v>0.205218314758981</v>
      </c>
      <c r="J170" s="394">
        <f>(DataUK1!F158)/DataUK1!$G158</f>
        <v>0.12878312561795832</v>
      </c>
      <c r="K170" s="1398">
        <f t="shared" si="31"/>
        <v>-1.6350719578140493E-2</v>
      </c>
      <c r="L170" s="1934">
        <f>DataUK1!EI158/DataUK1!$G158</f>
        <v>0.29614882267495085</v>
      </c>
      <c r="M170" s="1934">
        <f>DataUK1!EJ158/DataUK1!$G158</f>
        <v>0.31249954225309134</v>
      </c>
      <c r="N170" s="203">
        <f>DataUK1!C158/DataUK1!$G158</f>
        <v>-5.0535258718552786E-3</v>
      </c>
      <c r="O170" s="1935">
        <f>DataUK1!HN158/DataUK1!$G158</f>
        <v>-4.2588772383823836E-3</v>
      </c>
      <c r="P170" s="154"/>
      <c r="Q170" s="154"/>
      <c r="R170" s="154"/>
      <c r="S170" s="564">
        <f t="shared" si="36"/>
        <v>0.99999999999999989</v>
      </c>
      <c r="T170" s="1244">
        <f t="shared" si="33"/>
        <v>0</v>
      </c>
      <c r="V170" s="233"/>
    </row>
    <row r="171" spans="1:22">
      <c r="A171" s="201">
        <f t="shared" si="37"/>
        <v>2000</v>
      </c>
      <c r="B171" s="194">
        <f t="shared" si="28"/>
        <v>0.95212786291597784</v>
      </c>
      <c r="C171" s="237">
        <f>DataUK1!DU159/DataUK1!$G159</f>
        <v>0.74135376495678473</v>
      </c>
      <c r="D171" s="551">
        <f>DataUK1!DT159/DataUK1!$G159</f>
        <v>0.21077409795919314</v>
      </c>
      <c r="E171" s="569">
        <f t="shared" si="29"/>
        <v>4.2848024354841106E-2</v>
      </c>
      <c r="F171" s="551">
        <f>(DataUK1!DW159-DataUK1!F159)/DataUK1!$G159</f>
        <v>7.0824118984705239E-2</v>
      </c>
      <c r="G171" s="554">
        <f t="shared" si="30"/>
        <v>-2.7976094629864133E-2</v>
      </c>
      <c r="H171" s="1928">
        <f t="shared" si="34"/>
        <v>0.17172225008890951</v>
      </c>
      <c r="I171" s="551">
        <f t="shared" si="35"/>
        <v>0.19969834471877362</v>
      </c>
      <c r="J171" s="554">
        <f>(DataUK1!F159)/DataUK1!$G159</f>
        <v>0.1288742257340684</v>
      </c>
      <c r="K171" s="1941">
        <f t="shared" si="31"/>
        <v>-2.0871440867340052E-2</v>
      </c>
      <c r="L171" s="1936">
        <f>DataUK1!EI159/DataUK1!$G159</f>
        <v>0.31244490215317461</v>
      </c>
      <c r="M171" s="1936">
        <f>DataUK1!EJ159/DataUK1!$G159</f>
        <v>0.33331634302051466</v>
      </c>
      <c r="N171" s="212">
        <f>DataUK1!C159/DataUK1!$G159</f>
        <v>-2.0805410333431026E-3</v>
      </c>
      <c r="O171" s="1937">
        <f>DataUK1!HN159/DataUK1!$G159</f>
        <v>-5.0241127291809785E-3</v>
      </c>
      <c r="P171" s="154"/>
      <c r="Q171" s="154"/>
      <c r="R171" s="154"/>
      <c r="S171" s="564">
        <f t="shared" si="36"/>
        <v>1</v>
      </c>
      <c r="T171" s="1244">
        <f t="shared" si="33"/>
        <v>0</v>
      </c>
      <c r="V171" s="233"/>
    </row>
    <row r="172" spans="1:22">
      <c r="A172" s="200">
        <f t="shared" si="37"/>
        <v>2001</v>
      </c>
      <c r="B172" s="192">
        <f t="shared" si="28"/>
        <v>0.95083894328565743</v>
      </c>
      <c r="C172" s="202">
        <f>DataUK1!DU160/DataUK1!$G160</f>
        <v>0.73743339609461789</v>
      </c>
      <c r="D172" s="308">
        <f>DataUK1!DT160/DataUK1!$G160</f>
        <v>0.21340554719103957</v>
      </c>
      <c r="E172" s="307">
        <f t="shared" si="29"/>
        <v>4.7223388868114655E-2</v>
      </c>
      <c r="F172" s="308">
        <f>(DataUK1!DW160-DataUK1!F160)/DataUK1!$G160</f>
        <v>6.8768018282285417E-2</v>
      </c>
      <c r="G172" s="394">
        <f t="shared" si="30"/>
        <v>-2.1544629414170763E-2</v>
      </c>
      <c r="H172" s="1926">
        <f t="shared" si="34"/>
        <v>0.17420258991732834</v>
      </c>
      <c r="I172" s="308">
        <f t="shared" si="35"/>
        <v>0.19574721933149913</v>
      </c>
      <c r="J172" s="394">
        <f>(DataUK1!F160)/DataUK1!$G160</f>
        <v>0.1269792010492137</v>
      </c>
      <c r="K172" s="1398">
        <f t="shared" si="31"/>
        <v>-2.6287364804626734E-2</v>
      </c>
      <c r="L172" s="1934">
        <f>DataUK1!EI160/DataUK1!$G160</f>
        <v>0.30350765033374599</v>
      </c>
      <c r="M172" s="1934">
        <f>DataUK1!EJ160/DataUK1!$G160</f>
        <v>0.32979501513837273</v>
      </c>
      <c r="N172" s="203">
        <f>DataUK1!C160/DataUK1!$G160</f>
        <v>6.6804032366838796E-3</v>
      </c>
      <c r="O172" s="1935">
        <f>DataUK1!HN160/DataUK1!$G160</f>
        <v>-1.937667846227908E-3</v>
      </c>
      <c r="P172" s="154"/>
      <c r="Q172" s="154"/>
      <c r="R172" s="154"/>
      <c r="S172" s="564">
        <f t="shared" si="36"/>
        <v>1</v>
      </c>
      <c r="T172" s="1244">
        <f t="shared" si="33"/>
        <v>0</v>
      </c>
      <c r="V172" s="233"/>
    </row>
    <row r="173" spans="1:22">
      <c r="A173" s="200">
        <f t="shared" si="37"/>
        <v>2002</v>
      </c>
      <c r="B173" s="192">
        <f t="shared" si="28"/>
        <v>0.9484719282829408</v>
      </c>
      <c r="C173" s="202">
        <f>DataUK1!DU161/DataUK1!$G161</f>
        <v>0.72924891809717118</v>
      </c>
      <c r="D173" s="308">
        <f>DataUK1!DT161/DataUK1!$G161</f>
        <v>0.21922301018576962</v>
      </c>
      <c r="E173" s="307">
        <f t="shared" si="29"/>
        <v>4.592156668605632E-2</v>
      </c>
      <c r="F173" s="308">
        <f>(DataUK1!DW161-DataUK1!F161)/DataUK1!$G161</f>
        <v>6.3802357289900455E-2</v>
      </c>
      <c r="G173" s="394">
        <f t="shared" si="30"/>
        <v>-1.7880790603844135E-2</v>
      </c>
      <c r="H173" s="1926">
        <f t="shared" si="34"/>
        <v>0.17165950898732243</v>
      </c>
      <c r="I173" s="308">
        <f t="shared" si="35"/>
        <v>0.18954029959116658</v>
      </c>
      <c r="J173" s="394">
        <f>(DataUK1!F161)/DataUK1!$G161</f>
        <v>0.12573794230126611</v>
      </c>
      <c r="K173" s="1398">
        <f t="shared" si="31"/>
        <v>-2.8913311633394834E-2</v>
      </c>
      <c r="L173" s="1934">
        <f>DataUK1!EI161/DataUK1!$G161</f>
        <v>0.28925069204651871</v>
      </c>
      <c r="M173" s="1934">
        <f>DataUK1!EJ161/DataUK1!$G161</f>
        <v>0.31816400367991354</v>
      </c>
      <c r="N173" s="203">
        <f>DataUK1!C161/DataUK1!$G161</f>
        <v>1.6639026060553556E-2</v>
      </c>
      <c r="O173" s="1935">
        <f>DataUK1!HN161/DataUK1!$G161</f>
        <v>-5.6065050310028586E-3</v>
      </c>
      <c r="P173" s="154"/>
      <c r="Q173" s="154"/>
      <c r="R173" s="154"/>
      <c r="S173" s="564">
        <f t="shared" si="36"/>
        <v>1</v>
      </c>
      <c r="T173" s="1244">
        <f t="shared" si="33"/>
        <v>0</v>
      </c>
      <c r="V173" s="233"/>
    </row>
    <row r="174" spans="1:22">
      <c r="A174" s="200">
        <f t="shared" si="37"/>
        <v>2003</v>
      </c>
      <c r="B174" s="192">
        <f t="shared" si="28"/>
        <v>0.94675842965630641</v>
      </c>
      <c r="C174" s="202">
        <f>DataUK1!DU162/DataUK1!$G162</f>
        <v>0.72083674482254911</v>
      </c>
      <c r="D174" s="308">
        <f>DataUK1!DT162/DataUK1!$G162</f>
        <v>0.22592168483375727</v>
      </c>
      <c r="E174" s="307">
        <f t="shared" si="29"/>
        <v>4.7124685196030733E-2</v>
      </c>
      <c r="F174" s="308">
        <f>(DataUK1!DW162-DataUK1!F162)/DataUK1!$G162</f>
        <v>6.3483322309731166E-2</v>
      </c>
      <c r="G174" s="394">
        <f t="shared" si="30"/>
        <v>-1.6358637113700433E-2</v>
      </c>
      <c r="H174" s="1926">
        <f t="shared" si="34"/>
        <v>0.16911468334095758</v>
      </c>
      <c r="I174" s="308">
        <f t="shared" si="35"/>
        <v>0.18547332045465803</v>
      </c>
      <c r="J174" s="394">
        <f>(DataUK1!F162)/DataUK1!$G162</f>
        <v>0.12198999814492686</v>
      </c>
      <c r="K174" s="1398">
        <f t="shared" si="31"/>
        <v>-2.5558245897228937E-2</v>
      </c>
      <c r="L174" s="1934">
        <f>DataUK1!EI162/DataUK1!$G162</f>
        <v>0.28186136679069435</v>
      </c>
      <c r="M174" s="1934">
        <f>DataUK1!EJ162/DataUK1!$G162</f>
        <v>0.30741961268792328</v>
      </c>
      <c r="N174" s="203">
        <f>DataUK1!C162/DataUK1!$G162</f>
        <v>1.5316493931191355E-2</v>
      </c>
      <c r="O174" s="1935">
        <f>DataUK1!HN162/DataUK1!$G162</f>
        <v>-6.1168851476628506E-3</v>
      </c>
      <c r="P174" s="154"/>
      <c r="Q174" s="154"/>
      <c r="R174" s="154"/>
      <c r="S174" s="564">
        <f t="shared" si="36"/>
        <v>1</v>
      </c>
      <c r="T174" s="1244">
        <f t="shared" si="33"/>
        <v>0</v>
      </c>
      <c r="V174" s="233"/>
    </row>
    <row r="175" spans="1:22">
      <c r="A175" s="200">
        <f t="shared" si="37"/>
        <v>2004</v>
      </c>
      <c r="B175" s="192">
        <f t="shared" si="28"/>
        <v>0.94931723560626458</v>
      </c>
      <c r="C175" s="202">
        <f>DataUK1!DU163/DataUK1!$G163</f>
        <v>0.71798493235045746</v>
      </c>
      <c r="D175" s="308">
        <f>DataUK1!DT163/DataUK1!$G163</f>
        <v>0.23133230325580709</v>
      </c>
      <c r="E175" s="307">
        <f t="shared" si="29"/>
        <v>4.3987875077901181E-2</v>
      </c>
      <c r="F175" s="308">
        <f>(DataUK1!DW163-DataUK1!F163)/DataUK1!$G163</f>
        <v>6.4737238040099274E-2</v>
      </c>
      <c r="G175" s="394">
        <f t="shared" si="30"/>
        <v>-2.0749362962198092E-2</v>
      </c>
      <c r="H175" s="1926">
        <f t="shared" si="34"/>
        <v>0.16850433480715549</v>
      </c>
      <c r="I175" s="308">
        <f t="shared" si="35"/>
        <v>0.18925369776935358</v>
      </c>
      <c r="J175" s="394">
        <f>(DataUK1!F163)/DataUK1!$G163</f>
        <v>0.12451645972925432</v>
      </c>
      <c r="K175" s="1398">
        <f t="shared" si="31"/>
        <v>-3.0093813265874292E-2</v>
      </c>
      <c r="L175" s="1934">
        <f>DataUK1!EI163/DataUK1!$G163</f>
        <v>0.27990205659034506</v>
      </c>
      <c r="M175" s="1934">
        <f>DataUK1!EJ163/DataUK1!$G163</f>
        <v>0.30999586985621935</v>
      </c>
      <c r="N175" s="203">
        <f>DataUK1!C163/DataUK1!$G163</f>
        <v>1.6039339619510505E-2</v>
      </c>
      <c r="O175" s="1935">
        <f>DataUK1!HN163/DataUK1!$G163</f>
        <v>-6.6948893158343074E-3</v>
      </c>
      <c r="P175" s="154"/>
      <c r="Q175" s="154"/>
      <c r="R175" s="154"/>
      <c r="S175" s="564">
        <f t="shared" si="36"/>
        <v>1</v>
      </c>
      <c r="T175" s="1244">
        <f t="shared" si="33"/>
        <v>0</v>
      </c>
      <c r="V175" s="233"/>
    </row>
    <row r="176" spans="1:22">
      <c r="A176" s="200">
        <f t="shared" si="37"/>
        <v>2005</v>
      </c>
      <c r="B176" s="192">
        <f t="shared" si="28"/>
        <v>0.9526291165689923</v>
      </c>
      <c r="C176" s="202">
        <f>DataUK1!DU164/DataUK1!$G164</f>
        <v>0.7167042472509304</v>
      </c>
      <c r="D176" s="308">
        <f>DataUK1!DT164/DataUK1!$G164</f>
        <v>0.23592486931806189</v>
      </c>
      <c r="E176" s="307">
        <f t="shared" si="29"/>
        <v>3.9200184326609884E-2</v>
      </c>
      <c r="F176" s="308">
        <f>(DataUK1!DW164-DataUK1!F164)/DataUK1!$G164</f>
        <v>6.6379565073625107E-2</v>
      </c>
      <c r="G176" s="394">
        <f t="shared" si="30"/>
        <v>-2.7179380747015223E-2</v>
      </c>
      <c r="H176" s="1926">
        <f t="shared" si="34"/>
        <v>0.16079682564250489</v>
      </c>
      <c r="I176" s="308">
        <f t="shared" si="35"/>
        <v>0.18797620638952012</v>
      </c>
      <c r="J176" s="394">
        <f>(DataUK1!F164)/DataUK1!$G164</f>
        <v>0.12159664131589501</v>
      </c>
      <c r="K176" s="1398">
        <f t="shared" si="31"/>
        <v>-3.7554787918868127E-2</v>
      </c>
      <c r="L176" s="1934">
        <f>DataUK1!EI164/DataUK1!$G164</f>
        <v>0.29114722208542343</v>
      </c>
      <c r="M176" s="1934">
        <f>DataUK1!EJ164/DataUK1!$G164</f>
        <v>0.32870201000429156</v>
      </c>
      <c r="N176" s="203">
        <f>DataUK1!C164/DataUK1!$G164</f>
        <v>1.8546106276250713E-2</v>
      </c>
      <c r="O176" s="1935">
        <f>DataUK1!HN164/DataUK1!$G164</f>
        <v>-8.1706991043978081E-3</v>
      </c>
      <c r="P176" s="154"/>
      <c r="Q176" s="154"/>
      <c r="R176" s="154"/>
      <c r="S176" s="564">
        <f t="shared" si="36"/>
        <v>1</v>
      </c>
      <c r="T176" s="1244">
        <f t="shared" si="33"/>
        <v>0</v>
      </c>
      <c r="V176" s="233"/>
    </row>
    <row r="177" spans="1:22">
      <c r="A177" s="200">
        <f t="shared" si="37"/>
        <v>2006</v>
      </c>
      <c r="B177" s="192">
        <f t="shared" si="28"/>
        <v>0.95559224629725215</v>
      </c>
      <c r="C177" s="202">
        <f>DataUK1!DU165/DataUK1!$G165</f>
        <v>0.71589428358618001</v>
      </c>
      <c r="D177" s="308">
        <f>DataUK1!DT165/DataUK1!$G165</f>
        <v>0.23969796271107219</v>
      </c>
      <c r="E177" s="307">
        <f t="shared" si="29"/>
        <v>3.6301136086596159E-2</v>
      </c>
      <c r="F177" s="308">
        <f>(DataUK1!DW165-DataUK1!F165)/DataUK1!$G165</f>
        <v>7.171704264402004E-2</v>
      </c>
      <c r="G177" s="394">
        <f t="shared" si="30"/>
        <v>-3.5415906557423882E-2</v>
      </c>
      <c r="H177" s="1926">
        <f t="shared" si="34"/>
        <v>0.16015004346283634</v>
      </c>
      <c r="I177" s="308">
        <f t="shared" si="35"/>
        <v>0.19556595002026023</v>
      </c>
      <c r="J177" s="394">
        <f>(DataUK1!F165)/DataUK1!$G165</f>
        <v>0.1238489073762402</v>
      </c>
      <c r="K177" s="1398">
        <f t="shared" si="31"/>
        <v>-3.4241485235245728E-2</v>
      </c>
      <c r="L177" s="1934">
        <f>DataUK1!EI165/DataUK1!$G165</f>
        <v>0.31869187791398562</v>
      </c>
      <c r="M177" s="1934">
        <f>DataUK1!EJ165/DataUK1!$G165</f>
        <v>0.35293336314923135</v>
      </c>
      <c r="N177" s="203">
        <f>DataUK1!C165/DataUK1!$G165</f>
        <v>6.9321962939735459E-3</v>
      </c>
      <c r="O177" s="1935">
        <f>DataUK1!HN165/DataUK1!$G165</f>
        <v>-8.1066176161516974E-3</v>
      </c>
      <c r="P177" s="154"/>
      <c r="Q177" s="154"/>
      <c r="R177" s="154"/>
      <c r="S177" s="564">
        <f t="shared" si="36"/>
        <v>1</v>
      </c>
      <c r="T177" s="1244">
        <f t="shared" si="33"/>
        <v>0</v>
      </c>
      <c r="V177" s="233"/>
    </row>
    <row r="178" spans="1:22">
      <c r="A178" s="200">
        <f t="shared" si="37"/>
        <v>2007</v>
      </c>
      <c r="B178" s="192">
        <f t="shared" si="28"/>
        <v>0.93752950135627566</v>
      </c>
      <c r="C178" s="202">
        <f>DataUK1!DU166/DataUK1!$G166</f>
        <v>0.70533101308444157</v>
      </c>
      <c r="D178" s="308">
        <f>DataUK1!DT166/DataUK1!$G166</f>
        <v>0.23219848827183415</v>
      </c>
      <c r="E178" s="307">
        <f t="shared" si="29"/>
        <v>5.5211591594237552E-2</v>
      </c>
      <c r="F178" s="308">
        <f>(DataUK1!DW166-DataUK1!F166)/DataUK1!$G166</f>
        <v>8.058197128849337E-2</v>
      </c>
      <c r="G178" s="394">
        <f t="shared" si="30"/>
        <v>-2.5370379694255818E-2</v>
      </c>
      <c r="H178" s="1926">
        <f t="shared" si="34"/>
        <v>0.17659590536908948</v>
      </c>
      <c r="I178" s="308">
        <f t="shared" si="35"/>
        <v>0.2019662850633453</v>
      </c>
      <c r="J178" s="394">
        <f>(DataUK1!F166)/DataUK1!$G166</f>
        <v>0.12138431377485194</v>
      </c>
      <c r="K178" s="1398">
        <f t="shared" si="31"/>
        <v>-3.3552089168046029E-2</v>
      </c>
      <c r="L178" s="1934">
        <f>DataUK1!EI166/DataUK1!$G166</f>
        <v>0.29425203441352876</v>
      </c>
      <c r="M178" s="1934">
        <f>DataUK1!EJ166/DataUK1!$G166</f>
        <v>0.32780412358157479</v>
      </c>
      <c r="N178" s="203">
        <f>DataUK1!C166/DataUK1!$G166</f>
        <v>1.5440616523276964E-2</v>
      </c>
      <c r="O178" s="1935">
        <f>DataUK1!HN166/DataUK1!$G166</f>
        <v>-7.2589070494867552E-3</v>
      </c>
      <c r="P178" s="154"/>
      <c r="Q178" s="154"/>
      <c r="R178" s="154"/>
      <c r="S178" s="564">
        <f t="shared" si="36"/>
        <v>0.99999999999999989</v>
      </c>
      <c r="T178" s="1244">
        <f t="shared" si="33"/>
        <v>0</v>
      </c>
      <c r="V178" s="233"/>
    </row>
    <row r="179" spans="1:22">
      <c r="A179" s="200">
        <f t="shared" si="37"/>
        <v>2008</v>
      </c>
      <c r="B179" s="192">
        <f t="shared" si="28"/>
        <v>0.93573397250243384</v>
      </c>
      <c r="C179" s="202">
        <f>DataUK1!DU167/DataUK1!$G167</f>
        <v>0.69553862911015396</v>
      </c>
      <c r="D179" s="308">
        <f>DataUK1!DT167/DataUK1!$G167</f>
        <v>0.24019534339227988</v>
      </c>
      <c r="E179" s="307">
        <f t="shared" si="29"/>
        <v>5.7696479419450178E-2</v>
      </c>
      <c r="F179" s="308">
        <f>(DataUK1!DW167-DataUK1!F167)/DataUK1!$G167</f>
        <v>7.0234261361603725E-2</v>
      </c>
      <c r="G179" s="394">
        <f t="shared" si="30"/>
        <v>-1.2537781942153549E-2</v>
      </c>
      <c r="H179" s="1926">
        <f t="shared" si="34"/>
        <v>0.17290599936519491</v>
      </c>
      <c r="I179" s="308">
        <f t="shared" si="35"/>
        <v>0.18544378130734845</v>
      </c>
      <c r="J179" s="394">
        <f>(DataUK1!F167)/DataUK1!$G167</f>
        <v>0.11520951994574471</v>
      </c>
      <c r="K179" s="1398">
        <f t="shared" si="31"/>
        <v>-2.9779515584313743E-2</v>
      </c>
      <c r="L179" s="1934">
        <f>DataUK1!EI167/DataUK1!$G167</f>
        <v>0.32186599217987061</v>
      </c>
      <c r="M179" s="1934">
        <f>DataUK1!EJ167/DataUK1!$G167</f>
        <v>0.35164550776418435</v>
      </c>
      <c r="N179" s="203">
        <f>DataUK1!C167/DataUK1!$G167</f>
        <v>2.3811281720276238E-2</v>
      </c>
      <c r="O179" s="1935">
        <f>DataUK1!HN167/DataUK1!$G167</f>
        <v>-6.5695480781160446E-3</v>
      </c>
      <c r="P179" s="154"/>
      <c r="Q179" s="154"/>
      <c r="R179" s="154"/>
      <c r="S179" s="564">
        <f t="shared" si="36"/>
        <v>1</v>
      </c>
      <c r="T179" s="1244">
        <f t="shared" si="33"/>
        <v>0</v>
      </c>
      <c r="V179" s="233"/>
    </row>
    <row r="180" spans="1:22">
      <c r="A180" s="380">
        <f t="shared" si="37"/>
        <v>2009</v>
      </c>
      <c r="B180" s="195">
        <f t="shared" si="28"/>
        <v>0.97400741597224982</v>
      </c>
      <c r="C180" s="241">
        <f>DataUK1!DU168/DataUK1!$G168</f>
        <v>0.71297396435548821</v>
      </c>
      <c r="D180" s="550">
        <f>DataUK1!DT168/DataUK1!$G168</f>
        <v>0.26103345161676167</v>
      </c>
      <c r="E180" s="568">
        <f t="shared" si="29"/>
        <v>1.7200271121566097E-2</v>
      </c>
      <c r="F180" s="550">
        <f>(DataUK1!DW168-DataUK1!F168)/DataUK1!$G168</f>
        <v>3.0797815079143576E-2</v>
      </c>
      <c r="G180" s="553">
        <f t="shared" si="30"/>
        <v>-1.3597543957577479E-2</v>
      </c>
      <c r="H180" s="1927">
        <f t="shared" si="34"/>
        <v>0.14431880706510902</v>
      </c>
      <c r="I180" s="550">
        <f t="shared" si="35"/>
        <v>0.1579163510226865</v>
      </c>
      <c r="J180" s="553">
        <f>(DataUK1!F168)/DataUK1!$G168</f>
        <v>0.12711853594354292</v>
      </c>
      <c r="K180" s="1940">
        <f t="shared" si="31"/>
        <v>-2.0443363502252732E-2</v>
      </c>
      <c r="L180" s="1938">
        <f>DataUK1!EI168/DataUK1!$G168</f>
        <v>0.31544834735457117</v>
      </c>
      <c r="M180" s="1938">
        <f>DataUK1!EJ168/DataUK1!$G168</f>
        <v>0.3358917108568239</v>
      </c>
      <c r="N180" s="216">
        <f>DataUK1!C168/DataUK1!$G168</f>
        <v>1.5638132450859217E-2</v>
      </c>
      <c r="O180" s="1939">
        <f>DataUK1!HN168/DataUK1!$G168</f>
        <v>-8.7923129061839647E-3</v>
      </c>
      <c r="P180" s="154"/>
      <c r="Q180" s="154"/>
      <c r="R180" s="154"/>
      <c r="S180" s="564">
        <f t="shared" si="36"/>
        <v>0.99999999999999989</v>
      </c>
      <c r="T180" s="1244">
        <f t="shared" si="33"/>
        <v>0</v>
      </c>
      <c r="V180" s="233"/>
    </row>
    <row r="181" spans="1:22" ht="13" thickBot="1">
      <c r="A181" s="221">
        <f t="shared" si="37"/>
        <v>2010</v>
      </c>
      <c r="B181" s="196">
        <f t="shared" si="28"/>
        <v>0.96829304385109527</v>
      </c>
      <c r="C181" s="245">
        <f>DataUK1!DU169/DataUK1!$G169</f>
        <v>0.71174535478901613</v>
      </c>
      <c r="D181" s="552">
        <f>DataUK1!DT169/DataUK1!$G169</f>
        <v>0.25654768906207909</v>
      </c>
      <c r="E181" s="573">
        <f t="shared" si="29"/>
        <v>2.0865790681879388E-2</v>
      </c>
      <c r="F181" s="552">
        <f>(DataUK1!DW169-DataUK1!F169)/DataUK1!$G169</f>
        <v>4.5965297039282718E-2</v>
      </c>
      <c r="G181" s="555">
        <f t="shared" si="30"/>
        <v>-2.509950635740333E-2</v>
      </c>
      <c r="H181" s="1929">
        <f t="shared" si="34"/>
        <v>0.14532443435995307</v>
      </c>
      <c r="I181" s="552">
        <f t="shared" si="35"/>
        <v>0.17042394071735639</v>
      </c>
      <c r="J181" s="555">
        <f>(DataUK1!F169)/DataUK1!$G169</f>
        <v>0.12445864367807369</v>
      </c>
      <c r="K181" s="1942">
        <f t="shared" si="31"/>
        <v>-3.011485443045181E-2</v>
      </c>
      <c r="L181" s="1943">
        <f>DataUK1!EI169/DataUK1!$G169</f>
        <v>0.33146981039722861</v>
      </c>
      <c r="M181" s="1943">
        <f>DataUK1!EJ169/DataUK1!$G169</f>
        <v>0.36158466482768042</v>
      </c>
      <c r="N181" s="223">
        <f>DataUK1!C169/DataUK1!$G169</f>
        <v>1.5856513540073839E-2</v>
      </c>
      <c r="O181" s="1944">
        <f>DataUK1!HN169/DataUK1!$G169</f>
        <v>-1.0841165467025357E-2</v>
      </c>
      <c r="P181" s="154"/>
      <c r="Q181" s="154"/>
      <c r="R181" s="154"/>
      <c r="S181" s="564">
        <f t="shared" si="36"/>
        <v>1</v>
      </c>
      <c r="T181" s="1244">
        <f t="shared" si="33"/>
        <v>0</v>
      </c>
      <c r="V181" s="233"/>
    </row>
    <row r="182" spans="1:22" ht="14" thickTop="1" thickBot="1">
      <c r="A182" s="200"/>
      <c r="B182" s="307"/>
      <c r="C182" s="308"/>
      <c r="D182" s="308"/>
      <c r="E182" s="307"/>
      <c r="F182" s="308"/>
      <c r="G182" s="308"/>
      <c r="H182" s="580"/>
      <c r="I182" s="308"/>
      <c r="J182" s="308"/>
      <c r="K182" s="203"/>
      <c r="L182" s="1934"/>
      <c r="M182" s="1934"/>
      <c r="N182" s="203"/>
      <c r="O182" s="1959"/>
      <c r="P182" s="170"/>
      <c r="Q182" s="154"/>
      <c r="R182" s="154"/>
      <c r="S182" s="564"/>
      <c r="T182" s="1244"/>
      <c r="V182" s="233"/>
    </row>
    <row r="183" spans="1:22" ht="17" customHeight="1">
      <c r="A183" s="2553" t="s">
        <v>1460</v>
      </c>
      <c r="B183" s="2554"/>
      <c r="C183" s="2554"/>
      <c r="D183" s="2554"/>
      <c r="E183" s="2554"/>
      <c r="F183" s="2554"/>
      <c r="G183" s="2554"/>
      <c r="H183" s="2554"/>
      <c r="I183" s="2554"/>
      <c r="J183" s="2554"/>
      <c r="K183" s="2554"/>
      <c r="L183" s="2554"/>
      <c r="M183" s="2554"/>
      <c r="N183" s="2554"/>
      <c r="O183" s="2555"/>
      <c r="P183" s="154"/>
      <c r="Q183" s="154"/>
      <c r="R183" s="154"/>
    </row>
    <row r="184" spans="1:22" ht="13" thickBot="1">
      <c r="A184" s="2556"/>
      <c r="B184" s="2557"/>
      <c r="C184" s="2557"/>
      <c r="D184" s="2557"/>
      <c r="E184" s="2557"/>
      <c r="F184" s="2557"/>
      <c r="G184" s="2557"/>
      <c r="H184" s="2557"/>
      <c r="I184" s="2557"/>
      <c r="J184" s="2557"/>
      <c r="K184" s="2557"/>
      <c r="L184" s="2557"/>
      <c r="M184" s="2557"/>
      <c r="N184" s="2557"/>
      <c r="O184" s="2558"/>
      <c r="P184" s="154"/>
      <c r="Q184" s="154"/>
      <c r="R184" s="154"/>
    </row>
    <row r="185" spans="1:22">
      <c r="B185" s="118"/>
      <c r="C185" s="118"/>
      <c r="D185" s="118"/>
      <c r="E185" s="118"/>
      <c r="F185" s="118"/>
      <c r="G185" s="118"/>
      <c r="H185" s="118"/>
      <c r="I185" s="118"/>
      <c r="J185" s="118"/>
      <c r="K185" s="118"/>
      <c r="L185" s="118"/>
      <c r="M185" s="118"/>
      <c r="N185" s="118"/>
      <c r="O185" s="118"/>
      <c r="P185" s="154"/>
      <c r="Q185" s="154"/>
      <c r="R185" s="154"/>
    </row>
    <row r="186" spans="1:22">
      <c r="B186" s="118"/>
      <c r="C186" s="118"/>
      <c r="D186" s="118"/>
      <c r="E186" s="118"/>
      <c r="F186" s="118"/>
      <c r="G186" s="68"/>
      <c r="H186" s="118"/>
      <c r="I186" s="118"/>
      <c r="J186" s="118"/>
      <c r="K186" s="118"/>
      <c r="L186" s="118"/>
      <c r="M186" s="118"/>
      <c r="N186" s="118"/>
      <c r="O186" s="118"/>
      <c r="P186" s="154"/>
      <c r="Q186" s="154"/>
      <c r="R186" s="154"/>
    </row>
    <row r="187" spans="1:22">
      <c r="B187" s="118"/>
      <c r="C187" s="118"/>
      <c r="D187" s="118"/>
      <c r="E187" s="118"/>
      <c r="F187" s="118"/>
      <c r="G187" s="118"/>
      <c r="H187" s="118"/>
      <c r="I187" s="118"/>
      <c r="J187" s="118"/>
      <c r="K187" s="118"/>
      <c r="L187" s="118"/>
      <c r="M187" s="118"/>
      <c r="N187" s="118"/>
      <c r="O187" s="118"/>
      <c r="P187" s="154"/>
      <c r="Q187" s="154"/>
      <c r="R187" s="154"/>
    </row>
    <row r="188" spans="1:22">
      <c r="B188" s="118"/>
      <c r="C188" s="118"/>
      <c r="D188" s="118"/>
      <c r="E188" s="118"/>
      <c r="F188" s="118"/>
      <c r="G188" s="118"/>
      <c r="H188" s="118"/>
      <c r="I188" s="118"/>
      <c r="J188" s="118"/>
      <c r="K188" s="118"/>
      <c r="L188" s="118"/>
      <c r="M188" s="118"/>
      <c r="N188" s="118"/>
      <c r="O188" s="118"/>
      <c r="P188" s="154"/>
      <c r="Q188" s="154"/>
      <c r="R188" s="154"/>
    </row>
    <row r="189" spans="1:22">
      <c r="B189" s="118"/>
      <c r="C189" s="118"/>
      <c r="D189" s="118"/>
      <c r="E189" s="118"/>
      <c r="F189" s="118"/>
      <c r="G189" s="118"/>
      <c r="H189" s="118"/>
      <c r="I189" s="118"/>
      <c r="J189" s="118"/>
      <c r="K189" s="118"/>
      <c r="L189" s="118"/>
      <c r="M189" s="118"/>
      <c r="N189" s="118"/>
      <c r="O189" s="118"/>
      <c r="P189" s="154"/>
      <c r="Q189" s="154"/>
      <c r="R189" s="154"/>
    </row>
    <row r="190" spans="1:22">
      <c r="B190" s="118"/>
      <c r="C190" s="118"/>
      <c r="D190" s="118"/>
      <c r="E190" s="118"/>
      <c r="F190" s="118"/>
      <c r="G190" s="118"/>
      <c r="H190" s="118"/>
      <c r="I190" s="118"/>
      <c r="J190" s="118"/>
      <c r="K190" s="118"/>
      <c r="L190" s="118"/>
      <c r="M190" s="118"/>
      <c r="N190" s="118"/>
      <c r="O190" s="118"/>
      <c r="P190" s="154"/>
      <c r="Q190" s="154"/>
      <c r="R190" s="154"/>
    </row>
    <row r="191" spans="1:22">
      <c r="B191" s="118"/>
      <c r="C191" s="118"/>
      <c r="D191" s="118"/>
      <c r="E191" s="118"/>
      <c r="F191" s="118"/>
      <c r="G191" s="118"/>
      <c r="H191" s="118"/>
      <c r="I191" s="118"/>
      <c r="J191" s="118"/>
      <c r="K191" s="118"/>
      <c r="L191" s="118"/>
      <c r="M191" s="118"/>
      <c r="N191" s="118"/>
      <c r="O191" s="118"/>
      <c r="P191" s="154"/>
      <c r="Q191" s="154"/>
      <c r="R191" s="154"/>
    </row>
    <row r="192" spans="1:22">
      <c r="B192" s="118"/>
      <c r="C192" s="118"/>
      <c r="D192" s="118"/>
      <c r="E192" s="118"/>
      <c r="F192" s="118"/>
      <c r="G192" s="118"/>
      <c r="H192" s="118"/>
      <c r="I192" s="118"/>
      <c r="J192" s="118"/>
      <c r="K192" s="118"/>
      <c r="L192" s="118"/>
      <c r="M192" s="118"/>
      <c r="N192" s="118"/>
      <c r="O192" s="118"/>
      <c r="P192" s="154"/>
      <c r="Q192" s="154"/>
      <c r="R192" s="154"/>
    </row>
    <row r="193" spans="2:18">
      <c r="B193" s="118"/>
      <c r="C193" s="118"/>
      <c r="D193" s="118"/>
      <c r="E193" s="118"/>
      <c r="F193" s="118"/>
      <c r="G193" s="118"/>
      <c r="H193" s="118"/>
      <c r="I193" s="118"/>
      <c r="J193" s="118"/>
      <c r="K193" s="118"/>
      <c r="L193" s="118"/>
      <c r="M193" s="118"/>
      <c r="N193" s="118"/>
      <c r="O193" s="118"/>
      <c r="P193" s="154"/>
      <c r="Q193" s="154"/>
      <c r="R193" s="154"/>
    </row>
    <row r="194" spans="2:18">
      <c r="B194" s="118"/>
      <c r="C194" s="118"/>
      <c r="D194" s="118"/>
      <c r="E194" s="118"/>
      <c r="F194" s="118"/>
      <c r="G194" s="118"/>
      <c r="H194" s="118"/>
      <c r="I194" s="118"/>
      <c r="J194" s="118"/>
      <c r="K194" s="118"/>
      <c r="L194" s="118"/>
      <c r="M194" s="118"/>
      <c r="N194" s="118"/>
      <c r="O194" s="118"/>
      <c r="P194" s="154"/>
      <c r="Q194" s="154"/>
      <c r="R194" s="154"/>
    </row>
    <row r="195" spans="2:18">
      <c r="B195" s="118"/>
      <c r="C195" s="118"/>
      <c r="D195" s="118"/>
      <c r="E195" s="118"/>
      <c r="F195" s="118"/>
      <c r="G195" s="118"/>
      <c r="H195" s="118"/>
      <c r="I195" s="118"/>
      <c r="J195" s="118"/>
      <c r="K195" s="118"/>
      <c r="L195" s="118"/>
      <c r="M195" s="118"/>
      <c r="N195" s="118"/>
      <c r="O195" s="118"/>
      <c r="P195" s="118"/>
      <c r="Q195" s="118"/>
      <c r="R195" s="118"/>
    </row>
    <row r="196" spans="2:18">
      <c r="B196" s="118"/>
      <c r="C196" s="118"/>
      <c r="D196" s="118"/>
      <c r="E196" s="118"/>
      <c r="F196" s="118"/>
      <c r="G196" s="118"/>
      <c r="H196" s="118"/>
      <c r="I196" s="118"/>
      <c r="J196" s="118"/>
      <c r="K196" s="118"/>
      <c r="L196" s="118"/>
      <c r="M196" s="118"/>
      <c r="N196" s="118"/>
      <c r="O196" s="118"/>
      <c r="P196" s="118"/>
      <c r="Q196" s="118"/>
      <c r="R196" s="118"/>
    </row>
    <row r="197" spans="2:18">
      <c r="B197" s="118"/>
      <c r="C197" s="118"/>
      <c r="D197" s="118"/>
      <c r="E197" s="118"/>
      <c r="F197" s="118"/>
      <c r="G197" s="118"/>
      <c r="H197" s="118"/>
      <c r="I197" s="118"/>
      <c r="J197" s="118"/>
      <c r="K197" s="118"/>
      <c r="L197" s="118"/>
      <c r="M197" s="118"/>
      <c r="N197" s="118"/>
      <c r="O197" s="118"/>
      <c r="P197" s="118"/>
      <c r="Q197" s="118"/>
      <c r="R197" s="118"/>
    </row>
    <row r="198" spans="2:18">
      <c r="B198" s="118"/>
      <c r="C198" s="118"/>
      <c r="D198" s="118"/>
      <c r="E198" s="118"/>
      <c r="F198" s="118"/>
      <c r="G198" s="118"/>
      <c r="H198" s="118"/>
      <c r="I198" s="118"/>
      <c r="J198" s="118"/>
      <c r="K198" s="118"/>
      <c r="L198" s="118"/>
      <c r="M198" s="118"/>
      <c r="N198" s="118"/>
      <c r="O198" s="118"/>
      <c r="P198" s="118"/>
      <c r="Q198" s="118"/>
      <c r="R198" s="118"/>
    </row>
    <row r="199" spans="2:18">
      <c r="B199" s="118"/>
      <c r="C199" s="118"/>
      <c r="D199" s="118"/>
      <c r="E199" s="118"/>
      <c r="F199" s="118"/>
      <c r="G199" s="118"/>
      <c r="H199" s="118"/>
      <c r="I199" s="118"/>
      <c r="J199" s="118"/>
      <c r="K199" s="118"/>
      <c r="L199" s="118"/>
      <c r="M199" s="118"/>
      <c r="N199" s="118"/>
      <c r="O199" s="118"/>
      <c r="P199" s="118"/>
      <c r="Q199" s="118"/>
      <c r="R199" s="118"/>
    </row>
    <row r="200" spans="2:18">
      <c r="B200" s="118"/>
      <c r="C200" s="118"/>
      <c r="D200" s="118"/>
      <c r="E200" s="118"/>
      <c r="F200" s="118"/>
      <c r="G200" s="118"/>
      <c r="H200" s="118"/>
      <c r="I200" s="118"/>
      <c r="J200" s="118"/>
      <c r="K200" s="118"/>
      <c r="L200" s="118"/>
      <c r="M200" s="118"/>
      <c r="N200" s="118"/>
      <c r="O200" s="118"/>
      <c r="P200" s="118"/>
      <c r="Q200" s="118"/>
      <c r="R200" s="118"/>
    </row>
    <row r="201" spans="2:18">
      <c r="B201" s="118"/>
      <c r="C201" s="118"/>
      <c r="D201" s="118"/>
      <c r="E201" s="118"/>
      <c r="F201" s="118"/>
      <c r="G201" s="118"/>
      <c r="H201" s="118"/>
      <c r="I201" s="118"/>
      <c r="J201" s="118"/>
      <c r="K201" s="118"/>
      <c r="L201" s="118"/>
      <c r="M201" s="118"/>
      <c r="N201" s="118"/>
      <c r="O201" s="118"/>
      <c r="P201" s="118"/>
      <c r="Q201" s="118"/>
      <c r="R201" s="118"/>
    </row>
    <row r="202" spans="2:18">
      <c r="B202" s="118"/>
      <c r="C202" s="118"/>
      <c r="D202" s="118"/>
      <c r="E202" s="118"/>
      <c r="F202" s="118"/>
      <c r="G202" s="118"/>
      <c r="H202" s="118"/>
      <c r="I202" s="118"/>
      <c r="J202" s="118"/>
      <c r="K202" s="118"/>
      <c r="L202" s="118"/>
      <c r="M202" s="118"/>
      <c r="N202" s="118"/>
      <c r="O202" s="118"/>
      <c r="P202" s="118"/>
      <c r="Q202" s="118"/>
      <c r="R202" s="118"/>
    </row>
    <row r="203" spans="2:18">
      <c r="B203" s="118"/>
      <c r="C203" s="118"/>
      <c r="D203" s="118"/>
      <c r="E203" s="118"/>
      <c r="F203" s="118"/>
      <c r="G203" s="118"/>
      <c r="H203" s="118"/>
      <c r="I203" s="118"/>
      <c r="J203" s="118"/>
      <c r="K203" s="118"/>
      <c r="L203" s="118"/>
      <c r="M203" s="118"/>
      <c r="N203" s="118"/>
      <c r="O203" s="118"/>
      <c r="P203" s="118"/>
      <c r="Q203" s="118"/>
      <c r="R203" s="118"/>
    </row>
    <row r="204" spans="2:18">
      <c r="B204" s="118"/>
      <c r="C204" s="118"/>
      <c r="D204" s="118"/>
      <c r="E204" s="118"/>
      <c r="F204" s="118"/>
      <c r="G204" s="118"/>
      <c r="H204" s="118"/>
      <c r="I204" s="118"/>
      <c r="J204" s="118"/>
      <c r="K204" s="118"/>
      <c r="L204" s="118"/>
      <c r="M204" s="118"/>
      <c r="N204" s="118"/>
      <c r="O204" s="118"/>
      <c r="P204" s="118"/>
      <c r="Q204" s="118"/>
      <c r="R204" s="118"/>
    </row>
    <row r="205" spans="2:18">
      <c r="B205" s="118"/>
      <c r="C205" s="118"/>
      <c r="D205" s="118"/>
      <c r="E205" s="118"/>
      <c r="F205" s="118"/>
      <c r="G205" s="118"/>
      <c r="H205" s="118"/>
      <c r="I205" s="118"/>
      <c r="J205" s="118"/>
      <c r="K205" s="118"/>
      <c r="L205" s="118"/>
      <c r="M205" s="118"/>
      <c r="N205" s="118"/>
      <c r="O205" s="118"/>
      <c r="P205" s="118"/>
      <c r="Q205" s="118"/>
      <c r="R205" s="118"/>
    </row>
    <row r="206" spans="2:18">
      <c r="B206" s="118"/>
      <c r="C206" s="118"/>
      <c r="D206" s="118"/>
      <c r="E206" s="118"/>
      <c r="F206" s="118"/>
      <c r="G206" s="118"/>
      <c r="H206" s="118"/>
      <c r="I206" s="118"/>
      <c r="J206" s="118"/>
      <c r="K206" s="118"/>
      <c r="L206" s="118"/>
      <c r="M206" s="118"/>
      <c r="N206" s="118"/>
      <c r="O206" s="118"/>
      <c r="P206" s="118"/>
      <c r="Q206" s="118"/>
      <c r="R206" s="118"/>
    </row>
    <row r="207" spans="2:18">
      <c r="B207" s="118"/>
      <c r="C207" s="118"/>
      <c r="D207" s="118"/>
      <c r="E207" s="118"/>
      <c r="F207" s="118"/>
      <c r="G207" s="118"/>
      <c r="H207" s="118"/>
      <c r="I207" s="118"/>
      <c r="J207" s="118"/>
      <c r="K207" s="118"/>
      <c r="L207" s="118"/>
      <c r="M207" s="118"/>
      <c r="N207" s="118"/>
      <c r="O207" s="118"/>
      <c r="P207" s="118"/>
      <c r="Q207" s="118"/>
      <c r="R207" s="118"/>
    </row>
    <row r="208" spans="2:18">
      <c r="B208" s="118"/>
      <c r="C208" s="118"/>
      <c r="D208" s="118"/>
      <c r="E208" s="118"/>
      <c r="F208" s="118"/>
      <c r="G208" s="118"/>
      <c r="H208" s="118"/>
      <c r="I208" s="118"/>
      <c r="J208" s="118"/>
      <c r="K208" s="118"/>
      <c r="L208" s="118"/>
      <c r="M208" s="118"/>
      <c r="N208" s="118"/>
      <c r="O208" s="118"/>
      <c r="P208" s="118"/>
      <c r="Q208" s="118"/>
      <c r="R208" s="118"/>
    </row>
    <row r="209" spans="2:18">
      <c r="B209" s="118"/>
      <c r="C209" s="118"/>
      <c r="D209" s="118"/>
      <c r="E209" s="118"/>
      <c r="F209" s="118"/>
      <c r="G209" s="118"/>
      <c r="H209" s="118"/>
      <c r="I209" s="118"/>
      <c r="J209" s="118"/>
      <c r="K209" s="118"/>
      <c r="L209" s="118"/>
      <c r="M209" s="118"/>
      <c r="N209" s="118"/>
      <c r="O209" s="118"/>
      <c r="P209" s="118"/>
      <c r="Q209" s="118"/>
      <c r="R209" s="118"/>
    </row>
    <row r="210" spans="2:18">
      <c r="B210" s="118"/>
      <c r="C210" s="118"/>
      <c r="D210" s="118"/>
      <c r="E210" s="118"/>
      <c r="F210" s="118"/>
      <c r="G210" s="118"/>
      <c r="H210" s="118"/>
      <c r="I210" s="118"/>
      <c r="J210" s="118"/>
      <c r="K210" s="118"/>
      <c r="L210" s="118"/>
      <c r="M210" s="118"/>
      <c r="N210" s="118"/>
      <c r="O210" s="118"/>
      <c r="P210" s="118"/>
      <c r="Q210" s="118"/>
      <c r="R210" s="118"/>
    </row>
    <row r="211" spans="2:18">
      <c r="B211" s="118"/>
      <c r="C211" s="118"/>
      <c r="D211" s="118"/>
      <c r="E211" s="118"/>
      <c r="F211" s="118"/>
      <c r="G211" s="118"/>
      <c r="H211" s="118"/>
      <c r="I211" s="118"/>
      <c r="J211" s="118"/>
      <c r="K211" s="118"/>
      <c r="L211" s="118"/>
      <c r="M211" s="118"/>
      <c r="N211" s="118"/>
      <c r="O211" s="118"/>
      <c r="P211" s="118"/>
      <c r="Q211" s="118"/>
      <c r="R211" s="118"/>
    </row>
    <row r="212" spans="2:18">
      <c r="B212" s="118"/>
      <c r="C212" s="118"/>
      <c r="D212" s="118"/>
      <c r="E212" s="118"/>
      <c r="F212" s="118"/>
      <c r="G212" s="118"/>
      <c r="H212" s="118"/>
      <c r="I212" s="118"/>
      <c r="J212" s="118"/>
      <c r="K212" s="118"/>
      <c r="L212" s="118"/>
      <c r="M212" s="118"/>
      <c r="N212" s="118"/>
      <c r="O212" s="118"/>
      <c r="P212" s="118"/>
      <c r="Q212" s="118"/>
      <c r="R212" s="118"/>
    </row>
    <row r="213" spans="2:18">
      <c r="B213" s="118"/>
      <c r="C213" s="118"/>
      <c r="D213" s="118"/>
      <c r="E213" s="118"/>
      <c r="F213" s="118"/>
      <c r="G213" s="118"/>
      <c r="H213" s="118"/>
      <c r="I213" s="118"/>
      <c r="J213" s="118"/>
      <c r="K213" s="118"/>
      <c r="L213" s="118"/>
      <c r="M213" s="118"/>
      <c r="N213" s="118"/>
      <c r="O213" s="118"/>
      <c r="P213" s="118"/>
      <c r="Q213" s="118"/>
      <c r="R213" s="118"/>
    </row>
    <row r="214" spans="2:18">
      <c r="B214" s="118"/>
      <c r="C214" s="118"/>
      <c r="D214" s="118"/>
      <c r="E214" s="118"/>
      <c r="F214" s="118"/>
      <c r="G214" s="118"/>
      <c r="H214" s="118"/>
      <c r="I214" s="118"/>
      <c r="J214" s="118"/>
      <c r="K214" s="118"/>
      <c r="L214" s="118"/>
      <c r="M214" s="118"/>
      <c r="N214" s="118"/>
      <c r="O214" s="118"/>
      <c r="P214" s="118"/>
      <c r="Q214" s="118"/>
      <c r="R214" s="118"/>
    </row>
    <row r="215" spans="2:18">
      <c r="B215" s="118"/>
      <c r="C215" s="118"/>
      <c r="D215" s="118"/>
      <c r="E215" s="118"/>
      <c r="F215" s="118"/>
      <c r="G215" s="118"/>
      <c r="H215" s="118"/>
      <c r="I215" s="118"/>
      <c r="J215" s="118"/>
      <c r="K215" s="118"/>
      <c r="L215" s="118"/>
      <c r="M215" s="118"/>
      <c r="N215" s="118"/>
      <c r="O215" s="118"/>
      <c r="P215" s="118"/>
      <c r="Q215" s="118"/>
      <c r="R215" s="118"/>
    </row>
    <row r="216" spans="2:18">
      <c r="B216" s="118"/>
      <c r="C216" s="118"/>
      <c r="D216" s="118"/>
      <c r="E216" s="118"/>
      <c r="F216" s="118"/>
      <c r="G216" s="118"/>
      <c r="H216" s="118"/>
      <c r="I216" s="118"/>
      <c r="J216" s="118"/>
      <c r="K216" s="118"/>
      <c r="L216" s="118"/>
      <c r="M216" s="118"/>
      <c r="N216" s="118"/>
      <c r="O216" s="118"/>
      <c r="P216" s="118"/>
      <c r="Q216" s="118"/>
      <c r="R216" s="118"/>
    </row>
    <row r="217" spans="2:18">
      <c r="B217" s="118"/>
      <c r="C217" s="118"/>
      <c r="D217" s="118"/>
      <c r="E217" s="118"/>
      <c r="F217" s="118"/>
      <c r="G217" s="118"/>
      <c r="H217" s="118"/>
      <c r="I217" s="118"/>
      <c r="J217" s="118"/>
      <c r="K217" s="118"/>
      <c r="L217" s="118"/>
      <c r="M217" s="118"/>
      <c r="N217" s="118"/>
      <c r="O217" s="118"/>
      <c r="P217" s="118"/>
      <c r="Q217" s="118"/>
      <c r="R217" s="118"/>
    </row>
    <row r="218" spans="2:18">
      <c r="B218" s="118"/>
      <c r="C218" s="118"/>
      <c r="D218" s="118"/>
      <c r="E218" s="118"/>
      <c r="F218" s="118"/>
      <c r="G218" s="118"/>
      <c r="H218" s="118"/>
      <c r="I218" s="118"/>
      <c r="J218" s="118"/>
      <c r="K218" s="118"/>
      <c r="L218" s="118"/>
      <c r="M218" s="118"/>
      <c r="N218" s="118"/>
      <c r="O218" s="118"/>
      <c r="P218" s="118"/>
      <c r="Q218" s="118"/>
      <c r="R218" s="118"/>
    </row>
    <row r="219" spans="2:18">
      <c r="B219" s="118"/>
      <c r="C219" s="118"/>
      <c r="D219" s="118"/>
      <c r="E219" s="118"/>
      <c r="F219" s="118"/>
      <c r="G219" s="118"/>
      <c r="H219" s="118"/>
      <c r="I219" s="118"/>
      <c r="J219" s="118"/>
      <c r="K219" s="118"/>
      <c r="L219" s="118"/>
      <c r="M219" s="118"/>
      <c r="N219" s="118"/>
      <c r="O219" s="118"/>
      <c r="P219" s="118"/>
      <c r="Q219" s="118"/>
      <c r="R219" s="118"/>
    </row>
    <row r="220" spans="2:18">
      <c r="B220" s="118"/>
      <c r="C220" s="118"/>
      <c r="D220" s="118"/>
      <c r="E220" s="118"/>
      <c r="F220" s="118"/>
      <c r="G220" s="118"/>
      <c r="H220" s="118"/>
      <c r="I220" s="118"/>
      <c r="J220" s="118"/>
      <c r="K220" s="118"/>
      <c r="L220" s="118"/>
      <c r="M220" s="118"/>
      <c r="N220" s="118"/>
      <c r="O220" s="118"/>
      <c r="P220" s="118"/>
      <c r="Q220" s="118"/>
      <c r="R220" s="118"/>
    </row>
    <row r="221" spans="2:18">
      <c r="B221" s="118"/>
      <c r="C221" s="118"/>
      <c r="D221" s="118"/>
      <c r="E221" s="118"/>
      <c r="F221" s="118"/>
      <c r="G221" s="118"/>
      <c r="H221" s="118"/>
      <c r="I221" s="118"/>
      <c r="J221" s="118"/>
      <c r="K221" s="118"/>
      <c r="L221" s="118"/>
      <c r="M221" s="118"/>
      <c r="N221" s="118"/>
      <c r="O221" s="118"/>
      <c r="P221" s="118"/>
      <c r="Q221" s="118"/>
      <c r="R221" s="118"/>
    </row>
    <row r="222" spans="2:18">
      <c r="B222" s="118"/>
      <c r="C222" s="118"/>
      <c r="D222" s="118"/>
      <c r="E222" s="118"/>
      <c r="F222" s="118"/>
      <c r="G222" s="118"/>
      <c r="H222" s="118"/>
      <c r="I222" s="118"/>
      <c r="J222" s="118"/>
      <c r="K222" s="118"/>
      <c r="L222" s="118"/>
      <c r="M222" s="118"/>
      <c r="N222" s="118"/>
      <c r="O222" s="118"/>
      <c r="P222" s="118"/>
      <c r="Q222" s="118"/>
      <c r="R222" s="118"/>
    </row>
    <row r="223" spans="2:18">
      <c r="B223" s="118"/>
      <c r="C223" s="118"/>
      <c r="D223" s="118"/>
      <c r="E223" s="118"/>
      <c r="F223" s="118"/>
      <c r="G223" s="118"/>
      <c r="H223" s="118"/>
      <c r="I223" s="118"/>
      <c r="J223" s="118"/>
      <c r="K223" s="118"/>
      <c r="L223" s="118"/>
      <c r="M223" s="118"/>
      <c r="N223" s="118"/>
      <c r="O223" s="118"/>
      <c r="P223" s="118"/>
      <c r="Q223" s="118"/>
      <c r="R223" s="118"/>
    </row>
    <row r="224" spans="2:18">
      <c r="B224" s="118"/>
      <c r="C224" s="118"/>
      <c r="D224" s="118"/>
      <c r="E224" s="118"/>
      <c r="F224" s="118"/>
      <c r="G224" s="118"/>
      <c r="H224" s="118"/>
      <c r="I224" s="118"/>
      <c r="J224" s="118"/>
      <c r="K224" s="118"/>
      <c r="L224" s="118"/>
      <c r="M224" s="118"/>
      <c r="N224" s="118"/>
      <c r="O224" s="118"/>
      <c r="P224" s="118"/>
      <c r="Q224" s="118"/>
      <c r="R224" s="118"/>
    </row>
    <row r="225" spans="2:18">
      <c r="B225" s="118"/>
      <c r="C225" s="118"/>
      <c r="D225" s="118"/>
      <c r="E225" s="118"/>
      <c r="F225" s="118"/>
      <c r="G225" s="118"/>
      <c r="H225" s="118"/>
      <c r="I225" s="118"/>
      <c r="J225" s="118"/>
      <c r="K225" s="118"/>
      <c r="L225" s="118"/>
      <c r="M225" s="118"/>
      <c r="N225" s="118"/>
      <c r="O225" s="118"/>
      <c r="P225" s="118"/>
      <c r="Q225" s="118"/>
      <c r="R225" s="118"/>
    </row>
    <row r="226" spans="2:18">
      <c r="B226" s="118"/>
      <c r="C226" s="118"/>
      <c r="D226" s="118"/>
      <c r="E226" s="118"/>
      <c r="F226" s="118"/>
      <c r="G226" s="118"/>
      <c r="H226" s="118"/>
      <c r="I226" s="118"/>
      <c r="J226" s="118"/>
      <c r="K226" s="118"/>
      <c r="L226" s="118"/>
      <c r="M226" s="118"/>
      <c r="N226" s="118"/>
      <c r="O226" s="118"/>
      <c r="P226" s="118"/>
      <c r="Q226" s="118"/>
      <c r="R226" s="118"/>
    </row>
    <row r="227" spans="2:18">
      <c r="B227" s="118"/>
      <c r="C227" s="118"/>
      <c r="D227" s="118"/>
      <c r="E227" s="118"/>
      <c r="F227" s="118"/>
      <c r="G227" s="118"/>
      <c r="H227" s="118"/>
      <c r="I227" s="118"/>
      <c r="J227" s="118"/>
      <c r="K227" s="118"/>
      <c r="L227" s="118"/>
      <c r="M227" s="118"/>
      <c r="N227" s="118"/>
      <c r="O227" s="118"/>
      <c r="P227" s="118"/>
      <c r="Q227" s="118"/>
      <c r="R227" s="118"/>
    </row>
    <row r="228" spans="2:18">
      <c r="B228" s="118"/>
      <c r="C228" s="118"/>
      <c r="D228" s="118"/>
      <c r="E228" s="118"/>
      <c r="F228" s="118"/>
      <c r="G228" s="118"/>
      <c r="H228" s="118"/>
      <c r="I228" s="118"/>
      <c r="J228" s="118"/>
      <c r="K228" s="118"/>
      <c r="L228" s="118"/>
      <c r="M228" s="118"/>
      <c r="N228" s="118"/>
      <c r="O228" s="118"/>
      <c r="P228" s="118"/>
      <c r="Q228" s="118"/>
      <c r="R228" s="118"/>
    </row>
    <row r="229" spans="2:18">
      <c r="B229" s="118"/>
      <c r="C229" s="118"/>
      <c r="D229" s="118"/>
      <c r="E229" s="118"/>
      <c r="F229" s="118"/>
      <c r="G229" s="118"/>
      <c r="H229" s="118"/>
      <c r="I229" s="118"/>
      <c r="J229" s="118"/>
      <c r="K229" s="118"/>
      <c r="L229" s="118"/>
      <c r="M229" s="118"/>
      <c r="N229" s="118"/>
      <c r="O229" s="118"/>
      <c r="P229" s="118"/>
      <c r="Q229" s="118"/>
      <c r="R229" s="118"/>
    </row>
    <row r="230" spans="2:18">
      <c r="B230" s="118"/>
      <c r="C230" s="118"/>
      <c r="D230" s="118"/>
      <c r="E230" s="118"/>
      <c r="F230" s="118"/>
      <c r="G230" s="118"/>
      <c r="H230" s="118"/>
      <c r="I230" s="118"/>
      <c r="J230" s="118"/>
      <c r="K230" s="118"/>
      <c r="L230" s="118"/>
      <c r="M230" s="118"/>
      <c r="N230" s="118"/>
      <c r="O230" s="118"/>
      <c r="P230" s="118"/>
      <c r="Q230" s="118"/>
      <c r="R230" s="118"/>
    </row>
    <row r="231" spans="2:18">
      <c r="B231" s="118"/>
      <c r="C231" s="118"/>
      <c r="D231" s="118"/>
      <c r="E231" s="118"/>
      <c r="F231" s="118"/>
      <c r="G231" s="118"/>
      <c r="H231" s="118"/>
      <c r="I231" s="118"/>
      <c r="J231" s="118"/>
      <c r="K231" s="118"/>
      <c r="L231" s="118"/>
      <c r="M231" s="118"/>
      <c r="N231" s="118"/>
      <c r="O231" s="118"/>
      <c r="P231" s="118"/>
      <c r="Q231" s="118"/>
      <c r="R231" s="118"/>
    </row>
    <row r="232" spans="2:18">
      <c r="B232" s="118"/>
      <c r="C232" s="118"/>
      <c r="D232" s="118"/>
      <c r="E232" s="118"/>
      <c r="F232" s="118"/>
      <c r="G232" s="118"/>
      <c r="H232" s="118"/>
      <c r="I232" s="118"/>
      <c r="J232" s="118"/>
      <c r="K232" s="118"/>
      <c r="L232" s="118"/>
      <c r="M232" s="118"/>
      <c r="N232" s="118"/>
      <c r="O232" s="118"/>
      <c r="P232" s="118"/>
      <c r="Q232" s="118"/>
      <c r="R232" s="118"/>
    </row>
    <row r="233" spans="2:18">
      <c r="B233" s="118"/>
      <c r="C233" s="118"/>
      <c r="D233" s="118"/>
      <c r="E233" s="118"/>
      <c r="F233" s="118"/>
      <c r="G233" s="118"/>
      <c r="H233" s="118"/>
      <c r="I233" s="118"/>
      <c r="J233" s="118"/>
      <c r="K233" s="118"/>
      <c r="L233" s="118"/>
      <c r="M233" s="118"/>
      <c r="N233" s="118"/>
      <c r="O233" s="118"/>
      <c r="P233" s="118"/>
      <c r="Q233" s="118"/>
      <c r="R233" s="118"/>
    </row>
    <row r="234" spans="2:18">
      <c r="B234" s="118"/>
      <c r="C234" s="118"/>
      <c r="D234" s="118"/>
      <c r="E234" s="118"/>
      <c r="F234" s="118"/>
      <c r="G234" s="118"/>
      <c r="H234" s="118"/>
      <c r="I234" s="118"/>
      <c r="J234" s="118"/>
      <c r="K234" s="118"/>
      <c r="L234" s="118"/>
      <c r="M234" s="118"/>
      <c r="N234" s="118"/>
      <c r="O234" s="118"/>
      <c r="P234" s="118"/>
      <c r="Q234" s="118"/>
      <c r="R234" s="118"/>
    </row>
    <row r="235" spans="2:18">
      <c r="B235" s="118"/>
      <c r="C235" s="118"/>
      <c r="D235" s="118"/>
      <c r="E235" s="118"/>
      <c r="F235" s="118"/>
      <c r="G235" s="118"/>
      <c r="H235" s="118"/>
      <c r="I235" s="118"/>
      <c r="J235" s="118"/>
      <c r="K235" s="118"/>
      <c r="L235" s="118"/>
      <c r="M235" s="118"/>
      <c r="N235" s="118"/>
      <c r="O235" s="118"/>
      <c r="P235" s="118"/>
      <c r="Q235" s="118"/>
      <c r="R235" s="118"/>
    </row>
    <row r="236" spans="2:18">
      <c r="B236" s="118"/>
      <c r="C236" s="118"/>
      <c r="D236" s="118"/>
      <c r="E236" s="118"/>
      <c r="F236" s="118"/>
      <c r="G236" s="118"/>
      <c r="H236" s="118"/>
      <c r="I236" s="118"/>
      <c r="J236" s="118"/>
      <c r="K236" s="118"/>
      <c r="L236" s="118"/>
      <c r="M236" s="118"/>
      <c r="N236" s="118"/>
      <c r="O236" s="118"/>
      <c r="P236" s="118"/>
      <c r="Q236" s="118"/>
      <c r="R236" s="118"/>
    </row>
    <row r="237" spans="2:18">
      <c r="B237" s="118"/>
      <c r="C237" s="118"/>
      <c r="D237" s="118"/>
      <c r="E237" s="118"/>
      <c r="F237" s="118"/>
      <c r="G237" s="118"/>
      <c r="H237" s="118"/>
      <c r="I237" s="118"/>
      <c r="J237" s="118"/>
      <c r="K237" s="118"/>
      <c r="L237" s="118"/>
      <c r="M237" s="118"/>
      <c r="N237" s="118"/>
      <c r="O237" s="118"/>
      <c r="P237" s="118"/>
      <c r="Q237" s="118"/>
      <c r="R237" s="118"/>
    </row>
    <row r="238" spans="2:18">
      <c r="B238" s="118"/>
      <c r="C238" s="118"/>
      <c r="D238" s="118"/>
      <c r="E238" s="118"/>
      <c r="F238" s="118"/>
      <c r="G238" s="118"/>
      <c r="H238" s="118"/>
      <c r="I238" s="118"/>
      <c r="J238" s="118"/>
      <c r="K238" s="118"/>
      <c r="L238" s="118"/>
      <c r="M238" s="118"/>
      <c r="N238" s="118"/>
      <c r="O238" s="118"/>
      <c r="P238" s="118"/>
      <c r="Q238" s="118"/>
      <c r="R238" s="118"/>
    </row>
    <row r="239" spans="2:18">
      <c r="B239" s="118"/>
      <c r="C239" s="118"/>
      <c r="D239" s="118"/>
      <c r="E239" s="118"/>
      <c r="F239" s="118"/>
      <c r="G239" s="118"/>
      <c r="H239" s="118"/>
      <c r="I239" s="118"/>
      <c r="J239" s="118"/>
      <c r="K239" s="118"/>
      <c r="L239" s="118"/>
      <c r="M239" s="118"/>
      <c r="N239" s="118"/>
      <c r="O239" s="118"/>
      <c r="P239" s="118"/>
      <c r="Q239" s="118"/>
      <c r="R239" s="118"/>
    </row>
    <row r="240" spans="2:18">
      <c r="B240" s="118"/>
      <c r="C240" s="118"/>
      <c r="D240" s="118"/>
      <c r="E240" s="118"/>
      <c r="F240" s="118"/>
      <c r="G240" s="118"/>
      <c r="H240" s="118"/>
      <c r="I240" s="118"/>
      <c r="J240" s="118"/>
      <c r="K240" s="118"/>
      <c r="L240" s="118"/>
      <c r="M240" s="118"/>
      <c r="N240" s="118"/>
      <c r="O240" s="118"/>
      <c r="P240" s="118"/>
      <c r="Q240" s="118"/>
      <c r="R240" s="118"/>
    </row>
    <row r="241" spans="2:18">
      <c r="B241" s="118"/>
      <c r="C241" s="118"/>
      <c r="D241" s="118"/>
      <c r="E241" s="118"/>
      <c r="F241" s="118"/>
      <c r="G241" s="118"/>
      <c r="H241" s="118"/>
      <c r="I241" s="118"/>
      <c r="J241" s="118"/>
      <c r="K241" s="118"/>
      <c r="L241" s="118"/>
      <c r="M241" s="118"/>
      <c r="N241" s="118"/>
      <c r="O241" s="118"/>
      <c r="P241" s="118"/>
      <c r="Q241" s="118"/>
      <c r="R241" s="118"/>
    </row>
    <row r="242" spans="2:18">
      <c r="B242" s="118"/>
      <c r="C242" s="118"/>
      <c r="D242" s="118"/>
      <c r="E242" s="118"/>
      <c r="F242" s="118"/>
      <c r="G242" s="118"/>
      <c r="H242" s="118"/>
      <c r="I242" s="118"/>
      <c r="J242" s="118"/>
      <c r="K242" s="118"/>
      <c r="L242" s="118"/>
      <c r="M242" s="118"/>
      <c r="N242" s="118"/>
      <c r="O242" s="118"/>
      <c r="P242" s="118"/>
      <c r="Q242" s="118"/>
      <c r="R242" s="118"/>
    </row>
    <row r="243" spans="2:18">
      <c r="B243" s="118"/>
      <c r="C243" s="118"/>
      <c r="D243" s="118"/>
      <c r="E243" s="118"/>
      <c r="F243" s="118"/>
      <c r="G243" s="118"/>
      <c r="H243" s="118"/>
      <c r="I243" s="118"/>
      <c r="J243" s="118"/>
      <c r="K243" s="118"/>
      <c r="L243" s="118"/>
      <c r="M243" s="118"/>
      <c r="N243" s="118"/>
      <c r="O243" s="118"/>
      <c r="P243" s="118"/>
      <c r="Q243" s="118"/>
      <c r="R243" s="118"/>
    </row>
    <row r="244" spans="2:18">
      <c r="B244" s="118"/>
      <c r="C244" s="118"/>
      <c r="D244" s="118"/>
      <c r="E244" s="118"/>
      <c r="F244" s="118"/>
      <c r="G244" s="118"/>
      <c r="H244" s="118"/>
      <c r="I244" s="118"/>
      <c r="J244" s="118"/>
      <c r="K244" s="118"/>
      <c r="L244" s="118"/>
      <c r="M244" s="118"/>
      <c r="N244" s="118"/>
      <c r="O244" s="118"/>
      <c r="P244" s="118"/>
      <c r="Q244" s="118"/>
      <c r="R244" s="118"/>
    </row>
    <row r="245" spans="2:18">
      <c r="B245" s="118"/>
      <c r="C245" s="118"/>
      <c r="D245" s="118"/>
      <c r="E245" s="118"/>
      <c r="F245" s="118"/>
      <c r="G245" s="118"/>
      <c r="H245" s="118"/>
      <c r="I245" s="118"/>
      <c r="J245" s="118"/>
      <c r="K245" s="118"/>
      <c r="L245" s="118"/>
      <c r="M245" s="118"/>
      <c r="N245" s="118"/>
      <c r="O245" s="118"/>
      <c r="P245" s="118"/>
      <c r="Q245" s="118"/>
      <c r="R245" s="118"/>
    </row>
    <row r="246" spans="2:18">
      <c r="B246" s="118"/>
      <c r="C246" s="118"/>
      <c r="D246" s="118"/>
      <c r="E246" s="118"/>
      <c r="F246" s="118"/>
      <c r="G246" s="118"/>
      <c r="H246" s="118"/>
      <c r="I246" s="118"/>
      <c r="J246" s="118"/>
      <c r="K246" s="118"/>
      <c r="L246" s="118"/>
      <c r="M246" s="118"/>
      <c r="N246" s="118"/>
      <c r="O246" s="118"/>
      <c r="P246" s="118"/>
      <c r="Q246" s="118"/>
      <c r="R246" s="118"/>
    </row>
    <row r="247" spans="2:18">
      <c r="B247" s="118"/>
      <c r="C247" s="118"/>
      <c r="D247" s="118"/>
      <c r="E247" s="118"/>
      <c r="F247" s="118"/>
      <c r="G247" s="118"/>
      <c r="H247" s="118"/>
      <c r="I247" s="118"/>
      <c r="J247" s="118"/>
      <c r="K247" s="118"/>
      <c r="L247" s="118"/>
      <c r="M247" s="118"/>
      <c r="N247" s="118"/>
      <c r="O247" s="118"/>
      <c r="P247" s="118"/>
      <c r="Q247" s="118"/>
      <c r="R247" s="118"/>
    </row>
    <row r="248" spans="2:18">
      <c r="B248" s="118"/>
      <c r="C248" s="118"/>
      <c r="D248" s="118"/>
      <c r="E248" s="118"/>
      <c r="F248" s="118"/>
      <c r="G248" s="118"/>
      <c r="H248" s="118"/>
      <c r="I248" s="118"/>
      <c r="J248" s="118"/>
      <c r="K248" s="118"/>
      <c r="L248" s="118"/>
      <c r="M248" s="118"/>
      <c r="N248" s="118"/>
      <c r="O248" s="118"/>
      <c r="P248" s="118"/>
      <c r="Q248" s="118"/>
      <c r="R248" s="118"/>
    </row>
    <row r="249" spans="2:18">
      <c r="B249" s="118"/>
      <c r="C249" s="118"/>
      <c r="D249" s="118"/>
      <c r="E249" s="118"/>
      <c r="F249" s="118"/>
      <c r="G249" s="118"/>
      <c r="H249" s="118"/>
      <c r="I249" s="118"/>
      <c r="J249" s="118"/>
      <c r="K249" s="118"/>
      <c r="L249" s="118"/>
      <c r="M249" s="118"/>
      <c r="N249" s="118"/>
      <c r="O249" s="118"/>
      <c r="P249" s="118"/>
      <c r="Q249" s="118"/>
      <c r="R249" s="118"/>
    </row>
    <row r="250" spans="2:18">
      <c r="B250" s="118"/>
      <c r="C250" s="118"/>
      <c r="D250" s="118"/>
      <c r="E250" s="118"/>
      <c r="F250" s="118"/>
      <c r="G250" s="118"/>
      <c r="H250" s="118"/>
      <c r="I250" s="118"/>
      <c r="J250" s="118"/>
      <c r="K250" s="118"/>
      <c r="L250" s="118"/>
      <c r="M250" s="118"/>
      <c r="N250" s="118"/>
      <c r="O250" s="118"/>
      <c r="P250" s="118"/>
      <c r="Q250" s="118"/>
      <c r="R250" s="118"/>
    </row>
    <row r="251" spans="2:18">
      <c r="B251" s="118"/>
      <c r="C251" s="118"/>
      <c r="D251" s="118"/>
      <c r="E251" s="118"/>
      <c r="F251" s="118"/>
      <c r="G251" s="118"/>
      <c r="H251" s="118"/>
      <c r="I251" s="118"/>
      <c r="J251" s="118"/>
      <c r="K251" s="118"/>
      <c r="L251" s="118"/>
      <c r="M251" s="118"/>
      <c r="N251" s="118"/>
      <c r="O251" s="118"/>
      <c r="P251" s="118"/>
      <c r="Q251" s="118"/>
      <c r="R251" s="118"/>
    </row>
    <row r="252" spans="2:18">
      <c r="B252" s="118"/>
      <c r="C252" s="118"/>
      <c r="D252" s="118"/>
      <c r="E252" s="118"/>
      <c r="F252" s="118"/>
      <c r="G252" s="118"/>
      <c r="H252" s="118"/>
      <c r="I252" s="118"/>
      <c r="J252" s="118"/>
      <c r="K252" s="118"/>
      <c r="L252" s="118"/>
      <c r="M252" s="118"/>
      <c r="N252" s="118"/>
      <c r="O252" s="118"/>
      <c r="P252" s="118"/>
      <c r="Q252" s="118"/>
      <c r="R252" s="118"/>
    </row>
    <row r="253" spans="2:18">
      <c r="B253" s="118"/>
      <c r="C253" s="118"/>
      <c r="D253" s="118"/>
      <c r="E253" s="118"/>
      <c r="F253" s="118"/>
      <c r="G253" s="118"/>
      <c r="H253" s="118"/>
      <c r="I253" s="118"/>
      <c r="J253" s="118"/>
      <c r="K253" s="118"/>
      <c r="L253" s="118"/>
      <c r="M253" s="118"/>
      <c r="N253" s="118"/>
      <c r="O253" s="118"/>
      <c r="P253" s="118"/>
      <c r="Q253" s="118"/>
      <c r="R253" s="118"/>
    </row>
    <row r="254" spans="2:18">
      <c r="B254" s="118"/>
      <c r="C254" s="118"/>
      <c r="D254" s="118"/>
      <c r="E254" s="118"/>
      <c r="F254" s="118"/>
      <c r="G254" s="118"/>
      <c r="H254" s="118"/>
      <c r="I254" s="118"/>
      <c r="J254" s="118"/>
      <c r="K254" s="118"/>
      <c r="L254" s="118"/>
      <c r="M254" s="118"/>
      <c r="N254" s="118"/>
      <c r="O254" s="118"/>
      <c r="P254" s="118"/>
      <c r="Q254" s="118"/>
      <c r="R254" s="118"/>
    </row>
    <row r="255" spans="2:18">
      <c r="B255" s="118"/>
      <c r="C255" s="118"/>
      <c r="D255" s="118"/>
      <c r="E255" s="118"/>
      <c r="F255" s="118"/>
      <c r="G255" s="118"/>
      <c r="H255" s="118"/>
      <c r="I255" s="118"/>
      <c r="J255" s="118"/>
      <c r="K255" s="118"/>
      <c r="L255" s="118"/>
      <c r="M255" s="118"/>
      <c r="N255" s="118"/>
      <c r="O255" s="118"/>
      <c r="P255" s="118"/>
      <c r="Q255" s="118"/>
      <c r="R255" s="118"/>
    </row>
    <row r="256" spans="2:18">
      <c r="B256" s="118"/>
      <c r="C256" s="118"/>
      <c r="D256" s="118"/>
      <c r="E256" s="118"/>
      <c r="F256" s="118"/>
      <c r="G256" s="118"/>
      <c r="H256" s="118"/>
      <c r="I256" s="118"/>
      <c r="J256" s="118"/>
      <c r="K256" s="118"/>
      <c r="L256" s="118"/>
      <c r="M256" s="118"/>
      <c r="N256" s="118"/>
      <c r="O256" s="118"/>
      <c r="P256" s="118"/>
      <c r="Q256" s="118"/>
      <c r="R256" s="118"/>
    </row>
    <row r="257" spans="2:18">
      <c r="B257" s="118"/>
      <c r="C257" s="118"/>
      <c r="D257" s="118"/>
      <c r="E257" s="118"/>
      <c r="F257" s="118"/>
      <c r="G257" s="118"/>
      <c r="H257" s="118"/>
      <c r="I257" s="118"/>
      <c r="J257" s="118"/>
      <c r="K257" s="118"/>
      <c r="L257" s="118"/>
      <c r="M257" s="118"/>
      <c r="N257" s="118"/>
      <c r="O257" s="118"/>
      <c r="P257" s="118"/>
      <c r="Q257" s="118"/>
      <c r="R257" s="118"/>
    </row>
    <row r="258" spans="2:18">
      <c r="B258" s="118"/>
      <c r="C258" s="118"/>
      <c r="D258" s="118"/>
      <c r="E258" s="118"/>
      <c r="F258" s="118"/>
      <c r="G258" s="118"/>
      <c r="H258" s="118"/>
      <c r="I258" s="118"/>
      <c r="J258" s="118"/>
      <c r="K258" s="118"/>
      <c r="L258" s="118"/>
      <c r="M258" s="118"/>
      <c r="N258" s="118"/>
      <c r="O258" s="118"/>
      <c r="P258" s="118"/>
      <c r="Q258" s="118"/>
      <c r="R258" s="118"/>
    </row>
    <row r="259" spans="2:18">
      <c r="B259" s="118"/>
      <c r="C259" s="118"/>
      <c r="D259" s="118"/>
      <c r="E259" s="118"/>
      <c r="F259" s="118"/>
      <c r="G259" s="118"/>
      <c r="H259" s="118"/>
      <c r="I259" s="118"/>
      <c r="J259" s="118"/>
      <c r="K259" s="118"/>
      <c r="L259" s="118"/>
      <c r="M259" s="118"/>
      <c r="N259" s="118"/>
      <c r="O259" s="118"/>
      <c r="P259" s="118"/>
      <c r="Q259" s="118"/>
      <c r="R259" s="118"/>
    </row>
    <row r="260" spans="2:18">
      <c r="B260" s="118"/>
      <c r="C260" s="118"/>
      <c r="D260" s="118"/>
      <c r="E260" s="118"/>
      <c r="F260" s="118"/>
      <c r="G260" s="118"/>
      <c r="H260" s="118"/>
      <c r="I260" s="118"/>
      <c r="J260" s="118"/>
      <c r="K260" s="118"/>
      <c r="L260" s="118"/>
      <c r="M260" s="118"/>
      <c r="N260" s="118"/>
      <c r="O260" s="118"/>
      <c r="P260" s="118"/>
      <c r="Q260" s="118"/>
      <c r="R260" s="118"/>
    </row>
    <row r="261" spans="2:18">
      <c r="B261" s="118"/>
      <c r="C261" s="118"/>
      <c r="D261" s="118"/>
      <c r="E261" s="118"/>
      <c r="F261" s="118"/>
      <c r="G261" s="118"/>
      <c r="H261" s="118"/>
      <c r="I261" s="118"/>
      <c r="J261" s="118"/>
      <c r="K261" s="118"/>
      <c r="L261" s="118"/>
      <c r="M261" s="118"/>
      <c r="N261" s="118"/>
      <c r="O261" s="118"/>
      <c r="P261" s="118"/>
      <c r="Q261" s="118"/>
      <c r="R261" s="118"/>
    </row>
    <row r="262" spans="2:18">
      <c r="B262" s="118"/>
      <c r="C262" s="118"/>
      <c r="D262" s="118"/>
      <c r="E262" s="118"/>
      <c r="F262" s="118"/>
      <c r="G262" s="118"/>
      <c r="H262" s="118"/>
      <c r="I262" s="118"/>
      <c r="J262" s="118"/>
      <c r="K262" s="118"/>
      <c r="L262" s="118"/>
      <c r="M262" s="118"/>
      <c r="N262" s="118"/>
      <c r="O262" s="118"/>
      <c r="P262" s="118"/>
      <c r="Q262" s="118"/>
      <c r="R262" s="118"/>
    </row>
    <row r="263" spans="2:18">
      <c r="B263" s="118"/>
      <c r="C263" s="118"/>
      <c r="D263" s="118"/>
      <c r="E263" s="118"/>
      <c r="F263" s="118"/>
      <c r="G263" s="118"/>
      <c r="H263" s="118"/>
      <c r="I263" s="118"/>
      <c r="J263" s="118"/>
      <c r="K263" s="118"/>
      <c r="L263" s="118"/>
      <c r="M263" s="118"/>
      <c r="N263" s="118"/>
      <c r="O263" s="118"/>
      <c r="P263" s="118"/>
      <c r="Q263" s="118"/>
      <c r="R263" s="118"/>
    </row>
    <row r="264" spans="2:18">
      <c r="B264" s="118"/>
      <c r="C264" s="118"/>
      <c r="D264" s="118"/>
      <c r="E264" s="118"/>
      <c r="F264" s="118"/>
      <c r="G264" s="118"/>
      <c r="H264" s="118"/>
      <c r="I264" s="118"/>
      <c r="J264" s="118"/>
      <c r="K264" s="118"/>
      <c r="L264" s="118"/>
      <c r="M264" s="118"/>
      <c r="N264" s="118"/>
      <c r="O264" s="118"/>
      <c r="P264" s="118"/>
      <c r="Q264" s="118"/>
      <c r="R264" s="118"/>
    </row>
    <row r="265" spans="2:18">
      <c r="B265" s="118"/>
      <c r="C265" s="118"/>
      <c r="D265" s="118"/>
      <c r="E265" s="118"/>
      <c r="F265" s="118"/>
      <c r="G265" s="118"/>
      <c r="H265" s="118"/>
      <c r="I265" s="118"/>
      <c r="J265" s="118"/>
      <c r="K265" s="118"/>
      <c r="L265" s="118"/>
      <c r="M265" s="118"/>
      <c r="N265" s="118"/>
      <c r="O265" s="118"/>
      <c r="P265" s="118"/>
      <c r="Q265" s="118"/>
      <c r="R265" s="118"/>
    </row>
    <row r="266" spans="2:18">
      <c r="B266" s="118"/>
      <c r="C266" s="118"/>
      <c r="D266" s="118"/>
      <c r="E266" s="118"/>
      <c r="F266" s="118"/>
      <c r="G266" s="118"/>
      <c r="H266" s="118"/>
      <c r="I266" s="118"/>
      <c r="J266" s="118"/>
      <c r="K266" s="118"/>
      <c r="L266" s="118"/>
      <c r="M266" s="118"/>
      <c r="N266" s="118"/>
      <c r="O266" s="118"/>
      <c r="P266" s="118"/>
      <c r="Q266" s="118"/>
      <c r="R266" s="118"/>
    </row>
    <row r="267" spans="2:18">
      <c r="B267" s="118"/>
      <c r="C267" s="118"/>
      <c r="D267" s="118"/>
      <c r="E267" s="118"/>
      <c r="F267" s="118"/>
      <c r="G267" s="118"/>
      <c r="H267" s="118"/>
      <c r="I267" s="118"/>
      <c r="J267" s="118"/>
      <c r="K267" s="118"/>
      <c r="L267" s="118"/>
      <c r="M267" s="118"/>
      <c r="N267" s="118"/>
      <c r="O267" s="118"/>
      <c r="P267" s="118"/>
      <c r="Q267" s="118"/>
      <c r="R267" s="118"/>
    </row>
    <row r="268" spans="2:18">
      <c r="B268" s="118"/>
      <c r="C268" s="118"/>
      <c r="D268" s="118"/>
      <c r="E268" s="118"/>
      <c r="F268" s="118"/>
      <c r="G268" s="118"/>
      <c r="H268" s="118"/>
      <c r="I268" s="118"/>
      <c r="J268" s="118"/>
      <c r="K268" s="118"/>
      <c r="L268" s="118"/>
      <c r="M268" s="118"/>
      <c r="N268" s="118"/>
      <c r="O268" s="118"/>
      <c r="P268" s="118"/>
      <c r="Q268" s="118"/>
      <c r="R268" s="118"/>
    </row>
    <row r="269" spans="2:18">
      <c r="B269" s="118"/>
      <c r="C269" s="118"/>
      <c r="D269" s="118"/>
      <c r="E269" s="118"/>
      <c r="F269" s="118"/>
      <c r="G269" s="118"/>
      <c r="H269" s="118"/>
      <c r="I269" s="118"/>
      <c r="J269" s="118"/>
      <c r="K269" s="118"/>
      <c r="L269" s="118"/>
      <c r="M269" s="118"/>
      <c r="N269" s="118"/>
      <c r="O269" s="118"/>
      <c r="P269" s="118"/>
      <c r="Q269" s="118"/>
      <c r="R269" s="118"/>
    </row>
    <row r="270" spans="2:18">
      <c r="B270" s="118"/>
      <c r="C270" s="118"/>
      <c r="D270" s="118"/>
      <c r="E270" s="118"/>
      <c r="F270" s="118"/>
      <c r="G270" s="118"/>
      <c r="H270" s="118"/>
      <c r="I270" s="118"/>
      <c r="J270" s="118"/>
      <c r="K270" s="118"/>
      <c r="L270" s="118"/>
      <c r="M270" s="118"/>
      <c r="N270" s="118"/>
      <c r="O270" s="118"/>
      <c r="P270" s="118"/>
      <c r="Q270" s="118"/>
      <c r="R270" s="118"/>
    </row>
    <row r="271" spans="2:18">
      <c r="B271" s="118"/>
      <c r="C271" s="118"/>
      <c r="D271" s="118"/>
      <c r="E271" s="118"/>
      <c r="F271" s="118"/>
      <c r="G271" s="118"/>
      <c r="H271" s="118"/>
      <c r="I271" s="118"/>
      <c r="J271" s="118"/>
      <c r="K271" s="118"/>
      <c r="L271" s="118"/>
      <c r="M271" s="118"/>
      <c r="N271" s="118"/>
      <c r="O271" s="118"/>
      <c r="P271" s="118"/>
      <c r="Q271" s="118"/>
      <c r="R271" s="118"/>
    </row>
    <row r="272" spans="2:18">
      <c r="B272" s="118"/>
      <c r="C272" s="118"/>
      <c r="D272" s="118"/>
      <c r="E272" s="118"/>
      <c r="F272" s="118"/>
      <c r="G272" s="118"/>
      <c r="H272" s="118"/>
      <c r="I272" s="118"/>
      <c r="J272" s="118"/>
      <c r="K272" s="118"/>
      <c r="L272" s="118"/>
      <c r="M272" s="118"/>
      <c r="N272" s="118"/>
      <c r="O272" s="118"/>
      <c r="P272" s="118"/>
      <c r="Q272" s="118"/>
      <c r="R272" s="118"/>
    </row>
    <row r="273" spans="2:18">
      <c r="B273" s="118"/>
      <c r="C273" s="118"/>
      <c r="D273" s="118"/>
      <c r="E273" s="118"/>
      <c r="F273" s="118"/>
      <c r="G273" s="118"/>
      <c r="H273" s="118"/>
      <c r="I273" s="118"/>
      <c r="J273" s="118"/>
      <c r="K273" s="118"/>
      <c r="L273" s="118"/>
      <c r="M273" s="118"/>
      <c r="N273" s="118"/>
      <c r="O273" s="118"/>
      <c r="P273" s="118"/>
      <c r="Q273" s="118"/>
      <c r="R273" s="118"/>
    </row>
    <row r="274" spans="2:18">
      <c r="B274" s="118"/>
      <c r="C274" s="118"/>
      <c r="D274" s="118"/>
      <c r="E274" s="118"/>
      <c r="F274" s="118"/>
      <c r="G274" s="118"/>
      <c r="H274" s="118"/>
      <c r="I274" s="118"/>
      <c r="J274" s="118"/>
      <c r="K274" s="118"/>
      <c r="L274" s="118"/>
      <c r="M274" s="118"/>
      <c r="N274" s="118"/>
      <c r="O274" s="118"/>
      <c r="P274" s="118"/>
      <c r="Q274" s="118"/>
      <c r="R274" s="118"/>
    </row>
    <row r="275" spans="2:18">
      <c r="B275" s="118"/>
      <c r="C275" s="118"/>
      <c r="D275" s="118"/>
      <c r="E275" s="118"/>
      <c r="F275" s="118"/>
      <c r="G275" s="118"/>
      <c r="H275" s="118"/>
      <c r="I275" s="118"/>
      <c r="J275" s="118"/>
      <c r="K275" s="118"/>
      <c r="L275" s="118"/>
      <c r="M275" s="118"/>
      <c r="N275" s="118"/>
      <c r="O275" s="118"/>
      <c r="P275" s="118"/>
      <c r="Q275" s="118"/>
      <c r="R275" s="118"/>
    </row>
    <row r="276" spans="2:18">
      <c r="B276" s="118"/>
      <c r="C276" s="118"/>
      <c r="D276" s="118"/>
      <c r="E276" s="118"/>
      <c r="F276" s="118"/>
      <c r="G276" s="118"/>
      <c r="H276" s="118"/>
      <c r="I276" s="118"/>
      <c r="J276" s="118"/>
      <c r="K276" s="118"/>
      <c r="L276" s="118"/>
      <c r="M276" s="118"/>
      <c r="N276" s="118"/>
      <c r="O276" s="118"/>
      <c r="P276" s="118"/>
      <c r="Q276" s="118"/>
      <c r="R276" s="118"/>
    </row>
    <row r="277" spans="2:18">
      <c r="B277" s="118"/>
      <c r="C277" s="118"/>
      <c r="D277" s="118"/>
      <c r="E277" s="118"/>
      <c r="F277" s="118"/>
      <c r="G277" s="118"/>
      <c r="H277" s="118"/>
      <c r="I277" s="118"/>
      <c r="J277" s="118"/>
      <c r="K277" s="118"/>
      <c r="L277" s="118"/>
      <c r="M277" s="118"/>
      <c r="N277" s="118"/>
      <c r="O277" s="118"/>
      <c r="P277" s="118"/>
      <c r="Q277" s="118"/>
      <c r="R277" s="118"/>
    </row>
    <row r="278" spans="2:18">
      <c r="B278" s="118"/>
      <c r="C278" s="118"/>
      <c r="D278" s="118"/>
      <c r="E278" s="118"/>
      <c r="F278" s="118"/>
      <c r="G278" s="118"/>
      <c r="H278" s="118"/>
      <c r="I278" s="118"/>
      <c r="J278" s="118"/>
      <c r="K278" s="118"/>
      <c r="L278" s="118"/>
      <c r="M278" s="118"/>
      <c r="N278" s="118"/>
      <c r="O278" s="118"/>
      <c r="P278" s="118"/>
      <c r="Q278" s="118"/>
      <c r="R278" s="118"/>
    </row>
    <row r="279" spans="2:18">
      <c r="B279" s="118"/>
      <c r="C279" s="118"/>
      <c r="D279" s="118"/>
      <c r="E279" s="118"/>
      <c r="F279" s="118"/>
      <c r="G279" s="118"/>
      <c r="H279" s="118"/>
      <c r="I279" s="118"/>
      <c r="J279" s="118"/>
      <c r="K279" s="118"/>
      <c r="L279" s="118"/>
      <c r="M279" s="118"/>
      <c r="N279" s="118"/>
      <c r="O279" s="118"/>
      <c r="P279" s="118"/>
      <c r="Q279" s="118"/>
      <c r="R279" s="118"/>
    </row>
    <row r="280" spans="2:18">
      <c r="B280" s="118"/>
      <c r="C280" s="118"/>
      <c r="D280" s="118"/>
      <c r="E280" s="118"/>
      <c r="F280" s="118"/>
      <c r="G280" s="118"/>
      <c r="H280" s="118"/>
      <c r="I280" s="118"/>
      <c r="J280" s="118"/>
      <c r="K280" s="118"/>
      <c r="L280" s="118"/>
      <c r="M280" s="118"/>
      <c r="N280" s="118"/>
      <c r="O280" s="118"/>
      <c r="P280" s="118"/>
      <c r="Q280" s="118"/>
      <c r="R280" s="118"/>
    </row>
    <row r="281" spans="2:18">
      <c r="B281" s="118"/>
      <c r="C281" s="118"/>
      <c r="D281" s="118"/>
      <c r="E281" s="118"/>
      <c r="F281" s="118"/>
      <c r="G281" s="118"/>
      <c r="H281" s="118"/>
      <c r="I281" s="118"/>
      <c r="J281" s="118"/>
      <c r="K281" s="118"/>
      <c r="L281" s="118"/>
      <c r="M281" s="118"/>
      <c r="N281" s="118"/>
      <c r="O281" s="118"/>
      <c r="P281" s="118"/>
      <c r="Q281" s="118"/>
      <c r="R281" s="118"/>
    </row>
    <row r="282" spans="2:18">
      <c r="B282" s="118"/>
      <c r="C282" s="118"/>
      <c r="D282" s="118"/>
      <c r="E282" s="118"/>
      <c r="F282" s="118"/>
      <c r="G282" s="118"/>
      <c r="H282" s="118"/>
      <c r="I282" s="118"/>
      <c r="J282" s="118"/>
      <c r="K282" s="118"/>
      <c r="L282" s="118"/>
      <c r="M282" s="118"/>
      <c r="N282" s="118"/>
      <c r="O282" s="118"/>
      <c r="P282" s="118"/>
      <c r="Q282" s="118"/>
      <c r="R282" s="118"/>
    </row>
    <row r="283" spans="2:18">
      <c r="B283" s="118"/>
      <c r="C283" s="118"/>
      <c r="D283" s="118"/>
      <c r="E283" s="118"/>
      <c r="F283" s="118"/>
      <c r="G283" s="118"/>
      <c r="H283" s="118"/>
      <c r="I283" s="118"/>
      <c r="J283" s="118"/>
      <c r="K283" s="118"/>
      <c r="L283" s="118"/>
      <c r="M283" s="118"/>
      <c r="N283" s="118"/>
      <c r="O283" s="118"/>
      <c r="P283" s="118"/>
      <c r="Q283" s="118"/>
      <c r="R283" s="118"/>
    </row>
    <row r="284" spans="2:18">
      <c r="B284" s="118"/>
      <c r="C284" s="118"/>
      <c r="D284" s="118"/>
      <c r="E284" s="118"/>
      <c r="F284" s="118"/>
      <c r="G284" s="118"/>
      <c r="H284" s="118"/>
      <c r="I284" s="118"/>
      <c r="J284" s="118"/>
      <c r="K284" s="118"/>
      <c r="L284" s="118"/>
      <c r="M284" s="118"/>
      <c r="N284" s="118"/>
      <c r="O284" s="118"/>
      <c r="P284" s="118"/>
      <c r="Q284" s="118"/>
      <c r="R284" s="118"/>
    </row>
    <row r="285" spans="2:18">
      <c r="B285" s="118"/>
      <c r="C285" s="118"/>
      <c r="D285" s="118"/>
      <c r="E285" s="118"/>
      <c r="F285" s="118"/>
      <c r="G285" s="118"/>
      <c r="H285" s="118"/>
      <c r="I285" s="118"/>
      <c r="J285" s="118"/>
      <c r="K285" s="118"/>
      <c r="L285" s="118"/>
      <c r="M285" s="118"/>
      <c r="N285" s="118"/>
      <c r="O285" s="118"/>
      <c r="P285" s="118"/>
      <c r="Q285" s="118"/>
      <c r="R285" s="118"/>
    </row>
    <row r="286" spans="2:18">
      <c r="B286" s="118"/>
      <c r="C286" s="118"/>
      <c r="D286" s="118"/>
      <c r="E286" s="118"/>
      <c r="F286" s="118"/>
      <c r="G286" s="118"/>
      <c r="H286" s="118"/>
      <c r="I286" s="118"/>
      <c r="J286" s="118"/>
      <c r="K286" s="118"/>
      <c r="L286" s="118"/>
      <c r="M286" s="118"/>
      <c r="N286" s="118"/>
      <c r="O286" s="118"/>
      <c r="P286" s="118"/>
      <c r="Q286" s="118"/>
      <c r="R286" s="118"/>
    </row>
    <row r="287" spans="2:18">
      <c r="B287" s="118"/>
      <c r="C287" s="118"/>
      <c r="D287" s="118"/>
      <c r="E287" s="118"/>
      <c r="F287" s="118"/>
      <c r="G287" s="118"/>
      <c r="H287" s="118"/>
      <c r="I287" s="118"/>
      <c r="J287" s="118"/>
      <c r="K287" s="118"/>
      <c r="L287" s="118"/>
      <c r="M287" s="118"/>
      <c r="N287" s="118"/>
      <c r="O287" s="118"/>
      <c r="P287" s="118"/>
      <c r="Q287" s="118"/>
      <c r="R287" s="118"/>
    </row>
    <row r="288" spans="2:18">
      <c r="B288" s="118"/>
      <c r="C288" s="118"/>
      <c r="D288" s="118"/>
      <c r="E288" s="118"/>
      <c r="F288" s="118"/>
      <c r="G288" s="118"/>
      <c r="H288" s="118"/>
      <c r="I288" s="118"/>
      <c r="J288" s="118"/>
      <c r="K288" s="118"/>
      <c r="L288" s="118"/>
      <c r="M288" s="118"/>
      <c r="N288" s="118"/>
      <c r="O288" s="118"/>
      <c r="P288" s="118"/>
      <c r="Q288" s="118"/>
      <c r="R288" s="118"/>
    </row>
    <row r="289" spans="2:18">
      <c r="B289" s="118"/>
      <c r="C289" s="118"/>
      <c r="D289" s="118"/>
      <c r="E289" s="118"/>
      <c r="F289" s="118"/>
      <c r="G289" s="118"/>
      <c r="H289" s="118"/>
      <c r="I289" s="118"/>
      <c r="J289" s="118"/>
      <c r="K289" s="118"/>
      <c r="L289" s="118"/>
      <c r="M289" s="118"/>
      <c r="N289" s="118"/>
      <c r="O289" s="118"/>
      <c r="P289" s="118"/>
      <c r="Q289" s="118"/>
      <c r="R289" s="118"/>
    </row>
    <row r="290" spans="2:18">
      <c r="B290" s="118"/>
      <c r="C290" s="118"/>
      <c r="D290" s="118"/>
      <c r="E290" s="118"/>
      <c r="F290" s="118"/>
      <c r="G290" s="118"/>
      <c r="H290" s="118"/>
      <c r="I290" s="118"/>
      <c r="J290" s="118"/>
      <c r="K290" s="118"/>
      <c r="L290" s="118"/>
      <c r="M290" s="118"/>
      <c r="N290" s="118"/>
      <c r="O290" s="118"/>
      <c r="P290" s="118"/>
      <c r="Q290" s="118"/>
      <c r="R290" s="118"/>
    </row>
    <row r="291" spans="2:18">
      <c r="B291" s="118"/>
      <c r="C291" s="118"/>
      <c r="D291" s="118"/>
      <c r="E291" s="118"/>
      <c r="F291" s="118"/>
      <c r="G291" s="118"/>
      <c r="H291" s="118"/>
      <c r="I291" s="118"/>
      <c r="J291" s="118"/>
      <c r="K291" s="118"/>
      <c r="L291" s="118"/>
      <c r="M291" s="118"/>
      <c r="N291" s="118"/>
      <c r="O291" s="118"/>
      <c r="P291" s="118"/>
      <c r="Q291" s="118"/>
      <c r="R291" s="118"/>
    </row>
    <row r="292" spans="2:18">
      <c r="B292" s="118"/>
      <c r="C292" s="118"/>
      <c r="D292" s="118"/>
      <c r="E292" s="118"/>
      <c r="F292" s="118"/>
      <c r="G292" s="118"/>
      <c r="H292" s="118"/>
      <c r="I292" s="118"/>
      <c r="J292" s="118"/>
      <c r="K292" s="118"/>
      <c r="L292" s="118"/>
      <c r="M292" s="118"/>
      <c r="N292" s="118"/>
      <c r="O292" s="118"/>
      <c r="P292" s="118"/>
      <c r="Q292" s="118"/>
      <c r="R292" s="118"/>
    </row>
    <row r="293" spans="2:18">
      <c r="B293" s="118"/>
      <c r="C293" s="118"/>
      <c r="D293" s="118"/>
      <c r="E293" s="118"/>
      <c r="F293" s="118"/>
      <c r="G293" s="118"/>
      <c r="H293" s="118"/>
      <c r="I293" s="118"/>
      <c r="J293" s="118"/>
      <c r="K293" s="118"/>
      <c r="L293" s="118"/>
      <c r="M293" s="118"/>
      <c r="N293" s="118"/>
      <c r="O293" s="118"/>
      <c r="P293" s="118"/>
      <c r="Q293" s="118"/>
      <c r="R293" s="118"/>
    </row>
    <row r="294" spans="2:18">
      <c r="B294" s="118"/>
      <c r="C294" s="118"/>
      <c r="D294" s="118"/>
      <c r="E294" s="118"/>
      <c r="F294" s="118"/>
      <c r="G294" s="118"/>
      <c r="H294" s="118"/>
      <c r="I294" s="118"/>
      <c r="J294" s="118"/>
      <c r="K294" s="118"/>
      <c r="L294" s="118"/>
      <c r="M294" s="118"/>
      <c r="N294" s="118"/>
      <c r="O294" s="118"/>
      <c r="P294" s="118"/>
      <c r="Q294" s="118"/>
      <c r="R294" s="118"/>
    </row>
    <row r="295" spans="2:18">
      <c r="B295" s="118"/>
      <c r="C295" s="118"/>
      <c r="D295" s="118"/>
      <c r="E295" s="118"/>
      <c r="F295" s="118"/>
      <c r="G295" s="118"/>
      <c r="H295" s="118"/>
      <c r="I295" s="118"/>
      <c r="J295" s="118"/>
      <c r="K295" s="118"/>
      <c r="L295" s="118"/>
      <c r="M295" s="118"/>
      <c r="N295" s="118"/>
      <c r="O295" s="118"/>
      <c r="P295" s="118"/>
      <c r="Q295" s="118"/>
      <c r="R295" s="118"/>
    </row>
    <row r="296" spans="2:18">
      <c r="B296" s="118"/>
      <c r="C296" s="118"/>
      <c r="D296" s="118"/>
      <c r="E296" s="118"/>
      <c r="F296" s="118"/>
      <c r="G296" s="118"/>
      <c r="H296" s="118"/>
      <c r="I296" s="118"/>
      <c r="J296" s="118"/>
      <c r="K296" s="118"/>
      <c r="L296" s="118"/>
      <c r="M296" s="118"/>
      <c r="N296" s="118"/>
      <c r="O296" s="118"/>
      <c r="P296" s="118"/>
      <c r="Q296" s="118"/>
      <c r="R296" s="118"/>
    </row>
    <row r="297" spans="2:18">
      <c r="B297" s="118"/>
      <c r="C297" s="118"/>
      <c r="D297" s="118"/>
      <c r="E297" s="118"/>
      <c r="F297" s="118"/>
      <c r="G297" s="118"/>
      <c r="H297" s="118"/>
      <c r="I297" s="118"/>
      <c r="J297" s="118"/>
      <c r="K297" s="118"/>
      <c r="L297" s="118"/>
      <c r="M297" s="118"/>
      <c r="N297" s="118"/>
      <c r="O297" s="118"/>
      <c r="P297" s="118"/>
      <c r="Q297" s="118"/>
      <c r="R297" s="118"/>
    </row>
    <row r="298" spans="2:18">
      <c r="B298" s="118"/>
      <c r="C298" s="118"/>
      <c r="D298" s="118"/>
      <c r="E298" s="118"/>
      <c r="F298" s="118"/>
      <c r="G298" s="118"/>
      <c r="H298" s="118"/>
      <c r="I298" s="118"/>
      <c r="J298" s="118"/>
      <c r="K298" s="118"/>
      <c r="L298" s="118"/>
      <c r="M298" s="118"/>
      <c r="N298" s="118"/>
      <c r="O298" s="118"/>
      <c r="P298" s="118"/>
      <c r="Q298" s="118"/>
      <c r="R298" s="118"/>
    </row>
    <row r="299" spans="2:18">
      <c r="B299" s="118"/>
      <c r="C299" s="118"/>
      <c r="D299" s="118"/>
      <c r="E299" s="118"/>
      <c r="F299" s="118"/>
      <c r="G299" s="118"/>
      <c r="H299" s="118"/>
      <c r="I299" s="118"/>
      <c r="J299" s="118"/>
      <c r="K299" s="118"/>
      <c r="L299" s="118"/>
      <c r="M299" s="118"/>
      <c r="N299" s="118"/>
      <c r="O299" s="118"/>
      <c r="P299" s="118"/>
      <c r="Q299" s="118"/>
      <c r="R299" s="118"/>
    </row>
    <row r="300" spans="2:18">
      <c r="B300" s="118"/>
      <c r="C300" s="118"/>
      <c r="D300" s="118"/>
      <c r="E300" s="118"/>
      <c r="F300" s="118"/>
      <c r="G300" s="118"/>
      <c r="H300" s="118"/>
      <c r="I300" s="118"/>
      <c r="J300" s="118"/>
      <c r="K300" s="118"/>
      <c r="L300" s="118"/>
      <c r="M300" s="118"/>
      <c r="N300" s="118"/>
      <c r="O300" s="118"/>
      <c r="P300" s="118"/>
      <c r="Q300" s="118"/>
      <c r="R300" s="118"/>
    </row>
    <row r="301" spans="2:18">
      <c r="B301" s="118"/>
      <c r="C301" s="118"/>
      <c r="D301" s="118"/>
      <c r="E301" s="118"/>
      <c r="F301" s="118"/>
      <c r="G301" s="118"/>
      <c r="H301" s="118"/>
      <c r="I301" s="118"/>
      <c r="J301" s="118"/>
      <c r="K301" s="118"/>
      <c r="L301" s="118"/>
      <c r="M301" s="118"/>
      <c r="N301" s="118"/>
      <c r="O301" s="118"/>
      <c r="P301" s="118"/>
      <c r="Q301" s="118"/>
      <c r="R301" s="118"/>
    </row>
    <row r="302" spans="2:18">
      <c r="B302" s="118"/>
      <c r="C302" s="118"/>
      <c r="D302" s="118"/>
      <c r="E302" s="118"/>
      <c r="F302" s="118"/>
      <c r="G302" s="118"/>
      <c r="H302" s="118"/>
      <c r="I302" s="118"/>
      <c r="J302" s="118"/>
      <c r="K302" s="118"/>
      <c r="L302" s="118"/>
      <c r="M302" s="118"/>
      <c r="N302" s="118"/>
      <c r="O302" s="118"/>
      <c r="P302" s="118"/>
      <c r="Q302" s="118"/>
      <c r="R302" s="118"/>
    </row>
    <row r="303" spans="2:18">
      <c r="B303" s="118"/>
      <c r="C303" s="118"/>
      <c r="D303" s="118"/>
      <c r="E303" s="118"/>
      <c r="F303" s="118"/>
      <c r="G303" s="118"/>
      <c r="H303" s="118"/>
      <c r="I303" s="118"/>
      <c r="J303" s="118"/>
      <c r="K303" s="118"/>
      <c r="L303" s="118"/>
      <c r="M303" s="118"/>
      <c r="N303" s="118"/>
      <c r="O303" s="118"/>
      <c r="P303" s="118"/>
      <c r="Q303" s="118"/>
      <c r="R303" s="118"/>
    </row>
    <row r="304" spans="2:18">
      <c r="B304" s="118"/>
      <c r="C304" s="118"/>
      <c r="D304" s="118"/>
      <c r="E304" s="118"/>
      <c r="F304" s="118"/>
      <c r="G304" s="118"/>
      <c r="H304" s="118"/>
      <c r="I304" s="118"/>
      <c r="J304" s="118"/>
      <c r="K304" s="118"/>
      <c r="L304" s="118"/>
      <c r="M304" s="118"/>
      <c r="N304" s="118"/>
      <c r="O304" s="118"/>
      <c r="P304" s="118"/>
      <c r="Q304" s="118"/>
      <c r="R304" s="118"/>
    </row>
    <row r="305" spans="2:18">
      <c r="B305" s="118"/>
      <c r="C305" s="118"/>
      <c r="D305" s="118"/>
      <c r="E305" s="118"/>
      <c r="F305" s="118"/>
      <c r="G305" s="118"/>
      <c r="H305" s="118"/>
      <c r="I305" s="118"/>
      <c r="J305" s="118"/>
      <c r="K305" s="118"/>
      <c r="L305" s="118"/>
      <c r="M305" s="118"/>
      <c r="N305" s="118"/>
      <c r="O305" s="118"/>
      <c r="P305" s="118"/>
      <c r="Q305" s="118"/>
      <c r="R305" s="118"/>
    </row>
    <row r="306" spans="2:18">
      <c r="B306" s="118"/>
      <c r="C306" s="118"/>
      <c r="D306" s="118"/>
      <c r="E306" s="118"/>
      <c r="F306" s="118"/>
      <c r="G306" s="118"/>
      <c r="H306" s="118"/>
      <c r="I306" s="118"/>
      <c r="J306" s="118"/>
      <c r="K306" s="118"/>
      <c r="L306" s="118"/>
      <c r="M306" s="118"/>
      <c r="N306" s="118"/>
      <c r="O306" s="118"/>
      <c r="P306" s="118"/>
      <c r="Q306" s="118"/>
      <c r="R306" s="118"/>
    </row>
    <row r="307" spans="2:18">
      <c r="B307" s="118"/>
      <c r="C307" s="118"/>
      <c r="D307" s="118"/>
      <c r="E307" s="118"/>
      <c r="F307" s="118"/>
      <c r="G307" s="118"/>
      <c r="H307" s="118"/>
      <c r="I307" s="118"/>
      <c r="J307" s="118"/>
      <c r="K307" s="118"/>
      <c r="L307" s="118"/>
      <c r="M307" s="118"/>
      <c r="N307" s="118"/>
      <c r="O307" s="118"/>
      <c r="P307" s="118"/>
      <c r="Q307" s="118"/>
      <c r="R307" s="118"/>
    </row>
    <row r="308" spans="2:18">
      <c r="B308" s="118"/>
      <c r="C308" s="118"/>
      <c r="D308" s="118"/>
      <c r="E308" s="118"/>
      <c r="F308" s="118"/>
      <c r="G308" s="118"/>
      <c r="H308" s="118"/>
      <c r="I308" s="118"/>
      <c r="J308" s="118"/>
      <c r="K308" s="118"/>
      <c r="L308" s="118"/>
      <c r="M308" s="118"/>
      <c r="N308" s="118"/>
      <c r="O308" s="118"/>
      <c r="P308" s="118"/>
      <c r="Q308" s="118"/>
      <c r="R308" s="118"/>
    </row>
    <row r="309" spans="2:18">
      <c r="B309" s="118"/>
      <c r="C309" s="118"/>
      <c r="D309" s="118"/>
      <c r="E309" s="118"/>
      <c r="F309" s="118"/>
      <c r="G309" s="118"/>
      <c r="H309" s="118"/>
      <c r="I309" s="118"/>
      <c r="J309" s="118"/>
      <c r="K309" s="118"/>
      <c r="L309" s="118"/>
      <c r="M309" s="118"/>
      <c r="N309" s="118"/>
      <c r="O309" s="118"/>
      <c r="P309" s="118"/>
      <c r="Q309" s="118"/>
      <c r="R309" s="118"/>
    </row>
    <row r="310" spans="2:18">
      <c r="B310" s="118"/>
      <c r="C310" s="118"/>
      <c r="D310" s="118"/>
      <c r="E310" s="118"/>
      <c r="F310" s="118"/>
      <c r="G310" s="118"/>
      <c r="H310" s="118"/>
      <c r="I310" s="118"/>
      <c r="J310" s="118"/>
      <c r="K310" s="118"/>
      <c r="L310" s="118"/>
      <c r="M310" s="118"/>
      <c r="N310" s="118"/>
      <c r="O310" s="118"/>
      <c r="P310" s="118"/>
      <c r="Q310" s="118"/>
      <c r="R310" s="118"/>
    </row>
    <row r="311" spans="2:18">
      <c r="B311" s="118"/>
      <c r="C311" s="118"/>
      <c r="D311" s="118"/>
      <c r="E311" s="118"/>
      <c r="F311" s="118"/>
      <c r="G311" s="118"/>
      <c r="H311" s="118"/>
      <c r="I311" s="118"/>
      <c r="J311" s="118"/>
      <c r="K311" s="118"/>
      <c r="L311" s="118"/>
      <c r="M311" s="118"/>
      <c r="N311" s="118"/>
      <c r="O311" s="118"/>
      <c r="P311" s="118"/>
      <c r="Q311" s="118"/>
      <c r="R311" s="118"/>
    </row>
    <row r="312" spans="2:18">
      <c r="B312" s="118"/>
      <c r="C312" s="118"/>
      <c r="D312" s="118"/>
      <c r="E312" s="118"/>
      <c r="F312" s="118"/>
      <c r="G312" s="118"/>
      <c r="H312" s="118"/>
      <c r="I312" s="118"/>
      <c r="J312" s="118"/>
      <c r="K312" s="118"/>
      <c r="L312" s="118"/>
      <c r="M312" s="118"/>
      <c r="N312" s="118"/>
      <c r="O312" s="118"/>
      <c r="P312" s="118"/>
      <c r="Q312" s="118"/>
      <c r="R312" s="118"/>
    </row>
    <row r="313" spans="2:18">
      <c r="B313" s="118"/>
      <c r="C313" s="118"/>
      <c r="D313" s="118"/>
      <c r="E313" s="118"/>
      <c r="F313" s="118"/>
      <c r="G313" s="118"/>
      <c r="H313" s="118"/>
      <c r="I313" s="118"/>
      <c r="J313" s="118"/>
      <c r="K313" s="118"/>
      <c r="L313" s="118"/>
      <c r="M313" s="118"/>
      <c r="N313" s="118"/>
      <c r="O313" s="118"/>
      <c r="P313" s="118"/>
      <c r="Q313" s="118"/>
      <c r="R313" s="118"/>
    </row>
    <row r="314" spans="2:18">
      <c r="B314" s="118"/>
      <c r="C314" s="118"/>
      <c r="D314" s="118"/>
      <c r="E314" s="118"/>
      <c r="F314" s="118"/>
      <c r="G314" s="118"/>
      <c r="H314" s="118"/>
      <c r="I314" s="118"/>
      <c r="J314" s="118"/>
      <c r="K314" s="118"/>
      <c r="L314" s="118"/>
      <c r="M314" s="118"/>
      <c r="N314" s="118"/>
      <c r="O314" s="118"/>
      <c r="P314" s="118"/>
      <c r="Q314" s="118"/>
      <c r="R314" s="118"/>
    </row>
    <row r="315" spans="2:18">
      <c r="B315" s="118"/>
      <c r="C315" s="118"/>
      <c r="D315" s="118"/>
      <c r="E315" s="118"/>
      <c r="F315" s="118"/>
      <c r="G315" s="118"/>
      <c r="H315" s="118"/>
      <c r="I315" s="118"/>
      <c r="J315" s="118"/>
      <c r="K315" s="118"/>
      <c r="L315" s="118"/>
      <c r="M315" s="118"/>
      <c r="N315" s="118"/>
      <c r="O315" s="118"/>
      <c r="P315" s="118"/>
      <c r="Q315" s="118"/>
      <c r="R315" s="118"/>
    </row>
    <row r="316" spans="2:18">
      <c r="B316" s="118"/>
      <c r="C316" s="118"/>
      <c r="D316" s="118"/>
      <c r="E316" s="118"/>
      <c r="F316" s="118"/>
      <c r="G316" s="118"/>
      <c r="H316" s="118"/>
      <c r="I316" s="118"/>
      <c r="J316" s="118"/>
      <c r="K316" s="118"/>
      <c r="L316" s="118"/>
      <c r="M316" s="118"/>
      <c r="N316" s="118"/>
      <c r="O316" s="118"/>
      <c r="P316" s="118"/>
      <c r="Q316" s="118"/>
      <c r="R316" s="118"/>
    </row>
    <row r="317" spans="2:18">
      <c r="B317" s="118"/>
      <c r="C317" s="118"/>
      <c r="D317" s="118"/>
      <c r="E317" s="118"/>
      <c r="F317" s="118"/>
      <c r="G317" s="118"/>
      <c r="H317" s="118"/>
      <c r="I317" s="118"/>
      <c r="J317" s="118"/>
      <c r="K317" s="118"/>
      <c r="L317" s="118"/>
      <c r="M317" s="118"/>
      <c r="N317" s="118"/>
      <c r="O317" s="118"/>
      <c r="P317" s="118"/>
      <c r="Q317" s="118"/>
      <c r="R317" s="118"/>
    </row>
    <row r="318" spans="2:18">
      <c r="B318" s="118"/>
      <c r="C318" s="118"/>
      <c r="D318" s="118"/>
      <c r="E318" s="118"/>
      <c r="F318" s="118"/>
      <c r="G318" s="118"/>
      <c r="H318" s="118"/>
      <c r="I318" s="118"/>
      <c r="J318" s="118"/>
      <c r="K318" s="118"/>
      <c r="L318" s="118"/>
      <c r="M318" s="118"/>
      <c r="N318" s="118"/>
      <c r="O318" s="118"/>
      <c r="P318" s="118"/>
      <c r="Q318" s="118"/>
      <c r="R318" s="118"/>
    </row>
    <row r="319" spans="2:18">
      <c r="B319" s="118"/>
      <c r="C319" s="118"/>
      <c r="D319" s="118"/>
      <c r="E319" s="118"/>
      <c r="F319" s="118"/>
      <c r="G319" s="118"/>
      <c r="H319" s="118"/>
      <c r="I319" s="118"/>
      <c r="J319" s="118"/>
      <c r="K319" s="118"/>
      <c r="L319" s="118"/>
      <c r="M319" s="118"/>
      <c r="N319" s="118"/>
      <c r="O319" s="118"/>
      <c r="P319" s="118"/>
      <c r="Q319" s="118"/>
      <c r="R319" s="118"/>
    </row>
    <row r="320" spans="2:18">
      <c r="B320" s="118"/>
      <c r="C320" s="118"/>
      <c r="D320" s="118"/>
      <c r="E320" s="118"/>
      <c r="F320" s="118"/>
      <c r="G320" s="118"/>
      <c r="H320" s="118"/>
      <c r="I320" s="118"/>
      <c r="J320" s="118"/>
      <c r="K320" s="118"/>
      <c r="L320" s="118"/>
      <c r="M320" s="118"/>
      <c r="N320" s="118"/>
      <c r="O320" s="118"/>
      <c r="P320" s="118"/>
      <c r="Q320" s="118"/>
      <c r="R320" s="118"/>
    </row>
    <row r="321" spans="2:18">
      <c r="B321" s="118"/>
      <c r="C321" s="118"/>
      <c r="D321" s="118"/>
      <c r="E321" s="118"/>
      <c r="F321" s="118"/>
      <c r="G321" s="118"/>
      <c r="H321" s="118"/>
      <c r="I321" s="118"/>
      <c r="J321" s="118"/>
      <c r="K321" s="118"/>
      <c r="L321" s="118"/>
      <c r="M321" s="118"/>
      <c r="N321" s="118"/>
      <c r="O321" s="118"/>
      <c r="P321" s="118"/>
      <c r="Q321" s="118"/>
      <c r="R321" s="118"/>
    </row>
    <row r="322" spans="2:18">
      <c r="B322" s="118"/>
      <c r="C322" s="118"/>
      <c r="D322" s="118"/>
      <c r="E322" s="118"/>
      <c r="F322" s="118"/>
      <c r="G322" s="118"/>
      <c r="H322" s="118"/>
      <c r="I322" s="118"/>
      <c r="J322" s="118"/>
      <c r="K322" s="118"/>
      <c r="L322" s="118"/>
      <c r="M322" s="118"/>
      <c r="N322" s="118"/>
      <c r="O322" s="118"/>
      <c r="P322" s="118"/>
      <c r="Q322" s="118"/>
      <c r="R322" s="118"/>
    </row>
    <row r="323" spans="2:18">
      <c r="B323" s="118"/>
      <c r="C323" s="118"/>
      <c r="D323" s="118"/>
      <c r="E323" s="118"/>
      <c r="F323" s="118"/>
      <c r="G323" s="118"/>
      <c r="H323" s="118"/>
      <c r="I323" s="118"/>
      <c r="J323" s="118"/>
      <c r="K323" s="118"/>
      <c r="L323" s="118"/>
      <c r="M323" s="118"/>
      <c r="N323" s="118"/>
      <c r="O323" s="118"/>
      <c r="P323" s="118"/>
      <c r="Q323" s="118"/>
      <c r="R323" s="118"/>
    </row>
    <row r="324" spans="2:18">
      <c r="B324" s="118"/>
      <c r="C324" s="118"/>
      <c r="D324" s="118"/>
      <c r="E324" s="118"/>
      <c r="F324" s="118"/>
      <c r="G324" s="118"/>
      <c r="H324" s="118"/>
      <c r="I324" s="118"/>
      <c r="J324" s="118"/>
      <c r="K324" s="118"/>
      <c r="L324" s="118"/>
      <c r="M324" s="118"/>
      <c r="N324" s="118"/>
      <c r="O324" s="118"/>
      <c r="P324" s="118"/>
      <c r="Q324" s="118"/>
      <c r="R324" s="118"/>
    </row>
    <row r="325" spans="2:18">
      <c r="B325" s="118"/>
      <c r="C325" s="118"/>
      <c r="D325" s="118"/>
      <c r="E325" s="118"/>
      <c r="F325" s="118"/>
      <c r="G325" s="118"/>
      <c r="H325" s="118"/>
      <c r="I325" s="118"/>
      <c r="J325" s="118"/>
      <c r="K325" s="118"/>
      <c r="L325" s="118"/>
      <c r="M325" s="118"/>
      <c r="N325" s="118"/>
      <c r="O325" s="118"/>
      <c r="P325" s="118"/>
      <c r="Q325" s="118"/>
      <c r="R325" s="118"/>
    </row>
    <row r="326" spans="2:18">
      <c r="B326" s="118"/>
      <c r="C326" s="118"/>
      <c r="D326" s="118"/>
      <c r="E326" s="118"/>
      <c r="F326" s="118"/>
      <c r="G326" s="118"/>
      <c r="H326" s="118"/>
      <c r="I326" s="118"/>
      <c r="J326" s="118"/>
      <c r="K326" s="118"/>
      <c r="L326" s="118"/>
      <c r="M326" s="118"/>
      <c r="N326" s="118"/>
      <c r="O326" s="118"/>
      <c r="P326" s="118"/>
      <c r="Q326" s="118"/>
      <c r="R326" s="118"/>
    </row>
    <row r="327" spans="2:18">
      <c r="B327" s="118"/>
      <c r="C327" s="118"/>
      <c r="D327" s="118"/>
      <c r="E327" s="118"/>
      <c r="F327" s="118"/>
      <c r="G327" s="118"/>
      <c r="H327" s="118"/>
      <c r="I327" s="118"/>
      <c r="J327" s="118"/>
      <c r="K327" s="118"/>
      <c r="L327" s="118"/>
      <c r="M327" s="118"/>
      <c r="N327" s="118"/>
      <c r="O327" s="118"/>
      <c r="P327" s="118"/>
      <c r="Q327" s="118"/>
      <c r="R327" s="118"/>
    </row>
    <row r="328" spans="2:18">
      <c r="B328" s="118"/>
      <c r="C328" s="118"/>
      <c r="D328" s="118"/>
      <c r="E328" s="118"/>
      <c r="F328" s="118"/>
      <c r="G328" s="118"/>
      <c r="H328" s="118"/>
      <c r="I328" s="118"/>
      <c r="J328" s="118"/>
      <c r="K328" s="118"/>
      <c r="L328" s="118"/>
      <c r="M328" s="118"/>
      <c r="N328" s="118"/>
      <c r="O328" s="118"/>
      <c r="P328" s="118"/>
      <c r="Q328" s="118"/>
      <c r="R328" s="118"/>
    </row>
    <row r="329" spans="2:18">
      <c r="B329" s="118"/>
      <c r="C329" s="118"/>
      <c r="D329" s="118"/>
      <c r="E329" s="118"/>
      <c r="F329" s="118"/>
      <c r="G329" s="118"/>
      <c r="H329" s="118"/>
      <c r="I329" s="118"/>
      <c r="J329" s="118"/>
      <c r="K329" s="118"/>
      <c r="L329" s="118"/>
      <c r="M329" s="118"/>
      <c r="N329" s="118"/>
      <c r="O329" s="118"/>
      <c r="P329" s="118"/>
      <c r="Q329" s="118"/>
      <c r="R329" s="118"/>
    </row>
    <row r="330" spans="2:18">
      <c r="B330" s="118"/>
      <c r="C330" s="118"/>
      <c r="D330" s="118"/>
      <c r="E330" s="118"/>
      <c r="F330" s="118"/>
      <c r="G330" s="118"/>
      <c r="H330" s="118"/>
      <c r="I330" s="118"/>
      <c r="J330" s="118"/>
      <c r="K330" s="118"/>
      <c r="L330" s="118"/>
      <c r="M330" s="118"/>
      <c r="N330" s="118"/>
      <c r="O330" s="118"/>
      <c r="P330" s="118"/>
      <c r="Q330" s="118"/>
      <c r="R330" s="118"/>
    </row>
    <row r="331" spans="2:18">
      <c r="B331" s="118"/>
      <c r="C331" s="118"/>
      <c r="D331" s="118"/>
      <c r="E331" s="118"/>
      <c r="F331" s="118"/>
      <c r="G331" s="118"/>
      <c r="H331" s="118"/>
      <c r="I331" s="118"/>
      <c r="J331" s="118"/>
      <c r="K331" s="118"/>
      <c r="L331" s="118"/>
      <c r="M331" s="118"/>
      <c r="N331" s="118"/>
      <c r="O331" s="118"/>
      <c r="P331" s="118"/>
      <c r="Q331" s="118"/>
      <c r="R331" s="118"/>
    </row>
    <row r="332" spans="2:18">
      <c r="B332" s="118"/>
      <c r="C332" s="118"/>
      <c r="D332" s="118"/>
      <c r="E332" s="118"/>
      <c r="F332" s="118"/>
      <c r="G332" s="118"/>
      <c r="H332" s="118"/>
      <c r="I332" s="118"/>
      <c r="J332" s="118"/>
      <c r="K332" s="118"/>
      <c r="L332" s="118"/>
      <c r="M332" s="118"/>
      <c r="N332" s="118"/>
      <c r="O332" s="118"/>
      <c r="P332" s="118"/>
      <c r="Q332" s="118"/>
      <c r="R332" s="118"/>
    </row>
    <row r="333" spans="2:18">
      <c r="B333" s="118"/>
      <c r="C333" s="118"/>
      <c r="D333" s="118"/>
      <c r="E333" s="118"/>
      <c r="F333" s="118"/>
      <c r="G333" s="118"/>
      <c r="H333" s="118"/>
      <c r="I333" s="118"/>
      <c r="J333" s="118"/>
      <c r="K333" s="118"/>
      <c r="L333" s="118"/>
      <c r="M333" s="118"/>
      <c r="N333" s="118"/>
      <c r="O333" s="118"/>
      <c r="P333" s="118"/>
      <c r="Q333" s="118"/>
      <c r="R333" s="118"/>
    </row>
    <row r="334" spans="2:18">
      <c r="B334" s="118"/>
      <c r="C334" s="118"/>
      <c r="D334" s="118"/>
      <c r="E334" s="118"/>
      <c r="F334" s="118"/>
      <c r="G334" s="118"/>
      <c r="H334" s="118"/>
      <c r="I334" s="118"/>
      <c r="J334" s="118"/>
      <c r="K334" s="118"/>
      <c r="L334" s="118"/>
      <c r="M334" s="118"/>
      <c r="N334" s="118"/>
      <c r="O334" s="118"/>
      <c r="P334" s="118"/>
      <c r="Q334" s="118"/>
      <c r="R334" s="118"/>
    </row>
    <row r="335" spans="2:18">
      <c r="B335" s="118"/>
      <c r="C335" s="118"/>
      <c r="D335" s="118"/>
      <c r="E335" s="118"/>
      <c r="F335" s="118"/>
      <c r="G335" s="118"/>
      <c r="H335" s="118"/>
      <c r="I335" s="118"/>
      <c r="J335" s="118"/>
      <c r="K335" s="118"/>
      <c r="L335" s="118"/>
      <c r="M335" s="118"/>
      <c r="N335" s="118"/>
      <c r="O335" s="118"/>
      <c r="P335" s="118"/>
      <c r="Q335" s="118"/>
      <c r="R335" s="118"/>
    </row>
    <row r="336" spans="2:18">
      <c r="B336" s="118"/>
      <c r="C336" s="118"/>
      <c r="D336" s="118"/>
      <c r="E336" s="118"/>
      <c r="F336" s="118"/>
      <c r="G336" s="118"/>
      <c r="H336" s="118"/>
      <c r="I336" s="118"/>
      <c r="J336" s="118"/>
      <c r="K336" s="118"/>
      <c r="L336" s="118"/>
      <c r="M336" s="118"/>
      <c r="N336" s="118"/>
      <c r="O336" s="118"/>
      <c r="P336" s="118"/>
      <c r="Q336" s="118"/>
      <c r="R336" s="118"/>
    </row>
    <row r="337" spans="2:18">
      <c r="B337" s="118"/>
      <c r="C337" s="118"/>
      <c r="D337" s="118"/>
      <c r="E337" s="118"/>
      <c r="F337" s="118"/>
      <c r="G337" s="118"/>
      <c r="H337" s="118"/>
      <c r="I337" s="118"/>
      <c r="J337" s="118"/>
      <c r="K337" s="118"/>
      <c r="L337" s="118"/>
      <c r="M337" s="118"/>
      <c r="N337" s="118"/>
      <c r="O337" s="118"/>
      <c r="P337" s="118"/>
      <c r="Q337" s="118"/>
      <c r="R337" s="118"/>
    </row>
    <row r="338" spans="2:18">
      <c r="B338" s="118"/>
      <c r="C338" s="118"/>
      <c r="D338" s="118"/>
      <c r="E338" s="118"/>
      <c r="F338" s="118"/>
      <c r="G338" s="118"/>
      <c r="H338" s="118"/>
      <c r="I338" s="118"/>
      <c r="J338" s="118"/>
      <c r="K338" s="118"/>
      <c r="L338" s="118"/>
      <c r="M338" s="118"/>
      <c r="N338" s="118"/>
      <c r="O338" s="118"/>
      <c r="P338" s="118"/>
      <c r="Q338" s="118"/>
      <c r="R338" s="118"/>
    </row>
    <row r="339" spans="2:18">
      <c r="B339" s="118"/>
      <c r="C339" s="118"/>
      <c r="D339" s="118"/>
      <c r="E339" s="118"/>
      <c r="F339" s="118"/>
      <c r="G339" s="118"/>
      <c r="H339" s="118"/>
      <c r="I339" s="118"/>
      <c r="J339" s="118"/>
      <c r="K339" s="118"/>
      <c r="L339" s="118"/>
      <c r="M339" s="118"/>
      <c r="N339" s="118"/>
      <c r="O339" s="118"/>
      <c r="P339" s="118"/>
      <c r="Q339" s="118"/>
      <c r="R339" s="118"/>
    </row>
    <row r="340" spans="2:18">
      <c r="B340" s="118"/>
      <c r="C340" s="118"/>
      <c r="D340" s="118"/>
      <c r="E340" s="118"/>
      <c r="F340" s="118"/>
      <c r="G340" s="118"/>
      <c r="H340" s="118"/>
      <c r="I340" s="118"/>
      <c r="J340" s="118"/>
      <c r="K340" s="118"/>
      <c r="L340" s="118"/>
      <c r="M340" s="118"/>
      <c r="N340" s="118"/>
      <c r="O340" s="118"/>
      <c r="P340" s="118"/>
      <c r="Q340" s="118"/>
      <c r="R340" s="118"/>
    </row>
    <row r="341" spans="2:18">
      <c r="B341" s="118"/>
      <c r="C341" s="118"/>
      <c r="D341" s="118"/>
      <c r="E341" s="118"/>
      <c r="F341" s="118"/>
      <c r="G341" s="118"/>
      <c r="H341" s="118"/>
      <c r="I341" s="118"/>
      <c r="J341" s="118"/>
      <c r="K341" s="118"/>
      <c r="L341" s="118"/>
      <c r="M341" s="118"/>
      <c r="N341" s="118"/>
      <c r="O341" s="118"/>
      <c r="P341" s="118"/>
      <c r="Q341" s="118"/>
      <c r="R341" s="118"/>
    </row>
    <row r="342" spans="2:18">
      <c r="B342" s="118"/>
      <c r="C342" s="118"/>
      <c r="D342" s="118"/>
      <c r="E342" s="118"/>
      <c r="F342" s="118"/>
      <c r="G342" s="118"/>
      <c r="H342" s="118"/>
      <c r="I342" s="118"/>
      <c r="J342" s="118"/>
      <c r="K342" s="118"/>
      <c r="L342" s="118"/>
      <c r="M342" s="118"/>
      <c r="N342" s="118"/>
      <c r="O342" s="118"/>
      <c r="P342" s="118"/>
      <c r="Q342" s="118"/>
      <c r="R342" s="118"/>
    </row>
    <row r="343" spans="2:18">
      <c r="B343" s="118"/>
      <c r="C343" s="118"/>
      <c r="D343" s="118"/>
      <c r="E343" s="118"/>
      <c r="F343" s="118"/>
      <c r="G343" s="118"/>
      <c r="H343" s="118"/>
      <c r="I343" s="118"/>
      <c r="J343" s="118"/>
      <c r="K343" s="118"/>
      <c r="L343" s="118"/>
      <c r="M343" s="118"/>
      <c r="N343" s="118"/>
      <c r="O343" s="118"/>
      <c r="P343" s="118"/>
      <c r="Q343" s="118"/>
      <c r="R343" s="118"/>
    </row>
    <row r="344" spans="2:18">
      <c r="B344" s="118"/>
      <c r="C344" s="118"/>
      <c r="D344" s="118"/>
      <c r="E344" s="118"/>
      <c r="F344" s="118"/>
      <c r="G344" s="118"/>
      <c r="H344" s="118"/>
      <c r="I344" s="118"/>
      <c r="J344" s="118"/>
      <c r="K344" s="118"/>
      <c r="L344" s="118"/>
      <c r="M344" s="118"/>
      <c r="N344" s="118"/>
      <c r="O344" s="118"/>
      <c r="P344" s="118"/>
      <c r="Q344" s="118"/>
      <c r="R344" s="118"/>
    </row>
    <row r="345" spans="2:18">
      <c r="B345" s="118"/>
      <c r="C345" s="118"/>
      <c r="D345" s="118"/>
      <c r="E345" s="118"/>
      <c r="F345" s="118"/>
      <c r="G345" s="118"/>
      <c r="H345" s="118"/>
      <c r="I345" s="118"/>
      <c r="J345" s="118"/>
      <c r="K345" s="118"/>
      <c r="L345" s="118"/>
      <c r="M345" s="118"/>
      <c r="N345" s="118"/>
      <c r="O345" s="118"/>
      <c r="P345" s="118"/>
      <c r="Q345" s="118"/>
      <c r="R345" s="118"/>
    </row>
    <row r="346" spans="2:18">
      <c r="B346" s="118"/>
      <c r="C346" s="118"/>
      <c r="D346" s="118"/>
      <c r="E346" s="118"/>
      <c r="F346" s="118"/>
      <c r="G346" s="118"/>
      <c r="H346" s="118"/>
      <c r="I346" s="118"/>
      <c r="J346" s="118"/>
      <c r="K346" s="118"/>
      <c r="L346" s="118"/>
      <c r="M346" s="118"/>
      <c r="N346" s="118"/>
      <c r="O346" s="118"/>
      <c r="P346" s="118"/>
      <c r="Q346" s="118"/>
      <c r="R346" s="118"/>
    </row>
    <row r="347" spans="2:18">
      <c r="B347" s="118"/>
      <c r="C347" s="118"/>
      <c r="D347" s="118"/>
      <c r="E347" s="118"/>
      <c r="F347" s="118"/>
      <c r="G347" s="118"/>
      <c r="H347" s="118"/>
      <c r="I347" s="118"/>
      <c r="J347" s="118"/>
      <c r="K347" s="118"/>
      <c r="L347" s="118"/>
      <c r="M347" s="118"/>
      <c r="N347" s="118"/>
      <c r="O347" s="118"/>
      <c r="P347" s="118"/>
      <c r="Q347" s="118"/>
      <c r="R347" s="118"/>
    </row>
    <row r="348" spans="2:18">
      <c r="B348" s="118"/>
      <c r="C348" s="118"/>
      <c r="D348" s="118"/>
      <c r="E348" s="118"/>
      <c r="F348" s="118"/>
      <c r="G348" s="118"/>
      <c r="H348" s="118"/>
      <c r="I348" s="118"/>
      <c r="J348" s="118"/>
      <c r="K348" s="118"/>
      <c r="L348" s="118"/>
      <c r="M348" s="118"/>
      <c r="N348" s="118"/>
      <c r="O348" s="118"/>
      <c r="P348" s="118"/>
      <c r="Q348" s="118"/>
      <c r="R348" s="118"/>
    </row>
    <row r="349" spans="2:18">
      <c r="B349" s="118"/>
      <c r="C349" s="118"/>
      <c r="D349" s="118"/>
      <c r="E349" s="118"/>
      <c r="F349" s="118"/>
      <c r="G349" s="118"/>
      <c r="H349" s="118"/>
      <c r="I349" s="118"/>
      <c r="J349" s="118"/>
      <c r="K349" s="118"/>
      <c r="L349" s="118"/>
      <c r="M349" s="118"/>
      <c r="N349" s="118"/>
      <c r="O349" s="118"/>
      <c r="P349" s="118"/>
      <c r="Q349" s="118"/>
      <c r="R349" s="118"/>
    </row>
    <row r="350" spans="2:18">
      <c r="B350" s="118"/>
      <c r="C350" s="118"/>
      <c r="D350" s="118"/>
      <c r="E350" s="118"/>
      <c r="F350" s="118"/>
      <c r="G350" s="118"/>
      <c r="H350" s="118"/>
      <c r="I350" s="118"/>
      <c r="J350" s="118"/>
      <c r="K350" s="118"/>
      <c r="L350" s="118"/>
      <c r="M350" s="118"/>
      <c r="N350" s="118"/>
      <c r="O350" s="118"/>
      <c r="P350" s="118"/>
      <c r="Q350" s="118"/>
      <c r="R350" s="118"/>
    </row>
    <row r="351" spans="2:18">
      <c r="B351" s="118"/>
      <c r="C351" s="118"/>
      <c r="D351" s="118"/>
      <c r="E351" s="118"/>
      <c r="F351" s="118"/>
      <c r="G351" s="118"/>
      <c r="H351" s="118"/>
      <c r="I351" s="118"/>
      <c r="J351" s="118"/>
      <c r="K351" s="118"/>
      <c r="L351" s="118"/>
      <c r="M351" s="118"/>
      <c r="N351" s="118"/>
      <c r="O351" s="118"/>
      <c r="P351" s="118"/>
      <c r="Q351" s="118"/>
      <c r="R351" s="118"/>
    </row>
    <row r="352" spans="2:18">
      <c r="B352" s="118"/>
      <c r="C352" s="118"/>
      <c r="D352" s="118"/>
      <c r="E352" s="118"/>
      <c r="F352" s="118"/>
      <c r="G352" s="118"/>
      <c r="H352" s="118"/>
      <c r="I352" s="118"/>
      <c r="J352" s="118"/>
      <c r="K352" s="118"/>
      <c r="L352" s="118"/>
      <c r="M352" s="118"/>
      <c r="N352" s="118"/>
      <c r="O352" s="118"/>
      <c r="P352" s="118"/>
      <c r="Q352" s="118"/>
      <c r="R352" s="118"/>
    </row>
    <row r="353" spans="2:18">
      <c r="B353" s="118"/>
      <c r="C353" s="118"/>
      <c r="D353" s="118"/>
      <c r="E353" s="118"/>
      <c r="F353" s="118"/>
      <c r="G353" s="118"/>
      <c r="H353" s="118"/>
      <c r="I353" s="118"/>
      <c r="J353" s="118"/>
      <c r="K353" s="118"/>
      <c r="L353" s="118"/>
      <c r="M353" s="118"/>
      <c r="N353" s="118"/>
      <c r="O353" s="118"/>
      <c r="P353" s="118"/>
      <c r="Q353" s="118"/>
      <c r="R353" s="118"/>
    </row>
    <row r="354" spans="2:18">
      <c r="B354" s="118"/>
      <c r="C354" s="118"/>
      <c r="D354" s="118"/>
      <c r="E354" s="118"/>
      <c r="F354" s="118"/>
      <c r="G354" s="118"/>
      <c r="H354" s="118"/>
      <c r="I354" s="118"/>
      <c r="J354" s="118"/>
      <c r="K354" s="118"/>
      <c r="L354" s="118"/>
      <c r="M354" s="118"/>
      <c r="N354" s="118"/>
      <c r="O354" s="118"/>
      <c r="P354" s="118"/>
      <c r="Q354" s="118"/>
      <c r="R354" s="118"/>
    </row>
    <row r="355" spans="2:18">
      <c r="B355" s="118"/>
      <c r="C355" s="118"/>
      <c r="D355" s="118"/>
      <c r="E355" s="118"/>
      <c r="F355" s="118"/>
      <c r="G355" s="118"/>
      <c r="H355" s="118"/>
      <c r="I355" s="118"/>
      <c r="J355" s="118"/>
      <c r="K355" s="118"/>
      <c r="L355" s="118"/>
      <c r="M355" s="118"/>
      <c r="N355" s="118"/>
      <c r="O355" s="118"/>
      <c r="P355" s="118"/>
      <c r="Q355" s="118"/>
      <c r="R355" s="118"/>
    </row>
    <row r="356" spans="2:18">
      <c r="B356" s="118"/>
      <c r="C356" s="118"/>
      <c r="D356" s="118"/>
      <c r="E356" s="118"/>
      <c r="F356" s="118"/>
      <c r="G356" s="118"/>
      <c r="H356" s="118"/>
      <c r="I356" s="118"/>
      <c r="J356" s="118"/>
      <c r="K356" s="118"/>
      <c r="L356" s="118"/>
      <c r="M356" s="118"/>
      <c r="N356" s="118"/>
      <c r="O356" s="118"/>
      <c r="P356" s="118"/>
      <c r="Q356" s="118"/>
      <c r="R356" s="118"/>
    </row>
    <row r="357" spans="2:18">
      <c r="B357" s="118"/>
      <c r="C357" s="118"/>
      <c r="D357" s="118"/>
      <c r="E357" s="118"/>
      <c r="F357" s="118"/>
      <c r="G357" s="118"/>
      <c r="H357" s="118"/>
      <c r="I357" s="118"/>
      <c r="J357" s="118"/>
      <c r="K357" s="118"/>
      <c r="L357" s="118"/>
      <c r="M357" s="118"/>
      <c r="N357" s="118"/>
      <c r="O357" s="118"/>
      <c r="P357" s="118"/>
      <c r="Q357" s="118"/>
      <c r="R357" s="118"/>
    </row>
    <row r="358" spans="2:18">
      <c r="B358" s="118"/>
      <c r="C358" s="118"/>
      <c r="D358" s="118"/>
      <c r="E358" s="118"/>
      <c r="F358" s="118"/>
      <c r="G358" s="118"/>
      <c r="H358" s="118"/>
      <c r="I358" s="118"/>
      <c r="J358" s="118"/>
      <c r="K358" s="118"/>
      <c r="L358" s="118"/>
      <c r="M358" s="118"/>
      <c r="N358" s="118"/>
      <c r="O358" s="118"/>
      <c r="P358" s="118"/>
      <c r="Q358" s="118"/>
      <c r="R358" s="118"/>
    </row>
    <row r="359" spans="2:18">
      <c r="B359" s="118"/>
      <c r="C359" s="118"/>
      <c r="D359" s="118"/>
      <c r="E359" s="118"/>
      <c r="F359" s="118"/>
      <c r="G359" s="118"/>
      <c r="H359" s="118"/>
      <c r="I359" s="118"/>
      <c r="J359" s="118"/>
      <c r="K359" s="118"/>
      <c r="L359" s="118"/>
      <c r="M359" s="118"/>
      <c r="N359" s="118"/>
      <c r="O359" s="118"/>
      <c r="P359" s="118"/>
      <c r="Q359" s="118"/>
      <c r="R359" s="118"/>
    </row>
    <row r="360" spans="2:18">
      <c r="B360" s="118"/>
      <c r="C360" s="118"/>
      <c r="D360" s="118"/>
      <c r="E360" s="118"/>
      <c r="F360" s="118"/>
      <c r="G360" s="118"/>
      <c r="H360" s="118"/>
      <c r="I360" s="118"/>
      <c r="J360" s="118"/>
      <c r="K360" s="118"/>
      <c r="L360" s="118"/>
      <c r="M360" s="118"/>
      <c r="N360" s="118"/>
      <c r="O360" s="118"/>
      <c r="P360" s="118"/>
      <c r="Q360" s="118"/>
      <c r="R360" s="118"/>
    </row>
    <row r="361" spans="2:18">
      <c r="B361" s="118"/>
      <c r="C361" s="118"/>
      <c r="D361" s="118"/>
      <c r="E361" s="118"/>
      <c r="F361" s="118"/>
      <c r="G361" s="118"/>
      <c r="H361" s="118"/>
      <c r="I361" s="118"/>
      <c r="J361" s="118"/>
      <c r="K361" s="118"/>
      <c r="L361" s="118"/>
      <c r="M361" s="118"/>
      <c r="N361" s="118"/>
      <c r="O361" s="118"/>
      <c r="P361" s="118"/>
      <c r="Q361" s="118"/>
      <c r="R361" s="118"/>
    </row>
    <row r="362" spans="2:18">
      <c r="B362" s="118"/>
      <c r="C362" s="118"/>
      <c r="D362" s="118"/>
      <c r="E362" s="118"/>
      <c r="F362" s="118"/>
      <c r="G362" s="118"/>
      <c r="H362" s="118"/>
      <c r="I362" s="118"/>
      <c r="J362" s="118"/>
      <c r="K362" s="118"/>
      <c r="L362" s="118"/>
      <c r="M362" s="118"/>
      <c r="N362" s="118"/>
      <c r="O362" s="118"/>
      <c r="P362" s="118"/>
      <c r="Q362" s="118"/>
      <c r="R362" s="118"/>
    </row>
    <row r="363" spans="2:18">
      <c r="B363" s="118"/>
      <c r="C363" s="118"/>
      <c r="D363" s="118"/>
      <c r="E363" s="118"/>
      <c r="F363" s="118"/>
      <c r="G363" s="118"/>
      <c r="H363" s="118"/>
      <c r="I363" s="118"/>
      <c r="J363" s="118"/>
      <c r="K363" s="118"/>
      <c r="L363" s="118"/>
      <c r="M363" s="118"/>
      <c r="N363" s="118"/>
      <c r="O363" s="118"/>
      <c r="P363" s="118"/>
      <c r="Q363" s="118"/>
      <c r="R363" s="118"/>
    </row>
    <row r="364" spans="2:18">
      <c r="B364" s="118"/>
      <c r="C364" s="118"/>
      <c r="D364" s="118"/>
      <c r="E364" s="118"/>
      <c r="F364" s="118"/>
      <c r="G364" s="118"/>
      <c r="H364" s="118"/>
      <c r="I364" s="118"/>
      <c r="J364" s="118"/>
      <c r="K364" s="118"/>
      <c r="L364" s="118"/>
      <c r="M364" s="118"/>
      <c r="N364" s="118"/>
      <c r="O364" s="118"/>
      <c r="P364" s="118"/>
      <c r="Q364" s="118"/>
      <c r="R364" s="118"/>
    </row>
    <row r="365" spans="2:18">
      <c r="B365" s="118"/>
      <c r="C365" s="118"/>
      <c r="D365" s="118"/>
      <c r="E365" s="118"/>
      <c r="F365" s="118"/>
      <c r="G365" s="118"/>
      <c r="H365" s="118"/>
      <c r="I365" s="118"/>
      <c r="J365" s="118"/>
      <c r="K365" s="118"/>
      <c r="L365" s="118"/>
      <c r="M365" s="118"/>
      <c r="N365" s="118"/>
      <c r="O365" s="118"/>
      <c r="P365" s="118"/>
      <c r="Q365" s="118"/>
      <c r="R365" s="118"/>
    </row>
    <row r="366" spans="2:18">
      <c r="B366" s="118"/>
      <c r="C366" s="118"/>
      <c r="D366" s="118"/>
      <c r="E366" s="118"/>
      <c r="F366" s="118"/>
      <c r="G366" s="118"/>
      <c r="H366" s="118"/>
      <c r="I366" s="118"/>
      <c r="J366" s="118"/>
      <c r="K366" s="118"/>
      <c r="L366" s="118"/>
      <c r="M366" s="118"/>
      <c r="N366" s="118"/>
      <c r="O366" s="118"/>
      <c r="P366" s="118"/>
      <c r="Q366" s="118"/>
      <c r="R366" s="118"/>
    </row>
    <row r="367" spans="2:18">
      <c r="B367" s="118"/>
      <c r="C367" s="118"/>
      <c r="D367" s="118"/>
      <c r="E367" s="118"/>
      <c r="F367" s="118"/>
      <c r="G367" s="118"/>
      <c r="H367" s="118"/>
      <c r="I367" s="118"/>
      <c r="J367" s="118"/>
      <c r="K367" s="118"/>
      <c r="L367" s="118"/>
      <c r="M367" s="118"/>
      <c r="N367" s="118"/>
      <c r="O367" s="118"/>
      <c r="P367" s="118"/>
      <c r="Q367" s="118"/>
      <c r="R367" s="118"/>
    </row>
    <row r="368" spans="2:18">
      <c r="B368" s="118"/>
      <c r="C368" s="118"/>
      <c r="D368" s="118"/>
      <c r="E368" s="118"/>
      <c r="F368" s="118"/>
      <c r="G368" s="118"/>
      <c r="H368" s="118"/>
      <c r="I368" s="118"/>
      <c r="J368" s="118"/>
      <c r="K368" s="118"/>
      <c r="L368" s="118"/>
      <c r="M368" s="118"/>
      <c r="N368" s="118"/>
      <c r="O368" s="118"/>
      <c r="P368" s="118"/>
      <c r="Q368" s="118"/>
      <c r="R368" s="118"/>
    </row>
    <row r="369" spans="2:18">
      <c r="B369" s="118"/>
      <c r="C369" s="118"/>
      <c r="D369" s="118"/>
      <c r="E369" s="118"/>
      <c r="F369" s="118"/>
      <c r="G369" s="118"/>
      <c r="H369" s="118"/>
      <c r="I369" s="118"/>
      <c r="J369" s="118"/>
      <c r="K369" s="118"/>
      <c r="L369" s="118"/>
      <c r="M369" s="118"/>
      <c r="N369" s="118"/>
      <c r="O369" s="118"/>
      <c r="P369" s="118"/>
      <c r="Q369" s="118"/>
      <c r="R369" s="118"/>
    </row>
    <row r="370" spans="2:18">
      <c r="B370" s="118"/>
      <c r="C370" s="118"/>
      <c r="D370" s="118"/>
      <c r="E370" s="118"/>
      <c r="F370" s="118"/>
      <c r="G370" s="118"/>
      <c r="H370" s="118"/>
      <c r="I370" s="118"/>
      <c r="J370" s="118"/>
      <c r="K370" s="118"/>
      <c r="L370" s="118"/>
      <c r="M370" s="118"/>
      <c r="N370" s="118"/>
      <c r="O370" s="118"/>
      <c r="P370" s="118"/>
      <c r="Q370" s="118"/>
      <c r="R370" s="118"/>
    </row>
    <row r="371" spans="2:18">
      <c r="B371" s="118"/>
      <c r="C371" s="118"/>
      <c r="D371" s="118"/>
      <c r="E371" s="118"/>
      <c r="F371" s="118"/>
      <c r="G371" s="118"/>
      <c r="H371" s="118"/>
      <c r="I371" s="118"/>
      <c r="J371" s="118"/>
      <c r="K371" s="118"/>
      <c r="L371" s="118"/>
      <c r="M371" s="118"/>
      <c r="N371" s="118"/>
      <c r="O371" s="118"/>
      <c r="P371" s="118"/>
      <c r="Q371" s="118"/>
      <c r="R371" s="118"/>
    </row>
    <row r="372" spans="2:18">
      <c r="B372" s="118"/>
      <c r="C372" s="118"/>
      <c r="D372" s="118"/>
      <c r="E372" s="118"/>
      <c r="F372" s="118"/>
      <c r="G372" s="118"/>
      <c r="H372" s="118"/>
      <c r="I372" s="118"/>
      <c r="J372" s="118"/>
      <c r="K372" s="118"/>
      <c r="L372" s="118"/>
      <c r="M372" s="118"/>
      <c r="N372" s="118"/>
      <c r="O372" s="118"/>
      <c r="P372" s="118"/>
      <c r="Q372" s="118"/>
      <c r="R372" s="118"/>
    </row>
    <row r="373" spans="2:18">
      <c r="B373" s="118"/>
      <c r="C373" s="118"/>
      <c r="D373" s="118"/>
      <c r="E373" s="118"/>
      <c r="F373" s="118"/>
      <c r="G373" s="118"/>
      <c r="H373" s="118"/>
      <c r="I373" s="118"/>
      <c r="J373" s="118"/>
      <c r="K373" s="118"/>
      <c r="L373" s="118"/>
      <c r="M373" s="118"/>
      <c r="N373" s="118"/>
      <c r="O373" s="118"/>
      <c r="P373" s="118"/>
      <c r="Q373" s="118"/>
      <c r="R373" s="118"/>
    </row>
    <row r="374" spans="2:18">
      <c r="B374" s="118"/>
      <c r="C374" s="118"/>
      <c r="D374" s="118"/>
      <c r="E374" s="118"/>
      <c r="F374" s="118"/>
      <c r="G374" s="118"/>
      <c r="H374" s="118"/>
      <c r="I374" s="118"/>
      <c r="J374" s="118"/>
      <c r="K374" s="118"/>
      <c r="L374" s="118"/>
      <c r="M374" s="118"/>
      <c r="N374" s="118"/>
      <c r="O374" s="118"/>
      <c r="P374" s="118"/>
      <c r="Q374" s="118"/>
      <c r="R374" s="118"/>
    </row>
    <row r="375" spans="2:18">
      <c r="B375" s="118"/>
      <c r="C375" s="118"/>
      <c r="D375" s="118"/>
      <c r="E375" s="118"/>
      <c r="F375" s="118"/>
      <c r="G375" s="118"/>
      <c r="H375" s="118"/>
      <c r="I375" s="118"/>
      <c r="J375" s="118"/>
      <c r="K375" s="118"/>
      <c r="L375" s="118"/>
      <c r="M375" s="118"/>
      <c r="N375" s="118"/>
      <c r="O375" s="118"/>
      <c r="P375" s="118"/>
      <c r="Q375" s="118"/>
      <c r="R375" s="118"/>
    </row>
    <row r="376" spans="2:18">
      <c r="B376" s="118"/>
      <c r="C376" s="118"/>
      <c r="D376" s="118"/>
      <c r="E376" s="118"/>
      <c r="F376" s="118"/>
      <c r="G376" s="118"/>
      <c r="H376" s="118"/>
      <c r="I376" s="118"/>
      <c r="J376" s="118"/>
      <c r="K376" s="118"/>
      <c r="L376" s="118"/>
      <c r="M376" s="118"/>
      <c r="N376" s="118"/>
      <c r="O376" s="118"/>
      <c r="P376" s="118"/>
      <c r="Q376" s="118"/>
      <c r="R376" s="118"/>
    </row>
    <row r="377" spans="2:18">
      <c r="B377" s="118"/>
      <c r="C377" s="118"/>
      <c r="D377" s="118"/>
      <c r="E377" s="118"/>
      <c r="F377" s="118"/>
      <c r="G377" s="118"/>
      <c r="H377" s="118"/>
      <c r="I377" s="118"/>
      <c r="J377" s="118"/>
      <c r="K377" s="118"/>
      <c r="L377" s="118"/>
      <c r="M377" s="118"/>
      <c r="N377" s="118"/>
      <c r="O377" s="118"/>
      <c r="P377" s="118"/>
      <c r="Q377" s="118"/>
      <c r="R377" s="118"/>
    </row>
    <row r="378" spans="2:18">
      <c r="B378" s="118"/>
      <c r="C378" s="118"/>
      <c r="D378" s="118"/>
      <c r="E378" s="118"/>
      <c r="F378" s="118"/>
      <c r="G378" s="118"/>
      <c r="H378" s="118"/>
      <c r="I378" s="118"/>
      <c r="J378" s="118"/>
      <c r="K378" s="118"/>
      <c r="L378" s="118"/>
      <c r="M378" s="118"/>
      <c r="N378" s="118"/>
      <c r="O378" s="118"/>
      <c r="P378" s="118"/>
      <c r="Q378" s="118"/>
      <c r="R378" s="118"/>
    </row>
    <row r="379" spans="2:18">
      <c r="B379" s="118"/>
      <c r="C379" s="118"/>
      <c r="D379" s="118"/>
      <c r="E379" s="118"/>
      <c r="F379" s="118"/>
      <c r="G379" s="118"/>
      <c r="H379" s="118"/>
      <c r="I379" s="118"/>
      <c r="J379" s="118"/>
      <c r="K379" s="118"/>
      <c r="L379" s="118"/>
      <c r="M379" s="118"/>
      <c r="N379" s="118"/>
      <c r="O379" s="118"/>
      <c r="P379" s="118"/>
      <c r="Q379" s="118"/>
      <c r="R379" s="118"/>
    </row>
    <row r="380" spans="2:18">
      <c r="B380" s="118"/>
      <c r="C380" s="118"/>
      <c r="D380" s="118"/>
      <c r="E380" s="118"/>
      <c r="F380" s="118"/>
      <c r="G380" s="118"/>
      <c r="H380" s="118"/>
      <c r="I380" s="118"/>
      <c r="J380" s="118"/>
      <c r="K380" s="118"/>
      <c r="L380" s="118"/>
      <c r="M380" s="118"/>
      <c r="N380" s="118"/>
      <c r="O380" s="118"/>
      <c r="P380" s="118"/>
      <c r="Q380" s="118"/>
      <c r="R380" s="118"/>
    </row>
    <row r="381" spans="2:18">
      <c r="B381" s="118"/>
      <c r="C381" s="118"/>
      <c r="D381" s="118"/>
      <c r="E381" s="118"/>
      <c r="F381" s="118"/>
      <c r="G381" s="118"/>
      <c r="H381" s="118"/>
      <c r="I381" s="118"/>
      <c r="J381" s="118"/>
      <c r="K381" s="118"/>
      <c r="L381" s="118"/>
      <c r="M381" s="118"/>
      <c r="N381" s="118"/>
      <c r="O381" s="118"/>
      <c r="P381" s="118"/>
      <c r="Q381" s="118"/>
      <c r="R381" s="118"/>
    </row>
    <row r="382" spans="2:18">
      <c r="B382" s="118"/>
      <c r="C382" s="118"/>
      <c r="D382" s="118"/>
      <c r="E382" s="118"/>
      <c r="F382" s="118"/>
      <c r="G382" s="118"/>
      <c r="H382" s="118"/>
      <c r="I382" s="118"/>
      <c r="J382" s="118"/>
      <c r="K382" s="118"/>
      <c r="L382" s="118"/>
      <c r="M382" s="118"/>
      <c r="N382" s="118"/>
      <c r="O382" s="118"/>
      <c r="P382" s="118"/>
      <c r="Q382" s="118"/>
      <c r="R382" s="118"/>
    </row>
    <row r="383" spans="2:18">
      <c r="B383" s="118"/>
      <c r="C383" s="118"/>
      <c r="D383" s="118"/>
      <c r="E383" s="118"/>
      <c r="F383" s="118"/>
      <c r="G383" s="118"/>
      <c r="H383" s="118"/>
      <c r="I383" s="118"/>
      <c r="J383" s="118"/>
      <c r="K383" s="118"/>
      <c r="L383" s="118"/>
      <c r="M383" s="118"/>
      <c r="N383" s="118"/>
      <c r="O383" s="118"/>
      <c r="P383" s="118"/>
      <c r="Q383" s="118"/>
      <c r="R383" s="118"/>
    </row>
    <row r="384" spans="2:18">
      <c r="B384" s="118"/>
      <c r="C384" s="118"/>
      <c r="D384" s="118"/>
      <c r="E384" s="118"/>
      <c r="F384" s="118"/>
      <c r="G384" s="118"/>
      <c r="H384" s="118"/>
      <c r="I384" s="118"/>
      <c r="J384" s="118"/>
      <c r="K384" s="118"/>
      <c r="L384" s="118"/>
      <c r="M384" s="118"/>
      <c r="N384" s="118"/>
      <c r="O384" s="118"/>
      <c r="P384" s="118"/>
      <c r="Q384" s="118"/>
      <c r="R384" s="118"/>
    </row>
    <row r="385" spans="2:18">
      <c r="B385" s="118"/>
      <c r="C385" s="118"/>
      <c r="D385" s="118"/>
      <c r="E385" s="118"/>
      <c r="F385" s="118"/>
      <c r="G385" s="118"/>
      <c r="H385" s="118"/>
      <c r="I385" s="118"/>
      <c r="J385" s="118"/>
      <c r="K385" s="118"/>
      <c r="L385" s="118"/>
      <c r="M385" s="118"/>
      <c r="N385" s="118"/>
      <c r="O385" s="118"/>
      <c r="P385" s="118"/>
      <c r="Q385" s="118"/>
      <c r="R385" s="118"/>
    </row>
    <row r="386" spans="2:18">
      <c r="B386" s="118"/>
      <c r="C386" s="118"/>
      <c r="D386" s="118"/>
      <c r="E386" s="118"/>
      <c r="F386" s="118"/>
      <c r="G386" s="118"/>
      <c r="H386" s="118"/>
      <c r="I386" s="118"/>
      <c r="J386" s="118"/>
      <c r="K386" s="118"/>
      <c r="L386" s="118"/>
      <c r="M386" s="118"/>
      <c r="N386" s="118"/>
      <c r="O386" s="118"/>
      <c r="P386" s="118"/>
      <c r="Q386" s="118"/>
      <c r="R386" s="118"/>
    </row>
    <row r="387" spans="2:18">
      <c r="B387" s="118"/>
      <c r="C387" s="118"/>
      <c r="D387" s="118"/>
      <c r="E387" s="118"/>
      <c r="F387" s="118"/>
      <c r="G387" s="118"/>
      <c r="H387" s="118"/>
      <c r="I387" s="118"/>
      <c r="J387" s="118"/>
      <c r="K387" s="118"/>
      <c r="L387" s="118"/>
      <c r="M387" s="118"/>
      <c r="N387" s="118"/>
      <c r="O387" s="118"/>
      <c r="P387" s="118"/>
      <c r="Q387" s="118"/>
      <c r="R387" s="118"/>
    </row>
    <row r="388" spans="2:18">
      <c r="B388" s="118"/>
      <c r="C388" s="118"/>
      <c r="D388" s="118"/>
      <c r="E388" s="118"/>
      <c r="F388" s="118"/>
      <c r="G388" s="118"/>
      <c r="H388" s="118"/>
      <c r="I388" s="118"/>
      <c r="J388" s="118"/>
      <c r="K388" s="118"/>
      <c r="L388" s="118"/>
      <c r="M388" s="118"/>
      <c r="N388" s="118"/>
      <c r="O388" s="118"/>
      <c r="P388" s="118"/>
      <c r="Q388" s="118"/>
      <c r="R388" s="118"/>
    </row>
    <row r="389" spans="2:18">
      <c r="P389" s="118"/>
      <c r="Q389" s="118"/>
      <c r="R389" s="118"/>
    </row>
    <row r="390" spans="2:18">
      <c r="P390" s="118"/>
      <c r="Q390" s="118"/>
      <c r="R390" s="118"/>
    </row>
    <row r="391" spans="2:18">
      <c r="P391" s="118"/>
      <c r="Q391" s="118"/>
      <c r="R391" s="118"/>
    </row>
    <row r="392" spans="2:18">
      <c r="P392" s="118"/>
      <c r="Q392" s="118"/>
      <c r="R392" s="118"/>
    </row>
    <row r="393" spans="2:18">
      <c r="P393" s="118"/>
      <c r="Q393" s="118"/>
      <c r="R393" s="118"/>
    </row>
    <row r="394" spans="2:18">
      <c r="P394" s="118"/>
      <c r="Q394" s="118"/>
      <c r="R394" s="118"/>
    </row>
    <row r="395" spans="2:18">
      <c r="P395" s="118"/>
      <c r="Q395" s="118"/>
      <c r="R395" s="118"/>
    </row>
    <row r="396" spans="2:18">
      <c r="P396" s="118"/>
      <c r="Q396" s="118"/>
      <c r="R396" s="118"/>
    </row>
    <row r="397" spans="2:18">
      <c r="P397" s="118"/>
      <c r="Q397" s="118"/>
      <c r="R397" s="118"/>
    </row>
    <row r="398" spans="2:18">
      <c r="P398" s="118"/>
      <c r="Q398" s="118"/>
      <c r="R398" s="118"/>
    </row>
    <row r="399" spans="2:18">
      <c r="P399" s="118"/>
      <c r="Q399" s="118"/>
      <c r="R399" s="118"/>
    </row>
    <row r="400" spans="2:18">
      <c r="P400" s="118"/>
      <c r="Q400" s="118"/>
      <c r="R400" s="118"/>
    </row>
  </sheetData>
  <mergeCells count="7">
    <mergeCell ref="B1:C1"/>
    <mergeCell ref="A183:O184"/>
    <mergeCell ref="K7:O7"/>
    <mergeCell ref="A7:A9"/>
    <mergeCell ref="A3:O3"/>
    <mergeCell ref="B6:O6"/>
    <mergeCell ref="B7:J7"/>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45" fitToHeight="2" orientation="portrait" horizontalDpi="4294967292" verticalDpi="4294967292"/>
  <ignoredErrors>
    <ignoredError sqref="N22:N24" formulaRange="1"/>
  </ignoredError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enableFormatConditionsCalculation="0">
    <tabColor theme="6" tint="0.39997558519241921"/>
    <pageSetUpPr fitToPage="1"/>
  </sheetPr>
  <dimension ref="A1:AA407"/>
  <sheetViews>
    <sheetView workbookViewId="0">
      <pane xSplit="1" ySplit="9" topLeftCell="B10" activePane="bottomRight" state="frozen"/>
      <selection activeCell="B2" sqref="B2:C2"/>
      <selection pane="topRight" activeCell="B2" sqref="B2:C2"/>
      <selection pane="bottomLeft" activeCell="B2" sqref="B2:C2"/>
      <selection pane="bottomRight" activeCell="A4" sqref="A4:N4"/>
    </sheetView>
  </sheetViews>
  <sheetFormatPr baseColWidth="10" defaultColWidth="10.33203125" defaultRowHeight="12" x14ac:dyDescent="0"/>
  <cols>
    <col min="1" max="1" width="8.6640625" style="76" customWidth="1"/>
    <col min="2" max="2" width="9.6640625" style="76" customWidth="1"/>
    <col min="3" max="6" width="9.1640625" style="76" customWidth="1"/>
    <col min="7" max="13" width="8.1640625" style="76" customWidth="1"/>
    <col min="14" max="14" width="8.5" style="76" customWidth="1"/>
    <col min="15" max="17" width="8.1640625" style="76" customWidth="1"/>
    <col min="18" max="20" width="8.6640625" style="76" customWidth="1"/>
    <col min="21" max="16384" width="10.33203125" style="76"/>
  </cols>
  <sheetData>
    <row r="1" spans="1:23">
      <c r="B1" s="2252" t="s">
        <v>1416</v>
      </c>
      <c r="C1" s="2252"/>
      <c r="D1" s="75"/>
      <c r="E1" s="75"/>
      <c r="F1" s="75"/>
      <c r="G1" s="75"/>
      <c r="H1" s="75"/>
      <c r="I1" s="75"/>
      <c r="J1" s="75"/>
      <c r="K1" s="75"/>
      <c r="L1" s="75"/>
      <c r="M1" s="75"/>
      <c r="N1" s="75"/>
      <c r="O1" s="75"/>
      <c r="P1" s="75"/>
      <c r="Q1" s="75"/>
    </row>
    <row r="2" spans="1:23">
      <c r="A2" s="674"/>
      <c r="B2" s="75"/>
      <c r="C2" s="75"/>
      <c r="D2" s="75"/>
      <c r="E2" s="75"/>
      <c r="F2" s="75"/>
      <c r="G2" s="75"/>
      <c r="H2" s="75"/>
      <c r="I2" s="75"/>
      <c r="J2" s="75"/>
      <c r="K2" s="75"/>
      <c r="L2" s="75"/>
      <c r="N2" s="75"/>
      <c r="O2" s="75"/>
      <c r="P2" s="75"/>
      <c r="Q2" s="75"/>
    </row>
    <row r="3" spans="1:23" ht="13" thickBot="1"/>
    <row r="4" spans="1:23" ht="19.75" customHeight="1" thickTop="1">
      <c r="A4" s="2264" t="s">
        <v>1442</v>
      </c>
      <c r="B4" s="2265"/>
      <c r="C4" s="2265"/>
      <c r="D4" s="2265"/>
      <c r="E4" s="2265"/>
      <c r="F4" s="2265"/>
      <c r="G4" s="2265"/>
      <c r="H4" s="2265"/>
      <c r="I4" s="2265"/>
      <c r="J4" s="2265"/>
      <c r="K4" s="2265"/>
      <c r="L4" s="2265"/>
      <c r="M4" s="2265"/>
      <c r="N4" s="2266"/>
      <c r="O4" s="207"/>
      <c r="P4" s="207"/>
      <c r="Q4" s="207"/>
    </row>
    <row r="5" spans="1:23">
      <c r="A5" s="120"/>
      <c r="B5" s="83"/>
      <c r="C5" s="83"/>
      <c r="D5" s="83"/>
      <c r="E5" s="83"/>
      <c r="F5" s="83"/>
      <c r="G5" s="83"/>
      <c r="H5" s="83"/>
      <c r="I5" s="83"/>
      <c r="J5" s="83"/>
      <c r="K5" s="83"/>
      <c r="L5" s="83"/>
      <c r="M5" s="83"/>
      <c r="N5" s="121"/>
      <c r="O5" s="83"/>
      <c r="P5" s="83"/>
      <c r="Q5" s="83"/>
    </row>
    <row r="6" spans="1:23">
      <c r="A6" s="120"/>
      <c r="B6" s="358" t="s">
        <v>952</v>
      </c>
      <c r="C6" s="358" t="s">
        <v>953</v>
      </c>
      <c r="D6" s="358" t="s">
        <v>954</v>
      </c>
      <c r="E6" s="358" t="s">
        <v>955</v>
      </c>
      <c r="F6" s="358" t="s">
        <v>956</v>
      </c>
      <c r="G6" s="358" t="s">
        <v>957</v>
      </c>
      <c r="H6" s="358" t="s">
        <v>958</v>
      </c>
      <c r="I6" s="358" t="s">
        <v>959</v>
      </c>
      <c r="J6" s="358" t="s">
        <v>960</v>
      </c>
      <c r="K6" s="358" t="s">
        <v>961</v>
      </c>
      <c r="L6" s="577" t="s">
        <v>962</v>
      </c>
      <c r="M6" s="577" t="s">
        <v>963</v>
      </c>
      <c r="N6" s="289" t="s">
        <v>964</v>
      </c>
      <c r="O6" s="577"/>
      <c r="P6" s="577"/>
      <c r="Q6" s="577"/>
    </row>
    <row r="7" spans="1:23" ht="19.75" customHeight="1">
      <c r="A7" s="2560"/>
      <c r="B7" s="2564" t="s">
        <v>1076</v>
      </c>
      <c r="C7" s="2565"/>
      <c r="D7" s="2565"/>
      <c r="E7" s="2565"/>
      <c r="F7" s="2565"/>
      <c r="G7" s="2565"/>
      <c r="H7" s="2565"/>
      <c r="I7" s="2565"/>
      <c r="J7" s="2565"/>
      <c r="K7" s="2565"/>
      <c r="L7" s="2565"/>
      <c r="M7" s="2565"/>
      <c r="N7" s="2566"/>
      <c r="O7" s="673"/>
      <c r="P7" s="673"/>
      <c r="Q7" s="673"/>
    </row>
    <row r="8" spans="1:23" ht="70" customHeight="1">
      <c r="A8" s="2560"/>
      <c r="B8" s="2034" t="s">
        <v>1167</v>
      </c>
      <c r="C8" s="2218" t="s">
        <v>1168</v>
      </c>
      <c r="D8" s="2218" t="s">
        <v>1169</v>
      </c>
      <c r="E8" s="2218" t="s">
        <v>1170</v>
      </c>
      <c r="F8" s="2218" t="s">
        <v>1171</v>
      </c>
      <c r="G8" s="2229" t="s">
        <v>1036</v>
      </c>
      <c r="H8" s="1246" t="s">
        <v>1037</v>
      </c>
      <c r="I8" s="1246" t="s">
        <v>1038</v>
      </c>
      <c r="J8" s="1246" t="s">
        <v>1039</v>
      </c>
      <c r="K8" s="2222" t="s">
        <v>1040</v>
      </c>
      <c r="L8" s="2568" t="s">
        <v>1172</v>
      </c>
      <c r="M8" s="2568" t="s">
        <v>464</v>
      </c>
      <c r="N8" s="2503" t="s">
        <v>1173</v>
      </c>
      <c r="T8" s="579" t="s">
        <v>1043</v>
      </c>
      <c r="U8" s="579" t="s">
        <v>1044</v>
      </c>
      <c r="V8" s="79" t="s">
        <v>1050</v>
      </c>
    </row>
    <row r="9" spans="1:23" ht="30" customHeight="1">
      <c r="A9" s="2560"/>
      <c r="B9" s="2035" t="s">
        <v>847</v>
      </c>
      <c r="C9" s="2228"/>
      <c r="D9" s="2228"/>
      <c r="E9" s="1069"/>
      <c r="F9" s="1069"/>
      <c r="G9" s="1067"/>
      <c r="H9" s="1069"/>
      <c r="I9" s="1069"/>
      <c r="J9" s="1069"/>
      <c r="K9" s="1066"/>
      <c r="L9" s="2569"/>
      <c r="M9" s="2569"/>
      <c r="N9" s="2570"/>
    </row>
    <row r="10" spans="1:23" ht="12" customHeight="1">
      <c r="A10" s="348" t="s">
        <v>1250</v>
      </c>
      <c r="B10" s="575">
        <f>TableUK12b!E10</f>
        <v>0.05</v>
      </c>
      <c r="C10" s="1428">
        <f t="shared" ref="C10:C23" si="0">B10-F10</f>
        <v>5.7708425052099353E-2</v>
      </c>
      <c r="D10" s="335"/>
      <c r="E10" s="78"/>
      <c r="F10" s="1428">
        <f>L10+TableUK12d!F10</f>
        <v>-7.7084250520993514E-3</v>
      </c>
      <c r="G10" s="295"/>
      <c r="H10" s="78"/>
      <c r="I10" s="78"/>
      <c r="J10" s="78"/>
      <c r="K10" s="1168"/>
      <c r="L10" s="1566">
        <f>SUM(DataUK4!AD11:AD20)/SUM(DataUK4!B11:B20)</f>
        <v>-1.2337825052099351E-2</v>
      </c>
      <c r="M10" s="1428">
        <f>SUM(DataUK4!G11:G20)/SUM(DataUK4!B11:B20)/1000</f>
        <v>1.1382209075202194E-2</v>
      </c>
      <c r="N10" s="1565">
        <f t="shared" ref="N10:N24" si="1">L10+M10</f>
        <v>-9.5561597689715685E-4</v>
      </c>
      <c r="W10" s="651">
        <f>SUM(DataUK4!AG11:AG20)/SUM(DataUK4!B11:B20)-N10</f>
        <v>1.0842021724855044E-18</v>
      </c>
    </row>
    <row r="11" spans="1:23" ht="12" customHeight="1">
      <c r="A11" s="348" t="s">
        <v>1249</v>
      </c>
      <c r="B11" s="575">
        <f>TableUK12b!E11</f>
        <v>5.4701402375323477E-2</v>
      </c>
      <c r="C11" s="1428">
        <f t="shared" si="0"/>
        <v>6.9782333097365937E-2</v>
      </c>
      <c r="D11" s="335"/>
      <c r="E11" s="78"/>
      <c r="F11" s="1428">
        <f>L11+TableUK12d!F11</f>
        <v>-1.5080930722042463E-2</v>
      </c>
      <c r="G11" s="295"/>
      <c r="H11" s="78"/>
      <c r="I11" s="78"/>
      <c r="J11" s="78"/>
      <c r="K11" s="1168"/>
      <c r="L11" s="1566">
        <f>SUM(DataUK4!AD21:AD30)/SUM(DataUK4!B21:B30)</f>
        <v>-1.9710330722042462E-2</v>
      </c>
      <c r="M11" s="1428">
        <f>SUM(DataUK4!G21:G30)/SUM(DataUK4!B21:B30)/1000</f>
        <v>1.8240170566964441E-2</v>
      </c>
      <c r="N11" s="1565">
        <f t="shared" si="1"/>
        <v>-1.4701601550780215E-3</v>
      </c>
    </row>
    <row r="12" spans="1:23" ht="12" customHeight="1">
      <c r="A12" s="348" t="s">
        <v>1251</v>
      </c>
      <c r="B12" s="575">
        <f>TableUK12b!E12</f>
        <v>3.7298485492731723E-2</v>
      </c>
      <c r="C12" s="1428">
        <f t="shared" si="0"/>
        <v>4.8562443844458472E-2</v>
      </c>
      <c r="D12" s="335"/>
      <c r="E12" s="78"/>
      <c r="F12" s="1428">
        <f>L12+TableUK12d!F12</f>
        <v>-1.1263958351726746E-2</v>
      </c>
      <c r="G12" s="295"/>
      <c r="H12" s="78"/>
      <c r="I12" s="78"/>
      <c r="J12" s="78"/>
      <c r="K12" s="1168"/>
      <c r="L12" s="1566">
        <f>SUM(DataUK4!AD31:AD40)/SUM(DataUK4!B31:B40)</f>
        <v>-1.5893358351726745E-2</v>
      </c>
      <c r="M12" s="1428">
        <f>SUM(DataUK4!G31:G40)/SUM(DataUK4!B31:B40)/1000</f>
        <v>2.8920642893355025E-2</v>
      </c>
      <c r="N12" s="1565">
        <f t="shared" si="1"/>
        <v>1.3027284541628281E-2</v>
      </c>
    </row>
    <row r="13" spans="1:23" ht="12" customHeight="1">
      <c r="A13" s="348" t="s">
        <v>1252</v>
      </c>
      <c r="B13" s="575">
        <f>TableUK12b!E13</f>
        <v>3.394427843216926E-2</v>
      </c>
      <c r="C13" s="1428">
        <f t="shared" si="0"/>
        <v>2.7330911681036921E-2</v>
      </c>
      <c r="D13" s="335"/>
      <c r="E13" s="78"/>
      <c r="F13" s="1428">
        <f>L13+TableUK12d!F13</f>
        <v>6.6133667511323411E-3</v>
      </c>
      <c r="G13" s="295"/>
      <c r="H13" s="78"/>
      <c r="I13" s="78"/>
      <c r="J13" s="78"/>
      <c r="K13" s="1168"/>
      <c r="L13" s="1566">
        <f>SUM(DataUK4!AD41:AD50)/SUM(DataUK4!B41:B50)</f>
        <v>1.983966751132341E-3</v>
      </c>
      <c r="M13" s="1428">
        <f>SUM(DataUK4!G41:G50)/SUM(DataUK4!B41:B50)/1000</f>
        <v>2.1219677033443556E-2</v>
      </c>
      <c r="N13" s="1565">
        <f t="shared" si="1"/>
        <v>2.3203643784575897E-2</v>
      </c>
    </row>
    <row r="14" spans="1:23" ht="12" customHeight="1">
      <c r="A14" s="748" t="s">
        <v>1253</v>
      </c>
      <c r="B14" s="878">
        <f>TableUK12b!E14</f>
        <v>5.1813495021731507E-2</v>
      </c>
      <c r="C14" s="1914">
        <f t="shared" si="0"/>
        <v>7.9771384291204811E-2</v>
      </c>
      <c r="D14" s="753"/>
      <c r="E14" s="1193"/>
      <c r="F14" s="1914">
        <f>L14+TableUK12d!F14</f>
        <v>-2.7957889269473311E-2</v>
      </c>
      <c r="G14" s="1382"/>
      <c r="H14" s="1193"/>
      <c r="I14" s="1193"/>
      <c r="J14" s="1193"/>
      <c r="K14" s="1383"/>
      <c r="L14" s="1915">
        <f>SUM(DataUK4!AD51:AD60)/SUM(DataUK4!B51:B60)</f>
        <v>-3.258728926947331E-2</v>
      </c>
      <c r="M14" s="1914">
        <f>SUM(DataUK4!G51:G60)/SUM(DataUK4!B51:B60)/1000</f>
        <v>2.1908027359750826E-2</v>
      </c>
      <c r="N14" s="1916">
        <f t="shared" si="1"/>
        <v>-1.0679261909722484E-2</v>
      </c>
    </row>
    <row r="15" spans="1:23" ht="12" customHeight="1">
      <c r="A15" s="348" t="s">
        <v>1254</v>
      </c>
      <c r="B15" s="575">
        <f>TableUK12b!E15</f>
        <v>5.7273518035825463E-2</v>
      </c>
      <c r="C15" s="1428">
        <f t="shared" si="0"/>
        <v>6.7746938631984749E-2</v>
      </c>
      <c r="D15" s="335"/>
      <c r="E15" s="78"/>
      <c r="F15" s="1428">
        <f>L15+TableUK12d!F15</f>
        <v>-1.0473420596159288E-2</v>
      </c>
      <c r="G15" s="295"/>
      <c r="H15" s="78"/>
      <c r="I15" s="78"/>
      <c r="J15" s="78"/>
      <c r="K15" s="1168"/>
      <c r="L15" s="1566">
        <f>SUM(DataUK4!AD61:AD70)/SUM(DataUK4!B61:B70)</f>
        <v>-1.7338870596159288E-2</v>
      </c>
      <c r="M15" s="1428">
        <f>SUM(DataUK4!G61:G70)/SUM(DataUK4!B61:B70)/1000</f>
        <v>2.4895946733393334E-2</v>
      </c>
      <c r="N15" s="1565">
        <f t="shared" si="1"/>
        <v>7.5570761372340464E-3</v>
      </c>
    </row>
    <row r="16" spans="1:23" ht="12" customHeight="1">
      <c r="A16" s="348" t="s">
        <v>1255</v>
      </c>
      <c r="B16" s="575">
        <f>TableUK12b!E16</f>
        <v>3.5270286803797055E-2</v>
      </c>
      <c r="C16" s="1428">
        <f t="shared" si="0"/>
        <v>6.2255146232854074E-2</v>
      </c>
      <c r="D16" s="335"/>
      <c r="E16" s="78"/>
      <c r="F16" s="1428">
        <f>L16+TableUK12d!F16</f>
        <v>-2.6984859429057019E-2</v>
      </c>
      <c r="G16" s="295"/>
      <c r="H16" s="78"/>
      <c r="I16" s="78"/>
      <c r="J16" s="78"/>
      <c r="K16" s="1168"/>
      <c r="L16" s="1566">
        <f>SUM(DataUK4!AD71:AD80)/SUM(DataUK4!B71:B80)</f>
        <v>-3.3850309429057021E-2</v>
      </c>
      <c r="M16" s="1428">
        <f>SUM(DataUK4!G71:G80)/SUM(DataUK4!B71:B80)/1000</f>
        <v>3.5581788359721762E-2</v>
      </c>
      <c r="N16" s="1565">
        <f t="shared" si="1"/>
        <v>1.7314789306647413E-3</v>
      </c>
    </row>
    <row r="17" spans="1:26" ht="12" customHeight="1">
      <c r="A17" s="348" t="s">
        <v>1256</v>
      </c>
      <c r="B17" s="575">
        <f>TableUK12b!E17</f>
        <v>4.7718850349674796E-2</v>
      </c>
      <c r="C17" s="1428">
        <f t="shared" si="0"/>
        <v>5.5344123937026105E-2</v>
      </c>
      <c r="D17" s="335"/>
      <c r="E17" s="78"/>
      <c r="F17" s="1428">
        <f>L17+TableUK12d!F17</f>
        <v>-7.6252735873513066E-3</v>
      </c>
      <c r="G17" s="295"/>
      <c r="H17" s="78"/>
      <c r="I17" s="78"/>
      <c r="J17" s="78"/>
      <c r="K17" s="1168"/>
      <c r="L17" s="1566">
        <f>SUM(DataUK4!AD81:AD90)/SUM(DataUK4!B81:B90)</f>
        <v>-1.4490723587351307E-2</v>
      </c>
      <c r="M17" s="1428">
        <f>SUM(DataUK4!G81:G90)/SUM(DataUK4!B81:B90)/1000</f>
        <v>3.2125998861050678E-2</v>
      </c>
      <c r="N17" s="1565">
        <f t="shared" si="1"/>
        <v>1.7635275273699371E-2</v>
      </c>
    </row>
    <row r="18" spans="1:26" ht="12" customHeight="1">
      <c r="A18" s="348" t="s">
        <v>1257</v>
      </c>
      <c r="B18" s="575">
        <f>TableUK12b!E18</f>
        <v>8.1419864658058949E-2</v>
      </c>
      <c r="C18" s="1428">
        <f t="shared" si="0"/>
        <v>0.12961980029717091</v>
      </c>
      <c r="D18" s="335"/>
      <c r="E18" s="78"/>
      <c r="F18" s="1428">
        <f>L18+TableUK12d!F18</f>
        <v>-4.8199935639111957E-2</v>
      </c>
      <c r="G18" s="295"/>
      <c r="H18" s="78"/>
      <c r="I18" s="78"/>
      <c r="J18" s="78"/>
      <c r="K18" s="1168"/>
      <c r="L18" s="1566">
        <f>SUM(DataUK4!AD91:AD100)/SUM(DataUK4!B91:B100)</f>
        <v>-5.5065385639111959E-2</v>
      </c>
      <c r="M18" s="1428">
        <f>SUM(DataUK4!G91:G100)/SUM(DataUK4!B91:B100)/1000</f>
        <v>4.4382756202942644E-2</v>
      </c>
      <c r="N18" s="1565">
        <f t="shared" si="1"/>
        <v>-1.0682629436169315E-2</v>
      </c>
    </row>
    <row r="19" spans="1:26" ht="12" customHeight="1">
      <c r="A19" s="748" t="s">
        <v>1258</v>
      </c>
      <c r="B19" s="878">
        <f>TableUK12b!E19</f>
        <v>0.11143727002358339</v>
      </c>
      <c r="C19" s="1914">
        <f t="shared" si="0"/>
        <v>0.19852871026633967</v>
      </c>
      <c r="D19" s="753"/>
      <c r="E19" s="1193"/>
      <c r="F19" s="1914">
        <f>L19+TableUK12d!F19</f>
        <v>-8.7091440242756266E-2</v>
      </c>
      <c r="G19" s="1382"/>
      <c r="H19" s="1193"/>
      <c r="I19" s="1193"/>
      <c r="J19" s="1193"/>
      <c r="K19" s="1383"/>
      <c r="L19" s="1915">
        <f>SUM(DataUK4!AD101:AD110)/SUM(DataUK4!B101:B110)</f>
        <v>-9.3956890242756261E-2</v>
      </c>
      <c r="M19" s="1914">
        <f>SUM(DataUK4!G101:G110)/SUM(DataUK4!B101:B110)/1000</f>
        <v>4.9115594680178142E-2</v>
      </c>
      <c r="N19" s="1916">
        <f t="shared" si="1"/>
        <v>-4.4841295562578119E-2</v>
      </c>
    </row>
    <row r="20" spans="1:26" ht="12" customHeight="1">
      <c r="A20" s="348" t="s">
        <v>1259</v>
      </c>
      <c r="B20" s="575">
        <f>TableUK12b!E20</f>
        <v>0.1</v>
      </c>
      <c r="C20" s="1428">
        <f t="shared" si="0"/>
        <v>0.14584012927199391</v>
      </c>
      <c r="D20" s="335"/>
      <c r="E20" s="78"/>
      <c r="F20" s="1428">
        <f>L20+TableUK12d!F20</f>
        <v>-4.5840129271993921E-2</v>
      </c>
      <c r="G20" s="295"/>
      <c r="H20" s="78"/>
      <c r="I20" s="78"/>
      <c r="J20" s="78"/>
      <c r="K20" s="1168"/>
      <c r="L20" s="1566">
        <f>SUM(DataUK4!AD111:AD120)/SUM(DataUK4!B111:B120)</f>
        <v>-5.2705579271993923E-2</v>
      </c>
      <c r="M20" s="1428">
        <f>SUM(DataUK4!G120:G121)/SUM(DataUK4!B120:B121)</f>
        <v>6.2860808809517749E-2</v>
      </c>
      <c r="N20" s="1565">
        <f t="shared" si="1"/>
        <v>1.0155229537523826E-2</v>
      </c>
    </row>
    <row r="21" spans="1:26" ht="12" customHeight="1">
      <c r="A21" s="348" t="s">
        <v>1260</v>
      </c>
      <c r="B21" s="575">
        <f>TableUK12b!E21</f>
        <v>8.8952497576646139E-2</v>
      </c>
      <c r="C21" s="1428">
        <f t="shared" si="0"/>
        <v>0.14819860732618678</v>
      </c>
      <c r="D21" s="335"/>
      <c r="E21" s="78"/>
      <c r="F21" s="1428">
        <f>L21+TableUK12d!F21</f>
        <v>-5.924610974954065E-2</v>
      </c>
      <c r="G21" s="295"/>
      <c r="H21" s="78"/>
      <c r="I21" s="78"/>
      <c r="J21" s="78"/>
      <c r="K21" s="1168"/>
      <c r="L21" s="1566">
        <f>SUM(DataUK4!AD121:AD130)/SUM(DataUK4!B121:B130)</f>
        <v>-6.9519609749540648E-2</v>
      </c>
      <c r="M21" s="1428">
        <f>SUM(DataUK4!G121:G130)/SUM(DataUK4!B121:B130)</f>
        <v>7.3078407576099361E-2</v>
      </c>
      <c r="N21" s="1565">
        <f t="shared" si="1"/>
        <v>3.5587978265587128E-3</v>
      </c>
    </row>
    <row r="22" spans="1:26" ht="12" customHeight="1">
      <c r="A22" s="348" t="s">
        <v>1261</v>
      </c>
      <c r="B22" s="575">
        <f>TableUK12b!E22</f>
        <v>9.545119233135281E-2</v>
      </c>
      <c r="C22" s="1428">
        <f t="shared" si="0"/>
        <v>7.5346009208477061E-2</v>
      </c>
      <c r="D22" s="335"/>
      <c r="E22" s="78"/>
      <c r="F22" s="1428">
        <f>L22+TableUK12d!F22</f>
        <v>2.0105183122875757E-2</v>
      </c>
      <c r="G22" s="295"/>
      <c r="H22" s="78"/>
      <c r="I22" s="78"/>
      <c r="J22" s="78"/>
      <c r="K22" s="1168"/>
      <c r="L22" s="1566">
        <f>SUM(DataUK4!AD131:AD140)/SUM(DataUK4!B131:B140)</f>
        <v>9.8316831228757572E-3</v>
      </c>
      <c r="M22" s="1428">
        <f>SUM(DataUK4!G131:G140)/SUM(DataUK4!B131:B140)</f>
        <v>7.2313379086523508E-2</v>
      </c>
      <c r="N22" s="1565">
        <f t="shared" si="1"/>
        <v>8.2145062209399267E-2</v>
      </c>
    </row>
    <row r="23" spans="1:26" ht="12" customHeight="1">
      <c r="A23" s="348" t="s">
        <v>1262</v>
      </c>
      <c r="B23" s="575">
        <f>TableUK12b!E23</f>
        <v>8.5319716602079446E-2</v>
      </c>
      <c r="C23" s="1428">
        <f t="shared" si="0"/>
        <v>7.1813424692625569E-2</v>
      </c>
      <c r="D23" s="335"/>
      <c r="E23" s="78"/>
      <c r="F23" s="1428">
        <f>L23+TableUK12d!F23</f>
        <v>1.3506291909453873E-2</v>
      </c>
      <c r="G23" s="295"/>
      <c r="H23" s="78"/>
      <c r="I23" s="78"/>
      <c r="J23" s="78"/>
      <c r="K23" s="1168"/>
      <c r="L23" s="1566">
        <f>SUM(DataUK4!AD141:AD150)/SUM(DataUK4!B141:B150)</f>
        <v>3.2327919094538734E-3</v>
      </c>
      <c r="M23" s="1428">
        <f>SUM(DataUK4!G141:G150)/SUM(DataUK4!B141:B150)</f>
        <v>5.6308418923097667E-2</v>
      </c>
      <c r="N23" s="1565">
        <f t="shared" si="1"/>
        <v>5.9541210832551539E-2</v>
      </c>
    </row>
    <row r="24" spans="1:26" ht="12" customHeight="1">
      <c r="A24" s="748" t="s">
        <v>1263</v>
      </c>
      <c r="B24" s="878">
        <f>TableUK12b!E24</f>
        <v>7.6679435309652683E-2</v>
      </c>
      <c r="C24" s="1914">
        <f>B24-F24</f>
        <v>6.1334166392313115E-2</v>
      </c>
      <c r="D24" s="753"/>
      <c r="E24" s="1193"/>
      <c r="F24" s="1914">
        <f>L24+TableUK12d!F24</f>
        <v>1.5345268917339566E-2</v>
      </c>
      <c r="G24" s="1382"/>
      <c r="H24" s="1193"/>
      <c r="I24" s="1193"/>
      <c r="J24" s="1193"/>
      <c r="K24" s="1383"/>
      <c r="L24" s="1915">
        <f>SUM(DataUK4!AD151:AD165)/SUM(DataUK4!B151:B165)</f>
        <v>5.0717689173395662E-3</v>
      </c>
      <c r="M24" s="1914">
        <f>SUM(DataUK4!G151:G165)/SUM(DataUK4!B151:B165)</f>
        <v>4.2464721714249642E-2</v>
      </c>
      <c r="N24" s="1916">
        <f t="shared" si="1"/>
        <v>4.7536490631589212E-2</v>
      </c>
    </row>
    <row r="25" spans="1:26" ht="12" customHeight="1">
      <c r="A25" s="348">
        <f t="shared" ref="A25:A86" si="2">A26-1</f>
        <v>1855</v>
      </c>
      <c r="B25" s="575">
        <f>C25+F25</f>
        <v>7.2599477461714079E-2</v>
      </c>
      <c r="C25" s="386">
        <f>H25-TableUK12d!M25</f>
        <v>0.10418779753563946</v>
      </c>
      <c r="D25" s="1243"/>
      <c r="E25" s="386"/>
      <c r="F25" s="386">
        <f>K25-TableUK12d!Q25</f>
        <v>-3.1588320073925383E-2</v>
      </c>
      <c r="G25" s="574">
        <f>TableUK12b!H25</f>
        <v>0.11723101043103196</v>
      </c>
      <c r="H25" s="386">
        <f>G25-K25</f>
        <v>0.14368435064081</v>
      </c>
      <c r="I25" s="386"/>
      <c r="J25" s="386"/>
      <c r="K25" s="1068">
        <f>TableUK12d!K25+L25</f>
        <v>-2.6453340209778055E-2</v>
      </c>
      <c r="L25" s="544">
        <f>(DataUK1!GU13)/DataUK1!G13</f>
        <v>-3.4321513195250515E-2</v>
      </c>
      <c r="M25" s="677">
        <f>(DataUK1!$GY13)/DataUK1!$G13</f>
        <v>2.765788382685587E-2</v>
      </c>
      <c r="N25" s="678">
        <f t="shared" ref="N25:N88" si="3">L25+M25</f>
        <v>-6.6636293683946454E-3</v>
      </c>
      <c r="X25" s="1244">
        <f>G25-TableUK12d!L25-TableUK12c!B25</f>
        <v>0</v>
      </c>
      <c r="Y25" s="197">
        <f t="shared" ref="Y25:Y56" si="4">B25-C25-F25</f>
        <v>0</v>
      </c>
      <c r="Z25" s="197">
        <f>F25-TableUK12d!F25-L25</f>
        <v>0</v>
      </c>
    </row>
    <row r="26" spans="1:26" ht="12" customHeight="1">
      <c r="A26" s="348">
        <f t="shared" si="2"/>
        <v>1856</v>
      </c>
      <c r="B26" s="575">
        <f t="shared" ref="B26:B57" si="5">C26+F26</f>
        <v>6.9867828644353702E-2</v>
      </c>
      <c r="C26" s="386">
        <f>H26-TableUK12d!M26</f>
        <v>7.4856846308447245E-2</v>
      </c>
      <c r="D26" s="1243"/>
      <c r="E26" s="386"/>
      <c r="F26" s="386">
        <f>K26-TableUK12d!Q26</f>
        <v>-4.9890176640935389E-3</v>
      </c>
      <c r="G26" s="574">
        <f>TableUK12b!H26</f>
        <v>0.11296887488192456</v>
      </c>
      <c r="H26" s="386">
        <f t="shared" ref="H26:H57" si="6">G26-K26</f>
        <v>0.11283945341501352</v>
      </c>
      <c r="I26" s="386"/>
      <c r="J26" s="386"/>
      <c r="K26" s="1068">
        <f>TableUK12d!K26+L26</f>
        <v>1.2942146691104217E-4</v>
      </c>
      <c r="L26" s="544">
        <f>(DataUK1!GU14)/DataUK1!G14</f>
        <v>-7.362232589138938E-3</v>
      </c>
      <c r="M26" s="677">
        <f>(DataUK1!$GY14)/DataUK1!$G14</f>
        <v>2.6929281573240225E-2</v>
      </c>
      <c r="N26" s="680">
        <f t="shared" si="3"/>
        <v>1.9567048984101287E-2</v>
      </c>
      <c r="U26" s="563"/>
      <c r="X26" s="1244">
        <f>G26-TableUK12d!L26-TableUK12c!B26</f>
        <v>0</v>
      </c>
      <c r="Y26" s="197">
        <f t="shared" si="4"/>
        <v>0</v>
      </c>
      <c r="Z26" s="197">
        <f>F26-TableUK12d!F26-L26</f>
        <v>0</v>
      </c>
    </row>
    <row r="27" spans="1:26" ht="12" customHeight="1">
      <c r="A27" s="348">
        <f t="shared" si="2"/>
        <v>1857</v>
      </c>
      <c r="B27" s="575">
        <f t="shared" si="5"/>
        <v>5.6730216934494024E-2</v>
      </c>
      <c r="C27" s="386">
        <f>H27-TableUK12d!M27</f>
        <v>5.8282179873712661E-2</v>
      </c>
      <c r="D27" s="1243"/>
      <c r="E27" s="386"/>
      <c r="F27" s="386">
        <f>K27-TableUK12d!Q27</f>
        <v>-1.5519629392186356E-3</v>
      </c>
      <c r="G27" s="574">
        <f>TableUK12b!H27</f>
        <v>0.10022671076012099</v>
      </c>
      <c r="H27" s="386">
        <f t="shared" si="6"/>
        <v>9.6666673806611758E-2</v>
      </c>
      <c r="I27" s="386"/>
      <c r="J27" s="386"/>
      <c r="K27" s="1068">
        <f>TableUK12d!K27+L27</f>
        <v>3.5600369535092255E-3</v>
      </c>
      <c r="L27" s="544">
        <f>(DataUK1!GU15)/DataUK1!G15</f>
        <v>-4.0573119565390763E-3</v>
      </c>
      <c r="M27" s="677">
        <f>(DataUK1!$GY15)/DataUK1!$G15</f>
        <v>2.7324640930747275E-2</v>
      </c>
      <c r="N27" s="680">
        <f t="shared" si="3"/>
        <v>2.3267328974208197E-2</v>
      </c>
      <c r="U27" s="563"/>
      <c r="X27" s="1244">
        <f>G27-TableUK12d!L27-TableUK12c!B27</f>
        <v>0</v>
      </c>
      <c r="Y27" s="197">
        <f t="shared" si="4"/>
        <v>-1.7347234759768071E-18</v>
      </c>
      <c r="Z27" s="197">
        <f>F27-TableUK12d!F27-L27</f>
        <v>0</v>
      </c>
    </row>
    <row r="28" spans="1:26" ht="12" customHeight="1">
      <c r="A28" s="348">
        <f t="shared" si="2"/>
        <v>1858</v>
      </c>
      <c r="B28" s="575">
        <f t="shared" si="5"/>
        <v>7.0794069215022445E-2</v>
      </c>
      <c r="C28" s="386">
        <f>H28-TableUK12d!M28</f>
        <v>7.1225814761880168E-2</v>
      </c>
      <c r="D28" s="1243"/>
      <c r="E28" s="386"/>
      <c r="F28" s="386">
        <f>K28-TableUK12d!Q28</f>
        <v>-4.3174554685772217E-4</v>
      </c>
      <c r="G28" s="574">
        <f>TableUK12b!H28</f>
        <v>0.11547545098142938</v>
      </c>
      <c r="H28" s="386">
        <f t="shared" si="6"/>
        <v>0.11079086585100756</v>
      </c>
      <c r="I28" s="386"/>
      <c r="J28" s="386"/>
      <c r="K28" s="1068">
        <f>TableUK12d!K28+L28</f>
        <v>4.6845851304218138E-3</v>
      </c>
      <c r="L28" s="544">
        <f>(DataUK1!GU16)/DataUK1!G16</f>
        <v>-3.0325518436118298E-3</v>
      </c>
      <c r="M28" s="677">
        <f>(DataUK1!$GY16)/DataUK1!$G16</f>
        <v>2.7737467923489183E-2</v>
      </c>
      <c r="N28" s="680">
        <f t="shared" si="3"/>
        <v>2.4704916079877352E-2</v>
      </c>
      <c r="U28" s="563"/>
      <c r="X28" s="1244">
        <f>G28-TableUK12d!L28-TableUK12c!B28</f>
        <v>0</v>
      </c>
      <c r="Y28" s="197">
        <f t="shared" si="4"/>
        <v>-8.6736173798840355E-19</v>
      </c>
      <c r="Z28" s="197">
        <f>F28-TableUK12d!F28-L28</f>
        <v>0</v>
      </c>
    </row>
    <row r="29" spans="1:26" ht="12" customHeight="1">
      <c r="A29" s="748">
        <f t="shared" si="2"/>
        <v>1859</v>
      </c>
      <c r="B29" s="878">
        <f t="shared" si="5"/>
        <v>8.0886219754730884E-2</v>
      </c>
      <c r="C29" s="880">
        <f>H29-TableUK12d!M29</f>
        <v>7.9825530591179888E-2</v>
      </c>
      <c r="D29" s="1247"/>
      <c r="E29" s="880"/>
      <c r="F29" s="880">
        <f>K29-TableUK12d!Q29</f>
        <v>1.0606891635510009E-3</v>
      </c>
      <c r="G29" s="1248">
        <f>TableUK12b!H29</f>
        <v>0.1233166389181114</v>
      </c>
      <c r="H29" s="880">
        <f t="shared" si="6"/>
        <v>0.11715294638075911</v>
      </c>
      <c r="I29" s="880"/>
      <c r="J29" s="880"/>
      <c r="K29" s="1249">
        <f>TableUK12d!K29+L29</f>
        <v>6.1636925373522895E-3</v>
      </c>
      <c r="L29" s="877">
        <f>(DataUK1!GU17)/DataUK1!G17</f>
        <v>-1.2254007782593287E-3</v>
      </c>
      <c r="M29" s="1250">
        <f>(DataUK1!$GY17)/DataUK1!$G17</f>
        <v>2.6287926041014147E-2</v>
      </c>
      <c r="N29" s="1251">
        <f t="shared" si="3"/>
        <v>2.5062525262754817E-2</v>
      </c>
      <c r="U29" s="563"/>
      <c r="X29" s="1244">
        <f>G29-TableUK12d!L29-TableUK12c!B29</f>
        <v>0</v>
      </c>
      <c r="Y29" s="197">
        <f t="shared" si="4"/>
        <v>-5.2041704279304213E-18</v>
      </c>
      <c r="Z29" s="197">
        <f>F29-TableUK12d!F29-L29</f>
        <v>0</v>
      </c>
    </row>
    <row r="30" spans="1:26" ht="12" customHeight="1">
      <c r="A30" s="348">
        <f t="shared" si="2"/>
        <v>1860</v>
      </c>
      <c r="B30" s="575">
        <f t="shared" si="5"/>
        <v>6.4760394935759941E-2</v>
      </c>
      <c r="C30" s="386">
        <f>H30-TableUK12d!M30</f>
        <v>7.1458039418447472E-2</v>
      </c>
      <c r="D30" s="1243"/>
      <c r="E30" s="386"/>
      <c r="F30" s="386">
        <f>K30-TableUK12d!Q30</f>
        <v>-6.6976444826875384E-3</v>
      </c>
      <c r="G30" s="574">
        <f>TableUK12b!H30</f>
        <v>0.10611893829327007</v>
      </c>
      <c r="H30" s="386">
        <f t="shared" si="6"/>
        <v>0.10772732609050657</v>
      </c>
      <c r="I30" s="386"/>
      <c r="J30" s="386"/>
      <c r="K30" s="1068">
        <f>TableUK12d!K30+L30</f>
        <v>-1.6083877972365018E-3</v>
      </c>
      <c r="L30" s="544">
        <f>(DataUK1!GU18)/DataUK1!G18</f>
        <v>-1.0489869864394126E-2</v>
      </c>
      <c r="M30" s="677">
        <f>(DataUK1!$GY18)/DataUK1!$G18</f>
        <v>2.5328181639549141E-2</v>
      </c>
      <c r="N30" s="680">
        <f t="shared" si="3"/>
        <v>1.4838311775155015E-2</v>
      </c>
      <c r="U30" s="563"/>
      <c r="X30" s="1244">
        <f>G30-TableUK12d!L30-TableUK12c!B30</f>
        <v>0</v>
      </c>
      <c r="Y30" s="197">
        <f t="shared" si="4"/>
        <v>6.9388939039072284E-18</v>
      </c>
      <c r="Z30" s="197">
        <f>F30-TableUK12d!F30-L30</f>
        <v>0</v>
      </c>
    </row>
    <row r="31" spans="1:26" ht="12" customHeight="1">
      <c r="A31" s="348">
        <f t="shared" si="2"/>
        <v>1861</v>
      </c>
      <c r="B31" s="575">
        <f t="shared" si="5"/>
        <v>6.3063974937816736E-2</v>
      </c>
      <c r="C31" s="386">
        <f>H31-TableUK12d!M31</f>
        <v>6.9912669717826365E-2</v>
      </c>
      <c r="D31" s="1243"/>
      <c r="E31" s="386"/>
      <c r="F31" s="386">
        <f>K31-TableUK12d!Q31</f>
        <v>-6.8486947800096244E-3</v>
      </c>
      <c r="G31" s="574">
        <f>TableUK12b!H31</f>
        <v>0.1029042858066908</v>
      </c>
      <c r="H31" s="386">
        <f t="shared" si="6"/>
        <v>0.10467159997704642</v>
      </c>
      <c r="I31" s="386"/>
      <c r="J31" s="386"/>
      <c r="K31" s="1068">
        <f>TableUK12d!K31+L31</f>
        <v>-1.7673141703556296E-3</v>
      </c>
      <c r="L31" s="544">
        <f>(DataUK1!GU19)/DataUK1!G19</f>
        <v>-8.5201374574668479E-3</v>
      </c>
      <c r="M31" s="677">
        <f>(DataUK1!$GY19)/DataUK1!$G19</f>
        <v>2.4218952392314166E-2</v>
      </c>
      <c r="N31" s="680">
        <f t="shared" si="3"/>
        <v>1.5698814934847316E-2</v>
      </c>
      <c r="U31" s="563"/>
      <c r="X31" s="1244">
        <f>G31-TableUK12d!L31-TableUK12c!B31</f>
        <v>0</v>
      </c>
      <c r="Y31" s="197">
        <f t="shared" si="4"/>
        <v>0</v>
      </c>
      <c r="Z31" s="197">
        <f>F31-TableUK12d!F31-L31</f>
        <v>0</v>
      </c>
    </row>
    <row r="32" spans="1:26" ht="12" customHeight="1">
      <c r="A32" s="348">
        <f t="shared" si="2"/>
        <v>1862</v>
      </c>
      <c r="B32" s="575">
        <f t="shared" si="5"/>
        <v>6.8482055084940749E-2</v>
      </c>
      <c r="C32" s="386">
        <f>H32-TableUK12d!M32</f>
        <v>7.3103172082674306E-2</v>
      </c>
      <c r="D32" s="1243"/>
      <c r="E32" s="386"/>
      <c r="F32" s="386">
        <f>K32-TableUK12d!Q32</f>
        <v>-4.621116997733557E-3</v>
      </c>
      <c r="G32" s="574">
        <f>TableUK12b!H32</f>
        <v>0.10859637900751681</v>
      </c>
      <c r="H32" s="386">
        <f t="shared" si="6"/>
        <v>0.1081374050495926</v>
      </c>
      <c r="I32" s="386"/>
      <c r="J32" s="386"/>
      <c r="K32" s="1068">
        <f>TableUK12d!K32+L32</f>
        <v>4.5897395792421879E-4</v>
      </c>
      <c r="L32" s="544">
        <f>(DataUK1!GU20)/DataUK1!G20</f>
        <v>-7.7451855399710522E-3</v>
      </c>
      <c r="M32" s="677">
        <f>(DataUK1!$GY20)/DataUK1!$G20</f>
        <v>2.3393817377076721E-2</v>
      </c>
      <c r="N32" s="680">
        <f t="shared" si="3"/>
        <v>1.5648631837105669E-2</v>
      </c>
      <c r="U32" s="563"/>
      <c r="X32" s="1244">
        <f>G32-TableUK12d!L32-TableUK12c!B32</f>
        <v>0</v>
      </c>
      <c r="Y32" s="197">
        <f t="shared" si="4"/>
        <v>0</v>
      </c>
      <c r="Z32" s="197">
        <f>F32-TableUK12d!F32-L32</f>
        <v>0</v>
      </c>
    </row>
    <row r="33" spans="1:26" ht="12" customHeight="1">
      <c r="A33" s="348">
        <f t="shared" si="2"/>
        <v>1863</v>
      </c>
      <c r="B33" s="575">
        <f t="shared" si="5"/>
        <v>0.10312652318090848</v>
      </c>
      <c r="C33" s="386">
        <f>H33-TableUK12d!M33</f>
        <v>0.10534692953192287</v>
      </c>
      <c r="D33" s="1243"/>
      <c r="E33" s="386"/>
      <c r="F33" s="386">
        <f>K33-TableUK12d!Q33</f>
        <v>-2.2204063510143906E-3</v>
      </c>
      <c r="G33" s="574">
        <f>TableUK12b!H33</f>
        <v>0.1438094975919787</v>
      </c>
      <c r="H33" s="386">
        <f t="shared" si="6"/>
        <v>0.14094228052924063</v>
      </c>
      <c r="I33" s="386"/>
      <c r="J33" s="386"/>
      <c r="K33" s="1068">
        <f>TableUK12d!K33+L33</f>
        <v>2.8672170627380769E-3</v>
      </c>
      <c r="L33" s="544">
        <f>(DataUK1!GU21)/DataUK1!G21</f>
        <v>-5.0018759198864528E-3</v>
      </c>
      <c r="M33" s="677">
        <f>(DataUK1!$GY21)/DataUK1!$G21</f>
        <v>2.239078702172994E-2</v>
      </c>
      <c r="N33" s="680">
        <f t="shared" si="3"/>
        <v>1.7388911101843485E-2</v>
      </c>
      <c r="U33" s="563"/>
      <c r="X33" s="1244">
        <f>G33-TableUK12d!L33-TableUK12c!B33</f>
        <v>0</v>
      </c>
      <c r="Y33" s="197">
        <f t="shared" si="4"/>
        <v>0</v>
      </c>
      <c r="Z33" s="197">
        <f>F33-TableUK12d!F33-L33</f>
        <v>0</v>
      </c>
    </row>
    <row r="34" spans="1:26" ht="12" customHeight="1">
      <c r="A34" s="348">
        <f t="shared" si="2"/>
        <v>1864</v>
      </c>
      <c r="B34" s="575">
        <f t="shared" si="5"/>
        <v>0.11798462087545272</v>
      </c>
      <c r="C34" s="386">
        <f>H34-TableUK12d!M34</f>
        <v>0.11891749591311325</v>
      </c>
      <c r="D34" s="1243"/>
      <c r="E34" s="386"/>
      <c r="F34" s="386">
        <f>K34-TableUK12d!Q34</f>
        <v>-9.3287503766052195E-4</v>
      </c>
      <c r="G34" s="574">
        <f>TableUK12b!H34</f>
        <v>0.15934779117855</v>
      </c>
      <c r="H34" s="386">
        <f t="shared" si="6"/>
        <v>0.15519626710033471</v>
      </c>
      <c r="I34" s="386"/>
      <c r="J34" s="386"/>
      <c r="K34" s="1068">
        <f>TableUK12d!K34+L34</f>
        <v>4.1515240782152843E-3</v>
      </c>
      <c r="L34" s="544">
        <f>(DataUK1!GU22)/DataUK1!G22</f>
        <v>-3.429189302701619E-3</v>
      </c>
      <c r="M34" s="677">
        <f>(DataUK1!$GY22)/DataUK1!$G22</f>
        <v>2.1524187431318426E-2</v>
      </c>
      <c r="N34" s="680">
        <f t="shared" si="3"/>
        <v>1.8094998128616806E-2</v>
      </c>
      <c r="U34" s="563"/>
      <c r="X34" s="1244">
        <f>G34-TableUK12d!L34-TableUK12c!B34</f>
        <v>0</v>
      </c>
      <c r="Y34" s="197">
        <f t="shared" si="4"/>
        <v>-5.2041704279304213E-18</v>
      </c>
      <c r="Z34" s="197">
        <f>F34-TableUK12d!F34-L34</f>
        <v>0</v>
      </c>
    </row>
    <row r="35" spans="1:26" ht="12" customHeight="1">
      <c r="A35" s="348">
        <f t="shared" si="2"/>
        <v>1865</v>
      </c>
      <c r="B35" s="575">
        <f t="shared" si="5"/>
        <v>0.13260920058750553</v>
      </c>
      <c r="C35" s="386">
        <f>H35-TableUK12d!M35</f>
        <v>0.13563865327542035</v>
      </c>
      <c r="D35" s="1243"/>
      <c r="E35" s="386"/>
      <c r="F35" s="386">
        <f>K35-TableUK12d!Q35</f>
        <v>-3.0294526879148312E-3</v>
      </c>
      <c r="G35" s="574">
        <f>TableUK12b!H35</f>
        <v>0.1737432300602415</v>
      </c>
      <c r="H35" s="386">
        <f t="shared" si="6"/>
        <v>0.17169019472113881</v>
      </c>
      <c r="I35" s="386"/>
      <c r="J35" s="386"/>
      <c r="K35" s="1068">
        <f>TableUK12d!K35+L35</f>
        <v>2.0530353391026877E-3</v>
      </c>
      <c r="L35" s="544">
        <f>(DataUK1!GU23)/DataUK1!G23</f>
        <v>-6.7016939283566284E-3</v>
      </c>
      <c r="M35" s="677">
        <f>(DataUK1!$GY23)/DataUK1!$G23</f>
        <v>2.0497937043567383E-2</v>
      </c>
      <c r="N35" s="680">
        <f t="shared" si="3"/>
        <v>1.3796243115210754E-2</v>
      </c>
      <c r="U35" s="563"/>
      <c r="X35" s="1244">
        <f>G35-TableUK12d!L35-TableUK12c!B35</f>
        <v>0</v>
      </c>
      <c r="Y35" s="197">
        <f t="shared" si="4"/>
        <v>6.9388939039072284E-18</v>
      </c>
      <c r="Z35" s="197">
        <f>F35-TableUK12d!F35-L35</f>
        <v>0</v>
      </c>
    </row>
    <row r="36" spans="1:26" ht="12" customHeight="1">
      <c r="A36" s="348">
        <f t="shared" si="2"/>
        <v>1866</v>
      </c>
      <c r="B36" s="575">
        <f t="shared" si="5"/>
        <v>0.11753817589710844</v>
      </c>
      <c r="C36" s="386">
        <f>H36-TableUK12d!M36</f>
        <v>0.11960862030153431</v>
      </c>
      <c r="D36" s="1243"/>
      <c r="E36" s="386"/>
      <c r="F36" s="386">
        <f>K36-TableUK12d!Q36</f>
        <v>-2.0704444044258724E-3</v>
      </c>
      <c r="G36" s="574">
        <f>TableUK12b!H36</f>
        <v>0.15892678801338803</v>
      </c>
      <c r="H36" s="386">
        <f t="shared" si="6"/>
        <v>0.15592055926946899</v>
      </c>
      <c r="I36" s="386"/>
      <c r="J36" s="386"/>
      <c r="K36" s="1068">
        <f>TableUK12d!K36+L36</f>
        <v>3.0062287439190346E-3</v>
      </c>
      <c r="L36" s="544">
        <f>(DataUK1!GU24)/DataUK1!G24</f>
        <v>-6.9443883984529635E-3</v>
      </c>
      <c r="M36" s="677">
        <f>(DataUK1!$GY24)/DataUK1!$G24</f>
        <v>1.9925805318440463E-2</v>
      </c>
      <c r="N36" s="680">
        <f t="shared" si="3"/>
        <v>1.2981416919987498E-2</v>
      </c>
      <c r="U36" s="563"/>
      <c r="X36" s="1244">
        <f>G36-TableUK12d!L36-TableUK12c!B36</f>
        <v>0</v>
      </c>
      <c r="Y36" s="197">
        <f t="shared" si="4"/>
        <v>0</v>
      </c>
      <c r="Z36" s="197">
        <f>F36-TableUK12d!F36-L36</f>
        <v>0</v>
      </c>
    </row>
    <row r="37" spans="1:26" ht="12" customHeight="1">
      <c r="A37" s="348">
        <f t="shared" si="2"/>
        <v>1867</v>
      </c>
      <c r="B37" s="575">
        <f t="shared" si="5"/>
        <v>0.10924626480633488</v>
      </c>
      <c r="C37" s="386">
        <f>H37-TableUK12d!M37</f>
        <v>0.11492207077898861</v>
      </c>
      <c r="D37" s="1243"/>
      <c r="E37" s="386"/>
      <c r="F37" s="386">
        <f>K37-TableUK12d!Q37</f>
        <v>-5.6758059726537326E-3</v>
      </c>
      <c r="G37" s="574">
        <f>TableUK12b!H37</f>
        <v>0.15087432091559846</v>
      </c>
      <c r="H37" s="386">
        <f t="shared" si="6"/>
        <v>0.15148431964443423</v>
      </c>
      <c r="I37" s="386"/>
      <c r="J37" s="386"/>
      <c r="K37" s="1068">
        <f>TableUK12d!K37+L37</f>
        <v>-6.0999872883575959E-4</v>
      </c>
      <c r="L37" s="544">
        <f>(DataUK1!GU25)/DataUK1!G25</f>
        <v>-1.0685144400106482E-2</v>
      </c>
      <c r="M37" s="677">
        <f>(DataUK1!$GY25)/DataUK1!$G25</f>
        <v>1.9789391165821613E-2</v>
      </c>
      <c r="N37" s="680">
        <f t="shared" si="3"/>
        <v>9.1042467657151318E-3</v>
      </c>
      <c r="U37" s="563"/>
      <c r="X37" s="1244">
        <f>G37-TableUK12d!L37-TableUK12c!B37</f>
        <v>0</v>
      </c>
      <c r="Y37" s="197">
        <f t="shared" si="4"/>
        <v>0</v>
      </c>
      <c r="Z37" s="197">
        <f>F37-TableUK12d!F37-L37</f>
        <v>0</v>
      </c>
    </row>
    <row r="38" spans="1:26" ht="12" customHeight="1">
      <c r="A38" s="348">
        <f t="shared" si="2"/>
        <v>1868</v>
      </c>
      <c r="B38" s="575">
        <f t="shared" si="5"/>
        <v>9.5761399199832786E-2</v>
      </c>
      <c r="C38" s="386">
        <f>H38-TableUK12d!M38</f>
        <v>0.10152554690965457</v>
      </c>
      <c r="D38" s="1243"/>
      <c r="E38" s="386"/>
      <c r="F38" s="386">
        <f>K38-TableUK12d!Q38</f>
        <v>-5.7641477098217776E-3</v>
      </c>
      <c r="G38" s="574">
        <f>TableUK12b!H38</f>
        <v>0.13781754324762924</v>
      </c>
      <c r="H38" s="386">
        <f t="shared" si="6"/>
        <v>0.13852893204158878</v>
      </c>
      <c r="I38" s="386"/>
      <c r="J38" s="386"/>
      <c r="K38" s="1068">
        <f>TableUK12d!K38+L38</f>
        <v>-7.1138879395955291E-4</v>
      </c>
      <c r="L38" s="544">
        <f>(DataUK1!GU26)/DataUK1!G26</f>
        <v>-9.3264522701962255E-3</v>
      </c>
      <c r="M38" s="677">
        <f>(DataUK1!$GY26)/DataUK1!$G26</f>
        <v>1.9270109719083002E-2</v>
      </c>
      <c r="N38" s="680">
        <f t="shared" si="3"/>
        <v>9.9436574488867766E-3</v>
      </c>
      <c r="U38" s="563"/>
      <c r="X38" s="1244">
        <f>G38-TableUK12d!L38-TableUK12c!B38</f>
        <v>0</v>
      </c>
      <c r="Y38" s="197">
        <f t="shared" si="4"/>
        <v>0</v>
      </c>
      <c r="Z38" s="197">
        <f>F38-TableUK12d!F38-L38</f>
        <v>0</v>
      </c>
    </row>
    <row r="39" spans="1:26" ht="12" customHeight="1">
      <c r="A39" s="748">
        <f t="shared" si="2"/>
        <v>1869</v>
      </c>
      <c r="B39" s="878">
        <f t="shared" si="5"/>
        <v>9.9459435648089817E-2</v>
      </c>
      <c r="C39" s="880">
        <f>H39-TableUK12d!M39</f>
        <v>9.3694673309647342E-2</v>
      </c>
      <c r="D39" s="1247"/>
      <c r="E39" s="880"/>
      <c r="F39" s="880">
        <f>K39-TableUK12d!Q39</f>
        <v>5.7647623384424786E-3</v>
      </c>
      <c r="G39" s="1248">
        <f>TableUK12b!H39</f>
        <v>0.14137121874412761</v>
      </c>
      <c r="H39" s="880">
        <f t="shared" si="6"/>
        <v>0.13055907957770135</v>
      </c>
      <c r="I39" s="880"/>
      <c r="J39" s="880"/>
      <c r="K39" s="1249">
        <f>TableUK12d!K39+L39</f>
        <v>1.0812139166426274E-2</v>
      </c>
      <c r="L39" s="877">
        <f>(DataUK1!GU27)/DataUK1!G27</f>
        <v>2.4966212257020782E-3</v>
      </c>
      <c r="M39" s="1250">
        <f>(DataUK1!$GY27)/DataUK1!$G27</f>
        <v>1.8720246695779496E-2</v>
      </c>
      <c r="N39" s="1251">
        <f t="shared" si="3"/>
        <v>2.1216867921481575E-2</v>
      </c>
      <c r="U39" s="563"/>
      <c r="X39" s="1244">
        <f>G39-TableUK12d!L39-TableUK12c!B39</f>
        <v>0</v>
      </c>
      <c r="Y39" s="197">
        <f t="shared" si="4"/>
        <v>0</v>
      </c>
      <c r="Z39" s="197">
        <f>F39-TableUK12d!F39-L39</f>
        <v>0</v>
      </c>
    </row>
    <row r="40" spans="1:26" ht="12" customHeight="1">
      <c r="A40" s="348">
        <f t="shared" si="2"/>
        <v>1870</v>
      </c>
      <c r="B40" s="575">
        <f t="shared" si="5"/>
        <v>0.11467098998944902</v>
      </c>
      <c r="C40" s="386">
        <f>H40-TableUK12d!M40</f>
        <v>0.11539154378651019</v>
      </c>
      <c r="D40" s="1243"/>
      <c r="E40" s="386"/>
      <c r="F40" s="386">
        <f>K40-TableUK12d!Q40</f>
        <v>-7.2055379706116758E-4</v>
      </c>
      <c r="G40" s="574">
        <f>TableUK12b!H40</f>
        <v>0.15497053449651302</v>
      </c>
      <c r="H40" s="386">
        <f t="shared" si="6"/>
        <v>0.150647211714146</v>
      </c>
      <c r="I40" s="386"/>
      <c r="J40" s="386"/>
      <c r="K40" s="1068">
        <f>TableUK12d!K40+L40</f>
        <v>4.3233227823670228E-3</v>
      </c>
      <c r="L40" s="544">
        <f>(DataUK1!GU28)/DataUK1!G28</f>
        <v>-3.2810931830463889E-3</v>
      </c>
      <c r="M40" s="677">
        <f>(DataUK1!$GY28)/DataUK1!$G28</f>
        <v>1.6927437189164594E-2</v>
      </c>
      <c r="N40" s="680">
        <f t="shared" si="3"/>
        <v>1.3646344006118204E-2</v>
      </c>
      <c r="U40" s="563"/>
      <c r="X40" s="1244">
        <f>G40-TableUK12d!L40-TableUK12c!B40</f>
        <v>0</v>
      </c>
      <c r="Y40" s="197">
        <f t="shared" si="4"/>
        <v>1.7347234759768071E-18</v>
      </c>
      <c r="Z40" s="197">
        <f>F40-TableUK12d!F40-L40</f>
        <v>0</v>
      </c>
    </row>
    <row r="41" spans="1:26" ht="12" customHeight="1">
      <c r="A41" s="348">
        <f t="shared" si="2"/>
        <v>1871</v>
      </c>
      <c r="B41" s="575">
        <f t="shared" si="5"/>
        <v>0.15251554537268819</v>
      </c>
      <c r="C41" s="386">
        <f>H41-TableUK12d!M41</f>
        <v>0.15119554405268687</v>
      </c>
      <c r="D41" s="1243"/>
      <c r="E41" s="386"/>
      <c r="F41" s="386">
        <f>K41-TableUK12d!Q41</f>
        <v>1.3200013200013096E-3</v>
      </c>
      <c r="G41" s="574">
        <f>TableUK12b!H41</f>
        <v>0.19119158404872683</v>
      </c>
      <c r="H41" s="386">
        <f t="shared" si="6"/>
        <v>0.18483907769622049</v>
      </c>
      <c r="I41" s="386"/>
      <c r="J41" s="386"/>
      <c r="K41" s="1068">
        <f>TableUK12d!K41+L41</f>
        <v>6.3525063525063418E-3</v>
      </c>
      <c r="L41" s="544">
        <f>(DataUK1!GU29)/DataUK1!G29</f>
        <v>-1.757251757251765E-3</v>
      </c>
      <c r="M41" s="677">
        <f>(DataUK1!$GY29)/DataUK1!$G29</f>
        <v>1.5435688810301832E-2</v>
      </c>
      <c r="N41" s="680">
        <f t="shared" si="3"/>
        <v>1.3678437053050068E-2</v>
      </c>
      <c r="U41" s="563"/>
      <c r="X41" s="1244">
        <f>G41-TableUK12d!L41-TableUK12c!B41</f>
        <v>0</v>
      </c>
      <c r="Y41" s="197">
        <f t="shared" si="4"/>
        <v>8.6736173798840355E-18</v>
      </c>
      <c r="Z41" s="197">
        <f>F41-TableUK12d!F41-L41</f>
        <v>0</v>
      </c>
    </row>
    <row r="42" spans="1:26" ht="12" customHeight="1">
      <c r="A42" s="348">
        <f t="shared" si="2"/>
        <v>1872</v>
      </c>
      <c r="B42" s="575">
        <f t="shared" si="5"/>
        <v>0.14557601137089446</v>
      </c>
      <c r="C42" s="386">
        <f>H42-TableUK12d!M42</f>
        <v>0.14241955362042441</v>
      </c>
      <c r="D42" s="1243"/>
      <c r="E42" s="386"/>
      <c r="F42" s="386">
        <f>K42-TableUK12d!Q42</f>
        <v>3.1564577504700425E-3</v>
      </c>
      <c r="G42" s="574">
        <f>TableUK12b!H42</f>
        <v>0.1861837784834609</v>
      </c>
      <c r="H42" s="386">
        <f t="shared" si="6"/>
        <v>0.17799745414308973</v>
      </c>
      <c r="I42" s="386"/>
      <c r="J42" s="386"/>
      <c r="K42" s="1068">
        <f>TableUK12d!K42+L42</f>
        <v>8.1863243403711775E-3</v>
      </c>
      <c r="L42" s="544">
        <f>(DataUK1!GU30)/DataUK1!G30</f>
        <v>-6.3871321776521781E-4</v>
      </c>
      <c r="M42" s="677">
        <f>(DataUK1!$GY30)/DataUK1!$G30</f>
        <v>1.4727439237367579E-2</v>
      </c>
      <c r="N42" s="680">
        <f t="shared" si="3"/>
        <v>1.4088726019602361E-2</v>
      </c>
      <c r="U42" s="563"/>
      <c r="X42" s="1244">
        <f>G42-TableUK12d!L42-TableUK12c!B42</f>
        <v>0</v>
      </c>
      <c r="Y42" s="197">
        <f t="shared" si="4"/>
        <v>6.0715321659188248E-18</v>
      </c>
      <c r="Z42" s="197">
        <f>F42-TableUK12d!F42-L42</f>
        <v>0</v>
      </c>
    </row>
    <row r="43" spans="1:26" ht="12" customHeight="1">
      <c r="A43" s="348">
        <f t="shared" si="2"/>
        <v>1873</v>
      </c>
      <c r="B43" s="575">
        <f t="shared" si="5"/>
        <v>0.12844311115768881</v>
      </c>
      <c r="C43" s="386">
        <f>H43-TableUK12d!M43</f>
        <v>0.12925694735555088</v>
      </c>
      <c r="D43" s="1243"/>
      <c r="E43" s="386"/>
      <c r="F43" s="386">
        <f>K43-TableUK12d!Q43</f>
        <v>-8.1383619786208356E-4</v>
      </c>
      <c r="G43" s="574">
        <f>TableUK12b!H43</f>
        <v>0.17152894222035908</v>
      </c>
      <c r="H43" s="386">
        <f t="shared" si="6"/>
        <v>0.16732603227834833</v>
      </c>
      <c r="I43" s="386"/>
      <c r="J43" s="386"/>
      <c r="K43" s="1068">
        <f>TableUK12d!K43+L43</f>
        <v>4.2029099420107597E-3</v>
      </c>
      <c r="L43" s="544">
        <f>(DataUK1!GU31)/DataUK1!G31</f>
        <v>-5.4157496681338591E-3</v>
      </c>
      <c r="M43" s="677">
        <f>(DataUK1!$GY31)/DataUK1!$G31</f>
        <v>1.416923610115208E-2</v>
      </c>
      <c r="N43" s="680">
        <f t="shared" si="3"/>
        <v>8.7534864330182198E-3</v>
      </c>
      <c r="U43" s="563"/>
      <c r="X43" s="1244">
        <f>G43-TableUK12d!L43-TableUK12c!B43</f>
        <v>0</v>
      </c>
      <c r="Y43" s="197">
        <f t="shared" si="4"/>
        <v>1.1275702593849246E-17</v>
      </c>
      <c r="Z43" s="197">
        <f>F43-TableUK12d!F43-L43</f>
        <v>0</v>
      </c>
    </row>
    <row r="44" spans="1:26" ht="12" customHeight="1">
      <c r="A44" s="348">
        <f t="shared" si="2"/>
        <v>1874</v>
      </c>
      <c r="B44" s="575">
        <f t="shared" si="5"/>
        <v>0.15537648775439217</v>
      </c>
      <c r="C44" s="386">
        <f>H44-TableUK12d!M44</f>
        <v>0.15607423714147553</v>
      </c>
      <c r="D44" s="1243"/>
      <c r="E44" s="386"/>
      <c r="F44" s="386">
        <f>K44-TableUK12d!Q44</f>
        <v>-6.9774938708336721E-4</v>
      </c>
      <c r="G44" s="574">
        <f>TableUK12b!H44</f>
        <v>0.19828913546942198</v>
      </c>
      <c r="H44" s="386">
        <f t="shared" si="6"/>
        <v>0.19398387329380121</v>
      </c>
      <c r="I44" s="386"/>
      <c r="J44" s="386"/>
      <c r="K44" s="1068">
        <f>TableUK12d!K44+L44</f>
        <v>4.3052621756207617E-3</v>
      </c>
      <c r="L44" s="544">
        <f>(DataUK1!GU32)/DataUK1!G32</f>
        <v>-9.162997650132754E-3</v>
      </c>
      <c r="M44" s="677">
        <f>(DataUK1!$GY32)/DataUK1!$G32</f>
        <v>1.3638998871619354E-2</v>
      </c>
      <c r="N44" s="680">
        <f t="shared" si="3"/>
        <v>4.4760012214866002E-3</v>
      </c>
      <c r="U44" s="563"/>
      <c r="X44" s="1244">
        <f>G44-TableUK12d!L44-TableUK12c!B44</f>
        <v>0</v>
      </c>
      <c r="Y44" s="197">
        <f t="shared" si="4"/>
        <v>4.3368086899420177E-18</v>
      </c>
      <c r="Z44" s="197">
        <f>F44-TableUK12d!F44-L44</f>
        <v>0</v>
      </c>
    </row>
    <row r="45" spans="1:26" ht="12" customHeight="1">
      <c r="A45" s="348">
        <f t="shared" si="2"/>
        <v>1875</v>
      </c>
      <c r="B45" s="575">
        <f t="shared" si="5"/>
        <v>0.13868854951882337</v>
      </c>
      <c r="C45" s="386">
        <f>H45-TableUK12d!M45</f>
        <v>0.138966067820911</v>
      </c>
      <c r="D45" s="1243"/>
      <c r="E45" s="386"/>
      <c r="F45" s="386">
        <f>K45-TableUK12d!Q45</f>
        <v>-2.7751830208763185E-4</v>
      </c>
      <c r="G45" s="574">
        <f>TableUK12b!H45</f>
        <v>0.18109291160689062</v>
      </c>
      <c r="H45" s="386">
        <f t="shared" si="6"/>
        <v>0.1763789020919774</v>
      </c>
      <c r="I45" s="386"/>
      <c r="J45" s="386"/>
      <c r="K45" s="1068">
        <f>TableUK12d!K45+L45</f>
        <v>4.7140095149132153E-3</v>
      </c>
      <c r="L45" s="544">
        <f>(DataUK1!GU33)/DataUK1!G33</f>
        <v>-6.9352421089218458E-3</v>
      </c>
      <c r="M45" s="677">
        <f>(DataUK1!$GY33)/DataUK1!$G33</f>
        <v>1.3906634081795823E-2</v>
      </c>
      <c r="N45" s="680">
        <f t="shared" si="3"/>
        <v>6.9713919728739771E-3</v>
      </c>
      <c r="U45" s="563"/>
      <c r="X45" s="1244">
        <f>G45-TableUK12d!L45-TableUK12c!B45</f>
        <v>0</v>
      </c>
      <c r="Y45" s="197">
        <f t="shared" si="4"/>
        <v>-5.2041704279304213E-18</v>
      </c>
      <c r="Z45" s="197">
        <f>F45-TableUK12d!F45-L45</f>
        <v>0</v>
      </c>
    </row>
    <row r="46" spans="1:26" ht="12" customHeight="1">
      <c r="A46" s="348">
        <f t="shared" si="2"/>
        <v>1876</v>
      </c>
      <c r="B46" s="575">
        <f t="shared" si="5"/>
        <v>0.12458098840606444</v>
      </c>
      <c r="C46" s="386">
        <f>H46-TableUK12d!M46</f>
        <v>0.12458098840606444</v>
      </c>
      <c r="D46" s="1243"/>
      <c r="E46" s="386"/>
      <c r="F46" s="386">
        <f>K46-TableUK12d!Q46</f>
        <v>0</v>
      </c>
      <c r="G46" s="574">
        <f>TableUK12b!H46</f>
        <v>0.16788141587477309</v>
      </c>
      <c r="H46" s="386">
        <f t="shared" si="6"/>
        <v>0.16288402989205636</v>
      </c>
      <c r="I46" s="386"/>
      <c r="J46" s="386"/>
      <c r="K46" s="1068">
        <f>TableUK12d!K46+L46</f>
        <v>4.9973859827167327E-3</v>
      </c>
      <c r="L46" s="544">
        <f>(DataUK1!GU34)/DataUK1!G34</f>
        <v>-9.9640188209244238E-3</v>
      </c>
      <c r="M46" s="677">
        <f>(DataUK1!$GY34)/DataUK1!$G34</f>
        <v>1.4191195631796712E-2</v>
      </c>
      <c r="N46" s="680">
        <f t="shared" si="3"/>
        <v>4.2271768108722886E-3</v>
      </c>
      <c r="U46" s="563"/>
      <c r="X46" s="1244">
        <f>G46-TableUK12d!L46-TableUK12c!B46</f>
        <v>0</v>
      </c>
      <c r="Y46" s="197">
        <f t="shared" si="4"/>
        <v>0</v>
      </c>
      <c r="Z46" s="197">
        <f>F46-TableUK12d!F46-L46</f>
        <v>0</v>
      </c>
    </row>
    <row r="47" spans="1:26" ht="12" customHeight="1">
      <c r="A47" s="348">
        <f t="shared" si="2"/>
        <v>1877</v>
      </c>
      <c r="B47" s="575">
        <f t="shared" si="5"/>
        <v>0.10138908138219625</v>
      </c>
      <c r="C47" s="386">
        <f>H47-TableUK12d!M47</f>
        <v>0.10357977941012093</v>
      </c>
      <c r="D47" s="1243"/>
      <c r="E47" s="386"/>
      <c r="F47" s="386">
        <f>K47-TableUK12d!Q47</f>
        <v>-2.1906980279246847E-3</v>
      </c>
      <c r="G47" s="574">
        <f>TableUK12b!H47</f>
        <v>0.14588260541057696</v>
      </c>
      <c r="H47" s="386">
        <f t="shared" si="6"/>
        <v>0.14306599366038805</v>
      </c>
      <c r="I47" s="386"/>
      <c r="J47" s="386"/>
      <c r="K47" s="1068">
        <f>TableUK12d!K47+L47</f>
        <v>2.8166117501889007E-3</v>
      </c>
      <c r="L47" s="544">
        <f>(DataUK1!GU35)/DataUK1!G35</f>
        <v>-1.5633312916623815E-2</v>
      </c>
      <c r="M47" s="677">
        <f>(DataUK1!$GY35)/DataUK1!$G35</f>
        <v>1.450719765484719E-2</v>
      </c>
      <c r="N47" s="680">
        <f t="shared" si="3"/>
        <v>-1.1261152617766251E-3</v>
      </c>
      <c r="U47" s="563"/>
      <c r="X47" s="1244">
        <f>G47-TableUK12d!L47-TableUK12c!B47</f>
        <v>0</v>
      </c>
      <c r="Y47" s="197">
        <f t="shared" si="4"/>
        <v>3.4694469519536142E-18</v>
      </c>
      <c r="Z47" s="197">
        <f>F47-TableUK12d!F47-L47</f>
        <v>0</v>
      </c>
    </row>
    <row r="48" spans="1:26" ht="12" customHeight="1">
      <c r="A48" s="348">
        <f t="shared" si="2"/>
        <v>1878</v>
      </c>
      <c r="B48" s="575">
        <f t="shared" si="5"/>
        <v>9.8502486080655413E-2</v>
      </c>
      <c r="C48" s="386">
        <f>H48-TableUK12d!M48</f>
        <v>0.10027116778111653</v>
      </c>
      <c r="D48" s="1243"/>
      <c r="E48" s="386"/>
      <c r="F48" s="386">
        <f>K48-TableUK12d!Q48</f>
        <v>-1.768681700461113E-3</v>
      </c>
      <c r="G48" s="574">
        <f>TableUK12b!H48</f>
        <v>0.14313011541550474</v>
      </c>
      <c r="H48" s="386">
        <f t="shared" si="6"/>
        <v>0.13989279623162501</v>
      </c>
      <c r="I48" s="386"/>
      <c r="J48" s="386"/>
      <c r="K48" s="1068">
        <f>TableUK12d!K48+L48</f>
        <v>3.2373191838797367E-3</v>
      </c>
      <c r="L48" s="544">
        <f>(DataUK1!GU36)/DataUK1!G36</f>
        <v>-1.6437008762193513E-2</v>
      </c>
      <c r="M48" s="677">
        <f>(DataUK1!$GY36)/DataUK1!$G36</f>
        <v>1.4773156402582794E-2</v>
      </c>
      <c r="N48" s="680">
        <f t="shared" si="3"/>
        <v>-1.6638523596107183E-3</v>
      </c>
      <c r="U48" s="563"/>
      <c r="X48" s="1244">
        <f>G48-TableUK12d!L48-TableUK12c!B48</f>
        <v>0</v>
      </c>
      <c r="Y48" s="197">
        <f t="shared" si="4"/>
        <v>0</v>
      </c>
      <c r="Z48" s="197">
        <f>F48-TableUK12d!F48-L48</f>
        <v>0</v>
      </c>
    </row>
    <row r="49" spans="1:26" ht="12" customHeight="1">
      <c r="A49" s="748">
        <f t="shared" si="2"/>
        <v>1879</v>
      </c>
      <c r="B49" s="878">
        <f t="shared" si="5"/>
        <v>8.0892346402445817E-2</v>
      </c>
      <c r="C49" s="880">
        <f>H49-TableUK12d!M49</f>
        <v>8.799400066873049E-2</v>
      </c>
      <c r="D49" s="1247"/>
      <c r="E49" s="880"/>
      <c r="F49" s="880">
        <f>K49-TableUK12d!Q49</f>
        <v>-7.101654266284672E-3</v>
      </c>
      <c r="G49" s="1248">
        <f>TableUK12b!H49</f>
        <v>0.12740761053900154</v>
      </c>
      <c r="H49" s="880">
        <f t="shared" si="6"/>
        <v>0.12951242804530999</v>
      </c>
      <c r="I49" s="880"/>
      <c r="J49" s="880"/>
      <c r="K49" s="1249">
        <f>TableUK12d!K49+L49</f>
        <v>-2.104817506308438E-3</v>
      </c>
      <c r="L49" s="877">
        <f>(DataUK1!GU37)/DataUK1!G37</f>
        <v>-2.0713809767796521E-2</v>
      </c>
      <c r="M49" s="1250">
        <f>(DataUK1!$GY37)/DataUK1!$G37</f>
        <v>1.5823014477145216E-2</v>
      </c>
      <c r="N49" s="1251">
        <f t="shared" si="3"/>
        <v>-4.890795290651305E-3</v>
      </c>
      <c r="U49" s="563"/>
      <c r="X49" s="1244">
        <f>G49-TableUK12d!L49-TableUK12c!B49</f>
        <v>0</v>
      </c>
      <c r="Y49" s="197">
        <f t="shared" si="4"/>
        <v>0</v>
      </c>
      <c r="Z49" s="197">
        <f>F49-TableUK12d!F49-L49</f>
        <v>0</v>
      </c>
    </row>
    <row r="50" spans="1:26" ht="12" customHeight="1">
      <c r="A50" s="348">
        <f t="shared" si="2"/>
        <v>1880</v>
      </c>
      <c r="B50" s="575">
        <f t="shared" si="5"/>
        <v>0.11298138915155156</v>
      </c>
      <c r="C50" s="386">
        <f>H50-TableUK12d!M50</f>
        <v>0.11181552480013747</v>
      </c>
      <c r="D50" s="1243"/>
      <c r="E50" s="386"/>
      <c r="F50" s="386">
        <f>K50-TableUK12d!Q50</f>
        <v>1.165864351414094E-3</v>
      </c>
      <c r="G50" s="574">
        <f>TableUK12b!H50</f>
        <v>0.15699411157912826</v>
      </c>
      <c r="H50" s="386">
        <f t="shared" si="6"/>
        <v>0.15082631307487313</v>
      </c>
      <c r="I50" s="386"/>
      <c r="J50" s="386"/>
      <c r="K50" s="1068">
        <f>TableUK12d!K50+L50</f>
        <v>6.1677985042551502E-3</v>
      </c>
      <c r="L50" s="544">
        <f>(DataUK1!GU38)/DataUK1!G38</f>
        <v>-9.3860139259004226E-3</v>
      </c>
      <c r="M50" s="677">
        <f>(DataUK1!$GY38)/DataUK1!$G38</f>
        <v>1.4073041116350184E-2</v>
      </c>
      <c r="N50" s="680">
        <f t="shared" si="3"/>
        <v>4.6870271904497617E-3</v>
      </c>
      <c r="U50" s="563"/>
      <c r="X50" s="1244">
        <f>G50-TableUK12d!L50-TableUK12c!B50</f>
        <v>0</v>
      </c>
      <c r="Y50" s="197">
        <f t="shared" si="4"/>
        <v>0</v>
      </c>
      <c r="Z50" s="197">
        <f>F50-TableUK12d!F50-L50</f>
        <v>0</v>
      </c>
    </row>
    <row r="51" spans="1:26" ht="12" customHeight="1">
      <c r="A51" s="348">
        <f t="shared" si="2"/>
        <v>1881</v>
      </c>
      <c r="B51" s="575">
        <f t="shared" si="5"/>
        <v>0.10917969949213638</v>
      </c>
      <c r="C51" s="386">
        <f>H51-TableUK12d!M51</f>
        <v>0.10811671651740676</v>
      </c>
      <c r="D51" s="1243"/>
      <c r="E51" s="386"/>
      <c r="F51" s="386">
        <f>K51-TableUK12d!Q51</f>
        <v>1.0629829747296256E-3</v>
      </c>
      <c r="G51" s="574">
        <f>TableUK12b!H51</f>
        <v>0.15451024937065261</v>
      </c>
      <c r="H51" s="386">
        <f t="shared" si="6"/>
        <v>0.14844702518266414</v>
      </c>
      <c r="I51" s="386"/>
      <c r="J51" s="386"/>
      <c r="K51" s="1068">
        <f>TableUK12d!K51+L51</f>
        <v>6.0632241879884615E-3</v>
      </c>
      <c r="L51" s="544">
        <f>(DataUK1!GU39)/DataUK1!G39</f>
        <v>-7.6629066636258883E-3</v>
      </c>
      <c r="M51" s="677">
        <f>(DataUK1!$GY39)/DataUK1!$G39</f>
        <v>1.4295398894766703E-2</v>
      </c>
      <c r="N51" s="680">
        <f t="shared" si="3"/>
        <v>6.6324922311408142E-3</v>
      </c>
      <c r="U51" s="563"/>
      <c r="X51" s="1244">
        <f>G51-TableUK12d!L51-TableUK12c!B51</f>
        <v>0</v>
      </c>
      <c r="Y51" s="197">
        <f t="shared" si="4"/>
        <v>-5.2041704279304213E-18</v>
      </c>
      <c r="Z51" s="197">
        <f>F51-TableUK12d!F51-L51</f>
        <v>0</v>
      </c>
    </row>
    <row r="52" spans="1:26" ht="12" customHeight="1">
      <c r="A52" s="348">
        <f t="shared" si="2"/>
        <v>1882</v>
      </c>
      <c r="B52" s="575">
        <f t="shared" si="5"/>
        <v>0.11101241074464463</v>
      </c>
      <c r="C52" s="386">
        <f>H52-TableUK12d!M52</f>
        <v>0.11035043352601151</v>
      </c>
      <c r="D52" s="1243"/>
      <c r="E52" s="386"/>
      <c r="F52" s="386">
        <f>K52-TableUK12d!Q52</f>
        <v>6.6197721863312485E-4</v>
      </c>
      <c r="G52" s="574">
        <f>TableUK12b!H52</f>
        <v>0.15604386263175785</v>
      </c>
      <c r="H52" s="386">
        <f t="shared" si="6"/>
        <v>0.15039102346140762</v>
      </c>
      <c r="I52" s="386"/>
      <c r="J52" s="386"/>
      <c r="K52" s="1068">
        <f>TableUK12d!K52+L52</f>
        <v>5.6528391703502285E-3</v>
      </c>
      <c r="L52" s="544">
        <f>(DataUK1!GU40)/DataUK1!G40</f>
        <v>-5.5795222713362624E-3</v>
      </c>
      <c r="M52" s="677">
        <f>(DataUK1!$GY40)/DataUK1!$G40</f>
        <v>1.3853923340663613E-2</v>
      </c>
      <c r="N52" s="680">
        <f t="shared" si="3"/>
        <v>8.2744010693273501E-3</v>
      </c>
      <c r="U52" s="563"/>
      <c r="X52" s="1244">
        <f>G52-TableUK12d!L52-TableUK12c!B52</f>
        <v>0</v>
      </c>
      <c r="Y52" s="197">
        <f t="shared" si="4"/>
        <v>-5.2041704279304213E-18</v>
      </c>
      <c r="Z52" s="197">
        <f>F52-TableUK12d!F52-L52</f>
        <v>0</v>
      </c>
    </row>
    <row r="53" spans="1:26" ht="12" customHeight="1">
      <c r="A53" s="348">
        <f t="shared" si="2"/>
        <v>1883</v>
      </c>
      <c r="B53" s="575">
        <f t="shared" si="5"/>
        <v>0.11565987472100218</v>
      </c>
      <c r="C53" s="386">
        <f>H53-TableUK12d!M53</f>
        <v>0.11496148030815749</v>
      </c>
      <c r="D53" s="1243"/>
      <c r="E53" s="386"/>
      <c r="F53" s="386">
        <f>K53-TableUK12d!Q53</f>
        <v>6.9839441284469048E-4</v>
      </c>
      <c r="G53" s="574">
        <f>TableUK12b!H53</f>
        <v>0.15965152278781763</v>
      </c>
      <c r="H53" s="386">
        <f t="shared" si="6"/>
        <v>0.15396356829145361</v>
      </c>
      <c r="I53" s="386"/>
      <c r="J53" s="386"/>
      <c r="K53" s="1068">
        <f>TableUK12d!K53+L53</f>
        <v>5.6879544963640222E-3</v>
      </c>
      <c r="L53" s="544">
        <f>(DataUK1!GU41)/DataUK1!G41</f>
        <v>-6.1487508099935138E-3</v>
      </c>
      <c r="M53" s="677">
        <f>(DataUK1!$GY41)/DataUK1!$G41</f>
        <v>1.3289800802336629E-2</v>
      </c>
      <c r="N53" s="680">
        <f t="shared" si="3"/>
        <v>7.1410499923431148E-3</v>
      </c>
      <c r="U53" s="563"/>
      <c r="X53" s="1244">
        <f>G53-TableUK12d!L53-TableUK12c!B53</f>
        <v>0</v>
      </c>
      <c r="Y53" s="197">
        <f t="shared" si="4"/>
        <v>3.4694469519536142E-18</v>
      </c>
      <c r="Z53" s="197">
        <f>F53-TableUK12d!F53-L53</f>
        <v>0</v>
      </c>
    </row>
    <row r="54" spans="1:26" ht="12" customHeight="1">
      <c r="A54" s="348">
        <f t="shared" si="2"/>
        <v>1884</v>
      </c>
      <c r="B54" s="575">
        <f t="shared" si="5"/>
        <v>0.10376722381278519</v>
      </c>
      <c r="C54" s="386">
        <f>H54-TableUK12d!M54</f>
        <v>0.10233784410402132</v>
      </c>
      <c r="D54" s="1243"/>
      <c r="E54" s="386"/>
      <c r="F54" s="386">
        <f>K54-TableUK12d!Q54</f>
        <v>1.4293797087638806E-3</v>
      </c>
      <c r="G54" s="574">
        <f>TableUK12b!H54</f>
        <v>0.14825666724806108</v>
      </c>
      <c r="H54" s="386">
        <f t="shared" si="6"/>
        <v>0.1418542373025562</v>
      </c>
      <c r="I54" s="386"/>
      <c r="J54" s="386"/>
      <c r="K54" s="1068">
        <f>TableUK12d!K54+L54</f>
        <v>6.4024299455048943E-3</v>
      </c>
      <c r="L54" s="544">
        <f>(DataUK1!GU42)/DataUK1!G42</f>
        <v>-6.8289040996822158E-3</v>
      </c>
      <c r="M54" s="677">
        <f>(DataUK1!$GY42)/DataUK1!$G42</f>
        <v>1.242985976424271E-2</v>
      </c>
      <c r="N54" s="680">
        <f t="shared" si="3"/>
        <v>5.6009556645604947E-3</v>
      </c>
      <c r="U54" s="563"/>
      <c r="X54" s="1244">
        <f>G54-TableUK12d!L54-TableUK12c!B54</f>
        <v>0</v>
      </c>
      <c r="Y54" s="197">
        <f t="shared" si="4"/>
        <v>-5.2041704279304213E-18</v>
      </c>
      <c r="Z54" s="197">
        <f>F54-TableUK12d!F54-L54</f>
        <v>0</v>
      </c>
    </row>
    <row r="55" spans="1:26" ht="12" customHeight="1">
      <c r="A55" s="348">
        <f t="shared" si="2"/>
        <v>1885</v>
      </c>
      <c r="B55" s="575">
        <f t="shared" si="5"/>
        <v>8.6459496747914019E-2</v>
      </c>
      <c r="C55" s="386">
        <f>H55-TableUK12d!M55</f>
        <v>9.0652169152267661E-2</v>
      </c>
      <c r="D55" s="1243"/>
      <c r="E55" s="386"/>
      <c r="F55" s="386">
        <f>K55-TableUK12d!Q55</f>
        <v>-4.1926724043536449E-3</v>
      </c>
      <c r="G55" s="574">
        <f>TableUK12b!H55</f>
        <v>0.13194490068545642</v>
      </c>
      <c r="H55" s="386">
        <f t="shared" si="6"/>
        <v>0.13117841578520897</v>
      </c>
      <c r="I55" s="386"/>
      <c r="J55" s="386"/>
      <c r="K55" s="1068">
        <f>TableUK12d!K55+L55</f>
        <v>7.6648490024745428E-4</v>
      </c>
      <c r="L55" s="544">
        <f>(DataUK1!GU43)/DataUK1!G43</f>
        <v>-1.2827672294855787E-2</v>
      </c>
      <c r="M55" s="677">
        <f>(DataUK1!$GY43)/DataUK1!$G43</f>
        <v>1.2797450212212257E-2</v>
      </c>
      <c r="N55" s="680">
        <f t="shared" si="3"/>
        <v>-3.0222082643530795E-5</v>
      </c>
      <c r="U55" s="563"/>
      <c r="X55" s="1244">
        <f>G55-TableUK12d!L55-TableUK12c!B55</f>
        <v>0</v>
      </c>
      <c r="Y55" s="197">
        <f t="shared" si="4"/>
        <v>0</v>
      </c>
      <c r="Z55" s="197">
        <f>F55-TableUK12d!F55-L55</f>
        <v>0</v>
      </c>
    </row>
    <row r="56" spans="1:26" ht="12" customHeight="1">
      <c r="A56" s="348">
        <f t="shared" si="2"/>
        <v>1886</v>
      </c>
      <c r="B56" s="575">
        <f t="shared" si="5"/>
        <v>9.2229395875881123E-2</v>
      </c>
      <c r="C56" s="386">
        <f>H56-TableUK12d!M56</f>
        <v>9.0250236071765785E-2</v>
      </c>
      <c r="D56" s="1243"/>
      <c r="E56" s="386"/>
      <c r="F56" s="386">
        <f>K56-TableUK12d!Q56</f>
        <v>1.9791598041153354E-3</v>
      </c>
      <c r="G56" s="574">
        <f>TableUK12b!H56</f>
        <v>0.13676460899927526</v>
      </c>
      <c r="H56" s="386">
        <f t="shared" si="6"/>
        <v>0.12984715725673623</v>
      </c>
      <c r="I56" s="386"/>
      <c r="J56" s="386"/>
      <c r="K56" s="1068">
        <f>TableUK12d!K56+L56</f>
        <v>6.9174517425390344E-3</v>
      </c>
      <c r="L56" s="544">
        <f>(DataUK1!GU44)/DataUK1!G44</f>
        <v>-4.5929683554032904E-3</v>
      </c>
      <c r="M56" s="677">
        <f>(DataUK1!$GY44)/DataUK1!$G44</f>
        <v>1.2768373773689711E-2</v>
      </c>
      <c r="N56" s="680">
        <f t="shared" si="3"/>
        <v>8.1754054182864196E-3</v>
      </c>
      <c r="U56" s="563"/>
      <c r="X56" s="1244">
        <f>G56-TableUK12d!L56-TableUK12c!B56</f>
        <v>0</v>
      </c>
      <c r="Y56" s="197">
        <f t="shared" si="4"/>
        <v>0</v>
      </c>
      <c r="Z56" s="197">
        <f>F56-TableUK12d!F56-L56</f>
        <v>0</v>
      </c>
    </row>
    <row r="57" spans="1:26" ht="12" customHeight="1">
      <c r="A57" s="348">
        <f t="shared" si="2"/>
        <v>1887</v>
      </c>
      <c r="B57" s="575">
        <f t="shared" si="5"/>
        <v>0.11239203905369877</v>
      </c>
      <c r="C57" s="386">
        <f>H57-TableUK12d!M57</f>
        <v>0.11023438477907116</v>
      </c>
      <c r="D57" s="1243"/>
      <c r="E57" s="386"/>
      <c r="F57" s="386">
        <f>K57-TableUK12d!Q57</f>
        <v>2.1576542746276047E-3</v>
      </c>
      <c r="G57" s="574">
        <f>TableUK12b!H57</f>
        <v>0.1550757291275503</v>
      </c>
      <c r="H57" s="386">
        <f t="shared" si="6"/>
        <v>0.14799307380982177</v>
      </c>
      <c r="I57" s="386"/>
      <c r="J57" s="386"/>
      <c r="K57" s="1068">
        <f>TableUK12d!K57+L57</f>
        <v>7.0826553177285347E-3</v>
      </c>
      <c r="L57" s="544">
        <f>(DataUK1!GU45)/DataUK1!G45</f>
        <v>-4.8212125005215427E-3</v>
      </c>
      <c r="M57" s="677">
        <f>(DataUK1!$GY45)/DataUK1!$G45</f>
        <v>1.1578517210390304E-2</v>
      </c>
      <c r="N57" s="680">
        <f t="shared" si="3"/>
        <v>6.7573047098687614E-3</v>
      </c>
      <c r="U57" s="563"/>
      <c r="X57" s="1244">
        <f>G57-TableUK12d!L57-TableUK12c!B57</f>
        <v>0</v>
      </c>
      <c r="Y57" s="197">
        <f t="shared" ref="Y57:Y88" si="7">B57-C57-F57</f>
        <v>0</v>
      </c>
      <c r="Z57" s="197">
        <f>F57-TableUK12d!F57-L57</f>
        <v>0</v>
      </c>
    </row>
    <row r="58" spans="1:26" ht="12" customHeight="1">
      <c r="A58" s="348">
        <f t="shared" si="2"/>
        <v>1888</v>
      </c>
      <c r="B58" s="575">
        <f t="shared" ref="B58:B89" si="8">C58+F58</f>
        <v>0.11088237105149723</v>
      </c>
      <c r="C58" s="386">
        <f>H58-TableUK12d!M58</f>
        <v>0.10911157406457167</v>
      </c>
      <c r="D58" s="1243"/>
      <c r="E58" s="386"/>
      <c r="F58" s="386">
        <f>K58-TableUK12d!Q58</f>
        <v>1.7707969869255654E-3</v>
      </c>
      <c r="G58" s="574">
        <f>TableUK12b!H58</f>
        <v>0.1532460335378994</v>
      </c>
      <c r="H58" s="386">
        <f t="shared" ref="H58:H89" si="9">G58-K58</f>
        <v>0.14656513618357578</v>
      </c>
      <c r="I58" s="386"/>
      <c r="J58" s="386"/>
      <c r="K58" s="1068">
        <f>TableUK12d!K58+L58</f>
        <v>6.6808973543236068E-3</v>
      </c>
      <c r="L58" s="544">
        <f>(DataUK1!GU46)/DataUK1!G46</f>
        <v>-3.0582295108885151E-3</v>
      </c>
      <c r="M58" s="677">
        <f>(DataUK1!$GY46)/DataUK1!$G46</f>
        <v>1.1572304375650514E-2</v>
      </c>
      <c r="N58" s="680">
        <f t="shared" si="3"/>
        <v>8.5140748647619998E-3</v>
      </c>
      <c r="U58" s="563"/>
      <c r="X58" s="1244">
        <f>G58-TableUK12d!L58-TableUK12c!B58</f>
        <v>0</v>
      </c>
      <c r="Y58" s="197">
        <f t="shared" si="7"/>
        <v>-5.2041704279304213E-18</v>
      </c>
      <c r="Z58" s="197">
        <f>F58-TableUK12d!F58-L58</f>
        <v>0</v>
      </c>
    </row>
    <row r="59" spans="1:26" ht="12" customHeight="1">
      <c r="A59" s="748">
        <f t="shared" si="2"/>
        <v>1889</v>
      </c>
      <c r="B59" s="878">
        <f t="shared" si="8"/>
        <v>0.11204415588026746</v>
      </c>
      <c r="C59" s="880">
        <f>H59-TableUK12d!M59</f>
        <v>0.10745617083987929</v>
      </c>
      <c r="D59" s="1247"/>
      <c r="E59" s="880"/>
      <c r="F59" s="880">
        <f>K59-TableUK12d!Q59</f>
        <v>4.5879850403881669E-3</v>
      </c>
      <c r="G59" s="1248">
        <f>TableUK12b!H59</f>
        <v>0.15546317794430459</v>
      </c>
      <c r="H59" s="880">
        <f t="shared" si="9"/>
        <v>0.14809459590974178</v>
      </c>
      <c r="I59" s="880"/>
      <c r="J59" s="880"/>
      <c r="K59" s="1249">
        <f>TableUK12d!K59+L59</f>
        <v>7.3685820345628164E-3</v>
      </c>
      <c r="L59" s="877">
        <f>(DataUK1!GU47)/DataUK1!G47</f>
        <v>-2.0357942278778698E-3</v>
      </c>
      <c r="M59" s="1250">
        <f>(DataUK1!$GY47)/DataUK1!$G47</f>
        <v>1.043993650080636E-2</v>
      </c>
      <c r="N59" s="1251">
        <f t="shared" si="3"/>
        <v>8.4041422729284904E-3</v>
      </c>
      <c r="U59" s="563"/>
      <c r="X59" s="1244">
        <f>G59-TableUK12d!L59-TableUK12c!B59</f>
        <v>0</v>
      </c>
      <c r="Y59" s="197">
        <f t="shared" si="7"/>
        <v>0</v>
      </c>
      <c r="Z59" s="197">
        <f>F59-TableUK12d!F59-L59</f>
        <v>0</v>
      </c>
    </row>
    <row r="60" spans="1:26" ht="12" customHeight="1">
      <c r="A60" s="348">
        <f t="shared" si="2"/>
        <v>1890</v>
      </c>
      <c r="B60" s="575">
        <f t="shared" si="8"/>
        <v>0.11877950101146324</v>
      </c>
      <c r="C60" s="386">
        <f>H60-TableUK12d!M60</f>
        <v>0.11561024949426837</v>
      </c>
      <c r="D60" s="1243"/>
      <c r="E60" s="386"/>
      <c r="F60" s="386">
        <f>K60-TableUK12d!Q60</f>
        <v>3.1692515171948686E-3</v>
      </c>
      <c r="G60" s="574">
        <f>TableUK12b!H60</f>
        <v>0.16395819285232635</v>
      </c>
      <c r="H60" s="386">
        <f t="shared" si="9"/>
        <v>0.1574173971679029</v>
      </c>
      <c r="I60" s="386"/>
      <c r="J60" s="386"/>
      <c r="K60" s="1068">
        <f>TableUK12d!K60+L60</f>
        <v>6.5407956844234592E-3</v>
      </c>
      <c r="L60" s="544">
        <f>(DataUK1!GU48)/DataUK1!G48</f>
        <v>-2.5623735670937367E-3</v>
      </c>
      <c r="M60" s="677">
        <f>(DataUK1!$GY48)/DataUK1!$G48</f>
        <v>9.7874987735094808E-3</v>
      </c>
      <c r="N60" s="680">
        <f t="shared" si="3"/>
        <v>7.2251252064157445E-3</v>
      </c>
      <c r="U60" s="563"/>
      <c r="X60" s="1244">
        <f>G60-TableUK12d!L60-TableUK12c!B60</f>
        <v>0</v>
      </c>
      <c r="Y60" s="197">
        <f t="shared" si="7"/>
        <v>0</v>
      </c>
      <c r="Z60" s="197">
        <f>F60-TableUK12d!F60-L60</f>
        <v>0</v>
      </c>
    </row>
    <row r="61" spans="1:26" ht="12" customHeight="1">
      <c r="A61" s="348">
        <f t="shared" si="2"/>
        <v>1891</v>
      </c>
      <c r="B61" s="575">
        <f t="shared" si="8"/>
        <v>0.10389292349265326</v>
      </c>
      <c r="C61" s="386">
        <f>H61-TableUK12d!M61</f>
        <v>0.10114423239317683</v>
      </c>
      <c r="D61" s="1243"/>
      <c r="E61" s="386"/>
      <c r="F61" s="386">
        <f>K61-TableUK12d!Q61</f>
        <v>2.7486910994764325E-3</v>
      </c>
      <c r="G61" s="574">
        <f>TableUK12b!H61</f>
        <v>0.14708664077014016</v>
      </c>
      <c r="H61" s="386">
        <f t="shared" si="9"/>
        <v>0.14106569836176322</v>
      </c>
      <c r="I61" s="386"/>
      <c r="J61" s="386"/>
      <c r="K61" s="1068">
        <f>TableUK12d!K61+L61</f>
        <v>6.020942408376956E-3</v>
      </c>
      <c r="L61" s="544">
        <f>(DataUK1!GU49)/DataUK1!G49</f>
        <v>-6.3333896301300515E-3</v>
      </c>
      <c r="M61" s="677">
        <f>(DataUK1!$GY49)/DataUK1!$G49</f>
        <v>9.3894364028333926E-3</v>
      </c>
      <c r="N61" s="680">
        <f t="shared" si="3"/>
        <v>3.0560467727033412E-3</v>
      </c>
      <c r="U61" s="563"/>
      <c r="X61" s="1244">
        <f>G61-TableUK12d!L61-TableUK12c!B61</f>
        <v>0</v>
      </c>
      <c r="Y61" s="197">
        <f t="shared" si="7"/>
        <v>6.0715321659188248E-18</v>
      </c>
      <c r="Z61" s="197">
        <f>F61-TableUK12d!F61-L61</f>
        <v>0</v>
      </c>
    </row>
    <row r="62" spans="1:26" ht="12" customHeight="1">
      <c r="A62" s="348">
        <f t="shared" si="2"/>
        <v>1892</v>
      </c>
      <c r="B62" s="575">
        <f t="shared" si="8"/>
        <v>8.9638546454190129E-2</v>
      </c>
      <c r="C62" s="386">
        <f>H62-TableUK12d!M62</f>
        <v>8.7441475881620212E-2</v>
      </c>
      <c r="D62" s="1243"/>
      <c r="E62" s="386"/>
      <c r="F62" s="386">
        <f>K62-TableUK12d!Q62</f>
        <v>2.197070572569914E-3</v>
      </c>
      <c r="G62" s="574">
        <f>TableUK12b!H62</f>
        <v>0.13291417894420343</v>
      </c>
      <c r="H62" s="386">
        <f t="shared" si="9"/>
        <v>0.12738821356470942</v>
      </c>
      <c r="I62" s="386"/>
      <c r="J62" s="386"/>
      <c r="K62" s="1068">
        <f>TableUK12d!K62+L62</f>
        <v>5.5259653794940151E-3</v>
      </c>
      <c r="L62" s="544">
        <f>(DataUK1!GU50)/DataUK1!G50</f>
        <v>-7.0271895537133144E-3</v>
      </c>
      <c r="M62" s="677">
        <f>(DataUK1!$GY50)/DataUK1!$G50</f>
        <v>9.5519699224563409E-3</v>
      </c>
      <c r="N62" s="680">
        <f t="shared" si="3"/>
        <v>2.5247803687430265E-3</v>
      </c>
      <c r="U62" s="563"/>
      <c r="X62" s="1244">
        <f>G62-TableUK12d!L62-TableUK12c!B62</f>
        <v>0</v>
      </c>
      <c r="Y62" s="197">
        <f t="shared" si="7"/>
        <v>3.4694469519536142E-18</v>
      </c>
      <c r="Z62" s="197">
        <f>F62-TableUK12d!F62-L62</f>
        <v>0</v>
      </c>
    </row>
    <row r="63" spans="1:26" ht="12" customHeight="1">
      <c r="A63" s="348">
        <f t="shared" si="2"/>
        <v>1893</v>
      </c>
      <c r="B63" s="575">
        <f t="shared" si="8"/>
        <v>8.0148048452220733E-2</v>
      </c>
      <c r="C63" s="386">
        <f>H63-TableUK12d!M63</f>
        <v>7.9946164199192468E-2</v>
      </c>
      <c r="D63" s="1243"/>
      <c r="E63" s="386"/>
      <c r="F63" s="386">
        <f>K63-TableUK12d!Q63</f>
        <v>2.0188425302827134E-4</v>
      </c>
      <c r="G63" s="574">
        <f>TableUK12b!H63</f>
        <v>0.12321668909825036</v>
      </c>
      <c r="H63" s="386">
        <f t="shared" si="9"/>
        <v>0.1189771197846568</v>
      </c>
      <c r="I63" s="386"/>
      <c r="J63" s="386"/>
      <c r="K63" s="1068">
        <f>TableUK12d!K63+L63</f>
        <v>4.2395693135935473E-3</v>
      </c>
      <c r="L63" s="544">
        <f>(DataUK1!GU51)/DataUK1!G51</f>
        <v>-1.2054443624365028E-2</v>
      </c>
      <c r="M63" s="677">
        <f>(DataUK1!$GY51)/DataUK1!$G51</f>
        <v>9.5983565913437784E-3</v>
      </c>
      <c r="N63" s="680">
        <f t="shared" si="3"/>
        <v>-2.4560870330212498E-3</v>
      </c>
      <c r="U63" s="563"/>
      <c r="X63" s="1244">
        <f>G63-TableUK12d!L63-TableUK12c!B63</f>
        <v>0</v>
      </c>
      <c r="Y63" s="197">
        <f t="shared" si="7"/>
        <v>-6.9388939039072284E-18</v>
      </c>
      <c r="Z63" s="197">
        <f>F63-TableUK12d!F63-L63</f>
        <v>0</v>
      </c>
    </row>
    <row r="64" spans="1:26" ht="12" customHeight="1">
      <c r="A64" s="348">
        <f t="shared" si="2"/>
        <v>1894</v>
      </c>
      <c r="B64" s="575">
        <f t="shared" si="8"/>
        <v>9.6635078030207877E-2</v>
      </c>
      <c r="C64" s="386">
        <f>H64-TableUK12d!M64</f>
        <v>9.5792017070415403E-2</v>
      </c>
      <c r="D64" s="1243"/>
      <c r="E64" s="386"/>
      <c r="F64" s="386">
        <f>K64-TableUK12d!Q64</f>
        <v>8.4306095979247604E-4</v>
      </c>
      <c r="G64" s="574">
        <f>TableUK12b!H64</f>
        <v>0.13813961758922216</v>
      </c>
      <c r="H64" s="386">
        <f t="shared" si="9"/>
        <v>0.13340550604577209</v>
      </c>
      <c r="I64" s="386"/>
      <c r="J64" s="386"/>
      <c r="K64" s="1068">
        <f>TableUK12d!K64+L64</f>
        <v>4.7341115434500636E-3</v>
      </c>
      <c r="L64" s="544">
        <f>(DataUK1!GU52)/DataUK1!G52</f>
        <v>-1.0078030207941084E-2</v>
      </c>
      <c r="M64" s="677">
        <f>(DataUK1!$GY52)/DataUK1!$G52</f>
        <v>9.1953676821947359E-3</v>
      </c>
      <c r="N64" s="680">
        <f t="shared" si="3"/>
        <v>-8.8266252574634857E-4</v>
      </c>
      <c r="U64" s="563"/>
      <c r="X64" s="1244">
        <f>G64-TableUK12d!L64-TableUK12c!B64</f>
        <v>0</v>
      </c>
      <c r="Y64" s="197">
        <f t="shared" si="7"/>
        <v>-1.7347234759768071E-18</v>
      </c>
      <c r="Z64" s="197">
        <f>F64-TableUK12d!F64-L64</f>
        <v>0</v>
      </c>
    </row>
    <row r="65" spans="1:26" ht="12" customHeight="1">
      <c r="A65" s="198">
        <f t="shared" si="2"/>
        <v>1895</v>
      </c>
      <c r="B65" s="575">
        <f t="shared" si="8"/>
        <v>9.8443491991879059E-2</v>
      </c>
      <c r="C65" s="386">
        <f>H65-TableUK12d!M65</f>
        <v>9.5455570822139693E-2</v>
      </c>
      <c r="D65" s="1243"/>
      <c r="E65" s="386"/>
      <c r="F65" s="386">
        <f>K65-TableUK12d!Q65</f>
        <v>2.9879211697393633E-3</v>
      </c>
      <c r="G65" s="574">
        <f>TableUK12b!H65</f>
        <v>0.13913007813301065</v>
      </c>
      <c r="H65" s="386">
        <f t="shared" si="9"/>
        <v>0.13232778951254021</v>
      </c>
      <c r="I65" s="386"/>
      <c r="J65" s="386"/>
      <c r="K65" s="1068">
        <f>TableUK12d!K65+L65</f>
        <v>6.8022886204704503E-3</v>
      </c>
      <c r="L65" s="544">
        <f>(DataUK1!GU53)/DataUK1!G53</f>
        <v>-7.7005106330619412E-3</v>
      </c>
      <c r="M65" s="677">
        <f>(DataUK1!$GY53)/DataUK1!$G53</f>
        <v>8.7474585645145805E-3</v>
      </c>
      <c r="N65" s="680">
        <f t="shared" si="3"/>
        <v>1.0469479314526393E-3</v>
      </c>
      <c r="U65" s="563"/>
      <c r="X65" s="1244">
        <f>G65-TableUK12d!L65-TableUK12c!B65</f>
        <v>0</v>
      </c>
      <c r="Y65" s="197">
        <f t="shared" si="7"/>
        <v>0</v>
      </c>
      <c r="Z65" s="197">
        <f>F65-TableUK12d!F65-L65</f>
        <v>0</v>
      </c>
    </row>
    <row r="66" spans="1:26" ht="12" customHeight="1">
      <c r="A66" s="198">
        <f t="shared" si="2"/>
        <v>1896</v>
      </c>
      <c r="B66" s="575">
        <f t="shared" si="8"/>
        <v>0.10448290774704641</v>
      </c>
      <c r="C66" s="386">
        <f>H66-TableUK12d!M66</f>
        <v>0.10216724656484044</v>
      </c>
      <c r="D66" s="1243"/>
      <c r="E66" s="386"/>
      <c r="F66" s="386">
        <f>K66-TableUK12d!Q66</f>
        <v>2.3156611822059696E-3</v>
      </c>
      <c r="G66" s="574">
        <f>TableUK12b!H66</f>
        <v>0.14470228617483433</v>
      </c>
      <c r="H66" s="386">
        <f t="shared" si="9"/>
        <v>0.13873031786282947</v>
      </c>
      <c r="I66" s="386"/>
      <c r="J66" s="386"/>
      <c r="K66" s="1068">
        <f>TableUK12d!K66+L66</f>
        <v>5.9719683120048727E-3</v>
      </c>
      <c r="L66" s="544">
        <f>(DataUK1!GU54)/DataUK1!G54</f>
        <v>-9.5466965461657952E-3</v>
      </c>
      <c r="M66" s="677">
        <f>(DataUK1!$GY54)/DataUK1!$G54</f>
        <v>8.3849800865212903E-3</v>
      </c>
      <c r="N66" s="680">
        <f t="shared" si="3"/>
        <v>-1.1617164596445049E-3</v>
      </c>
      <c r="U66" s="563"/>
      <c r="X66" s="1244">
        <f>G66-TableUK12d!L66-TableUK12c!B66</f>
        <v>0</v>
      </c>
      <c r="Y66" s="197">
        <f t="shared" si="7"/>
        <v>0</v>
      </c>
      <c r="Z66" s="197">
        <f>F66-TableUK12d!F66-L66</f>
        <v>0</v>
      </c>
    </row>
    <row r="67" spans="1:26" ht="12" customHeight="1">
      <c r="A67" s="198">
        <f t="shared" si="2"/>
        <v>1897</v>
      </c>
      <c r="B67" s="2232">
        <f t="shared" si="8"/>
        <v>9.9162960517371959E-2</v>
      </c>
      <c r="C67" s="386">
        <f>H67-TableUK12d!M67</f>
        <v>9.6092521023091404E-2</v>
      </c>
      <c r="D67" s="1243"/>
      <c r="E67" s="386"/>
      <c r="F67" s="386">
        <f>K67-TableUK12d!Q67</f>
        <v>3.07043949428055E-3</v>
      </c>
      <c r="G67" s="570">
        <f>TableUK12b!H67</f>
        <v>0.14070420073410886</v>
      </c>
      <c r="H67" s="308">
        <f t="shared" si="9"/>
        <v>0.1340214794818512</v>
      </c>
      <c r="I67" s="308"/>
      <c r="J67" s="308"/>
      <c r="K67" s="394">
        <f>TableUK12d!K67+L67</f>
        <v>6.6827212522576722E-3</v>
      </c>
      <c r="L67" s="307">
        <f>(DataUK1!GU55)/DataUK1!G55</f>
        <v>-1.0242566662135123E-2</v>
      </c>
      <c r="M67" s="679">
        <f>(DataUK1!$GY55)/DataUK1!$G55</f>
        <v>8.23350475207036E-3</v>
      </c>
      <c r="N67" s="680">
        <f t="shared" si="3"/>
        <v>-2.0090619100647626E-3</v>
      </c>
      <c r="U67" s="563"/>
      <c r="X67" s="1244">
        <f>G67-TableUK12d!L67-TableUK12c!B67</f>
        <v>0</v>
      </c>
      <c r="Y67" s="197">
        <f t="shared" si="7"/>
        <v>5.2041704279304213E-18</v>
      </c>
      <c r="Z67" s="197">
        <f>F67-TableUK12d!F67-L67</f>
        <v>0</v>
      </c>
    </row>
    <row r="68" spans="1:26" ht="12" customHeight="1">
      <c r="A68" s="198">
        <f t="shared" si="2"/>
        <v>1898</v>
      </c>
      <c r="B68" s="2232">
        <f t="shared" si="8"/>
        <v>0.11535828054629996</v>
      </c>
      <c r="C68" s="386">
        <f>H68-TableUK12d!M68</f>
        <v>0.11507451210135103</v>
      </c>
      <c r="D68" s="1243"/>
      <c r="E68" s="386"/>
      <c r="F68" s="386">
        <f>K68-TableUK12d!Q68</f>
        <v>2.8376844494892341E-4</v>
      </c>
      <c r="G68" s="570">
        <f>TableUK12b!H68</f>
        <v>0.15678847350884251</v>
      </c>
      <c r="H68" s="308">
        <f t="shared" si="9"/>
        <v>0.15253194683460869</v>
      </c>
      <c r="I68" s="308"/>
      <c r="J68" s="308"/>
      <c r="K68" s="394">
        <f>TableUK12d!K68+L68</f>
        <v>4.2565266742338268E-3</v>
      </c>
      <c r="L68" s="307">
        <f>(DataUK1!GU56)/DataUK1!G56</f>
        <v>-1.5473618688440547E-2</v>
      </c>
      <c r="M68" s="679">
        <f>(DataUK1!$GY56)/DataUK1!$G56</f>
        <v>7.7615501663954979E-3</v>
      </c>
      <c r="N68" s="680">
        <f t="shared" si="3"/>
        <v>-7.7120685220450494E-3</v>
      </c>
      <c r="U68" s="563"/>
      <c r="X68" s="1244">
        <f>G68-TableUK12d!L68-TableUK12c!B68</f>
        <v>0</v>
      </c>
      <c r="Y68" s="197">
        <f t="shared" si="7"/>
        <v>5.2041704279304213E-18</v>
      </c>
      <c r="Z68" s="197">
        <f>F68-TableUK12d!F68-L68</f>
        <v>0</v>
      </c>
    </row>
    <row r="69" spans="1:26" ht="12" customHeight="1">
      <c r="A69" s="214">
        <f t="shared" si="2"/>
        <v>1899</v>
      </c>
      <c r="B69" s="2233">
        <f t="shared" si="8"/>
        <v>0.13138265979134184</v>
      </c>
      <c r="C69" s="880">
        <f>H69-TableUK12d!M69</f>
        <v>0.13855207030647726</v>
      </c>
      <c r="D69" s="1247"/>
      <c r="E69" s="880"/>
      <c r="F69" s="880">
        <f>K69-TableUK12d!Q69</f>
        <v>-7.1694105151354093E-3</v>
      </c>
      <c r="G69" s="571">
        <f>TableUK12b!H69</f>
        <v>0.17386805543658879</v>
      </c>
      <c r="H69" s="550">
        <f t="shared" si="9"/>
        <v>0.17731999383276509</v>
      </c>
      <c r="I69" s="550"/>
      <c r="J69" s="550"/>
      <c r="K69" s="553">
        <f>TableUK12d!K69+L69</f>
        <v>-3.4519383961763017E-3</v>
      </c>
      <c r="L69" s="568">
        <f>(DataUK1!GU57)/DataUK1!G57</f>
        <v>-2.4728898634642699E-2</v>
      </c>
      <c r="M69" s="1917">
        <f>(DataUK1!$GY57)/DataUK1!$G57</f>
        <v>7.0845712575775821E-3</v>
      </c>
      <c r="N69" s="1251">
        <f t="shared" si="3"/>
        <v>-1.7644327377065117E-2</v>
      </c>
      <c r="U69" s="563"/>
      <c r="X69" s="1244">
        <f>G69-TableUK12d!L69-TableUK12c!B69</f>
        <v>0</v>
      </c>
      <c r="Y69" s="197">
        <f t="shared" si="7"/>
        <v>-1.214306433183765E-17</v>
      </c>
      <c r="Z69" s="197">
        <f>F69-TableUK12d!F69-L69</f>
        <v>0</v>
      </c>
    </row>
    <row r="70" spans="1:26" ht="12" customHeight="1">
      <c r="A70" s="198">
        <f t="shared" si="2"/>
        <v>1900</v>
      </c>
      <c r="B70" s="2232">
        <f t="shared" si="8"/>
        <v>0.10856577954254573</v>
      </c>
      <c r="C70" s="386">
        <f>H70-TableUK12d!M70</f>
        <v>0.13821989958323749</v>
      </c>
      <c r="D70" s="1243"/>
      <c r="E70" s="386"/>
      <c r="F70" s="386">
        <f>K70-TableUK12d!Q70</f>
        <v>-2.9654120040691762E-2</v>
      </c>
      <c r="G70" s="570">
        <f>TableUK12b!H70</f>
        <v>0.15332671545302387</v>
      </c>
      <c r="H70" s="308">
        <f t="shared" si="9"/>
        <v>0.17891165950185398</v>
      </c>
      <c r="I70" s="308"/>
      <c r="J70" s="308"/>
      <c r="K70" s="394">
        <f>TableUK12d!K70+L70</f>
        <v>-2.5584944048830115E-2</v>
      </c>
      <c r="L70" s="307">
        <f>(DataUK1!GU58)/DataUK1!G58</f>
        <v>-4.9331375315853354E-2</v>
      </c>
      <c r="M70" s="679">
        <f>(DataUK1!$GY58)/DataUK1!$G58</f>
        <v>7.2549124591743917E-3</v>
      </c>
      <c r="N70" s="680">
        <f t="shared" si="3"/>
        <v>-4.2076462856678959E-2</v>
      </c>
      <c r="U70" s="563"/>
      <c r="X70" s="1244">
        <f>G70-TableUK12d!L70-TableUK12c!B70</f>
        <v>0</v>
      </c>
      <c r="Y70" s="197">
        <f t="shared" si="7"/>
        <v>0</v>
      </c>
      <c r="Z70" s="197">
        <f>F70-TableUK12d!F70-L70</f>
        <v>0</v>
      </c>
    </row>
    <row r="71" spans="1:26" ht="12" customHeight="1">
      <c r="A71" s="198">
        <f t="shared" si="2"/>
        <v>1901</v>
      </c>
      <c r="B71" s="2232">
        <f t="shared" si="8"/>
        <v>0.11013485707049914</v>
      </c>
      <c r="C71" s="386">
        <f>H71-TableUK12d!M71</f>
        <v>0.13844692772800649</v>
      </c>
      <c r="D71" s="1243"/>
      <c r="E71" s="386"/>
      <c r="F71" s="386">
        <f>K71-TableUK12d!Q71</f>
        <v>-2.8312070657507356E-2</v>
      </c>
      <c r="G71" s="570">
        <f>TableUK12b!H71</f>
        <v>0.15282376776726067</v>
      </c>
      <c r="H71" s="308">
        <f t="shared" si="9"/>
        <v>0.17721042134920376</v>
      </c>
      <c r="I71" s="308"/>
      <c r="J71" s="308"/>
      <c r="K71" s="394">
        <f>TableUK12d!K71+L71</f>
        <v>-2.4386653581943078E-2</v>
      </c>
      <c r="L71" s="307">
        <f>(DataUK1!GU59)/DataUK1!G59</f>
        <v>-5.1188704928930927E-2</v>
      </c>
      <c r="M71" s="679">
        <f>(DataUK1!$GY59)/DataUK1!$G59</f>
        <v>7.7808025229615689E-3</v>
      </c>
      <c r="N71" s="680">
        <f t="shared" si="3"/>
        <v>-4.3407902405969361E-2</v>
      </c>
      <c r="U71" s="563"/>
      <c r="X71" s="1244">
        <f>G71-TableUK12d!L71-TableUK12c!B71</f>
        <v>0</v>
      </c>
      <c r="Y71" s="197">
        <f t="shared" si="7"/>
        <v>0</v>
      </c>
      <c r="Z71" s="197">
        <f>F71-TableUK12d!F71-L71</f>
        <v>0</v>
      </c>
    </row>
    <row r="72" spans="1:26" ht="12" customHeight="1">
      <c r="A72" s="198">
        <f t="shared" si="2"/>
        <v>1902</v>
      </c>
      <c r="B72" s="2232">
        <f t="shared" si="8"/>
        <v>0.10574671445639175</v>
      </c>
      <c r="C72" s="386">
        <f>H72-TableUK12d!M72</f>
        <v>0.12332696136997198</v>
      </c>
      <c r="D72" s="1243"/>
      <c r="E72" s="386"/>
      <c r="F72" s="386">
        <f>K72-TableUK12d!Q72</f>
        <v>-1.7580246913580226E-2</v>
      </c>
      <c r="G72" s="570">
        <f>TableUK12b!H72</f>
        <v>0.14772202309836707</v>
      </c>
      <c r="H72" s="308">
        <f t="shared" si="9"/>
        <v>0.16036399840700902</v>
      </c>
      <c r="I72" s="308"/>
      <c r="J72" s="308"/>
      <c r="K72" s="394">
        <f>TableUK12d!K72+L72</f>
        <v>-1.2641975308641955E-2</v>
      </c>
      <c r="L72" s="307">
        <f>(DataUK1!GU60)/DataUK1!G60</f>
        <v>-3.432656312226201E-2</v>
      </c>
      <c r="M72" s="679">
        <f>(DataUK1!$GY60)/DataUK1!$G60</f>
        <v>8.2450789282574686E-3</v>
      </c>
      <c r="N72" s="680">
        <f t="shared" si="3"/>
        <v>-2.6081484194004544E-2</v>
      </c>
      <c r="U72" s="563"/>
      <c r="X72" s="1244">
        <f>G72-TableUK12d!L72-TableUK12c!B72</f>
        <v>0</v>
      </c>
      <c r="Y72" s="197">
        <f t="shared" si="7"/>
        <v>0</v>
      </c>
      <c r="Z72" s="197">
        <f>F72-TableUK12d!F72-L72</f>
        <v>0</v>
      </c>
    </row>
    <row r="73" spans="1:26" ht="12" customHeight="1">
      <c r="A73" s="198">
        <f t="shared" si="2"/>
        <v>1903</v>
      </c>
      <c r="B73" s="2232">
        <f t="shared" si="8"/>
        <v>0.1088227321289046</v>
      </c>
      <c r="C73" s="386">
        <f>H73-TableUK12d!M73</f>
        <v>0.11302441280117351</v>
      </c>
      <c r="D73" s="1243"/>
      <c r="E73" s="386"/>
      <c r="F73" s="386">
        <f>K73-TableUK12d!Q73</f>
        <v>-4.2016806722689074E-3</v>
      </c>
      <c r="G73" s="570">
        <f>TableUK12b!H73</f>
        <v>0.15133385422480178</v>
      </c>
      <c r="H73" s="308">
        <f t="shared" si="9"/>
        <v>0.1500980657917815</v>
      </c>
      <c r="I73" s="308"/>
      <c r="J73" s="308"/>
      <c r="K73" s="394">
        <f>TableUK12d!K73+L73</f>
        <v>1.235788433020267E-3</v>
      </c>
      <c r="L73" s="307">
        <f>(DataUK1!GU61)/DataUK1!G61</f>
        <v>-2.3728732479709136E-2</v>
      </c>
      <c r="M73" s="679">
        <f>(DataUK1!$GY61)/DataUK1!$G61</f>
        <v>7.8799685964351194E-3</v>
      </c>
      <c r="N73" s="680">
        <f t="shared" si="3"/>
        <v>-1.5848763883274018E-2</v>
      </c>
      <c r="U73" s="563"/>
      <c r="X73" s="1244">
        <f>G73-TableUK12d!L73-TableUK12c!B73</f>
        <v>0</v>
      </c>
      <c r="Y73" s="197">
        <f t="shared" si="7"/>
        <v>0</v>
      </c>
      <c r="Z73" s="197">
        <f>F73-TableUK12d!F73-L73</f>
        <v>0</v>
      </c>
    </row>
    <row r="74" spans="1:26" ht="12" customHeight="1">
      <c r="A74" s="198">
        <f t="shared" si="2"/>
        <v>1904</v>
      </c>
      <c r="B74" s="2232">
        <f t="shared" si="8"/>
        <v>0.10790172432868129</v>
      </c>
      <c r="C74" s="386">
        <f>H74-TableUK12d!M74</f>
        <v>0.10976355676376215</v>
      </c>
      <c r="D74" s="1243"/>
      <c r="E74" s="386"/>
      <c r="F74" s="386">
        <f>K74-TableUK12d!Q74</f>
        <v>-1.861832435080848E-3</v>
      </c>
      <c r="G74" s="570">
        <f>TableUK12b!H74</f>
        <v>0.15052788797395322</v>
      </c>
      <c r="H74" s="308">
        <f t="shared" si="9"/>
        <v>0.14553033775347307</v>
      </c>
      <c r="I74" s="308"/>
      <c r="J74" s="308"/>
      <c r="K74" s="394">
        <f>TableUK12d!K74+L74</f>
        <v>4.9975502204801514E-3</v>
      </c>
      <c r="L74" s="307">
        <f>(DataUK1!GU62)/DataUK1!G62</f>
        <v>-1.9716773877447795E-2</v>
      </c>
      <c r="M74" s="679">
        <f>(DataUK1!$GY62)/DataUK1!$G62</f>
        <v>7.5227192400981191E-3</v>
      </c>
      <c r="N74" s="680">
        <f t="shared" si="3"/>
        <v>-1.2194054637349676E-2</v>
      </c>
      <c r="U74" s="563"/>
      <c r="X74" s="1244">
        <f>G74-TableUK12d!L74-TableUK12c!B74</f>
        <v>0</v>
      </c>
      <c r="Y74" s="197">
        <f t="shared" si="7"/>
        <v>-6.0715321659188248E-18</v>
      </c>
      <c r="Z74" s="197">
        <f>F74-TableUK12d!F74-L74</f>
        <v>0</v>
      </c>
    </row>
    <row r="75" spans="1:26" ht="12" customHeight="1">
      <c r="A75" s="198">
        <f t="shared" si="2"/>
        <v>1905</v>
      </c>
      <c r="B75" s="2232">
        <f t="shared" si="8"/>
        <v>0.12024259050907013</v>
      </c>
      <c r="C75" s="386">
        <f>H75-TableUK12d!M75</f>
        <v>0.12005147727447862</v>
      </c>
      <c r="D75" s="1243"/>
      <c r="E75" s="386"/>
      <c r="F75" s="386">
        <f>K75-TableUK12d!Q75</f>
        <v>1.911132345914987E-4</v>
      </c>
      <c r="G75" s="570">
        <f>TableUK12b!H75</f>
        <v>0.16276528520567785</v>
      </c>
      <c r="H75" s="308">
        <f t="shared" si="9"/>
        <v>0.15636299184686275</v>
      </c>
      <c r="I75" s="308"/>
      <c r="J75" s="308"/>
      <c r="K75" s="394">
        <f>TableUK12d!K75+L75</f>
        <v>6.4022933588151008E-3</v>
      </c>
      <c r="L75" s="307">
        <f>(DataUK1!GU63)/DataUK1!G63</f>
        <v>-1.4501487292511118E-2</v>
      </c>
      <c r="M75" s="679">
        <f>(DataUK1!$GY63)/DataUK1!$G63</f>
        <v>7.2556464937673778E-3</v>
      </c>
      <c r="N75" s="680">
        <f t="shared" si="3"/>
        <v>-7.2458407987437403E-3</v>
      </c>
      <c r="U75" s="563"/>
      <c r="X75" s="1244">
        <f>G75-TableUK12d!L75-TableUK12c!B75</f>
        <v>0</v>
      </c>
      <c r="Y75" s="197">
        <f t="shared" si="7"/>
        <v>6.9388939039072284E-18</v>
      </c>
      <c r="Z75" s="197">
        <f>F75-TableUK12d!F75-L75</f>
        <v>0</v>
      </c>
    </row>
    <row r="76" spans="1:26" ht="12" customHeight="1">
      <c r="A76" s="198">
        <f t="shared" si="2"/>
        <v>1906</v>
      </c>
      <c r="B76" s="2232">
        <f t="shared" si="8"/>
        <v>0.13119901204999612</v>
      </c>
      <c r="C76" s="386">
        <f>H76-TableUK12d!M76</f>
        <v>0.13027093780405644</v>
      </c>
      <c r="D76" s="1243"/>
      <c r="E76" s="386"/>
      <c r="F76" s="386">
        <f>K76-TableUK12d!Q76</f>
        <v>9.280742459396767E-4</v>
      </c>
      <c r="G76" s="570">
        <f>TableUK12b!H76</f>
        <v>0.17435446448619102</v>
      </c>
      <c r="H76" s="308">
        <f t="shared" si="9"/>
        <v>0.16692987051867361</v>
      </c>
      <c r="I76" s="308"/>
      <c r="J76" s="308"/>
      <c r="K76" s="394">
        <f>TableUK12d!K76+L76</f>
        <v>7.4245939675174032E-3</v>
      </c>
      <c r="L76" s="307">
        <f>(DataUK1!GU64)/DataUK1!G64</f>
        <v>-1.0395180001496869E-2</v>
      </c>
      <c r="M76" s="679">
        <f>(DataUK1!$GY64)/DataUK1!$G64</f>
        <v>6.9300999188294243E-3</v>
      </c>
      <c r="N76" s="680">
        <f t="shared" si="3"/>
        <v>-3.4650800826674447E-3</v>
      </c>
      <c r="U76" s="563"/>
      <c r="X76" s="1244">
        <f>G76-TableUK12d!L76-TableUK12c!B76</f>
        <v>0</v>
      </c>
      <c r="Y76" s="197">
        <f t="shared" si="7"/>
        <v>9.540979117872439E-18</v>
      </c>
      <c r="Z76" s="197">
        <f>F76-TableUK12d!F76-L76</f>
        <v>0</v>
      </c>
    </row>
    <row r="77" spans="1:26" ht="12" customHeight="1">
      <c r="A77" s="198">
        <f t="shared" si="2"/>
        <v>1907</v>
      </c>
      <c r="B77" s="2232">
        <f t="shared" si="8"/>
        <v>0.12551639272215859</v>
      </c>
      <c r="C77" s="386">
        <f>H77-TableUK12d!M77</f>
        <v>0.12474436729073263</v>
      </c>
      <c r="D77" s="1243"/>
      <c r="E77" s="386"/>
      <c r="F77" s="386">
        <f>K77-TableUK12d!Q77</f>
        <v>7.7202543142597217E-4</v>
      </c>
      <c r="G77" s="570">
        <f>TableUK12b!H77</f>
        <v>0.17002138818083254</v>
      </c>
      <c r="H77" s="308">
        <f t="shared" si="9"/>
        <v>0.16243737364858912</v>
      </c>
      <c r="I77" s="308"/>
      <c r="J77" s="308"/>
      <c r="K77" s="394">
        <f>TableUK12d!K77+L77</f>
        <v>7.5840145322434108E-3</v>
      </c>
      <c r="L77" s="307">
        <f>(DataUK1!GU65)/DataUK1!G65</f>
        <v>-8.0322873633939685E-3</v>
      </c>
      <c r="M77" s="679">
        <f>(DataUK1!$GY65)/DataUK1!$G65</f>
        <v>6.6678758123068565E-3</v>
      </c>
      <c r="N77" s="680">
        <f t="shared" si="3"/>
        <v>-1.364411551087112E-3</v>
      </c>
      <c r="U77" s="563"/>
      <c r="X77" s="1244">
        <f>G77-TableUK12d!L77-TableUK12c!B77</f>
        <v>0</v>
      </c>
      <c r="Y77" s="197">
        <f t="shared" si="7"/>
        <v>-1.214306433183765E-17</v>
      </c>
      <c r="Z77" s="197">
        <f>F77-TableUK12d!F77-L77</f>
        <v>0</v>
      </c>
    </row>
    <row r="78" spans="1:26" ht="12" customHeight="1">
      <c r="A78" s="198">
        <f t="shared" si="2"/>
        <v>1908</v>
      </c>
      <c r="B78" s="2232">
        <f t="shared" si="8"/>
        <v>9.0991031864857796E-2</v>
      </c>
      <c r="C78" s="386">
        <f>H78-TableUK12d!M78</f>
        <v>9.3147618831571355E-2</v>
      </c>
      <c r="D78" s="1243"/>
      <c r="E78" s="386"/>
      <c r="F78" s="386">
        <f>K78-TableUK12d!Q78</f>
        <v>-2.1565869667135584E-3</v>
      </c>
      <c r="G78" s="570">
        <f>TableUK12b!H78</f>
        <v>0.13646688746729568</v>
      </c>
      <c r="H78" s="308">
        <f t="shared" si="9"/>
        <v>0.13159112562950853</v>
      </c>
      <c r="I78" s="308"/>
      <c r="J78" s="308"/>
      <c r="K78" s="394">
        <f>TableUK12d!K78+L78</f>
        <v>4.8757618377871445E-3</v>
      </c>
      <c r="L78" s="307">
        <f>(DataUK1!GU66)/DataUK1!G66</f>
        <v>-1.0606748030186155E-2</v>
      </c>
      <c r="M78" s="679">
        <f>(DataUK1!$GY66)/DataUK1!$G66</f>
        <v>7.040912449071718E-3</v>
      </c>
      <c r="N78" s="680">
        <f t="shared" si="3"/>
        <v>-3.5658355811144368E-3</v>
      </c>
      <c r="U78" s="563"/>
      <c r="X78" s="1244">
        <f>G78-TableUK12d!L78-TableUK12c!B78</f>
        <v>0</v>
      </c>
      <c r="Y78" s="197">
        <f t="shared" si="7"/>
        <v>0</v>
      </c>
      <c r="Z78" s="197">
        <f>F78-TableUK12d!F78-L78</f>
        <v>0</v>
      </c>
    </row>
    <row r="79" spans="1:26" ht="12" customHeight="1">
      <c r="A79" s="214">
        <f t="shared" si="2"/>
        <v>1909</v>
      </c>
      <c r="B79" s="2233">
        <f t="shared" si="8"/>
        <v>0.10987061647444521</v>
      </c>
      <c r="C79" s="880">
        <f>H79-TableUK12d!M79</f>
        <v>0.12742960014050692</v>
      </c>
      <c r="D79" s="1247"/>
      <c r="E79" s="880"/>
      <c r="F79" s="880">
        <f>K79-TableUK12d!Q79</f>
        <v>-1.7558983666061713E-2</v>
      </c>
      <c r="G79" s="571">
        <f>TableUK12b!H79</f>
        <v>0.1538815057666412</v>
      </c>
      <c r="H79" s="550">
        <f t="shared" si="9"/>
        <v>0.16372724079386444</v>
      </c>
      <c r="I79" s="550"/>
      <c r="J79" s="550"/>
      <c r="K79" s="553">
        <f>TableUK12d!K79+L79</f>
        <v>-9.8457350272232371E-3</v>
      </c>
      <c r="L79" s="568">
        <f>(DataUK1!GU67)/DataUK1!G67</f>
        <v>-2.4212575376148928E-2</v>
      </c>
      <c r="M79" s="1917">
        <f>(DataUK1!$GY67)/DataUK1!$G67</f>
        <v>6.5856899642080576E-3</v>
      </c>
      <c r="N79" s="1251">
        <f t="shared" si="3"/>
        <v>-1.7626885411940872E-2</v>
      </c>
      <c r="U79" s="563"/>
      <c r="X79" s="1244">
        <f>G79-TableUK12d!L79-TableUK12c!B79</f>
        <v>0</v>
      </c>
      <c r="Y79" s="197">
        <f t="shared" si="7"/>
        <v>0</v>
      </c>
      <c r="Z79" s="197">
        <f>F79-TableUK12d!F79-L79</f>
        <v>0</v>
      </c>
    </row>
    <row r="80" spans="1:26" ht="12" customHeight="1">
      <c r="A80" s="199">
        <f t="shared" si="2"/>
        <v>1910</v>
      </c>
      <c r="B80" s="2234">
        <f t="shared" si="8"/>
        <v>0.12471250682840049</v>
      </c>
      <c r="C80" s="1417">
        <f>H80-TableUK12d!M80</f>
        <v>0.11494264143543478</v>
      </c>
      <c r="D80" s="1418"/>
      <c r="E80" s="1417"/>
      <c r="F80" s="1417">
        <f>K80-TableUK12d!Q80</f>
        <v>9.7698653929656973E-3</v>
      </c>
      <c r="G80" s="572">
        <f>TableUK12b!H80</f>
        <v>0.1681341307971369</v>
      </c>
      <c r="H80" s="551">
        <f t="shared" si="9"/>
        <v>0.15098258932948602</v>
      </c>
      <c r="I80" s="551"/>
      <c r="J80" s="551"/>
      <c r="K80" s="554">
        <f>TableUK12d!K80+L80</f>
        <v>1.715154146765089E-2</v>
      </c>
      <c r="L80" s="569">
        <f>(DataUK1!GU68)/DataUK1!G68</f>
        <v>3.4191027131511621E-3</v>
      </c>
      <c r="M80" s="1419">
        <f>(DataUK1!$GY68)/DataUK1!$G68</f>
        <v>6.1568636413131903E-3</v>
      </c>
      <c r="N80" s="1420">
        <f t="shared" si="3"/>
        <v>9.575966354464352E-3</v>
      </c>
      <c r="U80" s="563"/>
      <c r="X80" s="1244">
        <f>G80-TableUK12d!L80-TableUK12c!B80</f>
        <v>0</v>
      </c>
      <c r="Y80" s="197">
        <f t="shared" si="7"/>
        <v>0</v>
      </c>
      <c r="Z80" s="197">
        <f>F80-TableUK12d!F80-L80</f>
        <v>0</v>
      </c>
    </row>
    <row r="81" spans="1:27" ht="12" customHeight="1">
      <c r="A81" s="198">
        <f t="shared" si="2"/>
        <v>1911</v>
      </c>
      <c r="B81" s="2232">
        <f t="shared" si="8"/>
        <v>0.12875691726278837</v>
      </c>
      <c r="C81" s="386">
        <f>H81-TableUK12d!M81</f>
        <v>0.13022135240923188</v>
      </c>
      <c r="D81" s="1243"/>
      <c r="E81" s="386"/>
      <c r="F81" s="386">
        <f>K81-TableUK12d!Q81</f>
        <v>-1.4644351464435136E-3</v>
      </c>
      <c r="G81" s="570">
        <f>TableUK12b!H81</f>
        <v>0.17185315157241179</v>
      </c>
      <c r="H81" s="308">
        <f t="shared" si="9"/>
        <v>0.16578620596571722</v>
      </c>
      <c r="I81" s="308"/>
      <c r="J81" s="308"/>
      <c r="K81" s="394">
        <f>TableUK12d!K81+L81</f>
        <v>6.0669456066945616E-3</v>
      </c>
      <c r="L81" s="307">
        <f>(DataUK1!GU69)/DataUK1!G69</f>
        <v>-6.5987312727763328E-3</v>
      </c>
      <c r="M81" s="679">
        <f>(DataUK1!$GY69)/DataUK1!$G69</f>
        <v>5.827428527015302E-3</v>
      </c>
      <c r="N81" s="680">
        <f t="shared" si="3"/>
        <v>-7.7130274576103081E-4</v>
      </c>
      <c r="U81" s="563"/>
      <c r="X81" s="1244">
        <f>G81-TableUK12d!L81-TableUK12c!B81</f>
        <v>0</v>
      </c>
      <c r="Y81" s="197">
        <f t="shared" si="7"/>
        <v>3.4694469519536142E-18</v>
      </c>
      <c r="Z81" s="197">
        <f>F81-TableUK12d!F81-L81</f>
        <v>0</v>
      </c>
    </row>
    <row r="82" spans="1:27" ht="12" customHeight="1">
      <c r="A82" s="198">
        <f t="shared" si="2"/>
        <v>1912</v>
      </c>
      <c r="B82" s="2232">
        <f t="shared" si="8"/>
        <v>0.12047828657775432</v>
      </c>
      <c r="C82" s="386">
        <f>H82-TableUK12d!M82</f>
        <v>0.12565140266736735</v>
      </c>
      <c r="D82" s="1243"/>
      <c r="E82" s="386"/>
      <c r="F82" s="386">
        <f>K82-TableUK12d!Q82</f>
        <v>-5.1731160896130307E-3</v>
      </c>
      <c r="G82" s="570">
        <f>TableUK12b!H82</f>
        <v>0.16528480388936329</v>
      </c>
      <c r="H82" s="308">
        <f t="shared" si="9"/>
        <v>0.16190394849221459</v>
      </c>
      <c r="I82" s="308"/>
      <c r="J82" s="308"/>
      <c r="K82" s="394">
        <f>TableUK12d!K82+L82</f>
        <v>3.3808553971486806E-3</v>
      </c>
      <c r="L82" s="307">
        <f>(DataUK1!GU70)/DataUK1!G70</f>
        <v>-1.0005255896458816E-2</v>
      </c>
      <c r="M82" s="679">
        <f>(DataUK1!$GY70)/DataUK1!$G70</f>
        <v>5.6047870965301137E-3</v>
      </c>
      <c r="N82" s="680">
        <f t="shared" si="3"/>
        <v>-4.4004687999287025E-3</v>
      </c>
      <c r="U82" s="563"/>
      <c r="X82" s="1244">
        <f>G82-TableUK12d!L82-TableUK12c!B82</f>
        <v>0</v>
      </c>
      <c r="Y82" s="197">
        <f t="shared" si="7"/>
        <v>0</v>
      </c>
      <c r="Z82" s="197">
        <f>F82-TableUK12d!F82-L82</f>
        <v>0</v>
      </c>
    </row>
    <row r="83" spans="1:27" ht="12" customHeight="1">
      <c r="A83" s="198">
        <f t="shared" si="2"/>
        <v>1913</v>
      </c>
      <c r="B83" s="2232">
        <f t="shared" si="8"/>
        <v>0.14535352407882812</v>
      </c>
      <c r="C83" s="386">
        <f>H83-TableUK12d!M83</f>
        <v>0.14954421996502576</v>
      </c>
      <c r="D83" s="1243"/>
      <c r="E83" s="386"/>
      <c r="F83" s="386">
        <f>K83-TableUK12d!Q83</f>
        <v>-4.1906958861976313E-3</v>
      </c>
      <c r="G83" s="570">
        <f>TableUK12b!H83</f>
        <v>0.18995175552827065</v>
      </c>
      <c r="H83" s="308">
        <f t="shared" si="9"/>
        <v>0.1864531011645644</v>
      </c>
      <c r="I83" s="308"/>
      <c r="J83" s="308"/>
      <c r="K83" s="394">
        <f>TableUK12d!K83+L83</f>
        <v>3.498654363706253E-3</v>
      </c>
      <c r="L83" s="307">
        <f>(DataUK1!GU71)/DataUK1!G71</f>
        <v>-1.1644404757475402E-2</v>
      </c>
      <c r="M83" s="679">
        <f>(DataUK1!$GY71)/DataUK1!$G71</f>
        <v>5.193406203615426E-3</v>
      </c>
      <c r="N83" s="680">
        <f t="shared" si="3"/>
        <v>-6.4509985538599764E-3</v>
      </c>
      <c r="U83" s="563"/>
      <c r="X83" s="1244">
        <f>G83-TableUK12d!L83-TableUK12c!B83</f>
        <v>0</v>
      </c>
      <c r="Y83" s="197">
        <f t="shared" si="7"/>
        <v>0</v>
      </c>
      <c r="Z83" s="197">
        <f>F83-TableUK12d!F83-L83</f>
        <v>0</v>
      </c>
    </row>
    <row r="84" spans="1:27" ht="12" customHeight="1">
      <c r="A84" s="198">
        <f t="shared" si="2"/>
        <v>1914</v>
      </c>
      <c r="B84" s="2232">
        <f t="shared" si="8"/>
        <v>0.1061311197612877</v>
      </c>
      <c r="C84" s="386">
        <f>H84-TableUK12d!M84</f>
        <v>0.23970553925120017</v>
      </c>
      <c r="D84" s="1243"/>
      <c r="E84" s="386"/>
      <c r="F84" s="386">
        <f>K84-TableUK12d!Q84</f>
        <v>-0.13357441948991247</v>
      </c>
      <c r="G84" s="570">
        <f>TableUK12b!H84</f>
        <v>0.15028795265051498</v>
      </c>
      <c r="H84" s="308">
        <f t="shared" si="9"/>
        <v>0.27586846273806731</v>
      </c>
      <c r="I84" s="308"/>
      <c r="J84" s="308"/>
      <c r="K84" s="394">
        <f>TableUK12d!K84+L84</f>
        <v>-0.12558051008755236</v>
      </c>
      <c r="L84" s="307">
        <f>(DataUK1!GU72)/DataUK1!G72</f>
        <v>-0.14055527585741123</v>
      </c>
      <c r="M84" s="679">
        <f>(DataUK1!$GY72)/DataUK1!$G72</f>
        <v>6.0043298869444615E-3</v>
      </c>
      <c r="N84" s="680">
        <f t="shared" si="3"/>
        <v>-0.13455094597046677</v>
      </c>
      <c r="U84" s="563"/>
      <c r="X84" s="1244">
        <f>G84-TableUK12d!L84-TableUK12c!B84</f>
        <v>0</v>
      </c>
      <c r="Y84" s="197">
        <f t="shared" si="7"/>
        <v>0</v>
      </c>
      <c r="Z84" s="197">
        <f>F84-TableUK12d!F84-L84</f>
        <v>0</v>
      </c>
    </row>
    <row r="85" spans="1:27" ht="12" customHeight="1">
      <c r="A85" s="198">
        <f t="shared" si="2"/>
        <v>1915</v>
      </c>
      <c r="B85" s="2232">
        <f t="shared" si="8"/>
        <v>-7.7501410328734865E-2</v>
      </c>
      <c r="C85" s="386">
        <f>H85-TableUK12d!M85</f>
        <v>0.31846043386840345</v>
      </c>
      <c r="D85" s="1243"/>
      <c r="E85" s="386"/>
      <c r="F85" s="386">
        <f>K85-TableUK12d!Q85</f>
        <v>-0.39596184419713831</v>
      </c>
      <c r="G85" s="570">
        <f>TableUK12b!H85</f>
        <v>-2.6944971537001955E-2</v>
      </c>
      <c r="H85" s="308">
        <f t="shared" si="9"/>
        <v>0.36074978204010455</v>
      </c>
      <c r="I85" s="308"/>
      <c r="J85" s="308"/>
      <c r="K85" s="394">
        <f>TableUK12d!K85+L85</f>
        <v>-0.38769475357710653</v>
      </c>
      <c r="L85" s="307">
        <f>(DataUK1!GU73)/DataUK1!G73</f>
        <v>-0.39477409097902455</v>
      </c>
      <c r="M85" s="679">
        <f>(DataUK1!$GY73)/DataUK1!$G73</f>
        <v>1.5286242352350536E-2</v>
      </c>
      <c r="N85" s="680">
        <f t="shared" si="3"/>
        <v>-0.37948784862667401</v>
      </c>
      <c r="U85" s="563"/>
      <c r="X85" s="1244">
        <f>G85-TableUK12d!L85-TableUK12c!B85</f>
        <v>0</v>
      </c>
      <c r="Y85" s="197">
        <f t="shared" si="7"/>
        <v>0</v>
      </c>
      <c r="Z85" s="197">
        <f>F85-TableUK12d!F85-L85</f>
        <v>0</v>
      </c>
    </row>
    <row r="86" spans="1:27" ht="12" customHeight="1">
      <c r="A86" s="198">
        <f t="shared" si="2"/>
        <v>1916</v>
      </c>
      <c r="B86" s="2232">
        <f t="shared" si="8"/>
        <v>-7.8001829481557261E-2</v>
      </c>
      <c r="C86" s="386">
        <f>H86-TableUK12d!M86</f>
        <v>0.38146439236998569</v>
      </c>
      <c r="D86" s="1243"/>
      <c r="E86" s="386"/>
      <c r="F86" s="386">
        <f>K86-TableUK12d!Q86</f>
        <v>-0.45946622185154296</v>
      </c>
      <c r="G86" s="570">
        <f>TableUK12b!H86</f>
        <v>-2.4902024088173901E-2</v>
      </c>
      <c r="H86" s="308">
        <f t="shared" si="9"/>
        <v>0.42594590474140631</v>
      </c>
      <c r="I86" s="308"/>
      <c r="J86" s="308"/>
      <c r="K86" s="394">
        <f>TableUK12d!K86+L86</f>
        <v>-0.45084792882958019</v>
      </c>
      <c r="L86" s="307">
        <f>(DataUK1!GU74)/DataUK1!G74</f>
        <v>-0.45412081752715072</v>
      </c>
      <c r="M86" s="679">
        <f>(DataUK1!$GY74)/DataUK1!$G74</f>
        <v>2.9016612571019375E-2</v>
      </c>
      <c r="N86" s="680">
        <f t="shared" si="3"/>
        <v>-0.42510420495613133</v>
      </c>
      <c r="U86" s="563"/>
      <c r="X86" s="1244">
        <f>G86-TableUK12d!L86-TableUK12c!B86</f>
        <v>0</v>
      </c>
      <c r="Y86" s="197">
        <f t="shared" si="7"/>
        <v>0</v>
      </c>
      <c r="Z86" s="197">
        <f>F86-TableUK12d!F86-L86</f>
        <v>0</v>
      </c>
    </row>
    <row r="87" spans="1:27" ht="12" customHeight="1">
      <c r="A87" s="198">
        <f>A88-1</f>
        <v>1917</v>
      </c>
      <c r="B87" s="2232">
        <f t="shared" si="8"/>
        <v>-2.5681803528830316E-2</v>
      </c>
      <c r="C87" s="386">
        <f>H87-TableUK12d!M87</f>
        <v>0.42623913806566222</v>
      </c>
      <c r="D87" s="1243"/>
      <c r="E87" s="386"/>
      <c r="F87" s="386">
        <f>K87-TableUK12d!Q87</f>
        <v>-0.45192094159449253</v>
      </c>
      <c r="G87" s="570">
        <f>TableUK12b!H87</f>
        <v>2.517318203634844E-2</v>
      </c>
      <c r="H87" s="308">
        <f t="shared" si="9"/>
        <v>0.46621248916492936</v>
      </c>
      <c r="I87" s="308"/>
      <c r="J87" s="308"/>
      <c r="K87" s="394">
        <f>TableUK12d!K87+L87</f>
        <v>-0.44103930712858092</v>
      </c>
      <c r="L87" s="307">
        <f>(DataUK1!GU75)/DataUK1!G75</f>
        <v>-0.44278008209580705</v>
      </c>
      <c r="M87" s="679">
        <f>(DataUK1!$GY75)/DataUK1!$G75</f>
        <v>3.4860901126115451E-2</v>
      </c>
      <c r="N87" s="680">
        <f t="shared" si="3"/>
        <v>-0.4079191809696916</v>
      </c>
      <c r="U87" s="563"/>
      <c r="X87" s="1244">
        <f>G87-TableUK12d!L87-TableUK12c!B87</f>
        <v>0</v>
      </c>
      <c r="Y87" s="197">
        <f t="shared" si="7"/>
        <v>0</v>
      </c>
      <c r="Z87" s="197">
        <f>F87-TableUK12d!F87-L87</f>
        <v>0</v>
      </c>
    </row>
    <row r="88" spans="1:27" ht="12" customHeight="1">
      <c r="A88" s="198">
        <v>1918</v>
      </c>
      <c r="B88" s="2232">
        <f t="shared" si="8"/>
        <v>-6.1395960399036054E-2</v>
      </c>
      <c r="C88" s="386">
        <f>H88-TableUK12d!M89</f>
        <v>0.27977594491722313</v>
      </c>
      <c r="D88" s="1243"/>
      <c r="E88" s="386"/>
      <c r="F88" s="386">
        <f>K88-TableUK12d!Q88</f>
        <v>-0.34117190531625918</v>
      </c>
      <c r="G88" s="570">
        <f>TableUK12b!H88</f>
        <v>4.8659356340830448E-3</v>
      </c>
      <c r="H88" s="308">
        <f t="shared" si="9"/>
        <v>0.33226213276252697</v>
      </c>
      <c r="I88" s="308"/>
      <c r="J88" s="308"/>
      <c r="K88" s="394">
        <f>TableUK12d!K88+L88</f>
        <v>-0.32739619712844392</v>
      </c>
      <c r="L88" s="307">
        <f>(DataUK1!GU76)/DataUK1!G76</f>
        <v>-0.32942155795060524</v>
      </c>
      <c r="M88" s="679">
        <f>(DataUK1!$GY76)/DataUK1!$G76</f>
        <v>4.3529507875694866E-2</v>
      </c>
      <c r="N88" s="680">
        <f t="shared" si="3"/>
        <v>-0.28589205007491036</v>
      </c>
      <c r="U88" s="563"/>
      <c r="X88" s="1244">
        <f>G88-TableUK12d!L88-TableUK12c!B88</f>
        <v>1.5039544461524224E-2</v>
      </c>
      <c r="Y88" s="197">
        <f t="shared" si="7"/>
        <v>0</v>
      </c>
      <c r="Z88" s="197">
        <f>F88-TableUK12d!F88-L88</f>
        <v>0</v>
      </c>
    </row>
    <row r="89" spans="1:27" ht="12" customHeight="1">
      <c r="A89" s="198">
        <v>1919</v>
      </c>
      <c r="B89" s="2232">
        <f t="shared" si="8"/>
        <v>-1.4411115596780474E-2</v>
      </c>
      <c r="C89" s="386">
        <f>H89-TableUK12d!M90</f>
        <v>5.1850394532132998E-2</v>
      </c>
      <c r="D89" s="1243"/>
      <c r="E89" s="386"/>
      <c r="F89" s="386">
        <f>K89-TableUK12d!Q89</f>
        <v>-6.6261510128913473E-2</v>
      </c>
      <c r="G89" s="570">
        <f>TableUK12b!H89</f>
        <v>6.4369987524505332E-2</v>
      </c>
      <c r="H89" s="308">
        <f t="shared" si="9"/>
        <v>0.12400166339927515</v>
      </c>
      <c r="I89" s="308"/>
      <c r="J89" s="308"/>
      <c r="K89" s="394">
        <f>TableUK12d!K89+L89</f>
        <v>-5.9631675874769828E-2</v>
      </c>
      <c r="L89" s="307">
        <f>(DataUK1!GU77)/DataUK1!G77</f>
        <v>-6.7551832709558626E-2</v>
      </c>
      <c r="M89" s="679">
        <f>(DataUK1!$GY77)/DataUK1!$G77</f>
        <v>5.0896806527205254E-2</v>
      </c>
      <c r="N89" s="680">
        <f t="shared" ref="N89:N152" si="10">L89+M89</f>
        <v>-1.6655026182353372E-2</v>
      </c>
      <c r="U89" s="563"/>
      <c r="X89" s="1244">
        <f>G89-TableUK12d!L89-TableUK12c!B89</f>
        <v>1.9665081021838303E-2</v>
      </c>
      <c r="Y89" s="197">
        <f t="shared" ref="Y89:Y120" si="11">B89-C89-F89</f>
        <v>0</v>
      </c>
      <c r="Z89" s="197">
        <f>F89-TableUK12d!F89-L89</f>
        <v>0</v>
      </c>
    </row>
    <row r="90" spans="1:27" ht="12" customHeight="1">
      <c r="A90" s="199" t="s">
        <v>651</v>
      </c>
      <c r="B90" s="2234">
        <f>B$91</f>
        <v>7.4158467115484281E-2</v>
      </c>
      <c r="C90" s="1417">
        <f t="shared" ref="C90:N90" si="12">C$91</f>
        <v>6.449162782668745E-2</v>
      </c>
      <c r="D90" s="1418">
        <f t="shared" si="12"/>
        <v>2.0863998095433246E-2</v>
      </c>
      <c r="E90" s="1417">
        <f t="shared" si="12"/>
        <v>4.3627629731254204E-2</v>
      </c>
      <c r="F90" s="1417">
        <f t="shared" si="12"/>
        <v>9.666839288796825E-3</v>
      </c>
      <c r="G90" s="572">
        <f t="shared" si="12"/>
        <v>0.14924909373381673</v>
      </c>
      <c r="H90" s="551">
        <f t="shared" si="12"/>
        <v>0.13612981184187817</v>
      </c>
      <c r="I90" s="551">
        <f t="shared" si="12"/>
        <v>4.0876920421198032E-2</v>
      </c>
      <c r="J90" s="551">
        <f t="shared" si="12"/>
        <v>9.5252891420680164E-2</v>
      </c>
      <c r="K90" s="554">
        <f t="shared" si="12"/>
        <v>1.3119281891938547E-2</v>
      </c>
      <c r="L90" s="569">
        <f t="shared" si="12"/>
        <v>-9.9948213360952932E-3</v>
      </c>
      <c r="M90" s="1419">
        <f t="shared" si="12"/>
        <v>4.9199284499975696E-2</v>
      </c>
      <c r="N90" s="1420">
        <f t="shared" si="12"/>
        <v>3.9204463163880404E-2</v>
      </c>
      <c r="U90" s="563"/>
      <c r="X90" s="1244">
        <f>G90-TableUK12d!L90-TableUK12c!B90</f>
        <v>-3.7794196683922643E-4</v>
      </c>
      <c r="Y90" s="197">
        <f t="shared" si="11"/>
        <v>0</v>
      </c>
      <c r="Z90" s="197">
        <f>F90-TableUK12d!F90-L90</f>
        <v>-8.8339036539895888E-5</v>
      </c>
    </row>
    <row r="91" spans="1:27" ht="12" customHeight="1">
      <c r="A91" s="198" t="s">
        <v>652</v>
      </c>
      <c r="B91" s="303">
        <f t="shared" ref="B91:B153" si="13">C91+F91</f>
        <v>7.4158467115484281E-2</v>
      </c>
      <c r="C91" s="308">
        <f t="shared" ref="C91:C154" si="14">D91+E91</f>
        <v>6.449162782668745E-2</v>
      </c>
      <c r="D91" s="308">
        <f>I91-TableUK12d!N91</f>
        <v>2.0863998095433246E-2</v>
      </c>
      <c r="E91" s="308">
        <f>J91-TableUK12d!P91</f>
        <v>4.3627629731254204E-2</v>
      </c>
      <c r="F91" s="386">
        <f>K91-TableUK12d!Q91</f>
        <v>9.666839288796825E-3</v>
      </c>
      <c r="G91" s="570">
        <f>TableUK12b!H91</f>
        <v>0.14924909373381673</v>
      </c>
      <c r="H91" s="308">
        <f t="shared" ref="H91:H121" si="15">G91-K91</f>
        <v>0.13612981184187817</v>
      </c>
      <c r="I91" s="308">
        <f>(DataUK1!FK79)/DataUK1!$G79+0.5*V91</f>
        <v>4.0876920421198032E-2</v>
      </c>
      <c r="J91" s="308">
        <f>(DataUK1!FT79)/DataUK1!G79+0.5*V91</f>
        <v>9.5252891420680164E-2</v>
      </c>
      <c r="K91" s="394">
        <f>(DataUK1!GK79)/DataUK1!G79</f>
        <v>1.3119281891938547E-2</v>
      </c>
      <c r="L91" s="307">
        <f>(DataUK1!GU79)/DataUK1!G79</f>
        <v>-9.9948213360952932E-3</v>
      </c>
      <c r="M91" s="679">
        <f>(DataUK1!$GY79)/DataUK1!$G79</f>
        <v>4.9199284499975696E-2</v>
      </c>
      <c r="N91" s="680">
        <f t="shared" si="10"/>
        <v>3.9204463163880404E-2</v>
      </c>
      <c r="T91" s="364">
        <f>TableUK12b!H91</f>
        <v>0.14924909373381673</v>
      </c>
      <c r="U91" s="364">
        <f>(DataUK1!FK79+DataUK1!FT79+DataUK1!GK79)/DataUK1!$G79</f>
        <v>4.5744864491627825E-2</v>
      </c>
      <c r="V91" s="300">
        <f t="shared" ref="V91:V154" si="16">T91-U91</f>
        <v>0.10350422924218891</v>
      </c>
      <c r="W91" s="300">
        <f t="shared" ref="W91:W154" si="17">H91-I91-J91</f>
        <v>0</v>
      </c>
      <c r="X91" s="1244">
        <f>G91-TableUK12d!L91-TableUK12c!B91</f>
        <v>0</v>
      </c>
      <c r="Y91" s="197">
        <f t="shared" si="11"/>
        <v>0</v>
      </c>
      <c r="Z91" s="197">
        <f>F91-TableUK12d!F91-L91</f>
        <v>0</v>
      </c>
    </row>
    <row r="92" spans="1:27" ht="12" customHeight="1">
      <c r="A92" s="198">
        <v>1921</v>
      </c>
      <c r="B92" s="303">
        <f t="shared" si="13"/>
        <v>5.9153225806451604E-2</v>
      </c>
      <c r="C92" s="308">
        <f t="shared" si="14"/>
        <v>5.612903225806451E-2</v>
      </c>
      <c r="D92" s="308">
        <f>I92-TableUK12d!N92</f>
        <v>3.0285355545665981E-2</v>
      </c>
      <c r="E92" s="308">
        <f>J92-TableUK12d!P92</f>
        <v>2.5843676712398532E-2</v>
      </c>
      <c r="F92" s="386">
        <f>K92-TableUK12d!Q92</f>
        <v>3.0241935483870967E-3</v>
      </c>
      <c r="G92" s="570">
        <f>TableUK12b!H92</f>
        <v>0.13012096774193549</v>
      </c>
      <c r="H92" s="308">
        <f t="shared" si="15"/>
        <v>0.12205645161290324</v>
      </c>
      <c r="I92" s="308">
        <f>(DataUK1!FK80)/DataUK1!$G80+0.5*V92</f>
        <v>4.9637096774193548E-2</v>
      </c>
      <c r="J92" s="308">
        <f>(DataUK1!FT80)/DataUK1!G80+0.5*V92</f>
        <v>7.2419354838709676E-2</v>
      </c>
      <c r="K92" s="394">
        <f>(DataUK1!GK80)/DataUK1!G80</f>
        <v>8.0645161290322578E-3</v>
      </c>
      <c r="L92" s="307">
        <f>(DataUK1!GU80)/DataUK1!G80</f>
        <v>-3.3608870967741934E-2</v>
      </c>
      <c r="M92" s="679">
        <f>(DataUK1!$GY80)/DataUK1!$G80</f>
        <v>5.4231124538100473E-2</v>
      </c>
      <c r="N92" s="680">
        <f t="shared" si="10"/>
        <v>2.0622253570358538E-2</v>
      </c>
      <c r="T92" s="364">
        <f>TableUK12b!H92</f>
        <v>0.13012096774193549</v>
      </c>
      <c r="U92" s="364">
        <f>(DataUK1!FK80+DataUK1!FT80+DataUK1!GK80)/DataUK1!$G80</f>
        <v>1.189516129032258E-2</v>
      </c>
      <c r="V92" s="300">
        <f t="shared" si="16"/>
        <v>0.1182258064516129</v>
      </c>
      <c r="W92" s="300">
        <f t="shared" si="17"/>
        <v>0</v>
      </c>
      <c r="X92" s="1244">
        <f>G92-TableUK12d!L92-TableUK12c!B92</f>
        <v>0</v>
      </c>
      <c r="Y92" s="197">
        <f t="shared" si="11"/>
        <v>0</v>
      </c>
      <c r="Z92" s="197">
        <f>F92-TableUK12d!F92-L92</f>
        <v>0</v>
      </c>
      <c r="AA92" s="197">
        <f>K91-L91-TableUK12d!K91</f>
        <v>0</v>
      </c>
    </row>
    <row r="93" spans="1:27" ht="12" customHeight="1">
      <c r="A93" s="198">
        <f t="shared" ref="A93:A119" si="18">A92+1</f>
        <v>1922</v>
      </c>
      <c r="B93" s="303">
        <f t="shared" si="13"/>
        <v>6.2877082395317432E-2</v>
      </c>
      <c r="C93" s="308">
        <f t="shared" si="14"/>
        <v>5.8599729851418286E-2</v>
      </c>
      <c r="D93" s="308">
        <f>I93-TableUK12d!N93</f>
        <v>3.8148692479307335E-3</v>
      </c>
      <c r="E93" s="308">
        <f>J93-TableUK12d!P93</f>
        <v>5.4784860603487549E-2</v>
      </c>
      <c r="F93" s="386">
        <f>K93-TableUK12d!Q93</f>
        <v>4.2773525438991444E-3</v>
      </c>
      <c r="G93" s="570">
        <f>TableUK12b!H93</f>
        <v>0.13356596127870329</v>
      </c>
      <c r="H93" s="308">
        <f t="shared" si="15"/>
        <v>0.11938316073840613</v>
      </c>
      <c r="I93" s="308">
        <f>(DataUK1!FK81)/DataUK1!$G81+0.5*V93</f>
        <v>2.5022512381809997E-2</v>
      </c>
      <c r="J93" s="308">
        <f>(DataUK1!FT81)/DataUK1!G81+0.5*V93</f>
        <v>9.4360648356596133E-2</v>
      </c>
      <c r="K93" s="394">
        <f>(DataUK1!GK81)/DataUK1!G81</f>
        <v>1.4182800540297164E-2</v>
      </c>
      <c r="L93" s="307">
        <f>(DataUK1!GU81)/DataUK1!G81</f>
        <v>-2.0936515083295814E-2</v>
      </c>
      <c r="M93" s="679">
        <f>(DataUK1!$GY81)/DataUK1!$G81</f>
        <v>6.0555240366721837E-2</v>
      </c>
      <c r="N93" s="680">
        <f t="shared" si="10"/>
        <v>3.9618725283426026E-2</v>
      </c>
      <c r="T93" s="364">
        <f>TableUK12b!H93</f>
        <v>0.13356596127870329</v>
      </c>
      <c r="U93" s="364">
        <f>(DataUK1!FK81+DataUK1!FT81+DataUK1!GK81)/DataUK1!$G81</f>
        <v>6.506078343088699E-2</v>
      </c>
      <c r="V93" s="300">
        <f t="shared" si="16"/>
        <v>6.8505177847816304E-2</v>
      </c>
      <c r="W93" s="300">
        <f t="shared" si="17"/>
        <v>0</v>
      </c>
      <c r="X93" s="1244">
        <f>G93-TableUK12d!L93-TableUK12c!B93</f>
        <v>0</v>
      </c>
      <c r="Y93" s="197">
        <f t="shared" si="11"/>
        <v>0</v>
      </c>
      <c r="Z93" s="197">
        <f>F93-TableUK12d!F93-L93</f>
        <v>0</v>
      </c>
      <c r="AA93" s="197">
        <f>K92-L92-TableUK12d!K92</f>
        <v>0</v>
      </c>
    </row>
    <row r="94" spans="1:27" ht="12" customHeight="1">
      <c r="A94" s="198">
        <f t="shared" si="18"/>
        <v>1923</v>
      </c>
      <c r="B94" s="303">
        <f t="shared" si="13"/>
        <v>6.1128013105546414E-2</v>
      </c>
      <c r="C94" s="308">
        <f t="shared" si="14"/>
        <v>5.3639129417271197E-2</v>
      </c>
      <c r="D94" s="308">
        <f>I94-TableUK12d!N94</f>
        <v>8.6750764355023359E-3</v>
      </c>
      <c r="E94" s="308">
        <f>J94-TableUK12d!P94</f>
        <v>4.4964052981768858E-2</v>
      </c>
      <c r="F94" s="386">
        <f>K94-TableUK12d!Q94</f>
        <v>7.4888836882752163E-3</v>
      </c>
      <c r="G94" s="570">
        <f>TableUK12b!H94</f>
        <v>0.12852796630002336</v>
      </c>
      <c r="H94" s="308">
        <f t="shared" si="15"/>
        <v>0.11074186754036972</v>
      </c>
      <c r="I94" s="308">
        <f>(DataUK1!FK82)/DataUK1!$G82+0.5*V94</f>
        <v>3.0329978937514605E-2</v>
      </c>
      <c r="J94" s="308">
        <f>(DataUK1!FT82)/DataUK1!G82+0.5*V94</f>
        <v>8.0411888602855114E-2</v>
      </c>
      <c r="K94" s="394">
        <f>(DataUK1!GK82)/DataUK1!G82</f>
        <v>1.7786098759653639E-2</v>
      </c>
      <c r="L94" s="307">
        <f>(DataUK1!GU82)/DataUK1!G82</f>
        <v>-8.9866604259302551E-3</v>
      </c>
      <c r="M94" s="679">
        <f>(DataUK1!$GY82)/DataUK1!$G82</f>
        <v>6.0260227115468377E-2</v>
      </c>
      <c r="N94" s="680">
        <f t="shared" si="10"/>
        <v>5.1273566689538121E-2</v>
      </c>
      <c r="T94" s="364">
        <f>TableUK12b!H94</f>
        <v>0.12852796630002336</v>
      </c>
      <c r="U94" s="364">
        <f>(DataUK1!FK82+DataUK1!FT82+DataUK1!GK82)/DataUK1!$G82</f>
        <v>6.1315235197753337E-2</v>
      </c>
      <c r="V94" s="300">
        <f t="shared" si="16"/>
        <v>6.7212731102270024E-2</v>
      </c>
      <c r="W94" s="300">
        <f t="shared" si="17"/>
        <v>0</v>
      </c>
      <c r="X94" s="1244">
        <f>G94-TableUK12d!L94-TableUK12c!B94</f>
        <v>0</v>
      </c>
      <c r="Y94" s="197">
        <f t="shared" si="11"/>
        <v>0</v>
      </c>
      <c r="Z94" s="197">
        <f>F94-TableUK12d!F94-L94</f>
        <v>0</v>
      </c>
      <c r="AA94" s="197">
        <f>K93-L93-TableUK12d!K93</f>
        <v>0</v>
      </c>
    </row>
    <row r="95" spans="1:27" ht="12" customHeight="1">
      <c r="A95" s="198">
        <f t="shared" si="18"/>
        <v>1924</v>
      </c>
      <c r="B95" s="303">
        <f t="shared" si="13"/>
        <v>6.2142197599261317E-2</v>
      </c>
      <c r="C95" s="308">
        <f t="shared" si="14"/>
        <v>6.6297322253000932E-2</v>
      </c>
      <c r="D95" s="308">
        <f>I95-TableUK12d!N95</f>
        <v>2.0494327553180723E-2</v>
      </c>
      <c r="E95" s="308">
        <f>J95-TableUK12d!P95</f>
        <v>4.5802994699820208E-2</v>
      </c>
      <c r="F95" s="386">
        <f>K95-TableUK12d!Q95</f>
        <v>-4.1551246537396124E-3</v>
      </c>
      <c r="G95" s="570">
        <f>TableUK12b!H95</f>
        <v>0.12746999076638965</v>
      </c>
      <c r="H95" s="308">
        <f t="shared" si="15"/>
        <v>0.12239150507848567</v>
      </c>
      <c r="I95" s="308">
        <f>(DataUK1!FK83)/DataUK1!$G83+0.5*V95</f>
        <v>4.2382271468144044E-2</v>
      </c>
      <c r="J95" s="308">
        <f>(DataUK1!FT83)/DataUK1!G83+0.5*V95</f>
        <v>8.0009233610341651E-2</v>
      </c>
      <c r="K95" s="394">
        <f>(DataUK1!GK83)/DataUK1!G83</f>
        <v>5.0784856879039705E-3</v>
      </c>
      <c r="L95" s="307">
        <f>(DataUK1!GU83)/DataUK1!G83</f>
        <v>-2.4030470914127414E-2</v>
      </c>
      <c r="M95" s="679">
        <f>(DataUK1!$GY83)/DataUK1!$G83</f>
        <v>6.0388526310072091E-2</v>
      </c>
      <c r="N95" s="680">
        <f t="shared" si="10"/>
        <v>3.635805539594468E-2</v>
      </c>
      <c r="T95" s="364">
        <f>TableUK12b!H95</f>
        <v>0.12746999076638965</v>
      </c>
      <c r="U95" s="364">
        <f>(DataUK1!FK83+DataUK1!FT83+DataUK1!GK83)/DataUK1!$G83</f>
        <v>6.4404432132963985E-2</v>
      </c>
      <c r="V95" s="300">
        <f t="shared" si="16"/>
        <v>6.3065558633425667E-2</v>
      </c>
      <c r="W95" s="300">
        <f t="shared" si="17"/>
        <v>0</v>
      </c>
      <c r="X95" s="1244">
        <f>G95-TableUK12d!L95-TableUK12c!B95</f>
        <v>0</v>
      </c>
      <c r="Y95" s="197">
        <f t="shared" si="11"/>
        <v>0</v>
      </c>
      <c r="Z95" s="197">
        <f>F95-TableUK12d!F95-L95</f>
        <v>0</v>
      </c>
      <c r="AA95" s="197">
        <f>K94-L94-TableUK12d!K94</f>
        <v>0</v>
      </c>
    </row>
    <row r="96" spans="1:27" ht="12" customHeight="1">
      <c r="A96" s="198">
        <f t="shared" si="18"/>
        <v>1925</v>
      </c>
      <c r="B96" s="303">
        <f t="shared" si="13"/>
        <v>9.3403004572175055E-2</v>
      </c>
      <c r="C96" s="308">
        <f t="shared" si="14"/>
        <v>9.9063792728064454E-2</v>
      </c>
      <c r="D96" s="308">
        <f>I96-TableUK12d!N96</f>
        <v>3.680475774262057E-2</v>
      </c>
      <c r="E96" s="308">
        <f>J96-TableUK12d!P96</f>
        <v>6.2259034985443884E-2</v>
      </c>
      <c r="F96" s="386">
        <f>K96-TableUK12d!Q96</f>
        <v>-5.6607881558893968E-3</v>
      </c>
      <c r="G96" s="570">
        <f>TableUK12b!H96</f>
        <v>0.15501850642281734</v>
      </c>
      <c r="H96" s="308">
        <f t="shared" si="15"/>
        <v>0.15153494448073154</v>
      </c>
      <c r="I96" s="308">
        <f>(DataUK1!FK84)/DataUK1!$G84+0.5*V96</f>
        <v>5.7914217287176141E-2</v>
      </c>
      <c r="J96" s="308">
        <f>(DataUK1!FT84)/DataUK1!G84+0.5*V96</f>
        <v>9.3620727193555409E-2</v>
      </c>
      <c r="K96" s="394">
        <f>(DataUK1!GK84)/DataUK1!G84</f>
        <v>3.4835619420857827E-3</v>
      </c>
      <c r="L96" s="307">
        <f>(DataUK1!GU84)/DataUK1!G84</f>
        <v>-3.1047245808839531E-2</v>
      </c>
      <c r="M96" s="679">
        <f>(DataUK1!$GY84)/DataUK1!$G84</f>
        <v>5.622622661082724E-2</v>
      </c>
      <c r="N96" s="680">
        <f t="shared" si="10"/>
        <v>2.5178980801987709E-2</v>
      </c>
      <c r="T96" s="364">
        <f>TableUK12b!H96</f>
        <v>0.15501850642281734</v>
      </c>
      <c r="U96" s="364">
        <f>(DataUK1!FK84+DataUK1!FT84+DataUK1!GK84)/DataUK1!$G84</f>
        <v>6.9671238841715652E-2</v>
      </c>
      <c r="V96" s="300">
        <f t="shared" si="16"/>
        <v>8.5347267581101685E-2</v>
      </c>
      <c r="W96" s="300">
        <f t="shared" si="17"/>
        <v>0</v>
      </c>
      <c r="X96" s="1244">
        <f>G96-TableUK12d!L96-TableUK12c!B96</f>
        <v>0</v>
      </c>
      <c r="Y96" s="197">
        <f t="shared" si="11"/>
        <v>0</v>
      </c>
      <c r="Z96" s="197">
        <f>F96-TableUK12d!F96-L96</f>
        <v>0</v>
      </c>
      <c r="AA96" s="197">
        <f>K95-L95-TableUK12d!K95</f>
        <v>0</v>
      </c>
    </row>
    <row r="97" spans="1:27" ht="12" customHeight="1">
      <c r="A97" s="198">
        <f t="shared" si="18"/>
        <v>1926</v>
      </c>
      <c r="B97" s="303">
        <f t="shared" si="13"/>
        <v>4.9954022988505799E-2</v>
      </c>
      <c r="C97" s="308">
        <f t="shared" si="14"/>
        <v>6.5126436781609245E-2</v>
      </c>
      <c r="D97" s="308">
        <f>I97-TableUK12d!N97</f>
        <v>2.4163612104180245E-2</v>
      </c>
      <c r="E97" s="308">
        <f>J97-TableUK12d!P97</f>
        <v>4.0962824677429004E-2</v>
      </c>
      <c r="F97" s="386">
        <f>K97-TableUK12d!Q97</f>
        <v>-1.5172413793103448E-2</v>
      </c>
      <c r="G97" s="570">
        <f>TableUK12b!H97</f>
        <v>0.1150114942528736</v>
      </c>
      <c r="H97" s="308">
        <f t="shared" si="15"/>
        <v>0.12098850574712648</v>
      </c>
      <c r="I97" s="308">
        <f>(DataUK1!FK85)/DataUK1!$G85+0.5*V97</f>
        <v>4.6011494252873583E-2</v>
      </c>
      <c r="J97" s="308">
        <f>(DataUK1!FT85)/DataUK1!G85+0.5*V97</f>
        <v>7.4977011494252899E-2</v>
      </c>
      <c r="K97" s="394">
        <f>(DataUK1!GK85)/DataUK1!G85</f>
        <v>-5.9770114942528738E-3</v>
      </c>
      <c r="L97" s="307">
        <f>(DataUK1!GU85)/DataUK1!G85</f>
        <v>-4.6919540229885079E-2</v>
      </c>
      <c r="M97" s="679">
        <f>(DataUK1!$GY85)/DataUK1!$G85</f>
        <v>6.1373047222518809E-2</v>
      </c>
      <c r="N97" s="680">
        <f t="shared" si="10"/>
        <v>1.445350699263373E-2</v>
      </c>
      <c r="T97" s="364">
        <f>TableUK12b!H97</f>
        <v>0.1150114942528736</v>
      </c>
      <c r="U97" s="364">
        <f>(DataUK1!FK85+DataUK1!FT85+DataUK1!GK85)/DataUK1!$G85</f>
        <v>4.9195402298850575E-2</v>
      </c>
      <c r="V97" s="300">
        <f t="shared" si="16"/>
        <v>6.581609195402302E-2</v>
      </c>
      <c r="W97" s="300">
        <f t="shared" si="17"/>
        <v>0</v>
      </c>
      <c r="X97" s="1244">
        <f>G97-TableUK12d!L97-TableUK12c!B97</f>
        <v>0</v>
      </c>
      <c r="Y97" s="197">
        <f t="shared" si="11"/>
        <v>0</v>
      </c>
      <c r="Z97" s="197">
        <f>F97-TableUK12d!F97-L97</f>
        <v>0</v>
      </c>
      <c r="AA97" s="197">
        <f>K96-L96-TableUK12d!K96</f>
        <v>0</v>
      </c>
    </row>
    <row r="98" spans="1:27" ht="12" customHeight="1">
      <c r="A98" s="198">
        <f t="shared" si="18"/>
        <v>1927</v>
      </c>
      <c r="B98" s="303">
        <f t="shared" si="13"/>
        <v>8.5458123769954097E-2</v>
      </c>
      <c r="C98" s="308">
        <f t="shared" si="14"/>
        <v>8.7207522414170152E-2</v>
      </c>
      <c r="D98" s="308">
        <f>I98-TableUK12d!N98</f>
        <v>4.2795594207709661E-2</v>
      </c>
      <c r="E98" s="308">
        <f>J98-TableUK12d!P98</f>
        <v>4.4411928206460491E-2</v>
      </c>
      <c r="F98" s="386">
        <f>K98-TableUK12d!Q98</f>
        <v>-1.7493986442160513E-3</v>
      </c>
      <c r="G98" s="570">
        <f>TableUK12b!H98</f>
        <v>0.14646840148698886</v>
      </c>
      <c r="H98" s="308">
        <f t="shared" si="15"/>
        <v>0.13772140826590862</v>
      </c>
      <c r="I98" s="308">
        <f>(DataUK1!FK86)/DataUK1!$G86+0.5*V98</f>
        <v>6.4377870107150681E-2</v>
      </c>
      <c r="J98" s="308">
        <f>(DataUK1!FT86)/DataUK1!G86+0.5*V98</f>
        <v>7.3343538158757937E-2</v>
      </c>
      <c r="K98" s="394">
        <f>(DataUK1!GK86)/DataUK1!G86</f>
        <v>8.7469932210802528E-3</v>
      </c>
      <c r="L98" s="307">
        <f>(DataUK1!GU86)/DataUK1!G86</f>
        <v>-3.1904657773890233E-2</v>
      </c>
      <c r="M98" s="679">
        <f>(DataUK1!$GY86)/DataUK1!$G86</f>
        <v>5.7499565019880489E-2</v>
      </c>
      <c r="N98" s="680">
        <f t="shared" si="10"/>
        <v>2.5594907245990256E-2</v>
      </c>
      <c r="T98" s="364">
        <f>TableUK12b!H98</f>
        <v>0.14646840148698886</v>
      </c>
      <c r="U98" s="364">
        <f>(DataUK1!FK86+DataUK1!FT86+DataUK1!GK86)/DataUK1!$G86</f>
        <v>9.5560900940301771E-2</v>
      </c>
      <c r="V98" s="300">
        <f t="shared" si="16"/>
        <v>5.0907500546687093E-2</v>
      </c>
      <c r="W98" s="300">
        <f t="shared" si="17"/>
        <v>0</v>
      </c>
      <c r="X98" s="1244">
        <f>G98-TableUK12d!L98-TableUK12c!B98</f>
        <v>0</v>
      </c>
      <c r="Y98" s="197">
        <f t="shared" si="11"/>
        <v>-3.4694469519536142E-18</v>
      </c>
      <c r="Z98" s="197">
        <f>F98-TableUK12d!F98-L98</f>
        <v>0</v>
      </c>
      <c r="AA98" s="197">
        <f>K97-L97-TableUK12d!K97</f>
        <v>0</v>
      </c>
    </row>
    <row r="99" spans="1:27" ht="12" customHeight="1">
      <c r="A99" s="198">
        <f t="shared" si="18"/>
        <v>1928</v>
      </c>
      <c r="B99" s="303">
        <f t="shared" si="13"/>
        <v>8.1690140845070425E-2</v>
      </c>
      <c r="C99" s="308">
        <f t="shared" si="14"/>
        <v>8.4940411700975091E-2</v>
      </c>
      <c r="D99" s="308">
        <f>I99-TableUK12d!N99</f>
        <v>3.9794217934069759E-2</v>
      </c>
      <c r="E99" s="308">
        <f>J99-TableUK12d!P99</f>
        <v>4.5146193766905332E-2</v>
      </c>
      <c r="F99" s="386">
        <f>K99-TableUK12d!Q99</f>
        <v>-3.2502708559046592E-3</v>
      </c>
      <c r="G99" s="570">
        <f>TableUK12b!H99</f>
        <v>0.14322860238353197</v>
      </c>
      <c r="H99" s="308">
        <f t="shared" si="15"/>
        <v>0.13542795232936078</v>
      </c>
      <c r="I99" s="308">
        <f>(DataUK1!FK87)/DataUK1!$G87+0.5*V99</f>
        <v>6.1538461538461542E-2</v>
      </c>
      <c r="J99" s="308">
        <f>(DataUK1!FT87)/DataUK1!G87+0.5*V99</f>
        <v>7.3889490790899237E-2</v>
      </c>
      <c r="K99" s="394">
        <f>(DataUK1!GK87)/DataUK1!G87</f>
        <v>7.8006500541711807E-3</v>
      </c>
      <c r="L99" s="307">
        <f>(DataUK1!GU87)/DataUK1!G87</f>
        <v>-2.741061755146262E-2</v>
      </c>
      <c r="M99" s="679">
        <f>(DataUK1!$GY87)/DataUK1!$G87</f>
        <v>5.6558134230484142E-2</v>
      </c>
      <c r="N99" s="680">
        <f t="shared" si="10"/>
        <v>2.9147516679021521E-2</v>
      </c>
      <c r="T99" s="364">
        <f>TableUK12b!H99</f>
        <v>0.14322860238353197</v>
      </c>
      <c r="U99" s="364">
        <f>(DataUK1!FK87+DataUK1!FT87+DataUK1!GK87)/DataUK1!$G87</f>
        <v>8.8190682556879743E-2</v>
      </c>
      <c r="V99" s="300">
        <f t="shared" si="16"/>
        <v>5.5037919826652223E-2</v>
      </c>
      <c r="W99" s="300">
        <f t="shared" si="17"/>
        <v>0</v>
      </c>
      <c r="X99" s="1244">
        <f>G99-TableUK12d!L99-TableUK12c!B99</f>
        <v>0</v>
      </c>
      <c r="Y99" s="197">
        <f t="shared" si="11"/>
        <v>-6.9388939039072284E-18</v>
      </c>
      <c r="Z99" s="197">
        <f>F99-TableUK12d!F99-L99</f>
        <v>0</v>
      </c>
      <c r="AA99" s="197">
        <f>K98-L98-TableUK12d!K98</f>
        <v>0</v>
      </c>
    </row>
    <row r="100" spans="1:27" ht="12" customHeight="1">
      <c r="A100" s="214">
        <f t="shared" si="18"/>
        <v>1929</v>
      </c>
      <c r="B100" s="565">
        <f t="shared" si="13"/>
        <v>8.3728886038058628E-2</v>
      </c>
      <c r="C100" s="550">
        <f t="shared" si="14"/>
        <v>9.2281376951037039E-2</v>
      </c>
      <c r="D100" s="550">
        <f>I100-TableUK12d!N100</f>
        <v>4.6723499643788233E-2</v>
      </c>
      <c r="E100" s="550">
        <f>J100-TableUK12d!P100</f>
        <v>4.5557877307248806E-2</v>
      </c>
      <c r="F100" s="880">
        <f>K100-TableUK12d!Q100</f>
        <v>-8.5524909129784058E-3</v>
      </c>
      <c r="G100" s="571">
        <f>TableUK12b!H100</f>
        <v>0.14637588197562543</v>
      </c>
      <c r="H100" s="550">
        <f t="shared" si="15"/>
        <v>0.1438101347017319</v>
      </c>
      <c r="I100" s="550">
        <f>(DataUK1!FK88)/DataUK1!$G88+0.5*V100</f>
        <v>6.827025871285014E-2</v>
      </c>
      <c r="J100" s="550">
        <f>(DataUK1!FT88)/DataUK1!G88+0.5*V100</f>
        <v>7.5539875988881774E-2</v>
      </c>
      <c r="K100" s="553">
        <f>(DataUK1!GK88)/DataUK1!G88</f>
        <v>2.5657472738935213E-3</v>
      </c>
      <c r="L100" s="568">
        <f>(DataUK1!GU88)/DataUK1!G88</f>
        <v>-3.1195210605088741E-2</v>
      </c>
      <c r="M100" s="1917">
        <f>(DataUK1!$GY88)/DataUK1!$G88</f>
        <v>5.5054939162795892E-2</v>
      </c>
      <c r="N100" s="1251">
        <f t="shared" si="10"/>
        <v>2.3859728557707151E-2</v>
      </c>
      <c r="T100" s="364">
        <f>TableUK12b!H100</f>
        <v>0.14637588197562543</v>
      </c>
      <c r="U100" s="364">
        <f>(DataUK1!FK88+DataUK1!FT88+DataUK1!GK88)/DataUK1!$G88</f>
        <v>9.1084028223220009E-2</v>
      </c>
      <c r="V100" s="300">
        <f t="shared" si="16"/>
        <v>5.5291853752405418E-2</v>
      </c>
      <c r="W100" s="300">
        <f t="shared" si="17"/>
        <v>0</v>
      </c>
      <c r="X100" s="1244">
        <f>G100-TableUK12d!L100-TableUK12c!B100</f>
        <v>0</v>
      </c>
      <c r="Y100" s="197">
        <f t="shared" si="11"/>
        <v>0</v>
      </c>
      <c r="Z100" s="197">
        <f>F100-TableUK12d!F100-L100</f>
        <v>0</v>
      </c>
      <c r="AA100" s="197">
        <f>K99-L99-TableUK12d!K99</f>
        <v>0</v>
      </c>
    </row>
    <row r="101" spans="1:27" ht="12" customHeight="1">
      <c r="A101" s="198">
        <f t="shared" si="18"/>
        <v>1930</v>
      </c>
      <c r="B101" s="303">
        <f t="shared" si="13"/>
        <v>7.9084400086786716E-2</v>
      </c>
      <c r="C101" s="308">
        <f t="shared" si="14"/>
        <v>9.4055109568236053E-2</v>
      </c>
      <c r="D101" s="308">
        <f>I101-TableUK12d!N101</f>
        <v>5.6606335779757336E-2</v>
      </c>
      <c r="E101" s="308">
        <f>J101-TableUK12d!P101</f>
        <v>3.7448773788478718E-2</v>
      </c>
      <c r="F101" s="386">
        <f>K101-TableUK12d!Q101</f>
        <v>-1.4970709481449337E-2</v>
      </c>
      <c r="G101" s="570">
        <f>TableUK12b!H101</f>
        <v>0.14222174007376873</v>
      </c>
      <c r="H101" s="308">
        <f t="shared" si="15"/>
        <v>0.14547624213495336</v>
      </c>
      <c r="I101" s="308">
        <f>(DataUK1!FK89)/DataUK1!$G89+0.5*V101</f>
        <v>7.7185940551095678E-2</v>
      </c>
      <c r="J101" s="308">
        <f>(DataUK1!FT89)/DataUK1!G89+0.5*V101</f>
        <v>6.8290301583857668E-2</v>
      </c>
      <c r="K101" s="394">
        <f>(DataUK1!GK89)/DataUK1!G89</f>
        <v>-3.2545020611846388E-3</v>
      </c>
      <c r="L101" s="307">
        <f>(DataUK1!GU89)/DataUK1!G89</f>
        <v>-3.9184204816663043E-2</v>
      </c>
      <c r="M101" s="679">
        <f>(DataUK1!$GY89)/DataUK1!$G89</f>
        <v>5.3300481558829264E-2</v>
      </c>
      <c r="N101" s="680">
        <f t="shared" si="10"/>
        <v>1.4116276742166221E-2</v>
      </c>
      <c r="T101" s="364">
        <f>TableUK12b!H101</f>
        <v>0.14222174007376873</v>
      </c>
      <c r="U101" s="364">
        <f>(DataUK1!FK89+DataUK1!FT89+DataUK1!GK89)/DataUK1!$G89</f>
        <v>5.3373833803428077E-2</v>
      </c>
      <c r="V101" s="300">
        <f t="shared" si="16"/>
        <v>8.8847906270340643E-2</v>
      </c>
      <c r="W101" s="300">
        <f t="shared" si="17"/>
        <v>0</v>
      </c>
      <c r="X101" s="1244">
        <f>G101-TableUK12d!L101-TableUK12c!B101</f>
        <v>0</v>
      </c>
      <c r="Y101" s="197">
        <f t="shared" si="11"/>
        <v>0</v>
      </c>
      <c r="Z101" s="197">
        <f>F101-TableUK12d!F101-L101</f>
        <v>0</v>
      </c>
      <c r="AA101" s="197">
        <f>K100-L100-TableUK12d!K100</f>
        <v>0</v>
      </c>
    </row>
    <row r="102" spans="1:27" ht="12" customHeight="1">
      <c r="A102" s="198">
        <f t="shared" si="18"/>
        <v>1931</v>
      </c>
      <c r="B102" s="303">
        <f t="shared" si="13"/>
        <v>2.514177693761814E-2</v>
      </c>
      <c r="C102" s="308">
        <f t="shared" si="14"/>
        <v>4.4754253308128537E-2</v>
      </c>
      <c r="D102" s="308">
        <f>I102-TableUK12d!N102</f>
        <v>3.3658339751307123E-2</v>
      </c>
      <c r="E102" s="308">
        <f>J102-TableUK12d!P102</f>
        <v>1.1095913556821414E-2</v>
      </c>
      <c r="F102" s="386">
        <f>K102-TableUK12d!Q102</f>
        <v>-1.9612476370510397E-2</v>
      </c>
      <c r="G102" s="570">
        <f>TableUK12b!H102</f>
        <v>9.3667296786389409E-2</v>
      </c>
      <c r="H102" s="308">
        <f t="shared" si="15"/>
        <v>0.10028355387523628</v>
      </c>
      <c r="I102" s="308">
        <f>(DataUK1!FK90)/DataUK1!$G90+0.5*V102</f>
        <v>5.4395085066162571E-2</v>
      </c>
      <c r="J102" s="308">
        <f>(DataUK1!FT90)/DataUK1!G90+0.5*V102</f>
        <v>4.5888468809073719E-2</v>
      </c>
      <c r="K102" s="394">
        <f>(DataUK1!GK90)/DataUK1!G90</f>
        <v>-6.6162570888468808E-3</v>
      </c>
      <c r="L102" s="307">
        <f>(DataUK1!GU90)/DataUK1!G90</f>
        <v>-4.7873345935727778E-2</v>
      </c>
      <c r="M102" s="679">
        <f>(DataUK1!$GY90)/DataUK1!$G90</f>
        <v>5.7315119361842873E-2</v>
      </c>
      <c r="N102" s="680">
        <f t="shared" si="10"/>
        <v>9.4417734261150951E-3</v>
      </c>
      <c r="T102" s="364">
        <f>TableUK12b!H102</f>
        <v>9.3667296786389409E-2</v>
      </c>
      <c r="U102" s="364">
        <f>(DataUK1!FK90+DataUK1!FT90+DataUK1!GK90)/DataUK1!$G90</f>
        <v>4.3950850661625712E-2</v>
      </c>
      <c r="V102" s="300">
        <f t="shared" si="16"/>
        <v>4.9716446124763697E-2</v>
      </c>
      <c r="W102" s="300">
        <f t="shared" si="17"/>
        <v>0</v>
      </c>
      <c r="X102" s="1244">
        <f>G102-TableUK12d!L102-TableUK12c!B102</f>
        <v>0</v>
      </c>
      <c r="Y102" s="197">
        <f t="shared" si="11"/>
        <v>0</v>
      </c>
      <c r="Z102" s="197">
        <f>F102-TableUK12d!F102-L102</f>
        <v>0</v>
      </c>
      <c r="AA102" s="197">
        <f>K101-L101-TableUK12d!K101</f>
        <v>0</v>
      </c>
    </row>
    <row r="103" spans="1:27" ht="12" customHeight="1">
      <c r="A103" s="198">
        <f t="shared" si="18"/>
        <v>1932</v>
      </c>
      <c r="B103" s="303">
        <f t="shared" si="13"/>
        <v>2.6723300970873821E-2</v>
      </c>
      <c r="C103" s="308">
        <f t="shared" si="14"/>
        <v>3.5218446601941782E-2</v>
      </c>
      <c r="D103" s="308">
        <f>I103-TableUK12d!N103</f>
        <v>3.188612232965915E-2</v>
      </c>
      <c r="E103" s="308">
        <f>J103-TableUK12d!P103</f>
        <v>3.3323242722826316E-3</v>
      </c>
      <c r="F103" s="386">
        <f>K103-TableUK12d!Q103</f>
        <v>-8.4951456310679609E-3</v>
      </c>
      <c r="G103" s="570">
        <f>TableUK12b!H103</f>
        <v>9.5412621359223321E-2</v>
      </c>
      <c r="H103" s="308">
        <f t="shared" si="15"/>
        <v>8.9830097087378658E-2</v>
      </c>
      <c r="I103" s="308">
        <f>(DataUK1!FK91)/DataUK1!$G91+0.5*V103</f>
        <v>5.3046116504854385E-2</v>
      </c>
      <c r="J103" s="308">
        <f>(DataUK1!FT91)/DataUK1!G91+0.5*V103</f>
        <v>3.6783980582524287E-2</v>
      </c>
      <c r="K103" s="394">
        <f>(DataUK1!GK91)/DataUK1!G91</f>
        <v>5.5825242718446598E-3</v>
      </c>
      <c r="L103" s="307">
        <f>(DataUK1!GU91)/DataUK1!G91</f>
        <v>-2.9053398058252425E-2</v>
      </c>
      <c r="M103" s="679">
        <f>(DataUK1!$GY91)/DataUK1!$G91</f>
        <v>5.7386606149869269E-2</v>
      </c>
      <c r="N103" s="680">
        <f t="shared" si="10"/>
        <v>2.8333208091616845E-2</v>
      </c>
      <c r="T103" s="364">
        <f>TableUK12b!H103</f>
        <v>9.5412621359223321E-2</v>
      </c>
      <c r="U103" s="364">
        <f>(DataUK1!FK91+DataUK1!FT91+DataUK1!GK91)/DataUK1!$G91</f>
        <v>5.9223300970873784E-2</v>
      </c>
      <c r="V103" s="300">
        <f t="shared" si="16"/>
        <v>3.6189320388349537E-2</v>
      </c>
      <c r="W103" s="300">
        <f t="shared" si="17"/>
        <v>0</v>
      </c>
      <c r="X103" s="1244">
        <f>G103-TableUK12d!L103-TableUK12c!B103</f>
        <v>0</v>
      </c>
      <c r="Y103" s="197">
        <f t="shared" si="11"/>
        <v>0</v>
      </c>
      <c r="Z103" s="197">
        <f>F103-TableUK12d!F103-L103</f>
        <v>0</v>
      </c>
      <c r="AA103" s="197">
        <f>K102-L102-TableUK12d!K102</f>
        <v>0</v>
      </c>
    </row>
    <row r="104" spans="1:27" ht="12" customHeight="1">
      <c r="A104" s="198">
        <f t="shared" si="18"/>
        <v>1933</v>
      </c>
      <c r="B104" s="303">
        <f t="shared" si="13"/>
        <v>2.6900726392251804E-2</v>
      </c>
      <c r="C104" s="308">
        <f t="shared" si="14"/>
        <v>3.5133171912832918E-2</v>
      </c>
      <c r="D104" s="308">
        <f>I104-TableUK12d!N104</f>
        <v>2.9729051484959981E-2</v>
      </c>
      <c r="E104" s="308">
        <f>J104-TableUK12d!P104</f>
        <v>5.4041204278729368E-3</v>
      </c>
      <c r="F104" s="386">
        <f>K104-TableUK12d!Q104</f>
        <v>-8.2324455205811144E-3</v>
      </c>
      <c r="G104" s="570">
        <f>TableUK12b!H104</f>
        <v>9.5423728813559316E-2</v>
      </c>
      <c r="H104" s="308">
        <f t="shared" si="15"/>
        <v>8.9370460048426151E-2</v>
      </c>
      <c r="I104" s="308">
        <f>(DataUK1!FK92)/DataUK1!$G92+0.5*V104</f>
        <v>5.1949152542372874E-2</v>
      </c>
      <c r="J104" s="308">
        <f>(DataUK1!FT92)/DataUK1!G92+0.5*V104</f>
        <v>3.7421307506053263E-2</v>
      </c>
      <c r="K104" s="394">
        <f>(DataUK1!GK92)/DataUK1!G92</f>
        <v>6.0532687651331718E-3</v>
      </c>
      <c r="L104" s="307">
        <f>(DataUK1!GU92)/DataUK1!G92</f>
        <v>-2.1113801452784502E-2</v>
      </c>
      <c r="M104" s="679">
        <f>(DataUK1!$GY92)/DataUK1!$G92</f>
        <v>4.3860073913597579E-2</v>
      </c>
      <c r="N104" s="680">
        <f t="shared" si="10"/>
        <v>2.2746272460813077E-2</v>
      </c>
      <c r="T104" s="364">
        <f>TableUK12b!H104</f>
        <v>9.5423728813559316E-2</v>
      </c>
      <c r="U104" s="364">
        <f>(DataUK1!FK92+DataUK1!FT92+DataUK1!GK92)/DataUK1!$G92</f>
        <v>8.2566585956416472E-2</v>
      </c>
      <c r="V104" s="300">
        <f t="shared" si="16"/>
        <v>1.2857142857142845E-2</v>
      </c>
      <c r="W104" s="300">
        <f t="shared" si="17"/>
        <v>0</v>
      </c>
      <c r="X104" s="1244">
        <f>G104-TableUK12d!L104-TableUK12c!B104</f>
        <v>0</v>
      </c>
      <c r="Y104" s="197">
        <f t="shared" si="11"/>
        <v>0</v>
      </c>
      <c r="Z104" s="197">
        <f>F104-TableUK12d!F104-L104</f>
        <v>0</v>
      </c>
      <c r="AA104" s="197">
        <f>K103-L103-TableUK12d!K103</f>
        <v>0</v>
      </c>
    </row>
    <row r="105" spans="1:27" ht="12" customHeight="1">
      <c r="A105" s="198">
        <f t="shared" si="18"/>
        <v>1934</v>
      </c>
      <c r="B105" s="303">
        <f t="shared" si="13"/>
        <v>6.3233287858117326E-2</v>
      </c>
      <c r="C105" s="308">
        <f t="shared" si="14"/>
        <v>6.7780809458844932E-2</v>
      </c>
      <c r="D105" s="308">
        <f>I105-TableUK12d!N105</f>
        <v>3.3565769091000661E-2</v>
      </c>
      <c r="E105" s="308">
        <f>J105-TableUK12d!P105</f>
        <v>3.4215040367844271E-2</v>
      </c>
      <c r="F105" s="386">
        <f>K105-TableUK12d!Q105</f>
        <v>-4.5475216007276036E-3</v>
      </c>
      <c r="G105" s="570">
        <f>TableUK12b!H105</f>
        <v>0.12735334242837654</v>
      </c>
      <c r="H105" s="308">
        <f t="shared" si="15"/>
        <v>0.11825829922692133</v>
      </c>
      <c r="I105" s="308">
        <f>(DataUK1!FK93)/DataUK1!$G93+0.5*V105</f>
        <v>5.5036380172805821E-2</v>
      </c>
      <c r="J105" s="308">
        <f>(DataUK1!FT93)/DataUK1!G93+0.5*V105</f>
        <v>6.3221919054115505E-2</v>
      </c>
      <c r="K105" s="394">
        <f>(DataUK1!GK93)/DataUK1!G93</f>
        <v>9.0950432014552073E-3</v>
      </c>
      <c r="L105" s="307">
        <f>(DataUK1!GU93)/DataUK1!G93</f>
        <v>-1.7758071850841297E-2</v>
      </c>
      <c r="M105" s="679">
        <f>(DataUK1!$GY93)/DataUK1!$G93</f>
        <v>4.0309836866461973E-2</v>
      </c>
      <c r="N105" s="680">
        <f t="shared" si="10"/>
        <v>2.2551765015620676E-2</v>
      </c>
      <c r="T105" s="364">
        <f>TableUK12b!H105</f>
        <v>0.12735334242837654</v>
      </c>
      <c r="U105" s="364">
        <f>(DataUK1!FK93+DataUK1!FT93+DataUK1!GK93)/DataUK1!$G93</f>
        <v>0.10459299681673488</v>
      </c>
      <c r="V105" s="300">
        <f t="shared" si="16"/>
        <v>2.2760345611641655E-2</v>
      </c>
      <c r="W105" s="300">
        <f t="shared" si="17"/>
        <v>0</v>
      </c>
      <c r="X105" s="1244">
        <f>G105-TableUK12d!L105-TableUK12c!B105</f>
        <v>0</v>
      </c>
      <c r="Y105" s="197">
        <f t="shared" si="11"/>
        <v>0</v>
      </c>
      <c r="Z105" s="197">
        <f>F105-TableUK12d!F105-L105</f>
        <v>0</v>
      </c>
      <c r="AA105" s="197">
        <f>K104-L104-TableUK12d!K104</f>
        <v>0</v>
      </c>
    </row>
    <row r="106" spans="1:27" ht="12" customHeight="1">
      <c r="A106" s="198">
        <f t="shared" si="18"/>
        <v>1935</v>
      </c>
      <c r="B106" s="303">
        <f t="shared" si="13"/>
        <v>7.0112945264986959E-2</v>
      </c>
      <c r="C106" s="308">
        <f t="shared" si="14"/>
        <v>8.0755864465682003E-2</v>
      </c>
      <c r="D106" s="308">
        <f>I106-TableUK12d!N106</f>
        <v>4.635629438965512E-2</v>
      </c>
      <c r="E106" s="308">
        <f>J106-TableUK12d!P106</f>
        <v>3.439957007602689E-2</v>
      </c>
      <c r="F106" s="386">
        <f>K106-TableUK12d!Q106</f>
        <v>-1.0642919200695046E-2</v>
      </c>
      <c r="G106" s="570">
        <f>TableUK12b!H106</f>
        <v>0.13483927019982622</v>
      </c>
      <c r="H106" s="308">
        <f t="shared" si="15"/>
        <v>0.13245004344048653</v>
      </c>
      <c r="I106" s="308">
        <f>(DataUK1!FK94)/DataUK1!$G94+0.5*V106</f>
        <v>6.7854039965247609E-2</v>
      </c>
      <c r="J106" s="308">
        <f>(DataUK1!FT94)/DataUK1!G94+0.5*V106</f>
        <v>6.4596003475238917E-2</v>
      </c>
      <c r="K106" s="394">
        <f>(DataUK1!GK94)/DataUK1!G94</f>
        <v>2.3892267593397048E-3</v>
      </c>
      <c r="L106" s="307">
        <f>(DataUK1!GU94)/DataUK1!G94</f>
        <v>-2.8562119895742845E-2</v>
      </c>
      <c r="M106" s="679">
        <f>(DataUK1!$GY94)/DataUK1!$G94</f>
        <v>3.8469778601458428E-2</v>
      </c>
      <c r="N106" s="680">
        <f t="shared" si="10"/>
        <v>9.9076587057155829E-3</v>
      </c>
      <c r="T106" s="364">
        <f>TableUK12b!H106</f>
        <v>0.13483927019982622</v>
      </c>
      <c r="U106" s="364">
        <f>(DataUK1!FK94+DataUK1!FT94+DataUK1!GK94)/DataUK1!$G94</f>
        <v>9.4265855777584714E-2</v>
      </c>
      <c r="V106" s="300">
        <f t="shared" si="16"/>
        <v>4.0573414422241508E-2</v>
      </c>
      <c r="W106" s="300">
        <f t="shared" si="17"/>
        <v>0</v>
      </c>
      <c r="X106" s="1244">
        <f>G106-TableUK12d!L106-TableUK12c!B106</f>
        <v>0</v>
      </c>
      <c r="Y106" s="197">
        <f t="shared" si="11"/>
        <v>0</v>
      </c>
      <c r="Z106" s="197">
        <f>F106-TableUK12d!F106-L106</f>
        <v>0</v>
      </c>
      <c r="AA106" s="197">
        <f>K105-L105-TableUK12d!K105</f>
        <v>0</v>
      </c>
    </row>
    <row r="107" spans="1:27" ht="12" customHeight="1">
      <c r="A107" s="198">
        <f t="shared" si="18"/>
        <v>1936</v>
      </c>
      <c r="B107" s="303">
        <f t="shared" si="13"/>
        <v>6.7342671963203038E-2</v>
      </c>
      <c r="C107" s="308">
        <f t="shared" si="14"/>
        <v>7.6541919297512057E-2</v>
      </c>
      <c r="D107" s="308">
        <f>I107-TableUK12d!N107</f>
        <v>4.6504969302806856E-2</v>
      </c>
      <c r="E107" s="308">
        <f>J107-TableUK12d!P107</f>
        <v>3.0036949994705194E-2</v>
      </c>
      <c r="F107" s="386">
        <f>K107-TableUK12d!Q107</f>
        <v>-9.1992473343090117E-3</v>
      </c>
      <c r="G107" s="570">
        <f>TableUK12b!H107</f>
        <v>0.13361906753083841</v>
      </c>
      <c r="H107" s="308">
        <f t="shared" si="15"/>
        <v>0.13027388668199877</v>
      </c>
      <c r="I107" s="308">
        <f>(DataUK1!FK95)/DataUK1!$G95+0.5*V107</f>
        <v>6.8482124189839025E-2</v>
      </c>
      <c r="J107" s="308">
        <f>(DataUK1!FT95)/DataUK1!G95+0.5*V107</f>
        <v>6.1791762492159744E-2</v>
      </c>
      <c r="K107" s="394">
        <f>(DataUK1!GK95)/DataUK1!G95</f>
        <v>3.3451808488396402E-3</v>
      </c>
      <c r="L107" s="307">
        <f>(DataUK1!GU95)/DataUK1!G95</f>
        <v>-3.3033660882291448E-2</v>
      </c>
      <c r="M107" s="679">
        <f>(DataUK1!$GY95)/DataUK1!$G95</f>
        <v>3.6924828582136568E-2</v>
      </c>
      <c r="N107" s="680">
        <f t="shared" si="10"/>
        <v>3.8911676998451203E-3</v>
      </c>
      <c r="T107" s="364">
        <f>TableUK12b!H107</f>
        <v>0.13361906753083841</v>
      </c>
      <c r="U107" s="364">
        <f>(DataUK1!FK95+DataUK1!FT95+DataUK1!GK95)/DataUK1!$G95</f>
        <v>0.11875392013380723</v>
      </c>
      <c r="V107" s="300">
        <f t="shared" si="16"/>
        <v>1.4865147397031181E-2</v>
      </c>
      <c r="W107" s="300">
        <f t="shared" si="17"/>
        <v>0</v>
      </c>
      <c r="X107" s="1244">
        <f>G107-TableUK12d!L107-TableUK12c!B107</f>
        <v>0</v>
      </c>
      <c r="Y107" s="197">
        <f t="shared" si="11"/>
        <v>0</v>
      </c>
      <c r="Z107" s="197">
        <f>F107-TableUK12d!F107-L107</f>
        <v>0</v>
      </c>
      <c r="AA107" s="197">
        <f>K106-L106-TableUK12d!K106</f>
        <v>0</v>
      </c>
    </row>
    <row r="108" spans="1:27" ht="12" customHeight="1">
      <c r="A108" s="198">
        <f t="shared" si="18"/>
        <v>1937</v>
      </c>
      <c r="B108" s="303">
        <f t="shared" si="13"/>
        <v>7.8489390694958111E-2</v>
      </c>
      <c r="C108" s="308">
        <f t="shared" si="14"/>
        <v>9.0558691843488387E-2</v>
      </c>
      <c r="D108" s="308">
        <f>I108-TableUK12d!N108</f>
        <v>4.4432770346033448E-2</v>
      </c>
      <c r="E108" s="308">
        <f>J108-TableUK12d!P108</f>
        <v>4.6125921497454946E-2</v>
      </c>
      <c r="F108" s="386">
        <f>K108-TableUK12d!Q108</f>
        <v>-1.2069301148530271E-2</v>
      </c>
      <c r="G108" s="570">
        <f>TableUK12b!H108</f>
        <v>0.14798520537278564</v>
      </c>
      <c r="H108" s="308">
        <f t="shared" si="15"/>
        <v>0.14798520537278564</v>
      </c>
      <c r="I108" s="308">
        <f>(DataUK1!FK96)/DataUK1!$G96+0.5*V108</f>
        <v>6.4940626824995129E-2</v>
      </c>
      <c r="J108" s="308">
        <f>(DataUK1!FT96)/DataUK1!G96+0.5*V108</f>
        <v>8.3044578547790529E-2</v>
      </c>
      <c r="K108" s="394">
        <f>(DataUK1!GK96)/DataUK1!G96</f>
        <v>0</v>
      </c>
      <c r="L108" s="307">
        <f>(DataUK1!GU96)/DataUK1!G96</f>
        <v>-4.2281487249367346E-2</v>
      </c>
      <c r="M108" s="679">
        <f>(DataUK1!$GY96)/DataUK1!$G96</f>
        <v>3.5245903121348135E-2</v>
      </c>
      <c r="N108" s="680">
        <f t="shared" si="10"/>
        <v>-7.0355841280192108E-3</v>
      </c>
      <c r="T108" s="364">
        <f>TableUK12b!H108</f>
        <v>0.14798520537278564</v>
      </c>
      <c r="U108" s="364">
        <f>(DataUK1!FK96+DataUK1!FT96+DataUK1!GK96)/DataUK1!$G96</f>
        <v>0.10687171500875997</v>
      </c>
      <c r="V108" s="300">
        <f t="shared" si="16"/>
        <v>4.1113490364025673E-2</v>
      </c>
      <c r="W108" s="300">
        <f t="shared" si="17"/>
        <v>0</v>
      </c>
      <c r="X108" s="1244">
        <f>G108-TableUK12d!L108-TableUK12c!B108</f>
        <v>0</v>
      </c>
      <c r="Y108" s="197">
        <f t="shared" si="11"/>
        <v>0</v>
      </c>
      <c r="Z108" s="197">
        <f>F108-TableUK12d!F108-L108</f>
        <v>0</v>
      </c>
      <c r="AA108" s="197">
        <f>K107-L107-TableUK12d!K107</f>
        <v>0</v>
      </c>
    </row>
    <row r="109" spans="1:27" ht="12" customHeight="1">
      <c r="A109" s="198">
        <f t="shared" si="18"/>
        <v>1938</v>
      </c>
      <c r="B109" s="303">
        <f t="shared" si="13"/>
        <v>7.9829440118650383E-2</v>
      </c>
      <c r="C109" s="308">
        <f t="shared" si="14"/>
        <v>0.10745272525027812</v>
      </c>
      <c r="D109" s="308">
        <f>I109-TableUK12d!N109</f>
        <v>6.0468127143807615E-2</v>
      </c>
      <c r="E109" s="308">
        <f>J109-TableUK12d!P109</f>
        <v>4.6984598106470501E-2</v>
      </c>
      <c r="F109" s="386">
        <f>K109-TableUK12d!Q109</f>
        <v>-2.7623285131627734E-2</v>
      </c>
      <c r="G109" s="570">
        <f>TableUK12b!H109</f>
        <v>0.14842417500926958</v>
      </c>
      <c r="H109" s="308">
        <f t="shared" si="15"/>
        <v>0.16455320726733408</v>
      </c>
      <c r="I109" s="308">
        <f>(DataUK1!FK97)/DataUK1!$G97+0.5*V109</f>
        <v>7.9866518353726379E-2</v>
      </c>
      <c r="J109" s="308">
        <f>(DataUK1!FT97)/DataUK1!G97+0.5*V109</f>
        <v>8.4686688913607727E-2</v>
      </c>
      <c r="K109" s="394">
        <f>(DataUK1!GK97)/DataUK1!G97</f>
        <v>-1.6129032258064516E-2</v>
      </c>
      <c r="L109" s="307">
        <f>(DataUK1!GU97)/DataUK1!G97</f>
        <v>-6.1994809047089351E-2</v>
      </c>
      <c r="M109" s="679">
        <f>(DataUK1!$GY97)/DataUK1!$G97</f>
        <v>3.4017673576075248E-2</v>
      </c>
      <c r="N109" s="680">
        <f t="shared" si="10"/>
        <v>-2.7977135471014103E-2</v>
      </c>
      <c r="T109" s="364">
        <f>TableUK12b!H109</f>
        <v>0.14842417500926958</v>
      </c>
      <c r="U109" s="364">
        <f>(DataUK1!FK97+DataUK1!FT97+DataUK1!GK97)/DataUK1!$G97</f>
        <v>7.5083426028921027E-2</v>
      </c>
      <c r="V109" s="300">
        <f t="shared" si="16"/>
        <v>7.334074898034855E-2</v>
      </c>
      <c r="W109" s="300">
        <f t="shared" si="17"/>
        <v>0</v>
      </c>
      <c r="X109" s="1244">
        <f>G109-TableUK12d!L109-TableUK12c!B109</f>
        <v>0</v>
      </c>
      <c r="Y109" s="197">
        <f t="shared" si="11"/>
        <v>0</v>
      </c>
      <c r="Z109" s="197">
        <f>F109-TableUK12d!F109-L109</f>
        <v>0</v>
      </c>
      <c r="AA109" s="197">
        <f>K108-L108-TableUK12d!K108</f>
        <v>0</v>
      </c>
    </row>
    <row r="110" spans="1:27" ht="12" customHeight="1">
      <c r="A110" s="214">
        <f t="shared" si="18"/>
        <v>1939</v>
      </c>
      <c r="B110" s="565">
        <f t="shared" si="13"/>
        <v>3.0027932960893837E-2</v>
      </c>
      <c r="C110" s="550">
        <f t="shared" si="14"/>
        <v>9.0258379888268139E-2</v>
      </c>
      <c r="D110" s="550">
        <f>I110-TableUK12d!N110</f>
        <v>5.2821498580461243E-2</v>
      </c>
      <c r="E110" s="550">
        <f>J110-TableUK12d!P110</f>
        <v>3.7436881307806896E-2</v>
      </c>
      <c r="F110" s="550">
        <f>K110-TableUK12d!Q110</f>
        <v>-6.0230446927374302E-2</v>
      </c>
      <c r="G110" s="571">
        <f>TableUK12b!H110</f>
        <v>9.8114525139664788E-2</v>
      </c>
      <c r="H110" s="550">
        <f t="shared" si="15"/>
        <v>0.14507681564245808</v>
      </c>
      <c r="I110" s="550">
        <f>0.5*H110</f>
        <v>7.2538407821229042E-2</v>
      </c>
      <c r="J110" s="550">
        <f>0.5*H110</f>
        <v>7.2538407821229042E-2</v>
      </c>
      <c r="K110" s="553">
        <f>(DataUK1!GK98)/DataUK1!G98</f>
        <v>-4.6962290502793297E-2</v>
      </c>
      <c r="L110" s="568">
        <f>(DataUK1!GU98)/DataUK1!G98</f>
        <v>-8.5143156424581007E-2</v>
      </c>
      <c r="M110" s="1917">
        <f>(DataUK1!$GY98)/DataUK1!$G98</f>
        <v>3.348420447273294E-2</v>
      </c>
      <c r="N110" s="1251">
        <f t="shared" si="10"/>
        <v>-5.1658951951848067E-2</v>
      </c>
      <c r="T110" s="364"/>
      <c r="U110" s="364"/>
      <c r="V110" s="300"/>
      <c r="W110" s="300"/>
      <c r="X110" s="1244">
        <f>G110-TableUK12d!L110-TableUK12c!B110</f>
        <v>0</v>
      </c>
      <c r="Y110" s="197">
        <f t="shared" si="11"/>
        <v>0</v>
      </c>
      <c r="Z110" s="197">
        <f>F110-TableUK12d!F110-L110</f>
        <v>0</v>
      </c>
      <c r="AA110" s="197">
        <f>K109-L109-TableUK12d!K109</f>
        <v>0</v>
      </c>
    </row>
    <row r="111" spans="1:27" ht="12" customHeight="1">
      <c r="A111" s="198">
        <f t="shared" si="18"/>
        <v>1940</v>
      </c>
      <c r="B111" s="303">
        <f t="shared" si="13"/>
        <v>-4.8888275100124279E-2</v>
      </c>
      <c r="C111" s="308">
        <f t="shared" si="14"/>
        <v>0.30133959397873222</v>
      </c>
      <c r="D111" s="308">
        <f>I111-TableUK12d!N111</f>
        <v>0.15819886893026733</v>
      </c>
      <c r="E111" s="308">
        <f>J111-TableUK12d!P111</f>
        <v>0.14314072504846487</v>
      </c>
      <c r="F111" s="308">
        <f>K111-TableUK12d!Q111</f>
        <v>-0.3502278690788565</v>
      </c>
      <c r="G111" s="570">
        <f>TableUK12b!H111</f>
        <v>1.1876812594945441E-2</v>
      </c>
      <c r="H111" s="308">
        <f t="shared" si="15"/>
        <v>0.35147079132716474</v>
      </c>
      <c r="I111" s="308">
        <f t="shared" ref="I111:I116" si="19">0.5*H111</f>
        <v>0.17573539566358237</v>
      </c>
      <c r="J111" s="308">
        <f t="shared" ref="J111:J116" si="20">0.5*H111</f>
        <v>0.17573539566358237</v>
      </c>
      <c r="K111" s="394">
        <f>(DataUK1!GK99)/DataUK1!G99</f>
        <v>-0.3395939787322193</v>
      </c>
      <c r="L111" s="307">
        <f>(DataUK1!GU99)/DataUK1!G99</f>
        <v>-0.36619251484601573</v>
      </c>
      <c r="M111" s="679">
        <f>(DataUK1!$GY99)/DataUK1!$G99</f>
        <v>2.7067058370313875E-2</v>
      </c>
      <c r="N111" s="680">
        <f t="shared" si="10"/>
        <v>-0.33912545647570186</v>
      </c>
      <c r="T111" s="364"/>
      <c r="U111" s="364"/>
      <c r="V111" s="300"/>
      <c r="W111" s="300"/>
      <c r="X111" s="1244">
        <f>G111-TableUK12d!L111-TableUK12c!B111</f>
        <v>0</v>
      </c>
      <c r="Y111" s="197">
        <f t="shared" si="11"/>
        <v>0</v>
      </c>
      <c r="Z111" s="197">
        <f>F111-TableUK12d!F111-L111</f>
        <v>0</v>
      </c>
      <c r="AA111" s="197">
        <f>K110-L110-TableUK12d!K110</f>
        <v>0</v>
      </c>
    </row>
    <row r="112" spans="1:27" ht="12" customHeight="1">
      <c r="A112" s="198">
        <f t="shared" si="18"/>
        <v>1941</v>
      </c>
      <c r="B112" s="303">
        <f t="shared" si="13"/>
        <v>-6.9177192775351226E-2</v>
      </c>
      <c r="C112" s="308">
        <f t="shared" si="14"/>
        <v>0.26029984653523786</v>
      </c>
      <c r="D112" s="308">
        <f>I112-TableUK12d!N112</f>
        <v>0.1376596005169696</v>
      </c>
      <c r="E112" s="308">
        <f>J112-TableUK12d!P112</f>
        <v>0.12264024601826823</v>
      </c>
      <c r="F112" s="308">
        <f>K112-TableUK12d!Q112</f>
        <v>-0.32947703931058908</v>
      </c>
      <c r="G112" s="570">
        <f>TableUK12b!H112</f>
        <v>-1.0152284263959407E-2</v>
      </c>
      <c r="H112" s="308">
        <f t="shared" si="15"/>
        <v>0.30870027151457913</v>
      </c>
      <c r="I112" s="308">
        <f t="shared" si="19"/>
        <v>0.15435013575728956</v>
      </c>
      <c r="J112" s="308">
        <f t="shared" si="20"/>
        <v>0.15435013575728956</v>
      </c>
      <c r="K112" s="394">
        <f>(DataUK1!GK100)/DataUK1!G100</f>
        <v>-0.31885255577853855</v>
      </c>
      <c r="L112" s="307">
        <f>(DataUK1!GU100)/DataUK1!G100</f>
        <v>-0.33743359697792469</v>
      </c>
      <c r="M112" s="679">
        <f>(DataUK1!$GY100)/DataUK1!$G100</f>
        <v>2.7534480231772365E-2</v>
      </c>
      <c r="N112" s="680">
        <f t="shared" si="10"/>
        <v>-0.30989911674615234</v>
      </c>
      <c r="T112" s="364"/>
      <c r="U112" s="364"/>
      <c r="V112" s="300"/>
      <c r="W112" s="300"/>
      <c r="X112" s="1244">
        <f>G112-TableUK12d!L112-TableUK12c!B112</f>
        <v>0</v>
      </c>
      <c r="Y112" s="197">
        <f t="shared" si="11"/>
        <v>0</v>
      </c>
      <c r="Z112" s="197">
        <f>F112-TableUK12d!F112-L112</f>
        <v>0</v>
      </c>
      <c r="AA112" s="197">
        <f>K111-L111-TableUK12d!K111</f>
        <v>0</v>
      </c>
    </row>
    <row r="113" spans="1:27" ht="12" customHeight="1">
      <c r="A113" s="198">
        <f t="shared" si="18"/>
        <v>1942</v>
      </c>
      <c r="B113" s="303">
        <f t="shared" si="13"/>
        <v>-7.5865080231415777E-2</v>
      </c>
      <c r="C113" s="308">
        <f t="shared" si="14"/>
        <v>0.24506058290579633</v>
      </c>
      <c r="D113" s="308">
        <f>I113-TableUK12d!N113</f>
        <v>0.12738030149922863</v>
      </c>
      <c r="E113" s="308">
        <f>J113-TableUK12d!P113</f>
        <v>0.11768028140656769</v>
      </c>
      <c r="F113" s="308">
        <f>K113-TableUK12d!Q113</f>
        <v>-0.3209256631372121</v>
      </c>
      <c r="G113" s="570">
        <f>TableUK12b!H113</f>
        <v>-1.8011134155659844E-2</v>
      </c>
      <c r="H113" s="308">
        <f t="shared" si="15"/>
        <v>0.28806898810173565</v>
      </c>
      <c r="I113" s="308">
        <f t="shared" si="19"/>
        <v>0.14403449405086782</v>
      </c>
      <c r="J113" s="308">
        <f t="shared" si="20"/>
        <v>0.14403449405086782</v>
      </c>
      <c r="K113" s="394">
        <f>(DataUK1!GK101)/DataUK1!G101</f>
        <v>-0.3060801222573955</v>
      </c>
      <c r="L113" s="307">
        <f>(DataUK1!GU101)/DataUK1!G101</f>
        <v>-0.31991594804060691</v>
      </c>
      <c r="M113" s="679">
        <f>(DataUK1!$GY101)/DataUK1!$G101</f>
        <v>3.0369553528671663E-2</v>
      </c>
      <c r="N113" s="680">
        <f t="shared" si="10"/>
        <v>-0.28954639451193526</v>
      </c>
      <c r="T113" s="364"/>
      <c r="U113" s="364"/>
      <c r="V113" s="300"/>
      <c r="W113" s="300"/>
      <c r="X113" s="1244">
        <f>G113-TableUK12d!L113-TableUK12c!B113</f>
        <v>0</v>
      </c>
      <c r="Y113" s="197">
        <f t="shared" si="11"/>
        <v>0</v>
      </c>
      <c r="Z113" s="197">
        <f>F113-TableUK12d!F113-L113</f>
        <v>0</v>
      </c>
      <c r="AA113" s="197">
        <f>K112-L112-TableUK12d!K112</f>
        <v>0</v>
      </c>
    </row>
    <row r="114" spans="1:27" ht="12" customHeight="1">
      <c r="A114" s="198">
        <f t="shared" si="18"/>
        <v>1943</v>
      </c>
      <c r="B114" s="303">
        <f t="shared" si="13"/>
        <v>-7.4602190535234536E-2</v>
      </c>
      <c r="C114" s="308">
        <f t="shared" si="14"/>
        <v>0.22494317007646208</v>
      </c>
      <c r="D114" s="308">
        <f>I114-TableUK12d!N114</f>
        <v>0.12015782269989847</v>
      </c>
      <c r="E114" s="308">
        <f>J114-TableUK12d!P114</f>
        <v>0.10478534737656361</v>
      </c>
      <c r="F114" s="308">
        <f>K114-TableUK12d!Q114</f>
        <v>-0.29954536061169662</v>
      </c>
      <c r="G114" s="570">
        <f>TableUK12b!H114</f>
        <v>-1.0539367637941721E-2</v>
      </c>
      <c r="H114" s="308">
        <f t="shared" si="15"/>
        <v>0.27361025005166356</v>
      </c>
      <c r="I114" s="308">
        <f t="shared" si="19"/>
        <v>0.13680512502583178</v>
      </c>
      <c r="J114" s="308">
        <f t="shared" si="20"/>
        <v>0.13680512502583178</v>
      </c>
      <c r="K114" s="394">
        <f>(DataUK1!GK102)/DataUK1!G102</f>
        <v>-0.28414961768960528</v>
      </c>
      <c r="L114" s="307">
        <f>(DataUK1!GU102)/DataUK1!G102</f>
        <v>-0.29125852448853073</v>
      </c>
      <c r="M114" s="679">
        <f>(DataUK1!$GY102)/DataUK1!$G102</f>
        <v>3.3385252818783413E-2</v>
      </c>
      <c r="N114" s="680">
        <f t="shared" si="10"/>
        <v>-0.25787327166974733</v>
      </c>
      <c r="T114" s="364"/>
      <c r="U114" s="364"/>
      <c r="V114" s="300"/>
      <c r="W114" s="300"/>
      <c r="X114" s="1244">
        <f>G114-TableUK12d!L114-TableUK12c!B114</f>
        <v>0</v>
      </c>
      <c r="Y114" s="197">
        <f t="shared" si="11"/>
        <v>0</v>
      </c>
      <c r="Z114" s="197">
        <f>F114-TableUK12d!F114-L114</f>
        <v>0</v>
      </c>
      <c r="AA114" s="197">
        <f>K113-L113-TableUK12d!K113</f>
        <v>-3.1225022567582528E-17</v>
      </c>
    </row>
    <row r="115" spans="1:27" ht="12" customHeight="1">
      <c r="A115" s="198">
        <f t="shared" si="18"/>
        <v>1944</v>
      </c>
      <c r="B115" s="303">
        <f t="shared" si="13"/>
        <v>-0.11440940012368583</v>
      </c>
      <c r="C115" s="308">
        <f t="shared" si="14"/>
        <v>0.18996083281797571</v>
      </c>
      <c r="D115" s="308">
        <f>I115-TableUK12d!N115</f>
        <v>0.10445308948101435</v>
      </c>
      <c r="E115" s="308">
        <f>J115-TableUK12d!P115</f>
        <v>8.5507743336961345E-2</v>
      </c>
      <c r="F115" s="308">
        <f>K115-TableUK12d!Q115</f>
        <v>-0.30437023294166154</v>
      </c>
      <c r="G115" s="570">
        <f>TableUK12b!H115</f>
        <v>-4.7412904555761692E-2</v>
      </c>
      <c r="H115" s="308">
        <f t="shared" si="15"/>
        <v>0.24314574314574317</v>
      </c>
      <c r="I115" s="308">
        <f t="shared" si="19"/>
        <v>0.12157287157287158</v>
      </c>
      <c r="J115" s="308">
        <f t="shared" si="20"/>
        <v>0.12157287157287158</v>
      </c>
      <c r="K115" s="394">
        <f>(DataUK1!GK103)/DataUK1!G103</f>
        <v>-0.29055864770150486</v>
      </c>
      <c r="L115" s="307">
        <f>(DataUK1!GU103)/DataUK1!G103</f>
        <v>-0.29308390022675734</v>
      </c>
      <c r="M115" s="679">
        <f>(DataUK1!$GY103)/DataUK1!$G103</f>
        <v>3.7609270183352458E-2</v>
      </c>
      <c r="N115" s="680">
        <f t="shared" si="10"/>
        <v>-0.25547463004340487</v>
      </c>
      <c r="T115" s="364"/>
      <c r="U115" s="364"/>
      <c r="V115" s="300"/>
      <c r="W115" s="300"/>
      <c r="X115" s="1244">
        <f>G115-TableUK12d!L115-TableUK12c!B115</f>
        <v>0</v>
      </c>
      <c r="Y115" s="197">
        <f t="shared" si="11"/>
        <v>0</v>
      </c>
      <c r="Z115" s="197">
        <f>F115-TableUK12d!F115-L115</f>
        <v>0</v>
      </c>
      <c r="AA115" s="197">
        <f>K114-L114-TableUK12d!K114</f>
        <v>5.2909066017292616E-17</v>
      </c>
    </row>
    <row r="116" spans="1:27" ht="12" customHeight="1">
      <c r="A116" s="198">
        <f t="shared" si="18"/>
        <v>1945</v>
      </c>
      <c r="B116" s="303">
        <f t="shared" si="13"/>
        <v>-0.12997519145723224</v>
      </c>
      <c r="C116" s="308">
        <f t="shared" si="14"/>
        <v>0.11918886851472332</v>
      </c>
      <c r="D116" s="308">
        <f>I116-TableUK12d!N116</f>
        <v>6.9435912005175807E-2</v>
      </c>
      <c r="E116" s="308">
        <f>J116-TableUK12d!P116</f>
        <v>4.9752956509547516E-2</v>
      </c>
      <c r="F116" s="308">
        <f>K116-TableUK12d!Q116</f>
        <v>-0.24916405997195556</v>
      </c>
      <c r="G116" s="570">
        <f>TableUK12b!H116</f>
        <v>-6.094272462517529E-2</v>
      </c>
      <c r="H116" s="308">
        <f t="shared" si="15"/>
        <v>0.17538561104519468</v>
      </c>
      <c r="I116" s="308">
        <f t="shared" si="19"/>
        <v>8.7692805522597339E-2</v>
      </c>
      <c r="J116" s="308">
        <f t="shared" si="20"/>
        <v>8.7692805522597339E-2</v>
      </c>
      <c r="K116" s="394">
        <f>(DataUK1!GK104)/DataUK1!G104</f>
        <v>-0.23632833567036998</v>
      </c>
      <c r="L116" s="307">
        <f>(DataUK1!GU104)/DataUK1!G104</f>
        <v>-0.2395911983604789</v>
      </c>
      <c r="M116" s="679">
        <f>(DataUK1!$GY104)/DataUK1!$G104</f>
        <v>4.2977619548690907E-2</v>
      </c>
      <c r="N116" s="680">
        <f t="shared" si="10"/>
        <v>-0.19661357881178798</v>
      </c>
      <c r="T116" s="364"/>
      <c r="U116" s="364"/>
      <c r="V116" s="300"/>
      <c r="W116" s="300"/>
      <c r="X116" s="1244">
        <f>G116-TableUK12d!L116-TableUK12c!B116</f>
        <v>0</v>
      </c>
      <c r="Y116" s="197">
        <f t="shared" si="11"/>
        <v>0</v>
      </c>
      <c r="Z116" s="197">
        <f>F116-TableUK12d!F116-L116</f>
        <v>0</v>
      </c>
      <c r="AA116" s="197">
        <f>K115-L115-TableUK12d!K115</f>
        <v>-3.9464959078472361E-17</v>
      </c>
    </row>
    <row r="117" spans="1:27" ht="12" customHeight="1">
      <c r="A117" s="198">
        <f t="shared" si="18"/>
        <v>1946</v>
      </c>
      <c r="B117" s="303">
        <f t="shared" si="13"/>
        <v>7.1907957813997919E-3</v>
      </c>
      <c r="C117" s="308">
        <f t="shared" si="14"/>
        <v>7.6968147437946083E-2</v>
      </c>
      <c r="D117" s="308">
        <f>I117-TableUK12d!N117</f>
        <v>2.0702759801338948E-2</v>
      </c>
      <c r="E117" s="308">
        <f>J117-TableUK12d!P117</f>
        <v>5.6265387636607128E-2</v>
      </c>
      <c r="F117" s="308">
        <f>K117-TableUK12d!Q117</f>
        <v>-6.9777351656546291E-2</v>
      </c>
      <c r="G117" s="570">
        <f>TableUK12b!H117</f>
        <v>8.069670821348672E-2</v>
      </c>
      <c r="H117" s="308">
        <f t="shared" si="15"/>
        <v>0.14131245339299028</v>
      </c>
      <c r="I117" s="308">
        <f>(DataUK1!FK105)/DataUK1!$G105+0.5*V117</f>
        <v>3.8910194950463398E-2</v>
      </c>
      <c r="J117" s="308">
        <f>(DataUK1!FT105)/DataUK1!G105+0.5*V117</f>
        <v>0.10240225844252689</v>
      </c>
      <c r="K117" s="394">
        <f>(DataUK1!GK105)/DataUK1!G105</f>
        <v>-6.061574517950357E-2</v>
      </c>
      <c r="L117" s="307">
        <f>(DataUK1!GU105)/DataUK1!G105</f>
        <v>-9.1829125386172369E-2</v>
      </c>
      <c r="M117" s="679">
        <f>(DataUK1!$GY105)/DataUK1!$G105</f>
        <v>4.4859780719069695E-2</v>
      </c>
      <c r="N117" s="680">
        <f t="shared" si="10"/>
        <v>-4.6969344667102675E-2</v>
      </c>
      <c r="T117" s="364">
        <f>TableUK12b!H117</f>
        <v>8.069670821348672E-2</v>
      </c>
      <c r="U117" s="364">
        <f>(DataUK1!FK105+DataUK1!FT105+DataUK1!GK105)/DataUK1!$G105</f>
        <v>7.137530627463513E-3</v>
      </c>
      <c r="V117" s="300">
        <f t="shared" si="16"/>
        <v>7.3559177586023206E-2</v>
      </c>
      <c r="W117" s="300">
        <f t="shared" si="17"/>
        <v>0</v>
      </c>
      <c r="X117" s="1244">
        <f>G117-TableUK12d!L117-TableUK12c!B117</f>
        <v>1.3877787807814457E-17</v>
      </c>
      <c r="Y117" s="197">
        <f t="shared" si="11"/>
        <v>0</v>
      </c>
      <c r="Z117" s="197">
        <f>F117-TableUK12d!F117-L117</f>
        <v>0</v>
      </c>
      <c r="AA117" s="197">
        <f>K116-L116-TableUK12d!K116</f>
        <v>-2.211772431870429E-17</v>
      </c>
    </row>
    <row r="118" spans="1:27" ht="12" customHeight="1">
      <c r="A118" s="198">
        <f t="shared" si="18"/>
        <v>1947</v>
      </c>
      <c r="B118" s="303">
        <f t="shared" si="13"/>
        <v>6.1856590300505818E-2</v>
      </c>
      <c r="C118" s="308">
        <f t="shared" si="14"/>
        <v>8.4994545274224113E-3</v>
      </c>
      <c r="D118" s="308">
        <f>I118-TableUK12d!N118</f>
        <v>-1.9408581542164762E-2</v>
      </c>
      <c r="E118" s="308">
        <f>J118-TableUK12d!P118</f>
        <v>2.7908036069587173E-2</v>
      </c>
      <c r="F118" s="308">
        <f>K118-TableUK12d!Q118</f>
        <v>5.335713577308341E-2</v>
      </c>
      <c r="G118" s="570">
        <f>TableUK12b!H118</f>
        <v>0.13822275116532781</v>
      </c>
      <c r="H118" s="308">
        <f t="shared" si="15"/>
        <v>7.3063572349499187E-2</v>
      </c>
      <c r="I118" s="308">
        <f>(DataUK1!FK106)/DataUK1!$G106+0.5*V118</f>
        <v>-1.2049985123475057E-3</v>
      </c>
      <c r="J118" s="308">
        <f>(DataUK1!FT106)/DataUK1!G106+0.5*V118</f>
        <v>7.4268570861846683E-2</v>
      </c>
      <c r="K118" s="394">
        <f>(DataUK1!GK106)/DataUK1!G106</f>
        <v>6.5159178815828625E-2</v>
      </c>
      <c r="L118" s="307">
        <f>(DataUK1!GU106)/DataUK1!G106</f>
        <v>2.3405732420906475E-2</v>
      </c>
      <c r="M118" s="679">
        <f>(DataUK1!$GY106)/DataUK1!$G106</f>
        <v>4.2553738951224968E-2</v>
      </c>
      <c r="N118" s="680">
        <f t="shared" si="10"/>
        <v>6.5959471372131442E-2</v>
      </c>
      <c r="T118" s="364">
        <f>TableUK12b!H118</f>
        <v>0.13822275116532781</v>
      </c>
      <c r="U118" s="364">
        <f>(DataUK1!FK106+DataUK1!FT106+DataUK1!GK106)/DataUK1!$G106</f>
        <v>0.14658335812754142</v>
      </c>
      <c r="V118" s="300">
        <f t="shared" si="16"/>
        <v>-8.360606962213607E-3</v>
      </c>
      <c r="W118" s="300">
        <f t="shared" si="17"/>
        <v>0</v>
      </c>
      <c r="X118" s="1244">
        <f>G118-TableUK12d!L118-TableUK12c!B118</f>
        <v>0</v>
      </c>
      <c r="Y118" s="197">
        <f t="shared" si="11"/>
        <v>0</v>
      </c>
      <c r="Z118" s="197">
        <f>F118-TableUK12d!F118-L118</f>
        <v>0</v>
      </c>
      <c r="AA118" s="197">
        <f>K117-L117-TableUK12d!K117</f>
        <v>0</v>
      </c>
    </row>
    <row r="119" spans="1:27" ht="12" customHeight="1">
      <c r="A119" s="198">
        <f t="shared" si="18"/>
        <v>1948</v>
      </c>
      <c r="B119" s="303">
        <f t="shared" si="13"/>
        <v>7.1332436069986502E-2</v>
      </c>
      <c r="C119" s="308">
        <f t="shared" si="14"/>
        <v>1.4984297891431096E-2</v>
      </c>
      <c r="D119" s="308">
        <f>I119-TableUK12d!N119</f>
        <v>-3.646044183326895E-2</v>
      </c>
      <c r="E119" s="308">
        <f>J119-TableUK12d!P119</f>
        <v>5.1444739724700046E-2</v>
      </c>
      <c r="F119" s="308">
        <f>K119-TableUK12d!Q119</f>
        <v>5.6348138178555406E-2</v>
      </c>
      <c r="G119" s="570">
        <f>TableUK12b!H119</f>
        <v>0.15791834903544189</v>
      </c>
      <c r="H119" s="308">
        <f t="shared" si="15"/>
        <v>8.0484522207267817E-2</v>
      </c>
      <c r="I119" s="308">
        <f>(DataUK1!FK107)/DataUK1!$G107+0.5*V119</f>
        <v>-1.6451469199801023E-2</v>
      </c>
      <c r="J119" s="308">
        <f>(DataUK1!FT107)/DataUK1!G107+0.5*V119</f>
        <v>9.6935991407068822E-2</v>
      </c>
      <c r="K119" s="394">
        <f>(DataUK1!GK107)/DataUK1!G107</f>
        <v>7.7433826828174068E-2</v>
      </c>
      <c r="L119" s="307">
        <f>(DataUK1!GU107)/DataUK1!G107</f>
        <v>3.149394347240915E-2</v>
      </c>
      <c r="M119" s="679">
        <f>(DataUK1!$GY107)/DataUK1!$G107</f>
        <v>3.7422298522015611E-2</v>
      </c>
      <c r="N119" s="680">
        <f t="shared" si="10"/>
        <v>6.8916241994424754E-2</v>
      </c>
      <c r="T119" s="364">
        <f>TableUK12b!H119</f>
        <v>0.15791834903544189</v>
      </c>
      <c r="U119" s="364">
        <f>(DataUK1!FK107+DataUK1!FT107+DataUK1!GK107)/DataUK1!$G107</f>
        <v>0.19817884687874066</v>
      </c>
      <c r="V119" s="300">
        <f t="shared" si="16"/>
        <v>-4.026049784329877E-2</v>
      </c>
      <c r="W119" s="300">
        <f t="shared" si="17"/>
        <v>0</v>
      </c>
      <c r="X119" s="1244">
        <f>G119-TableUK12d!L119-TableUK12c!B119</f>
        <v>0</v>
      </c>
      <c r="Y119" s="197">
        <f t="shared" si="11"/>
        <v>0</v>
      </c>
      <c r="Z119" s="197">
        <f>F119-TableUK12d!F119-L119</f>
        <v>0</v>
      </c>
      <c r="AA119" s="197">
        <f>K118-L118-TableUK12d!K118</f>
        <v>0</v>
      </c>
    </row>
    <row r="120" spans="1:27" ht="12" customHeight="1">
      <c r="A120" s="214">
        <v>1949</v>
      </c>
      <c r="B120" s="565">
        <f t="shared" si="13"/>
        <v>6.2196472693192437E-2</v>
      </c>
      <c r="C120" s="550">
        <f t="shared" si="14"/>
        <v>-1.4484110079236862E-3</v>
      </c>
      <c r="D120" s="550">
        <f>I120-TableUK12d!N120</f>
        <v>-3.4785427143609784E-2</v>
      </c>
      <c r="E120" s="550">
        <f>J120-TableUK12d!P120</f>
        <v>3.3337016135686098E-2</v>
      </c>
      <c r="F120" s="550">
        <f>K120-TableUK12d!Q120</f>
        <v>6.3644883701116123E-2</v>
      </c>
      <c r="G120" s="571">
        <f>TableUK12b!H120</f>
        <v>0.15012354093891112</v>
      </c>
      <c r="H120" s="550">
        <f t="shared" si="15"/>
        <v>6.5519297946664376E-2</v>
      </c>
      <c r="I120" s="550">
        <f>(DataUK1!FK108)/DataUK1!$G108+0.5*V120</f>
        <v>-1.4081669795053937E-2</v>
      </c>
      <c r="J120" s="550">
        <f>(DataUK1!FT108)/DataUK1!G108+0.5*V120</f>
        <v>7.9600967741718306E-2</v>
      </c>
      <c r="K120" s="553">
        <f>(DataUK1!GK108)/DataUK1!G108</f>
        <v>8.4604242992246739E-2</v>
      </c>
      <c r="L120" s="568">
        <f>(DataUK1!GU108)/DataUK1!G108</f>
        <v>4.0044304336712959E-2</v>
      </c>
      <c r="M120" s="1917">
        <f>(DataUK1!$GY108)/DataUK1!$G108</f>
        <v>3.5720622064963001E-2</v>
      </c>
      <c r="N120" s="1251">
        <f t="shared" si="10"/>
        <v>7.5764926401675953E-2</v>
      </c>
      <c r="T120" s="364">
        <f>TableUK12b!H120</f>
        <v>0.15012354093891112</v>
      </c>
      <c r="U120" s="364">
        <f>(DataUK1!FK108+DataUK1!FT108+DataUK1!GK108)/DataUK1!$G108</f>
        <v>0.19975744370529913</v>
      </c>
      <c r="V120" s="300">
        <f t="shared" si="16"/>
        <v>-4.9633902766388016E-2</v>
      </c>
      <c r="W120" s="300">
        <f t="shared" si="17"/>
        <v>0</v>
      </c>
      <c r="X120" s="1244">
        <f>G120-TableUK12d!L120-TableUK12c!B120</f>
        <v>0</v>
      </c>
      <c r="Y120" s="197">
        <f t="shared" si="11"/>
        <v>0</v>
      </c>
      <c r="Z120" s="197">
        <f>F120-TableUK12d!F120-L120</f>
        <v>0</v>
      </c>
      <c r="AA120" s="197">
        <f>K119-L119-TableUK12d!K119</f>
        <v>0</v>
      </c>
    </row>
    <row r="121" spans="1:27" ht="12" customHeight="1">
      <c r="A121" s="198">
        <f t="shared" ref="A121:A141" si="21">A120+1</f>
        <v>1950</v>
      </c>
      <c r="B121" s="303">
        <f t="shared" si="13"/>
        <v>6.5692841578565087E-2</v>
      </c>
      <c r="C121" s="308">
        <f t="shared" si="14"/>
        <v>5.4071503510612455E-3</v>
      </c>
      <c r="D121" s="308">
        <f>I121-TableUK12d!N121</f>
        <v>-2.8064848392822996E-2</v>
      </c>
      <c r="E121" s="308">
        <f>J121-TableUK12d!P121</f>
        <v>3.3471998743884242E-2</v>
      </c>
      <c r="F121" s="308">
        <f>K121-TableUK12d!Q121</f>
        <v>6.0285691227503838E-2</v>
      </c>
      <c r="G121" s="570">
        <f>TableUK12b!H121</f>
        <v>0.1555161003954483</v>
      </c>
      <c r="H121" s="308">
        <f t="shared" si="15"/>
        <v>7.4893067549027512E-2</v>
      </c>
      <c r="I121" s="308">
        <f>(DataUK1!FK109)/DataUK1!$G109+0.5*V121</f>
        <v>-6.7590619349099934E-3</v>
      </c>
      <c r="J121" s="308">
        <f>(DataUK1!FT109)/DataUK1!G109+0.5*V121</f>
        <v>8.1652129483937505E-2</v>
      </c>
      <c r="K121" s="394">
        <f>(DataUK1!GK109)/DataUK1!G109</f>
        <v>8.0623032846420792E-2</v>
      </c>
      <c r="L121" s="307">
        <f>(DataUK1!GU109)/DataUK1!G109</f>
        <v>3.5751755306270679E-2</v>
      </c>
      <c r="M121" s="679">
        <f>(DataUK1!$GY109)/DataUK1!$G109</f>
        <v>3.4864488931719902E-2</v>
      </c>
      <c r="N121" s="680">
        <f t="shared" si="10"/>
        <v>7.061624423799058E-2</v>
      </c>
      <c r="T121" s="364">
        <f>TableUK12b!H121</f>
        <v>0.1555161003954483</v>
      </c>
      <c r="U121" s="364">
        <f>(DataUK1!FK109+DataUK1!FT109+DataUK1!GK109)/DataUK1!$G109</f>
        <v>0.18969438083051726</v>
      </c>
      <c r="V121" s="300">
        <f t="shared" si="16"/>
        <v>-3.4178280435068958E-2</v>
      </c>
      <c r="W121" s="300">
        <f t="shared" si="17"/>
        <v>0</v>
      </c>
      <c r="X121" s="1244">
        <f>G121-TableUK12d!L121-TableUK12c!B121</f>
        <v>0</v>
      </c>
      <c r="Y121" s="197">
        <f t="shared" ref="Y121:Y152" si="22">B121-C121-F121</f>
        <v>0</v>
      </c>
      <c r="Z121" s="197">
        <f>F121-TableUK12d!F121-L121</f>
        <v>0</v>
      </c>
      <c r="AA121" s="197">
        <f>K120-L120-TableUK12d!K120</f>
        <v>0</v>
      </c>
    </row>
    <row r="122" spans="1:27" ht="12" customHeight="1">
      <c r="A122" s="198">
        <f t="shared" si="21"/>
        <v>1951</v>
      </c>
      <c r="B122" s="303">
        <f t="shared" si="13"/>
        <v>6.9709604271816286E-2</v>
      </c>
      <c r="C122" s="308">
        <f t="shared" si="14"/>
        <v>2.2383146807109979E-2</v>
      </c>
      <c r="D122" s="308">
        <f>I122-TableUK12d!N122</f>
        <v>-2.909560550267291E-2</v>
      </c>
      <c r="E122" s="308">
        <f>J122-TableUK12d!P122</f>
        <v>5.1478752309782889E-2</v>
      </c>
      <c r="F122" s="308">
        <f>K122-TableUK12d!Q122</f>
        <v>4.7326457464706304E-2</v>
      </c>
      <c r="G122" s="570">
        <f>TableUK12b!H122</f>
        <v>0.16502084704849684</v>
      </c>
      <c r="H122" s="308">
        <f t="shared" ref="H122:H153" si="23">G122-K122</f>
        <v>9.7066783702728435E-2</v>
      </c>
      <c r="I122" s="308">
        <f>(DataUK1!FK110)/DataUK1!$G110+0.5*V122</f>
        <v>-6.1272783868803575E-3</v>
      </c>
      <c r="J122" s="308">
        <f>(DataUK1!FT110)/DataUK1!G110+0.5*V122</f>
        <v>0.1031940620896088</v>
      </c>
      <c r="K122" s="394">
        <f>(DataUK1!GK110)/DataUK1!G110</f>
        <v>6.7954063345768409E-2</v>
      </c>
      <c r="L122" s="307">
        <f>(DataUK1!GU110)/DataUK1!G110</f>
        <v>1.9530392802282203E-2</v>
      </c>
      <c r="M122" s="679">
        <f>(DataUK1!$GY110)/DataUK1!$G110</f>
        <v>3.4447802890256285E-2</v>
      </c>
      <c r="N122" s="680">
        <f t="shared" si="10"/>
        <v>5.3978195692538491E-2</v>
      </c>
      <c r="T122" s="364">
        <f>TableUK12b!H122</f>
        <v>0.16502084704849684</v>
      </c>
      <c r="U122" s="364">
        <f>(DataUK1!FK110+DataUK1!FT110+DataUK1!GK110)/DataUK1!$G110</f>
        <v>0.19395304261971202</v>
      </c>
      <c r="V122" s="300">
        <f t="shared" si="16"/>
        <v>-2.893219557121518E-2</v>
      </c>
      <c r="W122" s="300">
        <f t="shared" si="17"/>
        <v>0</v>
      </c>
      <c r="X122" s="1244">
        <f>G122-TableUK12d!L122-TableUK12c!B122</f>
        <v>0</v>
      </c>
      <c r="Y122" s="197">
        <f t="shared" si="22"/>
        <v>0</v>
      </c>
      <c r="Z122" s="197">
        <f>F122-TableUK12d!F122-L122</f>
        <v>0</v>
      </c>
      <c r="AA122" s="197">
        <f>K121-L121-TableUK12d!K121</f>
        <v>0</v>
      </c>
    </row>
    <row r="123" spans="1:27" ht="12" customHeight="1">
      <c r="A123" s="198">
        <f t="shared" si="21"/>
        <v>1952</v>
      </c>
      <c r="B123" s="303">
        <f t="shared" si="13"/>
        <v>7.3526405451448049E-2</v>
      </c>
      <c r="C123" s="308">
        <f t="shared" si="14"/>
        <v>4.8586030664395236E-2</v>
      </c>
      <c r="D123" s="308">
        <f>I123-TableUK12d!N123</f>
        <v>-1.1210168218931411E-2</v>
      </c>
      <c r="E123" s="308">
        <f>J123-TableUK12d!P123</f>
        <v>5.9796198883326643E-2</v>
      </c>
      <c r="F123" s="308">
        <f>K123-TableUK12d!Q123</f>
        <v>2.494037478705281E-2</v>
      </c>
      <c r="G123" s="570">
        <f>TableUK12b!H123</f>
        <v>0.17335604770017035</v>
      </c>
      <c r="H123" s="308">
        <f t="shared" si="23"/>
        <v>0.12722316865417377</v>
      </c>
      <c r="I123" s="308">
        <f>(DataUK1!FK111)/DataUK1!$G111+0.5*V123</f>
        <v>1.202662905534457E-2</v>
      </c>
      <c r="J123" s="308">
        <f>(DataUK1!FT111)/DataUK1!G111+0.5*V123</f>
        <v>0.1151965395988292</v>
      </c>
      <c r="K123" s="394">
        <f>(DataUK1!GK111)/DataUK1!G111</f>
        <v>4.613287904599659E-2</v>
      </c>
      <c r="L123" s="307">
        <f>(DataUK1!GU111)/DataUK1!G111</f>
        <v>-8.3816013628620102E-3</v>
      </c>
      <c r="M123" s="679">
        <f>(DataUK1!$GY111)/DataUK1!$G111</f>
        <v>3.6624827928122758E-2</v>
      </c>
      <c r="N123" s="680">
        <f t="shared" si="10"/>
        <v>2.8243226565260748E-2</v>
      </c>
      <c r="T123" s="364">
        <f>TableUK12b!H123</f>
        <v>0.17335604770017035</v>
      </c>
      <c r="U123" s="364">
        <f>(DataUK1!FK111+DataUK1!FT111+DataUK1!GK111)/DataUK1!$G111</f>
        <v>0.20109154597789689</v>
      </c>
      <c r="V123" s="300">
        <f t="shared" si="16"/>
        <v>-2.7735498277726534E-2</v>
      </c>
      <c r="W123" s="300">
        <f t="shared" si="17"/>
        <v>0</v>
      </c>
      <c r="X123" s="1244">
        <f>G123-TableUK12d!L123-TableUK12c!B123</f>
        <v>0</v>
      </c>
      <c r="Y123" s="197">
        <f t="shared" si="22"/>
        <v>0</v>
      </c>
      <c r="Z123" s="197">
        <f>F123-TableUK12d!F123-L123</f>
        <v>0</v>
      </c>
      <c r="AA123" s="197">
        <f>K122-L122-TableUK12d!K122</f>
        <v>0</v>
      </c>
    </row>
    <row r="124" spans="1:27" ht="12" customHeight="1">
      <c r="A124" s="198">
        <f t="shared" si="21"/>
        <v>1953</v>
      </c>
      <c r="B124" s="303">
        <f t="shared" si="13"/>
        <v>8.5927613262465175E-2</v>
      </c>
      <c r="C124" s="308">
        <f t="shared" si="14"/>
        <v>6.8590230321437587E-2</v>
      </c>
      <c r="D124" s="308">
        <f>I124-TableUK12d!N124</f>
        <v>-8.1932669938973232E-4</v>
      </c>
      <c r="E124" s="308">
        <f>J124-TableUK12d!P124</f>
        <v>6.9409557020827323E-2</v>
      </c>
      <c r="F124" s="308">
        <f>K124-TableUK12d!Q124</f>
        <v>1.7337382941027591E-2</v>
      </c>
      <c r="G124" s="570">
        <f>TableUK12b!H124</f>
        <v>0.18153631991900782</v>
      </c>
      <c r="H124" s="308">
        <f t="shared" si="23"/>
        <v>0.14477347506960259</v>
      </c>
      <c r="I124" s="308">
        <f>(DataUK1!FK112)/DataUK1!$G112+0.5*V124</f>
        <v>2.1326965378565217E-2</v>
      </c>
      <c r="J124" s="308">
        <f>(DataUK1!FT112)/DataUK1!G112+0.5*V124</f>
        <v>0.12344650969103739</v>
      </c>
      <c r="K124" s="394">
        <f>(DataUK1!GK112)/DataUK1!G112</f>
        <v>3.6762844849405216E-2</v>
      </c>
      <c r="L124" s="307">
        <f>(DataUK1!GU112)/DataUK1!G112</f>
        <v>-1.8476335105036698E-2</v>
      </c>
      <c r="M124" s="679">
        <f>(DataUK1!$GY112)/DataUK1!$G112</f>
        <v>3.5415280686866141E-2</v>
      </c>
      <c r="N124" s="680">
        <f t="shared" si="10"/>
        <v>1.6938945581829443E-2</v>
      </c>
      <c r="T124" s="364">
        <f>TableUK12b!H124</f>
        <v>0.18153631991900782</v>
      </c>
      <c r="U124" s="364">
        <f>(DataUK1!FK112+DataUK1!FT112+DataUK1!GK112)/DataUK1!$G112</f>
        <v>0.19342554279386928</v>
      </c>
      <c r="V124" s="300">
        <f t="shared" si="16"/>
        <v>-1.1889222874861466E-2</v>
      </c>
      <c r="W124" s="300">
        <f t="shared" si="17"/>
        <v>0</v>
      </c>
      <c r="X124" s="1244">
        <f>G124-TableUK12d!L124-TableUK12c!B124</f>
        <v>0</v>
      </c>
      <c r="Y124" s="197">
        <f t="shared" si="22"/>
        <v>0</v>
      </c>
      <c r="Z124" s="197">
        <f>F124-TableUK12d!F124-L124</f>
        <v>0</v>
      </c>
      <c r="AA124" s="197">
        <f>K123-L123-TableUK12d!K123</f>
        <v>0</v>
      </c>
    </row>
    <row r="125" spans="1:27" ht="12" customHeight="1">
      <c r="A125" s="198">
        <f t="shared" si="21"/>
        <v>1954</v>
      </c>
      <c r="B125" s="303">
        <f t="shared" si="13"/>
        <v>8.2068510408542794E-2</v>
      </c>
      <c r="C125" s="308">
        <f t="shared" si="14"/>
        <v>6.2811206431099637E-2</v>
      </c>
      <c r="D125" s="308">
        <f>I125-TableUK12d!N125</f>
        <v>-9.1536965334071893E-3</v>
      </c>
      <c r="E125" s="308">
        <f>J125-TableUK12d!P125</f>
        <v>7.1964902964506833E-2</v>
      </c>
      <c r="F125" s="308">
        <f>K125-TableUK12d!Q125</f>
        <v>1.9257303977443158E-2</v>
      </c>
      <c r="G125" s="570">
        <f>TableUK12b!H125</f>
        <v>0.17739516467694524</v>
      </c>
      <c r="H125" s="308">
        <f t="shared" si="23"/>
        <v>0.1391805147279381</v>
      </c>
      <c r="I125" s="308">
        <f>(DataUK1!FK113)/DataUK1!$G113+0.5*V125</f>
        <v>1.2863221098124395E-2</v>
      </c>
      <c r="J125" s="308">
        <f>(DataUK1!FT113)/DataUK1!G113+0.5*V125</f>
        <v>0.1263172936298137</v>
      </c>
      <c r="K125" s="394">
        <f>(DataUK1!GK113)/DataUK1!G113</f>
        <v>3.821464994900714E-2</v>
      </c>
      <c r="L125" s="307">
        <f>(DataUK1!GU113)/DataUK1!G113</f>
        <v>-1.0078588997540345E-2</v>
      </c>
      <c r="M125" s="679">
        <f>(DataUK1!$GY113)/DataUK1!$G113</f>
        <v>3.3909686080481255E-2</v>
      </c>
      <c r="N125" s="680">
        <f t="shared" si="10"/>
        <v>2.383109708294091E-2</v>
      </c>
      <c r="T125" s="364">
        <f>TableUK12b!H125</f>
        <v>0.17739516467694524</v>
      </c>
      <c r="U125" s="364">
        <f>(DataUK1!FK113+DataUK1!FT113+DataUK1!GK113)/DataUK1!$G113</f>
        <v>0.19714235617197967</v>
      </c>
      <c r="V125" s="300">
        <f t="shared" si="16"/>
        <v>-1.9747191495034427E-2</v>
      </c>
      <c r="W125" s="300">
        <f t="shared" si="17"/>
        <v>0</v>
      </c>
      <c r="X125" s="1244">
        <f>G125-TableUK12d!L125-TableUK12c!B125</f>
        <v>0</v>
      </c>
      <c r="Y125" s="197">
        <f t="shared" si="22"/>
        <v>0</v>
      </c>
      <c r="Z125" s="197">
        <f>F125-TableUK12d!F125-L125</f>
        <v>0</v>
      </c>
      <c r="AA125" s="197">
        <f>K124-L124-TableUK12d!K124</f>
        <v>0</v>
      </c>
    </row>
    <row r="126" spans="1:27" ht="12" customHeight="1">
      <c r="A126" s="198">
        <f t="shared" si="21"/>
        <v>1955</v>
      </c>
      <c r="B126" s="303">
        <f t="shared" si="13"/>
        <v>8.2134831460674185E-2</v>
      </c>
      <c r="C126" s="308">
        <f t="shared" si="14"/>
        <v>4.6067415730337097E-2</v>
      </c>
      <c r="D126" s="308">
        <f>I126-TableUK12d!N126</f>
        <v>-6.2077911828826472E-3</v>
      </c>
      <c r="E126" s="308">
        <f>J126-TableUK12d!P126</f>
        <v>5.2275206913219747E-2</v>
      </c>
      <c r="F126" s="308">
        <f>K126-TableUK12d!Q126</f>
        <v>3.6067415730337081E-2</v>
      </c>
      <c r="G126" s="570">
        <f>TableUK12b!H126</f>
        <v>0.1807865168539326</v>
      </c>
      <c r="H126" s="308">
        <f t="shared" si="23"/>
        <v>0.12522471910112359</v>
      </c>
      <c r="I126" s="308">
        <f>(DataUK1!FK114)/DataUK1!$G114+0.5*V126</f>
        <v>1.63764784800387E-2</v>
      </c>
      <c r="J126" s="308">
        <f>(DataUK1!FT114)/DataUK1!G114+0.5*V126</f>
        <v>0.10884824062108492</v>
      </c>
      <c r="K126" s="394">
        <f>(DataUK1!GK114)/DataUK1!G114</f>
        <v>5.5561797752808992E-2</v>
      </c>
      <c r="L126" s="307">
        <f>(DataUK1!GU114)/DataUK1!G114</f>
        <v>1.0898876404494382E-2</v>
      </c>
      <c r="M126" s="679">
        <f>(DataUK1!$GY114)/DataUK1!$G114</f>
        <v>3.5686175948794675E-2</v>
      </c>
      <c r="N126" s="680">
        <f t="shared" si="10"/>
        <v>4.658505235328906E-2</v>
      </c>
      <c r="T126" s="364">
        <f>TableUK12b!H126</f>
        <v>0.1807865168539326</v>
      </c>
      <c r="U126" s="364">
        <f>(DataUK1!FK114+DataUK1!FT114+DataUK1!GK114)/DataUK1!$G114</f>
        <v>0.20264030146688891</v>
      </c>
      <c r="V126" s="300">
        <f t="shared" si="16"/>
        <v>-2.1853784612956312E-2</v>
      </c>
      <c r="W126" s="300">
        <f t="shared" si="17"/>
        <v>0</v>
      </c>
      <c r="X126" s="1244">
        <f>G126-TableUK12d!L126-TableUK12c!B126</f>
        <v>0</v>
      </c>
      <c r="Y126" s="197">
        <f t="shared" si="22"/>
        <v>0</v>
      </c>
      <c r="Z126" s="197">
        <f>F126-TableUK12d!F126-L126</f>
        <v>0</v>
      </c>
      <c r="AA126" s="197">
        <f>K125-L125-TableUK12d!K125</f>
        <v>0</v>
      </c>
    </row>
    <row r="127" spans="1:27" ht="12" customHeight="1">
      <c r="A127" s="198">
        <f t="shared" si="21"/>
        <v>1956</v>
      </c>
      <c r="B127" s="303">
        <f t="shared" si="13"/>
        <v>9.8886808156471079E-2</v>
      </c>
      <c r="C127" s="308">
        <f t="shared" si="14"/>
        <v>7.6102788181439868E-2</v>
      </c>
      <c r="D127" s="308">
        <f>I127-TableUK12d!N127</f>
        <v>1.3230804741073906E-2</v>
      </c>
      <c r="E127" s="308">
        <f>J127-TableUK12d!P127</f>
        <v>6.2871983440365958E-2</v>
      </c>
      <c r="F127" s="308">
        <f>K127-TableUK12d!Q127</f>
        <v>2.2784019975031208E-2</v>
      </c>
      <c r="G127" s="570">
        <f>TableUK12b!H127</f>
        <v>0.19897003745318353</v>
      </c>
      <c r="H127" s="308">
        <f t="shared" si="23"/>
        <v>0.15647107781939246</v>
      </c>
      <c r="I127" s="308">
        <f>(DataUK1!FK115)/DataUK1!$G115+0.5*V127</f>
        <v>3.5286568369871242E-2</v>
      </c>
      <c r="J127" s="308">
        <f>(DataUK1!FT115)/DataUK1!G115+0.5*V127</f>
        <v>0.12118450944952118</v>
      </c>
      <c r="K127" s="394">
        <f>(DataUK1!GK115)/DataUK1!G115</f>
        <v>4.2498959633791092E-2</v>
      </c>
      <c r="L127" s="307">
        <f>(DataUK1!GU115)/DataUK1!G115</f>
        <v>-7.282563462338743E-4</v>
      </c>
      <c r="M127" s="679">
        <f>(DataUK1!$GY115)/DataUK1!$G115</f>
        <v>3.7420233222403898E-2</v>
      </c>
      <c r="N127" s="680">
        <f t="shared" si="10"/>
        <v>3.6691976876170027E-2</v>
      </c>
      <c r="T127" s="364">
        <f>TableUK12b!H127</f>
        <v>0.19897003745318353</v>
      </c>
      <c r="U127" s="364">
        <f>(DataUK1!FK115+DataUK1!FT115+DataUK1!GK115)/DataUK1!$G115</f>
        <v>0.20808895231560501</v>
      </c>
      <c r="V127" s="300">
        <f t="shared" si="16"/>
        <v>-9.1189148624214733E-3</v>
      </c>
      <c r="W127" s="300">
        <f t="shared" si="17"/>
        <v>0</v>
      </c>
      <c r="X127" s="1244">
        <f>G127-TableUK12d!L127-TableUK12c!B127</f>
        <v>0</v>
      </c>
      <c r="Y127" s="197">
        <f t="shared" si="22"/>
        <v>0</v>
      </c>
      <c r="Z127" s="197">
        <f>F127-TableUK12d!F127-L127</f>
        <v>-4.1199682554449168E-18</v>
      </c>
      <c r="AA127" s="197">
        <f>K126-L126-TableUK12d!K126</f>
        <v>0</v>
      </c>
    </row>
    <row r="128" spans="1:27" ht="12" customHeight="1">
      <c r="A128" s="198">
        <f t="shared" si="21"/>
        <v>1957</v>
      </c>
      <c r="B128" s="303">
        <f t="shared" si="13"/>
        <v>0.10149283145292408</v>
      </c>
      <c r="C128" s="308">
        <f t="shared" si="14"/>
        <v>7.2621569690101986E-2</v>
      </c>
      <c r="D128" s="308">
        <f>I128-TableUK12d!N128</f>
        <v>1.2627170452061701E-2</v>
      </c>
      <c r="E128" s="308">
        <f>J128-TableUK12d!P128</f>
        <v>5.9994399238040286E-2</v>
      </c>
      <c r="F128" s="308">
        <f>K128-TableUK12d!Q128</f>
        <v>2.8871261762822096E-2</v>
      </c>
      <c r="G128" s="570">
        <f>TableUK12b!H128</f>
        <v>0.20278858944671627</v>
      </c>
      <c r="H128" s="308">
        <f t="shared" si="23"/>
        <v>0.15445632359461989</v>
      </c>
      <c r="I128" s="308">
        <f>(DataUK1!FK116)/DataUK1!$G116+0.5*V128</f>
        <v>3.4354519321352729E-2</v>
      </c>
      <c r="J128" s="308">
        <f>(DataUK1!FT116)/DataUK1!G116+0.5*V128</f>
        <v>0.12010180427326717</v>
      </c>
      <c r="K128" s="394">
        <f>(DataUK1!GK116)/DataUK1!G116</f>
        <v>4.8332265852096372E-2</v>
      </c>
      <c r="L128" s="307">
        <f>(DataUK1!GU116)/DataUK1!G116</f>
        <v>6.5034241513524165E-3</v>
      </c>
      <c r="M128" s="679">
        <f>(DataUK1!$GY116)/DataUK1!$G116</f>
        <v>3.4408598870244375E-2</v>
      </c>
      <c r="N128" s="680">
        <f t="shared" si="10"/>
        <v>4.0912023021596793E-2</v>
      </c>
      <c r="T128" s="364">
        <f>TableUK12b!H128</f>
        <v>0.20278858944671627</v>
      </c>
      <c r="U128" s="364">
        <f>(DataUK1!FK116+DataUK1!FT116+DataUK1!GK116)/DataUK1!$G116</f>
        <v>0.2088689285445636</v>
      </c>
      <c r="V128" s="300">
        <f t="shared" si="16"/>
        <v>-6.0803390978473315E-3</v>
      </c>
      <c r="W128" s="300">
        <f t="shared" si="17"/>
        <v>0</v>
      </c>
      <c r="X128" s="1244">
        <f>G128-TableUK12d!L128-TableUK12c!B128</f>
        <v>0</v>
      </c>
      <c r="Y128" s="197">
        <f t="shared" si="22"/>
        <v>0</v>
      </c>
      <c r="Z128" s="197">
        <f>F128-TableUK12d!F128-L128</f>
        <v>0</v>
      </c>
      <c r="AA128" s="197">
        <f>K127-L127-TableUK12d!K127</f>
        <v>0</v>
      </c>
    </row>
    <row r="129" spans="1:27" ht="12" customHeight="1">
      <c r="A129" s="198">
        <f t="shared" si="21"/>
        <v>1958</v>
      </c>
      <c r="B129" s="303">
        <f t="shared" si="13"/>
        <v>9.664600974502105E-2</v>
      </c>
      <c r="C129" s="308">
        <f t="shared" si="14"/>
        <v>6.438336723591466E-2</v>
      </c>
      <c r="D129" s="308">
        <f>I129-TableUK12d!N129</f>
        <v>4.973352309420153E-3</v>
      </c>
      <c r="E129" s="308">
        <f>J129-TableUK12d!P129</f>
        <v>5.9410014926494503E-2</v>
      </c>
      <c r="F129" s="308">
        <f>K129-TableUK12d!Q129</f>
        <v>3.226264250910639E-2</v>
      </c>
      <c r="G129" s="570">
        <f>TableUK12b!H129</f>
        <v>0.19958370783859219</v>
      </c>
      <c r="H129" s="308">
        <f t="shared" si="23"/>
        <v>0.14802024693694121</v>
      </c>
      <c r="I129" s="308">
        <f>(DataUK1!FK117)/DataUK1!$G117+0.5*V129</f>
        <v>2.692330263819635E-2</v>
      </c>
      <c r="J129" s="308">
        <f>(DataUK1!FT117)/DataUK1!G117+0.5*V129</f>
        <v>0.12109694429874485</v>
      </c>
      <c r="K129" s="394">
        <f>(DataUK1!GK117)/DataUK1!G117</f>
        <v>5.1563460901650975E-2</v>
      </c>
      <c r="L129" s="307">
        <f>(DataUK1!GU117)/DataUK1!G117</f>
        <v>1.2725294479398269E-2</v>
      </c>
      <c r="M129" s="679">
        <f>(DataUK1!$GY117)/DataUK1!$G117</f>
        <v>3.4482769731295014E-2</v>
      </c>
      <c r="N129" s="680">
        <f t="shared" si="10"/>
        <v>4.7208064210693283E-2</v>
      </c>
      <c r="T129" s="364">
        <f>TableUK12b!H129</f>
        <v>0.19958370783859219</v>
      </c>
      <c r="U129" s="364">
        <f>(DataUK1!FK117+DataUK1!FT117+DataUK1!GK117)/DataUK1!$G117</f>
        <v>0.20401800515929491</v>
      </c>
      <c r="V129" s="300">
        <f t="shared" si="16"/>
        <v>-4.4342973207027181E-3</v>
      </c>
      <c r="W129" s="300">
        <f t="shared" si="17"/>
        <v>0</v>
      </c>
      <c r="X129" s="1244">
        <f>G129-TableUK12d!L129-TableUK12c!B129</f>
        <v>0</v>
      </c>
      <c r="Y129" s="197">
        <f t="shared" si="22"/>
        <v>0</v>
      </c>
      <c r="Z129" s="197">
        <f>F129-TableUK12d!F129-L129</f>
        <v>0</v>
      </c>
      <c r="AA129" s="197">
        <f>K128-L128-TableUK12d!K128</f>
        <v>0</v>
      </c>
    </row>
    <row r="130" spans="1:27" ht="12" customHeight="1">
      <c r="A130" s="214">
        <f t="shared" si="21"/>
        <v>1959</v>
      </c>
      <c r="B130" s="565">
        <f t="shared" si="13"/>
        <v>9.4810155021343462E-2</v>
      </c>
      <c r="C130" s="550">
        <f t="shared" si="14"/>
        <v>6.6951246910806506E-2</v>
      </c>
      <c r="D130" s="550">
        <f>I130-TableUK12d!N130</f>
        <v>7.5572683058072743E-4</v>
      </c>
      <c r="E130" s="550">
        <f>J130-TableUK12d!P130</f>
        <v>6.6195520080225778E-2</v>
      </c>
      <c r="F130" s="550">
        <f>K130-TableUK12d!Q130</f>
        <v>2.7858908110536956E-2</v>
      </c>
      <c r="G130" s="571">
        <f>TableUK12b!H130</f>
        <v>0.19573129633790157</v>
      </c>
      <c r="H130" s="550">
        <f t="shared" si="23"/>
        <v>0.1493596944506852</v>
      </c>
      <c r="I130" s="550">
        <f>(DataUK1!FK118)/DataUK1!$G118+0.5*V130</f>
        <v>2.2458714923144198E-2</v>
      </c>
      <c r="J130" s="550">
        <f>(DataUK1!FT118)/DataUK1!G118+0.5*V130</f>
        <v>0.12690097952754098</v>
      </c>
      <c r="K130" s="553">
        <f>(DataUK1!GK118)/DataUK1!G118</f>
        <v>4.6371601887216354E-2</v>
      </c>
      <c r="L130" s="568">
        <f>(DataUK1!GU118)/DataUK1!G118</f>
        <v>7.3691305324646147E-3</v>
      </c>
      <c r="M130" s="1917">
        <f>(DataUK1!$GY118)/DataUK1!$G118</f>
        <v>3.2357747554555179E-2</v>
      </c>
      <c r="N130" s="1251">
        <f t="shared" si="10"/>
        <v>3.9726878087019794E-2</v>
      </c>
      <c r="T130" s="364">
        <f>TableUK12b!H130</f>
        <v>0.19573129633790157</v>
      </c>
      <c r="U130" s="364">
        <f>(DataUK1!FK118+DataUK1!FT118+DataUK1!GK118)/DataUK1!$G118</f>
        <v>0.22468490670729505</v>
      </c>
      <c r="V130" s="300">
        <f t="shared" si="16"/>
        <v>-2.8953610369393479E-2</v>
      </c>
      <c r="W130" s="300">
        <f t="shared" si="17"/>
        <v>0</v>
      </c>
      <c r="X130" s="1244">
        <f>G130-TableUK12d!L130-TableUK12c!B130</f>
        <v>0</v>
      </c>
      <c r="Y130" s="197">
        <f t="shared" si="22"/>
        <v>0</v>
      </c>
      <c r="Z130" s="197">
        <f>F130-TableUK12d!F130-L130</f>
        <v>0</v>
      </c>
      <c r="AA130" s="197">
        <f>K129-L129-TableUK12d!K129</f>
        <v>0</v>
      </c>
    </row>
    <row r="131" spans="1:27" ht="12" customHeight="1">
      <c r="A131" s="198">
        <f t="shared" si="21"/>
        <v>1960</v>
      </c>
      <c r="B131" s="303">
        <f t="shared" si="13"/>
        <v>0.10045468066119913</v>
      </c>
      <c r="C131" s="308">
        <f t="shared" si="14"/>
        <v>8.3712233884332604E-2</v>
      </c>
      <c r="D131" s="308">
        <f>I131-TableUK12d!N131</f>
        <v>8.7512400627560889E-3</v>
      </c>
      <c r="E131" s="308">
        <f>J131-TableUK12d!P131</f>
        <v>7.4960993821576519E-2</v>
      </c>
      <c r="F131" s="308">
        <f>K131-TableUK12d!Q131</f>
        <v>1.6742446776866527E-2</v>
      </c>
      <c r="G131" s="570">
        <f>TableUK12b!H131</f>
        <v>0.2007818807631836</v>
      </c>
      <c r="H131" s="308">
        <f t="shared" si="23"/>
        <v>0.1660646751370416</v>
      </c>
      <c r="I131" s="308">
        <f>(DataUK1!FK119)/DataUK1!$G119+0.5*V131</f>
        <v>3.0210467530567248E-2</v>
      </c>
      <c r="J131" s="308">
        <f>(DataUK1!FT119)/DataUK1!G119+0.5*V131</f>
        <v>0.13585420760647432</v>
      </c>
      <c r="K131" s="394">
        <f>(DataUK1!GK119)/DataUK1!G119</f>
        <v>3.4717205626142014E-2</v>
      </c>
      <c r="L131" s="307">
        <f>(DataUK1!GU119)/DataUK1!G119</f>
        <v>-3.3994815790591936E-3</v>
      </c>
      <c r="M131" s="679">
        <f>(DataUK1!$GY119)/DataUK1!$G119</f>
        <v>3.3320787001034975E-2</v>
      </c>
      <c r="N131" s="680">
        <f t="shared" si="10"/>
        <v>2.9921305421975783E-2</v>
      </c>
      <c r="T131" s="364">
        <f>TableUK12b!H131</f>
        <v>0.2007818807631836</v>
      </c>
      <c r="U131" s="364">
        <f>(DataUK1!FK119+DataUK1!FT119+DataUK1!GK119)/DataUK1!$G119</f>
        <v>0.24379017274492507</v>
      </c>
      <c r="V131" s="300">
        <f t="shared" si="16"/>
        <v>-4.300829198174147E-2</v>
      </c>
      <c r="W131" s="300">
        <f t="shared" si="17"/>
        <v>0</v>
      </c>
      <c r="X131" s="1244">
        <f>G131-TableUK12d!L131-TableUK12c!B131</f>
        <v>0</v>
      </c>
      <c r="Y131" s="197">
        <f t="shared" si="22"/>
        <v>0</v>
      </c>
      <c r="Z131" s="197">
        <f>F131-TableUK12d!F131-L131</f>
        <v>0</v>
      </c>
      <c r="AA131" s="197">
        <f>K130-L130-TableUK12d!K130</f>
        <v>0</v>
      </c>
    </row>
    <row r="132" spans="1:27" ht="12" customHeight="1">
      <c r="A132" s="198">
        <f t="shared" si="21"/>
        <v>1961</v>
      </c>
      <c r="B132" s="303">
        <f t="shared" si="13"/>
        <v>0.10831435534779656</v>
      </c>
      <c r="C132" s="308">
        <f t="shared" si="14"/>
        <v>8.5380958088617204E-2</v>
      </c>
      <c r="D132" s="308">
        <f>I132-TableUK12d!N132</f>
        <v>1.6738160555529145E-2</v>
      </c>
      <c r="E132" s="308">
        <f>J132-TableUK12d!P132</f>
        <v>6.8642797533088065E-2</v>
      </c>
      <c r="F132" s="308">
        <f>K132-TableUK12d!Q132</f>
        <v>2.2933397259179353E-2</v>
      </c>
      <c r="G132" s="570">
        <f>TableUK12b!H132</f>
        <v>0.20991649686363817</v>
      </c>
      <c r="H132" s="308">
        <f t="shared" si="23"/>
        <v>0.17184066482879859</v>
      </c>
      <c r="I132" s="308">
        <f>(DataUK1!FK120)/DataUK1!$G120+0.5*V132</f>
        <v>3.8432994548097767E-2</v>
      </c>
      <c r="J132" s="308">
        <f>(DataUK1!FT120)/DataUK1!G120+0.5*V132</f>
        <v>0.13340767028070083</v>
      </c>
      <c r="K132" s="394">
        <f>(DataUK1!GK120)/DataUK1!G120</f>
        <v>3.8075832034839587E-2</v>
      </c>
      <c r="L132" s="307">
        <f>(DataUK1!GU120)/DataUK1!G120</f>
        <v>-1.9976826880818252E-4</v>
      </c>
      <c r="M132" s="679">
        <f>(DataUK1!$GY120)/DataUK1!$G120</f>
        <v>3.4721555812594854E-2</v>
      </c>
      <c r="N132" s="680">
        <f t="shared" si="10"/>
        <v>3.4521787543786674E-2</v>
      </c>
      <c r="T132" s="364">
        <f>TableUK12b!H132</f>
        <v>0.20991649686363817</v>
      </c>
      <c r="U132" s="364">
        <f>(DataUK1!FK120+DataUK1!FT120+DataUK1!GK120)/DataUK1!$G120</f>
        <v>0.2224619441447919</v>
      </c>
      <c r="V132" s="300">
        <f t="shared" si="16"/>
        <v>-1.2545447281153727E-2</v>
      </c>
      <c r="W132" s="300">
        <f t="shared" si="17"/>
        <v>0</v>
      </c>
      <c r="X132" s="1244">
        <f>G132-TableUK12d!L132-TableUK12c!B132</f>
        <v>0</v>
      </c>
      <c r="Y132" s="197">
        <f t="shared" si="22"/>
        <v>0</v>
      </c>
      <c r="Z132" s="197">
        <f>F132-TableUK12d!F132-L132</f>
        <v>2.4665599424045226E-18</v>
      </c>
      <c r="AA132" s="197">
        <f>K131-L131-TableUK12d!K131</f>
        <v>0</v>
      </c>
    </row>
    <row r="133" spans="1:27" ht="12" customHeight="1">
      <c r="A133" s="198">
        <f t="shared" si="21"/>
        <v>1962</v>
      </c>
      <c r="B133" s="303">
        <f t="shared" si="13"/>
        <v>9.7574925646305183E-2</v>
      </c>
      <c r="C133" s="308">
        <f t="shared" si="14"/>
        <v>6.2266453138107219E-2</v>
      </c>
      <c r="D133" s="308">
        <f>I133-TableUK12d!N133</f>
        <v>7.0376983158547297E-3</v>
      </c>
      <c r="E133" s="308">
        <f>J133-TableUK12d!P133</f>
        <v>5.5228754822252493E-2</v>
      </c>
      <c r="F133" s="308">
        <f>K133-TableUK12d!Q133</f>
        <v>3.530847250819797E-2</v>
      </c>
      <c r="G133" s="570">
        <f>TableUK12b!H133</f>
        <v>0.19968733318081294</v>
      </c>
      <c r="H133" s="308">
        <f t="shared" si="23"/>
        <v>0.15008007320979183</v>
      </c>
      <c r="I133" s="308">
        <f>(DataUK1!FK121)/DataUK1!$G121+0.5*V133</f>
        <v>2.8581204759841612E-2</v>
      </c>
      <c r="J133" s="308">
        <f>(DataUK1!FT121)/DataUK1!G121+0.5*V133</f>
        <v>0.1214988684499502</v>
      </c>
      <c r="K133" s="394">
        <f>(DataUK1!GK121)/DataUK1!G121</f>
        <v>4.9607259971021125E-2</v>
      </c>
      <c r="L133" s="307">
        <f>(DataUK1!GU121)/DataUK1!G121</f>
        <v>8.8843132769007849E-3</v>
      </c>
      <c r="M133" s="679">
        <f>(DataUK1!$GY121)/DataUK1!$G121</f>
        <v>3.1406063370573341E-2</v>
      </c>
      <c r="N133" s="680">
        <f t="shared" si="10"/>
        <v>4.0290376647474126E-2</v>
      </c>
      <c r="T133" s="364">
        <f>TableUK12b!H133</f>
        <v>0.19968733318081294</v>
      </c>
      <c r="U133" s="364">
        <f>(DataUK1!FK121+DataUK1!FT121+DataUK1!GK121)/DataUK1!$G121</f>
        <v>0.21715091893540767</v>
      </c>
      <c r="V133" s="300">
        <f t="shared" si="16"/>
        <v>-1.7463585754594724E-2</v>
      </c>
      <c r="W133" s="300">
        <f t="shared" si="17"/>
        <v>0</v>
      </c>
      <c r="X133" s="1244">
        <f>G133-TableUK12d!L133-TableUK12c!B133</f>
        <v>0</v>
      </c>
      <c r="Y133" s="197">
        <f t="shared" si="22"/>
        <v>0</v>
      </c>
      <c r="Z133" s="197">
        <f>F133-TableUK12d!F133-L133</f>
        <v>0</v>
      </c>
      <c r="AA133" s="197">
        <f>K132-L132-TableUK12d!K132</f>
        <v>0</v>
      </c>
    </row>
    <row r="134" spans="1:27" ht="12" customHeight="1">
      <c r="A134" s="198">
        <f t="shared" si="21"/>
        <v>1963</v>
      </c>
      <c r="B134" s="303">
        <f t="shared" si="13"/>
        <v>0.1002190383855794</v>
      </c>
      <c r="C134" s="308">
        <f t="shared" si="14"/>
        <v>7.3647168659556922E-2</v>
      </c>
      <c r="D134" s="308">
        <f>I134-TableUK12d!N134</f>
        <v>2.2334733742683764E-2</v>
      </c>
      <c r="E134" s="308">
        <f>J134-TableUK12d!P134</f>
        <v>5.1312434916873151E-2</v>
      </c>
      <c r="F134" s="308">
        <f>K134-TableUK12d!Q134</f>
        <v>2.657186972602248E-2</v>
      </c>
      <c r="G134" s="570">
        <f>TableUK12b!H134</f>
        <v>0.20201802578189523</v>
      </c>
      <c r="H134" s="308">
        <f t="shared" si="23"/>
        <v>0.16129843082336889</v>
      </c>
      <c r="I134" s="308">
        <f>(DataUK1!FK122)/DataUK1!$G122+0.5*V134</f>
        <v>4.377176918381271E-2</v>
      </c>
      <c r="J134" s="308">
        <f>(DataUK1!FT122)/DataUK1!G122+0.5*V134</f>
        <v>0.11752666163955619</v>
      </c>
      <c r="K134" s="394">
        <f>(DataUK1!GK122)/DataUK1!G122</f>
        <v>4.0719594958526339E-2</v>
      </c>
      <c r="L134" s="307">
        <f>(DataUK1!GU122)/DataUK1!G122</f>
        <v>-2.1544759237315525E-3</v>
      </c>
      <c r="M134" s="679">
        <f>(DataUK1!$GY122)/DataUK1!$G122</f>
        <v>2.9193148766562534E-2</v>
      </c>
      <c r="N134" s="680">
        <f t="shared" si="10"/>
        <v>2.7038672842830982E-2</v>
      </c>
      <c r="T134" s="364">
        <f>TableUK12b!H134</f>
        <v>0.20201802578189523</v>
      </c>
      <c r="U134" s="364">
        <f>(DataUK1!FK122+DataUK1!FT122+DataUK1!GK122)/DataUK1!$G122</f>
        <v>0.19648820424431757</v>
      </c>
      <c r="V134" s="300">
        <f t="shared" si="16"/>
        <v>5.5298215375776671E-3</v>
      </c>
      <c r="W134" s="300">
        <f t="shared" si="17"/>
        <v>0</v>
      </c>
      <c r="X134" s="1244">
        <f>G134-TableUK12d!L134-TableUK12c!B134</f>
        <v>0</v>
      </c>
      <c r="Y134" s="197">
        <f t="shared" si="22"/>
        <v>0</v>
      </c>
      <c r="Z134" s="197">
        <f>F134-TableUK12d!F134-L134</f>
        <v>1.2926855542389343E-3</v>
      </c>
      <c r="AA134" s="197">
        <f>K133-L133-TableUK12d!K133</f>
        <v>0</v>
      </c>
    </row>
    <row r="135" spans="1:27" ht="12" customHeight="1">
      <c r="A135" s="198">
        <f t="shared" si="21"/>
        <v>1964</v>
      </c>
      <c r="B135" s="303">
        <f t="shared" si="13"/>
        <v>0.11819887429643525</v>
      </c>
      <c r="C135" s="308">
        <f t="shared" si="14"/>
        <v>8.2057865113064066E-2</v>
      </c>
      <c r="D135" s="308">
        <f>I135-TableUK12d!N135</f>
        <v>3.0512491359731397E-2</v>
      </c>
      <c r="E135" s="308">
        <f>J135-TableUK12d!P135</f>
        <v>5.1545373753332666E-2</v>
      </c>
      <c r="F135" s="308">
        <f>K135-TableUK12d!Q135</f>
        <v>3.6141009183371181E-2</v>
      </c>
      <c r="G135" s="570">
        <f>TableUK12b!H135</f>
        <v>0.21895263487047822</v>
      </c>
      <c r="H135" s="308">
        <f t="shared" si="23"/>
        <v>0.16911885718047459</v>
      </c>
      <c r="I135" s="308">
        <f>(DataUK1!FK123)/DataUK1!$G123+0.5*V135</f>
        <v>5.1841611533524228E-2</v>
      </c>
      <c r="J135" s="308">
        <f>(DataUK1!FT123)/DataUK1!G123+0.5*V135</f>
        <v>0.11727724564695038</v>
      </c>
      <c r="K135" s="394">
        <f>(DataUK1!GK123)/DataUK1!G123</f>
        <v>4.9833777690003619E-2</v>
      </c>
      <c r="L135" s="307">
        <f>(DataUK1!GU123)/DataUK1!G123</f>
        <v>2.1757019189625096E-2</v>
      </c>
      <c r="M135" s="679">
        <f>(DataUK1!$GY123)/DataUK1!$G123</f>
        <v>2.6661400217241039E-2</v>
      </c>
      <c r="N135" s="680">
        <f t="shared" si="10"/>
        <v>4.8418419406866135E-2</v>
      </c>
      <c r="T135" s="364">
        <f>TableUK12b!H135</f>
        <v>0.21895263487047822</v>
      </c>
      <c r="U135" s="364">
        <f>(DataUK1!FK123+DataUK1!FT123+DataUK1!GK123)/DataUK1!$G123</f>
        <v>0.21230374247062309</v>
      </c>
      <c r="V135" s="300">
        <f t="shared" si="16"/>
        <v>6.6488923998551386E-3</v>
      </c>
      <c r="W135" s="300">
        <f t="shared" si="17"/>
        <v>0</v>
      </c>
      <c r="X135" s="1244">
        <f>G135-TableUK12d!L135-TableUK12c!B135</f>
        <v>0</v>
      </c>
      <c r="Y135" s="197">
        <f t="shared" si="22"/>
        <v>0</v>
      </c>
      <c r="Z135" s="1423">
        <f>F135-TableUK12d!F135-L135</f>
        <v>-1.909087916790099E-2</v>
      </c>
      <c r="AA135" s="1423">
        <f>K134-L134-TableUK12d!K134</f>
        <v>1.2926855542389343E-3</v>
      </c>
    </row>
    <row r="136" spans="1:27" ht="12" customHeight="1">
      <c r="A136" s="198">
        <f t="shared" si="21"/>
        <v>1965</v>
      </c>
      <c r="B136" s="303">
        <f t="shared" si="13"/>
        <v>0.11956554901302741</v>
      </c>
      <c r="C136" s="308">
        <f t="shared" si="14"/>
        <v>8.1673124447020753E-2</v>
      </c>
      <c r="D136" s="308">
        <f>I136-TableUK12d!N136</f>
        <v>3.2538060225157872E-2</v>
      </c>
      <c r="E136" s="308">
        <f>J136-TableUK12d!P136</f>
        <v>4.9135064221862881E-2</v>
      </c>
      <c r="F136" s="308">
        <f>K136-TableUK12d!Q136</f>
        <v>3.7892424566006652E-2</v>
      </c>
      <c r="G136" s="570">
        <f>TableUK12b!H136</f>
        <v>0.22064252372090185</v>
      </c>
      <c r="H136" s="308">
        <f t="shared" si="23"/>
        <v>0.1693870702016658</v>
      </c>
      <c r="I136" s="308">
        <f>(DataUK1!FK124)/DataUK1!$G124+0.5*V136</f>
        <v>5.3772462397412811E-2</v>
      </c>
      <c r="J136" s="308">
        <f>(DataUK1!FT124)/DataUK1!G124+0.5*V136</f>
        <v>0.11561460780425298</v>
      </c>
      <c r="K136" s="394">
        <f>(DataUK1!GK124)/DataUK1!G124</f>
        <v>5.1255453519236049E-2</v>
      </c>
      <c r="L136" s="307">
        <f>(DataUK1!GU124)/DataUK1!G124</f>
        <v>7.7493364249321172E-3</v>
      </c>
      <c r="M136" s="679">
        <f>(DataUK1!$GY124)/DataUK1!$G124</f>
        <v>2.5871800347804862E-2</v>
      </c>
      <c r="N136" s="680">
        <f t="shared" si="10"/>
        <v>3.3621136772736981E-2</v>
      </c>
      <c r="T136" s="364">
        <f>TableUK12b!H136</f>
        <v>0.22064252372090185</v>
      </c>
      <c r="U136" s="364">
        <f>(DataUK1!FK124+DataUK1!FT124+DataUK1!GK124)/DataUK1!$G124</f>
        <v>0.21389999084724046</v>
      </c>
      <c r="V136" s="300">
        <f t="shared" si="16"/>
        <v>6.7425328736613888E-3</v>
      </c>
      <c r="W136" s="300">
        <f t="shared" si="17"/>
        <v>0</v>
      </c>
      <c r="X136" s="1244">
        <f>G136-TableUK12d!L136-TableUK12c!B136</f>
        <v>0</v>
      </c>
      <c r="Y136" s="197">
        <f t="shared" si="22"/>
        <v>0</v>
      </c>
      <c r="Z136" s="1423">
        <f>F136-TableUK12d!F136-L136</f>
        <v>-3.020410653812128E-3</v>
      </c>
      <c r="AA136" s="1423">
        <f>K135-L135-TableUK12d!K135</f>
        <v>-1.909087916790099E-2</v>
      </c>
    </row>
    <row r="137" spans="1:27" ht="12" customHeight="1">
      <c r="A137" s="198">
        <f t="shared" si="21"/>
        <v>1966</v>
      </c>
      <c r="B137" s="303">
        <f t="shared" si="13"/>
        <v>0.11852532445159063</v>
      </c>
      <c r="C137" s="308">
        <f t="shared" si="14"/>
        <v>7.1522912599058186E-2</v>
      </c>
      <c r="D137" s="308">
        <f>I137-TableUK12d!N137</f>
        <v>3.6106006661306977E-2</v>
      </c>
      <c r="E137" s="308">
        <f>J137-TableUK12d!P137</f>
        <v>3.5416905937751209E-2</v>
      </c>
      <c r="F137" s="308">
        <f>K137-TableUK12d!Q137</f>
        <v>4.7002411852532441E-2</v>
      </c>
      <c r="G137" s="570">
        <f>TableUK12b!H137</f>
        <v>0.22137360744228779</v>
      </c>
      <c r="H137" s="308">
        <f t="shared" si="23"/>
        <v>0.16107729413115882</v>
      </c>
      <c r="I137" s="308">
        <f>(DataUK1!FK125)/DataUK1!$G125+0.5*V137</f>
        <v>5.7439416561387374E-2</v>
      </c>
      <c r="J137" s="308">
        <f>(DataUK1!FT125)/DataUK1!G125+0.5*V137</f>
        <v>0.10363787756977143</v>
      </c>
      <c r="K137" s="394">
        <f>(DataUK1!GK125)/DataUK1!G125</f>
        <v>6.0296313311128974E-2</v>
      </c>
      <c r="L137" s="307">
        <f>(DataUK1!GU125)/DataUK1!G125</f>
        <v>3.5086711841047433E-2</v>
      </c>
      <c r="M137" s="679">
        <f>(DataUK1!$GY125)/DataUK1!$G125</f>
        <v>2.5238314000229699E-2</v>
      </c>
      <c r="N137" s="680">
        <f t="shared" si="10"/>
        <v>6.0325025841277136E-2</v>
      </c>
      <c r="T137" s="364">
        <f>TableUK12b!H137</f>
        <v>0.22137360744228779</v>
      </c>
      <c r="U137" s="364">
        <f>(DataUK1!FK125+DataUK1!FT125+DataUK1!GK125)/DataUK1!$G125</f>
        <v>0.21152520960147009</v>
      </c>
      <c r="V137" s="300">
        <f t="shared" si="16"/>
        <v>9.848397840817702E-3</v>
      </c>
      <c r="W137" s="300">
        <f t="shared" si="17"/>
        <v>0</v>
      </c>
      <c r="X137" s="1244">
        <f>G137-TableUK12d!L137-TableUK12c!B137</f>
        <v>0</v>
      </c>
      <c r="Y137" s="197">
        <f t="shared" si="22"/>
        <v>0</v>
      </c>
      <c r="Z137" s="1423">
        <f>F137-TableUK12d!F137-L137</f>
        <v>-2.4147237854599747E-2</v>
      </c>
      <c r="AA137" s="1423">
        <f>K136-L136-TableUK12d!K136</f>
        <v>-3.0204106538121306E-3</v>
      </c>
    </row>
    <row r="138" spans="1:27" ht="12" customHeight="1">
      <c r="A138" s="198">
        <f t="shared" si="21"/>
        <v>1967</v>
      </c>
      <c r="B138" s="303">
        <f t="shared" si="13"/>
        <v>0.11405079778573754</v>
      </c>
      <c r="C138" s="308">
        <f t="shared" si="14"/>
        <v>6.7350483013133622E-2</v>
      </c>
      <c r="D138" s="308">
        <f>I138-TableUK12d!N138</f>
        <v>3.3241072397698905E-2</v>
      </c>
      <c r="E138" s="308">
        <f>J138-TableUK12d!P138</f>
        <v>3.4109410615434724E-2</v>
      </c>
      <c r="F138" s="308">
        <f>K138-TableUK12d!Q138</f>
        <v>4.6700314772603925E-2</v>
      </c>
      <c r="G138" s="570">
        <f>TableUK12b!H138</f>
        <v>0.21665038532508413</v>
      </c>
      <c r="H138" s="308">
        <f t="shared" si="23"/>
        <v>0.15678931943992186</v>
      </c>
      <c r="I138" s="308">
        <f>(DataUK1!FK126)/DataUK1!$G126+0.5*V138</f>
        <v>5.4461087593617716E-2</v>
      </c>
      <c r="J138" s="308">
        <f>(DataUK1!FT126)/DataUK1!G126+0.5*V138</f>
        <v>0.10232823184630414</v>
      </c>
      <c r="K138" s="394">
        <f>(DataUK1!GK126)/DataUK1!G126</f>
        <v>5.9861065885162268E-2</v>
      </c>
      <c r="L138" s="307">
        <f>(DataUK1!GU126)/DataUK1!G126</f>
        <v>3.3919461630305001E-2</v>
      </c>
      <c r="M138" s="679">
        <f>(DataUK1!$GY126)/DataUK1!$G126</f>
        <v>2.5643112992510583E-2</v>
      </c>
      <c r="N138" s="680">
        <f t="shared" si="10"/>
        <v>5.9562574622815584E-2</v>
      </c>
      <c r="T138" s="364">
        <f>TableUK12b!H138</f>
        <v>0.21665038532508413</v>
      </c>
      <c r="U138" s="364">
        <f>(DataUK1!FK126+DataUK1!FT126+DataUK1!GK126)/DataUK1!$G126</f>
        <v>0.20058612829697167</v>
      </c>
      <c r="V138" s="300">
        <f t="shared" si="16"/>
        <v>1.6064257028112455E-2</v>
      </c>
      <c r="W138" s="300">
        <f t="shared" si="17"/>
        <v>0</v>
      </c>
      <c r="X138" s="1244">
        <f>G138-TableUK12d!L138-TableUK12c!B138</f>
        <v>0</v>
      </c>
      <c r="Y138" s="197">
        <f t="shared" si="22"/>
        <v>0</v>
      </c>
      <c r="Z138" s="1423">
        <f>F138-TableUK12d!F138-L138</f>
        <v>-2.8302398784326492E-2</v>
      </c>
      <c r="AA138" s="1423">
        <f>K137-L137-TableUK12d!K137</f>
        <v>-2.4147237854599747E-2</v>
      </c>
    </row>
    <row r="139" spans="1:27" ht="12" customHeight="1">
      <c r="A139" s="198">
        <f t="shared" si="21"/>
        <v>1968</v>
      </c>
      <c r="B139" s="303">
        <f t="shared" si="13"/>
        <v>0.12115061765516554</v>
      </c>
      <c r="C139" s="308">
        <f t="shared" si="14"/>
        <v>6.081335037209655E-2</v>
      </c>
      <c r="D139" s="308">
        <f>I139-TableUK12d!N139</f>
        <v>2.5194818211431019E-2</v>
      </c>
      <c r="E139" s="308">
        <f>J139-TableUK12d!P139</f>
        <v>3.5618532160665531E-2</v>
      </c>
      <c r="F139" s="308">
        <f>K139-TableUK12d!Q139</f>
        <v>6.0337267283068985E-2</v>
      </c>
      <c r="G139" s="570">
        <f>TableUK12b!H139</f>
        <v>0.22423513493197025</v>
      </c>
      <c r="H139" s="308">
        <f t="shared" si="23"/>
        <v>0.15074294018892984</v>
      </c>
      <c r="I139" s="308">
        <f>(DataUK1!FK127)/DataUK1!$G127+0.5*V139</f>
        <v>4.6393044175499276E-2</v>
      </c>
      <c r="J139" s="308">
        <f>(DataUK1!FT127)/DataUK1!G127+0.5*V139</f>
        <v>0.10434989601343057</v>
      </c>
      <c r="K139" s="394">
        <f>(DataUK1!GK127)/DataUK1!G127</f>
        <v>7.3492194743040418E-2</v>
      </c>
      <c r="L139" s="307">
        <f>(DataUK1!GU127)/DataUK1!G127</f>
        <v>3.5956801723921919E-2</v>
      </c>
      <c r="M139" s="679">
        <f>(DataUK1!$GY127)/DataUK1!$G127</f>
        <v>2.6886166027713047E-2</v>
      </c>
      <c r="N139" s="680">
        <f t="shared" si="10"/>
        <v>6.2842967751634962E-2</v>
      </c>
      <c r="T139" s="364">
        <f>TableUK12b!H139</f>
        <v>0.22423513493197025</v>
      </c>
      <c r="U139" s="364">
        <f>(DataUK1!FK127+DataUK1!FT127+DataUK1!GK127)/DataUK1!$G127</f>
        <v>0.21103009346262747</v>
      </c>
      <c r="V139" s="300">
        <f t="shared" si="16"/>
        <v>1.3205041469342788E-2</v>
      </c>
      <c r="W139" s="300">
        <f t="shared" si="17"/>
        <v>0</v>
      </c>
      <c r="X139" s="1244">
        <f>G139-TableUK12d!L139-TableUK12c!B139</f>
        <v>0</v>
      </c>
      <c r="Y139" s="197">
        <f t="shared" si="22"/>
        <v>0</v>
      </c>
      <c r="Z139" s="1423">
        <f>F139-TableUK12d!F139-L139</f>
        <v>-1.7514846275276247E-2</v>
      </c>
      <c r="AA139" s="1423">
        <f>K138-L138-TableUK12d!K138</f>
        <v>-2.8302398784326492E-2</v>
      </c>
    </row>
    <row r="140" spans="1:27" ht="12" customHeight="1">
      <c r="A140" s="214">
        <f t="shared" si="21"/>
        <v>1969</v>
      </c>
      <c r="B140" s="565">
        <f t="shared" si="13"/>
        <v>0.13140035570532621</v>
      </c>
      <c r="C140" s="550">
        <f t="shared" si="14"/>
        <v>4.4088739118225216E-2</v>
      </c>
      <c r="D140" s="550">
        <f>I140-TableUK12d!N140</f>
        <v>1.5901432181971355E-2</v>
      </c>
      <c r="E140" s="550">
        <f>J140-TableUK12d!P140</f>
        <v>2.8187306936253861E-2</v>
      </c>
      <c r="F140" s="550">
        <f>K140-TableUK12d!Q140</f>
        <v>8.7311616587101001E-2</v>
      </c>
      <c r="G140" s="571">
        <f>TableUK12b!H140</f>
        <v>0.23619301694280631</v>
      </c>
      <c r="H140" s="550">
        <f t="shared" si="23"/>
        <v>0.13549564729008703</v>
      </c>
      <c r="I140" s="550">
        <f>(DataUK1!FK128)/DataUK1!$G128+0.5*V140</f>
        <v>3.6916128428344096E-2</v>
      </c>
      <c r="J140" s="550">
        <f>(DataUK1!FT128)/DataUK1!G128+0.5*V140</f>
        <v>9.857951886174296E-2</v>
      </c>
      <c r="K140" s="553">
        <f>(DataUK1!GK128)/DataUK1!G128</f>
        <v>0.10069736965271928</v>
      </c>
      <c r="L140" s="568">
        <f>(DataUK1!GU128)/DataUK1!G128</f>
        <v>3.0071141065243844E-2</v>
      </c>
      <c r="M140" s="1917">
        <f>(DataUK1!$GY128)/DataUK1!$G128</f>
        <v>2.5648226153702144E-2</v>
      </c>
      <c r="N140" s="1251">
        <f t="shared" si="10"/>
        <v>5.5719367218945992E-2</v>
      </c>
      <c r="T140" s="364">
        <f>TableUK12b!H140</f>
        <v>0.23619301694280631</v>
      </c>
      <c r="U140" s="364">
        <f>(DataUK1!FK128+DataUK1!FT128+DataUK1!GK128)/DataUK1!$G128</f>
        <v>0.24375175512496489</v>
      </c>
      <c r="V140" s="300">
        <f t="shared" si="16"/>
        <v>-7.5587381821585753E-3</v>
      </c>
      <c r="W140" s="300">
        <f t="shared" si="17"/>
        <v>0</v>
      </c>
      <c r="X140" s="1244">
        <f>G140-TableUK12d!L140-TableUK12c!B140</f>
        <v>0</v>
      </c>
      <c r="Y140" s="197">
        <f t="shared" si="22"/>
        <v>0</v>
      </c>
      <c r="Z140" s="1423">
        <f>F140-TableUK12d!F140-L140</f>
        <v>1.7621454647570912E-2</v>
      </c>
      <c r="AA140" s="1423">
        <f>K139-L139-TableUK12d!K139</f>
        <v>-1.7514846275276247E-2</v>
      </c>
    </row>
    <row r="141" spans="1:27" ht="12" customHeight="1">
      <c r="A141" s="198">
        <f t="shared" si="21"/>
        <v>1970</v>
      </c>
      <c r="B141" s="303">
        <f t="shared" si="13"/>
        <v>0.13170742106721811</v>
      </c>
      <c r="C141" s="308">
        <f t="shared" si="14"/>
        <v>3.8672266399471286E-2</v>
      </c>
      <c r="D141" s="308">
        <f>I141-TableUK12d!N141</f>
        <v>2.4015605346749947E-2</v>
      </c>
      <c r="E141" s="308">
        <f>J141-TableUK12d!P141</f>
        <v>1.4656661052721343E-2</v>
      </c>
      <c r="F141" s="308">
        <f>K141-TableUK12d!Q141</f>
        <v>9.3035154667746811E-2</v>
      </c>
      <c r="G141" s="570">
        <f>TableUK12b!H141</f>
        <v>0.24022000980663866</v>
      </c>
      <c r="H141" s="308">
        <f t="shared" si="23"/>
        <v>0.13364743002110557</v>
      </c>
      <c r="I141" s="308">
        <f>(DataUK1!FK129)/DataUK1!$G129+0.5*V141</f>
        <v>4.5462297738077466E-2</v>
      </c>
      <c r="J141" s="308">
        <f>(DataUK1!FT129)/DataUK1!G129+0.5*V141</f>
        <v>8.8185132283028114E-2</v>
      </c>
      <c r="K141" s="394">
        <f>(DataUK1!GK129)/DataUK1!G129</f>
        <v>0.10657257978553307</v>
      </c>
      <c r="L141" s="307">
        <f>(DataUK1!GU129)/DataUK1!G129</f>
        <v>6.6749099281557117E-2</v>
      </c>
      <c r="M141" s="679">
        <f>(DataUK1!$GY129)/DataUK1!$G129</f>
        <v>2.3471976464067196E-2</v>
      </c>
      <c r="N141" s="680">
        <f t="shared" si="10"/>
        <v>9.022107574562431E-2</v>
      </c>
      <c r="T141" s="364">
        <f>TableUK12b!H141</f>
        <v>0.24022000980663866</v>
      </c>
      <c r="U141" s="364">
        <f>(DataUK1!FK129+DataUK1!FT129+DataUK1!GK129)/DataUK1!$G129</f>
        <v>0.24271430703306543</v>
      </c>
      <c r="V141" s="300">
        <f t="shared" si="16"/>
        <v>-2.4942972264267727E-3</v>
      </c>
      <c r="W141" s="300">
        <f t="shared" si="17"/>
        <v>0</v>
      </c>
      <c r="X141" s="1244">
        <f>G141-TableUK12d!L141-TableUK12c!B141</f>
        <v>0</v>
      </c>
      <c r="Y141" s="197">
        <f t="shared" si="22"/>
        <v>0</v>
      </c>
      <c r="Z141" s="1423">
        <f>F141-TableUK12d!F141-L141</f>
        <v>-1.2556761250985995E-2</v>
      </c>
      <c r="AA141" s="1423">
        <f>K140-L140-TableUK12d!K140</f>
        <v>1.7621454647570908E-2</v>
      </c>
    </row>
    <row r="142" spans="1:27" ht="12" customHeight="1">
      <c r="A142" s="198">
        <v>1971</v>
      </c>
      <c r="B142" s="303">
        <f t="shared" si="13"/>
        <v>0.12587546039197725</v>
      </c>
      <c r="C142" s="308">
        <f t="shared" si="14"/>
        <v>5.3567680006106753E-2</v>
      </c>
      <c r="D142" s="308">
        <f>I142-TableUK12d!N142</f>
        <v>2.2661781263716339E-2</v>
      </c>
      <c r="E142" s="308">
        <f>J142-TableUK12d!P142</f>
        <v>3.0905898742390414E-2</v>
      </c>
      <c r="F142" s="308">
        <f>K142-TableUK12d!Q142</f>
        <v>7.230778038587049E-2</v>
      </c>
      <c r="G142" s="570">
        <f>TableUK12b!H142</f>
        <v>0.23898398885517452</v>
      </c>
      <c r="H142" s="308">
        <f t="shared" si="23"/>
        <v>0.15270700940821741</v>
      </c>
      <c r="I142" s="308">
        <f>(DataUK1!FK130)/DataUK1!$G130+0.5*V142</f>
        <v>4.4474342092708154E-2</v>
      </c>
      <c r="J142" s="308">
        <f>(DataUK1!FT130)/DataUK1!G130+0.5*V142</f>
        <v>0.10823266731550925</v>
      </c>
      <c r="K142" s="394">
        <f>(DataUK1!GK130)/DataUK1!G130</f>
        <v>8.6276979446957114E-2</v>
      </c>
      <c r="L142" s="307">
        <f>(DataUK1!GU130)/DataUK1!G130</f>
        <v>5.753706990324612E-2</v>
      </c>
      <c r="M142" s="679">
        <f>(DataUK1!$GY130)/DataUK1!$G130</f>
        <v>1.9140856090532624E-2</v>
      </c>
      <c r="N142" s="680">
        <f t="shared" si="10"/>
        <v>7.6677925993778748E-2</v>
      </c>
      <c r="T142" s="364">
        <f>TableUK12b!H142</f>
        <v>0.23898398885517452</v>
      </c>
      <c r="U142" s="364">
        <f>(DataUK1!FK130+DataUK1!FT130+DataUK1!GK130)/DataUK1!$G130</f>
        <v>0.22022480487013607</v>
      </c>
      <c r="V142" s="300">
        <f t="shared" si="16"/>
        <v>1.8759183985038452E-2</v>
      </c>
      <c r="W142" s="300">
        <f t="shared" si="17"/>
        <v>0</v>
      </c>
      <c r="X142" s="1244">
        <f>G142-TableUK12d!L142-TableUK12c!B142</f>
        <v>0</v>
      </c>
      <c r="Y142" s="197">
        <f t="shared" si="22"/>
        <v>0</v>
      </c>
      <c r="Z142" s="1423">
        <f>F142-TableUK12d!F142-L142</f>
        <v>-2.0972882196904651E-2</v>
      </c>
      <c r="AA142" s="1423">
        <f>K141-L141-TableUK12d!K141</f>
        <v>-1.2556761250985995E-2</v>
      </c>
    </row>
    <row r="143" spans="1:27" ht="12" customHeight="1">
      <c r="A143" s="198">
        <v>1972</v>
      </c>
      <c r="B143" s="303">
        <f t="shared" si="13"/>
        <v>9.821830912683284E-2</v>
      </c>
      <c r="C143" s="308">
        <f t="shared" si="14"/>
        <v>6.0262054143991148E-2</v>
      </c>
      <c r="D143" s="308">
        <f>I143-TableUK12d!N143</f>
        <v>2.9221116849804163E-2</v>
      </c>
      <c r="E143" s="308">
        <f>J143-TableUK12d!P143</f>
        <v>3.1040937294186985E-2</v>
      </c>
      <c r="F143" s="308">
        <f>K143-TableUK12d!Q143</f>
        <v>3.7956254982841692E-2</v>
      </c>
      <c r="G143" s="570">
        <f>TableUK12b!H143</f>
        <v>0.21761586190162571</v>
      </c>
      <c r="H143" s="308">
        <f t="shared" si="23"/>
        <v>0.16485840063780374</v>
      </c>
      <c r="I143" s="308">
        <f>(DataUK1!FK131)/DataUK1!$G131+0.5*V143</f>
        <v>5.3502721064854944E-2</v>
      </c>
      <c r="J143" s="308">
        <f>(DataUK1!FT131)/DataUK1!G131+0.5*V143</f>
        <v>0.11135567957294881</v>
      </c>
      <c r="K143" s="394">
        <f>(DataUK1!GK131)/DataUK1!G131</f>
        <v>5.275746126382197E-2</v>
      </c>
      <c r="L143" s="307">
        <f>(DataUK1!GU131)/DataUK1!G131</f>
        <v>1.1646850844050054E-2</v>
      </c>
      <c r="M143" s="679">
        <f>(DataUK1!$GY131)/DataUK1!$G131</f>
        <v>1.934209158029741E-2</v>
      </c>
      <c r="N143" s="680">
        <f t="shared" si="10"/>
        <v>3.0988942424347465E-2</v>
      </c>
      <c r="T143" s="364">
        <f>TableUK12b!H143</f>
        <v>0.21761586190162571</v>
      </c>
      <c r="U143" s="364">
        <f>(DataUK1!FK131+DataUK1!FT131+DataUK1!GK131)/DataUK1!$G131</f>
        <v>0.21948767721584803</v>
      </c>
      <c r="V143" s="300">
        <f t="shared" si="16"/>
        <v>-1.8718153142223137E-3</v>
      </c>
      <c r="W143" s="300">
        <f t="shared" si="17"/>
        <v>0</v>
      </c>
      <c r="X143" s="1244">
        <f>G143-TableUK12d!L143-TableUK12c!B143</f>
        <v>0</v>
      </c>
      <c r="Y143" s="197">
        <f t="shared" si="22"/>
        <v>0</v>
      </c>
      <c r="Z143" s="1423">
        <f>F143-TableUK12d!F143-L143</f>
        <v>-7.0019758050539008E-3</v>
      </c>
      <c r="AA143" s="1423">
        <f>K142-L142-TableUK12d!K142</f>
        <v>-2.0972882196904644E-2</v>
      </c>
    </row>
    <row r="144" spans="1:27" ht="12" customHeight="1">
      <c r="A144" s="198">
        <v>1973</v>
      </c>
      <c r="B144" s="303">
        <f t="shared" si="13"/>
        <v>0.11040779243990349</v>
      </c>
      <c r="C144" s="308">
        <f t="shared" si="14"/>
        <v>8.4790444133329368E-2</v>
      </c>
      <c r="D144" s="308">
        <f>I144-TableUK12d!N144</f>
        <v>4.1300527240773294E-2</v>
      </c>
      <c r="E144" s="308">
        <f>J144-TableUK12d!P144</f>
        <v>4.3489916892556074E-2</v>
      </c>
      <c r="F144" s="308">
        <f>K144-TableUK12d!Q144</f>
        <v>2.5617348306574125E-2</v>
      </c>
      <c r="G144" s="570">
        <f>TableUK12b!H144</f>
        <v>0.23404128563343363</v>
      </c>
      <c r="H144" s="308">
        <f t="shared" si="23"/>
        <v>0.19312799737868996</v>
      </c>
      <c r="I144" s="308">
        <f>(DataUK1!FK132)/DataUK1!$G132+0.5*V144</f>
        <v>6.7707247326561623E-2</v>
      </c>
      <c r="J144" s="308">
        <f>(DataUK1!FT132)/DataUK1!G132+0.5*V144</f>
        <v>0.12542075005212833</v>
      </c>
      <c r="K144" s="394">
        <f>(DataUK1!GK132)/DataUK1!G132</f>
        <v>4.0913288254743677E-2</v>
      </c>
      <c r="L144" s="307">
        <f>(DataUK1!GU132)/DataUK1!G132</f>
        <v>-1.0634178308659259E-2</v>
      </c>
      <c r="M144" s="679">
        <f>(DataUK1!$GY132)/DataUK1!$G132</f>
        <v>1.9540674987340263E-2</v>
      </c>
      <c r="N144" s="680">
        <f t="shared" si="10"/>
        <v>8.9064966786810036E-3</v>
      </c>
      <c r="T144" s="364">
        <f>TableUK12b!H144</f>
        <v>0.23404128563343363</v>
      </c>
      <c r="U144" s="364">
        <f>(DataUK1!FK132+DataUK1!FT132+DataUK1!GK132)/DataUK1!$G132</f>
        <v>0.21911769086413868</v>
      </c>
      <c r="V144" s="300">
        <f t="shared" si="16"/>
        <v>1.4923594769294946E-2</v>
      </c>
      <c r="W144" s="300">
        <f t="shared" si="17"/>
        <v>0</v>
      </c>
      <c r="X144" s="1244">
        <f>G144-TableUK12d!L144-TableUK12c!B144</f>
        <v>0</v>
      </c>
      <c r="Y144" s="197">
        <f t="shared" si="22"/>
        <v>0</v>
      </c>
      <c r="Z144" s="1423">
        <f>F144-TableUK12d!F144-L144</f>
        <v>-3.2766375740966927E-3</v>
      </c>
      <c r="AA144" s="1423">
        <f>K143-L143-TableUK12d!K143</f>
        <v>-7.0019758050538991E-3</v>
      </c>
    </row>
    <row r="145" spans="1:27" ht="12" customHeight="1">
      <c r="A145" s="198">
        <v>1974</v>
      </c>
      <c r="B145" s="303">
        <f t="shared" si="13"/>
        <v>7.4845719710955216E-2</v>
      </c>
      <c r="C145" s="308">
        <f t="shared" si="14"/>
        <v>7.8458779471491102E-2</v>
      </c>
      <c r="D145" s="308">
        <f>I145-TableUK12d!N145</f>
        <v>6.5199905058283658E-2</v>
      </c>
      <c r="E145" s="308">
        <f>J145-TableUK12d!P145</f>
        <v>1.3258874413207444E-2</v>
      </c>
      <c r="F145" s="308">
        <f>K145-TableUK12d!Q145</f>
        <v>-3.613059760535893E-3</v>
      </c>
      <c r="G145" s="570">
        <f>TableUK12b!H145</f>
        <v>0.20983437945039296</v>
      </c>
      <c r="H145" s="308">
        <f t="shared" si="23"/>
        <v>0.19726778838546338</v>
      </c>
      <c r="I145" s="308">
        <f>(DataUK1!FK133)/DataUK1!$G133+0.5*V145</f>
        <v>9.2284666912811855E-2</v>
      </c>
      <c r="J145" s="308">
        <f>(DataUK1!FT133)/DataUK1!G133+0.5*V145</f>
        <v>0.10498312147265151</v>
      </c>
      <c r="K145" s="394">
        <f>(DataUK1!GK133)/DataUK1!G133</f>
        <v>1.2566591064929584E-2</v>
      </c>
      <c r="L145" s="307">
        <f>(DataUK1!GU133)/DataUK1!G133</f>
        <v>-4.5387414948045782E-2</v>
      </c>
      <c r="M145" s="679">
        <f>(DataUK1!$GY133)/DataUK1!$G133</f>
        <v>2.2904689065879003E-2</v>
      </c>
      <c r="N145" s="680">
        <f t="shared" si="10"/>
        <v>-2.2482725882166779E-2</v>
      </c>
      <c r="T145" s="364">
        <f>TableUK12b!H145</f>
        <v>0.20983437945039296</v>
      </c>
      <c r="U145" s="364">
        <f>(DataUK1!FK133+DataUK1!FT133+DataUK1!GK133)/DataUK1!$G133</f>
        <v>0.15209135502927371</v>
      </c>
      <c r="V145" s="300">
        <f t="shared" si="16"/>
        <v>5.7743024421119254E-2</v>
      </c>
      <c r="W145" s="300">
        <f t="shared" si="17"/>
        <v>0</v>
      </c>
      <c r="X145" s="1244">
        <f>G145-TableUK12d!L145-TableUK12c!B145</f>
        <v>0</v>
      </c>
      <c r="Y145" s="197">
        <f t="shared" si="22"/>
        <v>6.9388939039072284E-18</v>
      </c>
      <c r="Z145" s="1423">
        <f>F145-TableUK12d!F145-L145</f>
        <v>0</v>
      </c>
      <c r="AA145" s="1423">
        <f>K144-L144-TableUK12d!K144</f>
        <v>-3.2766375740966927E-3</v>
      </c>
    </row>
    <row r="146" spans="1:27" ht="12" customHeight="1">
      <c r="A146" s="198">
        <v>1975</v>
      </c>
      <c r="B146" s="303">
        <f t="shared" si="13"/>
        <v>5.984417014249116E-2</v>
      </c>
      <c r="C146" s="308">
        <f t="shared" si="14"/>
        <v>7.8645381211492449E-2</v>
      </c>
      <c r="D146" s="308">
        <f>I146-TableUK12d!N146</f>
        <v>6.9906417395354747E-2</v>
      </c>
      <c r="E146" s="308">
        <f>J146-TableUK12d!P146</f>
        <v>8.7389638161377015E-3</v>
      </c>
      <c r="F146" s="308">
        <f>K146-TableUK12d!Q146</f>
        <v>-1.8801211069001292E-2</v>
      </c>
      <c r="G146" s="570">
        <f>TableUK12b!H146</f>
        <v>0.19993224788803962</v>
      </c>
      <c r="H146" s="308">
        <f t="shared" si="23"/>
        <v>0.20243060701657808</v>
      </c>
      <c r="I146" s="308">
        <f>(DataUK1!FK134)/DataUK1!$G134+0.5*V146</f>
        <v>9.7102538586945009E-2</v>
      </c>
      <c r="J146" s="308">
        <f>(DataUK1!FT134)/DataUK1!G134+0.5*V146</f>
        <v>0.10532806842963308</v>
      </c>
      <c r="K146" s="394">
        <f>(DataUK1!GK134)/DataUK1!G134</f>
        <v>-2.4983591285384597E-3</v>
      </c>
      <c r="L146" s="307">
        <f>(DataUK1!GU134)/DataUK1!G134</f>
        <v>-5.5853147297325906E-2</v>
      </c>
      <c r="M146" s="679">
        <f>(DataUK1!$GY134)/DataUK1!$G134</f>
        <v>2.1648917024835384E-2</v>
      </c>
      <c r="N146" s="680">
        <f t="shared" si="10"/>
        <v>-3.4204230272490518E-2</v>
      </c>
      <c r="T146" s="364">
        <f>TableUK12b!H146</f>
        <v>0.19993224788803962</v>
      </c>
      <c r="U146" s="364">
        <f>(DataUK1!FK134+DataUK1!FT134+DataUK1!GK134)/DataUK1!$G134</f>
        <v>0.14417437699815799</v>
      </c>
      <c r="V146" s="300">
        <f t="shared" si="16"/>
        <v>5.5757870889881628E-2</v>
      </c>
      <c r="W146" s="300">
        <f t="shared" si="17"/>
        <v>0</v>
      </c>
      <c r="X146" s="1244">
        <f>G146-TableUK12d!L146-TableUK12c!B146</f>
        <v>0</v>
      </c>
      <c r="Y146" s="197">
        <f t="shared" si="22"/>
        <v>0</v>
      </c>
      <c r="Z146" s="197">
        <f>F146-TableUK12d!F146-L146</f>
        <v>0</v>
      </c>
      <c r="AA146" s="197">
        <f>K145-L145-TableUK12d!K145</f>
        <v>0</v>
      </c>
    </row>
    <row r="147" spans="1:27" ht="12" customHeight="1">
      <c r="A147" s="198">
        <v>1976</v>
      </c>
      <c r="B147" s="303">
        <f t="shared" si="13"/>
        <v>8.4075733692283189E-2</v>
      </c>
      <c r="C147" s="308">
        <f t="shared" si="14"/>
        <v>0.10950921875276741</v>
      </c>
      <c r="D147" s="308">
        <f>I147-TableUK12d!N147</f>
        <v>7.375444997431857E-2</v>
      </c>
      <c r="E147" s="308">
        <f>J147-TableUK12d!P147</f>
        <v>3.5754768778448839E-2</v>
      </c>
      <c r="F147" s="308">
        <f>K147-TableUK12d!Q147</f>
        <v>-2.5433485060484227E-2</v>
      </c>
      <c r="G147" s="570">
        <f>TableUK12b!H147</f>
        <v>0.22643063353465226</v>
      </c>
      <c r="H147" s="308">
        <f t="shared" si="23"/>
        <v>0.2357202316643347</v>
      </c>
      <c r="I147" s="308">
        <f>(DataUK1!FK135)/DataUK1!$G135+0.5*V147</f>
        <v>0.10067568764279769</v>
      </c>
      <c r="J147" s="308">
        <f>(DataUK1!FT135)/DataUK1!G135+0.5*V147</f>
        <v>0.13504454402153698</v>
      </c>
      <c r="K147" s="394">
        <f>(DataUK1!GK135)/DataUK1!G135</f>
        <v>-9.2895981296824363E-3</v>
      </c>
      <c r="L147" s="307">
        <f>(DataUK1!GU135)/DataUK1!G135</f>
        <v>-5.8048918722658119E-2</v>
      </c>
      <c r="M147" s="679">
        <f>(DataUK1!$GY135)/DataUK1!$G135</f>
        <v>2.4964134535342981E-2</v>
      </c>
      <c r="N147" s="680">
        <f t="shared" si="10"/>
        <v>-3.3084784187315142E-2</v>
      </c>
      <c r="T147" s="364">
        <f>TableUK12b!H147</f>
        <v>0.22643063353465226</v>
      </c>
      <c r="U147" s="364">
        <f>(DataUK1!FK135+DataUK1!FT135+DataUK1!GK135)/DataUK1!$G135</f>
        <v>0.1524769309789058</v>
      </c>
      <c r="V147" s="300">
        <f t="shared" si="16"/>
        <v>7.3953702555746459E-2</v>
      </c>
      <c r="W147" s="300">
        <f t="shared" si="17"/>
        <v>0</v>
      </c>
      <c r="X147" s="1244">
        <f>G147-TableUK12d!L147-TableUK12c!B147</f>
        <v>0</v>
      </c>
      <c r="Y147" s="197">
        <f t="shared" si="22"/>
        <v>0</v>
      </c>
      <c r="Z147" s="197">
        <f>F147-TableUK12d!F147-L147</f>
        <v>0</v>
      </c>
      <c r="AA147" s="197">
        <f>K146-L146-TableUK12d!K146</f>
        <v>0</v>
      </c>
    </row>
    <row r="148" spans="1:27" ht="12" customHeight="1">
      <c r="A148" s="198">
        <v>1977</v>
      </c>
      <c r="B148" s="303">
        <f t="shared" si="13"/>
        <v>8.5760365777276679E-2</v>
      </c>
      <c r="C148" s="308">
        <f t="shared" si="14"/>
        <v>9.9704058624577194E-2</v>
      </c>
      <c r="D148" s="308">
        <f>I148-TableUK12d!N148</f>
        <v>5.1374796442440168E-2</v>
      </c>
      <c r="E148" s="308">
        <f>J148-TableUK12d!P148</f>
        <v>4.8329262182137026E-2</v>
      </c>
      <c r="F148" s="308">
        <f>K148-TableUK12d!Q148</f>
        <v>-1.3943692847300515E-2</v>
      </c>
      <c r="G148" s="570">
        <f>TableUK12b!H148</f>
        <v>0.23400507328072151</v>
      </c>
      <c r="H148" s="308">
        <f t="shared" si="23"/>
        <v>0.23182857321808842</v>
      </c>
      <c r="I148" s="308">
        <f>(DataUK1!FK136)/DataUK1!$G136+0.5*V148</f>
        <v>7.889421270199172E-2</v>
      </c>
      <c r="J148" s="308">
        <f>(DataUK1!FT136)/DataUK1!G136+0.5*V148</f>
        <v>0.15293436051609668</v>
      </c>
      <c r="K148" s="394">
        <f>(DataUK1!GK136)/DataUK1!G136</f>
        <v>2.1765000626330954E-3</v>
      </c>
      <c r="L148" s="307">
        <f>(DataUK1!GU136)/DataUK1!G136</f>
        <v>-3.5912251033446072E-2</v>
      </c>
      <c r="M148" s="679">
        <f>(DataUK1!$GY136)/DataUK1!$G136</f>
        <v>2.6940060127771514E-2</v>
      </c>
      <c r="N148" s="680">
        <f t="shared" si="10"/>
        <v>-8.9721909056745576E-3</v>
      </c>
      <c r="T148" s="364">
        <f>TableUK12b!H148</f>
        <v>0.23400507328072151</v>
      </c>
      <c r="U148" s="364">
        <f>(DataUK1!FK136+DataUK1!FT136+DataUK1!GK136)/DataUK1!$G136</f>
        <v>0.1864352373794313</v>
      </c>
      <c r="V148" s="300">
        <f t="shared" si="16"/>
        <v>4.7569835901290214E-2</v>
      </c>
      <c r="W148" s="300">
        <f t="shared" si="17"/>
        <v>0</v>
      </c>
      <c r="X148" s="1244">
        <f>G148-TableUK12d!L148-TableUK12c!B148</f>
        <v>0</v>
      </c>
      <c r="Y148" s="197">
        <f t="shared" si="22"/>
        <v>0</v>
      </c>
      <c r="Z148" s="197">
        <f>F148-TableUK12d!F148-L148</f>
        <v>0</v>
      </c>
      <c r="AA148" s="197">
        <f>K147-L147-TableUK12d!K147</f>
        <v>0</v>
      </c>
    </row>
    <row r="149" spans="1:27" ht="12" customHeight="1">
      <c r="A149" s="198">
        <v>1978</v>
      </c>
      <c r="B149" s="303">
        <f t="shared" si="13"/>
        <v>8.7547805530836686E-2</v>
      </c>
      <c r="C149" s="308">
        <f t="shared" si="14"/>
        <v>0.11557560236667097</v>
      </c>
      <c r="D149" s="308">
        <f>I149-TableUK12d!N149</f>
        <v>6.3086318277846082E-2</v>
      </c>
      <c r="E149" s="308">
        <f>J149-TableUK12d!P149</f>
        <v>5.2489284088824889E-2</v>
      </c>
      <c r="F149" s="308">
        <f>K149-TableUK12d!Q149</f>
        <v>-2.8027796835834277E-2</v>
      </c>
      <c r="G149" s="570">
        <f>TableUK12b!H149</f>
        <v>0.23783548783718605</v>
      </c>
      <c r="H149" s="308">
        <f t="shared" si="23"/>
        <v>0.24995414744822056</v>
      </c>
      <c r="I149" s="308">
        <f>(DataUK1!FK137)/DataUK1!$G137+0.5*V149</f>
        <v>9.1345076115235943E-2</v>
      </c>
      <c r="J149" s="308">
        <f>(DataUK1!FT137)/DataUK1!G137+0.5*V149</f>
        <v>0.15860907133298463</v>
      </c>
      <c r="K149" s="394">
        <f>(DataUK1!GK137)/DataUK1!G137</f>
        <v>-1.2118659611034501E-2</v>
      </c>
      <c r="L149" s="307">
        <f>(DataUK1!GU137)/DataUK1!G137</f>
        <v>-4.5329493040601583E-2</v>
      </c>
      <c r="M149" s="679">
        <f>(DataUK1!$GY137)/DataUK1!$G137</f>
        <v>2.7504738097017208E-2</v>
      </c>
      <c r="N149" s="680">
        <f t="shared" si="10"/>
        <v>-1.7824754943584376E-2</v>
      </c>
      <c r="T149" s="364">
        <f>TableUK12b!H149</f>
        <v>0.23783548783718605</v>
      </c>
      <c r="U149" s="364">
        <f>(DataUK1!FK137+DataUK1!FT137+DataUK1!GK137)/DataUK1!$G137</f>
        <v>0.19521639007954569</v>
      </c>
      <c r="V149" s="300">
        <f t="shared" si="16"/>
        <v>4.2619097757640362E-2</v>
      </c>
      <c r="W149" s="300">
        <f t="shared" si="17"/>
        <v>0</v>
      </c>
      <c r="X149" s="1244">
        <f>G149-TableUK12d!L149-TableUK12c!B149</f>
        <v>0</v>
      </c>
      <c r="Y149" s="197">
        <f t="shared" si="22"/>
        <v>0</v>
      </c>
      <c r="Z149" s="197">
        <f>F149-TableUK12d!F149-L149</f>
        <v>0</v>
      </c>
      <c r="AA149" s="197">
        <f>K148-L148-TableUK12d!K148</f>
        <v>0</v>
      </c>
    </row>
    <row r="150" spans="1:27" ht="12" customHeight="1">
      <c r="A150" s="214">
        <v>1979</v>
      </c>
      <c r="B150" s="565">
        <f t="shared" si="13"/>
        <v>7.8119336318885013E-2</v>
      </c>
      <c r="C150" s="550">
        <f t="shared" si="14"/>
        <v>0.10111315084830985</v>
      </c>
      <c r="D150" s="550">
        <f>I150-TableUK12d!N150</f>
        <v>7.2609122692141315E-2</v>
      </c>
      <c r="E150" s="550">
        <f>J150-TableUK12d!P150</f>
        <v>2.8504028156168537E-2</v>
      </c>
      <c r="F150" s="550">
        <f>K150-TableUK12d!Q150</f>
        <v>-2.2993814529424835E-2</v>
      </c>
      <c r="G150" s="571">
        <f>TableUK12b!H150</f>
        <v>0.23214807712545166</v>
      </c>
      <c r="H150" s="550">
        <f t="shared" si="23"/>
        <v>0.23885972194614316</v>
      </c>
      <c r="I150" s="550">
        <f>(DataUK1!FK138)/DataUK1!$G138+0.5*V150</f>
        <v>0.1017767150357214</v>
      </c>
      <c r="J150" s="550">
        <f>(DataUK1!FT138)/DataUK1!G138+0.5*V150</f>
        <v>0.13708300691042177</v>
      </c>
      <c r="K150" s="553">
        <f>(DataUK1!GK138)/DataUK1!G138</f>
        <v>-6.7116448206915097E-3</v>
      </c>
      <c r="L150" s="568">
        <f>(DataUK1!GU138)/DataUK1!G138</f>
        <v>-3.8767349134151044E-2</v>
      </c>
      <c r="M150" s="1917">
        <f>(DataUK1!$GY138)/DataUK1!$G138</f>
        <v>2.8916197981829449E-2</v>
      </c>
      <c r="N150" s="1251">
        <f t="shared" si="10"/>
        <v>-9.8511511523215953E-3</v>
      </c>
      <c r="T150" s="364">
        <f>TableUK12b!H150</f>
        <v>0.23214807712545166</v>
      </c>
      <c r="U150" s="364">
        <f>(DataUK1!FK138+DataUK1!FT138+DataUK1!GK138)/DataUK1!$G138</f>
        <v>0.19601159921892355</v>
      </c>
      <c r="V150" s="300">
        <f t="shared" si="16"/>
        <v>3.6136477906528103E-2</v>
      </c>
      <c r="W150" s="300">
        <f t="shared" si="17"/>
        <v>0</v>
      </c>
      <c r="X150" s="1244">
        <f>G150-TableUK12d!L150-TableUK12c!B150</f>
        <v>0</v>
      </c>
      <c r="Y150" s="197">
        <f t="shared" si="22"/>
        <v>0</v>
      </c>
      <c r="Z150" s="197">
        <f>F150-TableUK12d!F150-L150</f>
        <v>0</v>
      </c>
      <c r="AA150" s="197">
        <f>K149-L149-TableUK12d!K149</f>
        <v>0</v>
      </c>
    </row>
    <row r="151" spans="1:27" ht="12" customHeight="1">
      <c r="A151" s="198">
        <v>1980</v>
      </c>
      <c r="B151" s="303">
        <f t="shared" si="13"/>
        <v>5.5366200449746376E-2</v>
      </c>
      <c r="C151" s="308">
        <f t="shared" si="14"/>
        <v>7.4203111922312853E-2</v>
      </c>
      <c r="D151" s="308">
        <f>I151-TableUK12d!N151</f>
        <v>7.8365282805772082E-2</v>
      </c>
      <c r="E151" s="308">
        <f>J151-TableUK12d!P151</f>
        <v>-4.1621708834592291E-3</v>
      </c>
      <c r="F151" s="308">
        <f>K151-TableUK12d!Q151</f>
        <v>-1.8836911472566477E-2</v>
      </c>
      <c r="G151" s="570">
        <f>TableUK12b!H151</f>
        <v>0.21569675396049087</v>
      </c>
      <c r="H151" s="308">
        <f t="shared" si="23"/>
        <v>0.21722447991771454</v>
      </c>
      <c r="I151" s="308">
        <f>(DataUK1!FK139)/DataUK1!$G139+0.5*V151</f>
        <v>0.10874333195518671</v>
      </c>
      <c r="J151" s="308">
        <f>(DataUK1!FT139)/DataUK1!G139+0.5*V151</f>
        <v>0.10848114796252785</v>
      </c>
      <c r="K151" s="394">
        <f>(DataUK1!GK139)/DataUK1!G139</f>
        <v>-1.5277259572236731E-3</v>
      </c>
      <c r="L151" s="307">
        <f>(DataUK1!GU139)/DataUK1!G139</f>
        <v>-3.1961237105085361E-2</v>
      </c>
      <c r="M151" s="679">
        <f>(DataUK1!$GY139)/DataUK1!$G139</f>
        <v>2.9994857160143999E-2</v>
      </c>
      <c r="N151" s="680">
        <f t="shared" si="10"/>
        <v>-1.966379944941362E-3</v>
      </c>
      <c r="T151" s="364">
        <f>TableUK12b!H151</f>
        <v>0.21569675396049087</v>
      </c>
      <c r="U151" s="364">
        <f>(DataUK1!FK139+DataUK1!FT139+DataUK1!GK139)/DataUK1!$G139</f>
        <v>0.19193380862585335</v>
      </c>
      <c r="V151" s="300">
        <f t="shared" si="16"/>
        <v>2.376294533463752E-2</v>
      </c>
      <c r="W151" s="300">
        <f t="shared" si="17"/>
        <v>0</v>
      </c>
      <c r="X151" s="1244">
        <f>G151-TableUK12d!L151-TableUK12c!B151</f>
        <v>0</v>
      </c>
      <c r="Y151" s="197">
        <f t="shared" si="22"/>
        <v>0</v>
      </c>
      <c r="Z151" s="197">
        <f>F151-TableUK12d!F151-L151</f>
        <v>0</v>
      </c>
      <c r="AA151" s="197">
        <f>K150-L150-TableUK12d!K150</f>
        <v>0</v>
      </c>
    </row>
    <row r="152" spans="1:27" ht="12" customHeight="1">
      <c r="A152" s="198">
        <v>1981</v>
      </c>
      <c r="B152" s="303">
        <f t="shared" si="13"/>
        <v>4.5210040983606523E-2</v>
      </c>
      <c r="C152" s="308">
        <f t="shared" si="14"/>
        <v>6.4251866217798562E-2</v>
      </c>
      <c r="D152" s="308">
        <f>I152-TableUK12d!N152</f>
        <v>6.8896827429742374E-2</v>
      </c>
      <c r="E152" s="308">
        <f>J152-TableUK12d!P152</f>
        <v>-4.6449612119438127E-3</v>
      </c>
      <c r="F152" s="308">
        <f>K152-TableUK12d!Q152</f>
        <v>-1.9041825234192036E-2</v>
      </c>
      <c r="G152" s="570">
        <f>TableUK12b!H152</f>
        <v>0.20960187353629975</v>
      </c>
      <c r="H152" s="308">
        <f t="shared" si="23"/>
        <v>0.21104270345433254</v>
      </c>
      <c r="I152" s="308">
        <f>(DataUK1!FK140)/DataUK1!$G140+0.5*V152</f>
        <v>0.10014225336651052</v>
      </c>
      <c r="J152" s="308">
        <f>(DataUK1!FT140)/DataUK1!G140+0.5*V152</f>
        <v>0.110900450087822</v>
      </c>
      <c r="K152" s="394">
        <f>(DataUK1!GK140)/DataUK1!G140</f>
        <v>-1.440829918032787E-3</v>
      </c>
      <c r="L152" s="307">
        <f>(DataUK1!GU140)/DataUK1!G140</f>
        <v>-2.5793142564402811E-2</v>
      </c>
      <c r="M152" s="679">
        <f>(DataUK1!$GY140)/DataUK1!$G140</f>
        <v>3.2878366510538638E-2</v>
      </c>
      <c r="N152" s="680">
        <f t="shared" si="10"/>
        <v>7.0852239461358275E-3</v>
      </c>
      <c r="T152" s="364">
        <f>TableUK12b!H152</f>
        <v>0.20960187353629975</v>
      </c>
      <c r="U152" s="364">
        <f>(DataUK1!FK140+DataUK1!FT140+DataUK1!GK140)/DataUK1!$G140</f>
        <v>0.19958010099531617</v>
      </c>
      <c r="V152" s="300">
        <f t="shared" si="16"/>
        <v>1.0021772540983576E-2</v>
      </c>
      <c r="W152" s="300">
        <f t="shared" si="17"/>
        <v>0</v>
      </c>
      <c r="X152" s="1244">
        <f>G152-TableUK12d!L152-TableUK12c!B152</f>
        <v>0</v>
      </c>
      <c r="Y152" s="197">
        <f t="shared" si="22"/>
        <v>0</v>
      </c>
      <c r="Z152" s="197">
        <f>F152-TableUK12d!F152-L152</f>
        <v>0</v>
      </c>
      <c r="AA152" s="197">
        <f>K151-L151-TableUK12d!K151</f>
        <v>0</v>
      </c>
    </row>
    <row r="153" spans="1:27" ht="12" customHeight="1">
      <c r="A153" s="198">
        <v>1982</v>
      </c>
      <c r="B153" s="303">
        <f t="shared" si="13"/>
        <v>4.3193799620025425E-2</v>
      </c>
      <c r="C153" s="308">
        <f t="shared" si="14"/>
        <v>5.0604562211401763E-2</v>
      </c>
      <c r="D153" s="308">
        <f>I153-TableUK12d!N153</f>
        <v>5.19298598791295E-2</v>
      </c>
      <c r="E153" s="308">
        <f>J153-TableUK12d!P153</f>
        <v>-1.3252976677277373E-3</v>
      </c>
      <c r="F153" s="308">
        <f>K153-TableUK12d!Q153</f>
        <v>-7.4107625913763363E-3</v>
      </c>
      <c r="G153" s="570">
        <f>TableUK12b!H153</f>
        <v>0.20542113849780028</v>
      </c>
      <c r="H153" s="308">
        <f t="shared" si="23"/>
        <v>0.19595532572545371</v>
      </c>
      <c r="I153" s="308">
        <f>(DataUK1!FK141)/DataUK1!$G141+0.5*V153</f>
        <v>8.2680120954382083E-2</v>
      </c>
      <c r="J153" s="308">
        <f>(DataUK1!FT141)/DataUK1!G141+0.5*V153</f>
        <v>0.11327520477107161</v>
      </c>
      <c r="K153" s="394">
        <f>(DataUK1!GK141)/DataUK1!G141</f>
        <v>9.4658127723465744E-3</v>
      </c>
      <c r="L153" s="307">
        <f>(DataUK1!GU141)/DataUK1!G141</f>
        <v>-1.2489672324345634E-2</v>
      </c>
      <c r="M153" s="679">
        <f>(DataUK1!$GY141)/DataUK1!$G141</f>
        <v>3.1018675792767063E-2</v>
      </c>
      <c r="N153" s="680">
        <f t="shared" ref="N153:N180" si="24">L153+M153</f>
        <v>1.8529003468421429E-2</v>
      </c>
      <c r="S153" s="154"/>
      <c r="T153" s="364">
        <f>TableUK12b!H153</f>
        <v>0.20542113849780028</v>
      </c>
      <c r="U153" s="364">
        <f>(DataUK1!FK141+DataUK1!FT141+DataUK1!GK141)/DataUK1!$G141</f>
        <v>0.20953123885974073</v>
      </c>
      <c r="V153" s="300">
        <f t="shared" si="16"/>
        <v>-4.1101003619404552E-3</v>
      </c>
      <c r="W153" s="300">
        <f t="shared" si="17"/>
        <v>0</v>
      </c>
      <c r="X153" s="1244">
        <f>G153-TableUK12d!L153-TableUK12c!B153</f>
        <v>0</v>
      </c>
      <c r="Y153" s="197">
        <f t="shared" ref="Y153:Y181" si="25">B153-C153-F153</f>
        <v>0</v>
      </c>
      <c r="Z153" s="197">
        <f>F153-TableUK12d!F153-L153</f>
        <v>0</v>
      </c>
      <c r="AA153" s="197">
        <f>K152-L152-TableUK12d!K152</f>
        <v>0</v>
      </c>
    </row>
    <row r="154" spans="1:27" ht="12" customHeight="1">
      <c r="A154" s="198">
        <v>1983</v>
      </c>
      <c r="B154" s="303">
        <f>C154+F154</f>
        <v>5.0570212118908275E-2</v>
      </c>
      <c r="C154" s="308">
        <f t="shared" si="14"/>
        <v>6.7368661141944841E-2</v>
      </c>
      <c r="D154" s="308">
        <f>I154-TableUK12d!N154</f>
        <v>4.1543754276590905E-2</v>
      </c>
      <c r="E154" s="308">
        <f>J154-TableUK12d!P154</f>
        <v>2.5824906865353936E-2</v>
      </c>
      <c r="F154" s="308">
        <f>K154-TableUK12d!Q154</f>
        <v>-1.6798449023036569E-2</v>
      </c>
      <c r="G154" s="570">
        <f>TableUK12b!H154</f>
        <v>0.20840112521858131</v>
      </c>
      <c r="H154" s="308">
        <f t="shared" ref="H154:H181" si="26">G154-K154</f>
        <v>0.20923743632631339</v>
      </c>
      <c r="I154" s="308">
        <f>(DataUK1!FK142)/DataUK1!$G142+0.5*V154</f>
        <v>7.2494868090929837E-2</v>
      </c>
      <c r="J154" s="308">
        <f>(DataUK1!FT142)/DataUK1!G142+0.5*V154</f>
        <v>0.13674256823538358</v>
      </c>
      <c r="K154" s="394">
        <f>(DataUK1!GK142)/DataUK1!G142</f>
        <v>-8.3631110773207636E-4</v>
      </c>
      <c r="L154" s="307">
        <f>(DataUK1!GU142)/DataUK1!G142</f>
        <v>-2.6419828176081503E-2</v>
      </c>
      <c r="M154" s="679">
        <f>(DataUK1!$GY142)/DataUK1!$G142</f>
        <v>2.8943967155781951E-2</v>
      </c>
      <c r="N154" s="680">
        <f t="shared" si="24"/>
        <v>2.5241389797004479E-3</v>
      </c>
      <c r="S154" s="154"/>
      <c r="T154" s="364">
        <f>TableUK12b!H154</f>
        <v>0.20840112521858131</v>
      </c>
      <c r="U154" s="364">
        <f>(DataUK1!FK142+DataUK1!FT142+DataUK1!GK142)/DataUK1!$G142</f>
        <v>0.20065004181555537</v>
      </c>
      <c r="V154" s="300">
        <f t="shared" si="16"/>
        <v>7.7510834030259379E-3</v>
      </c>
      <c r="W154" s="300">
        <f t="shared" si="17"/>
        <v>0</v>
      </c>
      <c r="X154" s="1244">
        <f>G154-TableUK12d!L154-TableUK12c!B154</f>
        <v>0</v>
      </c>
      <c r="Y154" s="197">
        <f t="shared" si="25"/>
        <v>0</v>
      </c>
      <c r="Z154" s="197">
        <f>F154-TableUK12d!F154-L154</f>
        <v>0</v>
      </c>
      <c r="AA154" s="197">
        <f>K153-L153-TableUK12d!K153</f>
        <v>0</v>
      </c>
    </row>
    <row r="155" spans="1:27" ht="12" customHeight="1">
      <c r="A155" s="198">
        <v>1984</v>
      </c>
      <c r="B155" s="303">
        <f>C155+F155</f>
        <v>5.311721139059266E-2</v>
      </c>
      <c r="C155" s="308">
        <f>D155+E155</f>
        <v>7.7662489173280516E-2</v>
      </c>
      <c r="D155" s="308">
        <f>I155-TableUK12d!N155</f>
        <v>4.8397645519947671E-2</v>
      </c>
      <c r="E155" s="308">
        <f>J155-TableUK12d!P155</f>
        <v>2.9264843653332845E-2</v>
      </c>
      <c r="F155" s="308">
        <f>K155-TableUK12d!Q155</f>
        <v>-2.4545277782687856E-2</v>
      </c>
      <c r="G155" s="570">
        <f>TableUK12b!H155</f>
        <v>0.2095699361886412</v>
      </c>
      <c r="H155" s="308">
        <f t="shared" si="26"/>
        <v>0.21857069626853798</v>
      </c>
      <c r="I155" s="308">
        <f>(DataUK1!FK143)/DataUK1!$G143+0.5*V155</f>
        <v>8.0363424248316329E-2</v>
      </c>
      <c r="J155" s="308">
        <f>(DataUK1!FT143)/DataUK1!G143+0.5*V155</f>
        <v>0.13820727202022165</v>
      </c>
      <c r="K155" s="394">
        <f>(DataUK1!GK143)/DataUK1!G143</f>
        <v>-9.0007600798967698E-3</v>
      </c>
      <c r="L155" s="307">
        <f>(DataUK1!GU143)/DataUK1!G143</f>
        <v>-3.6505046576989025E-2</v>
      </c>
      <c r="M155" s="679">
        <f>(DataUK1!$GY143)/DataUK1!$G143</f>
        <v>3.1923355664362857E-2</v>
      </c>
      <c r="N155" s="680">
        <f t="shared" si="24"/>
        <v>-4.5816909126261685E-3</v>
      </c>
      <c r="S155" s="154"/>
      <c r="T155" s="364">
        <f>TableUK12b!H155</f>
        <v>0.2095699361886412</v>
      </c>
      <c r="U155" s="364">
        <f>(DataUK1!FK143+DataUK1!FT143+DataUK1!GK143)/DataUK1!$G143</f>
        <v>0.20663567426157353</v>
      </c>
      <c r="V155" s="300">
        <f t="shared" ref="V155:V180" si="27">T155-U155</f>
        <v>2.9342619270676662E-3</v>
      </c>
      <c r="W155" s="300">
        <f t="shared" ref="W155:W180" si="28">H155-I155-J155</f>
        <v>0</v>
      </c>
      <c r="X155" s="1244">
        <f>G155-TableUK12d!L155-TableUK12c!B155</f>
        <v>0</v>
      </c>
      <c r="Y155" s="197">
        <f t="shared" si="25"/>
        <v>0</v>
      </c>
      <c r="Z155" s="197">
        <f>F155-TableUK12d!F155-L155</f>
        <v>0</v>
      </c>
      <c r="AA155" s="197">
        <f>K154-L154-TableUK12d!K154</f>
        <v>0</v>
      </c>
    </row>
    <row r="156" spans="1:27" ht="12" customHeight="1">
      <c r="A156" s="198">
        <v>1985</v>
      </c>
      <c r="B156" s="303">
        <f>C156+F156</f>
        <v>5.7202923863121799E-2</v>
      </c>
      <c r="C156" s="308">
        <f>D156+E156</f>
        <v>7.5590271039523899E-2</v>
      </c>
      <c r="D156" s="308">
        <f>I156-TableUK12d!N156</f>
        <v>4.2882786726178929E-2</v>
      </c>
      <c r="E156" s="308">
        <f>J156-TableUK12d!P156</f>
        <v>3.270748431334497E-2</v>
      </c>
      <c r="F156" s="308">
        <f>K156-TableUK12d!Q156</f>
        <v>-1.8387347176402096E-2</v>
      </c>
      <c r="G156" s="570">
        <f>TableUK12b!H156</f>
        <v>0.21163076525001617</v>
      </c>
      <c r="H156" s="308">
        <f t="shared" si="26"/>
        <v>0.21468723720809885</v>
      </c>
      <c r="I156" s="308">
        <f>(DataUK1!FK144)/DataUK1!$G144+0.5*V156</f>
        <v>7.4935312762791903E-2</v>
      </c>
      <c r="J156" s="308">
        <f>(DataUK1!FT144)/DataUK1!G144+0.5*V156</f>
        <v>0.13975192444530693</v>
      </c>
      <c r="K156" s="394">
        <f>(DataUK1!GK144)/DataUK1!G144</f>
        <v>-3.0564719580826703E-3</v>
      </c>
      <c r="L156" s="307">
        <f>(DataUK1!GU144)/DataUK1!G144</f>
        <v>-2.9526489423636715E-2</v>
      </c>
      <c r="M156" s="679">
        <f>(DataUK1!$GY144)/DataUK1!$G144</f>
        <v>3.0836405977100717E-2</v>
      </c>
      <c r="N156" s="680">
        <f t="shared" si="24"/>
        <v>1.3099165534640016E-3</v>
      </c>
      <c r="S156" s="154"/>
      <c r="T156" s="364">
        <f>TableUK12b!H156</f>
        <v>0.21163076525001617</v>
      </c>
      <c r="U156" s="364">
        <f>(DataUK1!FK144+DataUK1!FT144+DataUK1!GK144)/DataUK1!$G144</f>
        <v>0.21111650171421179</v>
      </c>
      <c r="V156" s="300">
        <f t="shared" si="27"/>
        <v>5.1426353580438788E-4</v>
      </c>
      <c r="W156" s="300">
        <f t="shared" si="28"/>
        <v>0</v>
      </c>
      <c r="X156" s="1244">
        <f>G156-TableUK12d!L156-TableUK12c!B156</f>
        <v>0</v>
      </c>
      <c r="Y156" s="197">
        <f t="shared" si="25"/>
        <v>0</v>
      </c>
      <c r="Z156" s="197">
        <f>F156-TableUK12d!F156-L156</f>
        <v>0</v>
      </c>
      <c r="AA156" s="197">
        <f>K155-L155-TableUK12d!K155</f>
        <v>0</v>
      </c>
    </row>
    <row r="157" spans="1:27" ht="12" customHeight="1">
      <c r="A157" s="198">
        <v>1986</v>
      </c>
      <c r="B157" s="303">
        <f>C157+F157</f>
        <v>4.5921614442495623E-2</v>
      </c>
      <c r="C157" s="308">
        <f>D157+E157</f>
        <v>6.4936849936805097E-2</v>
      </c>
      <c r="D157" s="308">
        <f>I157-TableUK12d!N157</f>
        <v>3.3587407635375981E-2</v>
      </c>
      <c r="E157" s="308">
        <f>J157-TableUK12d!P157</f>
        <v>3.1349442301429123E-2</v>
      </c>
      <c r="F157" s="308">
        <f>K157-TableUK12d!Q157</f>
        <v>-1.9015235494309474E-2</v>
      </c>
      <c r="G157" s="570">
        <f>TableUK12b!H157</f>
        <v>0.19907433690192691</v>
      </c>
      <c r="H157" s="308">
        <f t="shared" si="26"/>
        <v>0.20279133139515773</v>
      </c>
      <c r="I157" s="308">
        <f>(DataUK1!FK145)/DataUK1!$G145+0.5*V157</f>
        <v>6.6427830846871178E-2</v>
      </c>
      <c r="J157" s="308">
        <f>(DataUK1!FT145)/DataUK1!G145+0.5*V157</f>
        <v>0.13636350054828655</v>
      </c>
      <c r="K157" s="394">
        <f>(DataUK1!GK145)/DataUK1!G145</f>
        <v>-3.7169944932308272E-3</v>
      </c>
      <c r="L157" s="307">
        <f>(DataUK1!GU145)/DataUK1!G145</f>
        <v>-3.0629349316808045E-2</v>
      </c>
      <c r="M157" s="679">
        <f>(DataUK1!$GY145)/DataUK1!$G145</f>
        <v>3.4235790115304518E-2</v>
      </c>
      <c r="N157" s="680">
        <f t="shared" si="24"/>
        <v>3.6064407984964728E-3</v>
      </c>
      <c r="S157" s="154"/>
      <c r="T157" s="364">
        <f>TableUK12b!H157</f>
        <v>0.19907433690192691</v>
      </c>
      <c r="U157" s="364">
        <f>(DataUK1!FK145+DataUK1!FT145+DataUK1!GK145)/DataUK1!$G145</f>
        <v>0.19226183895613408</v>
      </c>
      <c r="V157" s="300">
        <f t="shared" si="27"/>
        <v>6.8124979457928336E-3</v>
      </c>
      <c r="W157" s="300">
        <f t="shared" si="28"/>
        <v>0</v>
      </c>
      <c r="X157" s="1244">
        <f>G157-TableUK12d!L157-TableUK12c!B157</f>
        <v>0</v>
      </c>
      <c r="Y157" s="197">
        <f t="shared" si="25"/>
        <v>0</v>
      </c>
      <c r="Z157" s="197">
        <f>F157-TableUK12d!F157-L157</f>
        <v>0</v>
      </c>
      <c r="AA157" s="197">
        <f>K156-L156-TableUK12d!K156</f>
        <v>0</v>
      </c>
    </row>
    <row r="158" spans="1:27" ht="12" customHeight="1">
      <c r="A158" s="198">
        <v>1987</v>
      </c>
      <c r="B158" s="303">
        <f t="shared" ref="B158:B180" si="29">C158+F158</f>
        <v>4.9212614489851973E-2</v>
      </c>
      <c r="C158" s="308">
        <f t="shared" ref="C158:C180" si="30">D158+E158</f>
        <v>6.6130045782339372E-2</v>
      </c>
      <c r="D158" s="308">
        <f>I158-TableUK12d!N158</f>
        <v>9.5998737789335931E-3</v>
      </c>
      <c r="E158" s="308">
        <f>J158-TableUK12d!P158</f>
        <v>5.6530172003405779E-2</v>
      </c>
      <c r="F158" s="308">
        <f>K158-TableUK12d!Q158</f>
        <v>-1.6917431292487399E-2</v>
      </c>
      <c r="G158" s="570">
        <f>TableUK12b!H158</f>
        <v>0.20222573440802594</v>
      </c>
      <c r="H158" s="308">
        <f t="shared" si="26"/>
        <v>0.20432307152436421</v>
      </c>
      <c r="I158" s="308">
        <f>(DataUK1!FK146)/DataUK1!$G146+0.5*V158</f>
        <v>4.3725806495488413E-2</v>
      </c>
      <c r="J158" s="308">
        <f>(DataUK1!FT146)/DataUK1!G146+0.5*V158</f>
        <v>0.16059726502887578</v>
      </c>
      <c r="K158" s="394">
        <f>(DataUK1!GK146)/DataUK1!G146</f>
        <v>-2.0973371163382835E-3</v>
      </c>
      <c r="L158" s="307">
        <f>(DataUK1!GU146)/DataUK1!G146</f>
        <v>-2.4071771909828104E-2</v>
      </c>
      <c r="M158" s="679">
        <f>(DataUK1!$GY146)/DataUK1!$G146</f>
        <v>2.7292585328433198E-2</v>
      </c>
      <c r="N158" s="680">
        <f t="shared" si="24"/>
        <v>3.2208134186050945E-3</v>
      </c>
      <c r="S158" s="154"/>
      <c r="T158" s="364">
        <f>TableUK12b!H158</f>
        <v>0.20222573440802594</v>
      </c>
      <c r="U158" s="364">
        <f>(DataUK1!FK146+DataUK1!FT146+DataUK1!GK146)/DataUK1!$G146</f>
        <v>0.20222573440802591</v>
      </c>
      <c r="V158" s="300">
        <f t="shared" si="27"/>
        <v>0</v>
      </c>
      <c r="W158" s="300">
        <f t="shared" si="28"/>
        <v>0</v>
      </c>
      <c r="X158" s="1244">
        <f>G158-TableUK12d!L158-TableUK12c!B158</f>
        <v>0</v>
      </c>
      <c r="Y158" s="197">
        <f t="shared" si="25"/>
        <v>0</v>
      </c>
      <c r="Z158" s="197">
        <f>F158-TableUK12d!F158-L158</f>
        <v>-1.5832038932670316E-3</v>
      </c>
      <c r="AA158" s="197">
        <f>K157-L157-TableUK12d!K157</f>
        <v>0</v>
      </c>
    </row>
    <row r="159" spans="1:27" ht="12" customHeight="1">
      <c r="A159" s="198">
        <v>1988</v>
      </c>
      <c r="B159" s="303">
        <f t="shared" si="29"/>
        <v>5.1470160398766472E-2</v>
      </c>
      <c r="C159" s="308">
        <f t="shared" si="30"/>
        <v>4.9406990050233725E-2</v>
      </c>
      <c r="D159" s="308">
        <f>I159-TableUK12d!N159</f>
        <v>-3.837836265249521E-3</v>
      </c>
      <c r="E159" s="308">
        <f>J159-TableUK12d!P159</f>
        <v>5.3244826315483246E-2</v>
      </c>
      <c r="F159" s="308">
        <f>K159-TableUK12d!Q159</f>
        <v>2.0631703485327491E-3</v>
      </c>
      <c r="G159" s="570">
        <f>TableUK12b!H159</f>
        <v>0.20087666556760217</v>
      </c>
      <c r="H159" s="308">
        <f t="shared" si="26"/>
        <v>0.1841749258131461</v>
      </c>
      <c r="I159" s="308">
        <f>(DataUK1!FK147)/DataUK1!$G147+0.5*V159</f>
        <v>3.194641090789193E-2</v>
      </c>
      <c r="J159" s="308">
        <f>(DataUK1!FT147)/DataUK1!G147+0.5*V159</f>
        <v>0.15222851490525419</v>
      </c>
      <c r="K159" s="394">
        <f>(DataUK1!GK147)/DataUK1!G147</f>
        <v>1.670173975445606E-2</v>
      </c>
      <c r="L159" s="307">
        <f>(DataUK1!GU147)/DataUK1!G147</f>
        <v>-8.5096685350763207E-4</v>
      </c>
      <c r="M159" s="679">
        <f>(DataUK1!$GY147)/DataUK1!$G147</f>
        <v>2.8258887876025523E-2</v>
      </c>
      <c r="N159" s="680">
        <f t="shared" si="24"/>
        <v>2.7407921022517892E-2</v>
      </c>
      <c r="S159" s="154"/>
      <c r="T159" s="364">
        <f>TableUK12b!H159</f>
        <v>0.20087666556760217</v>
      </c>
      <c r="U159" s="364">
        <f>(DataUK1!FK147+DataUK1!FT147+DataUK1!GK147)/DataUK1!$G147</f>
        <v>0.20087666556760217</v>
      </c>
      <c r="V159" s="300">
        <f t="shared" si="27"/>
        <v>0</v>
      </c>
      <c r="W159" s="300">
        <f t="shared" si="28"/>
        <v>0</v>
      </c>
      <c r="X159" s="1244">
        <f>G159-TableUK12d!L159-TableUK12c!B159</f>
        <v>0</v>
      </c>
      <c r="Y159" s="197">
        <f t="shared" si="25"/>
        <v>0</v>
      </c>
      <c r="Z159" s="197">
        <f>F159-TableUK12d!F159-L159</f>
        <v>-2.0995364533835021E-3</v>
      </c>
      <c r="AA159" s="197">
        <f>K158-L158-TableUK12d!K158</f>
        <v>-1.5832038932670316E-3</v>
      </c>
    </row>
    <row r="160" spans="1:27" ht="12" customHeight="1">
      <c r="A160" s="214">
        <v>1989</v>
      </c>
      <c r="B160" s="565">
        <f t="shared" si="29"/>
        <v>5.2570378081463615E-2</v>
      </c>
      <c r="C160" s="550">
        <f t="shared" si="30"/>
        <v>4.1644333207823001E-2</v>
      </c>
      <c r="D160" s="550">
        <f>I160-TableUK12d!N160</f>
        <v>1.3488670845422934E-2</v>
      </c>
      <c r="E160" s="550">
        <f>J160-TableUK12d!P160</f>
        <v>2.8155662362400066E-2</v>
      </c>
      <c r="F160" s="550">
        <f>K160-TableUK12d!Q160</f>
        <v>1.0926044873640612E-2</v>
      </c>
      <c r="G160" s="571">
        <f>TableUK12b!H160</f>
        <v>0.20131342886885648</v>
      </c>
      <c r="H160" s="550">
        <f t="shared" si="26"/>
        <v>0.1753505061020178</v>
      </c>
      <c r="I160" s="550">
        <f>(DataUK1!FK148)/DataUK1!$G148+0.5*V160</f>
        <v>4.7578019446720861E-2</v>
      </c>
      <c r="J160" s="550">
        <f>(DataUK1!FT148)/DataUK1!G148+0.5*V160</f>
        <v>0.12777248665529692</v>
      </c>
      <c r="K160" s="553">
        <f>(DataUK1!GK148)/DataUK1!G148</f>
        <v>2.5962922766838689E-2</v>
      </c>
      <c r="L160" s="568">
        <f>(DataUK1!GU148)/DataUK1!G148</f>
        <v>2.5914195220270659E-3</v>
      </c>
      <c r="M160" s="1917">
        <f>(DataUK1!$GY148)/DataUK1!$G148</f>
        <v>2.6005005647965623E-2</v>
      </c>
      <c r="N160" s="1251">
        <f t="shared" si="24"/>
        <v>2.8596425169992688E-2</v>
      </c>
      <c r="S160" s="154"/>
      <c r="T160" s="364">
        <f>TableUK12b!H160</f>
        <v>0.20131342886885648</v>
      </c>
      <c r="U160" s="364">
        <f>(DataUK1!FK148+DataUK1!FT148+DataUK1!GK148)/DataUK1!$G148</f>
        <v>0.20131342886885645</v>
      </c>
      <c r="V160" s="300">
        <f t="shared" si="27"/>
        <v>0</v>
      </c>
      <c r="W160" s="300">
        <f t="shared" si="28"/>
        <v>0</v>
      </c>
      <c r="X160" s="1244">
        <f>G160-TableUK12d!L160-TableUK12c!B160</f>
        <v>0</v>
      </c>
      <c r="Y160" s="197">
        <f t="shared" si="25"/>
        <v>0</v>
      </c>
      <c r="Z160" s="197">
        <f>F160-TableUK12d!F160-L160</f>
        <v>-1.8649361004673412E-3</v>
      </c>
      <c r="AA160" s="197">
        <f>K159-L159-TableUK12d!K159</f>
        <v>-2.0995364533835034E-3</v>
      </c>
    </row>
    <row r="161" spans="1:27" ht="12" customHeight="1">
      <c r="A161" s="198">
        <v>1990</v>
      </c>
      <c r="B161" s="303">
        <f t="shared" si="29"/>
        <v>3.9953480234245546E-2</v>
      </c>
      <c r="C161" s="308">
        <f t="shared" si="30"/>
        <v>5.0072558484196658E-2</v>
      </c>
      <c r="D161" s="308">
        <f>I161-TableUK12d!N161</f>
        <v>3.4266130111256343E-2</v>
      </c>
      <c r="E161" s="308">
        <f>J161-TableUK12d!P161</f>
        <v>1.5806428372940315E-2</v>
      </c>
      <c r="F161" s="308">
        <f>K161-TableUK12d!Q161</f>
        <v>-1.0119078249951112E-2</v>
      </c>
      <c r="G161" s="570">
        <f>TableUK12b!H161</f>
        <v>0.19356133507610918</v>
      </c>
      <c r="H161" s="308">
        <f t="shared" si="26"/>
        <v>0.18846474481026723</v>
      </c>
      <c r="I161" s="308">
        <f>(DataUK1!FK149)/DataUK1!$G149+0.5*V161</f>
        <v>6.9127136873089551E-2</v>
      </c>
      <c r="J161" s="308">
        <f>(DataUK1!FT149)/DataUK1!G149+0.5*V161</f>
        <v>0.11933760793717774</v>
      </c>
      <c r="K161" s="394">
        <f>(DataUK1!GK149)/DataUK1!G149</f>
        <v>5.0965902658419359E-3</v>
      </c>
      <c r="L161" s="307">
        <f>(DataUK1!GU149)/DataUK1!G149</f>
        <v>-2.3897985858814568E-2</v>
      </c>
      <c r="M161" s="679">
        <f>(DataUK1!$GY149)/DataUK1!$G149</f>
        <v>2.4311723598489137E-2</v>
      </c>
      <c r="N161" s="680">
        <f t="shared" si="24"/>
        <v>4.1373773967456895E-4</v>
      </c>
      <c r="S161" s="154"/>
      <c r="T161" s="364">
        <f>TableUK12b!H161</f>
        <v>0.19356133507610918</v>
      </c>
      <c r="U161" s="364">
        <f>(DataUK1!FK149+DataUK1!FT149+DataUK1!GK149)/DataUK1!$G149</f>
        <v>0.19356133507610923</v>
      </c>
      <c r="V161" s="300">
        <f t="shared" si="27"/>
        <v>0</v>
      </c>
      <c r="W161" s="300">
        <f t="shared" si="28"/>
        <v>0</v>
      </c>
      <c r="X161" s="1244">
        <f>G161-TableUK12d!L161-TableUK12c!B161</f>
        <v>0</v>
      </c>
      <c r="Y161" s="197">
        <f t="shared" si="25"/>
        <v>0</v>
      </c>
      <c r="Z161" s="197">
        <f>F161-TableUK12d!F161-L161</f>
        <v>-1.2453300124533016E-3</v>
      </c>
      <c r="AA161" s="197">
        <f>K160-L160-TableUK12d!K160</f>
        <v>-1.8649361004673404E-3</v>
      </c>
    </row>
    <row r="162" spans="1:27" ht="12" customHeight="1">
      <c r="A162" s="198">
        <v>1991</v>
      </c>
      <c r="B162" s="303">
        <f t="shared" si="29"/>
        <v>2.3631576879248696E-2</v>
      </c>
      <c r="C162" s="308">
        <f t="shared" si="30"/>
        <v>5.1336005344021378E-2</v>
      </c>
      <c r="D162" s="308">
        <f>I162-TableUK12d!N162</f>
        <v>5.6630908876576687E-2</v>
      </c>
      <c r="E162" s="308">
        <f>J162-TableUK12d!P162</f>
        <v>-5.294903532555309E-3</v>
      </c>
      <c r="F162" s="308">
        <f>K162-TableUK12d!Q162</f>
        <v>-2.7704428464772682E-2</v>
      </c>
      <c r="G162" s="570">
        <f>TableUK12b!H162</f>
        <v>0.18171440921057805</v>
      </c>
      <c r="H162" s="308">
        <f t="shared" si="26"/>
        <v>0.19453613108570084</v>
      </c>
      <c r="I162" s="308">
        <f>(DataUK1!FK150)/DataUK1!$G150+0.5*V162</f>
        <v>9.1504577783017016E-2</v>
      </c>
      <c r="J162" s="308">
        <f>(DataUK1!FT150)/DataUK1!G150+0.5*V162</f>
        <v>0.10303155330268379</v>
      </c>
      <c r="K162" s="394">
        <f>(DataUK1!GK150)/DataUK1!G150</f>
        <v>-1.2821721875122795E-2</v>
      </c>
      <c r="L162" s="307">
        <f>(DataUK1!GU150)/DataUK1!G150</f>
        <v>-4.020393728633738E-2</v>
      </c>
      <c r="M162" s="679">
        <f>(DataUK1!$GY150)/DataUK1!$G150</f>
        <v>1.9452630751699479E-2</v>
      </c>
      <c r="N162" s="680">
        <f t="shared" si="24"/>
        <v>-2.0751306534637901E-2</v>
      </c>
      <c r="S162" s="154"/>
      <c r="T162" s="364">
        <f>TableUK12b!H162</f>
        <v>0.18171440921057805</v>
      </c>
      <c r="U162" s="364">
        <f>(DataUK1!FK150+DataUK1!FT150+DataUK1!GK150)/DataUK1!$G150</f>
        <v>0.18171440921057802</v>
      </c>
      <c r="V162" s="300">
        <f t="shared" si="27"/>
        <v>0</v>
      </c>
      <c r="W162" s="300">
        <f t="shared" si="28"/>
        <v>0</v>
      </c>
      <c r="X162" s="1244">
        <f>G162-TableUK12d!L162-TableUK12c!B162</f>
        <v>4.8572257327350599E-17</v>
      </c>
      <c r="Y162" s="197">
        <f t="shared" si="25"/>
        <v>0</v>
      </c>
      <c r="Z162" s="197">
        <f>F162-TableUK12d!F162-L162</f>
        <v>-7.7802664151833262E-4</v>
      </c>
      <c r="AA162" s="197">
        <f>K161-L161-TableUK12d!K161</f>
        <v>-1.2453300124533016E-3</v>
      </c>
    </row>
    <row r="163" spans="1:27" ht="12" customHeight="1">
      <c r="A163" s="198">
        <v>1992</v>
      </c>
      <c r="B163" s="303">
        <f t="shared" si="29"/>
        <v>1.3692993399457218E-2</v>
      </c>
      <c r="C163" s="308">
        <f t="shared" si="30"/>
        <v>7.812917911243368E-2</v>
      </c>
      <c r="D163" s="308">
        <f>I163-TableUK12d!N163</f>
        <v>7.2480655677607725E-2</v>
      </c>
      <c r="E163" s="308">
        <f>J163-TableUK12d!P163</f>
        <v>5.6485234348259555E-3</v>
      </c>
      <c r="F163" s="308">
        <f>K163-TableUK12d!Q163</f>
        <v>-6.4436185712976463E-2</v>
      </c>
      <c r="G163" s="570">
        <f>TableUK12b!H163</f>
        <v>0.16721686776282935</v>
      </c>
      <c r="H163" s="308">
        <f t="shared" si="26"/>
        <v>0.21786280073243769</v>
      </c>
      <c r="I163" s="308">
        <f>(DataUK1!FK151)/DataUK1!$G151+0.5*V163</f>
        <v>0.10449581317228183</v>
      </c>
      <c r="J163" s="308">
        <f>(DataUK1!FT151)/DataUK1!G151+0.5*V163</f>
        <v>0.11336698756015584</v>
      </c>
      <c r="K163" s="394">
        <f>(DataUK1!GK151)/DataUK1!G151</f>
        <v>-5.0645932969608329E-2</v>
      </c>
      <c r="L163" s="307">
        <f>(DataUK1!GU151)/DataUK1!G151</f>
        <v>-7.5839843786530706E-2</v>
      </c>
      <c r="M163" s="679">
        <f>(DataUK1!$GY151)/DataUK1!$G151</f>
        <v>1.9255479722361982E-2</v>
      </c>
      <c r="N163" s="680">
        <f t="shared" si="24"/>
        <v>-5.6584364064168724E-2</v>
      </c>
      <c r="S163" s="154"/>
      <c r="T163" s="364">
        <f>TableUK12b!H163</f>
        <v>0.16721686776282935</v>
      </c>
      <c r="U163" s="364">
        <f>(DataUK1!FK151+DataUK1!FT151+DataUK1!GK151)/DataUK1!$G151</f>
        <v>0.16721686776282935</v>
      </c>
      <c r="V163" s="300">
        <f t="shared" si="27"/>
        <v>0</v>
      </c>
      <c r="W163" s="300">
        <f t="shared" si="28"/>
        <v>0</v>
      </c>
      <c r="X163" s="1244">
        <f>G163-TableUK12d!L163-TableUK12c!B163</f>
        <v>1.3877787807814457E-17</v>
      </c>
      <c r="Y163" s="197">
        <f t="shared" si="25"/>
        <v>0</v>
      </c>
      <c r="Z163" s="197">
        <f>F163-TableUK12d!F163-L163</f>
        <v>-5.8355606346546796E-4</v>
      </c>
      <c r="AA163" s="197">
        <f>K162-L162-TableUK12d!K162</f>
        <v>-7.7802664151833262E-4</v>
      </c>
    </row>
    <row r="164" spans="1:27" ht="12" customHeight="1">
      <c r="A164" s="198">
        <v>1993</v>
      </c>
      <c r="B164" s="303">
        <f t="shared" si="29"/>
        <v>1.3996958650436653E-2</v>
      </c>
      <c r="C164" s="308">
        <f t="shared" si="30"/>
        <v>9.6760038940643944E-2</v>
      </c>
      <c r="D164" s="308">
        <f>I164-TableUK12d!N164</f>
        <v>6.6376743624180154E-2</v>
      </c>
      <c r="E164" s="308">
        <f>J164-TableUK12d!P164</f>
        <v>3.038329531646379E-2</v>
      </c>
      <c r="F164" s="308">
        <f>K164-TableUK12d!Q164</f>
        <v>-8.2763080290207292E-2</v>
      </c>
      <c r="G164" s="570">
        <f>TableUK12b!H164</f>
        <v>0.16369637667256459</v>
      </c>
      <c r="H164" s="308">
        <f t="shared" si="26"/>
        <v>0.23310025794623632</v>
      </c>
      <c r="I164" s="308">
        <f>(DataUK1!FK152)/DataUK1!$G152+0.5*V164</f>
        <v>9.8472574559253026E-2</v>
      </c>
      <c r="J164" s="308">
        <f>(DataUK1!FT152)/DataUK1!G152+0.5*V164</f>
        <v>0.1346276833869833</v>
      </c>
      <c r="K164" s="394">
        <f>(DataUK1!GK152)/DataUK1!G152</f>
        <v>-6.9403881273671725E-2</v>
      </c>
      <c r="L164" s="307">
        <f>(DataUK1!GU152)/DataUK1!G152</f>
        <v>-9.2713196472602982E-2</v>
      </c>
      <c r="M164" s="679">
        <f>(DataUK1!$GY152)/DataUK1!$G152</f>
        <v>2.0321260312519986E-2</v>
      </c>
      <c r="N164" s="680">
        <f t="shared" si="24"/>
        <v>-7.2391936160082992E-2</v>
      </c>
      <c r="S164" s="154"/>
      <c r="T164" s="364">
        <f>TableUK12b!H164</f>
        <v>0.16369637667256459</v>
      </c>
      <c r="U164" s="364">
        <f>(DataUK1!FK152+DataUK1!FT152+DataUK1!GK152)/DataUK1!$G152</f>
        <v>0.16369637667256462</v>
      </c>
      <c r="V164" s="300">
        <f t="shared" si="27"/>
        <v>0</v>
      </c>
      <c r="W164" s="300">
        <f t="shared" si="28"/>
        <v>0</v>
      </c>
      <c r="X164" s="1244">
        <f>G164-TableUK12d!L164-TableUK12c!B164</f>
        <v>-2.7755575615628914E-17</v>
      </c>
      <c r="Y164" s="197">
        <f t="shared" si="25"/>
        <v>0</v>
      </c>
      <c r="Z164" s="197">
        <f>F164-TableUK12d!F164-L164</f>
        <v>-8.8291514776839275E-4</v>
      </c>
      <c r="AA164" s="197">
        <f>K163-L163-TableUK12d!K163</f>
        <v>-5.8355606346546449E-4</v>
      </c>
    </row>
    <row r="165" spans="1:27" ht="12" customHeight="1">
      <c r="A165" s="198">
        <v>1994</v>
      </c>
      <c r="B165" s="303">
        <f t="shared" si="29"/>
        <v>3.643538549067861E-2</v>
      </c>
      <c r="C165" s="308">
        <f t="shared" si="30"/>
        <v>0.10470004895539764</v>
      </c>
      <c r="D165" s="308">
        <f>I165-TableUK12d!N165</f>
        <v>4.9117479723203537E-2</v>
      </c>
      <c r="E165" s="308">
        <f>J165-TableUK12d!P165</f>
        <v>5.5582569232194109E-2</v>
      </c>
      <c r="F165" s="308">
        <f>K165-TableUK12d!Q165</f>
        <v>-6.826466346471903E-2</v>
      </c>
      <c r="G165" s="570">
        <f>TableUK12b!H165</f>
        <v>0.17973908096164279</v>
      </c>
      <c r="H165" s="308">
        <f t="shared" si="26"/>
        <v>0.23489494436285213</v>
      </c>
      <c r="I165" s="308">
        <f>(DataUK1!FK153)/DataUK1!$G153+0.5*V165</f>
        <v>8.0582900011908071E-2</v>
      </c>
      <c r="J165" s="308">
        <f>(DataUK1!FT153)/DataUK1!G153+0.5*V165</f>
        <v>0.15431204435094403</v>
      </c>
      <c r="K165" s="394">
        <f>(DataUK1!GK153)/DataUK1!G153</f>
        <v>-5.5155863401209329E-2</v>
      </c>
      <c r="L165" s="307">
        <f>(DataUK1!GU153)/DataUK1!G153</f>
        <v>-7.8283981000013228E-2</v>
      </c>
      <c r="M165" s="679">
        <f>(DataUK1!$GY153)/DataUK1!$G153</f>
        <v>2.3430781037060561E-2</v>
      </c>
      <c r="N165" s="680">
        <f t="shared" si="24"/>
        <v>-5.4853199962952667E-2</v>
      </c>
      <c r="S165" s="154"/>
      <c r="T165" s="364">
        <f>TableUK12b!H165</f>
        <v>0.17973908096164279</v>
      </c>
      <c r="U165" s="364">
        <f>(DataUK1!FK153+DataUK1!FT153+DataUK1!GK153)/DataUK1!$G153</f>
        <v>0.17973908096164279</v>
      </c>
      <c r="V165" s="300">
        <f t="shared" si="27"/>
        <v>0</v>
      </c>
      <c r="W165" s="300">
        <f t="shared" si="28"/>
        <v>0</v>
      </c>
      <c r="X165" s="1244">
        <f>G165-TableUK12d!L165-TableUK12c!B165</f>
        <v>0</v>
      </c>
      <c r="Y165" s="197">
        <f t="shared" si="25"/>
        <v>0</v>
      </c>
      <c r="Z165" s="197">
        <f>F165-TableUK12d!F165-L165</f>
        <v>-8.0214080630862383E-4</v>
      </c>
      <c r="AA165" s="197">
        <f>K164-L164-TableUK12d!K164</f>
        <v>-8.8291514776838234E-4</v>
      </c>
    </row>
    <row r="166" spans="1:27" ht="12" customHeight="1">
      <c r="A166" s="198">
        <v>1995</v>
      </c>
      <c r="B166" s="303">
        <f t="shared" si="29"/>
        <v>4.4010595752613298E-2</v>
      </c>
      <c r="C166" s="308">
        <f t="shared" si="30"/>
        <v>0.101967670735891</v>
      </c>
      <c r="D166" s="308">
        <f>I166-TableUK12d!N166</f>
        <v>5.6826067681857988E-2</v>
      </c>
      <c r="E166" s="308">
        <f>J166-TableUK12d!P166</f>
        <v>4.5141603054033003E-2</v>
      </c>
      <c r="F166" s="308">
        <f>K166-TableUK12d!Q166</f>
        <v>-5.79570749832777E-2</v>
      </c>
      <c r="G166" s="570">
        <f>TableUK12b!H166</f>
        <v>0.1836320372699802</v>
      </c>
      <c r="H166" s="308">
        <f t="shared" si="26"/>
        <v>0.22827392934180701</v>
      </c>
      <c r="I166" s="308">
        <f>(DataUK1!FK154)/DataUK1!$G154+0.5*V166</f>
        <v>8.8295327623991768E-2</v>
      </c>
      <c r="J166" s="308">
        <f>(DataUK1!FT154)/DataUK1!G154+0.5*V166</f>
        <v>0.13997860171781523</v>
      </c>
      <c r="K166" s="394">
        <f>(DataUK1!GK154)/DataUK1!G154</f>
        <v>-4.4641892071826797E-2</v>
      </c>
      <c r="L166" s="307">
        <f>(DataUK1!GU154)/DataUK1!G154</f>
        <v>-6.7030197268351063E-2</v>
      </c>
      <c r="M166" s="679">
        <f>(DataUK1!$GY154)/DataUK1!$G154</f>
        <v>2.7205268426255036E-2</v>
      </c>
      <c r="N166" s="680">
        <f t="shared" si="24"/>
        <v>-3.9824928842096027E-2</v>
      </c>
      <c r="S166" s="154"/>
      <c r="T166" s="364">
        <f>TableUK12b!H166</f>
        <v>0.1836320372699802</v>
      </c>
      <c r="U166" s="364">
        <f>(DataUK1!FK154+DataUK1!FT154+DataUK1!GK154)/DataUK1!$G154</f>
        <v>0.1836320372699802</v>
      </c>
      <c r="V166" s="300">
        <f t="shared" si="27"/>
        <v>0</v>
      </c>
      <c r="W166" s="300">
        <f t="shared" si="28"/>
        <v>0</v>
      </c>
      <c r="X166" s="1244">
        <f>G166-TableUK12d!L166-TableUK12c!B166</f>
        <v>0</v>
      </c>
      <c r="Y166" s="197">
        <f t="shared" si="25"/>
        <v>0</v>
      </c>
      <c r="Z166" s="197">
        <f>F166-TableUK12d!F166-L166</f>
        <v>-2.2400837133382256E-4</v>
      </c>
      <c r="AA166" s="197">
        <f>K165-L165-TableUK12d!K165</f>
        <v>-8.0214080630863077E-4</v>
      </c>
    </row>
    <row r="167" spans="1:27" ht="12" customHeight="1">
      <c r="A167" s="198">
        <v>1996</v>
      </c>
      <c r="B167" s="303">
        <f t="shared" si="29"/>
        <v>4.9071788881374576E-2</v>
      </c>
      <c r="C167" s="308">
        <f t="shared" si="30"/>
        <v>9.262495937886997E-2</v>
      </c>
      <c r="D167" s="308">
        <f>I167-TableUK12d!N167</f>
        <v>4.8484795254866479E-2</v>
      </c>
      <c r="E167" s="308">
        <f>J167-TableUK12d!P167</f>
        <v>4.4140164124003498E-2</v>
      </c>
      <c r="F167" s="308">
        <f>K167-TableUK12d!Q167</f>
        <v>-4.3553170497495394E-2</v>
      </c>
      <c r="G167" s="570">
        <f>TableUK12b!H167</f>
        <v>0.1857402999669176</v>
      </c>
      <c r="H167" s="308">
        <f t="shared" si="26"/>
        <v>0.21639278510177976</v>
      </c>
      <c r="I167" s="308">
        <f>(DataUK1!FK155)/DataUK1!$G155+0.5*V167</f>
        <v>8.0328833536804936E-2</v>
      </c>
      <c r="J167" s="308">
        <f>(DataUK1!FT155)/DataUK1!G155+0.5*V167</f>
        <v>0.13606395156497478</v>
      </c>
      <c r="K167" s="394">
        <f>(DataUK1!GK155)/DataUK1!G155</f>
        <v>-3.0652485134862153E-2</v>
      </c>
      <c r="L167" s="307">
        <f>(DataUK1!GU155)/DataUK1!G155</f>
        <v>-4.7540628449136493E-2</v>
      </c>
      <c r="M167" s="679">
        <f>(DataUK1!$GY155)/DataUK1!$G155</f>
        <v>2.6585980659950641E-2</v>
      </c>
      <c r="N167" s="680">
        <f t="shared" si="24"/>
        <v>-2.0954647789185852E-2</v>
      </c>
      <c r="S167" s="154"/>
      <c r="T167" s="364">
        <f>TableUK12b!H167</f>
        <v>0.1857402999669176</v>
      </c>
      <c r="U167" s="364">
        <f>(DataUK1!FK155+DataUK1!FT155+DataUK1!GK155)/DataUK1!$G155</f>
        <v>0.18574029996691757</v>
      </c>
      <c r="V167" s="300">
        <f t="shared" si="27"/>
        <v>0</v>
      </c>
      <c r="W167" s="300">
        <f t="shared" si="28"/>
        <v>0</v>
      </c>
      <c r="X167" s="1244">
        <f>G167-TableUK12d!L167-TableUK12c!B167</f>
        <v>0</v>
      </c>
      <c r="Y167" s="197">
        <f t="shared" si="25"/>
        <v>0</v>
      </c>
      <c r="Z167" s="197">
        <f>F167-TableUK12d!F167-L167</f>
        <v>-6.8360604383860962E-4</v>
      </c>
      <c r="AA167" s="197">
        <f>K166-L166-TableUK12d!K166</f>
        <v>-2.2400837133382256E-4</v>
      </c>
    </row>
    <row r="168" spans="1:27" ht="12" customHeight="1">
      <c r="A168" s="198">
        <v>1997</v>
      </c>
      <c r="B168" s="303">
        <f t="shared" si="29"/>
        <v>6.6191548911188489E-2</v>
      </c>
      <c r="C168" s="308">
        <f t="shared" si="30"/>
        <v>8.9679841627414852E-2</v>
      </c>
      <c r="D168" s="308">
        <f>I168-TableUK12d!N168</f>
        <v>4.7383439142603588E-2</v>
      </c>
      <c r="E168" s="308">
        <f>J168-TableUK12d!P168</f>
        <v>4.2296402484811271E-2</v>
      </c>
      <c r="F168" s="308">
        <f>K168-TableUK12d!Q168</f>
        <v>-2.3488292716226364E-2</v>
      </c>
      <c r="G168" s="570">
        <f>TableUK12b!H168</f>
        <v>0.1961348897535668</v>
      </c>
      <c r="H168" s="308">
        <f t="shared" si="26"/>
        <v>0.20733155846815482</v>
      </c>
      <c r="I168" s="308">
        <f>(DataUK1!FK156)/DataUK1!$G156+0.5*V168</f>
        <v>7.9743327189569252E-2</v>
      </c>
      <c r="J168" s="308">
        <f>(DataUK1!FT156)/DataUK1!G156+0.5*V168</f>
        <v>0.1275882312785856</v>
      </c>
      <c r="K168" s="394">
        <f>(DataUK1!GK156)/DataUK1!G156</f>
        <v>-1.1196668714588026E-2</v>
      </c>
      <c r="L168" s="307">
        <f>(DataUK1!GU156)/DataUK1!G156</f>
        <v>-2.519762441122261E-2</v>
      </c>
      <c r="M168" s="679">
        <f>(DataUK1!$GY156)/DataUK1!$G156</f>
        <v>2.8029217011400095E-2</v>
      </c>
      <c r="N168" s="680">
        <f t="shared" si="24"/>
        <v>2.8315926001774849E-3</v>
      </c>
      <c r="S168" s="154"/>
      <c r="T168" s="364">
        <f>TableUK12b!H168</f>
        <v>0.1961348897535668</v>
      </c>
      <c r="U168" s="364">
        <f>(DataUK1!FK156+DataUK1!FT156+DataUK1!GK156)/DataUK1!$G156</f>
        <v>0.19614035087719298</v>
      </c>
      <c r="V168" s="300">
        <f t="shared" si="27"/>
        <v>-5.4611236261770113E-6</v>
      </c>
      <c r="W168" s="300">
        <f t="shared" si="28"/>
        <v>0</v>
      </c>
      <c r="X168" s="1244">
        <f>G168-TableUK12d!L168-TableUK12c!B168</f>
        <v>0</v>
      </c>
      <c r="Y168" s="197">
        <f t="shared" si="25"/>
        <v>0</v>
      </c>
      <c r="Z168" s="197">
        <f>F168-TableUK12d!F168-L168</f>
        <v>-5.0788449723530513E-4</v>
      </c>
      <c r="AA168" s="197">
        <f>K167-L167-TableUK12d!K167</f>
        <v>-6.8360604383861309E-4</v>
      </c>
    </row>
    <row r="169" spans="1:27" ht="12" customHeight="1">
      <c r="A169" s="198">
        <v>1998</v>
      </c>
      <c r="B169" s="303">
        <f t="shared" si="29"/>
        <v>7.6195681395101092E-2</v>
      </c>
      <c r="C169" s="308">
        <f t="shared" si="30"/>
        <v>7.4941541083556912E-2</v>
      </c>
      <c r="D169" s="308">
        <f>I169-TableUK12d!N169</f>
        <v>2.8449583305858055E-2</v>
      </c>
      <c r="E169" s="308">
        <f>J169-TableUK12d!P169</f>
        <v>4.649195777769885E-2</v>
      </c>
      <c r="F169" s="308">
        <f>K169-TableUK12d!Q169</f>
        <v>1.2541403115441767E-3</v>
      </c>
      <c r="G169" s="570">
        <f>TableUK12b!H169</f>
        <v>0.20168199363926409</v>
      </c>
      <c r="H169" s="308">
        <f t="shared" si="26"/>
        <v>0.18901631777303229</v>
      </c>
      <c r="I169" s="308">
        <f>(DataUK1!FK157)/DataUK1!$G157+0.5*V169</f>
        <v>6.0215220114939606E-2</v>
      </c>
      <c r="J169" s="308">
        <f>(DataUK1!FT157)/DataUK1!G157+0.5*V169</f>
        <v>0.12880109765809267</v>
      </c>
      <c r="K169" s="394">
        <f>(DataUK1!GK157)/DataUK1!G157</f>
        <v>1.2665675866231796E-2</v>
      </c>
      <c r="L169" s="307">
        <f>(DataUK1!GU157)/DataUK1!G157</f>
        <v>-1.3644640801026644E-3</v>
      </c>
      <c r="M169" s="679">
        <f>(DataUK1!$GY157)/DataUK1!$G157</f>
        <v>2.5762502092347334E-2</v>
      </c>
      <c r="N169" s="680">
        <f t="shared" si="24"/>
        <v>2.4398038012244671E-2</v>
      </c>
      <c r="S169" s="154"/>
      <c r="T169" s="364">
        <f>TableUK12b!H169</f>
        <v>0.20168199363926409</v>
      </c>
      <c r="U169" s="364">
        <f>(DataUK1!FK157+DataUK1!FT157+DataUK1!GK157)/DataUK1!$G157</f>
        <v>0.201676921282089</v>
      </c>
      <c r="V169" s="300">
        <f t="shared" si="27"/>
        <v>5.0723571750899143E-6</v>
      </c>
      <c r="W169" s="300">
        <f t="shared" si="28"/>
        <v>0</v>
      </c>
      <c r="X169" s="1244">
        <f>G169-TableUK12d!L169-TableUK12c!B169</f>
        <v>0</v>
      </c>
      <c r="Y169" s="197">
        <f t="shared" si="25"/>
        <v>3.4694469519536142E-18</v>
      </c>
      <c r="Z169" s="197">
        <f>F169-TableUK12d!F169-L169</f>
        <v>-1.2262423470811134E-3</v>
      </c>
      <c r="AA169" s="197">
        <f>K168-L168-TableUK12d!K168</f>
        <v>-5.0788449723530513E-4</v>
      </c>
    </row>
    <row r="170" spans="1:27" ht="12" customHeight="1">
      <c r="A170" s="200">
        <f t="shared" ref="A170:A181" si="31">A169+1</f>
        <v>1999</v>
      </c>
      <c r="B170" s="303">
        <f t="shared" si="29"/>
        <v>5.0772066452644503E-2</v>
      </c>
      <c r="C170" s="308">
        <f t="shared" si="30"/>
        <v>3.7588955482587255E-2</v>
      </c>
      <c r="D170" s="308">
        <f>I170-TableUK12d!N170</f>
        <v>8.3151251785212738E-3</v>
      </c>
      <c r="E170" s="308">
        <f>J170-TableUK12d!P170</f>
        <v>2.9273830304065981E-2</v>
      </c>
      <c r="F170" s="308">
        <f>K170-TableUK12d!Q170</f>
        <v>1.3183110970057248E-2</v>
      </c>
      <c r="G170" s="570">
        <f>TableUK12b!H170</f>
        <v>0.17955519207060283</v>
      </c>
      <c r="H170" s="308">
        <f t="shared" si="26"/>
        <v>0.15506634278529835</v>
      </c>
      <c r="I170" s="308">
        <f>(DataUK1!FK158)/DataUK1!$G158+0.5*V170</f>
        <v>4.2459382590969548E-2</v>
      </c>
      <c r="J170" s="308">
        <f>(DataUK1!FT158)/DataUK1!G158+0.5*V170</f>
        <v>0.1126069601943288</v>
      </c>
      <c r="K170" s="394">
        <f>(DataUK1!GK158)/DataUK1!G158</f>
        <v>2.4488849285304492E-2</v>
      </c>
      <c r="L170" s="307">
        <f>(DataUK1!GU158)/DataUK1!G158</f>
        <v>1.0508648364928042E-2</v>
      </c>
      <c r="M170" s="679">
        <f>(DataUK1!$GY158)/DataUK1!$G158</f>
        <v>2.1227249978638476E-2</v>
      </c>
      <c r="N170" s="680">
        <f t="shared" si="24"/>
        <v>3.1735898343566521E-2</v>
      </c>
      <c r="S170" s="154"/>
      <c r="T170" s="364">
        <f>TableUK12b!H170</f>
        <v>0.17955519207060283</v>
      </c>
      <c r="U170" s="364">
        <f>(DataUK1!FK158+DataUK1!FT158+DataUK1!GK158)/DataUK1!$G158</f>
        <v>0.17955275075375657</v>
      </c>
      <c r="V170" s="300">
        <f t="shared" si="27"/>
        <v>2.4413168462633639E-6</v>
      </c>
      <c r="W170" s="300">
        <f t="shared" si="28"/>
        <v>0</v>
      </c>
      <c r="X170" s="1244">
        <f>G170-TableUK12d!L170-TableUK12c!B170</f>
        <v>0</v>
      </c>
      <c r="Y170" s="197">
        <f t="shared" si="25"/>
        <v>0</v>
      </c>
      <c r="Z170" s="197">
        <f>F170-TableUK12d!F170-L170</f>
        <v>-1.0839446797602636E-3</v>
      </c>
      <c r="AA170" s="197">
        <f>K169-L169-TableUK12d!K169</f>
        <v>-1.2262423470811128E-3</v>
      </c>
    </row>
    <row r="171" spans="1:27" ht="12" customHeight="1">
      <c r="A171" s="201">
        <f t="shared" si="31"/>
        <v>2000</v>
      </c>
      <c r="B171" s="566">
        <f t="shared" si="29"/>
        <v>4.2848024354841134E-2</v>
      </c>
      <c r="C171" s="551">
        <f t="shared" si="30"/>
        <v>2.4593477805052374E-2</v>
      </c>
      <c r="D171" s="551">
        <f>I171-TableUK12d!N171</f>
        <v>2.644696647618211E-3</v>
      </c>
      <c r="E171" s="551">
        <f>J171-TableUK12d!P171</f>
        <v>2.1948781157434163E-2</v>
      </c>
      <c r="F171" s="551">
        <f>K171-TableUK12d!Q171</f>
        <v>1.825454654978876E-2</v>
      </c>
      <c r="G171" s="572">
        <f>TableUK12b!H171</f>
        <v>0.17172225008890951</v>
      </c>
      <c r="H171" s="551">
        <f t="shared" si="26"/>
        <v>0.14241396047667093</v>
      </c>
      <c r="I171" s="551">
        <f>(DataUK1!FK159)/DataUK1!$G159+0.5*V171</f>
        <v>3.7995359327739661E-2</v>
      </c>
      <c r="J171" s="551">
        <f>(DataUK1!FT159)/DataUK1!G159+0.5*V171</f>
        <v>0.10441860114893128</v>
      </c>
      <c r="K171" s="554">
        <f>(DataUK1!GK159)/DataUK1!G159</f>
        <v>2.9308289612238584E-2</v>
      </c>
      <c r="L171" s="569">
        <f>(DataUK1!GU159)/DataUK1!G159</f>
        <v>1.6191381972737499E-2</v>
      </c>
      <c r="M171" s="679">
        <f>(DataUK1!$GY159)/DataUK1!$G159</f>
        <v>1.8949604801462402E-2</v>
      </c>
      <c r="N171" s="680">
        <f t="shared" si="24"/>
        <v>3.5140986774199898E-2</v>
      </c>
      <c r="S171" s="154"/>
      <c r="T171" s="364">
        <f>TableUK12b!H171</f>
        <v>0.17172225008890951</v>
      </c>
      <c r="U171" s="364">
        <f>(DataUK1!FK159+DataUK1!FT159+DataUK1!GK159)/DataUK1!$G159</f>
        <v>0.17172225008890954</v>
      </c>
      <c r="V171" s="300">
        <f t="shared" si="27"/>
        <v>0</v>
      </c>
      <c r="W171" s="300">
        <f t="shared" si="28"/>
        <v>0</v>
      </c>
      <c r="X171" s="1244">
        <f>G171-TableUK12d!L171-TableUK12c!B171</f>
        <v>0</v>
      </c>
      <c r="Y171" s="197">
        <f t="shared" si="25"/>
        <v>0</v>
      </c>
      <c r="Z171" s="197">
        <f>F171-TableUK12d!F171-L171</f>
        <v>-8.9894200549791095E-4</v>
      </c>
      <c r="AA171" s="197">
        <f>K170-L170-TableUK12d!K170</f>
        <v>-1.0839446797602636E-3</v>
      </c>
    </row>
    <row r="172" spans="1:27" ht="12" customHeight="1">
      <c r="A172" s="200">
        <f t="shared" si="31"/>
        <v>2001</v>
      </c>
      <c r="B172" s="303">
        <f t="shared" si="29"/>
        <v>4.7223388868114655E-2</v>
      </c>
      <c r="C172" s="308">
        <f t="shared" si="30"/>
        <v>3.5754193619842049E-2</v>
      </c>
      <c r="D172" s="308">
        <f>I172-TableUK12d!N172</f>
        <v>1.3639887665707874E-2</v>
      </c>
      <c r="E172" s="308">
        <f>J172-TableUK12d!P172</f>
        <v>2.2114305954134175E-2</v>
      </c>
      <c r="F172" s="308">
        <f>K172-TableUK12d!Q172</f>
        <v>1.1469195248272604E-2</v>
      </c>
      <c r="G172" s="570">
        <f>TableUK12b!H172</f>
        <v>0.17420258991732834</v>
      </c>
      <c r="H172" s="308">
        <f t="shared" si="26"/>
        <v>0.15199123608295015</v>
      </c>
      <c r="I172" s="308">
        <f>(DataUK1!FK160)/DataUK1!$G160+0.5*V172</f>
        <v>4.9725250323218777E-2</v>
      </c>
      <c r="J172" s="308">
        <f>(DataUK1!FT160)/DataUK1!G160+0.5*V172</f>
        <v>0.10226598575973136</v>
      </c>
      <c r="K172" s="394">
        <f>(DataUK1!GK160)/DataUK1!G160</f>
        <v>2.2211353834378198E-2</v>
      </c>
      <c r="L172" s="307">
        <f>(DataUK1!GU160)/DataUK1!G160</f>
        <v>8.3713391839863316E-3</v>
      </c>
      <c r="M172" s="679">
        <f>(DataUK1!$GY160)/DataUK1!$G160</f>
        <v>1.524145183628845E-2</v>
      </c>
      <c r="N172" s="680">
        <f t="shared" si="24"/>
        <v>2.3612791020274783E-2</v>
      </c>
      <c r="S172" s="154"/>
      <c r="T172" s="364">
        <f>TableUK12b!H172</f>
        <v>0.17420258991732834</v>
      </c>
      <c r="U172" s="364">
        <f>(DataUK1!FK160+DataUK1!FT160+DataUK1!GK160)/DataUK1!$G160</f>
        <v>0.17420368650354581</v>
      </c>
      <c r="V172" s="300">
        <f t="shared" si="27"/>
        <v>-1.0965862174694418E-6</v>
      </c>
      <c r="W172" s="300">
        <f t="shared" si="28"/>
        <v>0</v>
      </c>
      <c r="X172" s="1244">
        <f>G172-TableUK12d!L172-TableUK12c!B172</f>
        <v>0</v>
      </c>
      <c r="Y172" s="197">
        <f t="shared" si="25"/>
        <v>0</v>
      </c>
      <c r="Z172" s="197">
        <f>F172-TableUK12d!F172-L172</f>
        <v>-1.0044729751809631E-3</v>
      </c>
      <c r="AA172" s="197">
        <f>K171-L171-TableUK12d!K171</f>
        <v>-8.9894200549791269E-4</v>
      </c>
    </row>
    <row r="173" spans="1:27" ht="12" customHeight="1">
      <c r="A173" s="200">
        <f t="shared" si="31"/>
        <v>2002</v>
      </c>
      <c r="B173" s="303">
        <f t="shared" si="29"/>
        <v>4.5921566686056327E-2</v>
      </c>
      <c r="C173" s="308">
        <f t="shared" si="30"/>
        <v>6.249045986542736E-2</v>
      </c>
      <c r="D173" s="308">
        <f>I173-TableUK12d!N173</f>
        <v>1.48207279793066E-3</v>
      </c>
      <c r="E173" s="308">
        <f>J173-TableUK12d!P173</f>
        <v>6.10083870674967E-2</v>
      </c>
      <c r="F173" s="308">
        <f>K173-TableUK12d!Q173</f>
        <v>-1.6568893179371033E-2</v>
      </c>
      <c r="G173" s="570">
        <f>TableUK12b!H173</f>
        <v>0.17165950898732243</v>
      </c>
      <c r="H173" s="308">
        <f t="shared" si="26"/>
        <v>0.17761667842423789</v>
      </c>
      <c r="I173" s="308">
        <f>(DataUK1!FK161)/DataUK1!$G161+0.5*V173</f>
        <v>3.8655593922367018E-2</v>
      </c>
      <c r="J173" s="308">
        <f>(DataUK1!FT161)/DataUK1!G161+0.5*V173</f>
        <v>0.13896108450187089</v>
      </c>
      <c r="K173" s="394">
        <f>(DataUK1!GK161)/DataUK1!G161</f>
        <v>-5.9571694369154734E-3</v>
      </c>
      <c r="L173" s="307">
        <f>(DataUK1!GU161)/DataUK1!G161</f>
        <v>-2.079543063651778E-2</v>
      </c>
      <c r="M173" s="679">
        <f>(DataUK1!$GY161)/DataUK1!$G161</f>
        <v>1.3942004232725652E-2</v>
      </c>
      <c r="N173" s="680">
        <f t="shared" si="24"/>
        <v>-6.8534264037921275E-3</v>
      </c>
      <c r="S173" s="154"/>
      <c r="T173" s="364">
        <f>TableUK12b!H173</f>
        <v>0.17165950898732243</v>
      </c>
      <c r="U173" s="364">
        <f>(DataUK1!FK161+DataUK1!FT161+DataUK1!GK161)/DataUK1!$G161</f>
        <v>0.17165538352372348</v>
      </c>
      <c r="V173" s="300">
        <f t="shared" si="27"/>
        <v>4.1254635989584898E-6</v>
      </c>
      <c r="W173" s="300">
        <f t="shared" si="28"/>
        <v>0</v>
      </c>
      <c r="X173" s="1244">
        <f>G173-TableUK12d!L173-TableUK12c!B173</f>
        <v>0</v>
      </c>
      <c r="Y173" s="197">
        <f t="shared" si="25"/>
        <v>0</v>
      </c>
      <c r="Z173" s="197">
        <f>F173-TableUK12d!F173-L173</f>
        <v>-1.1210947330206229E-3</v>
      </c>
      <c r="AA173" s="197">
        <f>K172-L172-TableUK12d!K172</f>
        <v>-1.0044729751809631E-3</v>
      </c>
    </row>
    <row r="174" spans="1:27" ht="12" customHeight="1">
      <c r="A174" s="200">
        <f t="shared" si="31"/>
        <v>2003</v>
      </c>
      <c r="B174" s="303">
        <f t="shared" si="29"/>
        <v>4.7124685196030719E-2</v>
      </c>
      <c r="C174" s="308">
        <f t="shared" si="30"/>
        <v>7.8388009428822E-2</v>
      </c>
      <c r="D174" s="308">
        <f>I174-TableUK12d!N174</f>
        <v>5.2529649604849959E-3</v>
      </c>
      <c r="E174" s="308">
        <f>J174-TableUK12d!P174</f>
        <v>7.3135044468337004E-2</v>
      </c>
      <c r="F174" s="308">
        <f>K174-TableUK12d!Q174</f>
        <v>-3.1263324232791281E-2</v>
      </c>
      <c r="G174" s="570">
        <f>TableUK12b!H174</f>
        <v>0.16911468334095758</v>
      </c>
      <c r="H174" s="308">
        <f t="shared" si="26"/>
        <v>0.18988179007759257</v>
      </c>
      <c r="I174" s="308">
        <f>(DataUK1!FK162)/DataUK1!$G162+0.5*V174</f>
        <v>4.1093755007969038E-2</v>
      </c>
      <c r="J174" s="308">
        <f>(DataUK1!FT162)/DataUK1!G162+0.5*V174</f>
        <v>0.14878803506962351</v>
      </c>
      <c r="K174" s="394">
        <f>(DataUK1!GK162)/DataUK1!G162</f>
        <v>-2.0767106736634976E-2</v>
      </c>
      <c r="L174" s="307">
        <f>(DataUK1!GU162)/DataUK1!G162</f>
        <v>-3.9786948249286865E-2</v>
      </c>
      <c r="M174" s="679">
        <f>(DataUK1!$GY162)/DataUK1!$G162</f>
        <v>1.473471968485124E-2</v>
      </c>
      <c r="N174" s="680">
        <f t="shared" si="24"/>
        <v>-2.5052228564435626E-2</v>
      </c>
      <c r="S174" s="154"/>
      <c r="T174" s="364">
        <f>TableUK12b!H174</f>
        <v>0.16911468334095758</v>
      </c>
      <c r="U174" s="364">
        <f>(DataUK1!FK162+DataUK1!FT162+DataUK1!GK162)/DataUK1!$G162</f>
        <v>0.16911371209847623</v>
      </c>
      <c r="V174" s="300">
        <f t="shared" si="27"/>
        <v>9.7124248135682656E-7</v>
      </c>
      <c r="W174" s="300">
        <f t="shared" si="28"/>
        <v>0</v>
      </c>
      <c r="X174" s="1244">
        <f>G174-TableUK12d!L174-TableUK12c!B174</f>
        <v>0</v>
      </c>
      <c r="Y174" s="197">
        <f t="shared" si="25"/>
        <v>0</v>
      </c>
      <c r="Z174" s="197">
        <f>F174-TableUK12d!F174-L174</f>
        <v>-9.2947905467026526E-4</v>
      </c>
      <c r="AA174" s="197">
        <f>K173-L173-TableUK12d!K173</f>
        <v>-1.1210947330206229E-3</v>
      </c>
    </row>
    <row r="175" spans="1:27" ht="12" customHeight="1">
      <c r="A175" s="200">
        <f t="shared" si="31"/>
        <v>2004</v>
      </c>
      <c r="B175" s="303">
        <f t="shared" si="29"/>
        <v>4.3987875077901174E-2</v>
      </c>
      <c r="C175" s="308">
        <f t="shared" si="30"/>
        <v>7.2485867164250678E-2</v>
      </c>
      <c r="D175" s="308">
        <f>I175-TableUK12d!N175</f>
        <v>-9.1992499363884039E-3</v>
      </c>
      <c r="E175" s="308">
        <f>J175-TableUK12d!P175</f>
        <v>8.1685117100639082E-2</v>
      </c>
      <c r="F175" s="308">
        <f>K175-TableUK12d!Q175</f>
        <v>-2.8497992086349504E-2</v>
      </c>
      <c r="G175" s="570">
        <f>TableUK12b!H175</f>
        <v>0.16850433480715549</v>
      </c>
      <c r="H175" s="308">
        <f t="shared" si="26"/>
        <v>0.18657371384741334</v>
      </c>
      <c r="I175" s="308">
        <f>(DataUK1!FK163)/DataUK1!$G163+0.5*V175</f>
        <v>2.9987332996529947E-2</v>
      </c>
      <c r="J175" s="308">
        <f>(DataUK1!FT163)/DataUK1!G163+0.5*V175</f>
        <v>0.15658638085088339</v>
      </c>
      <c r="K175" s="394">
        <f>(DataUK1!GK163)/DataUK1!G163</f>
        <v>-1.8069379040257839E-2</v>
      </c>
      <c r="L175" s="307">
        <f>(DataUK1!GU163)/DataUK1!G163</f>
        <v>-3.8449979164899679E-2</v>
      </c>
      <c r="M175" s="679">
        <f>(DataUK1!$GY163)/DataUK1!$G163</f>
        <v>1.4879580495395997E-2</v>
      </c>
      <c r="N175" s="680">
        <f t="shared" si="24"/>
        <v>-2.3570398669503681E-2</v>
      </c>
      <c r="S175" s="154"/>
      <c r="T175" s="364">
        <f>TableUK12b!H175</f>
        <v>0.16850433480715549</v>
      </c>
      <c r="U175" s="364">
        <f>(DataUK1!FK163+DataUK1!FT163+DataUK1!GK163)/DataUK1!$G163</f>
        <v>0.16849972527168602</v>
      </c>
      <c r="V175" s="300">
        <f t="shared" si="27"/>
        <v>4.6095354694630775E-6</v>
      </c>
      <c r="W175" s="300">
        <f t="shared" si="28"/>
        <v>0</v>
      </c>
      <c r="X175" s="1244">
        <f>G175-TableUK12d!L175-TableUK12c!B175</f>
        <v>0</v>
      </c>
      <c r="Y175" s="197">
        <f t="shared" si="25"/>
        <v>0</v>
      </c>
      <c r="Z175" s="197">
        <f>F175-TableUK12d!F175-L175</f>
        <v>-9.9934728977751908E-4</v>
      </c>
      <c r="AA175" s="197">
        <f>K174-L174-TableUK12d!K174</f>
        <v>-9.2947905467026873E-4</v>
      </c>
    </row>
    <row r="176" spans="1:27" ht="12" customHeight="1">
      <c r="A176" s="200">
        <f t="shared" si="31"/>
        <v>2005</v>
      </c>
      <c r="B176" s="303">
        <f t="shared" si="29"/>
        <v>3.9200184326609856E-2</v>
      </c>
      <c r="C176" s="308">
        <f t="shared" si="30"/>
        <v>7.994726992591758E-2</v>
      </c>
      <c r="D176" s="308">
        <f>I176-TableUK12d!N176</f>
        <v>-5.8573825621398706E-3</v>
      </c>
      <c r="E176" s="308">
        <f>J176-TableUK12d!P176</f>
        <v>8.5804652488057451E-2</v>
      </c>
      <c r="F176" s="308">
        <f>K176-TableUK12d!Q176</f>
        <v>-4.0747085599307724E-2</v>
      </c>
      <c r="G176" s="570">
        <f>TableUK12b!H176</f>
        <v>0.16079682564250489</v>
      </c>
      <c r="H176" s="308">
        <f t="shared" si="26"/>
        <v>0.19105505878048953</v>
      </c>
      <c r="I176" s="308">
        <f>(DataUK1!FK164)/DataUK1!$G164+0.5*V176</f>
        <v>3.2181086823461547E-2</v>
      </c>
      <c r="J176" s="308">
        <f>(DataUK1!FT164)/DataUK1!G164+0.5*V176</f>
        <v>0.15887397195702796</v>
      </c>
      <c r="K176" s="394">
        <f>(DataUK1!GK164)/DataUK1!G164</f>
        <v>-3.025823313798465E-2</v>
      </c>
      <c r="L176" s="307">
        <f>(DataUK1!GU164)/DataUK1!G164</f>
        <v>-3.5476716453612306E-2</v>
      </c>
      <c r="M176" s="679">
        <f>(DataUK1!$GY164)/DataUK1!$G164</f>
        <v>1.6488261490512808E-2</v>
      </c>
      <c r="N176" s="680">
        <f t="shared" si="24"/>
        <v>-1.8988454963099498E-2</v>
      </c>
      <c r="S176" s="154"/>
      <c r="T176" s="364">
        <f>TableUK12b!H176</f>
        <v>0.16079682564250489</v>
      </c>
      <c r="U176" s="364">
        <f>(DataUK1!FK164+DataUK1!FT164+DataUK1!GK164)/DataUK1!$G164</f>
        <v>0.16079594622165627</v>
      </c>
      <c r="V176" s="300">
        <f t="shared" si="27"/>
        <v>8.7942084861514225E-7</v>
      </c>
      <c r="W176" s="300">
        <f t="shared" si="28"/>
        <v>0</v>
      </c>
      <c r="X176" s="1244">
        <f>G176-TableUK12d!L176-TableUK12c!B176</f>
        <v>0</v>
      </c>
      <c r="Y176" s="197">
        <f t="shared" si="25"/>
        <v>0</v>
      </c>
      <c r="Z176" s="197">
        <f>F176-TableUK12d!F176-L176</f>
        <v>-1.0254047094745353E-3</v>
      </c>
      <c r="AA176" s="197">
        <f>K175-L175-TableUK12d!K175</f>
        <v>-9.9934728977752255E-4</v>
      </c>
    </row>
    <row r="177" spans="1:27" ht="12" customHeight="1">
      <c r="A177" s="200">
        <f t="shared" si="31"/>
        <v>2006</v>
      </c>
      <c r="B177" s="303">
        <f t="shared" si="29"/>
        <v>3.6301136086596117E-2</v>
      </c>
      <c r="C177" s="308">
        <f t="shared" si="30"/>
        <v>5.7301168032201158E-2</v>
      </c>
      <c r="D177" s="308">
        <f>I177-TableUK12d!N177</f>
        <v>-1.4707588426275425E-2</v>
      </c>
      <c r="E177" s="308">
        <f>J177-TableUK12d!P177</f>
        <v>7.2008756458476583E-2</v>
      </c>
      <c r="F177" s="308">
        <f>K177-TableUK12d!Q177</f>
        <v>-2.1000031945605041E-2</v>
      </c>
      <c r="G177" s="570">
        <f>TableUK12b!H177</f>
        <v>0.16015004346283634</v>
      </c>
      <c r="H177" s="308">
        <f t="shared" si="26"/>
        <v>0.17052900240600849</v>
      </c>
      <c r="I177" s="308">
        <f>(DataUK1!FK165)/DataUK1!$G165+0.5*V177</f>
        <v>2.6134026945277181E-2</v>
      </c>
      <c r="J177" s="308">
        <f>(DataUK1!FT165)/DataUK1!G165+0.5*V177</f>
        <v>0.14439497546073127</v>
      </c>
      <c r="K177" s="394">
        <f>(DataUK1!GK165)/DataUK1!G165</f>
        <v>-1.0378958943172131E-2</v>
      </c>
      <c r="L177" s="307">
        <f>(DataUK1!GU165)/DataUK1!G165</f>
        <v>-2.9440397067057186E-2</v>
      </c>
      <c r="M177" s="679">
        <f>(DataUK1!$GY165)/DataUK1!$G165</f>
        <v>1.6556230149589499E-2</v>
      </c>
      <c r="N177" s="680">
        <f t="shared" si="24"/>
        <v>-1.2884166917467688E-2</v>
      </c>
      <c r="S177" s="154"/>
      <c r="T177" s="364">
        <f>TableUK12b!H177</f>
        <v>0.16015004346283634</v>
      </c>
      <c r="U177" s="364">
        <f>(DataUK1!FK165+DataUK1!FT165+DataUK1!GK165)/DataUK1!$G165</f>
        <v>0.16014836211520259</v>
      </c>
      <c r="V177" s="300">
        <f t="shared" si="27"/>
        <v>1.6813476337584898E-6</v>
      </c>
      <c r="W177" s="300">
        <f t="shared" si="28"/>
        <v>0</v>
      </c>
      <c r="X177" s="1244">
        <f>G177-TableUK12d!L177-TableUK12c!B177</f>
        <v>0</v>
      </c>
      <c r="Y177" s="197">
        <f t="shared" si="25"/>
        <v>0</v>
      </c>
      <c r="Z177" s="197">
        <f>F177-TableUK12d!F177-L177</f>
        <v>-8.7177874810218103E-4</v>
      </c>
      <c r="AA177" s="197">
        <f>K176-L176-TableUK12d!K176</f>
        <v>-1.0254047094745335E-3</v>
      </c>
    </row>
    <row r="178" spans="1:27" ht="12" customHeight="1">
      <c r="A178" s="200">
        <f t="shared" si="31"/>
        <v>2007</v>
      </c>
      <c r="B178" s="303">
        <f t="shared" si="29"/>
        <v>5.5211591594237538E-2</v>
      </c>
      <c r="C178" s="308">
        <f t="shared" si="30"/>
        <v>7.7149586823671554E-2</v>
      </c>
      <c r="D178" s="308">
        <f>I178-TableUK12d!N178</f>
        <v>-1.7115113505484909E-2</v>
      </c>
      <c r="E178" s="308">
        <f>J178-TableUK12d!P178</f>
        <v>9.4264700329156459E-2</v>
      </c>
      <c r="F178" s="308">
        <f>K178-TableUK12d!Q178</f>
        <v>-2.1937995229434015E-2</v>
      </c>
      <c r="G178" s="570">
        <f>TableUK12b!H178</f>
        <v>0.17659590536908948</v>
      </c>
      <c r="H178" s="308">
        <f t="shared" si="26"/>
        <v>0.18812503540162751</v>
      </c>
      <c r="I178" s="308">
        <f>(DataUK1!FK166)/DataUK1!$G166+0.5*V178</f>
        <v>2.3716336985732344E-2</v>
      </c>
      <c r="J178" s="308">
        <f>(DataUK1!FT166)/DataUK1!G166+0.5*V178</f>
        <v>0.16440869841589517</v>
      </c>
      <c r="K178" s="394">
        <f>(DataUK1!GK166)/DataUK1!G166</f>
        <v>-1.152913003253803E-2</v>
      </c>
      <c r="L178" s="307">
        <f>(DataUK1!GU166)/DataUK1!G166</f>
        <v>-3.0155106330755046E-2</v>
      </c>
      <c r="M178" s="679">
        <f>(DataUK1!$GY166)/DataUK1!$G166</f>
        <v>1.7210697899818113E-2</v>
      </c>
      <c r="N178" s="680">
        <f t="shared" si="24"/>
        <v>-1.2944408430936933E-2</v>
      </c>
      <c r="S178" s="154"/>
      <c r="T178" s="364">
        <f>TableUK12b!H178</f>
        <v>0.17659590536908948</v>
      </c>
      <c r="U178" s="364">
        <f>(DataUK1!FK166+DataUK1!FT166+DataUK1!GK166)/DataUK1!$G166</f>
        <v>0.17659511866625549</v>
      </c>
      <c r="V178" s="300">
        <f t="shared" si="27"/>
        <v>7.8670283398807328E-7</v>
      </c>
      <c r="W178" s="300">
        <f t="shared" si="28"/>
        <v>0</v>
      </c>
      <c r="X178" s="1244">
        <f>G178-TableUK12d!L178-TableUK12c!B178</f>
        <v>0</v>
      </c>
      <c r="Y178" s="197">
        <f t="shared" si="25"/>
        <v>0</v>
      </c>
      <c r="Z178" s="197">
        <f>F178-TableUK12d!F178-L178</f>
        <v>-2.0658816421320232E-3</v>
      </c>
      <c r="AA178" s="197">
        <f>K177-L177-TableUK12d!K177</f>
        <v>-8.7177874810218103E-4</v>
      </c>
    </row>
    <row r="179" spans="1:27" ht="12" customHeight="1">
      <c r="A179" s="200">
        <f t="shared" si="31"/>
        <v>2008</v>
      </c>
      <c r="B179" s="303">
        <f t="shared" si="29"/>
        <v>5.7696479419450185E-2</v>
      </c>
      <c r="C179" s="308">
        <f t="shared" si="30"/>
        <v>9.7696814328632711E-2</v>
      </c>
      <c r="D179" s="308">
        <f>I179-TableUK12d!N179</f>
        <v>-7.1674370846460007E-3</v>
      </c>
      <c r="E179" s="308">
        <f>J179-TableUK12d!P179</f>
        <v>0.10486425141327871</v>
      </c>
      <c r="F179" s="308">
        <f>K179-TableUK12d!Q179</f>
        <v>-4.0000334909182526E-2</v>
      </c>
      <c r="G179" s="570">
        <f>TableUK12b!H179</f>
        <v>0.17290599936519491</v>
      </c>
      <c r="H179" s="308">
        <f t="shared" si="26"/>
        <v>0.20227829582984791</v>
      </c>
      <c r="I179" s="308">
        <f>(DataUK1!FK167)/DataUK1!$G167+0.5*V179</f>
        <v>2.7012328463703088E-2</v>
      </c>
      <c r="J179" s="308">
        <f>(DataUK1!FT167)/DataUK1!G167+0.5*V179</f>
        <v>0.1752659673661448</v>
      </c>
      <c r="K179" s="394">
        <f>(DataUK1!GK167)/DataUK1!G167</f>
        <v>-2.9372296464652999E-2</v>
      </c>
      <c r="L179" s="307">
        <f>(DataUK1!GU167)/DataUK1!G167</f>
        <v>-5.3628855166240545E-2</v>
      </c>
      <c r="M179" s="679">
        <f>(DataUK1!$GY167)/DataUK1!$G167</f>
        <v>1.6625196283421462E-2</v>
      </c>
      <c r="N179" s="680">
        <f t="shared" si="24"/>
        <v>-3.7003658882819083E-2</v>
      </c>
      <c r="S179" s="154"/>
      <c r="T179" s="364">
        <f>TableUK12b!H179</f>
        <v>0.17290599936519491</v>
      </c>
      <c r="U179" s="364">
        <f>(DataUK1!FK167+DataUK1!FT167+DataUK1!GK167)/DataUK1!$G167</f>
        <v>0.17290828283689391</v>
      </c>
      <c r="V179" s="300">
        <f t="shared" si="27"/>
        <v>-2.2834716990050019E-6</v>
      </c>
      <c r="W179" s="300">
        <f t="shared" si="28"/>
        <v>0</v>
      </c>
      <c r="X179" s="1244">
        <f>G179-TableUK12d!L179-TableUK12c!B179</f>
        <v>0</v>
      </c>
      <c r="Y179" s="197">
        <f t="shared" si="25"/>
        <v>0</v>
      </c>
      <c r="Z179" s="197">
        <f>F179-TableUK12d!F179-L179</f>
        <v>-7.3223325815637008E-4</v>
      </c>
      <c r="AA179" s="197">
        <f>K178-L178-TableUK12d!K178</f>
        <v>-2.0658816421320267E-3</v>
      </c>
    </row>
    <row r="180" spans="1:27" ht="12" customHeight="1">
      <c r="A180" s="200">
        <f t="shared" si="31"/>
        <v>2009</v>
      </c>
      <c r="B180" s="303">
        <f t="shared" si="29"/>
        <v>1.720027112156608E-2</v>
      </c>
      <c r="C180" s="308">
        <f t="shared" si="30"/>
        <v>0.12125353853514609</v>
      </c>
      <c r="D180" s="308">
        <f>I180-TableUK12d!N180</f>
        <v>2.9393166141700879E-2</v>
      </c>
      <c r="E180" s="308">
        <f>J180-TableUK12d!P180</f>
        <v>9.1860372393445217E-2</v>
      </c>
      <c r="F180" s="308">
        <f>K180-TableUK12d!Q180</f>
        <v>-0.10405326741358001</v>
      </c>
      <c r="G180" s="570">
        <f>TableUK12b!H180</f>
        <v>0.14431880706510902</v>
      </c>
      <c r="H180" s="308">
        <f t="shared" si="26"/>
        <v>0.23666998923487897</v>
      </c>
      <c r="I180" s="308">
        <f>(DataUK1!FK168)/DataUK1!$G168+0.5*V180</f>
        <v>6.6812726765280481E-2</v>
      </c>
      <c r="J180" s="308">
        <f>(DataUK1!FT168)/DataUK1!G168+0.5*V180</f>
        <v>0.16985726246959848</v>
      </c>
      <c r="K180" s="394">
        <f>(DataUK1!GK168)/DataUK1!G168</f>
        <v>-9.2351182169769952E-2</v>
      </c>
      <c r="L180" s="307">
        <f>(DataUK1!GU168)/DataUK1!G168</f>
        <v>-0.12118097364538893</v>
      </c>
      <c r="M180" s="679">
        <f>(DataUK1!$GY168)/DataUK1!$G168</f>
        <v>1.5258562258283162E-2</v>
      </c>
      <c r="N180" s="680">
        <f t="shared" si="24"/>
        <v>-0.10592241138710577</v>
      </c>
      <c r="S180" s="154"/>
      <c r="T180" s="364">
        <f>TableUK12b!H180</f>
        <v>0.14431880706510902</v>
      </c>
      <c r="U180" s="364">
        <f>(DataUK1!FK168+DataUK1!FT168+DataUK1!GK168)/DataUK1!$G168</f>
        <v>0.14432119931422191</v>
      </c>
      <c r="V180" s="300">
        <f t="shared" si="27"/>
        <v>-2.392249112886935E-6</v>
      </c>
      <c r="W180" s="300">
        <f t="shared" si="28"/>
        <v>0</v>
      </c>
      <c r="X180" s="1244">
        <f>G180-TableUK12d!L180-TableUK12c!B180</f>
        <v>2.7755575615628914E-17</v>
      </c>
      <c r="Y180" s="197">
        <f t="shared" si="25"/>
        <v>0</v>
      </c>
      <c r="Z180" s="197">
        <f>F180-TableUK12d!F180-L180</f>
        <v>-8.1256728200632122E-4</v>
      </c>
      <c r="AA180" s="197">
        <f>K179-L179-TableUK12d!K179</f>
        <v>-7.3223325815637008E-4</v>
      </c>
    </row>
    <row r="181" spans="1:27" ht="12" customHeight="1" thickBot="1">
      <c r="A181" s="221">
        <f t="shared" si="31"/>
        <v>2010</v>
      </c>
      <c r="B181" s="567">
        <f>C181+F181</f>
        <v>2.0865790681879381E-2</v>
      </c>
      <c r="C181" s="552">
        <f>D181+E181</f>
        <v>0.11955029576818146</v>
      </c>
      <c r="D181" s="552">
        <f>I181-TableUK12d!N181</f>
        <v>3.1840137203046077E-2</v>
      </c>
      <c r="E181" s="552">
        <f>J181-TableUK12d!P181</f>
        <v>8.7710158565135393E-2</v>
      </c>
      <c r="F181" s="552">
        <f>K181-TableUK12d!Q181</f>
        <v>-9.8684505086302082E-2</v>
      </c>
      <c r="G181" s="1245">
        <f>TableUK12b!H181</f>
        <v>0.14532443435995307</v>
      </c>
      <c r="H181" s="552">
        <f t="shared" si="26"/>
        <v>0.23224651016311831</v>
      </c>
      <c r="I181" s="552">
        <f>(DataUK1!FK169)/DataUK1!$G169+0.5*V181</f>
        <v>6.7291340196015181E-2</v>
      </c>
      <c r="J181" s="552">
        <f>(DataUK1!FT169)/DataUK1!G169+0.5*V181</f>
        <v>0.16495516996710313</v>
      </c>
      <c r="K181" s="555">
        <f>(DataUK1!GK169)/DataUK1!G169</f>
        <v>-8.692207580316523E-2</v>
      </c>
      <c r="L181" s="573">
        <f>(DataUK1!$GU169)/DataUK1!$G169</f>
        <v>-0.11394454963176008</v>
      </c>
      <c r="M181" s="675">
        <f>(DataUK1!$GY169)/DataUK1!$G169</f>
        <v>2.8103099589832706E-2</v>
      </c>
      <c r="N181" s="676">
        <f>L181+M181</f>
        <v>-8.5841450041927378E-2</v>
      </c>
      <c r="S181" s="154"/>
      <c r="T181" s="364">
        <f>TableUK12b!H181</f>
        <v>0.14532443435995307</v>
      </c>
      <c r="U181" s="364">
        <f>(DataUK1!FK169+DataUK1!FT169+DataUK1!GK169)/DataUK1!$G169</f>
        <v>0.14118481811869429</v>
      </c>
      <c r="V181" s="300">
        <f>T181-U181</f>
        <v>4.1396162412587756E-3</v>
      </c>
      <c r="W181" s="300">
        <f>H181-I181-J181</f>
        <v>0</v>
      </c>
      <c r="X181" s="1244">
        <f>G181-TableUK12d!L181-TableUK12c!B181</f>
        <v>0</v>
      </c>
      <c r="Y181" s="197">
        <f t="shared" si="25"/>
        <v>0</v>
      </c>
      <c r="Z181" s="197">
        <f>F181-TableUK12d!F181-L181</f>
        <v>-6.6704357031466266E-4</v>
      </c>
      <c r="AA181" s="197">
        <f>K180-L180-TableUK12d!K180</f>
        <v>-8.1256728200631081E-4</v>
      </c>
    </row>
    <row r="182" spans="1:27" ht="12" customHeight="1" thickTop="1" thickBot="1">
      <c r="A182" s="358"/>
      <c r="B182" s="307"/>
      <c r="C182" s="308"/>
      <c r="D182" s="308"/>
      <c r="E182" s="308"/>
      <c r="F182" s="308"/>
      <c r="G182" s="307"/>
      <c r="H182" s="308"/>
      <c r="I182" s="308"/>
      <c r="J182" s="308"/>
      <c r="K182" s="308"/>
      <c r="L182" s="307"/>
      <c r="M182" s="679"/>
      <c r="N182" s="679"/>
      <c r="S182" s="154"/>
      <c r="T182" s="364"/>
      <c r="U182" s="364"/>
      <c r="V182" s="300"/>
      <c r="W182" s="300"/>
      <c r="X182" s="1244"/>
      <c r="Y182" s="197"/>
      <c r="Z182" s="197"/>
      <c r="AA182" s="197"/>
    </row>
    <row r="183" spans="1:27" ht="12" customHeight="1">
      <c r="A183" s="2400" t="s">
        <v>1461</v>
      </c>
      <c r="B183" s="2401"/>
      <c r="C183" s="2401"/>
      <c r="D183" s="2401"/>
      <c r="E183" s="2401"/>
      <c r="F183" s="2401"/>
      <c r="G183" s="2401"/>
      <c r="H183" s="2401"/>
      <c r="I183" s="2401"/>
      <c r="J183" s="2401"/>
      <c r="K183" s="2401"/>
      <c r="L183" s="2401"/>
      <c r="M183" s="2401"/>
      <c r="N183" s="2402"/>
      <c r="O183" s="307"/>
      <c r="P183" s="307"/>
      <c r="Q183" s="307"/>
      <c r="R183" s="154"/>
      <c r="S183" s="154"/>
      <c r="T183" s="154"/>
    </row>
    <row r="184" spans="1:27" ht="12" customHeight="1">
      <c r="A184" s="2571"/>
      <c r="B184" s="2572"/>
      <c r="C184" s="2572"/>
      <c r="D184" s="2572"/>
      <c r="E184" s="2572"/>
      <c r="F184" s="2572"/>
      <c r="G184" s="2572"/>
      <c r="H184" s="2572"/>
      <c r="I184" s="2572"/>
      <c r="J184" s="2572"/>
      <c r="K184" s="2572"/>
      <c r="L184" s="2572"/>
      <c r="M184" s="2572"/>
      <c r="N184" s="2573"/>
      <c r="O184" s="307"/>
      <c r="P184" s="307"/>
      <c r="Q184" s="307"/>
      <c r="R184" s="154"/>
      <c r="S184" s="154"/>
      <c r="T184" s="154"/>
    </row>
    <row r="185" spans="1:27" ht="12" customHeight="1">
      <c r="A185" s="2571"/>
      <c r="B185" s="2572"/>
      <c r="C185" s="2572"/>
      <c r="D185" s="2572"/>
      <c r="E185" s="2572"/>
      <c r="F185" s="2572"/>
      <c r="G185" s="2572"/>
      <c r="H185" s="2572"/>
      <c r="I185" s="2572"/>
      <c r="J185" s="2572"/>
      <c r="K185" s="2572"/>
      <c r="L185" s="2572"/>
      <c r="M185" s="2572"/>
      <c r="N185" s="2573"/>
      <c r="O185" s="307"/>
      <c r="P185" s="307"/>
      <c r="Q185" s="307"/>
      <c r="R185" s="154"/>
      <c r="S185" s="154"/>
      <c r="T185" s="154"/>
    </row>
    <row r="186" spans="1:27" ht="12" customHeight="1">
      <c r="A186" s="2571"/>
      <c r="B186" s="2572"/>
      <c r="C186" s="2572"/>
      <c r="D186" s="2572"/>
      <c r="E186" s="2572"/>
      <c r="F186" s="2572"/>
      <c r="G186" s="2572"/>
      <c r="H186" s="2572"/>
      <c r="I186" s="2572"/>
      <c r="J186" s="2572"/>
      <c r="K186" s="2572"/>
      <c r="L186" s="2572"/>
      <c r="M186" s="2572"/>
      <c r="N186" s="2573"/>
      <c r="O186" s="307"/>
      <c r="P186" s="307"/>
      <c r="Q186" s="307"/>
      <c r="R186" s="154"/>
      <c r="S186" s="154"/>
      <c r="T186" s="154"/>
    </row>
    <row r="187" spans="1:27" ht="12" customHeight="1">
      <c r="A187" s="1905"/>
      <c r="B187" s="2567" t="s">
        <v>821</v>
      </c>
      <c r="C187" s="2567"/>
      <c r="D187" s="2567"/>
      <c r="E187" s="309"/>
      <c r="F187" s="309"/>
      <c r="G187" s="309"/>
      <c r="H187" s="309"/>
      <c r="I187" s="309"/>
      <c r="J187" s="309"/>
      <c r="K187" s="309"/>
      <c r="L187" s="309"/>
      <c r="M187" s="309"/>
      <c r="N187" s="1906"/>
      <c r="O187" s="307"/>
      <c r="P187" s="307"/>
      <c r="Q187" s="307"/>
      <c r="R187" s="154"/>
      <c r="S187" s="154"/>
      <c r="T187" s="154"/>
    </row>
    <row r="188" spans="1:27" ht="12" customHeight="1">
      <c r="A188" s="1695"/>
      <c r="B188" s="519" t="s">
        <v>627</v>
      </c>
      <c r="C188" s="310" t="s">
        <v>448</v>
      </c>
      <c r="D188" s="310"/>
      <c r="E188" s="170"/>
      <c r="F188" s="170"/>
      <c r="G188" s="170"/>
      <c r="H188" s="170"/>
      <c r="I188" s="170"/>
      <c r="J188" s="170"/>
      <c r="K188" s="170"/>
      <c r="L188" s="170"/>
      <c r="M188" s="170"/>
      <c r="N188" s="1907"/>
      <c r="O188" s="154"/>
      <c r="P188" s="154"/>
      <c r="Q188" s="154"/>
      <c r="R188" s="154"/>
      <c r="S188" s="154"/>
      <c r="T188" s="154"/>
    </row>
    <row r="189" spans="1:27" ht="12" customHeight="1">
      <c r="A189" s="1695" t="s">
        <v>618</v>
      </c>
      <c r="B189" s="1187">
        <f>AVERAGE(B$27:B$44)</f>
        <v>0.10427914981683944</v>
      </c>
      <c r="C189" s="1212">
        <v>0.113</v>
      </c>
      <c r="D189" s="1188">
        <f>B189-C189</f>
        <v>-8.7208501831605584E-3</v>
      </c>
      <c r="E189" s="307"/>
      <c r="F189" s="307"/>
      <c r="G189" s="1187"/>
      <c r="H189" s="1187"/>
      <c r="I189" s="307"/>
      <c r="J189" s="307"/>
      <c r="K189" s="307"/>
      <c r="L189" s="307"/>
      <c r="M189" s="307"/>
      <c r="N189" s="1178"/>
      <c r="O189" s="592"/>
      <c r="P189" s="592"/>
      <c r="Q189" s="592"/>
      <c r="R189" s="154"/>
      <c r="S189" s="154"/>
      <c r="T189" s="154"/>
    </row>
    <row r="190" spans="1:27" ht="12" customHeight="1">
      <c r="A190" s="1695" t="s">
        <v>619</v>
      </c>
      <c r="B190" s="1187">
        <f>AVERAGE(B$45:B$85)</f>
        <v>0.10525630004107592</v>
      </c>
      <c r="C190" s="1212">
        <v>0.113</v>
      </c>
      <c r="D190" s="1188">
        <f>B190-C190</f>
        <v>-7.7436999589240857E-3</v>
      </c>
      <c r="E190" s="307"/>
      <c r="F190" s="307"/>
      <c r="G190" s="1187"/>
      <c r="H190" s="1187"/>
      <c r="I190" s="307"/>
      <c r="J190" s="307"/>
      <c r="K190" s="307"/>
      <c r="L190" s="307"/>
      <c r="M190" s="307"/>
      <c r="N190" s="1178"/>
      <c r="O190" s="592"/>
      <c r="P190" s="592"/>
      <c r="Q190" s="592"/>
      <c r="R190" s="154"/>
      <c r="S190" s="154"/>
      <c r="T190" s="154"/>
    </row>
    <row r="191" spans="1:27" ht="12" customHeight="1" thickBot="1">
      <c r="A191" s="1908" t="s">
        <v>620</v>
      </c>
      <c r="B191" s="1912">
        <f>AVERAGE(B$95:B$108)</f>
        <v>6.381463399870152E-2</v>
      </c>
      <c r="C191" s="1910">
        <v>7.1999999999999995E-2</v>
      </c>
      <c r="D191" s="1909">
        <f>B191-C191</f>
        <v>-8.1853660012984747E-3</v>
      </c>
      <c r="E191" s="1911"/>
      <c r="F191" s="1911"/>
      <c r="G191" s="1912"/>
      <c r="H191" s="1912"/>
      <c r="I191" s="1911"/>
      <c r="J191" s="1911"/>
      <c r="K191" s="1911"/>
      <c r="L191" s="1911"/>
      <c r="M191" s="1911"/>
      <c r="N191" s="1913"/>
      <c r="O191" s="592"/>
      <c r="P191" s="592"/>
      <c r="Q191" s="592"/>
      <c r="R191" s="154"/>
      <c r="S191" s="154"/>
      <c r="T191" s="154"/>
    </row>
    <row r="192" spans="1:27">
      <c r="A192" s="87"/>
      <c r="B192" s="592"/>
      <c r="C192" s="592"/>
      <c r="D192" s="306"/>
      <c r="E192" s="306"/>
      <c r="F192" s="306"/>
      <c r="G192" s="592"/>
      <c r="H192" s="592"/>
      <c r="I192" s="306"/>
      <c r="J192" s="306"/>
      <c r="K192" s="306"/>
      <c r="L192" s="306"/>
      <c r="M192" s="306"/>
      <c r="N192" s="592"/>
      <c r="O192" s="592"/>
      <c r="P192" s="592"/>
      <c r="Q192" s="592"/>
      <c r="R192" s="154"/>
      <c r="S192" s="154"/>
      <c r="T192" s="154"/>
    </row>
    <row r="193" spans="1:20">
      <c r="A193" s="440"/>
      <c r="C193" s="302"/>
      <c r="D193" s="302"/>
      <c r="E193" s="118"/>
      <c r="F193" s="118"/>
      <c r="G193" s="118"/>
      <c r="H193" s="118"/>
      <c r="I193" s="118"/>
      <c r="J193" s="118"/>
      <c r="K193" s="118"/>
      <c r="L193" s="118"/>
      <c r="M193" s="118"/>
      <c r="N193" s="118"/>
      <c r="O193" s="118"/>
      <c r="P193" s="118"/>
      <c r="Q193" s="118"/>
      <c r="R193" s="154"/>
      <c r="S193" s="154"/>
      <c r="T193" s="154"/>
    </row>
    <row r="194" spans="1:20">
      <c r="A194" s="440"/>
      <c r="C194" s="302"/>
      <c r="D194" s="302"/>
      <c r="E194" s="118"/>
      <c r="F194" s="118"/>
      <c r="G194" s="118"/>
      <c r="H194" s="118"/>
      <c r="I194" s="118"/>
      <c r="J194" s="118"/>
      <c r="K194" s="118"/>
      <c r="L194" s="118"/>
      <c r="M194" s="118"/>
      <c r="N194" s="118"/>
      <c r="O194" s="118"/>
      <c r="P194" s="118"/>
      <c r="Q194" s="118"/>
      <c r="R194" s="154"/>
      <c r="S194" s="154"/>
      <c r="T194" s="154"/>
    </row>
    <row r="195" spans="1:20">
      <c r="A195" s="440"/>
      <c r="C195" s="118"/>
      <c r="D195" s="118"/>
      <c r="E195" s="118"/>
      <c r="F195" s="118"/>
      <c r="G195" s="118"/>
      <c r="H195" s="118"/>
      <c r="I195" s="118"/>
      <c r="J195" s="118"/>
      <c r="K195" s="118"/>
      <c r="L195" s="118"/>
      <c r="M195" s="118"/>
      <c r="N195" s="118"/>
      <c r="O195" s="118"/>
      <c r="P195" s="118"/>
      <c r="Q195" s="118"/>
      <c r="R195" s="154"/>
      <c r="S195" s="154"/>
      <c r="T195" s="154"/>
    </row>
    <row r="196" spans="1:20">
      <c r="A196" s="440"/>
      <c r="B196" s="366"/>
      <c r="C196" s="118"/>
      <c r="D196" s="118"/>
      <c r="E196" s="118"/>
      <c r="F196" s="118"/>
      <c r="G196" s="118"/>
      <c r="H196" s="118"/>
      <c r="I196" s="118"/>
      <c r="J196" s="118"/>
      <c r="K196" s="118"/>
      <c r="L196" s="118"/>
      <c r="M196" s="118"/>
      <c r="N196" s="118"/>
      <c r="O196" s="118"/>
      <c r="P196" s="118"/>
      <c r="Q196" s="118"/>
      <c r="R196" s="154"/>
      <c r="S196" s="154"/>
      <c r="T196" s="154"/>
    </row>
    <row r="197" spans="1:20">
      <c r="B197" s="118"/>
      <c r="C197" s="118"/>
      <c r="D197" s="118"/>
      <c r="E197" s="118"/>
      <c r="F197" s="118"/>
      <c r="G197" s="118"/>
      <c r="H197" s="118"/>
      <c r="I197" s="118"/>
      <c r="J197" s="118"/>
      <c r="K197" s="118"/>
      <c r="L197" s="118"/>
      <c r="M197" s="118"/>
      <c r="N197" s="118"/>
      <c r="O197" s="118"/>
      <c r="P197" s="118"/>
      <c r="Q197" s="118"/>
      <c r="R197" s="154"/>
      <c r="S197" s="154"/>
      <c r="T197" s="154"/>
    </row>
    <row r="198" spans="1:20">
      <c r="B198" s="118"/>
      <c r="C198" s="118"/>
      <c r="D198" s="118"/>
      <c r="E198" s="118"/>
      <c r="F198" s="118"/>
      <c r="G198" s="118"/>
      <c r="H198" s="118"/>
      <c r="I198" s="118"/>
      <c r="J198" s="118"/>
      <c r="K198" s="118"/>
      <c r="L198" s="118"/>
      <c r="M198" s="118"/>
      <c r="N198" s="118"/>
      <c r="O198" s="118"/>
      <c r="P198" s="118"/>
      <c r="Q198" s="118"/>
      <c r="R198" s="154"/>
      <c r="S198" s="154"/>
      <c r="T198" s="154"/>
    </row>
    <row r="199" spans="1:20">
      <c r="B199" s="118"/>
      <c r="C199" s="118"/>
      <c r="D199" s="118"/>
      <c r="E199" s="118"/>
      <c r="F199" s="118"/>
      <c r="G199" s="118"/>
      <c r="H199" s="118"/>
      <c r="I199" s="118"/>
      <c r="J199" s="118"/>
      <c r="K199" s="118"/>
      <c r="L199" s="118"/>
      <c r="M199" s="118"/>
      <c r="N199" s="118"/>
      <c r="O199" s="118"/>
      <c r="P199" s="118"/>
      <c r="Q199" s="118"/>
      <c r="R199" s="154"/>
      <c r="S199" s="154"/>
      <c r="T199" s="154"/>
    </row>
    <row r="200" spans="1:20">
      <c r="B200" s="118"/>
      <c r="C200" s="118"/>
      <c r="D200" s="118"/>
      <c r="E200" s="118"/>
      <c r="F200" s="118"/>
      <c r="G200" s="118"/>
      <c r="H200" s="118"/>
      <c r="I200" s="118"/>
      <c r="J200" s="118"/>
      <c r="K200" s="118"/>
      <c r="L200" s="118"/>
      <c r="M200" s="118"/>
      <c r="N200" s="118"/>
      <c r="O200" s="118"/>
      <c r="P200" s="118"/>
      <c r="Q200" s="118"/>
      <c r="R200" s="154"/>
      <c r="S200" s="154"/>
      <c r="T200" s="154"/>
    </row>
    <row r="201" spans="1:20">
      <c r="B201" s="118"/>
      <c r="C201" s="118"/>
      <c r="D201" s="118"/>
      <c r="E201" s="118"/>
      <c r="F201" s="118"/>
      <c r="G201" s="118"/>
      <c r="H201" s="118"/>
      <c r="I201" s="118"/>
      <c r="J201" s="118"/>
      <c r="K201" s="118"/>
      <c r="L201" s="118"/>
      <c r="M201" s="118"/>
      <c r="N201" s="118"/>
      <c r="O201" s="118"/>
      <c r="P201" s="118"/>
      <c r="Q201" s="118"/>
      <c r="R201" s="154"/>
      <c r="S201" s="154"/>
      <c r="T201" s="154"/>
    </row>
    <row r="202" spans="1:20">
      <c r="B202" s="118"/>
      <c r="C202" s="118"/>
      <c r="D202" s="118"/>
      <c r="E202" s="118"/>
      <c r="F202" s="118"/>
      <c r="G202" s="118"/>
      <c r="H202" s="118"/>
      <c r="I202" s="118"/>
      <c r="J202" s="118"/>
      <c r="K202" s="118"/>
      <c r="L202" s="118"/>
      <c r="M202" s="118"/>
      <c r="N202" s="118"/>
      <c r="O202" s="118"/>
      <c r="P202" s="118"/>
      <c r="Q202" s="118"/>
      <c r="R202" s="118"/>
      <c r="S202" s="118"/>
      <c r="T202" s="118"/>
    </row>
    <row r="203" spans="1:20">
      <c r="B203" s="118"/>
      <c r="C203" s="118"/>
      <c r="D203" s="118"/>
      <c r="E203" s="118"/>
      <c r="F203" s="118"/>
      <c r="G203" s="118"/>
      <c r="H203" s="118"/>
      <c r="I203" s="118"/>
      <c r="J203" s="118"/>
      <c r="K203" s="118"/>
      <c r="L203" s="118"/>
      <c r="M203" s="118"/>
      <c r="N203" s="118"/>
      <c r="O203" s="118"/>
      <c r="P203" s="118"/>
      <c r="Q203" s="118"/>
      <c r="R203" s="118"/>
      <c r="S203" s="118"/>
      <c r="T203" s="118"/>
    </row>
    <row r="204" spans="1:20">
      <c r="B204" s="118"/>
      <c r="C204" s="118"/>
      <c r="D204" s="118"/>
      <c r="E204" s="118"/>
      <c r="F204" s="118"/>
      <c r="G204" s="118"/>
      <c r="H204" s="118"/>
      <c r="I204" s="118"/>
      <c r="J204" s="118"/>
      <c r="K204" s="118"/>
      <c r="L204" s="118"/>
      <c r="M204" s="118"/>
      <c r="N204" s="118"/>
      <c r="O204" s="118"/>
      <c r="P204" s="118"/>
      <c r="Q204" s="118"/>
      <c r="R204" s="118"/>
      <c r="S204" s="118"/>
      <c r="T204" s="118"/>
    </row>
    <row r="205" spans="1:20">
      <c r="B205" s="118"/>
      <c r="C205" s="118"/>
      <c r="D205" s="118"/>
      <c r="E205" s="118"/>
      <c r="F205" s="118"/>
      <c r="G205" s="118"/>
      <c r="H205" s="118"/>
      <c r="I205" s="118"/>
      <c r="J205" s="118"/>
      <c r="K205" s="118"/>
      <c r="L205" s="118"/>
      <c r="M205" s="118"/>
      <c r="N205" s="118"/>
      <c r="O205" s="118"/>
      <c r="P205" s="118"/>
      <c r="Q205" s="118"/>
      <c r="R205" s="118"/>
      <c r="S205" s="118"/>
      <c r="T205" s="118"/>
    </row>
    <row r="206" spans="1:20">
      <c r="B206" s="118"/>
      <c r="C206" s="118"/>
      <c r="D206" s="118"/>
      <c r="E206" s="118"/>
      <c r="F206" s="118"/>
      <c r="G206" s="118"/>
      <c r="H206" s="118"/>
      <c r="I206" s="118"/>
      <c r="J206" s="118"/>
      <c r="K206" s="118"/>
      <c r="L206" s="118"/>
      <c r="M206" s="118"/>
      <c r="N206" s="118"/>
      <c r="O206" s="118"/>
      <c r="P206" s="118"/>
      <c r="Q206" s="118"/>
      <c r="R206" s="118"/>
      <c r="S206" s="118"/>
      <c r="T206" s="118"/>
    </row>
    <row r="207" spans="1:20">
      <c r="B207" s="118"/>
      <c r="C207" s="118"/>
      <c r="D207" s="118"/>
      <c r="E207" s="118"/>
      <c r="F207" s="118"/>
      <c r="G207" s="118"/>
      <c r="H207" s="118"/>
      <c r="I207" s="118"/>
      <c r="J207" s="118"/>
      <c r="K207" s="118"/>
      <c r="L207" s="118"/>
      <c r="M207" s="118"/>
      <c r="N207" s="118"/>
      <c r="O207" s="118"/>
      <c r="P207" s="118"/>
      <c r="Q207" s="118"/>
      <c r="R207" s="118"/>
      <c r="S207" s="118"/>
      <c r="T207" s="118"/>
    </row>
    <row r="208" spans="1:20">
      <c r="B208" s="118"/>
      <c r="C208" s="118"/>
      <c r="D208" s="118"/>
      <c r="E208" s="118"/>
      <c r="F208" s="118"/>
      <c r="G208" s="118"/>
      <c r="H208" s="118"/>
      <c r="I208" s="118"/>
      <c r="J208" s="118"/>
      <c r="K208" s="118"/>
      <c r="L208" s="118"/>
      <c r="M208" s="118"/>
      <c r="N208" s="118"/>
      <c r="O208" s="118"/>
      <c r="P208" s="118"/>
      <c r="Q208" s="118"/>
      <c r="R208" s="118"/>
      <c r="S208" s="118"/>
      <c r="T208" s="118"/>
    </row>
    <row r="209" spans="2:20">
      <c r="B209" s="118"/>
      <c r="C209" s="118"/>
      <c r="D209" s="118"/>
      <c r="E209" s="118"/>
      <c r="F209" s="118"/>
      <c r="G209" s="118"/>
      <c r="H209" s="118"/>
      <c r="I209" s="118"/>
      <c r="J209" s="118"/>
      <c r="K209" s="118"/>
      <c r="L209" s="118"/>
      <c r="M209" s="118"/>
      <c r="N209" s="118"/>
      <c r="O209" s="118"/>
      <c r="P209" s="118"/>
      <c r="Q209" s="118"/>
      <c r="R209" s="118"/>
      <c r="S209" s="118"/>
      <c r="T209" s="118"/>
    </row>
    <row r="210" spans="2:20">
      <c r="B210" s="118"/>
      <c r="C210" s="118"/>
      <c r="D210" s="118"/>
      <c r="E210" s="118"/>
      <c r="F210" s="118"/>
      <c r="G210" s="118"/>
      <c r="H210" s="118"/>
      <c r="I210" s="118"/>
      <c r="J210" s="118"/>
      <c r="K210" s="118"/>
      <c r="L210" s="118"/>
      <c r="M210" s="118"/>
      <c r="N210" s="118"/>
      <c r="O210" s="118"/>
      <c r="P210" s="118"/>
      <c r="Q210" s="118"/>
      <c r="R210" s="118"/>
      <c r="S210" s="118"/>
      <c r="T210" s="118"/>
    </row>
    <row r="211" spans="2:20">
      <c r="B211" s="118"/>
      <c r="C211" s="118"/>
      <c r="D211" s="118"/>
      <c r="E211" s="118"/>
      <c r="F211" s="118"/>
      <c r="G211" s="118"/>
      <c r="H211" s="118"/>
      <c r="I211" s="118"/>
      <c r="J211" s="118"/>
      <c r="K211" s="118"/>
      <c r="L211" s="118"/>
      <c r="M211" s="118"/>
      <c r="N211" s="118"/>
      <c r="O211" s="118"/>
      <c r="P211" s="118"/>
      <c r="Q211" s="118"/>
      <c r="R211" s="118"/>
      <c r="S211" s="118"/>
      <c r="T211" s="118"/>
    </row>
    <row r="212" spans="2:20">
      <c r="B212" s="118"/>
      <c r="C212" s="118"/>
      <c r="D212" s="118"/>
      <c r="E212" s="118"/>
      <c r="F212" s="118"/>
      <c r="G212" s="118"/>
      <c r="H212" s="118"/>
      <c r="I212" s="118"/>
      <c r="J212" s="118"/>
      <c r="K212" s="118"/>
      <c r="L212" s="118"/>
      <c r="M212" s="118"/>
      <c r="N212" s="118"/>
      <c r="O212" s="118"/>
      <c r="P212" s="118"/>
      <c r="Q212" s="118"/>
      <c r="R212" s="118"/>
      <c r="S212" s="118"/>
      <c r="T212" s="118"/>
    </row>
    <row r="213" spans="2:20">
      <c r="B213" s="118"/>
      <c r="C213" s="118"/>
      <c r="D213" s="118"/>
      <c r="E213" s="118"/>
      <c r="F213" s="118"/>
      <c r="G213" s="118"/>
      <c r="H213" s="118"/>
      <c r="I213" s="118"/>
      <c r="J213" s="118"/>
      <c r="K213" s="118"/>
      <c r="L213" s="118"/>
      <c r="M213" s="118"/>
      <c r="N213" s="118"/>
      <c r="O213" s="118"/>
      <c r="P213" s="118"/>
      <c r="Q213" s="118"/>
      <c r="R213" s="118"/>
      <c r="S213" s="118"/>
      <c r="T213" s="118"/>
    </row>
    <row r="214" spans="2:20">
      <c r="B214" s="118"/>
      <c r="C214" s="118"/>
      <c r="D214" s="118"/>
      <c r="E214" s="118"/>
      <c r="F214" s="118"/>
      <c r="G214" s="118"/>
      <c r="H214" s="118"/>
      <c r="I214" s="118"/>
      <c r="J214" s="118"/>
      <c r="K214" s="118"/>
      <c r="L214" s="118"/>
      <c r="M214" s="118"/>
      <c r="N214" s="118"/>
      <c r="O214" s="118"/>
      <c r="P214" s="118"/>
      <c r="Q214" s="118"/>
      <c r="R214" s="118"/>
      <c r="S214" s="118"/>
      <c r="T214" s="118"/>
    </row>
    <row r="215" spans="2:20">
      <c r="B215" s="118"/>
      <c r="C215" s="118"/>
      <c r="D215" s="118"/>
      <c r="E215" s="118"/>
      <c r="F215" s="118"/>
      <c r="G215" s="118"/>
      <c r="H215" s="118"/>
      <c r="I215" s="118"/>
      <c r="J215" s="118"/>
      <c r="K215" s="118"/>
      <c r="L215" s="118"/>
      <c r="M215" s="118"/>
      <c r="N215" s="118"/>
      <c r="O215" s="118"/>
      <c r="P215" s="118"/>
      <c r="Q215" s="118"/>
      <c r="R215" s="118"/>
      <c r="S215" s="118"/>
      <c r="T215" s="118"/>
    </row>
    <row r="216" spans="2:20">
      <c r="B216" s="118"/>
      <c r="C216" s="118"/>
      <c r="D216" s="118"/>
      <c r="E216" s="118"/>
      <c r="F216" s="118"/>
      <c r="G216" s="118"/>
      <c r="H216" s="118"/>
      <c r="I216" s="118"/>
      <c r="J216" s="118"/>
      <c r="K216" s="118"/>
      <c r="L216" s="118"/>
      <c r="M216" s="118"/>
      <c r="N216" s="118"/>
      <c r="O216" s="118"/>
      <c r="P216" s="118"/>
      <c r="Q216" s="118"/>
      <c r="R216" s="118"/>
      <c r="S216" s="118"/>
      <c r="T216" s="118"/>
    </row>
    <row r="217" spans="2:20">
      <c r="B217" s="118"/>
      <c r="C217" s="118"/>
      <c r="D217" s="118"/>
      <c r="E217" s="118"/>
      <c r="F217" s="118"/>
      <c r="G217" s="118"/>
      <c r="H217" s="118"/>
      <c r="I217" s="118"/>
      <c r="J217" s="118"/>
      <c r="K217" s="118"/>
      <c r="L217" s="118"/>
      <c r="M217" s="118"/>
      <c r="N217" s="118"/>
      <c r="O217" s="118"/>
      <c r="P217" s="118"/>
      <c r="Q217" s="118"/>
      <c r="R217" s="118"/>
      <c r="S217" s="118"/>
      <c r="T217" s="118"/>
    </row>
    <row r="218" spans="2:20">
      <c r="B218" s="118"/>
      <c r="C218" s="118"/>
      <c r="D218" s="118"/>
      <c r="E218" s="118"/>
      <c r="F218" s="118"/>
      <c r="G218" s="118"/>
      <c r="H218" s="118"/>
      <c r="I218" s="118"/>
      <c r="J218" s="118"/>
      <c r="K218" s="118"/>
      <c r="L218" s="118"/>
      <c r="M218" s="118"/>
      <c r="N218" s="118"/>
      <c r="O218" s="118"/>
      <c r="P218" s="118"/>
      <c r="Q218" s="118"/>
      <c r="R218" s="118"/>
      <c r="S218" s="118"/>
      <c r="T218" s="118"/>
    </row>
    <row r="219" spans="2:20">
      <c r="B219" s="118"/>
      <c r="C219" s="118"/>
      <c r="D219" s="118"/>
      <c r="E219" s="118"/>
      <c r="F219" s="118"/>
      <c r="G219" s="118"/>
      <c r="H219" s="118"/>
      <c r="I219" s="118"/>
      <c r="J219" s="118"/>
      <c r="K219" s="118"/>
      <c r="L219" s="118"/>
      <c r="M219" s="118"/>
      <c r="N219" s="118"/>
      <c r="O219" s="118"/>
      <c r="P219" s="118"/>
      <c r="Q219" s="118"/>
      <c r="R219" s="118"/>
      <c r="S219" s="118"/>
      <c r="T219" s="118"/>
    </row>
    <row r="220" spans="2:20">
      <c r="B220" s="118"/>
      <c r="C220" s="118"/>
      <c r="D220" s="118"/>
      <c r="E220" s="118"/>
      <c r="F220" s="118"/>
      <c r="G220" s="118"/>
      <c r="H220" s="118"/>
      <c r="I220" s="118"/>
      <c r="J220" s="118"/>
      <c r="K220" s="118"/>
      <c r="L220" s="118"/>
      <c r="M220" s="118"/>
      <c r="N220" s="118"/>
      <c r="O220" s="118"/>
      <c r="P220" s="118"/>
      <c r="Q220" s="118"/>
      <c r="R220" s="118"/>
      <c r="S220" s="118"/>
      <c r="T220" s="118"/>
    </row>
    <row r="221" spans="2:20">
      <c r="B221" s="118"/>
      <c r="C221" s="118"/>
      <c r="D221" s="118"/>
      <c r="E221" s="118"/>
      <c r="F221" s="118"/>
      <c r="G221" s="118"/>
      <c r="H221" s="118"/>
      <c r="I221" s="118"/>
      <c r="J221" s="118"/>
      <c r="K221" s="118"/>
      <c r="L221" s="118"/>
      <c r="M221" s="118"/>
      <c r="N221" s="118"/>
      <c r="O221" s="118"/>
      <c r="P221" s="118"/>
      <c r="Q221" s="118"/>
      <c r="R221" s="118"/>
      <c r="S221" s="118"/>
      <c r="T221" s="118"/>
    </row>
    <row r="222" spans="2:20">
      <c r="B222" s="118"/>
      <c r="C222" s="118"/>
      <c r="D222" s="118"/>
      <c r="E222" s="118"/>
      <c r="F222" s="118"/>
      <c r="G222" s="118"/>
      <c r="H222" s="118"/>
      <c r="I222" s="118"/>
      <c r="J222" s="118"/>
      <c r="K222" s="118"/>
      <c r="L222" s="118"/>
      <c r="M222" s="118"/>
      <c r="N222" s="118"/>
      <c r="O222" s="118"/>
      <c r="P222" s="118"/>
      <c r="Q222" s="118"/>
      <c r="R222" s="118"/>
      <c r="S222" s="118"/>
      <c r="T222" s="118"/>
    </row>
    <row r="223" spans="2:20">
      <c r="B223" s="118"/>
      <c r="C223" s="118"/>
      <c r="D223" s="118"/>
      <c r="E223" s="118"/>
      <c r="F223" s="118"/>
      <c r="G223" s="118"/>
      <c r="H223" s="118"/>
      <c r="I223" s="118"/>
      <c r="J223" s="118"/>
      <c r="K223" s="118"/>
      <c r="L223" s="118"/>
      <c r="M223" s="118"/>
      <c r="N223" s="118"/>
      <c r="O223" s="118"/>
      <c r="P223" s="118"/>
      <c r="Q223" s="118"/>
      <c r="R223" s="118"/>
      <c r="S223" s="118"/>
      <c r="T223" s="118"/>
    </row>
    <row r="224" spans="2:20">
      <c r="B224" s="118"/>
      <c r="C224" s="118"/>
      <c r="D224" s="118"/>
      <c r="E224" s="118"/>
      <c r="F224" s="118"/>
      <c r="G224" s="118"/>
      <c r="H224" s="118"/>
      <c r="I224" s="118"/>
      <c r="J224" s="118"/>
      <c r="K224" s="118"/>
      <c r="L224" s="118"/>
      <c r="M224" s="118"/>
      <c r="N224" s="118"/>
      <c r="O224" s="118"/>
      <c r="P224" s="118"/>
      <c r="Q224" s="118"/>
      <c r="R224" s="118"/>
      <c r="S224" s="118"/>
      <c r="T224" s="118"/>
    </row>
    <row r="225" spans="2:20">
      <c r="B225" s="118"/>
      <c r="C225" s="118"/>
      <c r="D225" s="118"/>
      <c r="E225" s="118"/>
      <c r="F225" s="118"/>
      <c r="G225" s="118"/>
      <c r="H225" s="118"/>
      <c r="I225" s="118"/>
      <c r="J225" s="118"/>
      <c r="K225" s="118"/>
      <c r="L225" s="118"/>
      <c r="M225" s="118"/>
      <c r="N225" s="118"/>
      <c r="O225" s="118"/>
      <c r="P225" s="118"/>
      <c r="Q225" s="118"/>
      <c r="R225" s="118"/>
      <c r="S225" s="118"/>
      <c r="T225" s="118"/>
    </row>
    <row r="226" spans="2:20">
      <c r="B226" s="118"/>
      <c r="C226" s="118"/>
      <c r="D226" s="118"/>
      <c r="E226" s="118"/>
      <c r="F226" s="118"/>
      <c r="G226" s="118"/>
      <c r="H226" s="118"/>
      <c r="I226" s="118"/>
      <c r="J226" s="118"/>
      <c r="K226" s="118"/>
      <c r="L226" s="118"/>
      <c r="M226" s="118"/>
      <c r="N226" s="118"/>
      <c r="O226" s="118"/>
      <c r="P226" s="118"/>
      <c r="Q226" s="118"/>
      <c r="R226" s="118"/>
      <c r="S226" s="118"/>
      <c r="T226" s="118"/>
    </row>
    <row r="227" spans="2:20">
      <c r="B227" s="118"/>
      <c r="C227" s="118"/>
      <c r="D227" s="118"/>
      <c r="E227" s="118"/>
      <c r="F227" s="118"/>
      <c r="G227" s="118"/>
      <c r="H227" s="118"/>
      <c r="I227" s="118"/>
      <c r="J227" s="118"/>
      <c r="K227" s="118"/>
      <c r="L227" s="118"/>
      <c r="M227" s="118"/>
      <c r="N227" s="118"/>
      <c r="O227" s="118"/>
      <c r="P227" s="118"/>
      <c r="Q227" s="118"/>
      <c r="R227" s="118"/>
      <c r="S227" s="118"/>
      <c r="T227" s="118"/>
    </row>
    <row r="228" spans="2:20">
      <c r="B228" s="118"/>
      <c r="C228" s="118"/>
      <c r="D228" s="118"/>
      <c r="E228" s="118"/>
      <c r="F228" s="118"/>
      <c r="G228" s="118"/>
      <c r="H228" s="118"/>
      <c r="I228" s="118"/>
      <c r="J228" s="118"/>
      <c r="K228" s="118"/>
      <c r="L228" s="118"/>
      <c r="M228" s="118"/>
      <c r="N228" s="118"/>
      <c r="O228" s="118"/>
      <c r="P228" s="118"/>
      <c r="Q228" s="118"/>
      <c r="R228" s="118"/>
      <c r="S228" s="118"/>
      <c r="T228" s="118"/>
    </row>
    <row r="229" spans="2:20">
      <c r="B229" s="118"/>
      <c r="C229" s="118"/>
      <c r="D229" s="118"/>
      <c r="E229" s="118"/>
      <c r="F229" s="118"/>
      <c r="G229" s="118"/>
      <c r="H229" s="118"/>
      <c r="I229" s="118"/>
      <c r="J229" s="118"/>
      <c r="K229" s="118"/>
      <c r="L229" s="118"/>
      <c r="M229" s="118"/>
      <c r="N229" s="118"/>
      <c r="O229" s="118"/>
      <c r="P229" s="118"/>
      <c r="Q229" s="118"/>
      <c r="R229" s="118"/>
      <c r="S229" s="118"/>
      <c r="T229" s="118"/>
    </row>
    <row r="230" spans="2:20">
      <c r="B230" s="118"/>
      <c r="C230" s="118"/>
      <c r="D230" s="118"/>
      <c r="E230" s="118"/>
      <c r="F230" s="118"/>
      <c r="G230" s="118"/>
      <c r="H230" s="118"/>
      <c r="I230" s="118"/>
      <c r="J230" s="118"/>
      <c r="K230" s="118"/>
      <c r="L230" s="118"/>
      <c r="M230" s="118"/>
      <c r="N230" s="118"/>
      <c r="O230" s="118"/>
      <c r="P230" s="118"/>
      <c r="Q230" s="118"/>
      <c r="R230" s="118"/>
      <c r="S230" s="118"/>
      <c r="T230" s="118"/>
    </row>
    <row r="231" spans="2:20">
      <c r="B231" s="118"/>
      <c r="C231" s="118"/>
      <c r="D231" s="118"/>
      <c r="E231" s="118"/>
      <c r="F231" s="118"/>
      <c r="G231" s="118"/>
      <c r="H231" s="118"/>
      <c r="I231" s="118"/>
      <c r="J231" s="118"/>
      <c r="K231" s="118"/>
      <c r="L231" s="118"/>
      <c r="M231" s="118"/>
      <c r="N231" s="118"/>
      <c r="O231" s="118"/>
      <c r="P231" s="118"/>
      <c r="Q231" s="118"/>
      <c r="R231" s="118"/>
      <c r="S231" s="118"/>
      <c r="T231" s="118"/>
    </row>
    <row r="232" spans="2:20">
      <c r="B232" s="118"/>
      <c r="C232" s="118"/>
      <c r="D232" s="118"/>
      <c r="E232" s="118"/>
      <c r="F232" s="118"/>
      <c r="G232" s="118"/>
      <c r="H232" s="118"/>
      <c r="I232" s="118"/>
      <c r="J232" s="118"/>
      <c r="K232" s="118"/>
      <c r="L232" s="118"/>
      <c r="M232" s="118"/>
      <c r="N232" s="118"/>
      <c r="O232" s="118"/>
      <c r="P232" s="118"/>
      <c r="Q232" s="118"/>
      <c r="R232" s="118"/>
      <c r="S232" s="118"/>
      <c r="T232" s="118"/>
    </row>
    <row r="233" spans="2:20">
      <c r="B233" s="118"/>
      <c r="C233" s="118"/>
      <c r="D233" s="118"/>
      <c r="E233" s="118"/>
      <c r="F233" s="118"/>
      <c r="G233" s="118"/>
      <c r="H233" s="118"/>
      <c r="I233" s="118"/>
      <c r="J233" s="118"/>
      <c r="K233" s="118"/>
      <c r="L233" s="118"/>
      <c r="M233" s="118"/>
      <c r="N233" s="118"/>
      <c r="O233" s="118"/>
      <c r="P233" s="118"/>
      <c r="Q233" s="118"/>
      <c r="R233" s="118"/>
      <c r="S233" s="118"/>
      <c r="T233" s="118"/>
    </row>
    <row r="234" spans="2:20">
      <c r="B234" s="118"/>
      <c r="C234" s="118"/>
      <c r="D234" s="118"/>
      <c r="E234" s="118"/>
      <c r="F234" s="118"/>
      <c r="G234" s="118"/>
      <c r="H234" s="118"/>
      <c r="I234" s="118"/>
      <c r="J234" s="118"/>
      <c r="K234" s="118"/>
      <c r="L234" s="118"/>
      <c r="M234" s="118"/>
      <c r="N234" s="118"/>
      <c r="O234" s="118"/>
      <c r="P234" s="118"/>
      <c r="Q234" s="118"/>
      <c r="R234" s="118"/>
      <c r="S234" s="118"/>
      <c r="T234" s="118"/>
    </row>
    <row r="235" spans="2:20">
      <c r="B235" s="118"/>
      <c r="C235" s="118"/>
      <c r="D235" s="118"/>
      <c r="E235" s="118"/>
      <c r="F235" s="118"/>
      <c r="G235" s="118"/>
      <c r="H235" s="118"/>
      <c r="I235" s="118"/>
      <c r="J235" s="118"/>
      <c r="K235" s="118"/>
      <c r="L235" s="118"/>
      <c r="M235" s="118"/>
      <c r="N235" s="118"/>
      <c r="O235" s="118"/>
      <c r="P235" s="118"/>
      <c r="Q235" s="118"/>
      <c r="R235" s="118"/>
      <c r="S235" s="118"/>
      <c r="T235" s="118"/>
    </row>
    <row r="236" spans="2:20">
      <c r="B236" s="118"/>
      <c r="C236" s="118"/>
      <c r="D236" s="118"/>
      <c r="E236" s="118"/>
      <c r="F236" s="118"/>
      <c r="G236" s="118"/>
      <c r="H236" s="118"/>
      <c r="I236" s="118"/>
      <c r="J236" s="118"/>
      <c r="K236" s="118"/>
      <c r="L236" s="118"/>
      <c r="M236" s="118"/>
      <c r="N236" s="118"/>
      <c r="O236" s="118"/>
      <c r="P236" s="118"/>
      <c r="Q236" s="118"/>
      <c r="R236" s="118"/>
      <c r="S236" s="118"/>
      <c r="T236" s="118"/>
    </row>
    <row r="237" spans="2:20">
      <c r="B237" s="118"/>
      <c r="C237" s="118"/>
      <c r="D237" s="118"/>
      <c r="E237" s="118"/>
      <c r="F237" s="118"/>
      <c r="G237" s="118"/>
      <c r="H237" s="118"/>
      <c r="I237" s="118"/>
      <c r="J237" s="118"/>
      <c r="K237" s="118"/>
      <c r="L237" s="118"/>
      <c r="M237" s="118"/>
      <c r="N237" s="118"/>
      <c r="O237" s="118"/>
      <c r="P237" s="118"/>
      <c r="Q237" s="118"/>
      <c r="R237" s="118"/>
      <c r="S237" s="118"/>
      <c r="T237" s="118"/>
    </row>
    <row r="238" spans="2:20">
      <c r="B238" s="118"/>
      <c r="C238" s="118"/>
      <c r="D238" s="118"/>
      <c r="E238" s="118"/>
      <c r="F238" s="118"/>
      <c r="G238" s="118"/>
      <c r="H238" s="118"/>
      <c r="I238" s="118"/>
      <c r="J238" s="118"/>
      <c r="K238" s="118"/>
      <c r="L238" s="118"/>
      <c r="M238" s="118"/>
      <c r="N238" s="118"/>
      <c r="O238" s="118"/>
      <c r="P238" s="118"/>
      <c r="Q238" s="118"/>
      <c r="R238" s="118"/>
      <c r="S238" s="118"/>
      <c r="T238" s="118"/>
    </row>
    <row r="239" spans="2:20">
      <c r="B239" s="118"/>
      <c r="C239" s="118"/>
      <c r="D239" s="118"/>
      <c r="E239" s="118"/>
      <c r="F239" s="118"/>
      <c r="G239" s="118"/>
      <c r="H239" s="118"/>
      <c r="I239" s="118"/>
      <c r="J239" s="118"/>
      <c r="K239" s="118"/>
      <c r="L239" s="118"/>
      <c r="M239" s="118"/>
      <c r="N239" s="118"/>
      <c r="O239" s="118"/>
      <c r="P239" s="118"/>
      <c r="Q239" s="118"/>
      <c r="R239" s="118"/>
      <c r="S239" s="118"/>
      <c r="T239" s="118"/>
    </row>
    <row r="240" spans="2:20">
      <c r="B240" s="118"/>
      <c r="C240" s="118"/>
      <c r="D240" s="118"/>
      <c r="E240" s="118"/>
      <c r="F240" s="118"/>
      <c r="G240" s="118"/>
      <c r="H240" s="118"/>
      <c r="I240" s="118"/>
      <c r="J240" s="118"/>
      <c r="K240" s="118"/>
      <c r="L240" s="118"/>
      <c r="M240" s="118"/>
      <c r="N240" s="118"/>
      <c r="O240" s="118"/>
      <c r="P240" s="118"/>
      <c r="Q240" s="118"/>
      <c r="R240" s="118"/>
      <c r="S240" s="118"/>
      <c r="T240" s="118"/>
    </row>
    <row r="241" spans="2:20">
      <c r="B241" s="118"/>
      <c r="C241" s="118"/>
      <c r="D241" s="118"/>
      <c r="E241" s="118"/>
      <c r="F241" s="118"/>
      <c r="G241" s="118"/>
      <c r="H241" s="118"/>
      <c r="I241" s="118"/>
      <c r="J241" s="118"/>
      <c r="K241" s="118"/>
      <c r="L241" s="118"/>
      <c r="M241" s="118"/>
      <c r="N241" s="118"/>
      <c r="O241" s="118"/>
      <c r="P241" s="118"/>
      <c r="Q241" s="118"/>
      <c r="R241" s="118"/>
      <c r="S241" s="118"/>
      <c r="T241" s="118"/>
    </row>
    <row r="242" spans="2:20">
      <c r="B242" s="118"/>
      <c r="C242" s="118"/>
      <c r="D242" s="118"/>
      <c r="E242" s="118"/>
      <c r="F242" s="118"/>
      <c r="G242" s="118"/>
      <c r="H242" s="118"/>
      <c r="I242" s="118"/>
      <c r="J242" s="118"/>
      <c r="K242" s="118"/>
      <c r="L242" s="118"/>
      <c r="M242" s="118"/>
      <c r="N242" s="118"/>
      <c r="O242" s="118"/>
      <c r="P242" s="118"/>
      <c r="Q242" s="118"/>
      <c r="R242" s="118"/>
      <c r="S242" s="118"/>
      <c r="T242" s="118"/>
    </row>
    <row r="243" spans="2:20">
      <c r="B243" s="118"/>
      <c r="C243" s="118"/>
      <c r="D243" s="118"/>
      <c r="E243" s="118"/>
      <c r="F243" s="118"/>
      <c r="G243" s="118"/>
      <c r="H243" s="118"/>
      <c r="I243" s="118"/>
      <c r="J243" s="118"/>
      <c r="K243" s="118"/>
      <c r="L243" s="118"/>
      <c r="M243" s="118"/>
      <c r="N243" s="118"/>
      <c r="O243" s="118"/>
      <c r="P243" s="118"/>
      <c r="Q243" s="118"/>
      <c r="R243" s="118"/>
      <c r="S243" s="118"/>
      <c r="T243" s="118"/>
    </row>
    <row r="244" spans="2:20">
      <c r="B244" s="118"/>
      <c r="C244" s="118"/>
      <c r="D244" s="118"/>
      <c r="E244" s="118"/>
      <c r="F244" s="118"/>
      <c r="G244" s="118"/>
      <c r="H244" s="118"/>
      <c r="I244" s="118"/>
      <c r="J244" s="118"/>
      <c r="K244" s="118"/>
      <c r="L244" s="118"/>
      <c r="M244" s="118"/>
      <c r="N244" s="118"/>
      <c r="O244" s="118"/>
      <c r="P244" s="118"/>
      <c r="Q244" s="118"/>
      <c r="R244" s="118"/>
      <c r="S244" s="118"/>
      <c r="T244" s="118"/>
    </row>
    <row r="245" spans="2:20">
      <c r="B245" s="118"/>
      <c r="C245" s="118"/>
      <c r="D245" s="118"/>
      <c r="E245" s="118"/>
      <c r="F245" s="118"/>
      <c r="G245" s="118"/>
      <c r="H245" s="118"/>
      <c r="I245" s="118"/>
      <c r="J245" s="118"/>
      <c r="K245" s="118"/>
      <c r="L245" s="118"/>
      <c r="M245" s="118"/>
      <c r="N245" s="118"/>
      <c r="O245" s="118"/>
      <c r="P245" s="118"/>
      <c r="Q245" s="118"/>
      <c r="R245" s="118"/>
      <c r="S245" s="118"/>
      <c r="T245" s="118"/>
    </row>
    <row r="246" spans="2:20">
      <c r="B246" s="118"/>
      <c r="C246" s="118"/>
      <c r="D246" s="118"/>
      <c r="E246" s="118"/>
      <c r="F246" s="118"/>
      <c r="G246" s="118"/>
      <c r="H246" s="118"/>
      <c r="I246" s="118"/>
      <c r="J246" s="118"/>
      <c r="K246" s="118"/>
      <c r="L246" s="118"/>
      <c r="M246" s="118"/>
      <c r="N246" s="118"/>
      <c r="O246" s="118"/>
      <c r="P246" s="118"/>
      <c r="Q246" s="118"/>
      <c r="R246" s="118"/>
      <c r="S246" s="118"/>
      <c r="T246" s="118"/>
    </row>
    <row r="247" spans="2:20">
      <c r="B247" s="118"/>
      <c r="C247" s="118"/>
      <c r="D247" s="118"/>
      <c r="E247" s="118"/>
      <c r="F247" s="118"/>
      <c r="G247" s="118"/>
      <c r="H247" s="118"/>
      <c r="I247" s="118"/>
      <c r="J247" s="118"/>
      <c r="K247" s="118"/>
      <c r="L247" s="118"/>
      <c r="M247" s="118"/>
      <c r="N247" s="118"/>
      <c r="O247" s="118"/>
      <c r="P247" s="118"/>
      <c r="Q247" s="118"/>
      <c r="R247" s="118"/>
      <c r="S247" s="118"/>
      <c r="T247" s="118"/>
    </row>
    <row r="248" spans="2:20">
      <c r="B248" s="118"/>
      <c r="C248" s="118"/>
      <c r="D248" s="118"/>
      <c r="E248" s="118"/>
      <c r="F248" s="118"/>
      <c r="G248" s="118"/>
      <c r="H248" s="118"/>
      <c r="I248" s="118"/>
      <c r="J248" s="118"/>
      <c r="K248" s="118"/>
      <c r="L248" s="118"/>
      <c r="M248" s="118"/>
      <c r="N248" s="118"/>
      <c r="O248" s="118"/>
      <c r="P248" s="118"/>
      <c r="Q248" s="118"/>
      <c r="R248" s="118"/>
      <c r="S248" s="118"/>
      <c r="T248" s="118"/>
    </row>
    <row r="249" spans="2:20">
      <c r="B249" s="118"/>
      <c r="C249" s="118"/>
      <c r="D249" s="118"/>
      <c r="E249" s="118"/>
      <c r="F249" s="118"/>
      <c r="G249" s="118"/>
      <c r="H249" s="118"/>
      <c r="I249" s="118"/>
      <c r="J249" s="118"/>
      <c r="K249" s="118"/>
      <c r="L249" s="118"/>
      <c r="M249" s="118"/>
      <c r="N249" s="118"/>
      <c r="O249" s="118"/>
      <c r="P249" s="118"/>
      <c r="Q249" s="118"/>
      <c r="R249" s="118"/>
      <c r="S249" s="118"/>
      <c r="T249" s="118"/>
    </row>
    <row r="250" spans="2:20">
      <c r="B250" s="118"/>
      <c r="C250" s="118"/>
      <c r="D250" s="118"/>
      <c r="E250" s="118"/>
      <c r="F250" s="118"/>
      <c r="G250" s="118"/>
      <c r="H250" s="118"/>
      <c r="I250" s="118"/>
      <c r="J250" s="118"/>
      <c r="K250" s="118"/>
      <c r="L250" s="118"/>
      <c r="M250" s="118"/>
      <c r="N250" s="118"/>
      <c r="O250" s="118"/>
      <c r="P250" s="118"/>
      <c r="Q250" s="118"/>
      <c r="R250" s="118"/>
      <c r="S250" s="118"/>
      <c r="T250" s="118"/>
    </row>
    <row r="251" spans="2:20">
      <c r="B251" s="118"/>
      <c r="C251" s="118"/>
      <c r="D251" s="118"/>
      <c r="E251" s="118"/>
      <c r="F251" s="118"/>
      <c r="G251" s="118"/>
      <c r="H251" s="118"/>
      <c r="I251" s="118"/>
      <c r="J251" s="118"/>
      <c r="K251" s="118"/>
      <c r="L251" s="118"/>
      <c r="M251" s="118"/>
      <c r="N251" s="118"/>
      <c r="O251" s="118"/>
      <c r="P251" s="118"/>
      <c r="Q251" s="118"/>
      <c r="R251" s="118"/>
      <c r="S251" s="118"/>
      <c r="T251" s="118"/>
    </row>
    <row r="252" spans="2:20">
      <c r="B252" s="118"/>
      <c r="C252" s="118"/>
      <c r="D252" s="118"/>
      <c r="E252" s="118"/>
      <c r="F252" s="118"/>
      <c r="G252" s="118"/>
      <c r="H252" s="118"/>
      <c r="I252" s="118"/>
      <c r="J252" s="118"/>
      <c r="K252" s="118"/>
      <c r="L252" s="118"/>
      <c r="M252" s="118"/>
      <c r="N252" s="118"/>
      <c r="O252" s="118"/>
      <c r="P252" s="118"/>
      <c r="Q252" s="118"/>
      <c r="R252" s="118"/>
      <c r="S252" s="118"/>
      <c r="T252" s="118"/>
    </row>
    <row r="253" spans="2:20">
      <c r="B253" s="118"/>
      <c r="C253" s="118"/>
      <c r="D253" s="118"/>
      <c r="E253" s="118"/>
      <c r="F253" s="118"/>
      <c r="G253" s="118"/>
      <c r="H253" s="118"/>
      <c r="I253" s="118"/>
      <c r="J253" s="118"/>
      <c r="K253" s="118"/>
      <c r="L253" s="118"/>
      <c r="M253" s="118"/>
      <c r="N253" s="118"/>
      <c r="O253" s="118"/>
      <c r="P253" s="118"/>
      <c r="Q253" s="118"/>
      <c r="R253" s="118"/>
      <c r="S253" s="118"/>
      <c r="T253" s="118"/>
    </row>
    <row r="254" spans="2:20">
      <c r="B254" s="118"/>
      <c r="C254" s="118"/>
      <c r="D254" s="118"/>
      <c r="E254" s="118"/>
      <c r="F254" s="118"/>
      <c r="G254" s="118"/>
      <c r="H254" s="118"/>
      <c r="I254" s="118"/>
      <c r="J254" s="118"/>
      <c r="K254" s="118"/>
      <c r="L254" s="118"/>
      <c r="M254" s="118"/>
      <c r="N254" s="118"/>
      <c r="O254" s="118"/>
      <c r="P254" s="118"/>
      <c r="Q254" s="118"/>
      <c r="R254" s="118"/>
      <c r="S254" s="118"/>
      <c r="T254" s="118"/>
    </row>
    <row r="255" spans="2:20">
      <c r="B255" s="118"/>
      <c r="C255" s="118"/>
      <c r="D255" s="118"/>
      <c r="E255" s="118"/>
      <c r="F255" s="118"/>
      <c r="G255" s="118"/>
      <c r="H255" s="118"/>
      <c r="I255" s="118"/>
      <c r="J255" s="118"/>
      <c r="K255" s="118"/>
      <c r="L255" s="118"/>
      <c r="M255" s="118"/>
      <c r="N255" s="118"/>
      <c r="O255" s="118"/>
      <c r="P255" s="118"/>
      <c r="Q255" s="118"/>
      <c r="R255" s="118"/>
      <c r="S255" s="118"/>
      <c r="T255" s="118"/>
    </row>
    <row r="256" spans="2:20">
      <c r="B256" s="118"/>
      <c r="C256" s="118"/>
      <c r="D256" s="118"/>
      <c r="E256" s="118"/>
      <c r="F256" s="118"/>
      <c r="G256" s="118"/>
      <c r="H256" s="118"/>
      <c r="I256" s="118"/>
      <c r="J256" s="118"/>
      <c r="K256" s="118"/>
      <c r="L256" s="118"/>
      <c r="M256" s="118"/>
      <c r="N256" s="118"/>
      <c r="O256" s="118"/>
      <c r="P256" s="118"/>
      <c r="Q256" s="118"/>
      <c r="R256" s="118"/>
      <c r="S256" s="118"/>
      <c r="T256" s="118"/>
    </row>
    <row r="257" spans="2:20">
      <c r="B257" s="118"/>
      <c r="C257" s="118"/>
      <c r="D257" s="118"/>
      <c r="E257" s="118"/>
      <c r="F257" s="118"/>
      <c r="G257" s="118"/>
      <c r="H257" s="118"/>
      <c r="I257" s="118"/>
      <c r="J257" s="118"/>
      <c r="K257" s="118"/>
      <c r="L257" s="118"/>
      <c r="M257" s="118"/>
      <c r="N257" s="118"/>
      <c r="O257" s="118"/>
      <c r="P257" s="118"/>
      <c r="Q257" s="118"/>
      <c r="R257" s="118"/>
      <c r="S257" s="118"/>
      <c r="T257" s="118"/>
    </row>
    <row r="258" spans="2:20">
      <c r="B258" s="118"/>
      <c r="C258" s="118"/>
      <c r="D258" s="118"/>
      <c r="E258" s="118"/>
      <c r="F258" s="118"/>
      <c r="G258" s="118"/>
      <c r="H258" s="118"/>
      <c r="I258" s="118"/>
      <c r="J258" s="118"/>
      <c r="K258" s="118"/>
      <c r="L258" s="118"/>
      <c r="M258" s="118"/>
      <c r="N258" s="118"/>
      <c r="O258" s="118"/>
      <c r="P258" s="118"/>
      <c r="Q258" s="118"/>
      <c r="R258" s="118"/>
      <c r="S258" s="118"/>
      <c r="T258" s="118"/>
    </row>
    <row r="259" spans="2:20">
      <c r="B259" s="118"/>
      <c r="C259" s="118"/>
      <c r="D259" s="118"/>
      <c r="E259" s="118"/>
      <c r="F259" s="118"/>
      <c r="G259" s="118"/>
      <c r="H259" s="118"/>
      <c r="I259" s="118"/>
      <c r="J259" s="118"/>
      <c r="K259" s="118"/>
      <c r="L259" s="118"/>
      <c r="M259" s="118"/>
      <c r="N259" s="118"/>
      <c r="O259" s="118"/>
      <c r="P259" s="118"/>
      <c r="Q259" s="118"/>
      <c r="R259" s="118"/>
      <c r="S259" s="118"/>
      <c r="T259" s="118"/>
    </row>
    <row r="260" spans="2:20">
      <c r="B260" s="118"/>
      <c r="C260" s="118"/>
      <c r="D260" s="118"/>
      <c r="E260" s="118"/>
      <c r="F260" s="118"/>
      <c r="G260" s="118"/>
      <c r="H260" s="118"/>
      <c r="I260" s="118"/>
      <c r="J260" s="118"/>
      <c r="K260" s="118"/>
      <c r="L260" s="118"/>
      <c r="M260" s="118"/>
      <c r="N260" s="118"/>
      <c r="O260" s="118"/>
      <c r="P260" s="118"/>
      <c r="Q260" s="118"/>
      <c r="R260" s="118"/>
      <c r="S260" s="118"/>
      <c r="T260" s="118"/>
    </row>
    <row r="261" spans="2:20">
      <c r="B261" s="118"/>
      <c r="C261" s="118"/>
      <c r="D261" s="118"/>
      <c r="E261" s="118"/>
      <c r="F261" s="118"/>
      <c r="G261" s="118"/>
      <c r="H261" s="118"/>
      <c r="I261" s="118"/>
      <c r="J261" s="118"/>
      <c r="K261" s="118"/>
      <c r="L261" s="118"/>
      <c r="M261" s="118"/>
      <c r="N261" s="118"/>
      <c r="O261" s="118"/>
      <c r="P261" s="118"/>
      <c r="Q261" s="118"/>
      <c r="R261" s="118"/>
      <c r="S261" s="118"/>
      <c r="T261" s="118"/>
    </row>
    <row r="262" spans="2:20">
      <c r="B262" s="118"/>
      <c r="C262" s="118"/>
      <c r="D262" s="118"/>
      <c r="E262" s="118"/>
      <c r="F262" s="118"/>
      <c r="G262" s="118"/>
      <c r="H262" s="118"/>
      <c r="I262" s="118"/>
      <c r="J262" s="118"/>
      <c r="K262" s="118"/>
      <c r="L262" s="118"/>
      <c r="M262" s="118"/>
      <c r="N262" s="118"/>
      <c r="O262" s="118"/>
      <c r="P262" s="118"/>
      <c r="Q262" s="118"/>
      <c r="R262" s="118"/>
      <c r="S262" s="118"/>
      <c r="T262" s="118"/>
    </row>
    <row r="263" spans="2:20">
      <c r="B263" s="118"/>
      <c r="C263" s="118"/>
      <c r="D263" s="118"/>
      <c r="E263" s="118"/>
      <c r="F263" s="118"/>
      <c r="G263" s="118"/>
      <c r="H263" s="118"/>
      <c r="I263" s="118"/>
      <c r="J263" s="118"/>
      <c r="K263" s="118"/>
      <c r="L263" s="118"/>
      <c r="M263" s="118"/>
      <c r="N263" s="118"/>
      <c r="O263" s="118"/>
      <c r="P263" s="118"/>
      <c r="Q263" s="118"/>
      <c r="R263" s="118"/>
      <c r="S263" s="118"/>
      <c r="T263" s="118"/>
    </row>
    <row r="264" spans="2:20">
      <c r="B264" s="118"/>
      <c r="C264" s="118"/>
      <c r="D264" s="118"/>
      <c r="E264" s="118"/>
      <c r="F264" s="118"/>
      <c r="G264" s="118"/>
      <c r="H264" s="118"/>
      <c r="I264" s="118"/>
      <c r="J264" s="118"/>
      <c r="K264" s="118"/>
      <c r="L264" s="118"/>
      <c r="M264" s="118"/>
      <c r="N264" s="118"/>
      <c r="O264" s="118"/>
      <c r="P264" s="118"/>
      <c r="Q264" s="118"/>
      <c r="R264" s="118"/>
      <c r="S264" s="118"/>
      <c r="T264" s="118"/>
    </row>
    <row r="265" spans="2:20">
      <c r="B265" s="118"/>
      <c r="C265" s="118"/>
      <c r="D265" s="118"/>
      <c r="E265" s="118"/>
      <c r="F265" s="118"/>
      <c r="G265" s="118"/>
      <c r="H265" s="118"/>
      <c r="I265" s="118"/>
      <c r="J265" s="118"/>
      <c r="K265" s="118"/>
      <c r="L265" s="118"/>
      <c r="M265" s="118"/>
      <c r="N265" s="118"/>
      <c r="O265" s="118"/>
      <c r="P265" s="118"/>
      <c r="Q265" s="118"/>
      <c r="R265" s="118"/>
      <c r="S265" s="118"/>
      <c r="T265" s="118"/>
    </row>
    <row r="266" spans="2:20">
      <c r="B266" s="118"/>
      <c r="C266" s="118"/>
      <c r="D266" s="118"/>
      <c r="E266" s="118"/>
      <c r="F266" s="118"/>
      <c r="G266" s="118"/>
      <c r="H266" s="118"/>
      <c r="I266" s="118"/>
      <c r="J266" s="118"/>
      <c r="K266" s="118"/>
      <c r="L266" s="118"/>
      <c r="M266" s="118"/>
      <c r="N266" s="118"/>
      <c r="O266" s="118"/>
      <c r="P266" s="118"/>
      <c r="Q266" s="118"/>
      <c r="R266" s="118"/>
      <c r="S266" s="118"/>
      <c r="T266" s="118"/>
    </row>
    <row r="267" spans="2:20">
      <c r="B267" s="118"/>
      <c r="C267" s="118"/>
      <c r="D267" s="118"/>
      <c r="E267" s="118"/>
      <c r="F267" s="118"/>
      <c r="G267" s="118"/>
      <c r="H267" s="118"/>
      <c r="I267" s="118"/>
      <c r="J267" s="118"/>
      <c r="K267" s="118"/>
      <c r="L267" s="118"/>
      <c r="M267" s="118"/>
      <c r="N267" s="118"/>
      <c r="O267" s="118"/>
      <c r="P267" s="118"/>
      <c r="Q267" s="118"/>
      <c r="R267" s="118"/>
      <c r="S267" s="118"/>
      <c r="T267" s="118"/>
    </row>
    <row r="268" spans="2:20">
      <c r="B268" s="118"/>
      <c r="C268" s="118"/>
      <c r="D268" s="118"/>
      <c r="E268" s="118"/>
      <c r="F268" s="118"/>
      <c r="G268" s="118"/>
      <c r="H268" s="118"/>
      <c r="I268" s="118"/>
      <c r="J268" s="118"/>
      <c r="K268" s="118"/>
      <c r="L268" s="118"/>
      <c r="M268" s="118"/>
      <c r="N268" s="118"/>
      <c r="O268" s="118"/>
      <c r="P268" s="118"/>
      <c r="Q268" s="118"/>
      <c r="R268" s="118"/>
      <c r="S268" s="118"/>
      <c r="T268" s="118"/>
    </row>
    <row r="269" spans="2:20">
      <c r="B269" s="118"/>
      <c r="C269" s="118"/>
      <c r="D269" s="118"/>
      <c r="E269" s="118"/>
      <c r="F269" s="118"/>
      <c r="G269" s="118"/>
      <c r="H269" s="118"/>
      <c r="I269" s="118"/>
      <c r="J269" s="118"/>
      <c r="K269" s="118"/>
      <c r="L269" s="118"/>
      <c r="M269" s="118"/>
      <c r="N269" s="118"/>
      <c r="O269" s="118"/>
      <c r="P269" s="118"/>
      <c r="Q269" s="118"/>
      <c r="R269" s="118"/>
      <c r="S269" s="118"/>
      <c r="T269" s="118"/>
    </row>
    <row r="270" spans="2:20">
      <c r="B270" s="118"/>
      <c r="C270" s="118"/>
      <c r="D270" s="118"/>
      <c r="E270" s="118"/>
      <c r="F270" s="118"/>
      <c r="G270" s="118"/>
      <c r="H270" s="118"/>
      <c r="I270" s="118"/>
      <c r="J270" s="118"/>
      <c r="K270" s="118"/>
      <c r="L270" s="118"/>
      <c r="M270" s="118"/>
      <c r="N270" s="118"/>
      <c r="O270" s="118"/>
      <c r="P270" s="118"/>
      <c r="Q270" s="118"/>
      <c r="R270" s="118"/>
      <c r="S270" s="118"/>
      <c r="T270" s="118"/>
    </row>
    <row r="271" spans="2:20">
      <c r="B271" s="118"/>
      <c r="C271" s="118"/>
      <c r="D271" s="118"/>
      <c r="E271" s="118"/>
      <c r="F271" s="118"/>
      <c r="G271" s="118"/>
      <c r="H271" s="118"/>
      <c r="I271" s="118"/>
      <c r="J271" s="118"/>
      <c r="K271" s="118"/>
      <c r="L271" s="118"/>
      <c r="M271" s="118"/>
      <c r="N271" s="118"/>
      <c r="O271" s="118"/>
      <c r="P271" s="118"/>
      <c r="Q271" s="118"/>
      <c r="R271" s="118"/>
      <c r="S271" s="118"/>
      <c r="T271" s="118"/>
    </row>
    <row r="272" spans="2:20">
      <c r="B272" s="118"/>
      <c r="C272" s="118"/>
      <c r="D272" s="118"/>
      <c r="E272" s="118"/>
      <c r="F272" s="118"/>
      <c r="G272" s="118"/>
      <c r="H272" s="118"/>
      <c r="I272" s="118"/>
      <c r="J272" s="118"/>
      <c r="K272" s="118"/>
      <c r="L272" s="118"/>
      <c r="M272" s="118"/>
      <c r="N272" s="118"/>
      <c r="O272" s="118"/>
      <c r="P272" s="118"/>
      <c r="Q272" s="118"/>
      <c r="R272" s="118"/>
      <c r="S272" s="118"/>
      <c r="T272" s="118"/>
    </row>
    <row r="273" spans="2:20">
      <c r="B273" s="118"/>
      <c r="C273" s="118"/>
      <c r="D273" s="118"/>
      <c r="E273" s="118"/>
      <c r="F273" s="118"/>
      <c r="G273" s="118"/>
      <c r="H273" s="118"/>
      <c r="I273" s="118"/>
      <c r="J273" s="118"/>
      <c r="K273" s="118"/>
      <c r="L273" s="118"/>
      <c r="M273" s="118"/>
      <c r="N273" s="118"/>
      <c r="O273" s="118"/>
      <c r="P273" s="118"/>
      <c r="Q273" s="118"/>
      <c r="R273" s="118"/>
      <c r="S273" s="118"/>
      <c r="T273" s="118"/>
    </row>
    <row r="274" spans="2:20">
      <c r="B274" s="118"/>
      <c r="C274" s="118"/>
      <c r="D274" s="118"/>
      <c r="E274" s="118"/>
      <c r="F274" s="118"/>
      <c r="G274" s="118"/>
      <c r="H274" s="118"/>
      <c r="I274" s="118"/>
      <c r="J274" s="118"/>
      <c r="K274" s="118"/>
      <c r="L274" s="118"/>
      <c r="M274" s="118"/>
      <c r="N274" s="118"/>
      <c r="O274" s="118"/>
      <c r="P274" s="118"/>
      <c r="Q274" s="118"/>
      <c r="R274" s="118"/>
      <c r="S274" s="118"/>
      <c r="T274" s="118"/>
    </row>
    <row r="275" spans="2:20">
      <c r="B275" s="118"/>
      <c r="C275" s="118"/>
      <c r="D275" s="118"/>
      <c r="E275" s="118"/>
      <c r="F275" s="118"/>
      <c r="G275" s="118"/>
      <c r="H275" s="118"/>
      <c r="I275" s="118"/>
      <c r="J275" s="118"/>
      <c r="K275" s="118"/>
      <c r="L275" s="118"/>
      <c r="M275" s="118"/>
      <c r="N275" s="118"/>
      <c r="O275" s="118"/>
      <c r="P275" s="118"/>
      <c r="Q275" s="118"/>
      <c r="R275" s="118"/>
      <c r="S275" s="118"/>
      <c r="T275" s="118"/>
    </row>
    <row r="276" spans="2:20">
      <c r="B276" s="118"/>
      <c r="C276" s="118"/>
      <c r="D276" s="118"/>
      <c r="E276" s="118"/>
      <c r="F276" s="118"/>
      <c r="G276" s="118"/>
      <c r="H276" s="118"/>
      <c r="I276" s="118"/>
      <c r="J276" s="118"/>
      <c r="K276" s="118"/>
      <c r="L276" s="118"/>
      <c r="M276" s="118"/>
      <c r="N276" s="118"/>
      <c r="O276" s="118"/>
      <c r="P276" s="118"/>
      <c r="Q276" s="118"/>
      <c r="R276" s="118"/>
      <c r="S276" s="118"/>
      <c r="T276" s="118"/>
    </row>
    <row r="277" spans="2:20">
      <c r="B277" s="118"/>
      <c r="C277" s="118"/>
      <c r="D277" s="118"/>
      <c r="E277" s="118"/>
      <c r="F277" s="118"/>
      <c r="G277" s="118"/>
      <c r="H277" s="118"/>
      <c r="I277" s="118"/>
      <c r="J277" s="118"/>
      <c r="K277" s="118"/>
      <c r="L277" s="118"/>
      <c r="M277" s="118"/>
      <c r="N277" s="118"/>
      <c r="O277" s="118"/>
      <c r="P277" s="118"/>
      <c r="Q277" s="118"/>
      <c r="R277" s="118"/>
      <c r="S277" s="118"/>
      <c r="T277" s="118"/>
    </row>
    <row r="278" spans="2:20">
      <c r="B278" s="118"/>
      <c r="C278" s="118"/>
      <c r="D278" s="118"/>
      <c r="E278" s="118"/>
      <c r="F278" s="118"/>
      <c r="G278" s="118"/>
      <c r="H278" s="118"/>
      <c r="I278" s="118"/>
      <c r="J278" s="118"/>
      <c r="K278" s="118"/>
      <c r="L278" s="118"/>
      <c r="M278" s="118"/>
      <c r="N278" s="118"/>
      <c r="O278" s="118"/>
      <c r="P278" s="118"/>
      <c r="Q278" s="118"/>
      <c r="R278" s="118"/>
      <c r="S278" s="118"/>
      <c r="T278" s="118"/>
    </row>
    <row r="279" spans="2:20">
      <c r="B279" s="118"/>
      <c r="C279" s="118"/>
      <c r="D279" s="118"/>
      <c r="E279" s="118"/>
      <c r="F279" s="118"/>
      <c r="G279" s="118"/>
      <c r="H279" s="118"/>
      <c r="I279" s="118"/>
      <c r="J279" s="118"/>
      <c r="K279" s="118"/>
      <c r="L279" s="118"/>
      <c r="M279" s="118"/>
      <c r="N279" s="118"/>
      <c r="O279" s="118"/>
      <c r="P279" s="118"/>
      <c r="Q279" s="118"/>
      <c r="R279" s="118"/>
      <c r="S279" s="118"/>
      <c r="T279" s="118"/>
    </row>
    <row r="280" spans="2:20">
      <c r="B280" s="118"/>
      <c r="C280" s="118"/>
      <c r="D280" s="118"/>
      <c r="E280" s="118"/>
      <c r="F280" s="118"/>
      <c r="G280" s="118"/>
      <c r="H280" s="118"/>
      <c r="I280" s="118"/>
      <c r="J280" s="118"/>
      <c r="K280" s="118"/>
      <c r="L280" s="118"/>
      <c r="M280" s="118"/>
      <c r="N280" s="118"/>
      <c r="O280" s="118"/>
      <c r="P280" s="118"/>
      <c r="Q280" s="118"/>
      <c r="R280" s="118"/>
      <c r="S280" s="118"/>
      <c r="T280" s="118"/>
    </row>
    <row r="281" spans="2:20">
      <c r="B281" s="118"/>
      <c r="C281" s="118"/>
      <c r="D281" s="118"/>
      <c r="E281" s="118"/>
      <c r="F281" s="118"/>
      <c r="G281" s="118"/>
      <c r="H281" s="118"/>
      <c r="I281" s="118"/>
      <c r="J281" s="118"/>
      <c r="K281" s="118"/>
      <c r="L281" s="118"/>
      <c r="M281" s="118"/>
      <c r="N281" s="118"/>
      <c r="O281" s="118"/>
      <c r="P281" s="118"/>
      <c r="Q281" s="118"/>
      <c r="R281" s="118"/>
      <c r="S281" s="118"/>
      <c r="T281" s="118"/>
    </row>
    <row r="282" spans="2:20">
      <c r="B282" s="118"/>
      <c r="C282" s="118"/>
      <c r="D282" s="118"/>
      <c r="E282" s="118"/>
      <c r="F282" s="118"/>
      <c r="G282" s="118"/>
      <c r="H282" s="118"/>
      <c r="I282" s="118"/>
      <c r="J282" s="118"/>
      <c r="K282" s="118"/>
      <c r="L282" s="118"/>
      <c r="M282" s="118"/>
      <c r="N282" s="118"/>
      <c r="O282" s="118"/>
      <c r="P282" s="118"/>
      <c r="Q282" s="118"/>
      <c r="R282" s="118"/>
      <c r="S282" s="118"/>
      <c r="T282" s="118"/>
    </row>
    <row r="283" spans="2:20">
      <c r="B283" s="118"/>
      <c r="C283" s="118"/>
      <c r="D283" s="118"/>
      <c r="E283" s="118"/>
      <c r="F283" s="118"/>
      <c r="G283" s="118"/>
      <c r="H283" s="118"/>
      <c r="I283" s="118"/>
      <c r="J283" s="118"/>
      <c r="K283" s="118"/>
      <c r="L283" s="118"/>
      <c r="M283" s="118"/>
      <c r="N283" s="118"/>
      <c r="O283" s="118"/>
      <c r="P283" s="118"/>
      <c r="Q283" s="118"/>
      <c r="R283" s="118"/>
      <c r="S283" s="118"/>
      <c r="T283" s="118"/>
    </row>
    <row r="284" spans="2:20">
      <c r="B284" s="118"/>
      <c r="C284" s="118"/>
      <c r="D284" s="118"/>
      <c r="E284" s="118"/>
      <c r="F284" s="118"/>
      <c r="G284" s="118"/>
      <c r="H284" s="118"/>
      <c r="I284" s="118"/>
      <c r="J284" s="118"/>
      <c r="K284" s="118"/>
      <c r="L284" s="118"/>
      <c r="M284" s="118"/>
      <c r="N284" s="118"/>
      <c r="O284" s="118"/>
      <c r="P284" s="118"/>
      <c r="Q284" s="118"/>
      <c r="R284" s="118"/>
      <c r="S284" s="118"/>
      <c r="T284" s="118"/>
    </row>
    <row r="285" spans="2:20">
      <c r="B285" s="118"/>
      <c r="C285" s="118"/>
      <c r="D285" s="118"/>
      <c r="E285" s="118"/>
      <c r="F285" s="118"/>
      <c r="G285" s="118"/>
      <c r="H285" s="118"/>
      <c r="I285" s="118"/>
      <c r="J285" s="118"/>
      <c r="K285" s="118"/>
      <c r="L285" s="118"/>
      <c r="M285" s="118"/>
      <c r="N285" s="118"/>
      <c r="O285" s="118"/>
      <c r="P285" s="118"/>
      <c r="Q285" s="118"/>
      <c r="R285" s="118"/>
      <c r="S285" s="118"/>
      <c r="T285" s="118"/>
    </row>
    <row r="286" spans="2:20">
      <c r="B286" s="118"/>
      <c r="C286" s="118"/>
      <c r="D286" s="118"/>
      <c r="E286" s="118"/>
      <c r="F286" s="118"/>
      <c r="G286" s="118"/>
      <c r="H286" s="118"/>
      <c r="I286" s="118"/>
      <c r="J286" s="118"/>
      <c r="K286" s="118"/>
      <c r="L286" s="118"/>
      <c r="M286" s="118"/>
      <c r="N286" s="118"/>
      <c r="O286" s="118"/>
      <c r="P286" s="118"/>
      <c r="Q286" s="118"/>
      <c r="R286" s="118"/>
      <c r="S286" s="118"/>
      <c r="T286" s="118"/>
    </row>
    <row r="287" spans="2:20">
      <c r="B287" s="118"/>
      <c r="C287" s="118"/>
      <c r="D287" s="118"/>
      <c r="E287" s="118"/>
      <c r="F287" s="118"/>
      <c r="G287" s="118"/>
      <c r="H287" s="118"/>
      <c r="I287" s="118"/>
      <c r="J287" s="118"/>
      <c r="K287" s="118"/>
      <c r="L287" s="118"/>
      <c r="M287" s="118"/>
      <c r="N287" s="118"/>
      <c r="O287" s="118"/>
      <c r="P287" s="118"/>
      <c r="Q287" s="118"/>
      <c r="R287" s="118"/>
      <c r="S287" s="118"/>
      <c r="T287" s="118"/>
    </row>
    <row r="288" spans="2:20">
      <c r="B288" s="118"/>
      <c r="C288" s="118"/>
      <c r="D288" s="118"/>
      <c r="E288" s="118"/>
      <c r="F288" s="118"/>
      <c r="G288" s="118"/>
      <c r="H288" s="118"/>
      <c r="I288" s="118"/>
      <c r="J288" s="118"/>
      <c r="K288" s="118"/>
      <c r="L288" s="118"/>
      <c r="M288" s="118"/>
      <c r="N288" s="118"/>
      <c r="O288" s="118"/>
      <c r="P288" s="118"/>
      <c r="Q288" s="118"/>
      <c r="R288" s="118"/>
      <c r="S288" s="118"/>
      <c r="T288" s="118"/>
    </row>
    <row r="289" spans="2:20">
      <c r="B289" s="118"/>
      <c r="C289" s="118"/>
      <c r="D289" s="118"/>
      <c r="E289" s="118"/>
      <c r="F289" s="118"/>
      <c r="G289" s="118"/>
      <c r="H289" s="118"/>
      <c r="I289" s="118"/>
      <c r="J289" s="118"/>
      <c r="K289" s="118"/>
      <c r="L289" s="118"/>
      <c r="M289" s="118"/>
      <c r="N289" s="118"/>
      <c r="O289" s="118"/>
      <c r="P289" s="118"/>
      <c r="Q289" s="118"/>
      <c r="R289" s="118"/>
      <c r="S289" s="118"/>
      <c r="T289" s="118"/>
    </row>
    <row r="290" spans="2:20">
      <c r="B290" s="118"/>
      <c r="C290" s="118"/>
      <c r="D290" s="118"/>
      <c r="E290" s="118"/>
      <c r="F290" s="118"/>
      <c r="G290" s="118"/>
      <c r="H290" s="118"/>
      <c r="I290" s="118"/>
      <c r="J290" s="118"/>
      <c r="K290" s="118"/>
      <c r="L290" s="118"/>
      <c r="M290" s="118"/>
      <c r="N290" s="118"/>
      <c r="O290" s="118"/>
      <c r="P290" s="118"/>
      <c r="Q290" s="118"/>
      <c r="R290" s="118"/>
      <c r="S290" s="118"/>
      <c r="T290" s="118"/>
    </row>
    <row r="291" spans="2:20">
      <c r="B291" s="118"/>
      <c r="C291" s="118"/>
      <c r="D291" s="118"/>
      <c r="E291" s="118"/>
      <c r="F291" s="118"/>
      <c r="G291" s="118"/>
      <c r="H291" s="118"/>
      <c r="I291" s="118"/>
      <c r="J291" s="118"/>
      <c r="K291" s="118"/>
      <c r="L291" s="118"/>
      <c r="M291" s="118"/>
      <c r="N291" s="118"/>
      <c r="O291" s="118"/>
      <c r="P291" s="118"/>
      <c r="Q291" s="118"/>
      <c r="R291" s="118"/>
      <c r="S291" s="118"/>
      <c r="T291" s="118"/>
    </row>
    <row r="292" spans="2:20">
      <c r="B292" s="118"/>
      <c r="C292" s="118"/>
      <c r="D292" s="118"/>
      <c r="E292" s="118"/>
      <c r="F292" s="118"/>
      <c r="G292" s="118"/>
      <c r="H292" s="118"/>
      <c r="I292" s="118"/>
      <c r="J292" s="118"/>
      <c r="K292" s="118"/>
      <c r="L292" s="118"/>
      <c r="M292" s="118"/>
      <c r="N292" s="118"/>
      <c r="O292" s="118"/>
      <c r="P292" s="118"/>
      <c r="Q292" s="118"/>
      <c r="R292" s="118"/>
      <c r="S292" s="118"/>
      <c r="T292" s="118"/>
    </row>
    <row r="293" spans="2:20">
      <c r="B293" s="118"/>
      <c r="C293" s="118"/>
      <c r="D293" s="118"/>
      <c r="E293" s="118"/>
      <c r="F293" s="118"/>
      <c r="G293" s="118"/>
      <c r="H293" s="118"/>
      <c r="I293" s="118"/>
      <c r="J293" s="118"/>
      <c r="K293" s="118"/>
      <c r="L293" s="118"/>
      <c r="M293" s="118"/>
      <c r="N293" s="118"/>
      <c r="O293" s="118"/>
      <c r="P293" s="118"/>
      <c r="Q293" s="118"/>
      <c r="R293" s="118"/>
      <c r="S293" s="118"/>
      <c r="T293" s="118"/>
    </row>
    <row r="294" spans="2:20">
      <c r="B294" s="118"/>
      <c r="C294" s="118"/>
      <c r="D294" s="118"/>
      <c r="E294" s="118"/>
      <c r="F294" s="118"/>
      <c r="G294" s="118"/>
      <c r="H294" s="118"/>
      <c r="I294" s="118"/>
      <c r="J294" s="118"/>
      <c r="K294" s="118"/>
      <c r="L294" s="118"/>
      <c r="M294" s="118"/>
      <c r="N294" s="118"/>
      <c r="O294" s="118"/>
      <c r="P294" s="118"/>
      <c r="Q294" s="118"/>
      <c r="R294" s="118"/>
      <c r="S294" s="118"/>
      <c r="T294" s="118"/>
    </row>
    <row r="295" spans="2:20">
      <c r="B295" s="118"/>
      <c r="C295" s="118"/>
      <c r="D295" s="118"/>
      <c r="E295" s="118"/>
      <c r="F295" s="118"/>
      <c r="G295" s="118"/>
      <c r="H295" s="118"/>
      <c r="I295" s="118"/>
      <c r="J295" s="118"/>
      <c r="K295" s="118"/>
      <c r="L295" s="118"/>
      <c r="M295" s="118"/>
      <c r="N295" s="118"/>
      <c r="O295" s="118"/>
      <c r="P295" s="118"/>
      <c r="Q295" s="118"/>
      <c r="R295" s="118"/>
      <c r="S295" s="118"/>
      <c r="T295" s="118"/>
    </row>
    <row r="296" spans="2:20">
      <c r="B296" s="118"/>
      <c r="C296" s="118"/>
      <c r="D296" s="118"/>
      <c r="E296" s="118"/>
      <c r="F296" s="118"/>
      <c r="G296" s="118"/>
      <c r="H296" s="118"/>
      <c r="I296" s="118"/>
      <c r="J296" s="118"/>
      <c r="K296" s="118"/>
      <c r="L296" s="118"/>
      <c r="M296" s="118"/>
      <c r="N296" s="118"/>
      <c r="O296" s="118"/>
      <c r="P296" s="118"/>
      <c r="Q296" s="118"/>
      <c r="R296" s="118"/>
      <c r="S296" s="118"/>
      <c r="T296" s="118"/>
    </row>
    <row r="297" spans="2:20">
      <c r="B297" s="118"/>
      <c r="C297" s="118"/>
      <c r="D297" s="118"/>
      <c r="E297" s="118"/>
      <c r="F297" s="118"/>
      <c r="G297" s="118"/>
      <c r="H297" s="118"/>
      <c r="I297" s="118"/>
      <c r="J297" s="118"/>
      <c r="K297" s="118"/>
      <c r="L297" s="118"/>
      <c r="M297" s="118"/>
      <c r="N297" s="118"/>
      <c r="O297" s="118"/>
      <c r="P297" s="118"/>
      <c r="Q297" s="118"/>
      <c r="R297" s="118"/>
      <c r="S297" s="118"/>
      <c r="T297" s="118"/>
    </row>
    <row r="298" spans="2:20">
      <c r="B298" s="118"/>
      <c r="C298" s="118"/>
      <c r="D298" s="118"/>
      <c r="E298" s="118"/>
      <c r="F298" s="118"/>
      <c r="G298" s="118"/>
      <c r="H298" s="118"/>
      <c r="I298" s="118"/>
      <c r="J298" s="118"/>
      <c r="K298" s="118"/>
      <c r="L298" s="118"/>
      <c r="M298" s="118"/>
      <c r="N298" s="118"/>
      <c r="O298" s="118"/>
      <c r="P298" s="118"/>
      <c r="Q298" s="118"/>
      <c r="R298" s="118"/>
      <c r="S298" s="118"/>
      <c r="T298" s="118"/>
    </row>
    <row r="299" spans="2:20">
      <c r="B299" s="118"/>
      <c r="C299" s="118"/>
      <c r="D299" s="118"/>
      <c r="E299" s="118"/>
      <c r="F299" s="118"/>
      <c r="G299" s="118"/>
      <c r="H299" s="118"/>
      <c r="I299" s="118"/>
      <c r="J299" s="118"/>
      <c r="K299" s="118"/>
      <c r="L299" s="118"/>
      <c r="M299" s="118"/>
      <c r="N299" s="118"/>
      <c r="O299" s="118"/>
      <c r="P299" s="118"/>
      <c r="Q299" s="118"/>
      <c r="R299" s="118"/>
      <c r="S299" s="118"/>
      <c r="T299" s="118"/>
    </row>
    <row r="300" spans="2:20">
      <c r="B300" s="118"/>
      <c r="C300" s="118"/>
      <c r="D300" s="118"/>
      <c r="E300" s="118"/>
      <c r="F300" s="118"/>
      <c r="G300" s="118"/>
      <c r="H300" s="118"/>
      <c r="I300" s="118"/>
      <c r="J300" s="118"/>
      <c r="K300" s="118"/>
      <c r="L300" s="118"/>
      <c r="M300" s="118"/>
      <c r="N300" s="118"/>
      <c r="O300" s="118"/>
      <c r="P300" s="118"/>
      <c r="Q300" s="118"/>
      <c r="R300" s="118"/>
      <c r="S300" s="118"/>
      <c r="T300" s="118"/>
    </row>
    <row r="301" spans="2:20">
      <c r="B301" s="118"/>
      <c r="C301" s="118"/>
      <c r="D301" s="118"/>
      <c r="E301" s="118"/>
      <c r="F301" s="118"/>
      <c r="G301" s="118"/>
      <c r="H301" s="118"/>
      <c r="I301" s="118"/>
      <c r="J301" s="118"/>
      <c r="K301" s="118"/>
      <c r="L301" s="118"/>
      <c r="M301" s="118"/>
      <c r="N301" s="118"/>
      <c r="O301" s="118"/>
      <c r="P301" s="118"/>
      <c r="Q301" s="118"/>
      <c r="R301" s="118"/>
      <c r="S301" s="118"/>
      <c r="T301" s="118"/>
    </row>
    <row r="302" spans="2:20">
      <c r="B302" s="118"/>
      <c r="C302" s="118"/>
      <c r="D302" s="118"/>
      <c r="E302" s="118"/>
      <c r="F302" s="118"/>
      <c r="G302" s="118"/>
      <c r="H302" s="118"/>
      <c r="I302" s="118"/>
      <c r="J302" s="118"/>
      <c r="K302" s="118"/>
      <c r="L302" s="118"/>
      <c r="M302" s="118"/>
      <c r="N302" s="118"/>
      <c r="O302" s="118"/>
      <c r="P302" s="118"/>
      <c r="Q302" s="118"/>
      <c r="R302" s="118"/>
      <c r="S302" s="118"/>
      <c r="T302" s="118"/>
    </row>
    <row r="303" spans="2:20">
      <c r="B303" s="118"/>
      <c r="C303" s="118"/>
      <c r="D303" s="118"/>
      <c r="E303" s="118"/>
      <c r="F303" s="118"/>
      <c r="G303" s="118"/>
      <c r="H303" s="118"/>
      <c r="I303" s="118"/>
      <c r="J303" s="118"/>
      <c r="K303" s="118"/>
      <c r="L303" s="118"/>
      <c r="M303" s="118"/>
      <c r="N303" s="118"/>
      <c r="O303" s="118"/>
      <c r="P303" s="118"/>
      <c r="Q303" s="118"/>
      <c r="R303" s="118"/>
      <c r="S303" s="118"/>
      <c r="T303" s="118"/>
    </row>
    <row r="304" spans="2:20">
      <c r="B304" s="118"/>
      <c r="C304" s="118"/>
      <c r="D304" s="118"/>
      <c r="E304" s="118"/>
      <c r="F304" s="118"/>
      <c r="G304" s="118"/>
      <c r="H304" s="118"/>
      <c r="I304" s="118"/>
      <c r="J304" s="118"/>
      <c r="K304" s="118"/>
      <c r="L304" s="118"/>
      <c r="M304" s="118"/>
      <c r="N304" s="118"/>
      <c r="O304" s="118"/>
      <c r="P304" s="118"/>
      <c r="Q304" s="118"/>
      <c r="R304" s="118"/>
      <c r="S304" s="118"/>
      <c r="T304" s="118"/>
    </row>
    <row r="305" spans="2:20">
      <c r="B305" s="118"/>
      <c r="C305" s="118"/>
      <c r="D305" s="118"/>
      <c r="E305" s="118"/>
      <c r="F305" s="118"/>
      <c r="G305" s="118"/>
      <c r="H305" s="118"/>
      <c r="I305" s="118"/>
      <c r="J305" s="118"/>
      <c r="K305" s="118"/>
      <c r="L305" s="118"/>
      <c r="M305" s="118"/>
      <c r="N305" s="118"/>
      <c r="O305" s="118"/>
      <c r="P305" s="118"/>
      <c r="Q305" s="118"/>
      <c r="R305" s="118"/>
      <c r="S305" s="118"/>
      <c r="T305" s="118"/>
    </row>
    <row r="306" spans="2:20">
      <c r="B306" s="118"/>
      <c r="C306" s="118"/>
      <c r="D306" s="118"/>
      <c r="E306" s="118"/>
      <c r="F306" s="118"/>
      <c r="G306" s="118"/>
      <c r="H306" s="118"/>
      <c r="I306" s="118"/>
      <c r="J306" s="118"/>
      <c r="K306" s="118"/>
      <c r="L306" s="118"/>
      <c r="M306" s="118"/>
      <c r="N306" s="118"/>
      <c r="O306" s="118"/>
      <c r="P306" s="118"/>
      <c r="Q306" s="118"/>
      <c r="R306" s="118"/>
      <c r="S306" s="118"/>
      <c r="T306" s="118"/>
    </row>
    <row r="307" spans="2:20">
      <c r="B307" s="118"/>
      <c r="C307" s="118"/>
      <c r="D307" s="118"/>
      <c r="E307" s="118"/>
      <c r="F307" s="118"/>
      <c r="G307" s="118"/>
      <c r="H307" s="118"/>
      <c r="I307" s="118"/>
      <c r="J307" s="118"/>
      <c r="K307" s="118"/>
      <c r="L307" s="118"/>
      <c r="M307" s="118"/>
      <c r="N307" s="118"/>
      <c r="O307" s="118"/>
      <c r="P307" s="118"/>
      <c r="Q307" s="118"/>
      <c r="R307" s="118"/>
      <c r="S307" s="118"/>
      <c r="T307" s="118"/>
    </row>
    <row r="308" spans="2:20">
      <c r="B308" s="118"/>
      <c r="C308" s="118"/>
      <c r="D308" s="118"/>
      <c r="E308" s="118"/>
      <c r="F308" s="118"/>
      <c r="G308" s="118"/>
      <c r="H308" s="118"/>
      <c r="I308" s="118"/>
      <c r="J308" s="118"/>
      <c r="K308" s="118"/>
      <c r="L308" s="118"/>
      <c r="M308" s="118"/>
      <c r="N308" s="118"/>
      <c r="O308" s="118"/>
      <c r="P308" s="118"/>
      <c r="Q308" s="118"/>
      <c r="R308" s="118"/>
      <c r="S308" s="118"/>
      <c r="T308" s="118"/>
    </row>
    <row r="309" spans="2:20">
      <c r="B309" s="118"/>
      <c r="C309" s="118"/>
      <c r="D309" s="118"/>
      <c r="E309" s="118"/>
      <c r="F309" s="118"/>
      <c r="G309" s="118"/>
      <c r="H309" s="118"/>
      <c r="I309" s="118"/>
      <c r="J309" s="118"/>
      <c r="K309" s="118"/>
      <c r="L309" s="118"/>
      <c r="M309" s="118"/>
      <c r="N309" s="118"/>
      <c r="O309" s="118"/>
      <c r="P309" s="118"/>
      <c r="Q309" s="118"/>
      <c r="R309" s="118"/>
      <c r="S309" s="118"/>
      <c r="T309" s="118"/>
    </row>
    <row r="310" spans="2:20">
      <c r="B310" s="118"/>
      <c r="C310" s="118"/>
      <c r="D310" s="118"/>
      <c r="E310" s="118"/>
      <c r="F310" s="118"/>
      <c r="G310" s="118"/>
      <c r="H310" s="118"/>
      <c r="I310" s="118"/>
      <c r="J310" s="118"/>
      <c r="K310" s="118"/>
      <c r="L310" s="118"/>
      <c r="M310" s="118"/>
      <c r="N310" s="118"/>
      <c r="O310" s="118"/>
      <c r="P310" s="118"/>
      <c r="Q310" s="118"/>
      <c r="R310" s="118"/>
      <c r="S310" s="118"/>
      <c r="T310" s="118"/>
    </row>
    <row r="311" spans="2:20">
      <c r="B311" s="118"/>
      <c r="C311" s="118"/>
      <c r="D311" s="118"/>
      <c r="E311" s="118"/>
      <c r="F311" s="118"/>
      <c r="G311" s="118"/>
      <c r="H311" s="118"/>
      <c r="I311" s="118"/>
      <c r="J311" s="118"/>
      <c r="K311" s="118"/>
      <c r="L311" s="118"/>
      <c r="M311" s="118"/>
      <c r="N311" s="118"/>
      <c r="O311" s="118"/>
      <c r="P311" s="118"/>
      <c r="Q311" s="118"/>
      <c r="R311" s="118"/>
      <c r="S311" s="118"/>
      <c r="T311" s="118"/>
    </row>
    <row r="312" spans="2:20">
      <c r="B312" s="118"/>
      <c r="C312" s="118"/>
      <c r="D312" s="118"/>
      <c r="E312" s="118"/>
      <c r="F312" s="118"/>
      <c r="G312" s="118"/>
      <c r="H312" s="118"/>
      <c r="I312" s="118"/>
      <c r="J312" s="118"/>
      <c r="K312" s="118"/>
      <c r="L312" s="118"/>
      <c r="M312" s="118"/>
      <c r="N312" s="118"/>
      <c r="O312" s="118"/>
      <c r="P312" s="118"/>
      <c r="Q312" s="118"/>
      <c r="R312" s="118"/>
      <c r="S312" s="118"/>
      <c r="T312" s="118"/>
    </row>
    <row r="313" spans="2:20">
      <c r="B313" s="118"/>
      <c r="C313" s="118"/>
      <c r="D313" s="118"/>
      <c r="E313" s="118"/>
      <c r="F313" s="118"/>
      <c r="G313" s="118"/>
      <c r="H313" s="118"/>
      <c r="I313" s="118"/>
      <c r="J313" s="118"/>
      <c r="K313" s="118"/>
      <c r="L313" s="118"/>
      <c r="M313" s="118"/>
      <c r="N313" s="118"/>
      <c r="O313" s="118"/>
      <c r="P313" s="118"/>
      <c r="Q313" s="118"/>
      <c r="R313" s="118"/>
      <c r="S313" s="118"/>
      <c r="T313" s="118"/>
    </row>
    <row r="314" spans="2:20">
      <c r="B314" s="118"/>
      <c r="C314" s="118"/>
      <c r="D314" s="118"/>
      <c r="E314" s="118"/>
      <c r="F314" s="118"/>
      <c r="G314" s="118"/>
      <c r="H314" s="118"/>
      <c r="I314" s="118"/>
      <c r="J314" s="118"/>
      <c r="K314" s="118"/>
      <c r="L314" s="118"/>
      <c r="M314" s="118"/>
      <c r="N314" s="118"/>
      <c r="O314" s="118"/>
      <c r="P314" s="118"/>
      <c r="Q314" s="118"/>
      <c r="R314" s="118"/>
      <c r="S314" s="118"/>
      <c r="T314" s="118"/>
    </row>
    <row r="315" spans="2:20">
      <c r="B315" s="118"/>
      <c r="C315" s="118"/>
      <c r="D315" s="118"/>
      <c r="E315" s="118"/>
      <c r="F315" s="118"/>
      <c r="G315" s="118"/>
      <c r="H315" s="118"/>
      <c r="I315" s="118"/>
      <c r="J315" s="118"/>
      <c r="K315" s="118"/>
      <c r="L315" s="118"/>
      <c r="M315" s="118"/>
      <c r="N315" s="118"/>
      <c r="O315" s="118"/>
      <c r="P315" s="118"/>
      <c r="Q315" s="118"/>
      <c r="R315" s="118"/>
      <c r="S315" s="118"/>
      <c r="T315" s="118"/>
    </row>
    <row r="316" spans="2:20">
      <c r="B316" s="118"/>
      <c r="C316" s="118"/>
      <c r="D316" s="118"/>
      <c r="E316" s="118"/>
      <c r="F316" s="118"/>
      <c r="G316" s="118"/>
      <c r="H316" s="118"/>
      <c r="I316" s="118"/>
      <c r="J316" s="118"/>
      <c r="K316" s="118"/>
      <c r="L316" s="118"/>
      <c r="M316" s="118"/>
      <c r="N316" s="118"/>
      <c r="O316" s="118"/>
      <c r="P316" s="118"/>
      <c r="Q316" s="118"/>
      <c r="R316" s="118"/>
      <c r="S316" s="118"/>
      <c r="T316" s="118"/>
    </row>
    <row r="317" spans="2:20">
      <c r="B317" s="118"/>
      <c r="C317" s="118"/>
      <c r="D317" s="118"/>
      <c r="E317" s="118"/>
      <c r="F317" s="118"/>
      <c r="G317" s="118"/>
      <c r="H317" s="118"/>
      <c r="I317" s="118"/>
      <c r="J317" s="118"/>
      <c r="K317" s="118"/>
      <c r="L317" s="118"/>
      <c r="M317" s="118"/>
      <c r="N317" s="118"/>
      <c r="O317" s="118"/>
      <c r="P317" s="118"/>
      <c r="Q317" s="118"/>
      <c r="R317" s="118"/>
      <c r="S317" s="118"/>
      <c r="T317" s="118"/>
    </row>
    <row r="318" spans="2:20">
      <c r="B318" s="118"/>
      <c r="C318" s="118"/>
      <c r="D318" s="118"/>
      <c r="E318" s="118"/>
      <c r="F318" s="118"/>
      <c r="G318" s="118"/>
      <c r="H318" s="118"/>
      <c r="I318" s="118"/>
      <c r="J318" s="118"/>
      <c r="K318" s="118"/>
      <c r="L318" s="118"/>
      <c r="M318" s="118"/>
      <c r="N318" s="118"/>
      <c r="O318" s="118"/>
      <c r="P318" s="118"/>
      <c r="Q318" s="118"/>
      <c r="R318" s="118"/>
      <c r="S318" s="118"/>
      <c r="T318" s="118"/>
    </row>
    <row r="319" spans="2:20">
      <c r="B319" s="118"/>
      <c r="C319" s="118"/>
      <c r="D319" s="118"/>
      <c r="E319" s="118"/>
      <c r="F319" s="118"/>
      <c r="G319" s="118"/>
      <c r="H319" s="118"/>
      <c r="I319" s="118"/>
      <c r="J319" s="118"/>
      <c r="K319" s="118"/>
      <c r="L319" s="118"/>
      <c r="M319" s="118"/>
      <c r="N319" s="118"/>
      <c r="O319" s="118"/>
      <c r="P319" s="118"/>
      <c r="Q319" s="118"/>
      <c r="R319" s="118"/>
      <c r="S319" s="118"/>
      <c r="T319" s="118"/>
    </row>
    <row r="320" spans="2:20">
      <c r="B320" s="118"/>
      <c r="C320" s="118"/>
      <c r="D320" s="118"/>
      <c r="E320" s="118"/>
      <c r="F320" s="118"/>
      <c r="G320" s="118"/>
      <c r="H320" s="118"/>
      <c r="I320" s="118"/>
      <c r="J320" s="118"/>
      <c r="K320" s="118"/>
      <c r="L320" s="118"/>
      <c r="M320" s="118"/>
      <c r="N320" s="118"/>
      <c r="O320" s="118"/>
      <c r="P320" s="118"/>
      <c r="Q320" s="118"/>
      <c r="R320" s="118"/>
      <c r="S320" s="118"/>
      <c r="T320" s="118"/>
    </row>
    <row r="321" spans="2:20">
      <c r="B321" s="118"/>
      <c r="C321" s="118"/>
      <c r="D321" s="118"/>
      <c r="E321" s="118"/>
      <c r="F321" s="118"/>
      <c r="G321" s="118"/>
      <c r="H321" s="118"/>
      <c r="I321" s="118"/>
      <c r="J321" s="118"/>
      <c r="K321" s="118"/>
      <c r="L321" s="118"/>
      <c r="M321" s="118"/>
      <c r="N321" s="118"/>
      <c r="O321" s="118"/>
      <c r="P321" s="118"/>
      <c r="Q321" s="118"/>
      <c r="R321" s="118"/>
      <c r="S321" s="118"/>
      <c r="T321" s="118"/>
    </row>
    <row r="322" spans="2:20">
      <c r="B322" s="118"/>
      <c r="C322" s="118"/>
      <c r="D322" s="118"/>
      <c r="E322" s="118"/>
      <c r="F322" s="118"/>
      <c r="G322" s="118"/>
      <c r="H322" s="118"/>
      <c r="I322" s="118"/>
      <c r="J322" s="118"/>
      <c r="K322" s="118"/>
      <c r="L322" s="118"/>
      <c r="M322" s="118"/>
      <c r="N322" s="118"/>
      <c r="O322" s="118"/>
      <c r="P322" s="118"/>
      <c r="Q322" s="118"/>
      <c r="R322" s="118"/>
      <c r="S322" s="118"/>
      <c r="T322" s="118"/>
    </row>
    <row r="323" spans="2:20">
      <c r="B323" s="118"/>
      <c r="C323" s="118"/>
      <c r="D323" s="118"/>
      <c r="E323" s="118"/>
      <c r="F323" s="118"/>
      <c r="G323" s="118"/>
      <c r="H323" s="118"/>
      <c r="I323" s="118"/>
      <c r="J323" s="118"/>
      <c r="K323" s="118"/>
      <c r="L323" s="118"/>
      <c r="M323" s="118"/>
      <c r="N323" s="118"/>
      <c r="O323" s="118"/>
      <c r="P323" s="118"/>
      <c r="Q323" s="118"/>
      <c r="R323" s="118"/>
      <c r="S323" s="118"/>
      <c r="T323" s="118"/>
    </row>
    <row r="324" spans="2:20">
      <c r="B324" s="118"/>
      <c r="C324" s="118"/>
      <c r="D324" s="118"/>
      <c r="E324" s="118"/>
      <c r="F324" s="118"/>
      <c r="G324" s="118"/>
      <c r="H324" s="118"/>
      <c r="I324" s="118"/>
      <c r="J324" s="118"/>
      <c r="K324" s="118"/>
      <c r="L324" s="118"/>
      <c r="M324" s="118"/>
      <c r="N324" s="118"/>
      <c r="O324" s="118"/>
      <c r="P324" s="118"/>
      <c r="Q324" s="118"/>
      <c r="R324" s="118"/>
      <c r="S324" s="118"/>
      <c r="T324" s="118"/>
    </row>
    <row r="325" spans="2:20">
      <c r="B325" s="118"/>
      <c r="C325" s="118"/>
      <c r="D325" s="118"/>
      <c r="E325" s="118"/>
      <c r="F325" s="118"/>
      <c r="G325" s="118"/>
      <c r="H325" s="118"/>
      <c r="I325" s="118"/>
      <c r="J325" s="118"/>
      <c r="K325" s="118"/>
      <c r="L325" s="118"/>
      <c r="M325" s="118"/>
      <c r="N325" s="118"/>
      <c r="O325" s="118"/>
      <c r="P325" s="118"/>
      <c r="Q325" s="118"/>
      <c r="R325" s="118"/>
      <c r="S325" s="118"/>
      <c r="T325" s="118"/>
    </row>
    <row r="326" spans="2:20">
      <c r="B326" s="118"/>
      <c r="C326" s="118"/>
      <c r="D326" s="118"/>
      <c r="E326" s="118"/>
      <c r="F326" s="118"/>
      <c r="G326" s="118"/>
      <c r="H326" s="118"/>
      <c r="I326" s="118"/>
      <c r="J326" s="118"/>
      <c r="K326" s="118"/>
      <c r="L326" s="118"/>
      <c r="M326" s="118"/>
      <c r="N326" s="118"/>
      <c r="O326" s="118"/>
      <c r="P326" s="118"/>
      <c r="Q326" s="118"/>
      <c r="R326" s="118"/>
      <c r="S326" s="118"/>
      <c r="T326" s="118"/>
    </row>
    <row r="327" spans="2:20">
      <c r="B327" s="118"/>
      <c r="C327" s="118"/>
      <c r="D327" s="118"/>
      <c r="E327" s="118"/>
      <c r="F327" s="118"/>
      <c r="G327" s="118"/>
      <c r="H327" s="118"/>
      <c r="I327" s="118"/>
      <c r="J327" s="118"/>
      <c r="K327" s="118"/>
      <c r="L327" s="118"/>
      <c r="M327" s="118"/>
      <c r="N327" s="118"/>
      <c r="O327" s="118"/>
      <c r="P327" s="118"/>
      <c r="Q327" s="118"/>
      <c r="R327" s="118"/>
      <c r="S327" s="118"/>
      <c r="T327" s="118"/>
    </row>
    <row r="328" spans="2:20">
      <c r="B328" s="118"/>
      <c r="C328" s="118"/>
      <c r="D328" s="118"/>
      <c r="E328" s="118"/>
      <c r="F328" s="118"/>
      <c r="G328" s="118"/>
      <c r="H328" s="118"/>
      <c r="I328" s="118"/>
      <c r="J328" s="118"/>
      <c r="K328" s="118"/>
      <c r="L328" s="118"/>
      <c r="M328" s="118"/>
      <c r="N328" s="118"/>
      <c r="O328" s="118"/>
      <c r="P328" s="118"/>
      <c r="Q328" s="118"/>
      <c r="R328" s="118"/>
      <c r="S328" s="118"/>
      <c r="T328" s="118"/>
    </row>
    <row r="329" spans="2:20">
      <c r="B329" s="118"/>
      <c r="C329" s="118"/>
      <c r="D329" s="118"/>
      <c r="E329" s="118"/>
      <c r="F329" s="118"/>
      <c r="G329" s="118"/>
      <c r="H329" s="118"/>
      <c r="I329" s="118"/>
      <c r="J329" s="118"/>
      <c r="K329" s="118"/>
      <c r="L329" s="118"/>
      <c r="M329" s="118"/>
      <c r="N329" s="118"/>
      <c r="O329" s="118"/>
      <c r="P329" s="118"/>
      <c r="Q329" s="118"/>
      <c r="R329" s="118"/>
      <c r="S329" s="118"/>
      <c r="T329" s="118"/>
    </row>
    <row r="330" spans="2:20">
      <c r="B330" s="118"/>
      <c r="C330" s="118"/>
      <c r="D330" s="118"/>
      <c r="E330" s="118"/>
      <c r="F330" s="118"/>
      <c r="G330" s="118"/>
      <c r="H330" s="118"/>
      <c r="I330" s="118"/>
      <c r="J330" s="118"/>
      <c r="K330" s="118"/>
      <c r="L330" s="118"/>
      <c r="M330" s="118"/>
      <c r="N330" s="118"/>
      <c r="O330" s="118"/>
      <c r="P330" s="118"/>
      <c r="Q330" s="118"/>
      <c r="R330" s="118"/>
      <c r="S330" s="118"/>
      <c r="T330" s="118"/>
    </row>
    <row r="331" spans="2:20">
      <c r="B331" s="118"/>
      <c r="C331" s="118"/>
      <c r="D331" s="118"/>
      <c r="E331" s="118"/>
      <c r="F331" s="118"/>
      <c r="G331" s="118"/>
      <c r="H331" s="118"/>
      <c r="I331" s="118"/>
      <c r="J331" s="118"/>
      <c r="K331" s="118"/>
      <c r="L331" s="118"/>
      <c r="M331" s="118"/>
      <c r="N331" s="118"/>
      <c r="O331" s="118"/>
      <c r="P331" s="118"/>
      <c r="Q331" s="118"/>
      <c r="R331" s="118"/>
      <c r="S331" s="118"/>
      <c r="T331" s="118"/>
    </row>
    <row r="332" spans="2:20">
      <c r="B332" s="118"/>
      <c r="C332" s="118"/>
      <c r="D332" s="118"/>
      <c r="E332" s="118"/>
      <c r="F332" s="118"/>
      <c r="G332" s="118"/>
      <c r="H332" s="118"/>
      <c r="I332" s="118"/>
      <c r="J332" s="118"/>
      <c r="K332" s="118"/>
      <c r="L332" s="118"/>
      <c r="M332" s="118"/>
      <c r="N332" s="118"/>
      <c r="O332" s="118"/>
      <c r="P332" s="118"/>
      <c r="Q332" s="118"/>
      <c r="R332" s="118"/>
      <c r="S332" s="118"/>
      <c r="T332" s="118"/>
    </row>
    <row r="333" spans="2:20">
      <c r="B333" s="118"/>
      <c r="C333" s="118"/>
      <c r="D333" s="118"/>
      <c r="E333" s="118"/>
      <c r="F333" s="118"/>
      <c r="G333" s="118"/>
      <c r="H333" s="118"/>
      <c r="I333" s="118"/>
      <c r="J333" s="118"/>
      <c r="K333" s="118"/>
      <c r="L333" s="118"/>
      <c r="M333" s="118"/>
      <c r="N333" s="118"/>
      <c r="O333" s="118"/>
      <c r="P333" s="118"/>
      <c r="Q333" s="118"/>
      <c r="R333" s="118"/>
      <c r="S333" s="118"/>
      <c r="T333" s="118"/>
    </row>
    <row r="334" spans="2:20">
      <c r="B334" s="118"/>
      <c r="C334" s="118"/>
      <c r="D334" s="118"/>
      <c r="E334" s="118"/>
      <c r="F334" s="118"/>
      <c r="G334" s="118"/>
      <c r="H334" s="118"/>
      <c r="I334" s="118"/>
      <c r="J334" s="118"/>
      <c r="K334" s="118"/>
      <c r="L334" s="118"/>
      <c r="M334" s="118"/>
      <c r="N334" s="118"/>
      <c r="O334" s="118"/>
      <c r="P334" s="118"/>
      <c r="Q334" s="118"/>
      <c r="R334" s="118"/>
      <c r="S334" s="118"/>
      <c r="T334" s="118"/>
    </row>
    <row r="335" spans="2:20">
      <c r="B335" s="118"/>
      <c r="C335" s="118"/>
      <c r="D335" s="118"/>
      <c r="E335" s="118"/>
      <c r="F335" s="118"/>
      <c r="G335" s="118"/>
      <c r="H335" s="118"/>
      <c r="I335" s="118"/>
      <c r="J335" s="118"/>
      <c r="K335" s="118"/>
      <c r="L335" s="118"/>
      <c r="M335" s="118"/>
      <c r="N335" s="118"/>
      <c r="O335" s="118"/>
      <c r="P335" s="118"/>
      <c r="Q335" s="118"/>
      <c r="R335" s="118"/>
      <c r="S335" s="118"/>
      <c r="T335" s="118"/>
    </row>
    <row r="336" spans="2:20">
      <c r="B336" s="118"/>
      <c r="C336" s="118"/>
      <c r="D336" s="118"/>
      <c r="E336" s="118"/>
      <c r="F336" s="118"/>
      <c r="G336" s="118"/>
      <c r="H336" s="118"/>
      <c r="I336" s="118"/>
      <c r="J336" s="118"/>
      <c r="K336" s="118"/>
      <c r="L336" s="118"/>
      <c r="M336" s="118"/>
      <c r="N336" s="118"/>
      <c r="O336" s="118"/>
      <c r="P336" s="118"/>
      <c r="Q336" s="118"/>
      <c r="R336" s="118"/>
      <c r="S336" s="118"/>
      <c r="T336" s="118"/>
    </row>
    <row r="337" spans="2:20">
      <c r="B337" s="118"/>
      <c r="C337" s="118"/>
      <c r="D337" s="118"/>
      <c r="E337" s="118"/>
      <c r="F337" s="118"/>
      <c r="G337" s="118"/>
      <c r="H337" s="118"/>
      <c r="I337" s="118"/>
      <c r="J337" s="118"/>
      <c r="K337" s="118"/>
      <c r="L337" s="118"/>
      <c r="M337" s="118"/>
      <c r="N337" s="118"/>
      <c r="O337" s="118"/>
      <c r="P337" s="118"/>
      <c r="Q337" s="118"/>
      <c r="R337" s="118"/>
      <c r="S337" s="118"/>
      <c r="T337" s="118"/>
    </row>
    <row r="338" spans="2:20">
      <c r="B338" s="118"/>
      <c r="C338" s="118"/>
      <c r="D338" s="118"/>
      <c r="E338" s="118"/>
      <c r="F338" s="118"/>
      <c r="G338" s="118"/>
      <c r="H338" s="118"/>
      <c r="I338" s="118"/>
      <c r="J338" s="118"/>
      <c r="K338" s="118"/>
      <c r="L338" s="118"/>
      <c r="M338" s="118"/>
      <c r="N338" s="118"/>
      <c r="O338" s="118"/>
      <c r="P338" s="118"/>
      <c r="Q338" s="118"/>
      <c r="R338" s="118"/>
      <c r="S338" s="118"/>
      <c r="T338" s="118"/>
    </row>
    <row r="339" spans="2:20">
      <c r="B339" s="118"/>
      <c r="C339" s="118"/>
      <c r="D339" s="118"/>
      <c r="E339" s="118"/>
      <c r="F339" s="118"/>
      <c r="G339" s="118"/>
      <c r="H339" s="118"/>
      <c r="I339" s="118"/>
      <c r="J339" s="118"/>
      <c r="K339" s="118"/>
      <c r="L339" s="118"/>
      <c r="M339" s="118"/>
      <c r="N339" s="118"/>
      <c r="O339" s="118"/>
      <c r="P339" s="118"/>
      <c r="Q339" s="118"/>
      <c r="R339" s="118"/>
      <c r="S339" s="118"/>
      <c r="T339" s="118"/>
    </row>
    <row r="340" spans="2:20">
      <c r="B340" s="118"/>
      <c r="C340" s="118"/>
      <c r="D340" s="118"/>
      <c r="E340" s="118"/>
      <c r="F340" s="118"/>
      <c r="G340" s="118"/>
      <c r="H340" s="118"/>
      <c r="I340" s="118"/>
      <c r="J340" s="118"/>
      <c r="K340" s="118"/>
      <c r="L340" s="118"/>
      <c r="M340" s="118"/>
      <c r="N340" s="118"/>
      <c r="O340" s="118"/>
      <c r="P340" s="118"/>
      <c r="Q340" s="118"/>
      <c r="R340" s="118"/>
      <c r="S340" s="118"/>
      <c r="T340" s="118"/>
    </row>
    <row r="341" spans="2:20">
      <c r="B341" s="118"/>
      <c r="C341" s="118"/>
      <c r="D341" s="118"/>
      <c r="E341" s="118"/>
      <c r="F341" s="118"/>
      <c r="G341" s="118"/>
      <c r="H341" s="118"/>
      <c r="I341" s="118"/>
      <c r="J341" s="118"/>
      <c r="K341" s="118"/>
      <c r="L341" s="118"/>
      <c r="M341" s="118"/>
      <c r="N341" s="118"/>
      <c r="O341" s="118"/>
      <c r="P341" s="118"/>
      <c r="Q341" s="118"/>
      <c r="R341" s="118"/>
      <c r="S341" s="118"/>
      <c r="T341" s="118"/>
    </row>
    <row r="342" spans="2:20">
      <c r="B342" s="118"/>
      <c r="C342" s="118"/>
      <c r="D342" s="118"/>
      <c r="E342" s="118"/>
      <c r="F342" s="118"/>
      <c r="G342" s="118"/>
      <c r="H342" s="118"/>
      <c r="I342" s="118"/>
      <c r="J342" s="118"/>
      <c r="K342" s="118"/>
      <c r="L342" s="118"/>
      <c r="M342" s="118"/>
      <c r="N342" s="118"/>
      <c r="O342" s="118"/>
      <c r="P342" s="118"/>
      <c r="Q342" s="118"/>
      <c r="R342" s="118"/>
      <c r="S342" s="118"/>
      <c r="T342" s="118"/>
    </row>
    <row r="343" spans="2:20">
      <c r="B343" s="118"/>
      <c r="C343" s="118"/>
      <c r="D343" s="118"/>
      <c r="E343" s="118"/>
      <c r="F343" s="118"/>
      <c r="G343" s="118"/>
      <c r="H343" s="118"/>
      <c r="I343" s="118"/>
      <c r="J343" s="118"/>
      <c r="K343" s="118"/>
      <c r="L343" s="118"/>
      <c r="M343" s="118"/>
      <c r="N343" s="118"/>
      <c r="O343" s="118"/>
      <c r="P343" s="118"/>
      <c r="Q343" s="118"/>
      <c r="R343" s="118"/>
      <c r="S343" s="118"/>
      <c r="T343" s="118"/>
    </row>
    <row r="344" spans="2:20">
      <c r="B344" s="118"/>
      <c r="C344" s="118"/>
      <c r="D344" s="118"/>
      <c r="E344" s="118"/>
      <c r="F344" s="118"/>
      <c r="G344" s="118"/>
      <c r="H344" s="118"/>
      <c r="I344" s="118"/>
      <c r="J344" s="118"/>
      <c r="K344" s="118"/>
      <c r="L344" s="118"/>
      <c r="M344" s="118"/>
      <c r="N344" s="118"/>
      <c r="O344" s="118"/>
      <c r="P344" s="118"/>
      <c r="Q344" s="118"/>
      <c r="R344" s="118"/>
      <c r="S344" s="118"/>
      <c r="T344" s="118"/>
    </row>
    <row r="345" spans="2:20">
      <c r="B345" s="118"/>
      <c r="C345" s="118"/>
      <c r="D345" s="118"/>
      <c r="E345" s="118"/>
      <c r="F345" s="118"/>
      <c r="G345" s="118"/>
      <c r="H345" s="118"/>
      <c r="I345" s="118"/>
      <c r="J345" s="118"/>
      <c r="K345" s="118"/>
      <c r="L345" s="118"/>
      <c r="M345" s="118"/>
      <c r="N345" s="118"/>
      <c r="O345" s="118"/>
      <c r="P345" s="118"/>
      <c r="Q345" s="118"/>
      <c r="R345" s="118"/>
      <c r="S345" s="118"/>
      <c r="T345" s="118"/>
    </row>
    <row r="346" spans="2:20">
      <c r="B346" s="118"/>
      <c r="C346" s="118"/>
      <c r="D346" s="118"/>
      <c r="E346" s="118"/>
      <c r="F346" s="118"/>
      <c r="G346" s="118"/>
      <c r="H346" s="118"/>
      <c r="I346" s="118"/>
      <c r="J346" s="118"/>
      <c r="K346" s="118"/>
      <c r="L346" s="118"/>
      <c r="M346" s="118"/>
      <c r="N346" s="118"/>
      <c r="O346" s="118"/>
      <c r="P346" s="118"/>
      <c r="Q346" s="118"/>
      <c r="R346" s="118"/>
      <c r="S346" s="118"/>
      <c r="T346" s="118"/>
    </row>
    <row r="347" spans="2:20">
      <c r="B347" s="118"/>
      <c r="C347" s="118"/>
      <c r="D347" s="118"/>
      <c r="E347" s="118"/>
      <c r="F347" s="118"/>
      <c r="G347" s="118"/>
      <c r="H347" s="118"/>
      <c r="I347" s="118"/>
      <c r="J347" s="118"/>
      <c r="K347" s="118"/>
      <c r="L347" s="118"/>
      <c r="M347" s="118"/>
      <c r="N347" s="118"/>
      <c r="O347" s="118"/>
      <c r="P347" s="118"/>
      <c r="Q347" s="118"/>
      <c r="R347" s="118"/>
      <c r="S347" s="118"/>
      <c r="T347" s="118"/>
    </row>
    <row r="348" spans="2:20">
      <c r="B348" s="118"/>
      <c r="C348" s="118"/>
      <c r="D348" s="118"/>
      <c r="E348" s="118"/>
      <c r="F348" s="118"/>
      <c r="G348" s="118"/>
      <c r="H348" s="118"/>
      <c r="I348" s="118"/>
      <c r="J348" s="118"/>
      <c r="K348" s="118"/>
      <c r="L348" s="118"/>
      <c r="M348" s="118"/>
      <c r="N348" s="118"/>
      <c r="O348" s="118"/>
      <c r="P348" s="118"/>
      <c r="Q348" s="118"/>
      <c r="R348" s="118"/>
      <c r="S348" s="118"/>
      <c r="T348" s="118"/>
    </row>
    <row r="349" spans="2:20">
      <c r="B349" s="118"/>
      <c r="C349" s="118"/>
      <c r="D349" s="118"/>
      <c r="E349" s="118"/>
      <c r="F349" s="118"/>
      <c r="G349" s="118"/>
      <c r="H349" s="118"/>
      <c r="I349" s="118"/>
      <c r="J349" s="118"/>
      <c r="K349" s="118"/>
      <c r="L349" s="118"/>
      <c r="M349" s="118"/>
      <c r="N349" s="118"/>
      <c r="O349" s="118"/>
      <c r="P349" s="118"/>
      <c r="Q349" s="118"/>
      <c r="R349" s="118"/>
      <c r="S349" s="118"/>
      <c r="T349" s="118"/>
    </row>
    <row r="350" spans="2:20">
      <c r="B350" s="118"/>
      <c r="C350" s="118"/>
      <c r="D350" s="118"/>
      <c r="E350" s="118"/>
      <c r="F350" s="118"/>
      <c r="G350" s="118"/>
      <c r="H350" s="118"/>
      <c r="I350" s="118"/>
      <c r="J350" s="118"/>
      <c r="K350" s="118"/>
      <c r="L350" s="118"/>
      <c r="M350" s="118"/>
      <c r="N350" s="118"/>
      <c r="O350" s="118"/>
      <c r="P350" s="118"/>
      <c r="Q350" s="118"/>
      <c r="R350" s="118"/>
      <c r="S350" s="118"/>
      <c r="T350" s="118"/>
    </row>
    <row r="351" spans="2:20">
      <c r="B351" s="118"/>
      <c r="C351" s="118"/>
      <c r="D351" s="118"/>
      <c r="E351" s="118"/>
      <c r="F351" s="118"/>
      <c r="G351" s="118"/>
      <c r="H351" s="118"/>
      <c r="I351" s="118"/>
      <c r="J351" s="118"/>
      <c r="K351" s="118"/>
      <c r="L351" s="118"/>
      <c r="M351" s="118"/>
      <c r="N351" s="118"/>
      <c r="O351" s="118"/>
      <c r="P351" s="118"/>
      <c r="Q351" s="118"/>
      <c r="R351" s="118"/>
      <c r="S351" s="118"/>
      <c r="T351" s="118"/>
    </row>
    <row r="352" spans="2:20">
      <c r="B352" s="118"/>
      <c r="C352" s="118"/>
      <c r="D352" s="118"/>
      <c r="E352" s="118"/>
      <c r="F352" s="118"/>
      <c r="G352" s="118"/>
      <c r="H352" s="118"/>
      <c r="I352" s="118"/>
      <c r="J352" s="118"/>
      <c r="K352" s="118"/>
      <c r="L352" s="118"/>
      <c r="M352" s="118"/>
      <c r="N352" s="118"/>
      <c r="O352" s="118"/>
      <c r="P352" s="118"/>
      <c r="Q352" s="118"/>
      <c r="R352" s="118"/>
      <c r="S352" s="118"/>
      <c r="T352" s="118"/>
    </row>
    <row r="353" spans="2:20">
      <c r="B353" s="118"/>
      <c r="C353" s="118"/>
      <c r="D353" s="118"/>
      <c r="E353" s="118"/>
      <c r="F353" s="118"/>
      <c r="G353" s="118"/>
      <c r="H353" s="118"/>
      <c r="I353" s="118"/>
      <c r="J353" s="118"/>
      <c r="K353" s="118"/>
      <c r="L353" s="118"/>
      <c r="M353" s="118"/>
      <c r="N353" s="118"/>
      <c r="O353" s="118"/>
      <c r="P353" s="118"/>
      <c r="Q353" s="118"/>
      <c r="R353" s="118"/>
      <c r="S353" s="118"/>
      <c r="T353" s="118"/>
    </row>
    <row r="354" spans="2:20">
      <c r="B354" s="118"/>
      <c r="C354" s="118"/>
      <c r="D354" s="118"/>
      <c r="E354" s="118"/>
      <c r="F354" s="118"/>
      <c r="G354" s="118"/>
      <c r="H354" s="118"/>
      <c r="I354" s="118"/>
      <c r="J354" s="118"/>
      <c r="K354" s="118"/>
      <c r="L354" s="118"/>
      <c r="M354" s="118"/>
      <c r="N354" s="118"/>
      <c r="O354" s="118"/>
      <c r="P354" s="118"/>
      <c r="Q354" s="118"/>
      <c r="R354" s="118"/>
      <c r="S354" s="118"/>
      <c r="T354" s="118"/>
    </row>
    <row r="355" spans="2:20">
      <c r="B355" s="118"/>
      <c r="C355" s="118"/>
      <c r="D355" s="118"/>
      <c r="E355" s="118"/>
      <c r="F355" s="118"/>
      <c r="G355" s="118"/>
      <c r="H355" s="118"/>
      <c r="I355" s="118"/>
      <c r="J355" s="118"/>
      <c r="K355" s="118"/>
      <c r="L355" s="118"/>
      <c r="M355" s="118"/>
      <c r="N355" s="118"/>
      <c r="O355" s="118"/>
      <c r="P355" s="118"/>
      <c r="Q355" s="118"/>
      <c r="R355" s="118"/>
      <c r="S355" s="118"/>
      <c r="T355" s="118"/>
    </row>
    <row r="356" spans="2:20">
      <c r="B356" s="118"/>
      <c r="C356" s="118"/>
      <c r="D356" s="118"/>
      <c r="E356" s="118"/>
      <c r="F356" s="118"/>
      <c r="G356" s="118"/>
      <c r="H356" s="118"/>
      <c r="I356" s="118"/>
      <c r="J356" s="118"/>
      <c r="K356" s="118"/>
      <c r="L356" s="118"/>
      <c r="M356" s="118"/>
      <c r="N356" s="118"/>
      <c r="O356" s="118"/>
      <c r="P356" s="118"/>
      <c r="Q356" s="118"/>
      <c r="R356" s="118"/>
      <c r="S356" s="118"/>
      <c r="T356" s="118"/>
    </row>
    <row r="357" spans="2:20">
      <c r="B357" s="118"/>
      <c r="C357" s="118"/>
      <c r="D357" s="118"/>
      <c r="E357" s="118"/>
      <c r="F357" s="118"/>
      <c r="G357" s="118"/>
      <c r="H357" s="118"/>
      <c r="I357" s="118"/>
      <c r="J357" s="118"/>
      <c r="K357" s="118"/>
      <c r="L357" s="118"/>
      <c r="M357" s="118"/>
      <c r="N357" s="118"/>
      <c r="O357" s="118"/>
      <c r="P357" s="118"/>
      <c r="Q357" s="118"/>
      <c r="R357" s="118"/>
      <c r="S357" s="118"/>
      <c r="T357" s="118"/>
    </row>
    <row r="358" spans="2:20">
      <c r="B358" s="118"/>
      <c r="C358" s="118"/>
      <c r="D358" s="118"/>
      <c r="E358" s="118"/>
      <c r="F358" s="118"/>
      <c r="G358" s="118"/>
      <c r="H358" s="118"/>
      <c r="I358" s="118"/>
      <c r="J358" s="118"/>
      <c r="K358" s="118"/>
      <c r="L358" s="118"/>
      <c r="M358" s="118"/>
      <c r="N358" s="118"/>
      <c r="O358" s="118"/>
      <c r="P358" s="118"/>
      <c r="Q358" s="118"/>
      <c r="R358" s="118"/>
      <c r="S358" s="118"/>
      <c r="T358" s="118"/>
    </row>
    <row r="359" spans="2:20">
      <c r="B359" s="118"/>
      <c r="C359" s="118"/>
      <c r="D359" s="118"/>
      <c r="E359" s="118"/>
      <c r="F359" s="118"/>
      <c r="G359" s="118"/>
      <c r="H359" s="118"/>
      <c r="I359" s="118"/>
      <c r="J359" s="118"/>
      <c r="K359" s="118"/>
      <c r="L359" s="118"/>
      <c r="M359" s="118"/>
      <c r="N359" s="118"/>
      <c r="O359" s="118"/>
      <c r="P359" s="118"/>
      <c r="Q359" s="118"/>
      <c r="R359" s="118"/>
      <c r="S359" s="118"/>
      <c r="T359" s="118"/>
    </row>
    <row r="360" spans="2:20">
      <c r="B360" s="118"/>
      <c r="C360" s="118"/>
      <c r="D360" s="118"/>
      <c r="E360" s="118"/>
      <c r="F360" s="118"/>
      <c r="G360" s="118"/>
      <c r="H360" s="118"/>
      <c r="I360" s="118"/>
      <c r="J360" s="118"/>
      <c r="K360" s="118"/>
      <c r="L360" s="118"/>
      <c r="M360" s="118"/>
      <c r="N360" s="118"/>
      <c r="O360" s="118"/>
      <c r="P360" s="118"/>
      <c r="Q360" s="118"/>
      <c r="R360" s="118"/>
      <c r="S360" s="118"/>
      <c r="T360" s="118"/>
    </row>
    <row r="361" spans="2:20">
      <c r="B361" s="118"/>
      <c r="C361" s="118"/>
      <c r="D361" s="118"/>
      <c r="E361" s="118"/>
      <c r="F361" s="118"/>
      <c r="G361" s="118"/>
      <c r="H361" s="118"/>
      <c r="I361" s="118"/>
      <c r="J361" s="118"/>
      <c r="K361" s="118"/>
      <c r="L361" s="118"/>
      <c r="M361" s="118"/>
      <c r="N361" s="118"/>
      <c r="O361" s="118"/>
      <c r="P361" s="118"/>
      <c r="Q361" s="118"/>
      <c r="R361" s="118"/>
      <c r="S361" s="118"/>
      <c r="T361" s="118"/>
    </row>
    <row r="362" spans="2:20">
      <c r="B362" s="118"/>
      <c r="C362" s="118"/>
      <c r="D362" s="118"/>
      <c r="E362" s="118"/>
      <c r="F362" s="118"/>
      <c r="G362" s="118"/>
      <c r="H362" s="118"/>
      <c r="I362" s="118"/>
      <c r="J362" s="118"/>
      <c r="K362" s="118"/>
      <c r="L362" s="118"/>
      <c r="M362" s="118"/>
      <c r="N362" s="118"/>
      <c r="O362" s="118"/>
      <c r="P362" s="118"/>
      <c r="Q362" s="118"/>
      <c r="R362" s="118"/>
      <c r="S362" s="118"/>
      <c r="T362" s="118"/>
    </row>
    <row r="363" spans="2:20">
      <c r="B363" s="118"/>
      <c r="C363" s="118"/>
      <c r="D363" s="118"/>
      <c r="E363" s="118"/>
      <c r="F363" s="118"/>
      <c r="G363" s="118"/>
      <c r="H363" s="118"/>
      <c r="I363" s="118"/>
      <c r="J363" s="118"/>
      <c r="K363" s="118"/>
      <c r="L363" s="118"/>
      <c r="M363" s="118"/>
      <c r="N363" s="118"/>
      <c r="O363" s="118"/>
      <c r="P363" s="118"/>
      <c r="Q363" s="118"/>
      <c r="R363" s="118"/>
      <c r="S363" s="118"/>
      <c r="T363" s="118"/>
    </row>
    <row r="364" spans="2:20">
      <c r="B364" s="118"/>
      <c r="C364" s="118"/>
      <c r="D364" s="118"/>
      <c r="E364" s="118"/>
      <c r="F364" s="118"/>
      <c r="G364" s="118"/>
      <c r="H364" s="118"/>
      <c r="I364" s="118"/>
      <c r="J364" s="118"/>
      <c r="K364" s="118"/>
      <c r="L364" s="118"/>
      <c r="M364" s="118"/>
      <c r="N364" s="118"/>
      <c r="O364" s="118"/>
      <c r="P364" s="118"/>
      <c r="Q364" s="118"/>
      <c r="R364" s="118"/>
      <c r="S364" s="118"/>
      <c r="T364" s="118"/>
    </row>
    <row r="365" spans="2:20">
      <c r="B365" s="118"/>
      <c r="C365" s="118"/>
      <c r="D365" s="118"/>
      <c r="E365" s="118"/>
      <c r="F365" s="118"/>
      <c r="G365" s="118"/>
      <c r="H365" s="118"/>
      <c r="I365" s="118"/>
      <c r="J365" s="118"/>
      <c r="K365" s="118"/>
      <c r="L365" s="118"/>
      <c r="M365" s="118"/>
      <c r="N365" s="118"/>
      <c r="O365" s="118"/>
      <c r="P365" s="118"/>
      <c r="Q365" s="118"/>
      <c r="R365" s="118"/>
      <c r="S365" s="118"/>
      <c r="T365" s="118"/>
    </row>
    <row r="366" spans="2:20">
      <c r="B366" s="118"/>
      <c r="C366" s="118"/>
      <c r="D366" s="118"/>
      <c r="E366" s="118"/>
      <c r="F366" s="118"/>
      <c r="G366" s="118"/>
      <c r="H366" s="118"/>
      <c r="I366" s="118"/>
      <c r="J366" s="118"/>
      <c r="K366" s="118"/>
      <c r="L366" s="118"/>
      <c r="M366" s="118"/>
      <c r="N366" s="118"/>
      <c r="O366" s="118"/>
      <c r="P366" s="118"/>
      <c r="Q366" s="118"/>
      <c r="R366" s="118"/>
      <c r="S366" s="118"/>
      <c r="T366" s="118"/>
    </row>
    <row r="367" spans="2:20">
      <c r="B367" s="118"/>
      <c r="C367" s="118"/>
      <c r="D367" s="118"/>
      <c r="E367" s="118"/>
      <c r="F367" s="118"/>
      <c r="G367" s="118"/>
      <c r="H367" s="118"/>
      <c r="I367" s="118"/>
      <c r="J367" s="118"/>
      <c r="K367" s="118"/>
      <c r="L367" s="118"/>
      <c r="M367" s="118"/>
      <c r="N367" s="118"/>
      <c r="O367" s="118"/>
      <c r="P367" s="118"/>
      <c r="Q367" s="118"/>
      <c r="R367" s="118"/>
      <c r="S367" s="118"/>
      <c r="T367" s="118"/>
    </row>
    <row r="368" spans="2:20">
      <c r="B368" s="118"/>
      <c r="C368" s="118"/>
      <c r="D368" s="118"/>
      <c r="E368" s="118"/>
      <c r="F368" s="118"/>
      <c r="G368" s="118"/>
      <c r="H368" s="118"/>
      <c r="I368" s="118"/>
      <c r="J368" s="118"/>
      <c r="K368" s="118"/>
      <c r="L368" s="118"/>
      <c r="M368" s="118"/>
      <c r="N368" s="118"/>
      <c r="O368" s="118"/>
      <c r="P368" s="118"/>
      <c r="Q368" s="118"/>
      <c r="R368" s="118"/>
      <c r="S368" s="118"/>
      <c r="T368" s="118"/>
    </row>
    <row r="369" spans="2:20">
      <c r="B369" s="118"/>
      <c r="C369" s="118"/>
      <c r="D369" s="118"/>
      <c r="E369" s="118"/>
      <c r="F369" s="118"/>
      <c r="G369" s="118"/>
      <c r="H369" s="118"/>
      <c r="I369" s="118"/>
      <c r="J369" s="118"/>
      <c r="K369" s="118"/>
      <c r="L369" s="118"/>
      <c r="M369" s="118"/>
      <c r="N369" s="118"/>
      <c r="O369" s="118"/>
      <c r="P369" s="118"/>
      <c r="Q369" s="118"/>
      <c r="R369" s="118"/>
      <c r="S369" s="118"/>
      <c r="T369" s="118"/>
    </row>
    <row r="370" spans="2:20">
      <c r="B370" s="118"/>
      <c r="C370" s="118"/>
      <c r="D370" s="118"/>
      <c r="E370" s="118"/>
      <c r="F370" s="118"/>
      <c r="G370" s="118"/>
      <c r="H370" s="118"/>
      <c r="I370" s="118"/>
      <c r="J370" s="118"/>
      <c r="K370" s="118"/>
      <c r="L370" s="118"/>
      <c r="M370" s="118"/>
      <c r="N370" s="118"/>
      <c r="O370" s="118"/>
      <c r="P370" s="118"/>
      <c r="Q370" s="118"/>
      <c r="R370" s="118"/>
      <c r="S370" s="118"/>
      <c r="T370" s="118"/>
    </row>
    <row r="371" spans="2:20">
      <c r="B371" s="118"/>
      <c r="C371" s="118"/>
      <c r="D371" s="118"/>
      <c r="E371" s="118"/>
      <c r="F371" s="118"/>
      <c r="G371" s="118"/>
      <c r="H371" s="118"/>
      <c r="I371" s="118"/>
      <c r="J371" s="118"/>
      <c r="K371" s="118"/>
      <c r="L371" s="118"/>
      <c r="M371" s="118"/>
      <c r="N371" s="118"/>
      <c r="O371" s="118"/>
      <c r="P371" s="118"/>
      <c r="Q371" s="118"/>
      <c r="R371" s="118"/>
      <c r="S371" s="118"/>
      <c r="T371" s="118"/>
    </row>
    <row r="372" spans="2:20">
      <c r="B372" s="118"/>
      <c r="C372" s="118"/>
      <c r="D372" s="118"/>
      <c r="E372" s="118"/>
      <c r="F372" s="118"/>
      <c r="G372" s="118"/>
      <c r="H372" s="118"/>
      <c r="I372" s="118"/>
      <c r="J372" s="118"/>
      <c r="K372" s="118"/>
      <c r="L372" s="118"/>
      <c r="M372" s="118"/>
      <c r="N372" s="118"/>
      <c r="O372" s="118"/>
      <c r="P372" s="118"/>
      <c r="Q372" s="118"/>
      <c r="R372" s="118"/>
      <c r="S372" s="118"/>
      <c r="T372" s="118"/>
    </row>
    <row r="373" spans="2:20">
      <c r="B373" s="118"/>
      <c r="C373" s="118"/>
      <c r="D373" s="118"/>
      <c r="E373" s="118"/>
      <c r="F373" s="118"/>
      <c r="G373" s="118"/>
      <c r="H373" s="118"/>
      <c r="I373" s="118"/>
      <c r="J373" s="118"/>
      <c r="K373" s="118"/>
      <c r="L373" s="118"/>
      <c r="M373" s="118"/>
      <c r="N373" s="118"/>
      <c r="O373" s="118"/>
      <c r="P373" s="118"/>
      <c r="Q373" s="118"/>
      <c r="R373" s="118"/>
      <c r="S373" s="118"/>
      <c r="T373" s="118"/>
    </row>
    <row r="374" spans="2:20">
      <c r="B374" s="118"/>
      <c r="C374" s="118"/>
      <c r="D374" s="118"/>
      <c r="E374" s="118"/>
      <c r="F374" s="118"/>
      <c r="G374" s="118"/>
      <c r="H374" s="118"/>
      <c r="I374" s="118"/>
      <c r="J374" s="118"/>
      <c r="K374" s="118"/>
      <c r="L374" s="118"/>
      <c r="M374" s="118"/>
      <c r="N374" s="118"/>
      <c r="O374" s="118"/>
      <c r="P374" s="118"/>
      <c r="Q374" s="118"/>
      <c r="R374" s="118"/>
      <c r="S374" s="118"/>
      <c r="T374" s="118"/>
    </row>
    <row r="375" spans="2:20">
      <c r="B375" s="118"/>
      <c r="C375" s="118"/>
      <c r="D375" s="118"/>
      <c r="E375" s="118"/>
      <c r="F375" s="118"/>
      <c r="G375" s="118"/>
      <c r="H375" s="118"/>
      <c r="I375" s="118"/>
      <c r="J375" s="118"/>
      <c r="K375" s="118"/>
      <c r="L375" s="118"/>
      <c r="M375" s="118"/>
      <c r="N375" s="118"/>
      <c r="O375" s="118"/>
      <c r="P375" s="118"/>
      <c r="Q375" s="118"/>
      <c r="R375" s="118"/>
      <c r="S375" s="118"/>
      <c r="T375" s="118"/>
    </row>
    <row r="376" spans="2:20">
      <c r="B376" s="118"/>
      <c r="C376" s="118"/>
      <c r="D376" s="118"/>
      <c r="E376" s="118"/>
      <c r="F376" s="118"/>
      <c r="G376" s="118"/>
      <c r="H376" s="118"/>
      <c r="I376" s="118"/>
      <c r="J376" s="118"/>
      <c r="K376" s="118"/>
      <c r="L376" s="118"/>
      <c r="M376" s="118"/>
      <c r="N376" s="118"/>
      <c r="O376" s="118"/>
      <c r="P376" s="118"/>
      <c r="Q376" s="118"/>
      <c r="R376" s="118"/>
      <c r="S376" s="118"/>
      <c r="T376" s="118"/>
    </row>
    <row r="377" spans="2:20">
      <c r="B377" s="118"/>
      <c r="C377" s="118"/>
      <c r="D377" s="118"/>
      <c r="E377" s="118"/>
      <c r="F377" s="118"/>
      <c r="G377" s="118"/>
      <c r="H377" s="118"/>
      <c r="I377" s="118"/>
      <c r="J377" s="118"/>
      <c r="K377" s="118"/>
      <c r="L377" s="118"/>
      <c r="M377" s="118"/>
      <c r="N377" s="118"/>
      <c r="O377" s="118"/>
      <c r="P377" s="118"/>
      <c r="Q377" s="118"/>
      <c r="R377" s="118"/>
      <c r="S377" s="118"/>
      <c r="T377" s="118"/>
    </row>
    <row r="378" spans="2:20">
      <c r="B378" s="118"/>
      <c r="C378" s="118"/>
      <c r="D378" s="118"/>
      <c r="E378" s="118"/>
      <c r="F378" s="118"/>
      <c r="G378" s="118"/>
      <c r="H378" s="118"/>
      <c r="I378" s="118"/>
      <c r="J378" s="118"/>
      <c r="K378" s="118"/>
      <c r="L378" s="118"/>
      <c r="M378" s="118"/>
      <c r="N378" s="118"/>
      <c r="O378" s="118"/>
      <c r="P378" s="118"/>
      <c r="Q378" s="118"/>
      <c r="R378" s="118"/>
      <c r="S378" s="118"/>
      <c r="T378" s="118"/>
    </row>
    <row r="379" spans="2:20">
      <c r="B379" s="118"/>
      <c r="C379" s="118"/>
      <c r="D379" s="118"/>
      <c r="E379" s="118"/>
      <c r="F379" s="118"/>
      <c r="G379" s="118"/>
      <c r="H379" s="118"/>
      <c r="I379" s="118"/>
      <c r="J379" s="118"/>
      <c r="K379" s="118"/>
      <c r="L379" s="118"/>
      <c r="M379" s="118"/>
      <c r="N379" s="118"/>
      <c r="O379" s="118"/>
      <c r="P379" s="118"/>
      <c r="Q379" s="118"/>
      <c r="R379" s="118"/>
      <c r="S379" s="118"/>
      <c r="T379" s="118"/>
    </row>
    <row r="380" spans="2:20">
      <c r="B380" s="118"/>
      <c r="C380" s="118"/>
      <c r="D380" s="118"/>
      <c r="E380" s="118"/>
      <c r="F380" s="118"/>
      <c r="G380" s="118"/>
      <c r="H380" s="118"/>
      <c r="I380" s="118"/>
      <c r="J380" s="118"/>
      <c r="K380" s="118"/>
      <c r="L380" s="118"/>
      <c r="M380" s="118"/>
      <c r="N380" s="118"/>
      <c r="O380" s="118"/>
      <c r="P380" s="118"/>
      <c r="Q380" s="118"/>
      <c r="R380" s="118"/>
      <c r="S380" s="118"/>
      <c r="T380" s="118"/>
    </row>
    <row r="381" spans="2:20">
      <c r="B381" s="118"/>
      <c r="C381" s="118"/>
      <c r="D381" s="118"/>
      <c r="E381" s="118"/>
      <c r="F381" s="118"/>
      <c r="G381" s="118"/>
      <c r="H381" s="118"/>
      <c r="I381" s="118"/>
      <c r="J381" s="118"/>
      <c r="K381" s="118"/>
      <c r="L381" s="118"/>
      <c r="M381" s="118"/>
      <c r="N381" s="118"/>
      <c r="O381" s="118"/>
      <c r="P381" s="118"/>
      <c r="Q381" s="118"/>
      <c r="R381" s="118"/>
      <c r="S381" s="118"/>
      <c r="T381" s="118"/>
    </row>
    <row r="382" spans="2:20">
      <c r="B382" s="118"/>
      <c r="C382" s="118"/>
      <c r="D382" s="118"/>
      <c r="E382" s="118"/>
      <c r="F382" s="118"/>
      <c r="G382" s="118"/>
      <c r="H382" s="118"/>
      <c r="I382" s="118"/>
      <c r="J382" s="118"/>
      <c r="K382" s="118"/>
      <c r="L382" s="118"/>
      <c r="M382" s="118"/>
      <c r="N382" s="118"/>
      <c r="O382" s="118"/>
      <c r="P382" s="118"/>
      <c r="Q382" s="118"/>
      <c r="R382" s="118"/>
      <c r="S382" s="118"/>
      <c r="T382" s="118"/>
    </row>
    <row r="383" spans="2:20">
      <c r="B383" s="118"/>
      <c r="C383" s="118"/>
      <c r="D383" s="118"/>
      <c r="E383" s="118"/>
      <c r="F383" s="118"/>
      <c r="G383" s="118"/>
      <c r="H383" s="118"/>
      <c r="I383" s="118"/>
      <c r="J383" s="118"/>
      <c r="K383" s="118"/>
      <c r="L383" s="118"/>
      <c r="M383" s="118"/>
      <c r="N383" s="118"/>
      <c r="O383" s="118"/>
      <c r="P383" s="118"/>
      <c r="Q383" s="118"/>
      <c r="R383" s="118"/>
      <c r="S383" s="118"/>
      <c r="T383" s="118"/>
    </row>
    <row r="384" spans="2:20">
      <c r="B384" s="118"/>
      <c r="C384" s="118"/>
      <c r="D384" s="118"/>
      <c r="E384" s="118"/>
      <c r="F384" s="118"/>
      <c r="G384" s="118"/>
      <c r="H384" s="118"/>
      <c r="I384" s="118"/>
      <c r="J384" s="118"/>
      <c r="K384" s="118"/>
      <c r="L384" s="118"/>
      <c r="M384" s="118"/>
      <c r="N384" s="118"/>
      <c r="O384" s="118"/>
      <c r="P384" s="118"/>
      <c r="Q384" s="118"/>
      <c r="R384" s="118"/>
      <c r="S384" s="118"/>
      <c r="T384" s="118"/>
    </row>
    <row r="385" spans="2:20">
      <c r="B385" s="118"/>
      <c r="C385" s="118"/>
      <c r="D385" s="118"/>
      <c r="E385" s="118"/>
      <c r="F385" s="118"/>
      <c r="G385" s="118"/>
      <c r="H385" s="118"/>
      <c r="I385" s="118"/>
      <c r="J385" s="118"/>
      <c r="K385" s="118"/>
      <c r="L385" s="118"/>
      <c r="M385" s="118"/>
      <c r="N385" s="118"/>
      <c r="O385" s="118"/>
      <c r="P385" s="118"/>
      <c r="Q385" s="118"/>
      <c r="R385" s="118"/>
      <c r="S385" s="118"/>
      <c r="T385" s="118"/>
    </row>
    <row r="386" spans="2:20">
      <c r="B386" s="118"/>
      <c r="C386" s="118"/>
      <c r="D386" s="118"/>
      <c r="E386" s="118"/>
      <c r="F386" s="118"/>
      <c r="G386" s="118"/>
      <c r="H386" s="118"/>
      <c r="I386" s="118"/>
      <c r="J386" s="118"/>
      <c r="K386" s="118"/>
      <c r="L386" s="118"/>
      <c r="M386" s="118"/>
      <c r="N386" s="118"/>
      <c r="O386" s="118"/>
      <c r="P386" s="118"/>
      <c r="Q386" s="118"/>
      <c r="R386" s="118"/>
      <c r="S386" s="118"/>
      <c r="T386" s="118"/>
    </row>
    <row r="387" spans="2:20">
      <c r="B387" s="118"/>
      <c r="C387" s="118"/>
      <c r="D387" s="118"/>
      <c r="E387" s="118"/>
      <c r="F387" s="118"/>
      <c r="G387" s="118"/>
      <c r="H387" s="118"/>
      <c r="I387" s="118"/>
      <c r="J387" s="118"/>
      <c r="K387" s="118"/>
      <c r="L387" s="118"/>
      <c r="M387" s="118"/>
      <c r="N387" s="118"/>
      <c r="O387" s="118"/>
      <c r="P387" s="118"/>
      <c r="Q387" s="118"/>
      <c r="R387" s="118"/>
      <c r="S387" s="118"/>
      <c r="T387" s="118"/>
    </row>
    <row r="388" spans="2:20">
      <c r="B388" s="118"/>
      <c r="C388" s="118"/>
      <c r="D388" s="118"/>
      <c r="E388" s="118"/>
      <c r="F388" s="118"/>
      <c r="G388" s="118"/>
      <c r="H388" s="118"/>
      <c r="I388" s="118"/>
      <c r="J388" s="118"/>
      <c r="K388" s="118"/>
      <c r="L388" s="118"/>
      <c r="M388" s="118"/>
      <c r="N388" s="118"/>
      <c r="O388" s="118"/>
      <c r="P388" s="118"/>
      <c r="Q388" s="118"/>
      <c r="R388" s="118"/>
      <c r="S388" s="118"/>
      <c r="T388" s="118"/>
    </row>
    <row r="389" spans="2:20">
      <c r="B389" s="118"/>
      <c r="C389" s="118"/>
      <c r="D389" s="118"/>
      <c r="E389" s="118"/>
      <c r="F389" s="118"/>
      <c r="G389" s="118"/>
      <c r="H389" s="118"/>
      <c r="I389" s="118"/>
      <c r="J389" s="118"/>
      <c r="K389" s="118"/>
      <c r="L389" s="118"/>
      <c r="M389" s="118"/>
      <c r="N389" s="118"/>
      <c r="O389" s="118"/>
      <c r="P389" s="118"/>
      <c r="Q389" s="118"/>
      <c r="R389" s="118"/>
      <c r="S389" s="118"/>
      <c r="T389" s="118"/>
    </row>
    <row r="390" spans="2:20">
      <c r="B390" s="118"/>
      <c r="C390" s="118"/>
      <c r="D390" s="118"/>
      <c r="E390" s="118"/>
      <c r="F390" s="118"/>
      <c r="G390" s="118"/>
      <c r="H390" s="118"/>
      <c r="I390" s="118"/>
      <c r="J390" s="118"/>
      <c r="K390" s="118"/>
      <c r="L390" s="118"/>
      <c r="M390" s="118"/>
      <c r="N390" s="118"/>
      <c r="O390" s="118"/>
      <c r="P390" s="118"/>
      <c r="Q390" s="118"/>
      <c r="R390" s="118"/>
      <c r="S390" s="118"/>
      <c r="T390" s="118"/>
    </row>
    <row r="391" spans="2:20">
      <c r="B391" s="118"/>
      <c r="C391" s="118"/>
      <c r="D391" s="118"/>
      <c r="E391" s="118"/>
      <c r="F391" s="118"/>
      <c r="G391" s="118"/>
      <c r="H391" s="118"/>
      <c r="I391" s="118"/>
      <c r="J391" s="118"/>
      <c r="K391" s="118"/>
      <c r="L391" s="118"/>
      <c r="M391" s="118"/>
      <c r="N391" s="118"/>
      <c r="O391" s="118"/>
      <c r="P391" s="118"/>
      <c r="Q391" s="118"/>
      <c r="R391" s="118"/>
      <c r="S391" s="118"/>
      <c r="T391" s="118"/>
    </row>
    <row r="392" spans="2:20">
      <c r="B392" s="118"/>
      <c r="C392" s="118"/>
      <c r="D392" s="118"/>
      <c r="E392" s="118"/>
      <c r="F392" s="118"/>
      <c r="G392" s="118"/>
      <c r="H392" s="118"/>
      <c r="I392" s="118"/>
      <c r="J392" s="118"/>
      <c r="K392" s="118"/>
      <c r="L392" s="118"/>
      <c r="M392" s="118"/>
      <c r="N392" s="118"/>
      <c r="O392" s="118"/>
      <c r="P392" s="118"/>
      <c r="Q392" s="118"/>
      <c r="R392" s="118"/>
      <c r="S392" s="118"/>
      <c r="T392" s="118"/>
    </row>
    <row r="393" spans="2:20">
      <c r="B393" s="118"/>
      <c r="C393" s="118"/>
      <c r="D393" s="118"/>
      <c r="E393" s="118"/>
      <c r="F393" s="118"/>
      <c r="G393" s="118"/>
      <c r="H393" s="118"/>
      <c r="I393" s="118"/>
      <c r="J393" s="118"/>
      <c r="K393" s="118"/>
      <c r="L393" s="118"/>
      <c r="M393" s="118"/>
      <c r="N393" s="118"/>
      <c r="O393" s="118"/>
      <c r="P393" s="118"/>
      <c r="Q393" s="118"/>
      <c r="R393" s="118"/>
      <c r="S393" s="118"/>
      <c r="T393" s="118"/>
    </row>
    <row r="394" spans="2:20">
      <c r="B394" s="118"/>
      <c r="C394" s="118"/>
      <c r="D394" s="118"/>
      <c r="E394" s="118"/>
      <c r="F394" s="118"/>
      <c r="G394" s="118"/>
      <c r="H394" s="118"/>
      <c r="I394" s="118"/>
      <c r="J394" s="118"/>
      <c r="K394" s="118"/>
      <c r="L394" s="118"/>
      <c r="M394" s="118"/>
      <c r="N394" s="118"/>
      <c r="O394" s="118"/>
      <c r="P394" s="118"/>
      <c r="Q394" s="118"/>
      <c r="R394" s="118"/>
      <c r="S394" s="118"/>
      <c r="T394" s="118"/>
    </row>
    <row r="395" spans="2:20">
      <c r="B395" s="118"/>
      <c r="C395" s="118"/>
      <c r="D395" s="118"/>
      <c r="E395" s="118"/>
      <c r="F395" s="118"/>
      <c r="G395" s="118"/>
      <c r="H395" s="118"/>
      <c r="I395" s="118"/>
      <c r="J395" s="118"/>
      <c r="K395" s="118"/>
      <c r="L395" s="118"/>
      <c r="M395" s="118"/>
      <c r="N395" s="118"/>
      <c r="O395" s="118"/>
      <c r="P395" s="118"/>
      <c r="Q395" s="118"/>
      <c r="R395" s="118"/>
      <c r="S395" s="118"/>
      <c r="T395" s="118"/>
    </row>
    <row r="396" spans="2:20">
      <c r="R396" s="118"/>
      <c r="S396" s="118"/>
      <c r="T396" s="118"/>
    </row>
    <row r="397" spans="2:20">
      <c r="R397" s="118"/>
      <c r="S397" s="118"/>
      <c r="T397" s="118"/>
    </row>
    <row r="398" spans="2:20">
      <c r="R398" s="118"/>
      <c r="S398" s="118"/>
      <c r="T398" s="118"/>
    </row>
    <row r="399" spans="2:20">
      <c r="R399" s="118"/>
      <c r="S399" s="118"/>
      <c r="T399" s="118"/>
    </row>
    <row r="400" spans="2:20">
      <c r="R400" s="118"/>
      <c r="S400" s="118"/>
      <c r="T400" s="118"/>
    </row>
    <row r="401" spans="18:20">
      <c r="R401" s="118"/>
      <c r="S401" s="118"/>
      <c r="T401" s="118"/>
    </row>
    <row r="402" spans="18:20">
      <c r="R402" s="118"/>
      <c r="S402" s="118"/>
      <c r="T402" s="118"/>
    </row>
    <row r="403" spans="18:20">
      <c r="R403" s="118"/>
      <c r="S403" s="118"/>
      <c r="T403" s="118"/>
    </row>
    <row r="404" spans="18:20">
      <c r="R404" s="118"/>
      <c r="S404" s="118"/>
      <c r="T404" s="118"/>
    </row>
    <row r="405" spans="18:20">
      <c r="R405" s="118"/>
      <c r="S405" s="118"/>
      <c r="T405" s="118"/>
    </row>
    <row r="406" spans="18:20">
      <c r="R406" s="118"/>
      <c r="S406" s="118"/>
      <c r="T406" s="118"/>
    </row>
    <row r="407" spans="18:20">
      <c r="R407" s="118"/>
      <c r="S407" s="118"/>
      <c r="T407" s="118"/>
    </row>
  </sheetData>
  <mergeCells count="9">
    <mergeCell ref="B1:C1"/>
    <mergeCell ref="B7:N7"/>
    <mergeCell ref="A7:A9"/>
    <mergeCell ref="A4:N4"/>
    <mergeCell ref="B187:D187"/>
    <mergeCell ref="L8:L9"/>
    <mergeCell ref="M8:M9"/>
    <mergeCell ref="N8:N9"/>
    <mergeCell ref="A183:N186"/>
  </mergeCells>
  <phoneticPr fontId="43" type="noConversion"/>
  <hyperlinks>
    <hyperlink ref="B1" location="Index!A1" display="Back to Index"/>
  </hyperlinks>
  <printOptions horizontalCentered="1" verticalCentered="1"/>
  <pageMargins left="0.75000000000000011" right="0.75000000000000011" top="1" bottom="1" header="0.49" footer="0.49"/>
  <pageSetup paperSize="9" scale="33" fitToHeight="3" orientation="portrait" horizontalDpi="4294967292" verticalDpi="4294967292"/>
  <ignoredErrors>
    <ignoredError sqref="H90 N90 B90" formula="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tabColor theme="3" tint="0.59999389629810485"/>
    <pageSetUpPr fitToPage="1"/>
  </sheetPr>
  <dimension ref="A1:W293"/>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T4"/>
    </sheetView>
  </sheetViews>
  <sheetFormatPr baseColWidth="10" defaultColWidth="10.33203125" defaultRowHeight="12" x14ac:dyDescent="0"/>
  <cols>
    <col min="1" max="1" width="9.33203125" style="76" customWidth="1"/>
    <col min="2" max="13" width="7.6640625" style="76" customWidth="1"/>
    <col min="14" max="14" width="9.33203125" style="76" customWidth="1"/>
    <col min="15" max="17" width="7.6640625" style="76" customWidth="1"/>
    <col min="18" max="21" width="8.6640625" style="76" customWidth="1"/>
    <col min="22" max="16384" width="10.33203125" style="76"/>
  </cols>
  <sheetData>
    <row r="1" spans="1:20">
      <c r="A1" s="87"/>
      <c r="B1" s="2252" t="s">
        <v>1416</v>
      </c>
      <c r="C1" s="2252"/>
    </row>
    <row r="2" spans="1:20">
      <c r="B2" s="1795"/>
      <c r="C2" s="75"/>
      <c r="D2" s="75"/>
      <c r="E2" s="75"/>
      <c r="F2" s="75"/>
      <c r="G2" s="75"/>
      <c r="H2" s="75"/>
      <c r="I2" s="75"/>
      <c r="J2" s="75"/>
      <c r="K2" s="75"/>
      <c r="L2" s="75"/>
      <c r="M2" s="75"/>
      <c r="N2" s="75"/>
      <c r="O2" s="75"/>
      <c r="P2" s="75"/>
      <c r="Q2" s="75"/>
    </row>
    <row r="3" spans="1:20" ht="13" thickBot="1"/>
    <row r="4" spans="1:20" ht="19.75" customHeight="1" thickTop="1">
      <c r="A4" s="2264" t="s">
        <v>433</v>
      </c>
      <c r="B4" s="2265"/>
      <c r="C4" s="2265"/>
      <c r="D4" s="2265"/>
      <c r="E4" s="2265"/>
      <c r="F4" s="2265"/>
      <c r="G4" s="2265"/>
      <c r="H4" s="2265"/>
      <c r="I4" s="2265"/>
      <c r="J4" s="2265"/>
      <c r="K4" s="2265"/>
      <c r="L4" s="2265"/>
      <c r="M4" s="2265"/>
      <c r="N4" s="2265"/>
      <c r="O4" s="2265"/>
      <c r="P4" s="2265"/>
      <c r="Q4" s="2265"/>
      <c r="R4" s="2265"/>
      <c r="S4" s="2265"/>
      <c r="T4" s="2266"/>
    </row>
    <row r="5" spans="1:20">
      <c r="A5" s="120"/>
      <c r="B5" s="83"/>
      <c r="C5" s="83"/>
      <c r="D5" s="83"/>
      <c r="E5" s="83"/>
      <c r="F5" s="83"/>
      <c r="G5" s="83"/>
      <c r="H5" s="83"/>
      <c r="I5" s="83"/>
      <c r="J5" s="83"/>
      <c r="K5" s="83"/>
      <c r="L5" s="83"/>
      <c r="M5" s="83"/>
      <c r="N5" s="83"/>
      <c r="O5" s="83"/>
      <c r="P5" s="83"/>
      <c r="Q5" s="83"/>
      <c r="R5" s="83"/>
      <c r="S5" s="83"/>
      <c r="T5" s="121"/>
    </row>
    <row r="6" spans="1:20">
      <c r="A6" s="120"/>
      <c r="B6" s="122" t="s">
        <v>952</v>
      </c>
      <c r="C6" s="122" t="s">
        <v>953</v>
      </c>
      <c r="D6" s="122" t="s">
        <v>954</v>
      </c>
      <c r="E6" s="122" t="s">
        <v>955</v>
      </c>
      <c r="F6" s="122" t="s">
        <v>956</v>
      </c>
      <c r="G6" s="122" t="s">
        <v>957</v>
      </c>
      <c r="H6" s="122" t="s">
        <v>958</v>
      </c>
      <c r="I6" s="122" t="s">
        <v>959</v>
      </c>
      <c r="J6" s="122" t="s">
        <v>960</v>
      </c>
      <c r="K6" s="122" t="s">
        <v>961</v>
      </c>
      <c r="L6" s="122" t="s">
        <v>962</v>
      </c>
      <c r="M6" s="122" t="s">
        <v>963</v>
      </c>
      <c r="N6" s="122" t="s">
        <v>964</v>
      </c>
      <c r="O6" s="122" t="s">
        <v>965</v>
      </c>
      <c r="P6" s="122" t="s">
        <v>120</v>
      </c>
      <c r="Q6" s="122" t="s">
        <v>121</v>
      </c>
      <c r="R6" s="757" t="s">
        <v>328</v>
      </c>
      <c r="S6" s="122" t="s">
        <v>329</v>
      </c>
      <c r="T6" s="758" t="s">
        <v>330</v>
      </c>
    </row>
    <row r="7" spans="1:20" ht="34.75" customHeight="1">
      <c r="A7" s="2270"/>
      <c r="B7" s="2312" t="s">
        <v>462</v>
      </c>
      <c r="C7" s="2314"/>
      <c r="D7" s="2312" t="s">
        <v>463</v>
      </c>
      <c r="E7" s="2314"/>
      <c r="F7" s="2312" t="s">
        <v>326</v>
      </c>
      <c r="G7" s="2313"/>
      <c r="H7" s="2313"/>
      <c r="I7" s="2314"/>
      <c r="J7" s="2312" t="s">
        <v>327</v>
      </c>
      <c r="K7" s="2313"/>
      <c r="L7" s="2313"/>
      <c r="M7" s="2314"/>
      <c r="N7" s="2267" t="s">
        <v>122</v>
      </c>
      <c r="O7" s="2306" t="s">
        <v>1081</v>
      </c>
      <c r="P7" s="2309" t="s">
        <v>1082</v>
      </c>
      <c r="Q7" s="2294" t="s">
        <v>1083</v>
      </c>
      <c r="R7" s="2285" t="s">
        <v>76</v>
      </c>
      <c r="S7" s="2287" t="s">
        <v>331</v>
      </c>
      <c r="T7" s="2289" t="s">
        <v>332</v>
      </c>
    </row>
    <row r="8" spans="1:20" ht="34.75" customHeight="1">
      <c r="A8" s="2270"/>
      <c r="B8" s="2253" t="s">
        <v>123</v>
      </c>
      <c r="C8" s="2255" t="s">
        <v>124</v>
      </c>
      <c r="D8" s="2253" t="s">
        <v>123</v>
      </c>
      <c r="E8" s="2255" t="s">
        <v>124</v>
      </c>
      <c r="F8" s="2253" t="s">
        <v>125</v>
      </c>
      <c r="G8" s="2260" t="s">
        <v>126</v>
      </c>
      <c r="H8" s="2262" t="s">
        <v>127</v>
      </c>
      <c r="I8" s="2281" t="s">
        <v>128</v>
      </c>
      <c r="J8" s="2283" t="s">
        <v>129</v>
      </c>
      <c r="K8" s="2260" t="s">
        <v>126</v>
      </c>
      <c r="L8" s="2262" t="s">
        <v>127</v>
      </c>
      <c r="M8" s="2281" t="s">
        <v>128</v>
      </c>
      <c r="N8" s="2268"/>
      <c r="O8" s="2307"/>
      <c r="P8" s="2310"/>
      <c r="Q8" s="2295"/>
      <c r="R8" s="2286"/>
      <c r="S8" s="2288"/>
      <c r="T8" s="2290"/>
    </row>
    <row r="9" spans="1:20" ht="49.75" customHeight="1">
      <c r="A9" s="2271"/>
      <c r="B9" s="2254"/>
      <c r="C9" s="2256"/>
      <c r="D9" s="2254"/>
      <c r="E9" s="2256"/>
      <c r="F9" s="2254"/>
      <c r="G9" s="2261"/>
      <c r="H9" s="2263"/>
      <c r="I9" s="2282"/>
      <c r="J9" s="2284"/>
      <c r="K9" s="2261"/>
      <c r="L9" s="2263"/>
      <c r="M9" s="2282"/>
      <c r="N9" s="2269"/>
      <c r="O9" s="2308"/>
      <c r="P9" s="2311"/>
      <c r="Q9" s="2296"/>
      <c r="R9" s="2155" t="s">
        <v>333</v>
      </c>
      <c r="S9" s="2156" t="s">
        <v>334</v>
      </c>
      <c r="T9" s="2157" t="s">
        <v>334</v>
      </c>
    </row>
    <row r="10" spans="1:20" ht="12" customHeight="1">
      <c r="A10" s="348">
        <v>1700</v>
      </c>
      <c r="B10" s="595">
        <f>TableUK6f!B12</f>
        <v>7.0297641509433961E-2</v>
      </c>
      <c r="C10" s="780">
        <f>$N10*TableUK2!B10</f>
        <v>0.4808182547169812</v>
      </c>
      <c r="D10" s="129">
        <f>B10*(DataUK1!HU$169/DataUK1!HU$71)*(100/TableUK5d!P10)</f>
        <v>8.2837547069144684</v>
      </c>
      <c r="E10" s="783">
        <f>$N10*TableUK2!D10</f>
        <v>56.658806684825628</v>
      </c>
      <c r="F10" s="786">
        <f t="shared" ref="F10:F24" si="0">1000000*B10/$R10</f>
        <v>8.2075471698113205</v>
      </c>
      <c r="G10" s="856">
        <f t="shared" ref="G10:G24" si="1">1000000*C10/$R10</f>
        <v>56.13756622498321</v>
      </c>
      <c r="H10" s="776">
        <f t="shared" ref="H10:H25" si="2">1000000*B10/$S10</f>
        <v>14.922813036020584</v>
      </c>
      <c r="I10" s="777">
        <f t="shared" ref="I10:I25" si="3">1000000*C10/$S10</f>
        <v>102.0683022272422</v>
      </c>
      <c r="J10" s="778">
        <f t="shared" ref="J10:J24" si="4">1000000*D10/$R10</f>
        <v>967.16342170630105</v>
      </c>
      <c r="K10" s="778">
        <f t="shared" ref="K10:K24" si="5">1000000*E10/$R10</f>
        <v>6615.1554798395364</v>
      </c>
      <c r="L10" s="776">
        <f t="shared" ref="L10:L25" si="6">1000000*D10/$S10</f>
        <v>1758.4789485569111</v>
      </c>
      <c r="M10" s="777">
        <f t="shared" ref="M10:M25" si="7">1000000*E10/$S10</f>
        <v>12027.555417890066</v>
      </c>
      <c r="N10" s="576">
        <f>TableUK5d!E10</f>
        <v>6.8397494481014025</v>
      </c>
      <c r="O10" s="335"/>
      <c r="P10" s="529"/>
      <c r="Q10" s="762"/>
      <c r="R10" s="768">
        <v>8565</v>
      </c>
      <c r="S10" s="535">
        <f>0.55*R10</f>
        <v>4710.75</v>
      </c>
      <c r="T10" s="354">
        <f t="shared" ref="T10:T23" si="8">0.8*S10</f>
        <v>3768.6000000000004</v>
      </c>
    </row>
    <row r="11" spans="1:20" ht="12" customHeight="1">
      <c r="A11" s="348">
        <v>1710</v>
      </c>
      <c r="B11" s="595">
        <f>B$10*(B$16/B$10)^(10/60)</f>
        <v>7.5951210485112108E-2</v>
      </c>
      <c r="C11" s="780">
        <f>$N11*TableUK2!B11</f>
        <v>0.52277310333154348</v>
      </c>
      <c r="D11" s="129">
        <f>B11*(DataUK1!HU$169/DataUK1!HU$71)*(100/TableUK5d!P11)</f>
        <v>8.9499616749939666</v>
      </c>
      <c r="E11" s="783">
        <f>$N11*TableUK2!D11</f>
        <v>61.602694804345603</v>
      </c>
      <c r="F11" s="127">
        <f t="shared" si="0"/>
        <v>8.2212926482609259</v>
      </c>
      <c r="G11" s="857">
        <f t="shared" si="1"/>
        <v>56.587257051954857</v>
      </c>
      <c r="H11" s="131">
        <f t="shared" si="2"/>
        <v>14.947804815019866</v>
      </c>
      <c r="I11" s="132">
        <f t="shared" si="3"/>
        <v>102.8859219126452</v>
      </c>
      <c r="J11" s="133">
        <f t="shared" si="4"/>
        <v>968.78316554636183</v>
      </c>
      <c r="K11" s="133">
        <f t="shared" si="5"/>
        <v>6668.1462832946245</v>
      </c>
      <c r="L11" s="131">
        <f t="shared" si="6"/>
        <v>1761.4239373570215</v>
      </c>
      <c r="M11" s="132">
        <f t="shared" si="7"/>
        <v>12123.902333262953</v>
      </c>
      <c r="N11" s="576">
        <f>TableUK5d!E11</f>
        <v>6.8830121336119721</v>
      </c>
      <c r="O11" s="335"/>
      <c r="P11" s="529"/>
      <c r="Q11" s="762"/>
      <c r="R11" s="768">
        <f>R$10*(R$22/R$10)^(10/120)</f>
        <v>9238.3538373589327</v>
      </c>
      <c r="S11" s="535">
        <f>S$10*(S$22/S$10)^(10/120)</f>
        <v>5081.0946105474131</v>
      </c>
      <c r="T11" s="354">
        <f t="shared" si="8"/>
        <v>4064.8756884379309</v>
      </c>
    </row>
    <row r="12" spans="1:20" ht="12" customHeight="1">
      <c r="A12" s="348">
        <v>1720</v>
      </c>
      <c r="B12" s="595">
        <f>B$10*(B$16/B$10)^(20/60)</f>
        <v>8.2059458187934461E-2</v>
      </c>
      <c r="C12" s="780">
        <f>$N12*TableUK2!B12</f>
        <v>0.57805005607541593</v>
      </c>
      <c r="D12" s="129">
        <f>B12*(DataUK1!HU$169/DataUK1!HU$71)*(100/TableUK5d!P12)</f>
        <v>9.6697472122152064</v>
      </c>
      <c r="E12" s="783">
        <f>$N12*TableUK2!D12</f>
        <v>68.116437052931431</v>
      </c>
      <c r="F12" s="127">
        <f t="shared" si="0"/>
        <v>8.2350611467643766</v>
      </c>
      <c r="G12" s="857">
        <f t="shared" si="1"/>
        <v>58.01010222087416</v>
      </c>
      <c r="H12" s="131">
        <f t="shared" si="2"/>
        <v>14.972838448662504</v>
      </c>
      <c r="I12" s="132">
        <f t="shared" si="3"/>
        <v>105.4729131288621</v>
      </c>
      <c r="J12" s="133">
        <f t="shared" si="4"/>
        <v>970.40562203047853</v>
      </c>
      <c r="K12" s="133">
        <f t="shared" si="5"/>
        <v>6835.8119419449777</v>
      </c>
      <c r="L12" s="131">
        <f t="shared" si="6"/>
        <v>1764.3738582372337</v>
      </c>
      <c r="M12" s="132">
        <f t="shared" si="7"/>
        <v>12428.748985354505</v>
      </c>
      <c r="N12" s="576">
        <f>TableUK5d!E12</f>
        <v>7.0442831190958186</v>
      </c>
      <c r="O12" s="335"/>
      <c r="P12" s="529"/>
      <c r="Q12" s="762"/>
      <c r="R12" s="768">
        <f>R$10*(R$22/R$10)^(20/120)</f>
        <v>9964.6446729999443</v>
      </c>
      <c r="S12" s="535">
        <f>S$10*(S$22/S$10)^(20/120)</f>
        <v>5480.5545701499695</v>
      </c>
      <c r="T12" s="354">
        <f t="shared" si="8"/>
        <v>4384.4436561199755</v>
      </c>
    </row>
    <row r="13" spans="1:20" ht="12" customHeight="1">
      <c r="A13" s="348">
        <v>1730</v>
      </c>
      <c r="B13" s="595">
        <f>B$10*(B$16/B$10)^(30/60)</f>
        <v>8.8658951385867768E-2</v>
      </c>
      <c r="C13" s="780">
        <f>$N13*TableUK2!B13</f>
        <v>0.61893652384108422</v>
      </c>
      <c r="D13" s="129">
        <f>B13*(DataUK1!HU$169/DataUK1!HU$71)*(100/TableUK5d!P13)</f>
        <v>10.447420284423377</v>
      </c>
      <c r="E13" s="783">
        <f>$N13*TableUK2!D13</f>
        <v>72.934428987376478</v>
      </c>
      <c r="F13" s="127">
        <f t="shared" si="0"/>
        <v>8.2488527038741992</v>
      </c>
      <c r="G13" s="857">
        <f t="shared" si="1"/>
        <v>57.586020795491208</v>
      </c>
      <c r="H13" s="131">
        <f t="shared" si="2"/>
        <v>14.997914007043999</v>
      </c>
      <c r="I13" s="132">
        <f t="shared" si="3"/>
        <v>104.70185599180219</v>
      </c>
      <c r="J13" s="133">
        <f t="shared" si="4"/>
        <v>972.03079570161594</v>
      </c>
      <c r="K13" s="133">
        <f t="shared" si="5"/>
        <v>6785.8389068871875</v>
      </c>
      <c r="L13" s="131">
        <f t="shared" si="6"/>
        <v>1767.3287194574837</v>
      </c>
      <c r="M13" s="132">
        <f t="shared" si="7"/>
        <v>12337.888921613068</v>
      </c>
      <c r="N13" s="576">
        <f>TableUK5d!E13</f>
        <v>6.9810945670596176</v>
      </c>
      <c r="O13" s="335"/>
      <c r="P13" s="529"/>
      <c r="Q13" s="762"/>
      <c r="R13" s="768">
        <f>R$10*(R$22/R$10)^(30/120)</f>
        <v>10748.034250172481</v>
      </c>
      <c r="S13" s="535">
        <f>S$10*(S$22/S$10)^(30/120)</f>
        <v>5911.4188375948643</v>
      </c>
      <c r="T13" s="354">
        <f t="shared" si="8"/>
        <v>4729.1350700758912</v>
      </c>
    </row>
    <row r="14" spans="1:20" ht="12" customHeight="1">
      <c r="A14" s="348">
        <v>1740</v>
      </c>
      <c r="B14" s="595">
        <f>B$10*(B$16/B$10)^(40/60)</f>
        <v>9.5789197667373954E-2</v>
      </c>
      <c r="C14" s="780">
        <f>$N14*TableUK2!B14</f>
        <v>0.64336754656997064</v>
      </c>
      <c r="D14" s="129">
        <f>B14*(DataUK1!HU$169/DataUK1!HU$71)*(100/TableUK5d!P14)</f>
        <v>11.287636398757165</v>
      </c>
      <c r="E14" s="783">
        <f>$N14*TableUK2!D14</f>
        <v>75.81333922077296</v>
      </c>
      <c r="F14" s="127">
        <f t="shared" si="0"/>
        <v>8.2626673582074801</v>
      </c>
      <c r="G14" s="857">
        <f t="shared" si="1"/>
        <v>55.496153593781983</v>
      </c>
      <c r="H14" s="131">
        <f t="shared" si="2"/>
        <v>15.023031560377238</v>
      </c>
      <c r="I14" s="132">
        <f t="shared" si="3"/>
        <v>100.90209744323997</v>
      </c>
      <c r="J14" s="133">
        <f t="shared" si="4"/>
        <v>973.65869111034533</v>
      </c>
      <c r="K14" s="133">
        <f t="shared" si="5"/>
        <v>6539.5725045262816</v>
      </c>
      <c r="L14" s="131">
        <f t="shared" si="6"/>
        <v>1770.2885292915371</v>
      </c>
      <c r="M14" s="132">
        <f t="shared" si="7"/>
        <v>11890.131826411422</v>
      </c>
      <c r="N14" s="576">
        <f>TableUK5d!E14</f>
        <v>6.716493740808346</v>
      </c>
      <c r="O14" s="335"/>
      <c r="P14" s="529"/>
      <c r="Q14" s="762"/>
      <c r="R14" s="768">
        <f>R$10*(R$22/R$10)^(40/120)</f>
        <v>11593.011495522029</v>
      </c>
      <c r="S14" s="535">
        <f>S$10*(S$22/S$10)^(40/120)</f>
        <v>6376.1563225371156</v>
      </c>
      <c r="T14" s="354">
        <f t="shared" si="8"/>
        <v>5100.925058029693</v>
      </c>
    </row>
    <row r="15" spans="1:20" ht="12" customHeight="1">
      <c r="A15" s="748">
        <v>1750</v>
      </c>
      <c r="B15" s="781">
        <f>B$10*(B$16/B$10)^(50/60)</f>
        <v>0.10349288195192695</v>
      </c>
      <c r="C15" s="782">
        <f>$N15*TableUK2!B15</f>
        <v>0.72373226125736789</v>
      </c>
      <c r="D15" s="146">
        <f>B15*(DataUK1!HU$169/DataUK1!HU$71)*(100/TableUK5d!P15)</f>
        <v>12.195425473646468</v>
      </c>
      <c r="E15" s="785">
        <f>$N15*TableUK2!D15</f>
        <v>85.283380736635564</v>
      </c>
      <c r="F15" s="784">
        <f t="shared" si="0"/>
        <v>8.2765051484459864</v>
      </c>
      <c r="G15" s="858">
        <f t="shared" si="1"/>
        <v>57.878123339684748</v>
      </c>
      <c r="H15" s="148">
        <f t="shared" si="2"/>
        <v>15.048191178992704</v>
      </c>
      <c r="I15" s="149">
        <f t="shared" si="3"/>
        <v>105.23295152669955</v>
      </c>
      <c r="J15" s="150">
        <f t="shared" si="4"/>
        <v>975.28931281486064</v>
      </c>
      <c r="K15" s="150">
        <f t="shared" si="5"/>
        <v>6820.2597746916954</v>
      </c>
      <c r="L15" s="148">
        <f t="shared" si="6"/>
        <v>1773.2532960270194</v>
      </c>
      <c r="M15" s="149">
        <f t="shared" si="7"/>
        <v>12400.472317621266</v>
      </c>
      <c r="N15" s="779">
        <f>TableUK5d!E15</f>
        <v>6.9930631711806592</v>
      </c>
      <c r="O15" s="753"/>
      <c r="P15" s="754"/>
      <c r="Q15" s="763"/>
      <c r="R15" s="769">
        <f>R$10*(R$22/R$10)^(50/120)</f>
        <v>12504.418241237847</v>
      </c>
      <c r="S15" s="755">
        <f>S$10*(S$22/S$10)^(50/120)</f>
        <v>6877.4300326808152</v>
      </c>
      <c r="T15" s="775">
        <f t="shared" si="8"/>
        <v>5501.9440261446525</v>
      </c>
    </row>
    <row r="16" spans="1:20" ht="12" customHeight="1">
      <c r="A16" s="348">
        <v>1760</v>
      </c>
      <c r="B16" s="595">
        <f>D16*TableUK5d!P16/(100*DataUK1!HT$169/DataUK1!HT$71)</f>
        <v>0.11181612202148764</v>
      </c>
      <c r="C16" s="780">
        <f>$N16*TableUK2!B16</f>
        <v>0.78985831479378465</v>
      </c>
      <c r="D16" s="129">
        <f>D17/((1+0.01)^10)</f>
        <v>13.586799342751219</v>
      </c>
      <c r="E16" s="850">
        <f>$N16*TableUK2!D16</f>
        <v>95.975841750659924</v>
      </c>
      <c r="F16" s="127">
        <f t="shared" si="0"/>
        <v>8.2903661133362583</v>
      </c>
      <c r="G16" s="857">
        <f t="shared" si="1"/>
        <v>58.56234761964744</v>
      </c>
      <c r="H16" s="131">
        <f t="shared" si="2"/>
        <v>15.073392933338649</v>
      </c>
      <c r="I16" s="132">
        <f t="shared" si="3"/>
        <v>106.47699567208626</v>
      </c>
      <c r="J16" s="133">
        <f t="shared" si="4"/>
        <v>1007.3640439631608</v>
      </c>
      <c r="K16" s="133">
        <f t="shared" si="5"/>
        <v>7115.9225679074252</v>
      </c>
      <c r="L16" s="131">
        <f t="shared" si="6"/>
        <v>1831.5709890239289</v>
      </c>
      <c r="M16" s="132">
        <f t="shared" si="7"/>
        <v>12938.041032558955</v>
      </c>
      <c r="N16" s="576">
        <f>TableUK5d!E16</f>
        <v>7.0639036707246747</v>
      </c>
      <c r="O16" s="335"/>
      <c r="P16" s="529"/>
      <c r="Q16" s="762"/>
      <c r="R16" s="768">
        <f>R$10*(R$22/R$10)^(60/120)</f>
        <v>13487.476969396463</v>
      </c>
      <c r="S16" s="535">
        <f>S$10*(S$22/S$10)^(60/120)</f>
        <v>7418.1123331680546</v>
      </c>
      <c r="T16" s="354">
        <f t="shared" si="8"/>
        <v>5934.4898665344444</v>
      </c>
    </row>
    <row r="17" spans="1:23" ht="12" customHeight="1">
      <c r="A17" s="348">
        <v>1770</v>
      </c>
      <c r="B17" s="595">
        <f>D17*TableUK5d!P17/(100*DataUK1!HT$169/DataUK1!HT$71)</f>
        <v>0.11980912549173581</v>
      </c>
      <c r="C17" s="780">
        <f>$N17*TableUK2!B17</f>
        <v>0.82895064438583677</v>
      </c>
      <c r="D17" s="129">
        <f>D18/((1+0.01)^10)</f>
        <v>15.00827916752541</v>
      </c>
      <c r="E17" s="850">
        <f>$N17*TableUK2!D17</f>
        <v>103.84119436629126</v>
      </c>
      <c r="F17" s="127">
        <f t="shared" si="0"/>
        <v>8.2355376556895497</v>
      </c>
      <c r="G17" s="857">
        <f t="shared" si="1"/>
        <v>56.981087363153982</v>
      </c>
      <c r="H17" s="131">
        <f t="shared" si="2"/>
        <v>14.973704828526456</v>
      </c>
      <c r="I17" s="132">
        <f t="shared" si="3"/>
        <v>103.60197702391633</v>
      </c>
      <c r="J17" s="133">
        <f t="shared" si="4"/>
        <v>1031.6513681571134</v>
      </c>
      <c r="K17" s="133">
        <f t="shared" si="5"/>
        <v>7137.9209463836578</v>
      </c>
      <c r="L17" s="131">
        <f t="shared" si="6"/>
        <v>1875.7297602856609</v>
      </c>
      <c r="M17" s="132">
        <f t="shared" si="7"/>
        <v>12978.038084333924</v>
      </c>
      <c r="N17" s="576">
        <f>TableUK5d!E17</f>
        <v>6.9189274271350572</v>
      </c>
      <c r="O17" s="335"/>
      <c r="P17" s="529"/>
      <c r="Q17" s="762"/>
      <c r="R17" s="768">
        <f>R$10*(R$22/R$10)^(70/120)</f>
        <v>14547.820737479749</v>
      </c>
      <c r="S17" s="535">
        <f>S$10*(S$22/S$10)^(70/120)</f>
        <v>8001.3014056138618</v>
      </c>
      <c r="T17" s="354">
        <f t="shared" si="8"/>
        <v>6401.0411244910902</v>
      </c>
    </row>
    <row r="18" spans="1:23" ht="12" customHeight="1">
      <c r="A18" s="348">
        <v>1780</v>
      </c>
      <c r="B18" s="595">
        <f>D18*TableUK5d!P18/(100*DataUK1!HT$169/DataUK1!HT$71)</f>
        <v>0.15212716401179169</v>
      </c>
      <c r="C18" s="780">
        <f>$N18*TableUK2!B18</f>
        <v>1.0226641730067512</v>
      </c>
      <c r="D18" s="129">
        <f>D19/((1+0.01)^10)</f>
        <v>16.578477232796626</v>
      </c>
      <c r="E18" s="850">
        <f>$N18*TableUK2!D18</f>
        <v>111.4476485453647</v>
      </c>
      <c r="F18" s="127">
        <f t="shared" si="0"/>
        <v>9.6948613717056507</v>
      </c>
      <c r="G18" s="857">
        <f t="shared" si="1"/>
        <v>65.173024499043152</v>
      </c>
      <c r="H18" s="131">
        <f t="shared" si="2"/>
        <v>17.627020675828458</v>
      </c>
      <c r="I18" s="132">
        <f t="shared" si="3"/>
        <v>118.49640818007846</v>
      </c>
      <c r="J18" s="133">
        <f t="shared" si="4"/>
        <v>1056.524254363168</v>
      </c>
      <c r="K18" s="133">
        <f t="shared" si="5"/>
        <v>7102.4100782299083</v>
      </c>
      <c r="L18" s="131">
        <f t="shared" si="6"/>
        <v>1920.9531897512147</v>
      </c>
      <c r="M18" s="132">
        <f t="shared" si="7"/>
        <v>12913.472869508925</v>
      </c>
      <c r="N18" s="576">
        <f>TableUK5d!E18</f>
        <v>6.7224297491504039</v>
      </c>
      <c r="O18" s="335"/>
      <c r="P18" s="529"/>
      <c r="Q18" s="762"/>
      <c r="R18" s="768">
        <f>R$10*(R$22/R$10)^(80/120)</f>
        <v>15691.525456544763</v>
      </c>
      <c r="S18" s="535">
        <f>S$10*(S$22/S$10)^(80/120)</f>
        <v>8630.3390010996191</v>
      </c>
      <c r="T18" s="354">
        <f t="shared" si="8"/>
        <v>6904.2712008796952</v>
      </c>
    </row>
    <row r="19" spans="1:23" ht="12" customHeight="1">
      <c r="A19" s="348">
        <v>1790</v>
      </c>
      <c r="B19" s="595">
        <f>D19*TableUK5d!P19/(100*DataUK1!HT$169/DataUK1!HT$71)</f>
        <v>0.17407148079481999</v>
      </c>
      <c r="C19" s="780">
        <f>$N19*TableUK2!B19</f>
        <v>1.2708164828514656</v>
      </c>
      <c r="D19" s="129">
        <f>D20/((1+0.01)^10)</f>
        <v>18.312952756973075</v>
      </c>
      <c r="E19" s="850">
        <f>$N19*TableUK2!D19</f>
        <v>133.69451507494796</v>
      </c>
      <c r="F19" s="127">
        <f t="shared" si="0"/>
        <v>10.284785377509333</v>
      </c>
      <c r="G19" s="857">
        <f t="shared" si="1"/>
        <v>75.084526888895951</v>
      </c>
      <c r="H19" s="131">
        <f t="shared" si="2"/>
        <v>18.699609777289698</v>
      </c>
      <c r="I19" s="132">
        <f t="shared" si="3"/>
        <v>136.51732161617446</v>
      </c>
      <c r="J19" s="133">
        <f t="shared" si="4"/>
        <v>1081.9968203518649</v>
      </c>
      <c r="K19" s="133">
        <f t="shared" si="5"/>
        <v>7899.1652591085658</v>
      </c>
      <c r="L19" s="131">
        <f t="shared" si="6"/>
        <v>1967.2669460943</v>
      </c>
      <c r="M19" s="132">
        <f t="shared" si="7"/>
        <v>14362.118652924666</v>
      </c>
      <c r="N19" s="576">
        <f>TableUK5d!E19</f>
        <v>7.3005438745557143</v>
      </c>
      <c r="O19" s="335"/>
      <c r="P19" s="529"/>
      <c r="Q19" s="762"/>
      <c r="R19" s="768">
        <f>R$10*(R$22/R$10)^(90/120)</f>
        <v>16925.144707003587</v>
      </c>
      <c r="S19" s="535">
        <f>S$10*(S$22/S$10)^(90/120)</f>
        <v>9308.8295888519715</v>
      </c>
      <c r="T19" s="354">
        <f t="shared" si="8"/>
        <v>7447.0636710815779</v>
      </c>
    </row>
    <row r="20" spans="1:23" ht="12" customHeight="1">
      <c r="A20" s="348">
        <v>1800</v>
      </c>
      <c r="B20" s="595">
        <f>D20*TableUK5d!P20/(100*DataUK1!HT$169/DataUK1!HT$71)</f>
        <v>0.24772881529333901</v>
      </c>
      <c r="C20" s="780">
        <f>$N20*TableUK2!B20</f>
        <v>1.8976270754922411</v>
      </c>
      <c r="D20" s="129">
        <f>D21/((1+0.018)^10)</f>
        <v>20.22889279696258</v>
      </c>
      <c r="E20" s="850">
        <f>$N20*TableUK2!D20</f>
        <v>154.95530721079712</v>
      </c>
      <c r="F20" s="127">
        <f t="shared" si="0"/>
        <v>13.569908223286919</v>
      </c>
      <c r="G20" s="790">
        <f t="shared" si="1"/>
        <v>103.94683083581701</v>
      </c>
      <c r="H20" s="131">
        <f t="shared" si="2"/>
        <v>24.672560405976213</v>
      </c>
      <c r="I20" s="132">
        <f t="shared" si="3"/>
        <v>188.99423788330364</v>
      </c>
      <c r="J20" s="133">
        <f t="shared" si="4"/>
        <v>1108.0835242700687</v>
      </c>
      <c r="K20" s="133">
        <f t="shared" si="5"/>
        <v>8488.0287142691741</v>
      </c>
      <c r="L20" s="131">
        <f t="shared" si="6"/>
        <v>2014.6973168546701</v>
      </c>
      <c r="M20" s="132">
        <f t="shared" si="7"/>
        <v>15432.779480489407</v>
      </c>
      <c r="N20" s="576">
        <f>TableUK5d!E20</f>
        <v>7.6600982943596421</v>
      </c>
      <c r="O20" s="335"/>
      <c r="P20" s="529"/>
      <c r="Q20" s="762"/>
      <c r="R20" s="296">
        <f>R$10*(R$22/R$10)^(100/120)</f>
        <v>18255.74729151218</v>
      </c>
      <c r="S20" s="170">
        <f>S$10*(S$22/S$10)^(100/120)</f>
        <v>10040.6610103317</v>
      </c>
      <c r="T20" s="354">
        <f t="shared" si="8"/>
        <v>8032.5288082653606</v>
      </c>
    </row>
    <row r="21" spans="1:23" ht="12" customHeight="1">
      <c r="A21" s="348">
        <v>1810</v>
      </c>
      <c r="B21" s="595">
        <f>D21*TableUK5d!P21/(100*DataUK1!HT$169/DataUK1!HT$71)</f>
        <v>0.36624574080032329</v>
      </c>
      <c r="C21" s="780">
        <f>$N21*TableUK2!B21</f>
        <v>2.6419734893428792</v>
      </c>
      <c r="D21" s="129">
        <f>D22/((1+0.018)^10)</f>
        <v>24.179643469260444</v>
      </c>
      <c r="E21" s="850">
        <f>$N21*TableUK2!D21</f>
        <v>174.42380869181807</v>
      </c>
      <c r="F21" s="127">
        <f t="shared" si="0"/>
        <v>18.599691575870903</v>
      </c>
      <c r="G21" s="790">
        <f t="shared" si="1"/>
        <v>134.17191404335267</v>
      </c>
      <c r="H21" s="131">
        <f t="shared" si="2"/>
        <v>33.817621047038003</v>
      </c>
      <c r="I21" s="132">
        <f t="shared" si="3"/>
        <v>243.9489346242776</v>
      </c>
      <c r="J21" s="133">
        <f t="shared" si="4"/>
        <v>1227.9566991277577</v>
      </c>
      <c r="K21" s="133">
        <f t="shared" si="5"/>
        <v>8858.0662755755438</v>
      </c>
      <c r="L21" s="131">
        <f t="shared" si="6"/>
        <v>2232.6485438686504</v>
      </c>
      <c r="M21" s="132">
        <f t="shared" si="7"/>
        <v>16105.575046500991</v>
      </c>
      <c r="N21" s="576">
        <f>TableUK5d!E21</f>
        <v>7.213663382322526</v>
      </c>
      <c r="O21" s="335"/>
      <c r="P21" s="529"/>
      <c r="Q21" s="762"/>
      <c r="R21" s="296">
        <f>R$10*(R$22/R$10)^(110/120)</f>
        <v>19690.957740151367</v>
      </c>
      <c r="S21" s="170">
        <f>S$10*(S$22/S$10)^(110/120)</f>
        <v>10830.026757083251</v>
      </c>
      <c r="T21" s="354">
        <f t="shared" si="8"/>
        <v>8664.0214056666009</v>
      </c>
    </row>
    <row r="22" spans="1:23" ht="12" customHeight="1">
      <c r="A22" s="126">
        <v>1820</v>
      </c>
      <c r="B22" s="595">
        <f>D22*TableUK5d!P22/(100*DataUK1!HT$169/DataUK1!HT$71)</f>
        <v>0.38343715355927832</v>
      </c>
      <c r="C22" s="780">
        <f>$N22*TableUK2!B22</f>
        <v>3.0696190082858217</v>
      </c>
      <c r="D22" s="129">
        <f>D23/((1+0.018)^10)</f>
        <v>28.901985104609221</v>
      </c>
      <c r="E22" s="850">
        <f>$N22*TableUK2!D22</f>
        <v>231.37581225703153</v>
      </c>
      <c r="F22" s="127">
        <f t="shared" si="0"/>
        <v>18.053446657529939</v>
      </c>
      <c r="G22" s="790">
        <f t="shared" si="1"/>
        <v>144.52747343499325</v>
      </c>
      <c r="H22" s="131">
        <f t="shared" si="2"/>
        <v>32.824448468236248</v>
      </c>
      <c r="I22" s="132">
        <f t="shared" si="3"/>
        <v>262.77722442726048</v>
      </c>
      <c r="J22" s="133">
        <f t="shared" si="4"/>
        <v>1360.7978296816809</v>
      </c>
      <c r="K22" s="133">
        <f t="shared" si="5"/>
        <v>10893.912719856467</v>
      </c>
      <c r="L22" s="131">
        <f t="shared" si="6"/>
        <v>2474.1778721485107</v>
      </c>
      <c r="M22" s="132">
        <f t="shared" si="7"/>
        <v>19807.11403610267</v>
      </c>
      <c r="N22" s="576">
        <f>TableUK5d!E22</f>
        <v>8.0055335790804296</v>
      </c>
      <c r="O22" s="135"/>
      <c r="P22" s="795"/>
      <c r="Q22" s="764"/>
      <c r="R22" s="296">
        <v>21239</v>
      </c>
      <c r="S22" s="170">
        <f>0.55*R22</f>
        <v>11681.45</v>
      </c>
      <c r="T22" s="354">
        <f t="shared" si="8"/>
        <v>9345.1600000000017</v>
      </c>
    </row>
    <row r="23" spans="1:23" ht="12" customHeight="1">
      <c r="A23" s="126">
        <v>1830</v>
      </c>
      <c r="B23" s="595">
        <f>D23*TableUK5d!P23/(100*DataUK1!HT$169/DataUK1!HT$71)</f>
        <v>0.38781205502929467</v>
      </c>
      <c r="C23" s="780">
        <f>$N23*TableUK2!B23</f>
        <v>3.087532435081576</v>
      </c>
      <c r="D23" s="129">
        <f>D24/((1+0.018)^10)</f>
        <v>34.546611245488414</v>
      </c>
      <c r="E23" s="850">
        <f>$N23*TableUK2!D23</f>
        <v>275.03988429277217</v>
      </c>
      <c r="F23" s="127">
        <f t="shared" si="0"/>
        <v>16.903865041859468</v>
      </c>
      <c r="G23" s="790">
        <f t="shared" si="1"/>
        <v>134.57867262800855</v>
      </c>
      <c r="H23" s="131">
        <f t="shared" si="2"/>
        <v>30.666337253857236</v>
      </c>
      <c r="I23" s="132">
        <f t="shared" si="3"/>
        <v>244.14741550332278</v>
      </c>
      <c r="J23" s="133">
        <f t="shared" si="4"/>
        <v>1505.8099576177653</v>
      </c>
      <c r="K23" s="133">
        <f t="shared" si="5"/>
        <v>11988.376908145541</v>
      </c>
      <c r="L23" s="131">
        <f t="shared" si="6"/>
        <v>2731.782103452194</v>
      </c>
      <c r="M23" s="132">
        <f t="shared" si="7"/>
        <v>21748.849063876823</v>
      </c>
      <c r="N23" s="576">
        <f>TableUK5d!E23</f>
        <v>7.9614142857120545</v>
      </c>
      <c r="O23" s="135"/>
      <c r="P23" s="795"/>
      <c r="Q23" s="764"/>
      <c r="R23" s="296">
        <f>R22*(R$25/R$22)^(10/35)</f>
        <v>22942.211977494255</v>
      </c>
      <c r="S23" s="170">
        <f>S22*(S$25/S$22)^(10/30)</f>
        <v>12646.181114456875</v>
      </c>
      <c r="T23" s="354">
        <f t="shared" si="8"/>
        <v>10116.944891565501</v>
      </c>
    </row>
    <row r="24" spans="1:23" ht="12" customHeight="1">
      <c r="A24" s="145">
        <v>1840</v>
      </c>
      <c r="B24" s="781">
        <f>D24*TableUK5d!P24/(100*DataUK1!HT$169/DataUK1!HT$71)</f>
        <v>0.51974087001396385</v>
      </c>
      <c r="C24" s="782">
        <f>$N24*TableUK2!B24</f>
        <v>4.0991334058482325</v>
      </c>
      <c r="D24" s="146">
        <f>D25/((1+0.018)^15)</f>
        <v>41.293646240118463</v>
      </c>
      <c r="E24" s="851">
        <f>$N24*TableUK2!D24</f>
        <v>325.67799555113135</v>
      </c>
      <c r="F24" s="784">
        <f t="shared" si="0"/>
        <v>20.97250746542014</v>
      </c>
      <c r="G24" s="791">
        <f t="shared" si="1"/>
        <v>165.40763083264054</v>
      </c>
      <c r="H24" s="148">
        <f t="shared" si="2"/>
        <v>37.963376215360611</v>
      </c>
      <c r="I24" s="149">
        <f t="shared" si="3"/>
        <v>299.41255849090334</v>
      </c>
      <c r="J24" s="150">
        <f t="shared" si="4"/>
        <v>1666.2751652030661</v>
      </c>
      <c r="K24" s="150">
        <f t="shared" si="5"/>
        <v>13141.710777595114</v>
      </c>
      <c r="L24" s="148">
        <f t="shared" si="6"/>
        <v>3016.2073409303189</v>
      </c>
      <c r="M24" s="149">
        <f t="shared" si="7"/>
        <v>23788.462642624123</v>
      </c>
      <c r="N24" s="779">
        <f>TableUK5d!E24</f>
        <v>7.8868791013839292</v>
      </c>
      <c r="O24" s="152"/>
      <c r="P24" s="796"/>
      <c r="Q24" s="765"/>
      <c r="R24" s="297">
        <f>R$22*(R$25/R$22)^(20/35)</f>
        <v>24782.009059761796</v>
      </c>
      <c r="S24" s="257">
        <f>S$22*(S$25/S$22)^(20/30)</f>
        <v>13690.586081320873</v>
      </c>
      <c r="T24" s="775">
        <f>0.8*S24</f>
        <v>10952.468865056699</v>
      </c>
    </row>
    <row r="25" spans="1:23" ht="12" customHeight="1">
      <c r="A25" s="126">
        <v>1855</v>
      </c>
      <c r="B25" s="595">
        <f>TableUK1!B10</f>
        <v>0.66251561558684191</v>
      </c>
      <c r="C25" s="780">
        <f>$N25*TableUK2!B25</f>
        <v>5.0093066382574989</v>
      </c>
      <c r="D25" s="127">
        <f>TableUK1!D10</f>
        <v>53.963474307680634</v>
      </c>
      <c r="E25" s="850">
        <f>$N25*TableUK2!D25</f>
        <v>408.01995260664063</v>
      </c>
      <c r="F25" s="127">
        <f>1000000*B25/$R25</f>
        <v>23.812652418476095</v>
      </c>
      <c r="G25" s="790">
        <f>1000000*C25/$R25</f>
        <v>180.04840192141108</v>
      </c>
      <c r="H25" s="131">
        <f t="shared" si="2"/>
        <v>44.700402725949942</v>
      </c>
      <c r="I25" s="132">
        <f t="shared" si="3"/>
        <v>337.98150389186361</v>
      </c>
      <c r="J25" s="133">
        <f>1000000*D25/$R25</f>
        <v>1939.5972362763509</v>
      </c>
      <c r="K25" s="133">
        <f>1000000*E25/$R25</f>
        <v>14665.371023170175</v>
      </c>
      <c r="L25" s="131">
        <f t="shared" si="6"/>
        <v>3640.9542315589238</v>
      </c>
      <c r="M25" s="132">
        <f t="shared" si="7"/>
        <v>27529.398209858708</v>
      </c>
      <c r="N25" s="576">
        <f>TableUK5d!E25</f>
        <v>7.5610393482127423</v>
      </c>
      <c r="O25" s="135"/>
      <c r="P25" s="795"/>
      <c r="Q25" s="764"/>
      <c r="R25" s="296">
        <f>TableUK1!R10</f>
        <v>27822</v>
      </c>
      <c r="S25" s="170">
        <f>TableUK1!S10</f>
        <v>14821.244892324683</v>
      </c>
      <c r="T25" s="354">
        <f>TableUK1!T10</f>
        <v>11760</v>
      </c>
      <c r="V25" s="364"/>
      <c r="W25" s="364"/>
    </row>
    <row r="26" spans="1:23">
      <c r="A26" s="126" t="s">
        <v>394</v>
      </c>
      <c r="B26" s="595">
        <f>AVERAGE(TableUK1!B15:B24)</f>
        <v>0.83981972957367945</v>
      </c>
      <c r="C26" s="787">
        <f>AVERAGE(TableUK1!C15:C24)</f>
        <v>5.8098318398079547</v>
      </c>
      <c r="D26" s="127">
        <f>AVERAGE(TableUK1!D15:D24)</f>
        <v>76.385617436554099</v>
      </c>
      <c r="E26" s="852">
        <f>AVERAGE(TableUK1!E15:E24)</f>
        <v>527.03087452459135</v>
      </c>
      <c r="F26" s="127">
        <f>AVERAGE(TableUK1!F15:F24)</f>
        <v>28.123587885268126</v>
      </c>
      <c r="G26" s="790">
        <f>AVERAGE(TableUK1!G15:G24)</f>
        <v>194.38387259099346</v>
      </c>
      <c r="H26" s="131">
        <f>AVERAGE(TableUK1!H15:H24)</f>
        <v>53.295648906530857</v>
      </c>
      <c r="I26" s="132">
        <f>AVERAGE(TableUK1!I15:I24)</f>
        <v>368.36804186721554</v>
      </c>
      <c r="J26" s="133">
        <f>AVERAGE(TableUK1!J15:J24)</f>
        <v>2559.1600059638595</v>
      </c>
      <c r="K26" s="133">
        <f>AVERAGE(TableUK1!K15:K24)</f>
        <v>17641.907644657294</v>
      </c>
      <c r="L26" s="131">
        <f>AVERAGE(TableUK1!L15:L24)</f>
        <v>4849.7427450094237</v>
      </c>
      <c r="M26" s="132">
        <f>AVERAGE(TableUK1!M15:M24)</f>
        <v>33432.207604184652</v>
      </c>
      <c r="N26" s="134">
        <f>AVERAGE(TableUK1!N$15:N$24)</f>
        <v>6.9073179037436061</v>
      </c>
      <c r="O26" s="135"/>
      <c r="P26" s="795"/>
      <c r="Q26" s="764"/>
      <c r="R26" s="296">
        <f>AVERAGE(TableUK1!R15:R24)</f>
        <v>29830.1</v>
      </c>
      <c r="S26" s="170">
        <f>AVERAGE(TableUK1!S15:S24)</f>
        <v>15743.208002187112</v>
      </c>
      <c r="T26" s="354">
        <f>AVERAGE(TableUK1!T15:T24)</f>
        <v>12603</v>
      </c>
      <c r="V26" s="364"/>
      <c r="W26" s="364"/>
    </row>
    <row r="27" spans="1:23" hidden="1">
      <c r="A27" s="126"/>
      <c r="B27" s="595"/>
      <c r="C27" s="787"/>
      <c r="D27" s="130"/>
      <c r="E27" s="852"/>
      <c r="F27" s="130"/>
      <c r="G27" s="790"/>
      <c r="H27" s="131"/>
      <c r="I27" s="132"/>
      <c r="J27" s="133"/>
      <c r="K27" s="133"/>
      <c r="L27" s="131"/>
      <c r="M27" s="132"/>
      <c r="N27" s="134"/>
      <c r="O27" s="135"/>
      <c r="P27" s="795"/>
      <c r="Q27" s="764"/>
      <c r="R27" s="296"/>
      <c r="S27" s="170"/>
      <c r="T27" s="354"/>
      <c r="V27" s="110"/>
      <c r="W27" s="110"/>
    </row>
    <row r="28" spans="1:23" hidden="1">
      <c r="A28" s="126"/>
      <c r="B28" s="595"/>
      <c r="C28" s="787"/>
      <c r="D28" s="130"/>
      <c r="E28" s="852"/>
      <c r="F28" s="130"/>
      <c r="G28" s="790"/>
      <c r="H28" s="131"/>
      <c r="I28" s="132"/>
      <c r="J28" s="133"/>
      <c r="K28" s="133"/>
      <c r="L28" s="131"/>
      <c r="M28" s="132"/>
      <c r="N28" s="134"/>
      <c r="O28" s="135"/>
      <c r="P28" s="795"/>
      <c r="Q28" s="764"/>
      <c r="R28" s="296"/>
      <c r="S28" s="170"/>
      <c r="T28" s="354"/>
      <c r="V28" s="110"/>
      <c r="W28" s="110"/>
    </row>
    <row r="29" spans="1:23" hidden="1">
      <c r="A29" s="126"/>
      <c r="B29" s="595"/>
      <c r="C29" s="787"/>
      <c r="D29" s="130"/>
      <c r="E29" s="852"/>
      <c r="F29" s="130"/>
      <c r="G29" s="790"/>
      <c r="H29" s="131"/>
      <c r="I29" s="132"/>
      <c r="J29" s="133"/>
      <c r="K29" s="133"/>
      <c r="L29" s="131"/>
      <c r="M29" s="132"/>
      <c r="N29" s="134"/>
      <c r="O29" s="135"/>
      <c r="P29" s="795"/>
      <c r="Q29" s="764"/>
      <c r="R29" s="296"/>
      <c r="S29" s="170"/>
      <c r="T29" s="354"/>
      <c r="V29" s="110"/>
      <c r="W29" s="110"/>
    </row>
    <row r="30" spans="1:23" hidden="1">
      <c r="A30" s="126"/>
      <c r="B30" s="595"/>
      <c r="C30" s="787"/>
      <c r="D30" s="130"/>
      <c r="E30" s="852"/>
      <c r="F30" s="130"/>
      <c r="G30" s="790"/>
      <c r="H30" s="131"/>
      <c r="I30" s="132"/>
      <c r="J30" s="133"/>
      <c r="K30" s="133"/>
      <c r="L30" s="131"/>
      <c r="M30" s="132"/>
      <c r="N30" s="134"/>
      <c r="O30" s="135"/>
      <c r="P30" s="795"/>
      <c r="Q30" s="764"/>
      <c r="R30" s="296"/>
      <c r="S30" s="170"/>
      <c r="T30" s="354"/>
      <c r="V30" s="110"/>
      <c r="W30" s="110"/>
    </row>
    <row r="31" spans="1:23" hidden="1">
      <c r="A31" s="126"/>
      <c r="B31" s="595"/>
      <c r="C31" s="787"/>
      <c r="D31" s="130"/>
      <c r="E31" s="852"/>
      <c r="F31" s="130"/>
      <c r="G31" s="790"/>
      <c r="H31" s="131"/>
      <c r="I31" s="132"/>
      <c r="J31" s="133"/>
      <c r="K31" s="133"/>
      <c r="L31" s="131"/>
      <c r="M31" s="132"/>
      <c r="N31" s="134"/>
      <c r="O31" s="135"/>
      <c r="P31" s="795"/>
      <c r="Q31" s="764"/>
      <c r="R31" s="296"/>
      <c r="S31" s="170"/>
      <c r="T31" s="354"/>
      <c r="V31" s="110"/>
      <c r="W31" s="110"/>
    </row>
    <row r="32" spans="1:23" hidden="1">
      <c r="A32" s="126"/>
      <c r="B32" s="595"/>
      <c r="C32" s="787"/>
      <c r="D32" s="130"/>
      <c r="E32" s="852"/>
      <c r="F32" s="130"/>
      <c r="G32" s="790"/>
      <c r="H32" s="131"/>
      <c r="I32" s="132"/>
      <c r="J32" s="133"/>
      <c r="K32" s="133"/>
      <c r="L32" s="131"/>
      <c r="M32" s="132"/>
      <c r="N32" s="134"/>
      <c r="O32" s="135"/>
      <c r="P32" s="795"/>
      <c r="Q32" s="764"/>
      <c r="R32" s="296"/>
      <c r="S32" s="170"/>
      <c r="T32" s="354"/>
      <c r="V32" s="110"/>
      <c r="W32" s="110"/>
    </row>
    <row r="33" spans="1:23" hidden="1">
      <c r="A33" s="126"/>
      <c r="B33" s="595"/>
      <c r="C33" s="787"/>
      <c r="D33" s="130"/>
      <c r="E33" s="852"/>
      <c r="F33" s="130"/>
      <c r="G33" s="790"/>
      <c r="H33" s="131"/>
      <c r="I33" s="132"/>
      <c r="J33" s="133"/>
      <c r="K33" s="133"/>
      <c r="L33" s="131"/>
      <c r="M33" s="132"/>
      <c r="N33" s="134"/>
      <c r="O33" s="135"/>
      <c r="P33" s="795"/>
      <c r="Q33" s="764"/>
      <c r="R33" s="296"/>
      <c r="S33" s="170"/>
      <c r="T33" s="354"/>
      <c r="V33" s="110"/>
      <c r="W33" s="110"/>
    </row>
    <row r="34" spans="1:23" hidden="1">
      <c r="A34" s="126"/>
      <c r="B34" s="595"/>
      <c r="C34" s="787"/>
      <c r="D34" s="130"/>
      <c r="E34" s="852"/>
      <c r="F34" s="130"/>
      <c r="G34" s="790"/>
      <c r="H34" s="131"/>
      <c r="I34" s="132"/>
      <c r="J34" s="133"/>
      <c r="K34" s="133"/>
      <c r="L34" s="131"/>
      <c r="M34" s="132"/>
      <c r="N34" s="134"/>
      <c r="O34" s="135"/>
      <c r="P34" s="795"/>
      <c r="Q34" s="764"/>
      <c r="R34" s="296"/>
      <c r="S34" s="170"/>
      <c r="T34" s="354"/>
      <c r="V34" s="110"/>
      <c r="W34" s="110"/>
    </row>
    <row r="35" spans="1:23" hidden="1">
      <c r="A35" s="126"/>
      <c r="B35" s="595"/>
      <c r="C35" s="787"/>
      <c r="D35" s="130"/>
      <c r="E35" s="852"/>
      <c r="F35" s="130"/>
      <c r="G35" s="790"/>
      <c r="H35" s="131"/>
      <c r="I35" s="132"/>
      <c r="J35" s="133"/>
      <c r="K35" s="133"/>
      <c r="L35" s="131"/>
      <c r="M35" s="132"/>
      <c r="N35" s="134"/>
      <c r="O35" s="135"/>
      <c r="P35" s="795"/>
      <c r="Q35" s="764"/>
      <c r="R35" s="296"/>
      <c r="S35" s="170"/>
      <c r="T35" s="354"/>
      <c r="V35" s="110"/>
      <c r="W35" s="110"/>
    </row>
    <row r="36" spans="1:23">
      <c r="A36" s="126" t="s">
        <v>396</v>
      </c>
      <c r="B36" s="595">
        <f>AVERAGE(TableUK1!B25:B34)</f>
        <v>1.1234000714285715</v>
      </c>
      <c r="C36" s="787">
        <f>AVERAGE(TableUK1!C25:C34)</f>
        <v>7.8819452490713973</v>
      </c>
      <c r="D36" s="127">
        <f>AVERAGE(TableUK1!D25:D34)</f>
        <v>98.633671813618349</v>
      </c>
      <c r="E36" s="852">
        <f>AVERAGE(TableUK1!E25:E34)</f>
        <v>692.23090274719789</v>
      </c>
      <c r="F36" s="127">
        <f>AVERAGE(TableUK1!F25:F34)</f>
        <v>34.34504853832459</v>
      </c>
      <c r="G36" s="790">
        <f>AVERAGE(TableUK1!G25:G34)</f>
        <v>240.83581270151066</v>
      </c>
      <c r="H36" s="131">
        <f>AVERAGE(TableUK1!H25:H34)</f>
        <v>66.085318731522278</v>
      </c>
      <c r="I36" s="132">
        <f>AVERAGE(TableUK1!I25:I34)</f>
        <v>463.41755749044643</v>
      </c>
      <c r="J36" s="133">
        <f>AVERAGE(TableUK1!J25:J34)</f>
        <v>3014.1088681857018</v>
      </c>
      <c r="K36" s="133">
        <f>AVERAGE(TableUK1!K25:K34)</f>
        <v>21141.684497880105</v>
      </c>
      <c r="L36" s="131">
        <f>AVERAGE(TableUK1!L25:L34)</f>
        <v>5799.3947728755411</v>
      </c>
      <c r="M36" s="132">
        <f>AVERAGE(TableUK1!M25:M34)</f>
        <v>40679.378703099777</v>
      </c>
      <c r="N36" s="134">
        <f>AVERAGE(TableUK1!N$25:N$34)</f>
        <v>7.0147031129915565</v>
      </c>
      <c r="O36" s="135"/>
      <c r="P36" s="795"/>
      <c r="Q36" s="764"/>
      <c r="R36" s="296">
        <f>AVERAGE(TableUK1!R25:R34)</f>
        <v>32721.599999999999</v>
      </c>
      <c r="S36" s="170">
        <f>AVERAGE(TableUK1!S25:S34)</f>
        <v>17006.781487005515</v>
      </c>
      <c r="T36" s="354">
        <f>AVERAGE(TableUK1!T25:T34)</f>
        <v>13641</v>
      </c>
      <c r="V36" s="364"/>
      <c r="W36" s="364"/>
    </row>
    <row r="37" spans="1:23" hidden="1">
      <c r="A37" s="126"/>
      <c r="B37" s="595"/>
      <c r="C37" s="787"/>
      <c r="D37" s="130"/>
      <c r="E37" s="852"/>
      <c r="F37" s="130"/>
      <c r="G37" s="790"/>
      <c r="H37" s="131"/>
      <c r="I37" s="132"/>
      <c r="J37" s="133"/>
      <c r="K37" s="133"/>
      <c r="L37" s="131"/>
      <c r="M37" s="132"/>
      <c r="N37" s="134"/>
      <c r="O37" s="135"/>
      <c r="P37" s="795"/>
      <c r="Q37" s="764"/>
      <c r="R37" s="296"/>
      <c r="S37" s="170"/>
      <c r="T37" s="354"/>
      <c r="V37" s="110"/>
      <c r="W37" s="110"/>
    </row>
    <row r="38" spans="1:23" hidden="1">
      <c r="A38" s="126"/>
      <c r="B38" s="595"/>
      <c r="C38" s="787"/>
      <c r="D38" s="130"/>
      <c r="E38" s="852"/>
      <c r="F38" s="130"/>
      <c r="G38" s="790"/>
      <c r="H38" s="131"/>
      <c r="I38" s="132"/>
      <c r="J38" s="133"/>
      <c r="K38" s="133"/>
      <c r="L38" s="131"/>
      <c r="M38" s="132"/>
      <c r="N38" s="134"/>
      <c r="O38" s="135"/>
      <c r="P38" s="795"/>
      <c r="Q38" s="764"/>
      <c r="R38" s="296"/>
      <c r="S38" s="170"/>
      <c r="T38" s="354"/>
      <c r="V38" s="110"/>
      <c r="W38" s="110"/>
    </row>
    <row r="39" spans="1:23" hidden="1">
      <c r="A39" s="126"/>
      <c r="B39" s="595"/>
      <c r="C39" s="787"/>
      <c r="D39" s="130"/>
      <c r="E39" s="852"/>
      <c r="F39" s="130"/>
      <c r="G39" s="790"/>
      <c r="H39" s="131"/>
      <c r="I39" s="132"/>
      <c r="J39" s="133"/>
      <c r="K39" s="133"/>
      <c r="L39" s="131"/>
      <c r="M39" s="132"/>
      <c r="N39" s="134"/>
      <c r="O39" s="135"/>
      <c r="P39" s="795"/>
      <c r="Q39" s="764"/>
      <c r="R39" s="296"/>
      <c r="S39" s="170"/>
      <c r="T39" s="354"/>
      <c r="V39" s="110"/>
      <c r="W39" s="110"/>
    </row>
    <row r="40" spans="1:23" hidden="1">
      <c r="A40" s="126"/>
      <c r="B40" s="595"/>
      <c r="C40" s="787"/>
      <c r="D40" s="130"/>
      <c r="E40" s="852"/>
      <c r="F40" s="130"/>
      <c r="G40" s="790"/>
      <c r="H40" s="131"/>
      <c r="I40" s="132"/>
      <c r="J40" s="133"/>
      <c r="K40" s="133"/>
      <c r="L40" s="131"/>
      <c r="M40" s="132"/>
      <c r="N40" s="134"/>
      <c r="O40" s="135"/>
      <c r="P40" s="795"/>
      <c r="Q40" s="764"/>
      <c r="R40" s="296"/>
      <c r="S40" s="170"/>
      <c r="T40" s="354"/>
      <c r="V40" s="110"/>
      <c r="W40" s="110"/>
    </row>
    <row r="41" spans="1:23" hidden="1">
      <c r="A41" s="126"/>
      <c r="B41" s="595"/>
      <c r="C41" s="787"/>
      <c r="D41" s="130"/>
      <c r="E41" s="852"/>
      <c r="F41" s="130"/>
      <c r="G41" s="790"/>
      <c r="H41" s="131"/>
      <c r="I41" s="132"/>
      <c r="J41" s="133"/>
      <c r="K41" s="133"/>
      <c r="L41" s="131"/>
      <c r="M41" s="132"/>
      <c r="N41" s="134"/>
      <c r="O41" s="135"/>
      <c r="P41" s="795"/>
      <c r="Q41" s="764"/>
      <c r="R41" s="296"/>
      <c r="S41" s="170"/>
      <c r="T41" s="354"/>
      <c r="V41" s="110"/>
      <c r="W41" s="110"/>
    </row>
    <row r="42" spans="1:23" hidden="1">
      <c r="A42" s="126"/>
      <c r="B42" s="595"/>
      <c r="C42" s="787"/>
      <c r="D42" s="130"/>
      <c r="E42" s="852"/>
      <c r="F42" s="130"/>
      <c r="G42" s="790"/>
      <c r="H42" s="131"/>
      <c r="I42" s="132"/>
      <c r="J42" s="133"/>
      <c r="K42" s="133"/>
      <c r="L42" s="131"/>
      <c r="M42" s="132"/>
      <c r="N42" s="134"/>
      <c r="O42" s="135"/>
      <c r="P42" s="795"/>
      <c r="Q42" s="764"/>
      <c r="R42" s="296"/>
      <c r="S42" s="170"/>
      <c r="T42" s="354"/>
      <c r="V42" s="110"/>
      <c r="W42" s="110"/>
    </row>
    <row r="43" spans="1:23" hidden="1">
      <c r="A43" s="126"/>
      <c r="B43" s="595"/>
      <c r="C43" s="787"/>
      <c r="D43" s="130"/>
      <c r="E43" s="852"/>
      <c r="F43" s="130"/>
      <c r="G43" s="790"/>
      <c r="H43" s="131"/>
      <c r="I43" s="132"/>
      <c r="J43" s="133"/>
      <c r="K43" s="133"/>
      <c r="L43" s="131"/>
      <c r="M43" s="132"/>
      <c r="N43" s="134"/>
      <c r="O43" s="135"/>
      <c r="P43" s="795"/>
      <c r="Q43" s="764"/>
      <c r="R43" s="296"/>
      <c r="S43" s="170"/>
      <c r="T43" s="354"/>
      <c r="V43" s="110"/>
      <c r="W43" s="110"/>
    </row>
    <row r="44" spans="1:23" hidden="1">
      <c r="A44" s="126"/>
      <c r="B44" s="595"/>
      <c r="C44" s="787"/>
      <c r="D44" s="130"/>
      <c r="E44" s="852"/>
      <c r="F44" s="130"/>
      <c r="G44" s="790"/>
      <c r="H44" s="131"/>
      <c r="I44" s="132"/>
      <c r="J44" s="133"/>
      <c r="K44" s="133"/>
      <c r="L44" s="131"/>
      <c r="M44" s="132"/>
      <c r="N44" s="134"/>
      <c r="O44" s="135"/>
      <c r="P44" s="795"/>
      <c r="Q44" s="764"/>
      <c r="R44" s="296"/>
      <c r="S44" s="170"/>
      <c r="T44" s="354"/>
      <c r="V44" s="110"/>
      <c r="W44" s="110"/>
    </row>
    <row r="45" spans="1:23" hidden="1">
      <c r="A45" s="126"/>
      <c r="B45" s="595"/>
      <c r="C45" s="787"/>
      <c r="D45" s="130"/>
      <c r="E45" s="852"/>
      <c r="F45" s="130"/>
      <c r="G45" s="790"/>
      <c r="H45" s="131"/>
      <c r="I45" s="132"/>
      <c r="J45" s="133"/>
      <c r="K45" s="133"/>
      <c r="L45" s="131"/>
      <c r="M45" s="132"/>
      <c r="N45" s="134"/>
      <c r="O45" s="135"/>
      <c r="P45" s="795"/>
      <c r="Q45" s="764"/>
      <c r="R45" s="296"/>
      <c r="S45" s="170"/>
      <c r="T45" s="354"/>
      <c r="V45" s="110"/>
      <c r="W45" s="110"/>
    </row>
    <row r="46" spans="1:23">
      <c r="A46" s="126" t="s">
        <v>397</v>
      </c>
      <c r="B46" s="595">
        <f>AVERAGE(TableUK1!B35:B44)</f>
        <v>1.2134805714285712</v>
      </c>
      <c r="C46" s="787">
        <f>AVERAGE(TableUK1!C35:C44)</f>
        <v>8.0439014943197087</v>
      </c>
      <c r="D46" s="130">
        <f>AVERAGE(TableUK1!D35:D44)</f>
        <v>115.41898577713899</v>
      </c>
      <c r="E46" s="852">
        <f>AVERAGE(TableUK1!E35:E44)</f>
        <v>764.52377619999731</v>
      </c>
      <c r="F46" s="127">
        <f>AVERAGE(TableUK1!F35:F44)</f>
        <v>33.791207542108125</v>
      </c>
      <c r="G46" s="790">
        <f>AVERAGE(TableUK1!G35:G44)</f>
        <v>224.14685971059271</v>
      </c>
      <c r="H46" s="131">
        <f>AVERAGE(TableUK1!H35:H44)</f>
        <v>64.336086577993214</v>
      </c>
      <c r="I46" s="132">
        <f>AVERAGE(TableUK1!I35:I44)</f>
        <v>426.8209301377866</v>
      </c>
      <c r="J46" s="133">
        <f>AVERAGE(TableUK1!J35:J44)</f>
        <v>3211.8197055656497</v>
      </c>
      <c r="K46" s="133">
        <f>AVERAGE(TableUK1!K35:K44)</f>
        <v>21289.170866471977</v>
      </c>
      <c r="L46" s="131">
        <f>AVERAGE(TableUK1!L35:L44)</f>
        <v>6114.3131195662454</v>
      </c>
      <c r="M46" s="132">
        <f>AVERAGE(TableUK1!M35:M44)</f>
        <v>40533.677956345331</v>
      </c>
      <c r="N46" s="134">
        <f>AVERAGE(TableUK1!N$35:N$44)</f>
        <v>6.6405843019334565</v>
      </c>
      <c r="O46" s="135"/>
      <c r="P46" s="795"/>
      <c r="Q46" s="764"/>
      <c r="R46" s="296">
        <f>AVERAGE(TableUK1!R35:R44)</f>
        <v>35892.300000000003</v>
      </c>
      <c r="S46" s="170">
        <f>AVERAGE(TableUK1!S35:S44)</f>
        <v>18853.332460175421</v>
      </c>
      <c r="T46" s="354">
        <f>AVERAGE(TableUK1!T35:T44)</f>
        <v>14499.6</v>
      </c>
      <c r="V46" s="364"/>
      <c r="W46" s="364"/>
    </row>
    <row r="47" spans="1:23" hidden="1">
      <c r="A47" s="126"/>
      <c r="B47" s="595"/>
      <c r="C47" s="787"/>
      <c r="D47" s="130"/>
      <c r="E47" s="852"/>
      <c r="F47" s="130"/>
      <c r="G47" s="790"/>
      <c r="H47" s="131"/>
      <c r="I47" s="132"/>
      <c r="J47" s="133"/>
      <c r="K47" s="133"/>
      <c r="L47" s="131"/>
      <c r="M47" s="132"/>
      <c r="N47" s="134"/>
      <c r="O47" s="135"/>
      <c r="P47" s="795"/>
      <c r="Q47" s="764"/>
      <c r="R47" s="296"/>
      <c r="S47" s="170"/>
      <c r="T47" s="354"/>
      <c r="V47" s="110"/>
      <c r="W47" s="110"/>
    </row>
    <row r="48" spans="1:23" hidden="1">
      <c r="A48" s="126"/>
      <c r="B48" s="595"/>
      <c r="C48" s="787"/>
      <c r="D48" s="130"/>
      <c r="E48" s="852"/>
      <c r="F48" s="130"/>
      <c r="G48" s="790"/>
      <c r="H48" s="131"/>
      <c r="I48" s="132"/>
      <c r="J48" s="133"/>
      <c r="K48" s="133"/>
      <c r="L48" s="131"/>
      <c r="M48" s="132"/>
      <c r="N48" s="134"/>
      <c r="O48" s="135"/>
      <c r="P48" s="795"/>
      <c r="Q48" s="764"/>
      <c r="R48" s="296"/>
      <c r="S48" s="170"/>
      <c r="T48" s="354"/>
      <c r="V48" s="110"/>
      <c r="W48" s="110"/>
    </row>
    <row r="49" spans="1:23" hidden="1">
      <c r="A49" s="126"/>
      <c r="B49" s="595"/>
      <c r="C49" s="787"/>
      <c r="D49" s="130"/>
      <c r="E49" s="852"/>
      <c r="F49" s="130"/>
      <c r="G49" s="790"/>
      <c r="H49" s="131"/>
      <c r="I49" s="132"/>
      <c r="J49" s="133"/>
      <c r="K49" s="133"/>
      <c r="L49" s="131"/>
      <c r="M49" s="132"/>
      <c r="N49" s="134"/>
      <c r="O49" s="135"/>
      <c r="P49" s="795"/>
      <c r="Q49" s="764"/>
      <c r="R49" s="296"/>
      <c r="S49" s="170"/>
      <c r="T49" s="354"/>
      <c r="V49" s="110"/>
      <c r="W49" s="110"/>
    </row>
    <row r="50" spans="1:23" hidden="1">
      <c r="A50" s="126"/>
      <c r="B50" s="595"/>
      <c r="C50" s="787"/>
      <c r="D50" s="130"/>
      <c r="E50" s="852"/>
      <c r="F50" s="130"/>
      <c r="G50" s="790"/>
      <c r="H50" s="131"/>
      <c r="I50" s="132"/>
      <c r="J50" s="133"/>
      <c r="K50" s="133"/>
      <c r="L50" s="131"/>
      <c r="M50" s="132"/>
      <c r="N50" s="134"/>
      <c r="O50" s="135"/>
      <c r="P50" s="795"/>
      <c r="Q50" s="764"/>
      <c r="R50" s="296"/>
      <c r="S50" s="170"/>
      <c r="T50" s="354"/>
      <c r="V50" s="110"/>
      <c r="W50" s="110"/>
    </row>
    <row r="51" spans="1:23" hidden="1">
      <c r="A51" s="126"/>
      <c r="B51" s="595"/>
      <c r="C51" s="787"/>
      <c r="D51" s="130"/>
      <c r="E51" s="852"/>
      <c r="F51" s="130"/>
      <c r="G51" s="790"/>
      <c r="H51" s="131"/>
      <c r="I51" s="132"/>
      <c r="J51" s="133"/>
      <c r="K51" s="133"/>
      <c r="L51" s="131"/>
      <c r="M51" s="132"/>
      <c r="N51" s="134"/>
      <c r="O51" s="135"/>
      <c r="P51" s="795"/>
      <c r="Q51" s="764"/>
      <c r="R51" s="296"/>
      <c r="S51" s="170"/>
      <c r="T51" s="354"/>
      <c r="V51" s="110"/>
      <c r="W51" s="110"/>
    </row>
    <row r="52" spans="1:23" hidden="1">
      <c r="A52" s="126"/>
      <c r="B52" s="595"/>
      <c r="C52" s="787"/>
      <c r="D52" s="130"/>
      <c r="E52" s="852"/>
      <c r="F52" s="130"/>
      <c r="G52" s="790"/>
      <c r="H52" s="131"/>
      <c r="I52" s="132"/>
      <c r="J52" s="133"/>
      <c r="K52" s="133"/>
      <c r="L52" s="131"/>
      <c r="M52" s="132"/>
      <c r="N52" s="134"/>
      <c r="O52" s="135"/>
      <c r="P52" s="795"/>
      <c r="Q52" s="764"/>
      <c r="R52" s="296"/>
      <c r="S52" s="170"/>
      <c r="T52" s="354"/>
      <c r="V52" s="110"/>
      <c r="W52" s="110"/>
    </row>
    <row r="53" spans="1:23" hidden="1">
      <c r="A53" s="126"/>
      <c r="B53" s="595"/>
      <c r="C53" s="787"/>
      <c r="D53" s="130"/>
      <c r="E53" s="852"/>
      <c r="F53" s="130"/>
      <c r="G53" s="790"/>
      <c r="H53" s="131"/>
      <c r="I53" s="132"/>
      <c r="J53" s="133"/>
      <c r="K53" s="133"/>
      <c r="L53" s="131"/>
      <c r="M53" s="132"/>
      <c r="N53" s="134"/>
      <c r="O53" s="135"/>
      <c r="P53" s="795"/>
      <c r="Q53" s="764"/>
      <c r="R53" s="296"/>
      <c r="S53" s="170"/>
      <c r="T53" s="354"/>
      <c r="V53" s="110"/>
      <c r="W53" s="110"/>
    </row>
    <row r="54" spans="1:23" hidden="1">
      <c r="A54" s="126"/>
      <c r="B54" s="595"/>
      <c r="C54" s="787"/>
      <c r="D54" s="130"/>
      <c r="E54" s="852"/>
      <c r="F54" s="130"/>
      <c r="G54" s="790"/>
      <c r="H54" s="131"/>
      <c r="I54" s="132"/>
      <c r="J54" s="133"/>
      <c r="K54" s="133"/>
      <c r="L54" s="131"/>
      <c r="M54" s="132"/>
      <c r="N54" s="134"/>
      <c r="O54" s="135"/>
      <c r="P54" s="795"/>
      <c r="Q54" s="764"/>
      <c r="R54" s="296"/>
      <c r="S54" s="170"/>
      <c r="T54" s="354"/>
      <c r="V54" s="110"/>
      <c r="W54" s="110"/>
    </row>
    <row r="55" spans="1:23" hidden="1">
      <c r="A55" s="126"/>
      <c r="B55" s="595"/>
      <c r="C55" s="787"/>
      <c r="D55" s="130"/>
      <c r="E55" s="852"/>
      <c r="F55" s="130"/>
      <c r="G55" s="790"/>
      <c r="H55" s="131"/>
      <c r="I55" s="132"/>
      <c r="J55" s="133"/>
      <c r="K55" s="133"/>
      <c r="L55" s="131"/>
      <c r="M55" s="132"/>
      <c r="N55" s="134"/>
      <c r="O55" s="135"/>
      <c r="P55" s="795"/>
      <c r="Q55" s="764"/>
      <c r="R55" s="296"/>
      <c r="S55" s="170"/>
      <c r="T55" s="354"/>
      <c r="V55" s="110"/>
      <c r="W55" s="110"/>
    </row>
    <row r="56" spans="1:23">
      <c r="A56" s="145" t="s">
        <v>398</v>
      </c>
      <c r="B56" s="781">
        <f>AVERAGE(TableUK1!B45:B54)</f>
        <v>1.5100999999999998</v>
      </c>
      <c r="C56" s="793">
        <f>AVERAGE(TableUK1!C45:C54)</f>
        <v>10.154620941897942</v>
      </c>
      <c r="D56" s="147">
        <f>AVERAGE(TableUK1!D45:D54)</f>
        <v>147.85913604484759</v>
      </c>
      <c r="E56" s="853">
        <f>AVERAGE(TableUK1!E45:E54)</f>
        <v>994.18756958256051</v>
      </c>
      <c r="F56" s="784">
        <f>AVERAGE(TableUK1!F45:F54)</f>
        <v>38.593794061867584</v>
      </c>
      <c r="G56" s="791">
        <f>AVERAGE(TableUK1!G45:G54)</f>
        <v>259.54897678394883</v>
      </c>
      <c r="H56" s="148">
        <f>AVERAGE(TableUK1!H45:H54)</f>
        <v>70.586553674281191</v>
      </c>
      <c r="I56" s="149">
        <f>AVERAGE(TableUK1!I45:I54)</f>
        <v>474.68599671320243</v>
      </c>
      <c r="J56" s="150">
        <f>AVERAGE(TableUK1!J45:J54)</f>
        <v>3778.2179598897901</v>
      </c>
      <c r="K56" s="150">
        <f>AVERAGE(TableUK1!K45:K54)</f>
        <v>25406.831535658519</v>
      </c>
      <c r="L56" s="148">
        <f>AVERAGE(TableUK1!L45:L54)</f>
        <v>6909.4484198572054</v>
      </c>
      <c r="M56" s="149">
        <f>AVERAGE(TableUK1!M45:M54)</f>
        <v>46461.107129884753</v>
      </c>
      <c r="N56" s="151">
        <f>AVERAGE(TableUK1!N$45:N$54)</f>
        <v>6.7325573986001261</v>
      </c>
      <c r="O56" s="152"/>
      <c r="P56" s="796"/>
      <c r="Q56" s="765"/>
      <c r="R56" s="297">
        <f>AVERAGE(TableUK1!R45:R54)</f>
        <v>39073.1</v>
      </c>
      <c r="S56" s="257">
        <f>AVERAGE(TableUK1!S45:S54)</f>
        <v>21363.10628368317</v>
      </c>
      <c r="T56" s="775">
        <f>AVERAGE(TableUK1!T45:T54)</f>
        <v>16315</v>
      </c>
      <c r="V56" s="364"/>
      <c r="W56" s="364"/>
    </row>
    <row r="57" spans="1:23" hidden="1">
      <c r="A57" s="126"/>
      <c r="B57" s="596"/>
      <c r="C57" s="128"/>
      <c r="D57" s="182"/>
      <c r="E57" s="185"/>
      <c r="F57" s="130"/>
      <c r="G57" s="790"/>
      <c r="H57" s="131"/>
      <c r="I57" s="132"/>
      <c r="J57" s="133"/>
      <c r="K57" s="133"/>
      <c r="L57" s="131"/>
      <c r="M57" s="132"/>
      <c r="N57" s="134"/>
      <c r="O57" s="135"/>
      <c r="P57" s="795"/>
      <c r="Q57" s="764"/>
      <c r="R57" s="296"/>
      <c r="S57" s="170"/>
      <c r="T57" s="354"/>
      <c r="V57" s="110"/>
      <c r="W57" s="110"/>
    </row>
    <row r="58" spans="1:23" hidden="1">
      <c r="A58" s="126"/>
      <c r="B58" s="596"/>
      <c r="C58" s="128"/>
      <c r="D58" s="182"/>
      <c r="E58" s="185"/>
      <c r="F58" s="130"/>
      <c r="G58" s="790"/>
      <c r="H58" s="131"/>
      <c r="I58" s="132"/>
      <c r="J58" s="133"/>
      <c r="K58" s="133"/>
      <c r="L58" s="131"/>
      <c r="M58" s="132"/>
      <c r="N58" s="134"/>
      <c r="O58" s="135"/>
      <c r="P58" s="795"/>
      <c r="Q58" s="764"/>
      <c r="R58" s="296"/>
      <c r="S58" s="170"/>
      <c r="T58" s="354"/>
      <c r="V58" s="110"/>
      <c r="W58" s="110"/>
    </row>
    <row r="59" spans="1:23" hidden="1">
      <c r="A59" s="126"/>
      <c r="B59" s="596"/>
      <c r="C59" s="128"/>
      <c r="D59" s="182"/>
      <c r="E59" s="185"/>
      <c r="F59" s="130"/>
      <c r="G59" s="790"/>
      <c r="H59" s="131"/>
      <c r="I59" s="132"/>
      <c r="J59" s="133"/>
      <c r="K59" s="133"/>
      <c r="L59" s="131"/>
      <c r="M59" s="132"/>
      <c r="N59" s="134"/>
      <c r="O59" s="135"/>
      <c r="P59" s="795"/>
      <c r="Q59" s="764"/>
      <c r="R59" s="296"/>
      <c r="S59" s="170"/>
      <c r="T59" s="354"/>
      <c r="V59" s="110"/>
      <c r="W59" s="110"/>
    </row>
    <row r="60" spans="1:23" hidden="1">
      <c r="A60" s="126"/>
      <c r="B60" s="596"/>
      <c r="C60" s="128"/>
      <c r="D60" s="182"/>
      <c r="E60" s="185"/>
      <c r="F60" s="130"/>
      <c r="G60" s="790"/>
      <c r="H60" s="131"/>
      <c r="I60" s="132"/>
      <c r="J60" s="133"/>
      <c r="K60" s="133"/>
      <c r="L60" s="131"/>
      <c r="M60" s="132"/>
      <c r="N60" s="134"/>
      <c r="O60" s="135"/>
      <c r="P60" s="795"/>
      <c r="Q60" s="764"/>
      <c r="R60" s="296"/>
      <c r="S60" s="170"/>
      <c r="T60" s="354"/>
      <c r="V60" s="110"/>
      <c r="W60" s="110"/>
    </row>
    <row r="61" spans="1:23" hidden="1">
      <c r="A61" s="126"/>
      <c r="B61" s="596"/>
      <c r="C61" s="128"/>
      <c r="D61" s="182"/>
      <c r="E61" s="185"/>
      <c r="F61" s="130"/>
      <c r="G61" s="790"/>
      <c r="H61" s="131"/>
      <c r="I61" s="132"/>
      <c r="J61" s="133"/>
      <c r="K61" s="133"/>
      <c r="L61" s="131"/>
      <c r="M61" s="132"/>
      <c r="N61" s="134"/>
      <c r="O61" s="135"/>
      <c r="P61" s="795"/>
      <c r="Q61" s="764"/>
      <c r="R61" s="296"/>
      <c r="S61" s="170"/>
      <c r="T61" s="354"/>
      <c r="V61" s="110"/>
      <c r="W61" s="110"/>
    </row>
    <row r="62" spans="1:23" hidden="1">
      <c r="A62" s="126"/>
      <c r="B62" s="596"/>
      <c r="C62" s="128"/>
      <c r="D62" s="182"/>
      <c r="E62" s="185"/>
      <c r="F62" s="130"/>
      <c r="G62" s="790"/>
      <c r="H62" s="131"/>
      <c r="I62" s="132"/>
      <c r="J62" s="133"/>
      <c r="K62" s="133"/>
      <c r="L62" s="131"/>
      <c r="M62" s="132"/>
      <c r="N62" s="134"/>
      <c r="O62" s="135"/>
      <c r="P62" s="795"/>
      <c r="Q62" s="764"/>
      <c r="R62" s="296"/>
      <c r="S62" s="170"/>
      <c r="T62" s="354"/>
      <c r="V62" s="110"/>
      <c r="W62" s="110"/>
    </row>
    <row r="63" spans="1:23" hidden="1">
      <c r="A63" s="126"/>
      <c r="B63" s="596"/>
      <c r="C63" s="128"/>
      <c r="D63" s="182"/>
      <c r="E63" s="185"/>
      <c r="F63" s="130"/>
      <c r="G63" s="790"/>
      <c r="H63" s="131"/>
      <c r="I63" s="132"/>
      <c r="J63" s="133"/>
      <c r="K63" s="133"/>
      <c r="L63" s="131"/>
      <c r="M63" s="132"/>
      <c r="N63" s="134"/>
      <c r="O63" s="135"/>
      <c r="P63" s="795"/>
      <c r="Q63" s="764"/>
      <c r="R63" s="296"/>
      <c r="S63" s="170"/>
      <c r="T63" s="354"/>
      <c r="V63" s="110"/>
      <c r="W63" s="110"/>
    </row>
    <row r="64" spans="1:23" hidden="1">
      <c r="A64" s="126"/>
      <c r="B64" s="596"/>
      <c r="C64" s="128"/>
      <c r="D64" s="182"/>
      <c r="E64" s="185"/>
      <c r="F64" s="130"/>
      <c r="G64" s="790"/>
      <c r="H64" s="131"/>
      <c r="I64" s="132"/>
      <c r="J64" s="133"/>
      <c r="K64" s="133"/>
      <c r="L64" s="131"/>
      <c r="M64" s="132"/>
      <c r="N64" s="134"/>
      <c r="O64" s="135"/>
      <c r="P64" s="795"/>
      <c r="Q64" s="764"/>
      <c r="R64" s="296"/>
      <c r="S64" s="170"/>
      <c r="T64" s="354"/>
      <c r="V64" s="110"/>
      <c r="W64" s="110"/>
    </row>
    <row r="65" spans="1:23" hidden="1">
      <c r="A65" s="126"/>
      <c r="B65" s="596"/>
      <c r="C65" s="128"/>
      <c r="D65" s="182"/>
      <c r="E65" s="185"/>
      <c r="F65" s="130"/>
      <c r="G65" s="790"/>
      <c r="H65" s="131"/>
      <c r="I65" s="132"/>
      <c r="J65" s="133"/>
      <c r="K65" s="133"/>
      <c r="L65" s="131"/>
      <c r="M65" s="132"/>
      <c r="N65" s="134"/>
      <c r="O65" s="135"/>
      <c r="P65" s="795"/>
      <c r="Q65" s="764"/>
      <c r="R65" s="296"/>
      <c r="S65" s="170"/>
      <c r="T65" s="354"/>
      <c r="V65" s="110"/>
      <c r="W65" s="110"/>
    </row>
    <row r="66" spans="1:23">
      <c r="A66" s="137" t="s">
        <v>399</v>
      </c>
      <c r="B66" s="595">
        <f>AVERAGE(TableUK1!B55:B64)</f>
        <v>1.8991000000000002</v>
      </c>
      <c r="C66" s="128">
        <f>AVERAGE(TableUK1!C55:C64)</f>
        <v>13.483641470965466</v>
      </c>
      <c r="D66" s="182">
        <f>AVERAGE(TableUK1!D55:D64)</f>
        <v>174.40506626584255</v>
      </c>
      <c r="E66" s="185">
        <f>AVERAGE(TableUK1!E55:E64)</f>
        <v>1238.2542498964026</v>
      </c>
      <c r="F66" s="127">
        <f>AVERAGE(TableUK1!F55:F64)</f>
        <v>44.333786888945681</v>
      </c>
      <c r="G66" s="790">
        <f>AVERAGE(TableUK1!G55:G64)</f>
        <v>314.76985566441834</v>
      </c>
      <c r="H66" s="131">
        <f>AVERAGE(TableUK1!H55:H64)</f>
        <v>76.885780999805178</v>
      </c>
      <c r="I66" s="132">
        <f>AVERAGE(TableUK1!I55:I64)</f>
        <v>545.88750293551277</v>
      </c>
      <c r="J66" s="133">
        <f>AVERAGE(TableUK1!J55:J64)</f>
        <v>4072.3969944302407</v>
      </c>
      <c r="K66" s="133">
        <f>AVERAGE(TableUK1!K55:K64)</f>
        <v>28913.406834067369</v>
      </c>
      <c r="L66" s="131">
        <f>AVERAGE(TableUK1!L55:L64)</f>
        <v>7063.2990826394143</v>
      </c>
      <c r="M66" s="132">
        <f>AVERAGE(TableUK1!M55:M64)</f>
        <v>50148.19738429453</v>
      </c>
      <c r="N66" s="134">
        <f>AVERAGE(TableUK1!N$55:N$64)</f>
        <v>7.1053314397102767</v>
      </c>
      <c r="O66" s="135"/>
      <c r="P66" s="795"/>
      <c r="Q66" s="764"/>
      <c r="R66" s="296">
        <f>AVERAGE(TableUK1!R55:R64)</f>
        <v>42816.6</v>
      </c>
      <c r="S66" s="170">
        <f>AVERAGE(TableUK1!S55:S64)</f>
        <v>24693.713943887378</v>
      </c>
      <c r="T66" s="354">
        <f>AVERAGE(TableUK1!T55:T64)</f>
        <v>17919</v>
      </c>
      <c r="V66" s="364"/>
      <c r="W66" s="364"/>
    </row>
    <row r="67" spans="1:23" hidden="1">
      <c r="A67" s="126"/>
      <c r="B67" s="596"/>
      <c r="C67" s="181"/>
      <c r="D67" s="182"/>
      <c r="E67" s="185"/>
      <c r="F67" s="130"/>
      <c r="G67" s="790"/>
      <c r="H67" s="131"/>
      <c r="I67" s="132"/>
      <c r="J67" s="133"/>
      <c r="K67" s="133"/>
      <c r="L67" s="131"/>
      <c r="M67" s="132"/>
      <c r="N67" s="134"/>
      <c r="O67" s="135"/>
      <c r="P67" s="795"/>
      <c r="Q67" s="764"/>
      <c r="R67" s="296"/>
      <c r="S67" s="170"/>
      <c r="T67" s="354"/>
      <c r="V67" s="110"/>
      <c r="W67" s="110"/>
    </row>
    <row r="68" spans="1:23" hidden="1">
      <c r="A68" s="126"/>
      <c r="B68" s="596"/>
      <c r="C68" s="181"/>
      <c r="D68" s="182"/>
      <c r="E68" s="185"/>
      <c r="F68" s="130"/>
      <c r="G68" s="790"/>
      <c r="H68" s="131"/>
      <c r="I68" s="132"/>
      <c r="J68" s="133"/>
      <c r="K68" s="133"/>
      <c r="L68" s="131"/>
      <c r="M68" s="132"/>
      <c r="N68" s="134"/>
      <c r="O68" s="135"/>
      <c r="P68" s="795"/>
      <c r="Q68" s="764"/>
      <c r="R68" s="296"/>
      <c r="S68" s="170"/>
      <c r="T68" s="354"/>
      <c r="V68" s="110"/>
      <c r="W68" s="110"/>
    </row>
    <row r="69" spans="1:23" ht="15" hidden="1" customHeight="1">
      <c r="A69" s="126"/>
      <c r="B69" s="596"/>
      <c r="C69" s="181"/>
      <c r="D69" s="182"/>
      <c r="E69" s="185"/>
      <c r="F69" s="130"/>
      <c r="G69" s="790"/>
      <c r="H69" s="131"/>
      <c r="I69" s="132"/>
      <c r="J69" s="133"/>
      <c r="K69" s="133"/>
      <c r="L69" s="131"/>
      <c r="M69" s="132"/>
      <c r="N69" s="134"/>
      <c r="O69" s="135"/>
      <c r="P69" s="795"/>
      <c r="Q69" s="764"/>
      <c r="R69" s="296"/>
      <c r="S69" s="170"/>
      <c r="T69" s="354"/>
      <c r="V69" s="110"/>
      <c r="W69" s="110"/>
    </row>
    <row r="70" spans="1:23" hidden="1">
      <c r="A70" s="126"/>
      <c r="B70" s="596"/>
      <c r="C70" s="181"/>
      <c r="D70" s="182"/>
      <c r="E70" s="185"/>
      <c r="F70" s="130"/>
      <c r="G70" s="790"/>
      <c r="H70" s="131"/>
      <c r="I70" s="132"/>
      <c r="J70" s="133"/>
      <c r="K70" s="133"/>
      <c r="L70" s="131"/>
      <c r="M70" s="132"/>
      <c r="N70" s="134"/>
      <c r="O70" s="135"/>
      <c r="P70" s="795"/>
      <c r="Q70" s="764"/>
      <c r="R70" s="296"/>
      <c r="S70" s="170"/>
      <c r="T70" s="354"/>
      <c r="V70" s="110"/>
      <c r="W70" s="110"/>
    </row>
    <row r="71" spans="1:23" hidden="1">
      <c r="A71" s="126"/>
      <c r="B71" s="596"/>
      <c r="C71" s="181"/>
      <c r="D71" s="182"/>
      <c r="E71" s="185"/>
      <c r="F71" s="130"/>
      <c r="G71" s="790"/>
      <c r="H71" s="131"/>
      <c r="I71" s="132"/>
      <c r="J71" s="133"/>
      <c r="K71" s="133"/>
      <c r="L71" s="131"/>
      <c r="M71" s="132"/>
      <c r="N71" s="134"/>
      <c r="O71" s="135"/>
      <c r="P71" s="795"/>
      <c r="Q71" s="764"/>
      <c r="R71" s="296"/>
      <c r="S71" s="170"/>
      <c r="T71" s="354"/>
      <c r="V71" s="110"/>
      <c r="W71" s="110"/>
    </row>
    <row r="72" spans="1:23" hidden="1">
      <c r="A72" s="126"/>
      <c r="B72" s="596"/>
      <c r="C72" s="181"/>
      <c r="D72" s="182"/>
      <c r="E72" s="185"/>
      <c r="F72" s="130"/>
      <c r="G72" s="790"/>
      <c r="H72" s="131"/>
      <c r="I72" s="132"/>
      <c r="J72" s="133"/>
      <c r="K72" s="133"/>
      <c r="L72" s="131"/>
      <c r="M72" s="132"/>
      <c r="N72" s="134"/>
      <c r="O72" s="135"/>
      <c r="P72" s="795"/>
      <c r="Q72" s="764"/>
      <c r="R72" s="296"/>
      <c r="S72" s="170"/>
      <c r="T72" s="354"/>
      <c r="U72" s="154"/>
      <c r="V72" s="110"/>
      <c r="W72" s="110"/>
    </row>
    <row r="73" spans="1:23" hidden="1">
      <c r="A73" s="126"/>
      <c r="B73" s="596"/>
      <c r="C73" s="181"/>
      <c r="D73" s="182"/>
      <c r="E73" s="185"/>
      <c r="F73" s="130"/>
      <c r="G73" s="790"/>
      <c r="H73" s="131"/>
      <c r="I73" s="132"/>
      <c r="J73" s="133"/>
      <c r="K73" s="133"/>
      <c r="L73" s="131"/>
      <c r="M73" s="132"/>
      <c r="N73" s="134"/>
      <c r="O73" s="135"/>
      <c r="P73" s="795"/>
      <c r="Q73" s="764"/>
      <c r="R73" s="296"/>
      <c r="S73" s="170"/>
      <c r="T73" s="354"/>
      <c r="U73" s="154"/>
      <c r="V73" s="110"/>
      <c r="W73" s="110"/>
    </row>
    <row r="74" spans="1:23" hidden="1">
      <c r="A74" s="126"/>
      <c r="B74" s="596"/>
      <c r="C74" s="181"/>
      <c r="D74" s="182"/>
      <c r="E74" s="185"/>
      <c r="F74" s="130"/>
      <c r="G74" s="790"/>
      <c r="H74" s="131"/>
      <c r="I74" s="132"/>
      <c r="J74" s="133"/>
      <c r="K74" s="133"/>
      <c r="L74" s="131"/>
      <c r="M74" s="132"/>
      <c r="N74" s="134"/>
      <c r="O74" s="135"/>
      <c r="P74" s="795"/>
      <c r="Q74" s="764"/>
      <c r="R74" s="296"/>
      <c r="S74" s="170"/>
      <c r="T74" s="354"/>
      <c r="U74" s="154"/>
      <c r="V74" s="110"/>
      <c r="W74" s="110"/>
    </row>
    <row r="75" spans="1:23" hidden="1">
      <c r="A75" s="126"/>
      <c r="B75" s="596"/>
      <c r="C75" s="181"/>
      <c r="D75" s="182"/>
      <c r="E75" s="185"/>
      <c r="F75" s="130"/>
      <c r="G75" s="790"/>
      <c r="H75" s="131"/>
      <c r="I75" s="132"/>
      <c r="J75" s="133"/>
      <c r="K75" s="133"/>
      <c r="L75" s="131"/>
      <c r="M75" s="132"/>
      <c r="N75" s="134"/>
      <c r="O75" s="135"/>
      <c r="P75" s="795"/>
      <c r="Q75" s="764"/>
      <c r="R75" s="296"/>
      <c r="S75" s="170"/>
      <c r="T75" s="354"/>
      <c r="U75" s="154"/>
      <c r="V75" s="110"/>
      <c r="W75" s="110"/>
    </row>
    <row r="76" spans="1:23">
      <c r="A76" s="126" t="s">
        <v>400</v>
      </c>
      <c r="B76" s="595">
        <f>AVERAGE(TableUK1!B65:B74)</f>
        <v>3.2030000000000003</v>
      </c>
      <c r="C76" s="181">
        <f>AVERAGE(TableUK1!C65:C74)</f>
        <v>15.406230957501029</v>
      </c>
      <c r="D76" s="182">
        <f>AVERAGE(TableUK1!D65:D74)</f>
        <v>209.10967812769908</v>
      </c>
      <c r="E76" s="185">
        <f>AVERAGE(TableUK1!E65:E74)</f>
        <v>1082.3444826435525</v>
      </c>
      <c r="F76" s="127">
        <f>AVERAGE(TableUK1!F65:F74)</f>
        <v>69.405745201057428</v>
      </c>
      <c r="G76" s="790">
        <f>AVERAGE(TableUK1!G65:G74)</f>
        <v>334.92993083493491</v>
      </c>
      <c r="H76" s="131">
        <f>AVERAGE(TableUK1!H65:H74)</f>
        <v>114.25972160249702</v>
      </c>
      <c r="I76" s="132">
        <f>AVERAGE(TableUK1!I65:I74)</f>
        <v>553.82167499661273</v>
      </c>
      <c r="J76" s="133">
        <f>AVERAGE(TableUK1!J65:J74)</f>
        <v>4544.8665559463625</v>
      </c>
      <c r="K76" s="133">
        <f>AVERAGE(TableUK1!K65:K74)</f>
        <v>23600.85274707494</v>
      </c>
      <c r="L76" s="131">
        <f>AVERAGE(TableUK1!L65:L74)</f>
        <v>7517.634912589825</v>
      </c>
      <c r="M76" s="132">
        <f>AVERAGE(TableUK1!M65:M74)</f>
        <v>39198.464544404524</v>
      </c>
      <c r="N76" s="134">
        <f>AVERAGE(TableUK1!N$65:N$74)</f>
        <v>5.2322664158005896</v>
      </c>
      <c r="O76" s="135"/>
      <c r="P76" s="795"/>
      <c r="Q76" s="764"/>
      <c r="R76" s="296">
        <f>AVERAGE(TableUK1!R65:R74)</f>
        <v>45989.5</v>
      </c>
      <c r="S76" s="170">
        <f>AVERAGE(TableUK1!S65:S74)</f>
        <v>27807.040745891143</v>
      </c>
      <c r="T76" s="354">
        <f>AVERAGE(TableUK1!T65:T74)</f>
        <v>18641</v>
      </c>
      <c r="U76" s="154"/>
      <c r="V76" s="364"/>
      <c r="W76" s="364"/>
    </row>
    <row r="77" spans="1:23" hidden="1">
      <c r="A77" s="126"/>
      <c r="B77" s="596"/>
      <c r="C77" s="181"/>
      <c r="D77" s="182"/>
      <c r="E77" s="185"/>
      <c r="F77" s="130"/>
      <c r="G77" s="790"/>
      <c r="H77" s="131"/>
      <c r="I77" s="132"/>
      <c r="J77" s="133"/>
      <c r="K77" s="133"/>
      <c r="L77" s="131"/>
      <c r="M77" s="132"/>
      <c r="N77" s="134"/>
      <c r="O77" s="135"/>
      <c r="P77" s="795"/>
      <c r="Q77" s="764"/>
      <c r="R77" s="296"/>
      <c r="S77" s="170"/>
      <c r="T77" s="354"/>
      <c r="U77" s="154"/>
      <c r="V77" s="110"/>
      <c r="W77" s="110"/>
    </row>
    <row r="78" spans="1:23" hidden="1">
      <c r="A78" s="126"/>
      <c r="B78" s="596"/>
      <c r="C78" s="181"/>
      <c r="D78" s="182"/>
      <c r="E78" s="185"/>
      <c r="F78" s="130"/>
      <c r="G78" s="790"/>
      <c r="H78" s="131"/>
      <c r="I78" s="132"/>
      <c r="J78" s="133"/>
      <c r="K78" s="133"/>
      <c r="L78" s="131"/>
      <c r="M78" s="132"/>
      <c r="N78" s="134"/>
      <c r="O78" s="135"/>
      <c r="P78" s="795"/>
      <c r="Q78" s="764"/>
      <c r="R78" s="296"/>
      <c r="S78" s="170"/>
      <c r="T78" s="354"/>
      <c r="U78" s="154"/>
      <c r="V78" s="110"/>
      <c r="W78" s="110"/>
    </row>
    <row r="79" spans="1:23" hidden="1">
      <c r="A79" s="126"/>
      <c r="B79" s="596"/>
      <c r="C79" s="181"/>
      <c r="D79" s="182"/>
      <c r="E79" s="185"/>
      <c r="F79" s="130"/>
      <c r="G79" s="790"/>
      <c r="H79" s="131"/>
      <c r="I79" s="132"/>
      <c r="J79" s="133"/>
      <c r="K79" s="133"/>
      <c r="L79" s="131"/>
      <c r="M79" s="132"/>
      <c r="N79" s="134"/>
      <c r="O79" s="135"/>
      <c r="P79" s="795"/>
      <c r="Q79" s="764"/>
      <c r="R79" s="296"/>
      <c r="S79" s="170"/>
      <c r="T79" s="354"/>
      <c r="U79" s="154"/>
      <c r="V79" s="110"/>
      <c r="W79" s="110"/>
    </row>
    <row r="80" spans="1:23" hidden="1">
      <c r="A80" s="126"/>
      <c r="B80" s="596"/>
      <c r="C80" s="181"/>
      <c r="D80" s="182"/>
      <c r="E80" s="185"/>
      <c r="F80" s="130"/>
      <c r="G80" s="790"/>
      <c r="H80" s="131"/>
      <c r="I80" s="132"/>
      <c r="J80" s="133"/>
      <c r="K80" s="133"/>
      <c r="L80" s="131"/>
      <c r="M80" s="132"/>
      <c r="N80" s="134"/>
      <c r="O80" s="135"/>
      <c r="P80" s="795"/>
      <c r="Q80" s="764"/>
      <c r="R80" s="296"/>
      <c r="S80" s="170"/>
      <c r="T80" s="354"/>
      <c r="U80" s="154"/>
      <c r="V80" s="110"/>
      <c r="W80" s="110"/>
    </row>
    <row r="81" spans="1:23" hidden="1">
      <c r="A81" s="126"/>
      <c r="B81" s="596"/>
      <c r="C81" s="181"/>
      <c r="D81" s="182"/>
      <c r="E81" s="185"/>
      <c r="F81" s="130"/>
      <c r="G81" s="790"/>
      <c r="H81" s="131"/>
      <c r="I81" s="132"/>
      <c r="J81" s="133"/>
      <c r="K81" s="133"/>
      <c r="L81" s="131"/>
      <c r="M81" s="132"/>
      <c r="N81" s="134"/>
      <c r="O81" s="135"/>
      <c r="P81" s="795"/>
      <c r="Q81" s="764"/>
      <c r="R81" s="296"/>
      <c r="S81" s="170"/>
      <c r="T81" s="354"/>
      <c r="U81" s="154"/>
      <c r="V81" s="110"/>
      <c r="W81" s="110"/>
    </row>
    <row r="82" spans="1:23" hidden="1">
      <c r="A82" s="126"/>
      <c r="B82" s="596"/>
      <c r="C82" s="181"/>
      <c r="D82" s="182"/>
      <c r="E82" s="185"/>
      <c r="F82" s="130"/>
      <c r="G82" s="790"/>
      <c r="H82" s="131"/>
      <c r="I82" s="132"/>
      <c r="J82" s="133"/>
      <c r="K82" s="133"/>
      <c r="L82" s="131"/>
      <c r="M82" s="132"/>
      <c r="N82" s="134"/>
      <c r="O82" s="135"/>
      <c r="P82" s="795"/>
      <c r="Q82" s="764"/>
      <c r="R82" s="296"/>
      <c r="S82" s="170"/>
      <c r="T82" s="354"/>
      <c r="U82" s="154"/>
      <c r="V82" s="110"/>
      <c r="W82" s="110"/>
    </row>
    <row r="83" spans="1:23" hidden="1">
      <c r="A83" s="126"/>
      <c r="B83" s="596"/>
      <c r="C83" s="181"/>
      <c r="D83" s="182"/>
      <c r="E83" s="185"/>
      <c r="F83" s="130"/>
      <c r="G83" s="790"/>
      <c r="H83" s="131"/>
      <c r="I83" s="132"/>
      <c r="J83" s="133"/>
      <c r="K83" s="133"/>
      <c r="L83" s="131"/>
      <c r="M83" s="132"/>
      <c r="N83" s="134"/>
      <c r="O83" s="135"/>
      <c r="P83" s="795"/>
      <c r="Q83" s="764"/>
      <c r="R83" s="296"/>
      <c r="S83" s="170"/>
      <c r="T83" s="354"/>
      <c r="U83" s="154"/>
      <c r="V83" s="110"/>
      <c r="W83" s="110"/>
    </row>
    <row r="84" spans="1:23" hidden="1">
      <c r="A84" s="126"/>
      <c r="B84" s="596"/>
      <c r="C84" s="181"/>
      <c r="D84" s="182"/>
      <c r="E84" s="185"/>
      <c r="F84" s="130"/>
      <c r="G84" s="790"/>
      <c r="H84" s="131"/>
      <c r="I84" s="132"/>
      <c r="J84" s="133"/>
      <c r="K84" s="133"/>
      <c r="L84" s="131"/>
      <c r="M84" s="132"/>
      <c r="N84" s="134"/>
      <c r="O84" s="135"/>
      <c r="P84" s="795"/>
      <c r="Q84" s="764"/>
      <c r="R84" s="296"/>
      <c r="S84" s="170"/>
      <c r="T84" s="354"/>
      <c r="U84" s="154"/>
      <c r="V84" s="110"/>
      <c r="W84" s="110"/>
    </row>
    <row r="85" spans="1:23" hidden="1">
      <c r="A85" s="126"/>
      <c r="B85" s="596"/>
      <c r="C85" s="181"/>
      <c r="D85" s="182"/>
      <c r="E85" s="185"/>
      <c r="F85" s="130"/>
      <c r="G85" s="790"/>
      <c r="H85" s="131"/>
      <c r="I85" s="132"/>
      <c r="J85" s="133"/>
      <c r="K85" s="133"/>
      <c r="L85" s="131"/>
      <c r="M85" s="132"/>
      <c r="N85" s="134"/>
      <c r="O85" s="135"/>
      <c r="P85" s="795"/>
      <c r="Q85" s="764"/>
      <c r="R85" s="296"/>
      <c r="S85" s="170"/>
      <c r="T85" s="354"/>
      <c r="U85" s="154"/>
      <c r="V85" s="110"/>
      <c r="W85" s="110"/>
    </row>
    <row r="86" spans="1:23">
      <c r="A86" s="126" t="s">
        <v>401</v>
      </c>
      <c r="B86" s="595">
        <f>AVERAGE(TableUK1!B76:B85)</f>
        <v>4.3643000000000001</v>
      </c>
      <c r="C86" s="181">
        <f>AVERAGE(TableUK1!C76:C85)</f>
        <v>19.155149999999999</v>
      </c>
      <c r="D86" s="182">
        <f>AVERAGE(TableUK1!D76:D85)</f>
        <v>191.50849122419896</v>
      </c>
      <c r="E86" s="185">
        <f>AVERAGE(TableUK1!E76:E85)</f>
        <v>848.90877066684311</v>
      </c>
      <c r="F86" s="127">
        <f>AVERAGE(TableUK1!F76:F85)</f>
        <v>97.337160856376045</v>
      </c>
      <c r="G86" s="790">
        <f>AVERAGE(TableUK1!G76:G85)</f>
        <v>426.7208027068329</v>
      </c>
      <c r="H86" s="131">
        <f>AVERAGE(TableUK1!H76:H85)</f>
        <v>150.88149669831549</v>
      </c>
      <c r="I86" s="132">
        <f>AVERAGE(TableUK1!I76:I85)</f>
        <v>660.37539458834021</v>
      </c>
      <c r="J86" s="133">
        <f>AVERAGE(TableUK1!J76:J85)</f>
        <v>4264.9500510573653</v>
      </c>
      <c r="K86" s="133">
        <f>AVERAGE(TableUK1!K76:K85)</f>
        <v>18886.979356470103</v>
      </c>
      <c r="L86" s="131">
        <f>AVERAGE(TableUK1!L76:L85)</f>
        <v>6596.6494179545934</v>
      </c>
      <c r="M86" s="132">
        <f>AVERAGE(TableUK1!M76:M85)</f>
        <v>29172.509967375408</v>
      </c>
      <c r="N86" s="134">
        <f>AVERAGE(TableUK1!N$76:N$85)</f>
        <v>4.4128064291430782</v>
      </c>
      <c r="O86" s="135"/>
      <c r="P86" s="795"/>
      <c r="Q86" s="764"/>
      <c r="R86" s="296">
        <f>AVERAGE(TableUK1!R76:R85)</f>
        <v>44860.3</v>
      </c>
      <c r="S86" s="170">
        <f>AVERAGE(TableUK1!S76:S85)</f>
        <v>28981.219815095748</v>
      </c>
      <c r="T86" s="354">
        <f>AVERAGE(TableUK1!T76:T85)</f>
        <v>18351.2</v>
      </c>
      <c r="U86" s="154"/>
      <c r="V86" s="364"/>
      <c r="W86" s="364"/>
    </row>
    <row r="87" spans="1:23" hidden="1">
      <c r="A87" s="126"/>
      <c r="B87" s="596"/>
      <c r="C87" s="181"/>
      <c r="D87" s="182"/>
      <c r="E87" s="185"/>
      <c r="F87" s="130"/>
      <c r="G87" s="790"/>
      <c r="H87" s="131"/>
      <c r="I87" s="132"/>
      <c r="J87" s="133"/>
      <c r="K87" s="133"/>
      <c r="L87" s="131"/>
      <c r="M87" s="132"/>
      <c r="N87" s="134"/>
      <c r="O87" s="135"/>
      <c r="P87" s="795"/>
      <c r="Q87" s="764"/>
      <c r="R87" s="296"/>
      <c r="S87" s="170"/>
      <c r="T87" s="354"/>
      <c r="U87" s="154"/>
      <c r="V87" s="110"/>
      <c r="W87" s="110"/>
    </row>
    <row r="88" spans="1:23" hidden="1">
      <c r="A88" s="126"/>
      <c r="B88" s="596"/>
      <c r="C88" s="181"/>
      <c r="D88" s="182"/>
      <c r="E88" s="185"/>
      <c r="F88" s="130"/>
      <c r="G88" s="790"/>
      <c r="H88" s="131"/>
      <c r="I88" s="132"/>
      <c r="J88" s="133"/>
      <c r="K88" s="133"/>
      <c r="L88" s="131"/>
      <c r="M88" s="132"/>
      <c r="N88" s="134"/>
      <c r="O88" s="135"/>
      <c r="P88" s="795"/>
      <c r="Q88" s="764"/>
      <c r="R88" s="296"/>
      <c r="S88" s="170"/>
      <c r="T88" s="354"/>
      <c r="U88" s="154"/>
      <c r="V88" s="110"/>
      <c r="W88" s="110"/>
    </row>
    <row r="89" spans="1:23" hidden="1">
      <c r="A89" s="126"/>
      <c r="B89" s="596"/>
      <c r="C89" s="181"/>
      <c r="D89" s="182"/>
      <c r="E89" s="185"/>
      <c r="F89" s="130"/>
      <c r="G89" s="790"/>
      <c r="H89" s="131"/>
      <c r="I89" s="132"/>
      <c r="J89" s="133"/>
      <c r="K89" s="133"/>
      <c r="L89" s="131"/>
      <c r="M89" s="132"/>
      <c r="N89" s="134"/>
      <c r="O89" s="135"/>
      <c r="P89" s="795"/>
      <c r="Q89" s="764"/>
      <c r="R89" s="296"/>
      <c r="S89" s="170"/>
      <c r="T89" s="354"/>
      <c r="U89" s="154"/>
      <c r="V89" s="110"/>
      <c r="W89" s="110"/>
    </row>
    <row r="90" spans="1:23" hidden="1">
      <c r="A90" s="126"/>
      <c r="B90" s="596"/>
      <c r="C90" s="181"/>
      <c r="D90" s="182"/>
      <c r="E90" s="185"/>
      <c r="F90" s="130"/>
      <c r="G90" s="790"/>
      <c r="H90" s="131"/>
      <c r="I90" s="132"/>
      <c r="J90" s="133"/>
      <c r="K90" s="133"/>
      <c r="L90" s="131"/>
      <c r="M90" s="132"/>
      <c r="N90" s="134"/>
      <c r="O90" s="135"/>
      <c r="P90" s="795"/>
      <c r="Q90" s="764"/>
      <c r="R90" s="296"/>
      <c r="S90" s="170"/>
      <c r="T90" s="354"/>
      <c r="U90" s="154"/>
      <c r="V90" s="110"/>
      <c r="W90" s="110"/>
    </row>
    <row r="91" spans="1:23" hidden="1">
      <c r="A91" s="126"/>
      <c r="B91" s="596"/>
      <c r="C91" s="181"/>
      <c r="D91" s="182"/>
      <c r="E91" s="185"/>
      <c r="F91" s="130"/>
      <c r="G91" s="790"/>
      <c r="H91" s="131"/>
      <c r="I91" s="132"/>
      <c r="J91" s="133"/>
      <c r="K91" s="133"/>
      <c r="L91" s="131"/>
      <c r="M91" s="132"/>
      <c r="N91" s="134"/>
      <c r="O91" s="135"/>
      <c r="P91" s="795"/>
      <c r="Q91" s="764"/>
      <c r="R91" s="296"/>
      <c r="S91" s="170"/>
      <c r="T91" s="354"/>
      <c r="U91" s="154"/>
      <c r="V91" s="110"/>
      <c r="W91" s="110"/>
    </row>
    <row r="92" spans="1:23" hidden="1">
      <c r="A92" s="126"/>
      <c r="B92" s="596"/>
      <c r="C92" s="181"/>
      <c r="D92" s="182"/>
      <c r="E92" s="185"/>
      <c r="F92" s="130"/>
      <c r="G92" s="790"/>
      <c r="H92" s="131"/>
      <c r="I92" s="132"/>
      <c r="J92" s="133"/>
      <c r="K92" s="133"/>
      <c r="L92" s="131"/>
      <c r="M92" s="132"/>
      <c r="N92" s="134"/>
      <c r="O92" s="135"/>
      <c r="P92" s="795"/>
      <c r="Q92" s="764"/>
      <c r="R92" s="296"/>
      <c r="S92" s="170"/>
      <c r="T92" s="354"/>
      <c r="U92" s="154"/>
      <c r="V92" s="110"/>
      <c r="W92" s="110"/>
    </row>
    <row r="93" spans="1:23" hidden="1">
      <c r="A93" s="126"/>
      <c r="B93" s="596"/>
      <c r="C93" s="181"/>
      <c r="D93" s="182"/>
      <c r="E93" s="185"/>
      <c r="F93" s="130"/>
      <c r="G93" s="790"/>
      <c r="H93" s="131"/>
      <c r="I93" s="132"/>
      <c r="J93" s="133"/>
      <c r="K93" s="133"/>
      <c r="L93" s="131"/>
      <c r="M93" s="132"/>
      <c r="N93" s="134"/>
      <c r="O93" s="135"/>
      <c r="P93" s="795"/>
      <c r="Q93" s="764"/>
      <c r="R93" s="296"/>
      <c r="S93" s="170"/>
      <c r="T93" s="354"/>
      <c r="U93" s="154"/>
      <c r="V93" s="110"/>
      <c r="W93" s="110"/>
    </row>
    <row r="94" spans="1:23" hidden="1">
      <c r="A94" s="126"/>
      <c r="B94" s="596"/>
      <c r="C94" s="181"/>
      <c r="D94" s="182"/>
      <c r="E94" s="185"/>
      <c r="F94" s="130"/>
      <c r="G94" s="790"/>
      <c r="H94" s="131"/>
      <c r="I94" s="132"/>
      <c r="J94" s="133"/>
      <c r="K94" s="133"/>
      <c r="L94" s="131"/>
      <c r="M94" s="132"/>
      <c r="N94" s="134"/>
      <c r="O94" s="135"/>
      <c r="P94" s="795"/>
      <c r="Q94" s="764"/>
      <c r="R94" s="296"/>
      <c r="S94" s="170"/>
      <c r="T94" s="354"/>
      <c r="U94" s="154"/>
      <c r="V94" s="110"/>
      <c r="W94" s="110"/>
    </row>
    <row r="95" spans="1:23" hidden="1">
      <c r="A95" s="126"/>
      <c r="B95" s="596"/>
      <c r="C95" s="181"/>
      <c r="D95" s="182"/>
      <c r="E95" s="185"/>
      <c r="F95" s="130"/>
      <c r="G95" s="790"/>
      <c r="H95" s="131"/>
      <c r="I95" s="132"/>
      <c r="J95" s="133"/>
      <c r="K95" s="133"/>
      <c r="L95" s="131"/>
      <c r="M95" s="132"/>
      <c r="N95" s="134"/>
      <c r="O95" s="135"/>
      <c r="P95" s="795"/>
      <c r="Q95" s="764"/>
      <c r="R95" s="296"/>
      <c r="S95" s="170"/>
      <c r="T95" s="354"/>
      <c r="U95" s="154"/>
      <c r="V95" s="110"/>
      <c r="W95" s="110"/>
    </row>
    <row r="96" spans="1:23">
      <c r="A96" s="126" t="s">
        <v>402</v>
      </c>
      <c r="B96" s="595">
        <f>AVERAGE(TableUK1!B86:B95)</f>
        <v>4.6740000000000004</v>
      </c>
      <c r="C96" s="181">
        <f>AVERAGE(TableUK1!C86:C95)</f>
        <v>23.609599999999997</v>
      </c>
      <c r="D96" s="182">
        <f>AVERAGE(TableUK1!D86:D95)</f>
        <v>243.15534344573379</v>
      </c>
      <c r="E96" s="185">
        <f>AVERAGE(TableUK1!E86:E95)</f>
        <v>1232.2335851739065</v>
      </c>
      <c r="F96" s="130">
        <f>AVERAGE(TableUK1!F86:F95)</f>
        <v>99.759720520591372</v>
      </c>
      <c r="G96" s="790">
        <f>AVERAGE(TableUK1!G86:G95)</f>
        <v>504.06810351141519</v>
      </c>
      <c r="H96" s="131">
        <f>AVERAGE(TableUK1!H86:H95)</f>
        <v>143.77581074376863</v>
      </c>
      <c r="I96" s="132">
        <f>AVERAGE(TableUK1!I86:I95)</f>
        <v>726.77168089618169</v>
      </c>
      <c r="J96" s="133">
        <f>AVERAGE(TableUK1!J86:J95)</f>
        <v>5190.2422925361006</v>
      </c>
      <c r="K96" s="133">
        <f>AVERAGE(TableUK1!K86:K95)</f>
        <v>26310.599450920232</v>
      </c>
      <c r="L96" s="131">
        <f>AVERAGE(TableUK1!L86:L95)</f>
        <v>7481.0960552768538</v>
      </c>
      <c r="M96" s="132">
        <f>AVERAGE(TableUK1!M86:M95)</f>
        <v>37939.061662073087</v>
      </c>
      <c r="N96" s="134">
        <f>AVERAGE(TableUK1!N86:N95)</f>
        <v>5.0796496699310678</v>
      </c>
      <c r="O96" s="135"/>
      <c r="P96" s="795"/>
      <c r="Q96" s="764"/>
      <c r="R96" s="296">
        <f>AVERAGE(TableUK1!R86:R95)</f>
        <v>46795.4</v>
      </c>
      <c r="S96" s="170">
        <f>AVERAGE(TableUK1!S86:S95)</f>
        <v>32429.74525980922</v>
      </c>
      <c r="T96" s="354">
        <f>AVERAGE(TableUK1!T86:T95)</f>
        <v>19752.900000000001</v>
      </c>
      <c r="U96" s="154"/>
      <c r="V96" s="364"/>
      <c r="W96" s="364"/>
    </row>
    <row r="97" spans="1:23" hidden="1">
      <c r="A97" s="126"/>
      <c r="B97" s="596"/>
      <c r="C97" s="181"/>
      <c r="D97" s="182"/>
      <c r="E97" s="185"/>
      <c r="F97" s="130"/>
      <c r="G97" s="790"/>
      <c r="H97" s="131"/>
      <c r="I97" s="132"/>
      <c r="J97" s="133"/>
      <c r="K97" s="133"/>
      <c r="L97" s="131"/>
      <c r="M97" s="132"/>
      <c r="N97" s="134"/>
      <c r="O97" s="135"/>
      <c r="P97" s="795"/>
      <c r="Q97" s="764"/>
      <c r="R97" s="296"/>
      <c r="S97" s="170"/>
      <c r="T97" s="354"/>
      <c r="U97" s="154"/>
      <c r="V97" s="110"/>
      <c r="W97" s="110"/>
    </row>
    <row r="98" spans="1:23" hidden="1">
      <c r="A98" s="126"/>
      <c r="B98" s="596"/>
      <c r="C98" s="181"/>
      <c r="D98" s="182"/>
      <c r="E98" s="185"/>
      <c r="F98" s="130"/>
      <c r="G98" s="790"/>
      <c r="H98" s="131"/>
      <c r="I98" s="132"/>
      <c r="J98" s="133"/>
      <c r="K98" s="133"/>
      <c r="L98" s="131"/>
      <c r="M98" s="132"/>
      <c r="N98" s="134"/>
      <c r="O98" s="135"/>
      <c r="P98" s="795"/>
      <c r="Q98" s="764"/>
      <c r="R98" s="296"/>
      <c r="S98" s="170"/>
      <c r="T98" s="354"/>
      <c r="U98" s="154"/>
      <c r="V98" s="110"/>
      <c r="W98" s="110"/>
    </row>
    <row r="99" spans="1:23" hidden="1">
      <c r="A99" s="126"/>
      <c r="B99" s="596"/>
      <c r="C99" s="181"/>
      <c r="D99" s="182"/>
      <c r="E99" s="185"/>
      <c r="F99" s="130"/>
      <c r="G99" s="790"/>
      <c r="H99" s="131"/>
      <c r="I99" s="132"/>
      <c r="J99" s="133"/>
      <c r="K99" s="133"/>
      <c r="L99" s="131"/>
      <c r="M99" s="132"/>
      <c r="N99" s="134"/>
      <c r="O99" s="135"/>
      <c r="P99" s="795"/>
      <c r="Q99" s="764"/>
      <c r="R99" s="296"/>
      <c r="S99" s="170"/>
      <c r="T99" s="354"/>
      <c r="U99" s="154"/>
      <c r="V99" s="110"/>
      <c r="W99" s="110"/>
    </row>
    <row r="100" spans="1:23" hidden="1">
      <c r="A100" s="126"/>
      <c r="B100" s="596"/>
      <c r="C100" s="181"/>
      <c r="D100" s="182"/>
      <c r="E100" s="185"/>
      <c r="F100" s="130"/>
      <c r="G100" s="790"/>
      <c r="H100" s="131"/>
      <c r="I100" s="132"/>
      <c r="J100" s="133"/>
      <c r="K100" s="133"/>
      <c r="L100" s="131"/>
      <c r="M100" s="132"/>
      <c r="N100" s="134"/>
      <c r="O100" s="135"/>
      <c r="P100" s="795"/>
      <c r="Q100" s="764"/>
      <c r="R100" s="296"/>
      <c r="S100" s="170"/>
      <c r="T100" s="354"/>
      <c r="U100" s="154"/>
      <c r="V100" s="110"/>
      <c r="W100" s="110"/>
    </row>
    <row r="101" spans="1:23" hidden="1">
      <c r="A101" s="126"/>
      <c r="B101" s="596"/>
      <c r="C101" s="181"/>
      <c r="D101" s="182"/>
      <c r="E101" s="185"/>
      <c r="F101" s="130"/>
      <c r="G101" s="790"/>
      <c r="H101" s="131"/>
      <c r="I101" s="132"/>
      <c r="J101" s="133"/>
      <c r="K101" s="133"/>
      <c r="L101" s="131"/>
      <c r="M101" s="132"/>
      <c r="N101" s="134"/>
      <c r="O101" s="135"/>
      <c r="P101" s="795"/>
      <c r="Q101" s="764"/>
      <c r="R101" s="296"/>
      <c r="S101" s="170"/>
      <c r="T101" s="354"/>
      <c r="U101" s="154"/>
      <c r="V101" s="110"/>
      <c r="W101" s="110"/>
    </row>
    <row r="102" spans="1:23" hidden="1">
      <c r="A102" s="126"/>
      <c r="B102" s="596"/>
      <c r="C102" s="181"/>
      <c r="D102" s="182"/>
      <c r="E102" s="185"/>
      <c r="F102" s="130"/>
      <c r="G102" s="790"/>
      <c r="H102" s="131"/>
      <c r="I102" s="132"/>
      <c r="J102" s="133"/>
      <c r="K102" s="133"/>
      <c r="L102" s="131"/>
      <c r="M102" s="132"/>
      <c r="N102" s="134"/>
      <c r="O102" s="135"/>
      <c r="P102" s="795"/>
      <c r="Q102" s="764"/>
      <c r="R102" s="296"/>
      <c r="S102" s="170"/>
      <c r="T102" s="354"/>
      <c r="U102" s="154"/>
      <c r="V102" s="110"/>
      <c r="W102" s="110"/>
    </row>
    <row r="103" spans="1:23" hidden="1">
      <c r="A103" s="126"/>
      <c r="B103" s="596"/>
      <c r="C103" s="181"/>
      <c r="D103" s="182"/>
      <c r="E103" s="185"/>
      <c r="F103" s="130"/>
      <c r="G103" s="790"/>
      <c r="H103" s="131"/>
      <c r="I103" s="132"/>
      <c r="J103" s="133"/>
      <c r="K103" s="133"/>
      <c r="L103" s="131"/>
      <c r="M103" s="132"/>
      <c r="N103" s="134"/>
      <c r="O103" s="135"/>
      <c r="P103" s="795"/>
      <c r="Q103" s="764"/>
      <c r="R103" s="296"/>
      <c r="S103" s="170"/>
      <c r="T103" s="354"/>
      <c r="U103" s="154"/>
      <c r="V103" s="110"/>
      <c r="W103" s="110"/>
    </row>
    <row r="104" spans="1:23" hidden="1">
      <c r="A104" s="126"/>
      <c r="B104" s="596"/>
      <c r="C104" s="181"/>
      <c r="D104" s="182"/>
      <c r="E104" s="185"/>
      <c r="F104" s="130"/>
      <c r="G104" s="790"/>
      <c r="H104" s="131"/>
      <c r="I104" s="132"/>
      <c r="J104" s="133"/>
      <c r="K104" s="133"/>
      <c r="L104" s="131"/>
      <c r="M104" s="132"/>
      <c r="N104" s="134"/>
      <c r="O104" s="135"/>
      <c r="P104" s="795"/>
      <c r="Q104" s="764"/>
      <c r="R104" s="296"/>
      <c r="S104" s="170"/>
      <c r="T104" s="354"/>
      <c r="U104" s="154"/>
      <c r="V104" s="110"/>
      <c r="W104" s="110"/>
    </row>
    <row r="105" spans="1:23" hidden="1">
      <c r="A105" s="126"/>
      <c r="B105" s="596"/>
      <c r="C105" s="181"/>
      <c r="D105" s="182"/>
      <c r="E105" s="185"/>
      <c r="F105" s="130"/>
      <c r="G105" s="790"/>
      <c r="H105" s="131"/>
      <c r="I105" s="132"/>
      <c r="J105" s="133"/>
      <c r="K105" s="133"/>
      <c r="L105" s="131"/>
      <c r="M105" s="132"/>
      <c r="N105" s="134"/>
      <c r="O105" s="135"/>
      <c r="P105" s="795"/>
      <c r="Q105" s="764"/>
      <c r="R105" s="296"/>
      <c r="S105" s="170"/>
      <c r="T105" s="354"/>
      <c r="U105" s="154"/>
      <c r="V105" s="110"/>
      <c r="W105" s="110"/>
    </row>
    <row r="106" spans="1:23">
      <c r="A106" s="145" t="s">
        <v>403</v>
      </c>
      <c r="B106" s="781">
        <f>AVERAGE(TableUK1!B96:B105)</f>
        <v>9.4225999999999992</v>
      </c>
      <c r="C106" s="794">
        <f>AVERAGE(TableUK1!C96:C105)</f>
        <v>37.387806052737695</v>
      </c>
      <c r="D106" s="849">
        <f>AVERAGE(TableUK1!D96:D105)</f>
        <v>306.88461467083164</v>
      </c>
      <c r="E106" s="854">
        <f>AVERAGE(TableUK1!E96:E105)</f>
        <v>1222.9673936663646</v>
      </c>
      <c r="F106" s="147">
        <f>AVERAGE(TableUK1!F96:F105)</f>
        <v>192.06639830441361</v>
      </c>
      <c r="G106" s="791">
        <f>AVERAGE(TableUK1!G96:G105)</f>
        <v>762.42383801417895</v>
      </c>
      <c r="H106" s="148">
        <f>AVERAGE(TableUK1!H96:H105)</f>
        <v>268.94365285842019</v>
      </c>
      <c r="I106" s="149">
        <f>AVERAGE(TableUK1!I96:I105)</f>
        <v>1067.5199588133344</v>
      </c>
      <c r="J106" s="150">
        <f>AVERAGE(TableUK1!J96:J105)</f>
        <v>6264.8579916717727</v>
      </c>
      <c r="K106" s="150">
        <f>AVERAGE(TableUK1!K96:K105)</f>
        <v>24975.165625657744</v>
      </c>
      <c r="L106" s="148">
        <f>AVERAGE(TableUK1!L96:L105)</f>
        <v>8769.6094971639432</v>
      </c>
      <c r="M106" s="149">
        <f>AVERAGE(TableUK1!M96:M105)</f>
        <v>34958.419723670624</v>
      </c>
      <c r="N106" s="151">
        <f>AVERAGE(TableUK1!N96:N105)</f>
        <v>3.9902655345068299</v>
      </c>
      <c r="O106" s="152"/>
      <c r="P106" s="796"/>
      <c r="Q106" s="765"/>
      <c r="R106" s="297">
        <f>AVERAGE(TableUK1!R96:R105)</f>
        <v>48981.8</v>
      </c>
      <c r="S106" s="257">
        <f>AVERAGE(TableUK1!S96:S105)</f>
        <v>34991.162038422</v>
      </c>
      <c r="T106" s="775">
        <f>AVERAGE(TableUK1!T96:T105)</f>
        <v>20742.400000000001</v>
      </c>
      <c r="U106" s="154"/>
      <c r="V106" s="364"/>
      <c r="W106" s="364"/>
    </row>
    <row r="107" spans="1:23" hidden="1">
      <c r="A107" s="126"/>
      <c r="B107" s="127"/>
      <c r="C107" s="181"/>
      <c r="D107" s="182"/>
      <c r="E107" s="185"/>
      <c r="F107" s="130"/>
      <c r="G107" s="790"/>
      <c r="H107" s="131"/>
      <c r="I107" s="132"/>
      <c r="J107" s="133"/>
      <c r="K107" s="133"/>
      <c r="L107" s="131"/>
      <c r="M107" s="132"/>
      <c r="N107" s="134"/>
      <c r="O107" s="135"/>
      <c r="P107" s="795"/>
      <c r="Q107" s="764"/>
      <c r="R107" s="296"/>
      <c r="S107" s="170"/>
      <c r="T107" s="354"/>
      <c r="U107" s="154"/>
      <c r="V107" s="110"/>
      <c r="W107" s="110"/>
    </row>
    <row r="108" spans="1:23" hidden="1">
      <c r="A108" s="126"/>
      <c r="B108" s="127"/>
      <c r="C108" s="181"/>
      <c r="D108" s="182"/>
      <c r="E108" s="185"/>
      <c r="F108" s="130"/>
      <c r="G108" s="790"/>
      <c r="H108" s="131"/>
      <c r="I108" s="132"/>
      <c r="J108" s="133"/>
      <c r="K108" s="133"/>
      <c r="L108" s="131"/>
      <c r="M108" s="132"/>
      <c r="N108" s="134"/>
      <c r="O108" s="135"/>
      <c r="P108" s="795"/>
      <c r="Q108" s="764"/>
      <c r="R108" s="296"/>
      <c r="S108" s="170"/>
      <c r="T108" s="354"/>
      <c r="U108" s="154"/>
      <c r="V108" s="110"/>
      <c r="W108" s="110"/>
    </row>
    <row r="109" spans="1:23" hidden="1">
      <c r="A109" s="126"/>
      <c r="B109" s="127"/>
      <c r="C109" s="181"/>
      <c r="D109" s="182"/>
      <c r="E109" s="185"/>
      <c r="F109" s="130"/>
      <c r="G109" s="790"/>
      <c r="H109" s="131"/>
      <c r="I109" s="132"/>
      <c r="J109" s="133"/>
      <c r="K109" s="133"/>
      <c r="L109" s="131"/>
      <c r="M109" s="132"/>
      <c r="N109" s="134"/>
      <c r="O109" s="135"/>
      <c r="P109" s="795"/>
      <c r="Q109" s="764"/>
      <c r="R109" s="296"/>
      <c r="S109" s="170"/>
      <c r="T109" s="354"/>
      <c r="U109" s="154"/>
      <c r="V109" s="110"/>
      <c r="W109" s="110"/>
    </row>
    <row r="110" spans="1:23" hidden="1">
      <c r="A110" s="126"/>
      <c r="B110" s="127"/>
      <c r="C110" s="181"/>
      <c r="D110" s="182"/>
      <c r="E110" s="185"/>
      <c r="F110" s="130"/>
      <c r="G110" s="790"/>
      <c r="H110" s="131"/>
      <c r="I110" s="132"/>
      <c r="J110" s="133"/>
      <c r="K110" s="133"/>
      <c r="L110" s="131"/>
      <c r="M110" s="132"/>
      <c r="N110" s="134"/>
      <c r="O110" s="135"/>
      <c r="P110" s="795"/>
      <c r="Q110" s="764"/>
      <c r="R110" s="296"/>
      <c r="S110" s="170"/>
      <c r="T110" s="354"/>
      <c r="U110" s="154"/>
      <c r="V110" s="110"/>
      <c r="W110" s="110"/>
    </row>
    <row r="111" spans="1:23" hidden="1">
      <c r="A111" s="126"/>
      <c r="B111" s="127"/>
      <c r="C111" s="181"/>
      <c r="D111" s="182"/>
      <c r="E111" s="185"/>
      <c r="F111" s="130"/>
      <c r="G111" s="790"/>
      <c r="H111" s="131"/>
      <c r="I111" s="132"/>
      <c r="J111" s="133"/>
      <c r="K111" s="133"/>
      <c r="L111" s="131"/>
      <c r="M111" s="132"/>
      <c r="N111" s="134"/>
      <c r="O111" s="135"/>
      <c r="P111" s="795"/>
      <c r="Q111" s="764"/>
      <c r="R111" s="296"/>
      <c r="S111" s="170"/>
      <c r="T111" s="354"/>
      <c r="U111" s="154"/>
      <c r="V111" s="110"/>
      <c r="W111" s="110"/>
    </row>
    <row r="112" spans="1:23" hidden="1">
      <c r="A112" s="126"/>
      <c r="B112" s="127"/>
      <c r="C112" s="181"/>
      <c r="D112" s="182"/>
      <c r="E112" s="185"/>
      <c r="F112" s="130"/>
      <c r="G112" s="790"/>
      <c r="H112" s="131"/>
      <c r="I112" s="132"/>
      <c r="J112" s="133"/>
      <c r="K112" s="133"/>
      <c r="L112" s="131"/>
      <c r="M112" s="132"/>
      <c r="N112" s="134"/>
      <c r="O112" s="135"/>
      <c r="P112" s="795"/>
      <c r="Q112" s="764"/>
      <c r="R112" s="296"/>
      <c r="S112" s="170"/>
      <c r="T112" s="354"/>
      <c r="U112" s="154"/>
      <c r="V112" s="110"/>
      <c r="W112" s="110"/>
    </row>
    <row r="113" spans="1:23" hidden="1">
      <c r="A113" s="126"/>
      <c r="B113" s="127"/>
      <c r="C113" s="181"/>
      <c r="D113" s="182"/>
      <c r="E113" s="185"/>
      <c r="F113" s="130"/>
      <c r="G113" s="790"/>
      <c r="H113" s="131"/>
      <c r="I113" s="132"/>
      <c r="J113" s="133"/>
      <c r="K113" s="133"/>
      <c r="L113" s="131"/>
      <c r="M113" s="132"/>
      <c r="N113" s="134"/>
      <c r="O113" s="135"/>
      <c r="P113" s="795"/>
      <c r="Q113" s="764"/>
      <c r="R113" s="296"/>
      <c r="S113" s="170"/>
      <c r="T113" s="354"/>
      <c r="U113" s="118"/>
      <c r="V113" s="110"/>
      <c r="W113" s="110"/>
    </row>
    <row r="114" spans="1:23" hidden="1">
      <c r="A114" s="126"/>
      <c r="B114" s="127"/>
      <c r="C114" s="181"/>
      <c r="D114" s="182"/>
      <c r="E114" s="185"/>
      <c r="F114" s="130"/>
      <c r="G114" s="790"/>
      <c r="H114" s="131"/>
      <c r="I114" s="132"/>
      <c r="J114" s="133"/>
      <c r="K114" s="133"/>
      <c r="L114" s="131"/>
      <c r="M114" s="132"/>
      <c r="N114" s="134"/>
      <c r="O114" s="135"/>
      <c r="P114" s="795"/>
      <c r="Q114" s="764"/>
      <c r="R114" s="296"/>
      <c r="S114" s="170"/>
      <c r="T114" s="354"/>
      <c r="U114" s="118"/>
      <c r="V114" s="110"/>
      <c r="W114" s="110"/>
    </row>
    <row r="115" spans="1:23" hidden="1">
      <c r="A115" s="126"/>
      <c r="B115" s="127"/>
      <c r="C115" s="181"/>
      <c r="D115" s="182"/>
      <c r="E115" s="185"/>
      <c r="F115" s="130"/>
      <c r="G115" s="790"/>
      <c r="H115" s="131"/>
      <c r="I115" s="132"/>
      <c r="J115" s="133"/>
      <c r="K115" s="133"/>
      <c r="L115" s="131"/>
      <c r="M115" s="132"/>
      <c r="N115" s="134"/>
      <c r="O115" s="135"/>
      <c r="P115" s="795"/>
      <c r="Q115" s="764"/>
      <c r="R115" s="296"/>
      <c r="S115" s="170"/>
      <c r="T115" s="354"/>
      <c r="U115" s="118"/>
      <c r="V115" s="110"/>
      <c r="W115" s="110"/>
    </row>
    <row r="116" spans="1:23">
      <c r="A116" s="137" t="s">
        <v>404</v>
      </c>
      <c r="B116" s="127">
        <f>AVERAGE(TableUK1!B106:B115)</f>
        <v>17.483799999999999</v>
      </c>
      <c r="C116" s="181">
        <f>AVERAGE(TableUK1!C106:C115)</f>
        <v>54.222882157407412</v>
      </c>
      <c r="D116" s="182">
        <f>AVERAGE(TableUK1!D106:D115)</f>
        <v>360.1313226170538</v>
      </c>
      <c r="E116" s="185">
        <f>AVERAGE(TableUK1!E106:E115)</f>
        <v>1123.4361009531535</v>
      </c>
      <c r="F116" s="130">
        <f>AVERAGE(TableUK1!F106:F115)</f>
        <v>342.52522032166326</v>
      </c>
      <c r="G116" s="790">
        <f>AVERAGE(TableUK1!G106:G115)</f>
        <v>1062.7296395276683</v>
      </c>
      <c r="H116" s="131">
        <f>AVERAGE(TableUK1!H106:H115)</f>
        <v>484.92455369632398</v>
      </c>
      <c r="I116" s="132">
        <f>AVERAGE(TableUK1!I106:I115)</f>
        <v>1504.2613313645138</v>
      </c>
      <c r="J116" s="133">
        <f>AVERAGE(TableUK1!J106:J115)</f>
        <v>7064.2727801058745</v>
      </c>
      <c r="K116" s="133">
        <f>AVERAGE(TableUK1!K106:K115)</f>
        <v>22047.247605786935</v>
      </c>
      <c r="L116" s="131">
        <f>AVERAGE(TableUK1!L106:L115)</f>
        <v>9995.6379338249844</v>
      </c>
      <c r="M116" s="132">
        <f>AVERAGE(TableUK1!M106:M115)</f>
        <v>31189.564878437657</v>
      </c>
      <c r="N116" s="134">
        <f>AVERAGE(TableUK1!N106:N115)</f>
        <v>3.1278886555832304</v>
      </c>
      <c r="O116" s="135">
        <f>AVERAGE(TableUK1!O106:O115)</f>
        <v>0.78734872669534972</v>
      </c>
      <c r="P116" s="795">
        <f>AVERAGE(TableUK1!P106:P115)</f>
        <v>7874.4920052729476</v>
      </c>
      <c r="Q116" s="764">
        <f>AVERAGE(TableUK1!Q106:Q115)</f>
        <v>3.9764212883468391</v>
      </c>
      <c r="R116" s="296">
        <f>AVERAGE(TableUK1!R106:R115)</f>
        <v>50954.6</v>
      </c>
      <c r="S116" s="170">
        <f>AVERAGE(TableUK1!S106:S115)</f>
        <v>36017.960000000006</v>
      </c>
      <c r="T116" s="354">
        <f>AVERAGE(TableUK1!T106:T115)</f>
        <v>23256.5</v>
      </c>
      <c r="U116" s="118"/>
      <c r="V116" s="364"/>
      <c r="W116" s="364"/>
    </row>
    <row r="117" spans="1:23" hidden="1">
      <c r="A117" s="126"/>
      <c r="B117" s="595"/>
      <c r="C117" s="181"/>
      <c r="D117" s="182"/>
      <c r="E117" s="185"/>
      <c r="F117" s="130"/>
      <c r="G117" s="790"/>
      <c r="H117" s="131"/>
      <c r="I117" s="132"/>
      <c r="J117" s="133"/>
      <c r="K117" s="133"/>
      <c r="L117" s="131"/>
      <c r="M117" s="132"/>
      <c r="N117" s="134"/>
      <c r="O117" s="135"/>
      <c r="P117" s="795"/>
      <c r="Q117" s="764"/>
      <c r="R117" s="296"/>
      <c r="S117" s="170"/>
      <c r="T117" s="354"/>
      <c r="U117" s="118"/>
      <c r="V117" s="110"/>
      <c r="W117" s="110"/>
    </row>
    <row r="118" spans="1:23" hidden="1">
      <c r="A118" s="126"/>
      <c r="B118" s="595"/>
      <c r="C118" s="181"/>
      <c r="D118" s="182"/>
      <c r="E118" s="185"/>
      <c r="F118" s="130"/>
      <c r="G118" s="790"/>
      <c r="H118" s="131"/>
      <c r="I118" s="132"/>
      <c r="J118" s="133"/>
      <c r="K118" s="133"/>
      <c r="L118" s="131"/>
      <c r="M118" s="132"/>
      <c r="N118" s="134"/>
      <c r="O118" s="135"/>
      <c r="P118" s="795"/>
      <c r="Q118" s="764"/>
      <c r="R118" s="296"/>
      <c r="S118" s="170"/>
      <c r="T118" s="354"/>
      <c r="U118" s="118"/>
      <c r="V118" s="110"/>
      <c r="W118" s="110"/>
    </row>
    <row r="119" spans="1:23" hidden="1">
      <c r="A119" s="126"/>
      <c r="B119" s="595"/>
      <c r="C119" s="181"/>
      <c r="D119" s="182"/>
      <c r="E119" s="185"/>
      <c r="F119" s="130"/>
      <c r="G119" s="790"/>
      <c r="H119" s="131"/>
      <c r="I119" s="132"/>
      <c r="J119" s="133"/>
      <c r="K119" s="133"/>
      <c r="L119" s="131"/>
      <c r="M119" s="132"/>
      <c r="N119" s="134"/>
      <c r="O119" s="135"/>
      <c r="P119" s="795"/>
      <c r="Q119" s="764"/>
      <c r="R119" s="296"/>
      <c r="S119" s="170"/>
      <c r="T119" s="354"/>
      <c r="U119" s="118"/>
      <c r="V119" s="110"/>
      <c r="W119" s="110"/>
    </row>
    <row r="120" spans="1:23" hidden="1">
      <c r="A120" s="126"/>
      <c r="B120" s="595"/>
      <c r="C120" s="181"/>
      <c r="D120" s="182"/>
      <c r="E120" s="185"/>
      <c r="F120" s="130"/>
      <c r="G120" s="790"/>
      <c r="H120" s="131"/>
      <c r="I120" s="132"/>
      <c r="J120" s="133"/>
      <c r="K120" s="133"/>
      <c r="L120" s="131"/>
      <c r="M120" s="132"/>
      <c r="N120" s="134"/>
      <c r="O120" s="135"/>
      <c r="P120" s="795"/>
      <c r="Q120" s="764"/>
      <c r="R120" s="296"/>
      <c r="S120" s="170"/>
      <c r="T120" s="354"/>
      <c r="U120" s="118"/>
      <c r="V120" s="110"/>
      <c r="W120" s="110"/>
    </row>
    <row r="121" spans="1:23" hidden="1">
      <c r="A121" s="126"/>
      <c r="B121" s="595"/>
      <c r="C121" s="181"/>
      <c r="D121" s="182"/>
      <c r="E121" s="185"/>
      <c r="F121" s="130"/>
      <c r="G121" s="790"/>
      <c r="H121" s="131"/>
      <c r="I121" s="132"/>
      <c r="J121" s="133"/>
      <c r="K121" s="133"/>
      <c r="L121" s="131"/>
      <c r="M121" s="132"/>
      <c r="N121" s="134"/>
      <c r="O121" s="135"/>
      <c r="P121" s="795"/>
      <c r="Q121" s="764"/>
      <c r="R121" s="296"/>
      <c r="S121" s="170"/>
      <c r="T121" s="354"/>
      <c r="U121" s="118"/>
      <c r="V121" s="110"/>
      <c r="W121" s="110"/>
    </row>
    <row r="122" spans="1:23" hidden="1">
      <c r="A122" s="126"/>
      <c r="B122" s="595"/>
      <c r="C122" s="181"/>
      <c r="D122" s="182"/>
      <c r="E122" s="185"/>
      <c r="F122" s="130"/>
      <c r="G122" s="790"/>
      <c r="H122" s="131"/>
      <c r="I122" s="132"/>
      <c r="J122" s="133"/>
      <c r="K122" s="133"/>
      <c r="L122" s="131"/>
      <c r="M122" s="132"/>
      <c r="N122" s="134"/>
      <c r="O122" s="135"/>
      <c r="P122" s="795"/>
      <c r="Q122" s="764"/>
      <c r="R122" s="296"/>
      <c r="S122" s="170"/>
      <c r="T122" s="354"/>
      <c r="U122" s="118"/>
      <c r="V122" s="110"/>
      <c r="W122" s="110"/>
    </row>
    <row r="123" spans="1:23" hidden="1">
      <c r="A123" s="126"/>
      <c r="B123" s="595"/>
      <c r="C123" s="181"/>
      <c r="D123" s="182"/>
      <c r="E123" s="185"/>
      <c r="F123" s="130"/>
      <c r="G123" s="790"/>
      <c r="H123" s="131"/>
      <c r="I123" s="132"/>
      <c r="J123" s="133"/>
      <c r="K123" s="133"/>
      <c r="L123" s="131"/>
      <c r="M123" s="132"/>
      <c r="N123" s="134"/>
      <c r="O123" s="135"/>
      <c r="P123" s="795"/>
      <c r="Q123" s="764"/>
      <c r="R123" s="296"/>
      <c r="S123" s="170"/>
      <c r="T123" s="354"/>
      <c r="U123" s="118"/>
      <c r="V123" s="110"/>
      <c r="W123" s="110"/>
    </row>
    <row r="124" spans="1:23" hidden="1">
      <c r="A124" s="126"/>
      <c r="B124" s="595"/>
      <c r="C124" s="181"/>
      <c r="D124" s="182"/>
      <c r="E124" s="185"/>
      <c r="F124" s="130"/>
      <c r="G124" s="790"/>
      <c r="H124" s="131"/>
      <c r="I124" s="132"/>
      <c r="J124" s="133"/>
      <c r="K124" s="133"/>
      <c r="L124" s="131"/>
      <c r="M124" s="132"/>
      <c r="N124" s="134"/>
      <c r="O124" s="135"/>
      <c r="P124" s="795"/>
      <c r="Q124" s="764"/>
      <c r="R124" s="296"/>
      <c r="S124" s="170"/>
      <c r="T124" s="354"/>
      <c r="U124" s="118"/>
      <c r="V124" s="110"/>
      <c r="W124" s="110"/>
    </row>
    <row r="125" spans="1:23" hidden="1">
      <c r="A125" s="126"/>
      <c r="B125" s="595"/>
      <c r="C125" s="181"/>
      <c r="D125" s="182"/>
      <c r="E125" s="185"/>
      <c r="F125" s="130"/>
      <c r="G125" s="790"/>
      <c r="H125" s="131"/>
      <c r="I125" s="132"/>
      <c r="J125" s="133"/>
      <c r="K125" s="133"/>
      <c r="L125" s="131"/>
      <c r="M125" s="132"/>
      <c r="N125" s="134"/>
      <c r="O125" s="135"/>
      <c r="P125" s="795"/>
      <c r="Q125" s="764"/>
      <c r="R125" s="296"/>
      <c r="S125" s="170"/>
      <c r="T125" s="354"/>
      <c r="U125" s="118"/>
      <c r="V125" s="110"/>
      <c r="W125" s="110"/>
    </row>
    <row r="126" spans="1:23">
      <c r="A126" s="126" t="s">
        <v>405</v>
      </c>
      <c r="B126" s="127">
        <f>AVERAGE(TableUK1!B116:B125)</f>
        <v>32.232599999999998</v>
      </c>
      <c r="C126" s="136">
        <f>AVERAGE(TableUK1!C116:C125)</f>
        <v>100.70553836273196</v>
      </c>
      <c r="D126" s="182">
        <f>AVERAGE(TableUK1!D116:D125)</f>
        <v>476.48482131616237</v>
      </c>
      <c r="E126" s="185">
        <f>AVERAGE(TableUK1!E116:E125)</f>
        <v>1489.9752138068025</v>
      </c>
      <c r="F126" s="130">
        <f>AVERAGE(TableUK1!F116:F125)</f>
        <v>594.32545111656304</v>
      </c>
      <c r="G126" s="790">
        <f>AVERAGE(TableUK1!G116:G125)</f>
        <v>1857.0278402036442</v>
      </c>
      <c r="H126" s="131">
        <f>AVERAGE(TableUK1!H116:H125)</f>
        <v>859.81287615463384</v>
      </c>
      <c r="I126" s="132">
        <f>AVERAGE(TableUK1!I116:I125)</f>
        <v>2686.6425954758756</v>
      </c>
      <c r="J126" s="133">
        <f>AVERAGE(TableUK1!J116:J125)</f>
        <v>8802.5836811727077</v>
      </c>
      <c r="K126" s="133">
        <f>AVERAGE(TableUK1!K116:K125)</f>
        <v>27527.351578248512</v>
      </c>
      <c r="L126" s="131">
        <f>AVERAGE(TableUK1!L116:L125)</f>
        <v>12729.526094682307</v>
      </c>
      <c r="M126" s="132">
        <f>AVERAGE(TableUK1!M116:M125)</f>
        <v>39809.038245864635</v>
      </c>
      <c r="N126" s="134">
        <f>AVERAGE(TableUK1!N116:N125)</f>
        <v>3.128338402052107</v>
      </c>
      <c r="O126" s="135">
        <f>AVERAGE(TableUK1!O116:O125)</f>
        <v>0.77759534266578434</v>
      </c>
      <c r="P126" s="795">
        <f>AVERAGE(TableUK1!P116:P125)</f>
        <v>9877.7258543755142</v>
      </c>
      <c r="Q126" s="764">
        <f>AVERAGE(TableUK1!Q116:Q125)</f>
        <v>4.0266998112278758</v>
      </c>
      <c r="R126" s="296">
        <f>AVERAGE(TableUK1!R116:R125)</f>
        <v>54071.4</v>
      </c>
      <c r="S126" s="170">
        <f>AVERAGE(TableUK1!S116:S125)</f>
        <v>37398.022399999994</v>
      </c>
      <c r="T126" s="354">
        <f>AVERAGE(TableUK1!T116:T125)</f>
        <v>24419.206899999997</v>
      </c>
      <c r="U126" s="118"/>
      <c r="V126" s="364"/>
      <c r="W126" s="364"/>
    </row>
    <row r="127" spans="1:23" hidden="1">
      <c r="A127" s="126"/>
      <c r="B127" s="595"/>
      <c r="C127" s="181"/>
      <c r="D127" s="182"/>
      <c r="E127" s="185"/>
      <c r="F127" s="130"/>
      <c r="G127" s="790"/>
      <c r="H127" s="131"/>
      <c r="I127" s="132"/>
      <c r="J127" s="133"/>
      <c r="K127" s="133"/>
      <c r="L127" s="131"/>
      <c r="M127" s="132"/>
      <c r="N127" s="134"/>
      <c r="O127" s="135"/>
      <c r="P127" s="795"/>
      <c r="Q127" s="764"/>
      <c r="R127" s="296"/>
      <c r="S127" s="170"/>
      <c r="T127" s="354"/>
      <c r="U127" s="118"/>
      <c r="V127" s="110"/>
      <c r="W127" s="110"/>
    </row>
    <row r="128" spans="1:23" hidden="1">
      <c r="A128" s="126"/>
      <c r="B128" s="595"/>
      <c r="C128" s="181"/>
      <c r="D128" s="182"/>
      <c r="E128" s="185"/>
      <c r="F128" s="130"/>
      <c r="G128" s="790"/>
      <c r="H128" s="131"/>
      <c r="I128" s="132"/>
      <c r="J128" s="133"/>
      <c r="K128" s="133"/>
      <c r="L128" s="131"/>
      <c r="M128" s="132"/>
      <c r="N128" s="134"/>
      <c r="O128" s="135"/>
      <c r="P128" s="795"/>
      <c r="Q128" s="764"/>
      <c r="R128" s="296"/>
      <c r="S128" s="170"/>
      <c r="T128" s="354"/>
      <c r="U128" s="118"/>
      <c r="V128" s="110"/>
      <c r="W128" s="110"/>
    </row>
    <row r="129" spans="1:23" hidden="1">
      <c r="A129" s="126"/>
      <c r="B129" s="595"/>
      <c r="C129" s="181"/>
      <c r="D129" s="182"/>
      <c r="E129" s="185"/>
      <c r="F129" s="130"/>
      <c r="G129" s="790"/>
      <c r="H129" s="131"/>
      <c r="I129" s="132"/>
      <c r="J129" s="133"/>
      <c r="K129" s="133"/>
      <c r="L129" s="131"/>
      <c r="M129" s="132"/>
      <c r="N129" s="134"/>
      <c r="O129" s="135"/>
      <c r="P129" s="795"/>
      <c r="Q129" s="764"/>
      <c r="R129" s="296"/>
      <c r="S129" s="170"/>
      <c r="T129" s="354"/>
      <c r="U129" s="118"/>
      <c r="V129" s="110"/>
      <c r="W129" s="110"/>
    </row>
    <row r="130" spans="1:23" hidden="1">
      <c r="A130" s="126"/>
      <c r="B130" s="595"/>
      <c r="C130" s="181"/>
      <c r="D130" s="182"/>
      <c r="E130" s="185"/>
      <c r="F130" s="130"/>
      <c r="G130" s="790"/>
      <c r="H130" s="131"/>
      <c r="I130" s="132"/>
      <c r="J130" s="133"/>
      <c r="K130" s="133"/>
      <c r="L130" s="131"/>
      <c r="M130" s="132"/>
      <c r="N130" s="134"/>
      <c r="O130" s="135"/>
      <c r="P130" s="795"/>
      <c r="Q130" s="764"/>
      <c r="R130" s="296"/>
      <c r="S130" s="170"/>
      <c r="T130" s="354"/>
      <c r="U130" s="118"/>
      <c r="V130" s="110"/>
      <c r="W130" s="110"/>
    </row>
    <row r="131" spans="1:23" hidden="1">
      <c r="A131" s="126"/>
      <c r="B131" s="595"/>
      <c r="C131" s="181"/>
      <c r="D131" s="182"/>
      <c r="E131" s="185"/>
      <c r="F131" s="130"/>
      <c r="G131" s="790"/>
      <c r="H131" s="131"/>
      <c r="I131" s="132"/>
      <c r="J131" s="133"/>
      <c r="K131" s="133"/>
      <c r="L131" s="131"/>
      <c r="M131" s="132"/>
      <c r="N131" s="134"/>
      <c r="O131" s="135"/>
      <c r="P131" s="795"/>
      <c r="Q131" s="764"/>
      <c r="R131" s="296"/>
      <c r="S131" s="170"/>
      <c r="T131" s="354"/>
      <c r="U131" s="118"/>
      <c r="V131" s="110"/>
      <c r="W131" s="110"/>
    </row>
    <row r="132" spans="1:23" hidden="1">
      <c r="A132" s="126"/>
      <c r="B132" s="595"/>
      <c r="C132" s="181"/>
      <c r="D132" s="182"/>
      <c r="E132" s="185"/>
      <c r="F132" s="130"/>
      <c r="G132" s="790"/>
      <c r="H132" s="131"/>
      <c r="I132" s="132"/>
      <c r="J132" s="133"/>
      <c r="K132" s="133"/>
      <c r="L132" s="131"/>
      <c r="M132" s="132"/>
      <c r="N132" s="134"/>
      <c r="O132" s="135"/>
      <c r="P132" s="795"/>
      <c r="Q132" s="764"/>
      <c r="R132" s="296"/>
      <c r="S132" s="170"/>
      <c r="T132" s="354"/>
      <c r="U132" s="118"/>
      <c r="V132" s="110"/>
      <c r="W132" s="110"/>
    </row>
    <row r="133" spans="1:23" hidden="1">
      <c r="A133" s="126"/>
      <c r="B133" s="595"/>
      <c r="C133" s="181"/>
      <c r="D133" s="182"/>
      <c r="E133" s="185"/>
      <c r="F133" s="130"/>
      <c r="G133" s="790"/>
      <c r="H133" s="131"/>
      <c r="I133" s="132"/>
      <c r="J133" s="133"/>
      <c r="K133" s="133"/>
      <c r="L133" s="131"/>
      <c r="M133" s="132"/>
      <c r="N133" s="134"/>
      <c r="O133" s="135"/>
      <c r="P133" s="795"/>
      <c r="Q133" s="764"/>
      <c r="R133" s="296"/>
      <c r="S133" s="170"/>
      <c r="T133" s="354"/>
      <c r="U133" s="118"/>
      <c r="V133" s="110"/>
      <c r="W133" s="110"/>
    </row>
    <row r="134" spans="1:23" hidden="1">
      <c r="A134" s="126"/>
      <c r="B134" s="595"/>
      <c r="C134" s="181"/>
      <c r="D134" s="182"/>
      <c r="E134" s="185"/>
      <c r="F134" s="130"/>
      <c r="G134" s="790"/>
      <c r="H134" s="131"/>
      <c r="I134" s="132"/>
      <c r="J134" s="133"/>
      <c r="K134" s="133"/>
      <c r="L134" s="131"/>
      <c r="M134" s="132"/>
      <c r="N134" s="134"/>
      <c r="O134" s="135"/>
      <c r="P134" s="795"/>
      <c r="Q134" s="764"/>
      <c r="R134" s="296"/>
      <c r="S134" s="170"/>
      <c r="T134" s="354"/>
      <c r="U134" s="118"/>
      <c r="V134" s="110"/>
      <c r="W134" s="110"/>
    </row>
    <row r="135" spans="1:23" hidden="1">
      <c r="A135" s="126"/>
      <c r="B135" s="595"/>
      <c r="C135" s="181"/>
      <c r="D135" s="182"/>
      <c r="E135" s="185"/>
      <c r="F135" s="130"/>
      <c r="G135" s="790"/>
      <c r="H135" s="131"/>
      <c r="I135" s="132"/>
      <c r="J135" s="133"/>
      <c r="K135" s="133"/>
      <c r="L135" s="131"/>
      <c r="M135" s="132"/>
      <c r="N135" s="134"/>
      <c r="O135" s="135"/>
      <c r="P135" s="795"/>
      <c r="Q135" s="764"/>
      <c r="R135" s="296"/>
      <c r="S135" s="170"/>
      <c r="T135" s="354"/>
      <c r="U135" s="118"/>
      <c r="V135" s="110"/>
      <c r="W135" s="110"/>
    </row>
    <row r="136" spans="1:23">
      <c r="A136" s="126" t="s">
        <v>406</v>
      </c>
      <c r="B136" s="127">
        <f>AVERAGE(TableUK1!B126:B135)</f>
        <v>94.151700000000005</v>
      </c>
      <c r="C136" s="136">
        <f>AVERAGE(TableUK1!C126:C135)</f>
        <v>290.90461123479071</v>
      </c>
      <c r="D136" s="182">
        <f>AVERAGE(TableUK1!D126:D135)</f>
        <v>592.15767867180057</v>
      </c>
      <c r="E136" s="185">
        <f>AVERAGE(TableUK1!E126:E135)</f>
        <v>1860.5114733068367</v>
      </c>
      <c r="F136" s="130">
        <f>AVERAGE(TableUK1!F126:F135)</f>
        <v>1676.4590469693176</v>
      </c>
      <c r="G136" s="790">
        <f>AVERAGE(TableUK1!G126:G135)</f>
        <v>5179.922376810212</v>
      </c>
      <c r="H136" s="131">
        <f>AVERAGE(TableUK1!H126:H135)</f>
        <v>2411.0025078762674</v>
      </c>
      <c r="I136" s="132">
        <f>AVERAGE(TableUK1!I126:I135)</f>
        <v>7451.0120198678824</v>
      </c>
      <c r="J136" s="133">
        <f>AVERAGE(TableUK1!J126:J135)</f>
        <v>10551.192710573598</v>
      </c>
      <c r="K136" s="133">
        <f>AVERAGE(TableUK1!K126:K135)</f>
        <v>33151.3072674586</v>
      </c>
      <c r="L136" s="131">
        <f>AVERAGE(TableUK1!L126:L135)</f>
        <v>15209.756771102</v>
      </c>
      <c r="M136" s="132">
        <f>AVERAGE(TableUK1!M126:M135)</f>
        <v>47799.838227380256</v>
      </c>
      <c r="N136" s="134">
        <f>AVERAGE(TableUK1!N126:N135)</f>
        <v>3.1440797894822947</v>
      </c>
      <c r="O136" s="135">
        <f>AVERAGE(TableUK1!O126:O135)</f>
        <v>0.75368519808145817</v>
      </c>
      <c r="P136" s="795">
        <f>AVERAGE(TableUK1!P126:P135)</f>
        <v>11472.46867069936</v>
      </c>
      <c r="Q136" s="764">
        <f>AVERAGE(TableUK1!Q126:Q135)</f>
        <v>4.1735858938843435</v>
      </c>
      <c r="R136" s="296">
        <f>AVERAGE(TableUK1!R126:R135)</f>
        <v>56116.6</v>
      </c>
      <c r="S136" s="170">
        <f>AVERAGE(TableUK1!S126:S135)</f>
        <v>38922.808199999992</v>
      </c>
      <c r="T136" s="354">
        <f>AVERAGE(TableUK1!T126:T135)</f>
        <v>24613.088799999994</v>
      </c>
      <c r="U136" s="118"/>
      <c r="V136" s="364"/>
      <c r="W136" s="364"/>
    </row>
    <row r="137" spans="1:23" hidden="1">
      <c r="A137" s="126"/>
      <c r="B137" s="127"/>
      <c r="C137" s="181"/>
      <c r="D137" s="182"/>
      <c r="E137" s="185"/>
      <c r="F137" s="130"/>
      <c r="G137" s="790"/>
      <c r="H137" s="131"/>
      <c r="I137" s="132"/>
      <c r="J137" s="133"/>
      <c r="K137" s="133"/>
      <c r="L137" s="131"/>
      <c r="M137" s="132"/>
      <c r="N137" s="134"/>
      <c r="O137" s="135"/>
      <c r="P137" s="795"/>
      <c r="Q137" s="764"/>
      <c r="R137" s="296"/>
      <c r="S137" s="170"/>
      <c r="T137" s="354"/>
      <c r="U137" s="118"/>
      <c r="V137" s="110"/>
      <c r="W137" s="110"/>
    </row>
    <row r="138" spans="1:23" hidden="1">
      <c r="A138" s="126"/>
      <c r="B138" s="127"/>
      <c r="C138" s="181"/>
      <c r="D138" s="182"/>
      <c r="E138" s="185"/>
      <c r="F138" s="130"/>
      <c r="G138" s="790"/>
      <c r="H138" s="131"/>
      <c r="I138" s="132"/>
      <c r="J138" s="133"/>
      <c r="K138" s="133"/>
      <c r="L138" s="131"/>
      <c r="M138" s="132"/>
      <c r="N138" s="134"/>
      <c r="O138" s="135"/>
      <c r="P138" s="795"/>
      <c r="Q138" s="764"/>
      <c r="R138" s="296"/>
      <c r="S138" s="170"/>
      <c r="T138" s="354"/>
      <c r="U138" s="118"/>
      <c r="V138" s="110"/>
      <c r="W138" s="110"/>
    </row>
    <row r="139" spans="1:23" hidden="1">
      <c r="A139" s="126"/>
      <c r="B139" s="127"/>
      <c r="C139" s="181"/>
      <c r="D139" s="182"/>
      <c r="E139" s="185"/>
      <c r="F139" s="130"/>
      <c r="G139" s="790"/>
      <c r="H139" s="131"/>
      <c r="I139" s="132"/>
      <c r="J139" s="133"/>
      <c r="K139" s="133"/>
      <c r="L139" s="131"/>
      <c r="M139" s="132"/>
      <c r="N139" s="134"/>
      <c r="O139" s="135"/>
      <c r="P139" s="795"/>
      <c r="Q139" s="764"/>
      <c r="R139" s="296"/>
      <c r="S139" s="170"/>
      <c r="T139" s="354"/>
      <c r="U139" s="118"/>
      <c r="V139" s="110"/>
      <c r="W139" s="110"/>
    </row>
    <row r="140" spans="1:23" hidden="1">
      <c r="A140" s="126"/>
      <c r="B140" s="127"/>
      <c r="C140" s="181"/>
      <c r="D140" s="182"/>
      <c r="E140" s="185"/>
      <c r="F140" s="130"/>
      <c r="G140" s="790"/>
      <c r="H140" s="131"/>
      <c r="I140" s="132"/>
      <c r="J140" s="133"/>
      <c r="K140" s="133"/>
      <c r="L140" s="131"/>
      <c r="M140" s="132"/>
      <c r="N140" s="134"/>
      <c r="O140" s="135"/>
      <c r="P140" s="795"/>
      <c r="Q140" s="764"/>
      <c r="R140" s="296"/>
      <c r="S140" s="170"/>
      <c r="T140" s="354"/>
      <c r="U140" s="118"/>
      <c r="V140" s="110"/>
      <c r="W140" s="110"/>
    </row>
    <row r="141" spans="1:23" hidden="1">
      <c r="A141" s="126"/>
      <c r="B141" s="127"/>
      <c r="C141" s="181"/>
      <c r="D141" s="182"/>
      <c r="E141" s="185"/>
      <c r="F141" s="130"/>
      <c r="G141" s="790"/>
      <c r="H141" s="131"/>
      <c r="I141" s="132"/>
      <c r="J141" s="133"/>
      <c r="K141" s="133"/>
      <c r="L141" s="131"/>
      <c r="M141" s="132"/>
      <c r="N141" s="134"/>
      <c r="O141" s="135"/>
      <c r="P141" s="795"/>
      <c r="Q141" s="764"/>
      <c r="R141" s="296"/>
      <c r="S141" s="170"/>
      <c r="T141" s="354"/>
      <c r="U141" s="118"/>
      <c r="V141" s="110"/>
      <c r="W141" s="110"/>
    </row>
    <row r="142" spans="1:23" hidden="1">
      <c r="A142" s="126"/>
      <c r="B142" s="127"/>
      <c r="C142" s="181"/>
      <c r="D142" s="182"/>
      <c r="E142" s="185"/>
      <c r="F142" s="130"/>
      <c r="G142" s="790"/>
      <c r="H142" s="131"/>
      <c r="I142" s="132"/>
      <c r="J142" s="133"/>
      <c r="K142" s="133"/>
      <c r="L142" s="131"/>
      <c r="M142" s="132"/>
      <c r="N142" s="134"/>
      <c r="O142" s="135"/>
      <c r="P142" s="795"/>
      <c r="Q142" s="764"/>
      <c r="R142" s="296"/>
      <c r="S142" s="170"/>
      <c r="T142" s="354"/>
      <c r="U142" s="118"/>
      <c r="V142" s="110"/>
      <c r="W142" s="110"/>
    </row>
    <row r="143" spans="1:23" hidden="1">
      <c r="A143" s="126"/>
      <c r="B143" s="127"/>
      <c r="C143" s="181"/>
      <c r="D143" s="182"/>
      <c r="E143" s="185"/>
      <c r="F143" s="130"/>
      <c r="G143" s="790"/>
      <c r="H143" s="131"/>
      <c r="I143" s="132"/>
      <c r="J143" s="133"/>
      <c r="K143" s="133"/>
      <c r="L143" s="131"/>
      <c r="M143" s="132"/>
      <c r="N143" s="134"/>
      <c r="O143" s="135"/>
      <c r="P143" s="795"/>
      <c r="Q143" s="764"/>
      <c r="R143" s="296"/>
      <c r="S143" s="170"/>
      <c r="T143" s="354"/>
      <c r="U143" s="118"/>
      <c r="V143" s="110"/>
      <c r="W143" s="110"/>
    </row>
    <row r="144" spans="1:23" hidden="1">
      <c r="A144" s="126"/>
      <c r="B144" s="127"/>
      <c r="C144" s="181"/>
      <c r="D144" s="182"/>
      <c r="E144" s="185"/>
      <c r="F144" s="130"/>
      <c r="G144" s="790"/>
      <c r="H144" s="131"/>
      <c r="I144" s="132"/>
      <c r="J144" s="133"/>
      <c r="K144" s="133"/>
      <c r="L144" s="131"/>
      <c r="M144" s="132"/>
      <c r="N144" s="134"/>
      <c r="O144" s="135"/>
      <c r="P144" s="795"/>
      <c r="Q144" s="764"/>
      <c r="R144" s="296"/>
      <c r="S144" s="170"/>
      <c r="T144" s="354"/>
      <c r="U144" s="118"/>
      <c r="V144" s="110"/>
      <c r="W144" s="110"/>
    </row>
    <row r="145" spans="1:23" hidden="1">
      <c r="A145" s="126"/>
      <c r="B145" s="127"/>
      <c r="C145" s="181"/>
      <c r="D145" s="182"/>
      <c r="E145" s="185"/>
      <c r="F145" s="130"/>
      <c r="G145" s="790"/>
      <c r="H145" s="131"/>
      <c r="I145" s="132"/>
      <c r="J145" s="133"/>
      <c r="K145" s="133"/>
      <c r="L145" s="131"/>
      <c r="M145" s="132"/>
      <c r="N145" s="134"/>
      <c r="O145" s="135"/>
      <c r="P145" s="795"/>
      <c r="Q145" s="764"/>
      <c r="R145" s="296"/>
      <c r="S145" s="170"/>
      <c r="T145" s="354"/>
      <c r="U145" s="118"/>
      <c r="V145" s="110"/>
      <c r="W145" s="110"/>
    </row>
    <row r="146" spans="1:23">
      <c r="A146" s="126" t="s">
        <v>407</v>
      </c>
      <c r="B146" s="130">
        <f>AVERAGE(TableUK1!B136:B145)</f>
        <v>307.76964039999996</v>
      </c>
      <c r="C146" s="136">
        <f>AVERAGE(TableUK1!C136:C145)</f>
        <v>1110.3016028483642</v>
      </c>
      <c r="D146" s="182">
        <f>AVERAGE(TableUK1!D136:D145)</f>
        <v>696.89961355274613</v>
      </c>
      <c r="E146" s="185">
        <f>AVERAGE(TableUK1!E136:E145)</f>
        <v>2469.9292355327211</v>
      </c>
      <c r="F146" s="130">
        <f>AVERAGE(TableUK1!F136:F145)</f>
        <v>5433.8380756694451</v>
      </c>
      <c r="G146" s="790">
        <f>AVERAGE(TableUK1!G136:G145)</f>
        <v>19591.654242392389</v>
      </c>
      <c r="H146" s="131">
        <f>AVERAGE(TableUK1!H136:H145)</f>
        <v>7494.1358485072296</v>
      </c>
      <c r="I146" s="132">
        <f>AVERAGE(TableUK1!I136:I145)</f>
        <v>26973.972509990395</v>
      </c>
      <c r="J146" s="133">
        <f>AVERAGE(TableUK1!J136:J145)</f>
        <v>12312.954815250938</v>
      </c>
      <c r="K146" s="133">
        <f>AVERAGE(TableUK1!K136:K145)</f>
        <v>43614.672983534867</v>
      </c>
      <c r="L146" s="131">
        <f>AVERAGE(TableUK1!L136:L145)</f>
        <v>17023.186647311453</v>
      </c>
      <c r="M146" s="132">
        <f>AVERAGE(TableUK1!M136:M145)</f>
        <v>60194.782861373715</v>
      </c>
      <c r="N146" s="134">
        <f>AVERAGE(TableUK1!N136:N145)</f>
        <v>3.5034779791950905</v>
      </c>
      <c r="O146" s="135">
        <f>AVERAGE(TableUK1!O136:O145)</f>
        <v>0.75223582682805723</v>
      </c>
      <c r="P146" s="795">
        <f>AVERAGE(TableUK1!P136:P145)</f>
        <v>12801.587831637593</v>
      </c>
      <c r="Q146" s="764">
        <f>AVERAGE(TableUK1!Q136:Q145)</f>
        <v>4.6606360843552084</v>
      </c>
      <c r="R146" s="296">
        <f>AVERAGE(TableUK1!R136:R145)</f>
        <v>56573.7</v>
      </c>
      <c r="S146" s="170">
        <f>AVERAGE(TableUK1!S136:S145)</f>
        <v>40871.670099999996</v>
      </c>
      <c r="T146" s="354">
        <f>AVERAGE(TableUK1!T136:T145)</f>
        <v>24737.739300000001</v>
      </c>
      <c r="U146" s="118"/>
      <c r="V146" s="364"/>
      <c r="W146" s="364"/>
    </row>
    <row r="147" spans="1:23" hidden="1">
      <c r="A147" s="126"/>
      <c r="B147" s="127"/>
      <c r="C147" s="181"/>
      <c r="D147" s="182"/>
      <c r="E147" s="185"/>
      <c r="F147" s="130"/>
      <c r="G147" s="790"/>
      <c r="H147" s="131"/>
      <c r="I147" s="132"/>
      <c r="J147" s="133"/>
      <c r="K147" s="133"/>
      <c r="L147" s="131"/>
      <c r="M147" s="132"/>
      <c r="N147" s="134"/>
      <c r="O147" s="135"/>
      <c r="P147" s="795"/>
      <c r="Q147" s="764"/>
      <c r="R147" s="296"/>
      <c r="S147" s="170"/>
      <c r="T147" s="354"/>
      <c r="U147" s="118"/>
      <c r="V147" s="110"/>
      <c r="W147" s="110"/>
    </row>
    <row r="148" spans="1:23" hidden="1">
      <c r="A148" s="126"/>
      <c r="B148" s="127"/>
      <c r="C148" s="181"/>
      <c r="D148" s="182"/>
      <c r="E148" s="185"/>
      <c r="F148" s="130"/>
      <c r="G148" s="790"/>
      <c r="H148" s="131"/>
      <c r="I148" s="132"/>
      <c r="J148" s="133"/>
      <c r="K148" s="133"/>
      <c r="L148" s="131"/>
      <c r="M148" s="132"/>
      <c r="N148" s="134"/>
      <c r="O148" s="135"/>
      <c r="P148" s="795"/>
      <c r="Q148" s="764"/>
      <c r="R148" s="296"/>
      <c r="S148" s="170"/>
      <c r="T148" s="354"/>
      <c r="U148" s="118"/>
      <c r="V148" s="110"/>
      <c r="W148" s="110"/>
    </row>
    <row r="149" spans="1:23" hidden="1">
      <c r="A149" s="126"/>
      <c r="B149" s="127"/>
      <c r="C149" s="181"/>
      <c r="D149" s="182"/>
      <c r="E149" s="185"/>
      <c r="F149" s="130"/>
      <c r="G149" s="790"/>
      <c r="H149" s="131"/>
      <c r="I149" s="132"/>
      <c r="J149" s="133"/>
      <c r="K149" s="133"/>
      <c r="L149" s="131"/>
      <c r="M149" s="132"/>
      <c r="N149" s="134"/>
      <c r="O149" s="135"/>
      <c r="P149" s="795"/>
      <c r="Q149" s="764"/>
      <c r="R149" s="296"/>
      <c r="S149" s="170"/>
      <c r="T149" s="354"/>
      <c r="U149" s="118"/>
      <c r="V149" s="110"/>
      <c r="W149" s="110"/>
    </row>
    <row r="150" spans="1:23" hidden="1">
      <c r="A150" s="126"/>
      <c r="B150" s="127"/>
      <c r="C150" s="181"/>
      <c r="D150" s="182"/>
      <c r="E150" s="185"/>
      <c r="F150" s="130"/>
      <c r="G150" s="790"/>
      <c r="H150" s="131"/>
      <c r="I150" s="132"/>
      <c r="J150" s="133"/>
      <c r="K150" s="133"/>
      <c r="L150" s="131"/>
      <c r="M150" s="132"/>
      <c r="N150" s="134"/>
      <c r="O150" s="135"/>
      <c r="P150" s="795"/>
      <c r="Q150" s="764"/>
      <c r="R150" s="296"/>
      <c r="S150" s="170"/>
      <c r="T150" s="354"/>
      <c r="U150" s="118"/>
      <c r="V150" s="110"/>
      <c r="W150" s="110"/>
    </row>
    <row r="151" spans="1:23" hidden="1">
      <c r="A151" s="126"/>
      <c r="B151" s="127"/>
      <c r="C151" s="181"/>
      <c r="D151" s="182"/>
      <c r="E151" s="185"/>
      <c r="F151" s="130"/>
      <c r="G151" s="790"/>
      <c r="H151" s="131"/>
      <c r="I151" s="132"/>
      <c r="J151" s="133"/>
      <c r="K151" s="133"/>
      <c r="L151" s="131"/>
      <c r="M151" s="132"/>
      <c r="N151" s="134"/>
      <c r="O151" s="135"/>
      <c r="P151" s="795"/>
      <c r="Q151" s="764"/>
      <c r="R151" s="296"/>
      <c r="S151" s="170"/>
      <c r="T151" s="354"/>
      <c r="U151" s="118"/>
      <c r="V151" s="110"/>
      <c r="W151" s="110"/>
    </row>
    <row r="152" spans="1:23" hidden="1">
      <c r="A152" s="126"/>
      <c r="B152" s="127"/>
      <c r="C152" s="181"/>
      <c r="D152" s="182"/>
      <c r="E152" s="185"/>
      <c r="F152" s="130"/>
      <c r="G152" s="790"/>
      <c r="H152" s="131"/>
      <c r="I152" s="132"/>
      <c r="J152" s="133"/>
      <c r="K152" s="133"/>
      <c r="L152" s="131"/>
      <c r="M152" s="132"/>
      <c r="N152" s="134"/>
      <c r="O152" s="135"/>
      <c r="P152" s="795"/>
      <c r="Q152" s="764"/>
      <c r="R152" s="296"/>
      <c r="S152" s="170"/>
      <c r="T152" s="354"/>
      <c r="U152" s="118"/>
      <c r="V152" s="110"/>
      <c r="W152" s="110"/>
    </row>
    <row r="153" spans="1:23" hidden="1">
      <c r="A153" s="126"/>
      <c r="B153" s="127"/>
      <c r="C153" s="181"/>
      <c r="D153" s="182"/>
      <c r="E153" s="185"/>
      <c r="F153" s="130"/>
      <c r="G153" s="790"/>
      <c r="H153" s="131"/>
      <c r="I153" s="132"/>
      <c r="J153" s="133"/>
      <c r="K153" s="133"/>
      <c r="L153" s="131"/>
      <c r="M153" s="132"/>
      <c r="N153" s="134"/>
      <c r="O153" s="135"/>
      <c r="P153" s="795"/>
      <c r="Q153" s="764"/>
      <c r="R153" s="296"/>
      <c r="S153" s="170"/>
      <c r="T153" s="354"/>
      <c r="U153" s="118"/>
      <c r="V153" s="110"/>
      <c r="W153" s="110"/>
    </row>
    <row r="154" spans="1:23" hidden="1">
      <c r="A154" s="126"/>
      <c r="B154" s="127"/>
      <c r="C154" s="181"/>
      <c r="D154" s="182"/>
      <c r="E154" s="185"/>
      <c r="F154" s="130"/>
      <c r="G154" s="790"/>
      <c r="H154" s="131"/>
      <c r="I154" s="132"/>
      <c r="J154" s="133"/>
      <c r="K154" s="133"/>
      <c r="L154" s="131"/>
      <c r="M154" s="132"/>
      <c r="N154" s="134"/>
      <c r="O154" s="135"/>
      <c r="P154" s="795"/>
      <c r="Q154" s="764"/>
      <c r="R154" s="296"/>
      <c r="S154" s="170"/>
      <c r="T154" s="354"/>
      <c r="U154" s="118"/>
      <c r="V154" s="110"/>
      <c r="W154" s="110"/>
    </row>
    <row r="155" spans="1:23" hidden="1">
      <c r="A155" s="126"/>
      <c r="B155" s="127"/>
      <c r="C155" s="181"/>
      <c r="D155" s="182"/>
      <c r="E155" s="185"/>
      <c r="F155" s="130"/>
      <c r="G155" s="790"/>
      <c r="H155" s="131"/>
      <c r="I155" s="132"/>
      <c r="J155" s="133"/>
      <c r="K155" s="133"/>
      <c r="L155" s="131"/>
      <c r="M155" s="132"/>
      <c r="N155" s="134"/>
      <c r="O155" s="135"/>
      <c r="P155" s="795"/>
      <c r="Q155" s="764"/>
      <c r="R155" s="296"/>
      <c r="S155" s="170"/>
      <c r="T155" s="354"/>
      <c r="U155" s="118"/>
      <c r="V155" s="110"/>
      <c r="W155" s="110"/>
    </row>
    <row r="156" spans="1:23">
      <c r="A156" s="145" t="s">
        <v>408</v>
      </c>
      <c r="B156" s="147">
        <f>AVERAGE(TableUK1!B146:B155)</f>
        <v>635.87660000000005</v>
      </c>
      <c r="C156" s="153">
        <f>AVERAGE(TableUK1!C146:C155)</f>
        <v>2742.2659000000003</v>
      </c>
      <c r="D156" s="849">
        <f>AVERAGE(TableUK1!D146:D155)</f>
        <v>900.43147933077125</v>
      </c>
      <c r="E156" s="854">
        <f>AVERAGE(TableUK1!E146:E155)</f>
        <v>3871.6353669102523</v>
      </c>
      <c r="F156" s="147">
        <f>AVERAGE(TableUK1!F146:F155)</f>
        <v>10958.962562014245</v>
      </c>
      <c r="G156" s="791">
        <f>AVERAGE(TableUK1!G146:G155)</f>
        <v>47245.615526905473</v>
      </c>
      <c r="H156" s="148">
        <f>AVERAGE(TableUK1!H146:H155)</f>
        <v>14708.543871594689</v>
      </c>
      <c r="I156" s="149">
        <f>AVERAGE(TableUK1!I146:I155)</f>
        <v>63409.644209310107</v>
      </c>
      <c r="J156" s="150">
        <f>AVERAGE(TableUK1!J146:J155)</f>
        <v>15527.989251814401</v>
      </c>
      <c r="K156" s="150">
        <f>AVERAGE(TableUK1!K146:K155)</f>
        <v>66745.583680454016</v>
      </c>
      <c r="L156" s="148">
        <f>AVERAGE(TableUK1!L146:L155)</f>
        <v>20843.617443017651</v>
      </c>
      <c r="M156" s="149">
        <f>AVERAGE(TableUK1!M146:M155)</f>
        <v>89593.07138077027</v>
      </c>
      <c r="N156" s="151">
        <f>AVERAGE(TableUK1!N146:N155)</f>
        <v>4.2821044865917024</v>
      </c>
      <c r="O156" s="152">
        <f>AVERAGE(TableUK1!O146:O155)</f>
        <v>0.78047690081922982</v>
      </c>
      <c r="P156" s="796">
        <f>AVERAGE(TableUK1!P146:P155)</f>
        <v>16261.621932789229</v>
      </c>
      <c r="Q156" s="765">
        <f>AVERAGE(TableUK1!Q146:Q155)</f>
        <v>5.4975022561249638</v>
      </c>
      <c r="R156" s="297">
        <f>AVERAGE(TableUK1!R146:R155)</f>
        <v>57949.9</v>
      </c>
      <c r="S156" s="257">
        <f>AVERAGE(TableUK1!S146:S155)</f>
        <v>43167.4107</v>
      </c>
      <c r="T156" s="775">
        <f>AVERAGE(TableUK1!T146:T155)</f>
        <v>26151.034500000002</v>
      </c>
      <c r="U156" s="118"/>
      <c r="V156" s="364"/>
      <c r="W156" s="364"/>
    </row>
    <row r="157" spans="1:23" hidden="1">
      <c r="A157" s="126"/>
      <c r="B157" s="127"/>
      <c r="C157" s="181"/>
      <c r="D157" s="182"/>
      <c r="E157" s="185"/>
      <c r="F157" s="130"/>
      <c r="G157" s="790"/>
      <c r="H157" s="131"/>
      <c r="I157" s="132"/>
      <c r="J157" s="133"/>
      <c r="K157" s="133"/>
      <c r="L157" s="131"/>
      <c r="M157" s="132"/>
      <c r="N157" s="134"/>
      <c r="O157" s="135"/>
      <c r="P157" s="795"/>
      <c r="Q157" s="764"/>
      <c r="R157" s="296"/>
      <c r="S157" s="170"/>
      <c r="T157" s="354"/>
      <c r="U157" s="118"/>
      <c r="V157" s="110"/>
      <c r="W157" s="110"/>
    </row>
    <row r="158" spans="1:23" hidden="1">
      <c r="A158" s="126"/>
      <c r="B158" s="127"/>
      <c r="C158" s="181"/>
      <c r="D158" s="182"/>
      <c r="E158" s="185"/>
      <c r="F158" s="130"/>
      <c r="G158" s="790"/>
      <c r="H158" s="131"/>
      <c r="I158" s="132"/>
      <c r="J158" s="133"/>
      <c r="K158" s="133"/>
      <c r="L158" s="131"/>
      <c r="M158" s="132"/>
      <c r="N158" s="134"/>
      <c r="O158" s="135"/>
      <c r="P158" s="795"/>
      <c r="Q158" s="764"/>
      <c r="R158" s="296"/>
      <c r="S158" s="170"/>
      <c r="T158" s="354"/>
      <c r="U158" s="118"/>
      <c r="V158" s="110"/>
      <c r="W158" s="110"/>
    </row>
    <row r="159" spans="1:23" hidden="1">
      <c r="A159" s="126"/>
      <c r="B159" s="127"/>
      <c r="C159" s="181"/>
      <c r="D159" s="182"/>
      <c r="E159" s="185"/>
      <c r="F159" s="130"/>
      <c r="G159" s="790"/>
      <c r="H159" s="131"/>
      <c r="I159" s="132"/>
      <c r="J159" s="133"/>
      <c r="K159" s="133"/>
      <c r="L159" s="131"/>
      <c r="M159" s="132"/>
      <c r="N159" s="134"/>
      <c r="O159" s="135"/>
      <c r="P159" s="795"/>
      <c r="Q159" s="764"/>
      <c r="R159" s="296"/>
      <c r="S159" s="170"/>
      <c r="T159" s="354"/>
      <c r="U159" s="118"/>
      <c r="V159" s="110"/>
      <c r="W159" s="110"/>
    </row>
    <row r="160" spans="1:23" hidden="1">
      <c r="A160" s="126"/>
      <c r="B160" s="127"/>
      <c r="C160" s="181"/>
      <c r="D160" s="182"/>
      <c r="E160" s="185"/>
      <c r="F160" s="130"/>
      <c r="G160" s="790"/>
      <c r="H160" s="131"/>
      <c r="I160" s="132"/>
      <c r="J160" s="133"/>
      <c r="K160" s="133"/>
      <c r="L160" s="131"/>
      <c r="M160" s="132"/>
      <c r="N160" s="134"/>
      <c r="O160" s="135"/>
      <c r="P160" s="795"/>
      <c r="Q160" s="764"/>
      <c r="R160" s="296"/>
      <c r="S160" s="170"/>
      <c r="T160" s="354"/>
      <c r="U160" s="118"/>
      <c r="V160" s="110"/>
      <c r="W160" s="110"/>
    </row>
    <row r="161" spans="1:23" hidden="1">
      <c r="A161" s="126"/>
      <c r="B161" s="127"/>
      <c r="C161" s="181"/>
      <c r="D161" s="182"/>
      <c r="E161" s="185"/>
      <c r="F161" s="130"/>
      <c r="G161" s="790"/>
      <c r="H161" s="131"/>
      <c r="I161" s="132"/>
      <c r="J161" s="133"/>
      <c r="K161" s="133"/>
      <c r="L161" s="131"/>
      <c r="M161" s="132"/>
      <c r="N161" s="134"/>
      <c r="O161" s="135"/>
      <c r="P161" s="795"/>
      <c r="Q161" s="764"/>
      <c r="R161" s="296"/>
      <c r="S161" s="170"/>
      <c r="T161" s="354"/>
      <c r="U161" s="118"/>
      <c r="V161" s="110"/>
      <c r="W161" s="110"/>
    </row>
    <row r="162" spans="1:23" hidden="1">
      <c r="A162" s="126"/>
      <c r="B162" s="127"/>
      <c r="C162" s="181"/>
      <c r="D162" s="182"/>
      <c r="E162" s="185"/>
      <c r="F162" s="130"/>
      <c r="G162" s="790"/>
      <c r="H162" s="131"/>
      <c r="I162" s="132"/>
      <c r="J162" s="133"/>
      <c r="K162" s="133"/>
      <c r="L162" s="131"/>
      <c r="M162" s="132"/>
      <c r="N162" s="134"/>
      <c r="O162" s="135"/>
      <c r="P162" s="795"/>
      <c r="Q162" s="764"/>
      <c r="R162" s="296"/>
      <c r="S162" s="170"/>
      <c r="T162" s="354"/>
      <c r="U162" s="118"/>
      <c r="V162" s="110"/>
      <c r="W162" s="110"/>
    </row>
    <row r="163" spans="1:23" hidden="1">
      <c r="A163" s="126"/>
      <c r="B163" s="127"/>
      <c r="C163" s="181"/>
      <c r="D163" s="182"/>
      <c r="E163" s="185"/>
      <c r="F163" s="130"/>
      <c r="G163" s="790"/>
      <c r="H163" s="131"/>
      <c r="I163" s="132"/>
      <c r="J163" s="133"/>
      <c r="K163" s="133"/>
      <c r="L163" s="131"/>
      <c r="M163" s="132"/>
      <c r="N163" s="134"/>
      <c r="O163" s="135"/>
      <c r="P163" s="795"/>
      <c r="Q163" s="764"/>
      <c r="R163" s="296"/>
      <c r="S163" s="170"/>
      <c r="T163" s="354"/>
      <c r="U163" s="118"/>
      <c r="V163" s="110"/>
      <c r="W163" s="110"/>
    </row>
    <row r="164" spans="1:23" hidden="1">
      <c r="A164" s="126"/>
      <c r="B164" s="127"/>
      <c r="C164" s="181"/>
      <c r="D164" s="182"/>
      <c r="E164" s="185"/>
      <c r="F164" s="130"/>
      <c r="G164" s="790"/>
      <c r="H164" s="131"/>
      <c r="I164" s="132"/>
      <c r="J164" s="133"/>
      <c r="K164" s="133"/>
      <c r="L164" s="131"/>
      <c r="M164" s="132"/>
      <c r="N164" s="134"/>
      <c r="O164" s="135"/>
      <c r="P164" s="795"/>
      <c r="Q164" s="764"/>
      <c r="R164" s="296"/>
      <c r="S164" s="170"/>
      <c r="T164" s="354"/>
      <c r="U164" s="118"/>
      <c r="V164" s="110"/>
      <c r="W164" s="110"/>
    </row>
    <row r="165" spans="1:23" hidden="1">
      <c r="A165" s="126"/>
      <c r="B165" s="127"/>
      <c r="C165" s="181"/>
      <c r="D165" s="182"/>
      <c r="E165" s="185"/>
      <c r="F165" s="130"/>
      <c r="G165" s="790"/>
      <c r="H165" s="131"/>
      <c r="I165" s="132"/>
      <c r="J165" s="133"/>
      <c r="K165" s="133"/>
      <c r="L165" s="131"/>
      <c r="M165" s="132"/>
      <c r="N165" s="134"/>
      <c r="O165" s="135"/>
      <c r="P165" s="795"/>
      <c r="Q165" s="764"/>
      <c r="R165" s="296"/>
      <c r="S165" s="170"/>
      <c r="T165" s="354"/>
      <c r="U165" s="118"/>
      <c r="V165" s="110"/>
      <c r="W165" s="110"/>
    </row>
    <row r="166" spans="1:23">
      <c r="A166" s="126" t="s">
        <v>409</v>
      </c>
      <c r="B166" s="130">
        <f>AVERAGE(TableUK1!B156:B165)</f>
        <v>1102.4657999999999</v>
      </c>
      <c r="C166" s="136">
        <f>AVERAGE(TableUK1!C156:C165)</f>
        <v>5472.9280500000004</v>
      </c>
      <c r="D166" s="182">
        <f>AVERAGE(TableUK1!D156:D165)</f>
        <v>1254.1207958934369</v>
      </c>
      <c r="E166" s="185">
        <f>AVERAGE(TableUK1!E156:E165)</f>
        <v>6219.6112753386378</v>
      </c>
      <c r="F166" s="130">
        <f>AVERAGE(TableUK1!F156:F165)</f>
        <v>18289.460776159318</v>
      </c>
      <c r="G166" s="790">
        <f>AVERAGE(TableUK1!G156:G165)</f>
        <v>90772.071517185395</v>
      </c>
      <c r="H166" s="131">
        <f>AVERAGE(TableUK1!H156:H165)</f>
        <v>24250.641393823713</v>
      </c>
      <c r="I166" s="132">
        <f>AVERAGE(TableUK1!I156:I165)</f>
        <v>120347.14602314364</v>
      </c>
      <c r="J166" s="133">
        <f>AVERAGE(TableUK1!J156:J165)</f>
        <v>20827.824226093198</v>
      </c>
      <c r="K166" s="133">
        <f>AVERAGE(TableUK1!K156:K165)</f>
        <v>103268.1623383727</v>
      </c>
      <c r="L166" s="131">
        <f>AVERAGE(TableUK1!L156:L165)</f>
        <v>27627.445690947847</v>
      </c>
      <c r="M166" s="132">
        <f>AVERAGE(TableUK1!M156:M165)</f>
        <v>136970.05863967011</v>
      </c>
      <c r="N166" s="134">
        <f>AVERAGE(TableUK1!N156:N165)</f>
        <v>4.9558413369073469</v>
      </c>
      <c r="O166" s="135">
        <f>AVERAGE(TableUK1!O156:O165)</f>
        <v>0.75553098027529719</v>
      </c>
      <c r="P166" s="795">
        <f>AVERAGE(TableUK1!P156:P165)</f>
        <v>20876.867034398307</v>
      </c>
      <c r="Q166" s="764">
        <f>AVERAGE(TableUK1!Q156:Q165)</f>
        <v>6.5637853151372259</v>
      </c>
      <c r="R166" s="296">
        <f>AVERAGE(TableUK1!R156:R165)</f>
        <v>60170.7</v>
      </c>
      <c r="S166" s="170">
        <f>AVERAGE(TableUK1!S156:S165)</f>
        <v>45354.8341</v>
      </c>
      <c r="T166" s="354">
        <f>AVERAGE(TableUK1!T156:T165)</f>
        <v>28525.3</v>
      </c>
      <c r="U166" s="118"/>
      <c r="V166" s="364"/>
      <c r="W166" s="364"/>
    </row>
    <row r="167" spans="1:23" hidden="1">
      <c r="A167" s="126"/>
      <c r="B167" s="182"/>
      <c r="C167" s="136"/>
      <c r="D167" s="182"/>
      <c r="E167" s="185"/>
      <c r="F167" s="182"/>
      <c r="G167" s="184"/>
      <c r="H167" s="183"/>
      <c r="I167" s="184"/>
      <c r="J167" s="136"/>
      <c r="K167" s="136"/>
      <c r="L167" s="183"/>
      <c r="M167" s="184"/>
      <c r="N167" s="185"/>
      <c r="O167" s="136"/>
      <c r="P167" s="795"/>
      <c r="Q167" s="136"/>
      <c r="R167" s="296"/>
      <c r="S167" s="170"/>
      <c r="T167" s="354"/>
      <c r="U167" s="118"/>
      <c r="V167" s="110"/>
      <c r="W167" s="110"/>
    </row>
    <row r="168" spans="1:23" hidden="1">
      <c r="A168" s="126"/>
      <c r="B168" s="182"/>
      <c r="C168" s="136"/>
      <c r="D168" s="182"/>
      <c r="E168" s="185"/>
      <c r="F168" s="182"/>
      <c r="G168" s="184"/>
      <c r="H168" s="183"/>
      <c r="I168" s="184"/>
      <c r="J168" s="136"/>
      <c r="K168" s="136"/>
      <c r="L168" s="183"/>
      <c r="M168" s="184"/>
      <c r="N168" s="185"/>
      <c r="O168" s="136"/>
      <c r="P168" s="795"/>
      <c r="Q168" s="136"/>
      <c r="R168" s="296"/>
      <c r="S168" s="170"/>
      <c r="T168" s="354"/>
      <c r="U168" s="118"/>
      <c r="V168" s="110"/>
      <c r="W168" s="110"/>
    </row>
    <row r="169" spans="1:23" hidden="1">
      <c r="A169" s="126"/>
      <c r="B169" s="182"/>
      <c r="C169" s="136"/>
      <c r="D169" s="182"/>
      <c r="E169" s="185"/>
      <c r="F169" s="182"/>
      <c r="G169" s="184"/>
      <c r="H169" s="183"/>
      <c r="I169" s="184"/>
      <c r="J169" s="136"/>
      <c r="K169" s="136"/>
      <c r="L169" s="183"/>
      <c r="M169" s="184"/>
      <c r="N169" s="185"/>
      <c r="O169" s="136"/>
      <c r="P169" s="795"/>
      <c r="Q169" s="136"/>
      <c r="R169" s="296"/>
      <c r="S169" s="170"/>
      <c r="T169" s="354"/>
      <c r="U169" s="118"/>
      <c r="V169" s="110"/>
      <c r="W169" s="110"/>
    </row>
    <row r="170" spans="1:23" hidden="1">
      <c r="A170" s="126"/>
      <c r="B170" s="182"/>
      <c r="C170" s="136"/>
      <c r="D170" s="182"/>
      <c r="E170" s="185"/>
      <c r="F170" s="182"/>
      <c r="G170" s="184"/>
      <c r="H170" s="183"/>
      <c r="I170" s="184"/>
      <c r="J170" s="136"/>
      <c r="K170" s="136"/>
      <c r="L170" s="183"/>
      <c r="M170" s="184"/>
      <c r="N170" s="185"/>
      <c r="O170" s="136"/>
      <c r="P170" s="795"/>
      <c r="Q170" s="136"/>
      <c r="R170" s="296"/>
      <c r="S170" s="170"/>
      <c r="T170" s="354"/>
      <c r="U170" s="118"/>
      <c r="V170" s="110"/>
      <c r="W170" s="110"/>
    </row>
    <row r="171" spans="1:23" hidden="1">
      <c r="A171" s="126"/>
      <c r="B171" s="182"/>
      <c r="C171" s="136"/>
      <c r="D171" s="182"/>
      <c r="E171" s="185"/>
      <c r="F171" s="182"/>
      <c r="G171" s="184"/>
      <c r="H171" s="183"/>
      <c r="I171" s="184"/>
      <c r="J171" s="136"/>
      <c r="K171" s="136"/>
      <c r="L171" s="183"/>
      <c r="M171" s="184"/>
      <c r="N171" s="185"/>
      <c r="O171" s="136"/>
      <c r="P171" s="795"/>
      <c r="Q171" s="136"/>
      <c r="R171" s="296"/>
      <c r="S171" s="170"/>
      <c r="T171" s="354"/>
      <c r="U171" s="118"/>
      <c r="V171" s="110"/>
      <c r="W171" s="110"/>
    </row>
    <row r="172" spans="1:23" hidden="1">
      <c r="A172" s="126"/>
      <c r="B172" s="182"/>
      <c r="C172" s="136"/>
      <c r="D172" s="182"/>
      <c r="E172" s="185"/>
      <c r="F172" s="182"/>
      <c r="G172" s="184"/>
      <c r="H172" s="183"/>
      <c r="I172" s="184"/>
      <c r="J172" s="136"/>
      <c r="K172" s="136"/>
      <c r="L172" s="183"/>
      <c r="M172" s="184"/>
      <c r="N172" s="185"/>
      <c r="O172" s="136"/>
      <c r="P172" s="795"/>
      <c r="Q172" s="136"/>
      <c r="R172" s="296"/>
      <c r="S172" s="170"/>
      <c r="T172" s="354"/>
      <c r="U172" s="118"/>
      <c r="V172" s="110"/>
      <c r="W172" s="110"/>
    </row>
    <row r="173" spans="1:23" hidden="1">
      <c r="A173" s="126"/>
      <c r="B173" s="182"/>
      <c r="C173" s="136"/>
      <c r="D173" s="182"/>
      <c r="E173" s="185"/>
      <c r="F173" s="182"/>
      <c r="G173" s="184"/>
      <c r="H173" s="183"/>
      <c r="I173" s="184"/>
      <c r="J173" s="136"/>
      <c r="K173" s="136"/>
      <c r="L173" s="183"/>
      <c r="M173" s="184"/>
      <c r="N173" s="185"/>
      <c r="O173" s="136"/>
      <c r="P173" s="795"/>
      <c r="Q173" s="136"/>
      <c r="R173" s="296"/>
      <c r="S173" s="170"/>
      <c r="T173" s="354"/>
      <c r="U173" s="118"/>
      <c r="V173" s="110"/>
      <c r="W173" s="110"/>
    </row>
    <row r="174" spans="1:23" hidden="1">
      <c r="A174" s="126"/>
      <c r="B174" s="182"/>
      <c r="C174" s="136"/>
      <c r="D174" s="182"/>
      <c r="E174" s="185"/>
      <c r="F174" s="182"/>
      <c r="G174" s="184"/>
      <c r="H174" s="183"/>
      <c r="I174" s="184"/>
      <c r="J174" s="136"/>
      <c r="K174" s="136"/>
      <c r="L174" s="183"/>
      <c r="M174" s="184"/>
      <c r="N174" s="185"/>
      <c r="O174" s="136"/>
      <c r="P174" s="795"/>
      <c r="Q174" s="136"/>
      <c r="R174" s="296"/>
      <c r="S174" s="170"/>
      <c r="T174" s="354"/>
      <c r="U174" s="118"/>
      <c r="V174" s="110"/>
      <c r="W174" s="110"/>
    </row>
    <row r="175" spans="1:23" hidden="1">
      <c r="A175" s="126"/>
      <c r="B175" s="182"/>
      <c r="C175" s="136"/>
      <c r="D175" s="182"/>
      <c r="E175" s="185"/>
      <c r="F175" s="182"/>
      <c r="G175" s="184"/>
      <c r="H175" s="183"/>
      <c r="I175" s="184"/>
      <c r="J175" s="136"/>
      <c r="K175" s="136"/>
      <c r="L175" s="183"/>
      <c r="M175" s="184"/>
      <c r="N175" s="185"/>
      <c r="O175" s="136"/>
      <c r="P175" s="795"/>
      <c r="Q175" s="136"/>
      <c r="R175" s="296"/>
      <c r="S175" s="170"/>
      <c r="T175" s="354"/>
      <c r="U175" s="118"/>
      <c r="V175" s="110"/>
      <c r="W175" s="110"/>
    </row>
    <row r="176" spans="1:23" ht="13" thickBot="1">
      <c r="A176" s="600">
        <v>2010</v>
      </c>
      <c r="B176" s="159">
        <f>TableUK1!B166</f>
        <v>1312.3</v>
      </c>
      <c r="C176" s="159">
        <f>TableUK1!C166</f>
        <v>6848.5789999999997</v>
      </c>
      <c r="D176" s="186">
        <f>TableUK1!D166</f>
        <v>1312.3</v>
      </c>
      <c r="E176" s="855">
        <f>TableUK1!E166</f>
        <v>6848.5789999999997</v>
      </c>
      <c r="F176" s="186">
        <f>TableUK1!F166</f>
        <v>21104.517457101043</v>
      </c>
      <c r="G176" s="792">
        <f>TableUK1!G166</f>
        <v>110139.41557710555</v>
      </c>
      <c r="H176" s="188">
        <f>TableUK1!H166</f>
        <v>27696.217135303206</v>
      </c>
      <c r="I176" s="189">
        <f>TableUK1!I166</f>
        <v>144539.91545551911</v>
      </c>
      <c r="J176" s="164">
        <f>TableUK1!J166</f>
        <v>21104.517457101043</v>
      </c>
      <c r="K176" s="187">
        <f>TableUK1!K166</f>
        <v>110139.41557710555</v>
      </c>
      <c r="L176" s="188">
        <f>TableUK1!L166</f>
        <v>27696.217135303206</v>
      </c>
      <c r="M176" s="189">
        <f>TableUK1!M166</f>
        <v>144539.91545551911</v>
      </c>
      <c r="N176" s="190">
        <f>TableUK1!N166</f>
        <v>5.2187601920292614</v>
      </c>
      <c r="O176" s="191">
        <f>TableUK1!O166</f>
        <v>0.79135030099824732</v>
      </c>
      <c r="P176" s="797">
        <f>TableUK1!P166</f>
        <v>21917.409766535009</v>
      </c>
      <c r="Q176" s="190">
        <f>TableUK1!Q166</f>
        <v>6.5947535313325423</v>
      </c>
      <c r="R176" s="299">
        <f>TableUK1!R166</f>
        <v>62181</v>
      </c>
      <c r="S176" s="261">
        <f>TableUK1!S166</f>
        <v>47381.921999999999</v>
      </c>
      <c r="T176" s="355">
        <f>TableUK1!T166</f>
        <v>29043</v>
      </c>
      <c r="U176" s="118"/>
      <c r="V176" s="364"/>
      <c r="W176" s="364"/>
    </row>
    <row r="177" spans="1:21" ht="14" thickTop="1" thickBot="1">
      <c r="B177" s="118"/>
      <c r="C177" s="118"/>
      <c r="D177" s="118"/>
      <c r="E177" s="118"/>
      <c r="F177" s="118"/>
      <c r="G177" s="118"/>
      <c r="H177" s="118"/>
      <c r="I177" s="118"/>
      <c r="J177" s="118"/>
      <c r="K177" s="118"/>
      <c r="L177" s="118"/>
      <c r="M177" s="118"/>
      <c r="N177" s="118"/>
      <c r="O177" s="118"/>
      <c r="P177" s="118"/>
      <c r="Q177" s="118"/>
      <c r="R177" s="118"/>
      <c r="S177" s="118"/>
      <c r="T177" s="118"/>
      <c r="U177" s="118"/>
    </row>
    <row r="178" spans="1:21" ht="12" customHeight="1">
      <c r="A178" s="2300" t="s">
        <v>1320</v>
      </c>
      <c r="B178" s="2301"/>
      <c r="C178" s="2301"/>
      <c r="D178" s="2301"/>
      <c r="E178" s="2301"/>
      <c r="F178" s="2301"/>
      <c r="G178" s="2301"/>
      <c r="H178" s="2301"/>
      <c r="I178" s="2301"/>
      <c r="J178" s="2301"/>
      <c r="K178" s="2301"/>
      <c r="L178" s="2301"/>
      <c r="M178" s="2301"/>
      <c r="N178" s="2301"/>
      <c r="O178" s="2301"/>
      <c r="P178" s="2301"/>
      <c r="Q178" s="2301"/>
      <c r="R178" s="2301"/>
      <c r="S178" s="2301"/>
      <c r="T178" s="2302"/>
      <c r="U178" s="118"/>
    </row>
    <row r="179" spans="1:21" ht="15" customHeight="1" thickBot="1">
      <c r="A179" s="2303"/>
      <c r="B179" s="2304"/>
      <c r="C179" s="2304"/>
      <c r="D179" s="2304"/>
      <c r="E179" s="2304"/>
      <c r="F179" s="2304"/>
      <c r="G179" s="2304"/>
      <c r="H179" s="2304"/>
      <c r="I179" s="2304"/>
      <c r="J179" s="2304"/>
      <c r="K179" s="2304"/>
      <c r="L179" s="2304"/>
      <c r="M179" s="2304"/>
      <c r="N179" s="2304"/>
      <c r="O179" s="2304"/>
      <c r="P179" s="2304"/>
      <c r="Q179" s="2304"/>
      <c r="R179" s="2304"/>
      <c r="S179" s="2304"/>
      <c r="T179" s="2305"/>
      <c r="U179" s="118"/>
    </row>
    <row r="180" spans="1:21">
      <c r="B180" s="118"/>
      <c r="C180" s="118"/>
      <c r="D180" s="118"/>
      <c r="E180" s="118"/>
      <c r="F180" s="118"/>
      <c r="G180" s="118"/>
      <c r="H180" s="118"/>
      <c r="I180" s="118"/>
      <c r="J180" s="118"/>
      <c r="K180" s="118"/>
      <c r="L180" s="118"/>
      <c r="M180" s="118"/>
      <c r="N180" s="118"/>
      <c r="O180" s="118"/>
      <c r="P180" s="118"/>
      <c r="Q180" s="118"/>
      <c r="R180" s="118"/>
      <c r="S180" s="118"/>
      <c r="T180" s="118"/>
      <c r="U180" s="118"/>
    </row>
    <row r="181" spans="1:21">
      <c r="B181" s="118"/>
      <c r="C181" s="118"/>
      <c r="D181" s="118"/>
      <c r="E181" s="118"/>
      <c r="F181" s="118"/>
      <c r="G181" s="118"/>
      <c r="H181" s="118"/>
      <c r="I181" s="118"/>
      <c r="J181" s="118"/>
      <c r="K181" s="118"/>
      <c r="L181" s="118"/>
      <c r="M181" s="118"/>
      <c r="N181" s="118"/>
      <c r="O181" s="118"/>
      <c r="P181" s="118"/>
      <c r="Q181" s="118"/>
      <c r="R181" s="118"/>
      <c r="S181" s="118"/>
      <c r="T181" s="118"/>
      <c r="U181" s="118"/>
    </row>
    <row r="182" spans="1:21">
      <c r="B182" s="118"/>
      <c r="C182" s="118"/>
      <c r="D182" s="118"/>
      <c r="E182" s="118"/>
      <c r="F182" s="118"/>
      <c r="G182" s="118"/>
      <c r="H182" s="118"/>
      <c r="I182" s="118"/>
      <c r="J182" s="118"/>
      <c r="K182" s="118"/>
      <c r="L182" s="118"/>
      <c r="M182" s="118"/>
      <c r="N182" s="118"/>
      <c r="O182" s="118"/>
      <c r="P182" s="118"/>
      <c r="Q182" s="118"/>
      <c r="R182" s="118"/>
      <c r="S182" s="118"/>
      <c r="T182" s="118"/>
      <c r="U182" s="118"/>
    </row>
    <row r="183" spans="1:21">
      <c r="B183" s="118"/>
      <c r="C183" s="118"/>
      <c r="D183" s="118"/>
      <c r="E183" s="118"/>
      <c r="F183" s="118"/>
      <c r="G183" s="118"/>
      <c r="H183" s="118"/>
      <c r="I183" s="118"/>
      <c r="J183" s="118"/>
      <c r="K183" s="118"/>
      <c r="L183" s="118"/>
      <c r="M183" s="118"/>
      <c r="N183" s="118"/>
      <c r="O183" s="118"/>
      <c r="P183" s="118"/>
      <c r="Q183" s="118"/>
      <c r="R183" s="118"/>
      <c r="S183" s="118"/>
      <c r="T183" s="118"/>
      <c r="U183" s="118"/>
    </row>
    <row r="184" spans="1:21">
      <c r="B184" s="118"/>
      <c r="C184" s="118"/>
      <c r="D184" s="118"/>
      <c r="E184" s="118"/>
      <c r="F184" s="118"/>
      <c r="G184" s="118"/>
      <c r="H184" s="118"/>
      <c r="I184" s="118"/>
      <c r="J184" s="118"/>
      <c r="K184" s="118"/>
      <c r="L184" s="118"/>
      <c r="M184" s="118"/>
      <c r="N184" s="118"/>
      <c r="O184" s="118"/>
      <c r="P184" s="118"/>
      <c r="Q184" s="118"/>
      <c r="R184" s="118"/>
      <c r="S184" s="118"/>
      <c r="T184" s="118"/>
      <c r="U184" s="118"/>
    </row>
    <row r="185" spans="1:21">
      <c r="B185" s="118"/>
      <c r="C185" s="118"/>
      <c r="D185" s="118"/>
      <c r="E185" s="118"/>
      <c r="F185" s="118"/>
      <c r="G185" s="118"/>
      <c r="H185" s="118"/>
      <c r="I185" s="118"/>
      <c r="J185" s="118"/>
      <c r="K185" s="118"/>
      <c r="L185" s="118"/>
      <c r="M185" s="118"/>
      <c r="N185" s="118"/>
      <c r="O185" s="118"/>
      <c r="P185" s="118"/>
      <c r="Q185" s="118"/>
      <c r="R185" s="118"/>
      <c r="S185" s="118"/>
      <c r="T185" s="118"/>
      <c r="U185" s="118"/>
    </row>
    <row r="186" spans="1:21">
      <c r="B186" s="118"/>
      <c r="C186" s="118"/>
      <c r="D186" s="118"/>
      <c r="E186" s="118"/>
      <c r="F186" s="118"/>
      <c r="G186" s="118"/>
      <c r="H186" s="118"/>
      <c r="I186" s="118"/>
      <c r="J186" s="118"/>
      <c r="K186" s="118"/>
      <c r="L186" s="118"/>
      <c r="M186" s="118"/>
      <c r="N186" s="118"/>
      <c r="O186" s="118"/>
      <c r="P186" s="118"/>
      <c r="Q186" s="118"/>
      <c r="R186" s="118"/>
      <c r="S186" s="118"/>
      <c r="T186" s="118"/>
      <c r="U186" s="118"/>
    </row>
    <row r="187" spans="1:21">
      <c r="B187" s="118"/>
      <c r="C187" s="118"/>
      <c r="D187" s="118"/>
      <c r="E187" s="118"/>
      <c r="F187" s="118"/>
      <c r="G187" s="118"/>
      <c r="H187" s="118"/>
      <c r="I187" s="118"/>
      <c r="J187" s="118"/>
      <c r="K187" s="118"/>
      <c r="L187" s="118"/>
      <c r="M187" s="118"/>
      <c r="N187" s="118"/>
      <c r="O187" s="118"/>
      <c r="P187" s="118"/>
      <c r="Q187" s="118"/>
      <c r="R187" s="118"/>
      <c r="S187" s="118"/>
      <c r="T187" s="118"/>
      <c r="U187" s="118"/>
    </row>
    <row r="188" spans="1:21">
      <c r="B188" s="118"/>
      <c r="C188" s="118"/>
      <c r="D188" s="118"/>
      <c r="E188" s="118"/>
      <c r="F188" s="118"/>
      <c r="G188" s="118"/>
      <c r="H188" s="118"/>
      <c r="I188" s="118"/>
      <c r="J188" s="118"/>
      <c r="K188" s="118"/>
      <c r="L188" s="118"/>
      <c r="M188" s="118"/>
      <c r="N188" s="118"/>
      <c r="O188" s="118"/>
      <c r="P188" s="118"/>
      <c r="Q188" s="118"/>
      <c r="R188" s="118"/>
      <c r="S188" s="118"/>
      <c r="T188" s="118"/>
      <c r="U188" s="118"/>
    </row>
    <row r="189" spans="1:21">
      <c r="B189" s="118"/>
      <c r="C189" s="118"/>
      <c r="D189" s="118"/>
      <c r="E189" s="118"/>
      <c r="F189" s="118"/>
      <c r="G189" s="118"/>
      <c r="H189" s="118"/>
      <c r="I189" s="118"/>
      <c r="J189" s="118"/>
      <c r="K189" s="118"/>
      <c r="L189" s="118"/>
      <c r="M189" s="118"/>
      <c r="N189" s="118"/>
      <c r="O189" s="118"/>
      <c r="P189" s="118"/>
      <c r="Q189" s="118"/>
      <c r="R189" s="118"/>
      <c r="S189" s="118"/>
      <c r="T189" s="118"/>
      <c r="U189" s="118"/>
    </row>
    <row r="190" spans="1:21">
      <c r="B190" s="118"/>
      <c r="C190" s="118"/>
      <c r="D190" s="118"/>
      <c r="E190" s="118"/>
      <c r="F190" s="118"/>
      <c r="G190" s="118"/>
      <c r="H190" s="118"/>
      <c r="I190" s="118"/>
      <c r="J190" s="118"/>
      <c r="K190" s="118"/>
      <c r="L190" s="118"/>
      <c r="M190" s="118"/>
      <c r="N190" s="118"/>
      <c r="O190" s="118"/>
      <c r="P190" s="118"/>
      <c r="Q190" s="118"/>
      <c r="R190" s="118"/>
      <c r="S190" s="118"/>
      <c r="T190" s="118"/>
      <c r="U190" s="118"/>
    </row>
    <row r="191" spans="1:21">
      <c r="B191" s="118"/>
      <c r="C191" s="118"/>
      <c r="D191" s="118"/>
      <c r="E191" s="118"/>
      <c r="F191" s="118"/>
      <c r="G191" s="118"/>
      <c r="H191" s="118"/>
      <c r="I191" s="118"/>
      <c r="J191" s="118"/>
      <c r="K191" s="118"/>
      <c r="L191" s="118"/>
      <c r="M191" s="118"/>
      <c r="N191" s="118"/>
      <c r="O191" s="118"/>
      <c r="P191" s="118"/>
      <c r="Q191" s="118"/>
      <c r="R191" s="118"/>
      <c r="S191" s="118"/>
      <c r="T191" s="118"/>
      <c r="U191" s="118"/>
    </row>
    <row r="192" spans="1:21">
      <c r="B192" s="118"/>
      <c r="C192" s="118"/>
      <c r="D192" s="118"/>
      <c r="E192" s="118"/>
      <c r="F192" s="118"/>
      <c r="G192" s="118"/>
      <c r="H192" s="118"/>
      <c r="I192" s="118"/>
      <c r="J192" s="118"/>
      <c r="K192" s="118"/>
      <c r="L192" s="118"/>
      <c r="M192" s="118"/>
      <c r="N192" s="118"/>
      <c r="O192" s="118"/>
      <c r="P192" s="118"/>
      <c r="Q192" s="118"/>
      <c r="R192" s="118"/>
      <c r="S192" s="118"/>
      <c r="T192" s="118"/>
      <c r="U192" s="118"/>
    </row>
    <row r="193" spans="2:21">
      <c r="B193" s="118"/>
      <c r="C193" s="118"/>
      <c r="D193" s="118"/>
      <c r="E193" s="118"/>
      <c r="F193" s="118"/>
      <c r="G193" s="118"/>
      <c r="H193" s="118"/>
      <c r="I193" s="118"/>
      <c r="J193" s="118"/>
      <c r="K193" s="118"/>
      <c r="L193" s="118"/>
      <c r="M193" s="118"/>
      <c r="N193" s="118"/>
      <c r="O193" s="118"/>
      <c r="P193" s="118"/>
      <c r="Q193" s="118"/>
      <c r="R193" s="118"/>
      <c r="S193" s="118"/>
      <c r="T193" s="118"/>
      <c r="U193" s="118"/>
    </row>
    <row r="194" spans="2:21">
      <c r="B194" s="118"/>
      <c r="C194" s="118"/>
      <c r="D194" s="118"/>
      <c r="E194" s="118"/>
      <c r="F194" s="118"/>
      <c r="G194" s="118"/>
      <c r="H194" s="118"/>
      <c r="I194" s="118"/>
      <c r="J194" s="118"/>
      <c r="K194" s="118"/>
      <c r="L194" s="118"/>
      <c r="M194" s="118"/>
      <c r="N194" s="118"/>
      <c r="O194" s="118"/>
      <c r="P194" s="118"/>
      <c r="Q194" s="118"/>
      <c r="R194" s="118"/>
      <c r="S194" s="118"/>
      <c r="T194" s="118"/>
      <c r="U194" s="118"/>
    </row>
    <row r="195" spans="2:21">
      <c r="B195" s="118"/>
      <c r="C195" s="118"/>
      <c r="D195" s="118"/>
      <c r="E195" s="118"/>
      <c r="F195" s="118"/>
      <c r="G195" s="118"/>
      <c r="H195" s="118"/>
      <c r="I195" s="118"/>
      <c r="J195" s="118"/>
      <c r="K195" s="118"/>
      <c r="L195" s="118"/>
      <c r="M195" s="118"/>
      <c r="N195" s="118"/>
      <c r="O195" s="118"/>
      <c r="P195" s="118"/>
      <c r="Q195" s="118"/>
      <c r="R195" s="118"/>
      <c r="S195" s="118"/>
      <c r="T195" s="118"/>
      <c r="U195" s="118"/>
    </row>
    <row r="196" spans="2:21">
      <c r="B196" s="118"/>
      <c r="C196" s="118"/>
      <c r="D196" s="118"/>
      <c r="E196" s="118"/>
      <c r="F196" s="118"/>
      <c r="G196" s="118"/>
      <c r="H196" s="118"/>
      <c r="I196" s="118"/>
      <c r="J196" s="118"/>
      <c r="K196" s="118"/>
      <c r="L196" s="118"/>
      <c r="M196" s="118"/>
      <c r="N196" s="118"/>
      <c r="O196" s="118"/>
      <c r="P196" s="118"/>
      <c r="Q196" s="118"/>
      <c r="R196" s="118"/>
      <c r="S196" s="118"/>
      <c r="T196" s="118"/>
      <c r="U196" s="118"/>
    </row>
    <row r="197" spans="2:21">
      <c r="B197" s="118"/>
      <c r="C197" s="118"/>
      <c r="D197" s="118"/>
      <c r="E197" s="118"/>
      <c r="F197" s="118"/>
      <c r="G197" s="118"/>
      <c r="H197" s="118"/>
      <c r="I197" s="118"/>
      <c r="J197" s="118"/>
      <c r="K197" s="118"/>
      <c r="L197" s="118"/>
      <c r="M197" s="118"/>
      <c r="N197" s="118"/>
      <c r="O197" s="118"/>
      <c r="P197" s="118"/>
      <c r="Q197" s="118"/>
      <c r="R197" s="118"/>
      <c r="S197" s="118"/>
      <c r="T197" s="118"/>
      <c r="U197" s="118"/>
    </row>
    <row r="198" spans="2:21">
      <c r="B198" s="118"/>
      <c r="C198" s="118"/>
      <c r="D198" s="118"/>
      <c r="E198" s="118"/>
      <c r="F198" s="118"/>
      <c r="G198" s="118"/>
      <c r="H198" s="118"/>
      <c r="I198" s="118"/>
      <c r="J198" s="118"/>
      <c r="K198" s="118"/>
      <c r="L198" s="118"/>
      <c r="M198" s="118"/>
      <c r="N198" s="118"/>
      <c r="O198" s="118"/>
      <c r="P198" s="118"/>
      <c r="Q198" s="118"/>
      <c r="R198" s="118"/>
      <c r="S198" s="118"/>
      <c r="T198" s="118"/>
      <c r="U198" s="118"/>
    </row>
    <row r="199" spans="2:21">
      <c r="B199" s="118"/>
      <c r="C199" s="118"/>
      <c r="D199" s="118"/>
      <c r="E199" s="118"/>
      <c r="F199" s="118"/>
      <c r="G199" s="118"/>
      <c r="H199" s="118"/>
      <c r="I199" s="118"/>
      <c r="J199" s="118"/>
      <c r="K199" s="118"/>
      <c r="L199" s="118"/>
      <c r="M199" s="118"/>
      <c r="N199" s="118"/>
      <c r="O199" s="118"/>
      <c r="P199" s="118"/>
      <c r="Q199" s="118"/>
      <c r="R199" s="118"/>
      <c r="S199" s="118"/>
      <c r="T199" s="118"/>
      <c r="U199" s="118"/>
    </row>
    <row r="200" spans="2:21">
      <c r="B200" s="118"/>
      <c r="C200" s="118"/>
      <c r="D200" s="118"/>
      <c r="E200" s="118"/>
      <c r="F200" s="118"/>
      <c r="G200" s="118"/>
      <c r="H200" s="118"/>
      <c r="I200" s="118"/>
      <c r="J200" s="118"/>
      <c r="K200" s="118"/>
      <c r="L200" s="118"/>
      <c r="M200" s="118"/>
      <c r="N200" s="118"/>
      <c r="O200" s="118"/>
      <c r="P200" s="118"/>
      <c r="Q200" s="118"/>
      <c r="R200" s="118"/>
      <c r="S200" s="118"/>
      <c r="T200" s="118"/>
      <c r="U200" s="118"/>
    </row>
    <row r="201" spans="2:21">
      <c r="B201" s="118"/>
      <c r="C201" s="118"/>
      <c r="D201" s="118"/>
      <c r="E201" s="118"/>
      <c r="F201" s="118"/>
      <c r="G201" s="118"/>
      <c r="H201" s="118"/>
      <c r="I201" s="118"/>
      <c r="J201" s="118"/>
      <c r="K201" s="118"/>
      <c r="L201" s="118"/>
      <c r="M201" s="118"/>
      <c r="N201" s="118"/>
      <c r="O201" s="118"/>
      <c r="P201" s="118"/>
      <c r="Q201" s="118"/>
      <c r="R201" s="118"/>
      <c r="S201" s="118"/>
      <c r="T201" s="118"/>
      <c r="U201" s="118"/>
    </row>
    <row r="202" spans="2:21">
      <c r="B202" s="118"/>
      <c r="C202" s="118"/>
      <c r="D202" s="118"/>
      <c r="E202" s="118"/>
      <c r="F202" s="118"/>
      <c r="G202" s="118"/>
      <c r="H202" s="118"/>
      <c r="I202" s="118"/>
      <c r="J202" s="118"/>
      <c r="K202" s="118"/>
      <c r="L202" s="118"/>
      <c r="M202" s="118"/>
      <c r="N202" s="118"/>
      <c r="O202" s="118"/>
      <c r="P202" s="118"/>
      <c r="Q202" s="118"/>
      <c r="R202" s="118"/>
      <c r="S202" s="118"/>
      <c r="T202" s="118"/>
      <c r="U202" s="118"/>
    </row>
    <row r="203" spans="2:21">
      <c r="B203" s="118"/>
      <c r="C203" s="118"/>
      <c r="D203" s="118"/>
      <c r="E203" s="118"/>
      <c r="F203" s="118"/>
      <c r="G203" s="118"/>
      <c r="H203" s="118"/>
      <c r="I203" s="118"/>
      <c r="J203" s="118"/>
      <c r="K203" s="118"/>
      <c r="L203" s="118"/>
      <c r="M203" s="118"/>
      <c r="N203" s="118"/>
      <c r="O203" s="118"/>
      <c r="P203" s="118"/>
      <c r="Q203" s="118"/>
      <c r="R203" s="118"/>
      <c r="S203" s="118"/>
      <c r="T203" s="118"/>
      <c r="U203" s="118"/>
    </row>
    <row r="204" spans="2:21">
      <c r="B204" s="118"/>
      <c r="C204" s="118"/>
      <c r="D204" s="118"/>
      <c r="E204" s="118"/>
      <c r="F204" s="118"/>
      <c r="G204" s="118"/>
      <c r="H204" s="118"/>
      <c r="I204" s="118"/>
      <c r="J204" s="118"/>
      <c r="K204" s="118"/>
      <c r="L204" s="118"/>
      <c r="M204" s="118"/>
      <c r="N204" s="118"/>
      <c r="O204" s="118"/>
      <c r="P204" s="118"/>
      <c r="Q204" s="118"/>
      <c r="R204" s="118"/>
      <c r="S204" s="118"/>
      <c r="T204" s="118"/>
      <c r="U204" s="118"/>
    </row>
    <row r="205" spans="2:21">
      <c r="B205" s="118"/>
      <c r="C205" s="118"/>
      <c r="D205" s="118"/>
      <c r="E205" s="118"/>
      <c r="F205" s="118"/>
      <c r="G205" s="118"/>
      <c r="H205" s="118"/>
      <c r="I205" s="118"/>
      <c r="J205" s="118"/>
      <c r="K205" s="118"/>
      <c r="L205" s="118"/>
      <c r="M205" s="118"/>
      <c r="N205" s="118"/>
      <c r="O205" s="118"/>
      <c r="P205" s="118"/>
      <c r="Q205" s="118"/>
      <c r="R205" s="118"/>
      <c r="S205" s="118"/>
      <c r="T205" s="118"/>
      <c r="U205" s="118"/>
    </row>
    <row r="206" spans="2:21">
      <c r="B206" s="118"/>
      <c r="C206" s="118"/>
      <c r="D206" s="118"/>
      <c r="E206" s="118"/>
      <c r="F206" s="118"/>
      <c r="G206" s="118"/>
      <c r="H206" s="118"/>
      <c r="I206" s="118"/>
      <c r="J206" s="118"/>
      <c r="K206" s="118"/>
      <c r="L206" s="118"/>
      <c r="M206" s="118"/>
      <c r="N206" s="118"/>
      <c r="O206" s="118"/>
      <c r="P206" s="118"/>
      <c r="Q206" s="118"/>
      <c r="R206" s="118"/>
      <c r="S206" s="118"/>
      <c r="T206" s="118"/>
      <c r="U206" s="118"/>
    </row>
    <row r="207" spans="2:21">
      <c r="B207" s="118"/>
      <c r="C207" s="118"/>
      <c r="D207" s="118"/>
      <c r="E207" s="118"/>
      <c r="F207" s="118"/>
      <c r="G207" s="118"/>
      <c r="H207" s="118"/>
      <c r="I207" s="118"/>
      <c r="J207" s="118"/>
      <c r="K207" s="118"/>
      <c r="L207" s="118"/>
      <c r="M207" s="118"/>
      <c r="N207" s="118"/>
      <c r="O207" s="118"/>
      <c r="P207" s="118"/>
      <c r="Q207" s="118"/>
      <c r="R207" s="118"/>
      <c r="S207" s="118"/>
      <c r="T207" s="118"/>
      <c r="U207" s="118"/>
    </row>
    <row r="208" spans="2:21">
      <c r="B208" s="118"/>
      <c r="C208" s="118"/>
      <c r="D208" s="118"/>
      <c r="E208" s="118"/>
      <c r="F208" s="118"/>
      <c r="G208" s="118"/>
      <c r="H208" s="118"/>
      <c r="I208" s="118"/>
      <c r="J208" s="118"/>
      <c r="K208" s="118"/>
      <c r="L208" s="118"/>
      <c r="M208" s="118"/>
      <c r="N208" s="118"/>
      <c r="O208" s="118"/>
      <c r="P208" s="118"/>
      <c r="Q208" s="118"/>
      <c r="R208" s="118"/>
      <c r="S208" s="118"/>
      <c r="T208" s="118"/>
      <c r="U208" s="118"/>
    </row>
    <row r="209" spans="2:21">
      <c r="B209" s="118"/>
      <c r="C209" s="118"/>
      <c r="D209" s="118"/>
      <c r="E209" s="118"/>
      <c r="F209" s="118"/>
      <c r="G209" s="118"/>
      <c r="H209" s="118"/>
      <c r="I209" s="118"/>
      <c r="J209" s="118"/>
      <c r="K209" s="118"/>
      <c r="L209" s="118"/>
      <c r="M209" s="118"/>
      <c r="N209" s="118"/>
      <c r="O209" s="118"/>
      <c r="P209" s="118"/>
      <c r="Q209" s="118"/>
      <c r="R209" s="118"/>
      <c r="S209" s="118"/>
      <c r="T209" s="118"/>
      <c r="U209" s="118"/>
    </row>
    <row r="210" spans="2:21">
      <c r="B210" s="118"/>
      <c r="C210" s="118"/>
      <c r="D210" s="118"/>
      <c r="E210" s="118"/>
      <c r="F210" s="118"/>
      <c r="G210" s="118"/>
      <c r="H210" s="118"/>
      <c r="I210" s="118"/>
      <c r="J210" s="118"/>
      <c r="K210" s="118"/>
      <c r="L210" s="118"/>
      <c r="M210" s="118"/>
      <c r="N210" s="118"/>
      <c r="O210" s="118"/>
      <c r="P210" s="118"/>
      <c r="Q210" s="118"/>
      <c r="R210" s="118"/>
      <c r="S210" s="118"/>
      <c r="T210" s="118"/>
      <c r="U210" s="118"/>
    </row>
    <row r="211" spans="2:21">
      <c r="B211" s="118"/>
      <c r="C211" s="118"/>
      <c r="D211" s="118"/>
      <c r="E211" s="118"/>
      <c r="F211" s="118"/>
      <c r="G211" s="118"/>
      <c r="H211" s="118"/>
      <c r="I211" s="118"/>
      <c r="J211" s="118"/>
      <c r="K211" s="118"/>
      <c r="L211" s="118"/>
      <c r="M211" s="118"/>
      <c r="N211" s="118"/>
      <c r="O211" s="118"/>
      <c r="P211" s="118"/>
      <c r="Q211" s="118"/>
      <c r="R211" s="118"/>
      <c r="S211" s="118"/>
      <c r="T211" s="118"/>
      <c r="U211" s="118"/>
    </row>
    <row r="212" spans="2:21">
      <c r="B212" s="118"/>
      <c r="C212" s="118"/>
      <c r="D212" s="118"/>
      <c r="E212" s="118"/>
      <c r="F212" s="118"/>
      <c r="G212" s="118"/>
      <c r="H212" s="118"/>
      <c r="I212" s="118"/>
      <c r="J212" s="118"/>
      <c r="K212" s="118"/>
      <c r="L212" s="118"/>
      <c r="M212" s="118"/>
      <c r="N212" s="118"/>
      <c r="O212" s="118"/>
      <c r="P212" s="118"/>
      <c r="Q212" s="118"/>
      <c r="R212" s="118"/>
      <c r="S212" s="118"/>
      <c r="T212" s="118"/>
      <c r="U212" s="118"/>
    </row>
    <row r="213" spans="2:21">
      <c r="B213" s="118"/>
      <c r="C213" s="118"/>
      <c r="D213" s="118"/>
      <c r="E213" s="118"/>
      <c r="F213" s="118"/>
      <c r="G213" s="118"/>
      <c r="H213" s="118"/>
      <c r="I213" s="118"/>
      <c r="J213" s="118"/>
      <c r="K213" s="118"/>
      <c r="L213" s="118"/>
      <c r="M213" s="118"/>
      <c r="N213" s="118"/>
      <c r="O213" s="118"/>
      <c r="P213" s="118"/>
      <c r="Q213" s="118"/>
      <c r="R213" s="118"/>
      <c r="S213" s="118"/>
      <c r="T213" s="118"/>
      <c r="U213" s="118"/>
    </row>
    <row r="214" spans="2:21">
      <c r="B214" s="118"/>
      <c r="C214" s="118"/>
      <c r="D214" s="118"/>
      <c r="E214" s="118"/>
      <c r="F214" s="118"/>
      <c r="G214" s="118"/>
      <c r="H214" s="118"/>
      <c r="I214" s="118"/>
      <c r="J214" s="118"/>
      <c r="K214" s="118"/>
      <c r="L214" s="118"/>
      <c r="M214" s="118"/>
      <c r="N214" s="118"/>
      <c r="O214" s="118"/>
      <c r="P214" s="118"/>
      <c r="Q214" s="118"/>
      <c r="R214" s="118"/>
      <c r="S214" s="118"/>
      <c r="T214" s="118"/>
      <c r="U214" s="118"/>
    </row>
    <row r="215" spans="2:21">
      <c r="B215" s="118"/>
      <c r="C215" s="118"/>
      <c r="D215" s="118"/>
      <c r="E215" s="118"/>
      <c r="F215" s="118"/>
      <c r="G215" s="118"/>
      <c r="H215" s="118"/>
      <c r="I215" s="118"/>
      <c r="J215" s="118"/>
      <c r="K215" s="118"/>
      <c r="L215" s="118"/>
      <c r="M215" s="118"/>
      <c r="N215" s="118"/>
      <c r="O215" s="118"/>
      <c r="P215" s="118"/>
      <c r="Q215" s="118"/>
      <c r="R215" s="118"/>
      <c r="S215" s="118"/>
      <c r="T215" s="118"/>
      <c r="U215" s="118"/>
    </row>
    <row r="216" spans="2:21">
      <c r="B216" s="118"/>
      <c r="C216" s="118"/>
      <c r="D216" s="118"/>
      <c r="E216" s="118"/>
      <c r="F216" s="118"/>
      <c r="G216" s="118"/>
      <c r="H216" s="118"/>
      <c r="I216" s="118"/>
      <c r="J216" s="118"/>
      <c r="K216" s="118"/>
      <c r="L216" s="118"/>
      <c r="M216" s="118"/>
      <c r="N216" s="118"/>
      <c r="O216" s="118"/>
      <c r="P216" s="118"/>
      <c r="Q216" s="118"/>
      <c r="R216" s="118"/>
      <c r="S216" s="118"/>
      <c r="T216" s="118"/>
      <c r="U216" s="118"/>
    </row>
    <row r="217" spans="2:21">
      <c r="B217" s="118"/>
      <c r="C217" s="118"/>
      <c r="D217" s="118"/>
      <c r="E217" s="118"/>
      <c r="F217" s="118"/>
      <c r="G217" s="118"/>
      <c r="H217" s="118"/>
      <c r="I217" s="118"/>
      <c r="J217" s="118"/>
      <c r="K217" s="118"/>
      <c r="L217" s="118"/>
      <c r="M217" s="118"/>
      <c r="N217" s="118"/>
      <c r="O217" s="118"/>
      <c r="P217" s="118"/>
      <c r="Q217" s="118"/>
      <c r="R217" s="118"/>
      <c r="S217" s="118"/>
      <c r="T217" s="118"/>
      <c r="U217" s="118"/>
    </row>
    <row r="218" spans="2:21">
      <c r="B218" s="118"/>
      <c r="C218" s="118"/>
      <c r="D218" s="118"/>
      <c r="E218" s="118"/>
      <c r="F218" s="118"/>
      <c r="G218" s="118"/>
      <c r="H218" s="118"/>
      <c r="I218" s="118"/>
      <c r="J218" s="118"/>
      <c r="K218" s="118"/>
      <c r="L218" s="118"/>
      <c r="M218" s="118"/>
      <c r="N218" s="118"/>
      <c r="O218" s="118"/>
      <c r="P218" s="118"/>
      <c r="Q218" s="118"/>
      <c r="R218" s="118"/>
      <c r="S218" s="118"/>
      <c r="T218" s="118"/>
      <c r="U218" s="118"/>
    </row>
    <row r="219" spans="2:21">
      <c r="B219" s="118"/>
      <c r="C219" s="118"/>
      <c r="D219" s="118"/>
      <c r="E219" s="118"/>
      <c r="F219" s="118"/>
      <c r="G219" s="118"/>
      <c r="H219" s="118"/>
      <c r="I219" s="118"/>
      <c r="J219" s="118"/>
      <c r="K219" s="118"/>
      <c r="L219" s="118"/>
      <c r="M219" s="118"/>
      <c r="N219" s="118"/>
      <c r="O219" s="118"/>
      <c r="P219" s="118"/>
      <c r="Q219" s="118"/>
      <c r="R219" s="118"/>
      <c r="S219" s="118"/>
      <c r="T219" s="118"/>
      <c r="U219" s="118"/>
    </row>
    <row r="220" spans="2:21">
      <c r="B220" s="118"/>
      <c r="C220" s="118"/>
      <c r="D220" s="118"/>
      <c r="E220" s="118"/>
      <c r="F220" s="118"/>
      <c r="G220" s="118"/>
      <c r="H220" s="118"/>
      <c r="I220" s="118"/>
      <c r="J220" s="118"/>
      <c r="K220" s="118"/>
      <c r="L220" s="118"/>
      <c r="M220" s="118"/>
      <c r="N220" s="118"/>
      <c r="O220" s="118"/>
      <c r="P220" s="118"/>
      <c r="Q220" s="118"/>
      <c r="R220" s="118"/>
      <c r="S220" s="118"/>
      <c r="T220" s="118"/>
      <c r="U220" s="118"/>
    </row>
    <row r="221" spans="2:21">
      <c r="B221" s="118"/>
      <c r="C221" s="118"/>
      <c r="D221" s="118"/>
      <c r="E221" s="118"/>
      <c r="F221" s="118"/>
      <c r="G221" s="118"/>
      <c r="H221" s="118"/>
      <c r="I221" s="118"/>
      <c r="J221" s="118"/>
      <c r="K221" s="118"/>
      <c r="L221" s="118"/>
      <c r="M221" s="118"/>
      <c r="N221" s="118"/>
      <c r="O221" s="118"/>
      <c r="P221" s="118"/>
      <c r="Q221" s="118"/>
      <c r="R221" s="118"/>
      <c r="S221" s="118"/>
      <c r="T221" s="118"/>
      <c r="U221" s="118"/>
    </row>
    <row r="222" spans="2:21">
      <c r="B222" s="118"/>
      <c r="C222" s="118"/>
      <c r="D222" s="118"/>
      <c r="E222" s="118"/>
      <c r="F222" s="118"/>
      <c r="G222" s="118"/>
      <c r="H222" s="118"/>
      <c r="I222" s="118"/>
      <c r="J222" s="118"/>
      <c r="K222" s="118"/>
      <c r="L222" s="118"/>
      <c r="M222" s="118"/>
      <c r="N222" s="118"/>
      <c r="O222" s="118"/>
      <c r="P222" s="118"/>
      <c r="Q222" s="118"/>
      <c r="R222" s="118"/>
      <c r="S222" s="118"/>
      <c r="T222" s="118"/>
      <c r="U222" s="118"/>
    </row>
    <row r="223" spans="2:21">
      <c r="B223" s="118"/>
      <c r="C223" s="118"/>
      <c r="D223" s="118"/>
      <c r="E223" s="118"/>
      <c r="F223" s="118"/>
      <c r="G223" s="118"/>
      <c r="H223" s="118"/>
      <c r="I223" s="118"/>
      <c r="J223" s="118"/>
      <c r="K223" s="118"/>
      <c r="L223" s="118"/>
      <c r="M223" s="118"/>
      <c r="N223" s="118"/>
      <c r="O223" s="118"/>
      <c r="P223" s="118"/>
      <c r="Q223" s="118"/>
      <c r="R223" s="118"/>
      <c r="S223" s="118"/>
      <c r="T223" s="118"/>
      <c r="U223" s="118"/>
    </row>
    <row r="224" spans="2:21">
      <c r="B224" s="118"/>
      <c r="C224" s="118"/>
      <c r="D224" s="118"/>
      <c r="E224" s="118"/>
      <c r="F224" s="118"/>
      <c r="G224" s="118"/>
      <c r="H224" s="118"/>
      <c r="I224" s="118"/>
      <c r="J224" s="118"/>
      <c r="K224" s="118"/>
      <c r="L224" s="118"/>
      <c r="M224" s="118"/>
      <c r="N224" s="118"/>
      <c r="O224" s="118"/>
      <c r="P224" s="118"/>
      <c r="Q224" s="118"/>
      <c r="R224" s="118"/>
      <c r="S224" s="118"/>
      <c r="T224" s="118"/>
      <c r="U224" s="118"/>
    </row>
    <row r="225" spans="2:21">
      <c r="B225" s="118"/>
      <c r="C225" s="118"/>
      <c r="D225" s="118"/>
      <c r="E225" s="118"/>
      <c r="F225" s="118"/>
      <c r="G225" s="118"/>
      <c r="H225" s="118"/>
      <c r="I225" s="118"/>
      <c r="J225" s="118"/>
      <c r="K225" s="118"/>
      <c r="L225" s="118"/>
      <c r="M225" s="118"/>
      <c r="N225" s="118"/>
      <c r="O225" s="118"/>
      <c r="P225" s="118"/>
      <c r="Q225" s="118"/>
      <c r="R225" s="118"/>
      <c r="S225" s="118"/>
      <c r="T225" s="118"/>
      <c r="U225" s="118"/>
    </row>
    <row r="226" spans="2:21">
      <c r="B226" s="118"/>
      <c r="C226" s="118"/>
      <c r="D226" s="118"/>
      <c r="E226" s="118"/>
      <c r="F226" s="118"/>
      <c r="G226" s="118"/>
      <c r="H226" s="118"/>
      <c r="I226" s="118"/>
      <c r="J226" s="118"/>
      <c r="K226" s="118"/>
      <c r="L226" s="118"/>
      <c r="M226" s="118"/>
      <c r="N226" s="118"/>
      <c r="O226" s="118"/>
      <c r="P226" s="118"/>
      <c r="Q226" s="118"/>
      <c r="R226" s="118"/>
      <c r="S226" s="118"/>
      <c r="T226" s="118"/>
      <c r="U226" s="118"/>
    </row>
    <row r="227" spans="2:21">
      <c r="B227" s="118"/>
      <c r="C227" s="118"/>
      <c r="D227" s="118"/>
      <c r="E227" s="118"/>
      <c r="F227" s="118"/>
      <c r="G227" s="118"/>
      <c r="H227" s="118"/>
      <c r="I227" s="118"/>
      <c r="J227" s="118"/>
      <c r="K227" s="118"/>
      <c r="L227" s="118"/>
      <c r="M227" s="118"/>
      <c r="N227" s="118"/>
      <c r="O227" s="118"/>
      <c r="P227" s="118"/>
      <c r="Q227" s="118"/>
      <c r="R227" s="118"/>
      <c r="S227" s="118"/>
      <c r="T227" s="118"/>
      <c r="U227" s="118"/>
    </row>
    <row r="228" spans="2:21">
      <c r="B228" s="118"/>
      <c r="C228" s="118"/>
      <c r="D228" s="118"/>
      <c r="E228" s="118"/>
      <c r="F228" s="118"/>
      <c r="G228" s="118"/>
      <c r="H228" s="118"/>
      <c r="I228" s="118"/>
      <c r="J228" s="118"/>
      <c r="K228" s="118"/>
      <c r="L228" s="118"/>
      <c r="M228" s="118"/>
      <c r="N228" s="118"/>
      <c r="O228" s="118"/>
      <c r="P228" s="118"/>
      <c r="Q228" s="118"/>
      <c r="R228" s="118"/>
      <c r="S228" s="118"/>
      <c r="T228" s="118"/>
      <c r="U228" s="118"/>
    </row>
    <row r="229" spans="2:21">
      <c r="B229" s="118"/>
      <c r="C229" s="118"/>
      <c r="D229" s="118"/>
      <c r="E229" s="118"/>
      <c r="F229" s="118"/>
      <c r="G229" s="118"/>
      <c r="H229" s="118"/>
      <c r="I229" s="118"/>
      <c r="J229" s="118"/>
      <c r="K229" s="118"/>
      <c r="L229" s="118"/>
      <c r="M229" s="118"/>
      <c r="N229" s="118"/>
      <c r="O229" s="118"/>
      <c r="P229" s="118"/>
      <c r="Q229" s="118"/>
      <c r="R229" s="118"/>
      <c r="S229" s="118"/>
      <c r="T229" s="118"/>
      <c r="U229" s="118"/>
    </row>
    <row r="230" spans="2:21">
      <c r="B230" s="118"/>
      <c r="C230" s="118"/>
      <c r="D230" s="118"/>
      <c r="E230" s="118"/>
      <c r="F230" s="118"/>
      <c r="G230" s="118"/>
      <c r="H230" s="118"/>
      <c r="I230" s="118"/>
      <c r="J230" s="118"/>
      <c r="K230" s="118"/>
      <c r="L230" s="118"/>
      <c r="M230" s="118"/>
      <c r="N230" s="118"/>
      <c r="O230" s="118"/>
      <c r="P230" s="118"/>
      <c r="Q230" s="118"/>
      <c r="R230" s="118"/>
      <c r="S230" s="118"/>
      <c r="T230" s="118"/>
      <c r="U230" s="118"/>
    </row>
    <row r="231" spans="2:21">
      <c r="B231" s="118"/>
      <c r="C231" s="118"/>
      <c r="D231" s="118"/>
      <c r="E231" s="118"/>
      <c r="F231" s="118"/>
      <c r="G231" s="118"/>
      <c r="H231" s="118"/>
      <c r="I231" s="118"/>
      <c r="J231" s="118"/>
      <c r="K231" s="118"/>
      <c r="L231" s="118"/>
      <c r="M231" s="118"/>
      <c r="N231" s="118"/>
      <c r="O231" s="118"/>
      <c r="P231" s="118"/>
      <c r="Q231" s="118"/>
      <c r="R231" s="118"/>
      <c r="S231" s="118"/>
      <c r="T231" s="118"/>
      <c r="U231" s="118"/>
    </row>
    <row r="232" spans="2:21">
      <c r="B232" s="118"/>
      <c r="C232" s="118"/>
      <c r="D232" s="118"/>
      <c r="E232" s="118"/>
      <c r="F232" s="118"/>
      <c r="G232" s="118"/>
      <c r="H232" s="118"/>
      <c r="I232" s="118"/>
      <c r="J232" s="118"/>
      <c r="K232" s="118"/>
      <c r="L232" s="118"/>
      <c r="M232" s="118"/>
      <c r="N232" s="118"/>
      <c r="O232" s="118"/>
      <c r="P232" s="118"/>
      <c r="Q232" s="118"/>
      <c r="R232" s="118"/>
      <c r="S232" s="118"/>
      <c r="T232" s="118"/>
      <c r="U232" s="118"/>
    </row>
    <row r="233" spans="2:21">
      <c r="B233" s="118"/>
      <c r="C233" s="118"/>
      <c r="D233" s="118"/>
      <c r="E233" s="118"/>
      <c r="F233" s="118"/>
      <c r="G233" s="118"/>
      <c r="H233" s="118"/>
      <c r="I233" s="118"/>
      <c r="J233" s="118"/>
      <c r="K233" s="118"/>
      <c r="L233" s="118"/>
      <c r="M233" s="118"/>
      <c r="N233" s="118"/>
      <c r="O233" s="118"/>
      <c r="P233" s="118"/>
      <c r="Q233" s="118"/>
      <c r="R233" s="118"/>
      <c r="S233" s="118"/>
      <c r="T233" s="118"/>
      <c r="U233" s="118"/>
    </row>
    <row r="234" spans="2:21">
      <c r="B234" s="118"/>
      <c r="C234" s="118"/>
      <c r="D234" s="118"/>
      <c r="E234" s="118"/>
      <c r="F234" s="118"/>
      <c r="G234" s="118"/>
      <c r="H234" s="118"/>
      <c r="I234" s="118"/>
      <c r="J234" s="118"/>
      <c r="K234" s="118"/>
      <c r="L234" s="118"/>
      <c r="M234" s="118"/>
      <c r="N234" s="118"/>
      <c r="O234" s="118"/>
      <c r="P234" s="118"/>
      <c r="Q234" s="118"/>
      <c r="R234" s="118"/>
      <c r="S234" s="118"/>
      <c r="T234" s="118"/>
      <c r="U234" s="118"/>
    </row>
    <row r="235" spans="2:21">
      <c r="B235" s="118"/>
      <c r="C235" s="118"/>
      <c r="D235" s="118"/>
      <c r="E235" s="118"/>
      <c r="F235" s="118"/>
      <c r="G235" s="118"/>
      <c r="H235" s="118"/>
      <c r="I235" s="118"/>
      <c r="J235" s="118"/>
      <c r="K235" s="118"/>
      <c r="L235" s="118"/>
      <c r="M235" s="118"/>
      <c r="N235" s="118"/>
      <c r="O235" s="118"/>
      <c r="P235" s="118"/>
      <c r="Q235" s="118"/>
      <c r="R235" s="118"/>
      <c r="S235" s="118"/>
      <c r="T235" s="118"/>
      <c r="U235" s="118"/>
    </row>
    <row r="236" spans="2:21">
      <c r="B236" s="118"/>
      <c r="C236" s="118"/>
      <c r="D236" s="118"/>
      <c r="E236" s="118"/>
      <c r="F236" s="118"/>
      <c r="G236" s="118"/>
      <c r="H236" s="118"/>
      <c r="I236" s="118"/>
      <c r="J236" s="118"/>
      <c r="K236" s="118"/>
      <c r="L236" s="118"/>
      <c r="M236" s="118"/>
      <c r="N236" s="118"/>
      <c r="O236" s="118"/>
      <c r="P236" s="118"/>
      <c r="Q236" s="118"/>
      <c r="R236" s="118"/>
      <c r="S236" s="118"/>
      <c r="T236" s="118"/>
      <c r="U236" s="118"/>
    </row>
    <row r="237" spans="2:21">
      <c r="B237" s="118"/>
      <c r="C237" s="118"/>
      <c r="D237" s="118"/>
      <c r="E237" s="118"/>
      <c r="F237" s="118"/>
      <c r="G237" s="118"/>
      <c r="H237" s="118"/>
      <c r="I237" s="118"/>
      <c r="J237" s="118"/>
      <c r="K237" s="118"/>
      <c r="L237" s="118"/>
      <c r="M237" s="118"/>
      <c r="N237" s="118"/>
      <c r="O237" s="118"/>
      <c r="P237" s="118"/>
      <c r="Q237" s="118"/>
      <c r="R237" s="118"/>
      <c r="S237" s="118"/>
      <c r="T237" s="118"/>
      <c r="U237" s="118"/>
    </row>
    <row r="238" spans="2:21">
      <c r="B238" s="118"/>
      <c r="C238" s="118"/>
      <c r="D238" s="118"/>
      <c r="E238" s="118"/>
      <c r="F238" s="118"/>
      <c r="G238" s="118"/>
      <c r="H238" s="118"/>
      <c r="I238" s="118"/>
      <c r="J238" s="118"/>
      <c r="K238" s="118"/>
      <c r="L238" s="118"/>
      <c r="M238" s="118"/>
      <c r="N238" s="118"/>
      <c r="O238" s="118"/>
      <c r="P238" s="118"/>
      <c r="Q238" s="118"/>
      <c r="R238" s="118"/>
      <c r="S238" s="118"/>
      <c r="T238" s="118"/>
      <c r="U238" s="118"/>
    </row>
    <row r="239" spans="2:21">
      <c r="B239" s="118"/>
      <c r="C239" s="118"/>
      <c r="D239" s="118"/>
      <c r="E239" s="118"/>
      <c r="F239" s="118"/>
      <c r="G239" s="118"/>
      <c r="H239" s="118"/>
      <c r="I239" s="118"/>
      <c r="J239" s="118"/>
      <c r="K239" s="118"/>
      <c r="L239" s="118"/>
      <c r="M239" s="118"/>
      <c r="N239" s="118"/>
      <c r="O239" s="118"/>
      <c r="P239" s="118"/>
      <c r="Q239" s="118"/>
      <c r="R239" s="118"/>
      <c r="S239" s="118"/>
      <c r="T239" s="118"/>
      <c r="U239" s="118"/>
    </row>
    <row r="240" spans="2:21">
      <c r="B240" s="118"/>
      <c r="C240" s="118"/>
      <c r="D240" s="118"/>
      <c r="E240" s="118"/>
      <c r="F240" s="118"/>
      <c r="G240" s="118"/>
      <c r="H240" s="118"/>
      <c r="I240" s="118"/>
      <c r="J240" s="118"/>
      <c r="K240" s="118"/>
      <c r="L240" s="118"/>
      <c r="M240" s="118"/>
      <c r="N240" s="118"/>
      <c r="O240" s="118"/>
      <c r="P240" s="118"/>
      <c r="Q240" s="118"/>
      <c r="R240" s="118"/>
      <c r="S240" s="118"/>
      <c r="T240" s="118"/>
      <c r="U240" s="118"/>
    </row>
    <row r="241" spans="2:21">
      <c r="B241" s="118"/>
      <c r="C241" s="118"/>
      <c r="D241" s="118"/>
      <c r="E241" s="118"/>
      <c r="F241" s="118"/>
      <c r="G241" s="118"/>
      <c r="H241" s="118"/>
      <c r="I241" s="118"/>
      <c r="J241" s="118"/>
      <c r="K241" s="118"/>
      <c r="L241" s="118"/>
      <c r="M241" s="118"/>
      <c r="N241" s="118"/>
      <c r="O241" s="118"/>
      <c r="P241" s="118"/>
      <c r="Q241" s="118"/>
      <c r="R241" s="118"/>
      <c r="S241" s="118"/>
      <c r="T241" s="118"/>
      <c r="U241" s="118"/>
    </row>
    <row r="242" spans="2:21">
      <c r="B242" s="118"/>
      <c r="C242" s="118"/>
      <c r="D242" s="118"/>
      <c r="E242" s="118"/>
      <c r="F242" s="118"/>
      <c r="G242" s="118"/>
      <c r="H242" s="118"/>
      <c r="I242" s="118"/>
      <c r="J242" s="118"/>
      <c r="K242" s="118"/>
      <c r="L242" s="118"/>
      <c r="M242" s="118"/>
      <c r="N242" s="118"/>
      <c r="O242" s="118"/>
      <c r="P242" s="118"/>
      <c r="Q242" s="118"/>
      <c r="R242" s="118"/>
      <c r="S242" s="118"/>
      <c r="T242" s="118"/>
      <c r="U242" s="118"/>
    </row>
    <row r="243" spans="2:21">
      <c r="B243" s="118"/>
      <c r="C243" s="118"/>
      <c r="D243" s="118"/>
      <c r="E243" s="118"/>
      <c r="F243" s="118"/>
      <c r="G243" s="118"/>
      <c r="H243" s="118"/>
      <c r="I243" s="118"/>
      <c r="J243" s="118"/>
      <c r="K243" s="118"/>
      <c r="L243" s="118"/>
      <c r="M243" s="118"/>
      <c r="N243" s="118"/>
      <c r="O243" s="118"/>
      <c r="P243" s="118"/>
      <c r="Q243" s="118"/>
      <c r="R243" s="118"/>
      <c r="S243" s="118"/>
      <c r="T243" s="118"/>
      <c r="U243" s="118"/>
    </row>
    <row r="244" spans="2:21">
      <c r="B244" s="118"/>
      <c r="C244" s="118"/>
      <c r="D244" s="118"/>
      <c r="E244" s="118"/>
      <c r="F244" s="118"/>
      <c r="G244" s="118"/>
      <c r="H244" s="118"/>
      <c r="I244" s="118"/>
      <c r="J244" s="118"/>
      <c r="K244" s="118"/>
      <c r="L244" s="118"/>
      <c r="M244" s="118"/>
      <c r="N244" s="118"/>
      <c r="O244" s="118"/>
      <c r="P244" s="118"/>
      <c r="Q244" s="118"/>
      <c r="R244" s="118"/>
      <c r="S244" s="118"/>
      <c r="T244" s="118"/>
      <c r="U244" s="118"/>
    </row>
    <row r="245" spans="2:21">
      <c r="B245" s="118"/>
      <c r="C245" s="118"/>
      <c r="D245" s="118"/>
      <c r="E245" s="118"/>
      <c r="F245" s="118"/>
      <c r="G245" s="118"/>
      <c r="H245" s="118"/>
      <c r="I245" s="118"/>
      <c r="J245" s="118"/>
      <c r="K245" s="118"/>
      <c r="L245" s="118"/>
      <c r="M245" s="118"/>
      <c r="N245" s="118"/>
      <c r="O245" s="118"/>
      <c r="P245" s="118"/>
      <c r="Q245" s="118"/>
      <c r="R245" s="118"/>
      <c r="S245" s="118"/>
      <c r="T245" s="118"/>
      <c r="U245" s="118"/>
    </row>
    <row r="246" spans="2:21">
      <c r="B246" s="118"/>
      <c r="C246" s="118"/>
      <c r="D246" s="118"/>
      <c r="E246" s="118"/>
      <c r="F246" s="118"/>
      <c r="G246" s="118"/>
      <c r="H246" s="118"/>
      <c r="I246" s="118"/>
      <c r="J246" s="118"/>
      <c r="K246" s="118"/>
      <c r="L246" s="118"/>
      <c r="M246" s="118"/>
      <c r="N246" s="118"/>
      <c r="O246" s="118"/>
      <c r="P246" s="118"/>
      <c r="Q246" s="118"/>
      <c r="R246" s="118"/>
      <c r="S246" s="118"/>
      <c r="T246" s="118"/>
      <c r="U246" s="118"/>
    </row>
    <row r="247" spans="2:21">
      <c r="B247" s="118"/>
      <c r="C247" s="118"/>
      <c r="D247" s="118"/>
      <c r="E247" s="118"/>
      <c r="F247" s="118"/>
      <c r="G247" s="118"/>
      <c r="H247" s="118"/>
      <c r="I247" s="118"/>
      <c r="J247" s="118"/>
      <c r="K247" s="118"/>
      <c r="L247" s="118"/>
      <c r="M247" s="118"/>
      <c r="N247" s="118"/>
      <c r="O247" s="118"/>
      <c r="P247" s="118"/>
      <c r="Q247" s="118"/>
      <c r="R247" s="118"/>
      <c r="S247" s="118"/>
      <c r="T247" s="118"/>
      <c r="U247" s="118"/>
    </row>
    <row r="248" spans="2:21">
      <c r="B248" s="118"/>
      <c r="C248" s="118"/>
      <c r="D248" s="118"/>
      <c r="E248" s="118"/>
      <c r="F248" s="118"/>
      <c r="G248" s="118"/>
      <c r="H248" s="118"/>
      <c r="I248" s="118"/>
      <c r="J248" s="118"/>
      <c r="K248" s="118"/>
      <c r="L248" s="118"/>
      <c r="M248" s="118"/>
      <c r="N248" s="118"/>
      <c r="O248" s="118"/>
      <c r="P248" s="118"/>
      <c r="Q248" s="118"/>
      <c r="R248" s="118"/>
      <c r="S248" s="118"/>
      <c r="T248" s="118"/>
      <c r="U248" s="118"/>
    </row>
    <row r="249" spans="2:21">
      <c r="B249" s="118"/>
      <c r="C249" s="118"/>
      <c r="D249" s="118"/>
      <c r="E249" s="118"/>
      <c r="F249" s="118"/>
      <c r="G249" s="118"/>
      <c r="H249" s="118"/>
      <c r="I249" s="118"/>
      <c r="J249" s="118"/>
      <c r="K249" s="118"/>
      <c r="L249" s="118"/>
      <c r="M249" s="118"/>
      <c r="N249" s="118"/>
      <c r="O249" s="118"/>
      <c r="P249" s="118"/>
      <c r="Q249" s="118"/>
      <c r="R249" s="118"/>
      <c r="S249" s="118"/>
      <c r="T249" s="118"/>
      <c r="U249" s="118"/>
    </row>
    <row r="250" spans="2:21">
      <c r="B250" s="118"/>
      <c r="C250" s="118"/>
      <c r="D250" s="118"/>
      <c r="E250" s="118"/>
      <c r="F250" s="118"/>
      <c r="G250" s="118"/>
      <c r="H250" s="118"/>
      <c r="I250" s="118"/>
      <c r="J250" s="118"/>
      <c r="K250" s="118"/>
      <c r="L250" s="118"/>
      <c r="M250" s="118"/>
      <c r="N250" s="118"/>
      <c r="O250" s="118"/>
      <c r="P250" s="118"/>
      <c r="Q250" s="118"/>
      <c r="R250" s="118"/>
      <c r="S250" s="118"/>
      <c r="T250" s="118"/>
      <c r="U250" s="118"/>
    </row>
    <row r="251" spans="2:21">
      <c r="B251" s="118"/>
      <c r="C251" s="118"/>
      <c r="D251" s="118"/>
      <c r="E251" s="118"/>
      <c r="F251" s="118"/>
      <c r="G251" s="118"/>
      <c r="H251" s="118"/>
      <c r="I251" s="118"/>
      <c r="J251" s="118"/>
      <c r="K251" s="118"/>
      <c r="L251" s="118"/>
      <c r="M251" s="118"/>
      <c r="N251" s="118"/>
      <c r="O251" s="118"/>
      <c r="P251" s="118"/>
      <c r="Q251" s="118"/>
      <c r="R251" s="118"/>
      <c r="S251" s="118"/>
      <c r="T251" s="118"/>
      <c r="U251" s="118"/>
    </row>
    <row r="252" spans="2:21">
      <c r="B252" s="118"/>
      <c r="C252" s="118"/>
      <c r="D252" s="118"/>
      <c r="E252" s="118"/>
      <c r="F252" s="118"/>
      <c r="G252" s="118"/>
      <c r="H252" s="118"/>
      <c r="I252" s="118"/>
      <c r="J252" s="118"/>
      <c r="K252" s="118"/>
      <c r="L252" s="118"/>
      <c r="M252" s="118"/>
      <c r="N252" s="118"/>
      <c r="O252" s="118"/>
      <c r="P252" s="118"/>
      <c r="Q252" s="118"/>
      <c r="R252" s="118"/>
      <c r="S252" s="118"/>
      <c r="T252" s="118"/>
      <c r="U252" s="118"/>
    </row>
    <row r="253" spans="2:21">
      <c r="B253" s="118"/>
      <c r="C253" s="118"/>
      <c r="D253" s="118"/>
      <c r="E253" s="118"/>
      <c r="F253" s="118"/>
      <c r="G253" s="118"/>
      <c r="H253" s="118"/>
      <c r="I253" s="118"/>
      <c r="J253" s="118"/>
      <c r="K253" s="118"/>
      <c r="L253" s="118"/>
      <c r="M253" s="118"/>
      <c r="N253" s="118"/>
      <c r="O253" s="118"/>
      <c r="P253" s="118"/>
      <c r="Q253" s="118"/>
      <c r="R253" s="118"/>
      <c r="S253" s="118"/>
      <c r="T253" s="118"/>
      <c r="U253" s="118"/>
    </row>
    <row r="254" spans="2:21">
      <c r="B254" s="118"/>
      <c r="C254" s="118"/>
      <c r="D254" s="118"/>
      <c r="E254" s="118"/>
      <c r="F254" s="118"/>
      <c r="G254" s="118"/>
      <c r="H254" s="118"/>
      <c r="I254" s="118"/>
      <c r="J254" s="118"/>
      <c r="K254" s="118"/>
      <c r="L254" s="118"/>
      <c r="M254" s="118"/>
      <c r="N254" s="118"/>
      <c r="O254" s="118"/>
      <c r="P254" s="118"/>
      <c r="Q254" s="118"/>
      <c r="R254" s="118"/>
      <c r="S254" s="118"/>
      <c r="T254" s="118"/>
      <c r="U254" s="118"/>
    </row>
    <row r="255" spans="2:21">
      <c r="B255" s="118"/>
      <c r="C255" s="118"/>
      <c r="D255" s="118"/>
      <c r="E255" s="118"/>
      <c r="F255" s="118"/>
      <c r="G255" s="118"/>
      <c r="H255" s="118"/>
      <c r="I255" s="118"/>
      <c r="J255" s="118"/>
      <c r="K255" s="118"/>
      <c r="L255" s="118"/>
      <c r="M255" s="118"/>
      <c r="N255" s="118"/>
      <c r="O255" s="118"/>
      <c r="P255" s="118"/>
      <c r="Q255" s="118"/>
      <c r="R255" s="118"/>
      <c r="S255" s="118"/>
      <c r="T255" s="118"/>
      <c r="U255" s="118"/>
    </row>
    <row r="256" spans="2:21">
      <c r="B256" s="118"/>
      <c r="C256" s="118"/>
      <c r="D256" s="118"/>
      <c r="E256" s="118"/>
      <c r="F256" s="118"/>
      <c r="G256" s="118"/>
      <c r="H256" s="118"/>
      <c r="I256" s="118"/>
      <c r="J256" s="118"/>
      <c r="K256" s="118"/>
      <c r="L256" s="118"/>
      <c r="M256" s="118"/>
      <c r="N256" s="118"/>
      <c r="O256" s="118"/>
      <c r="P256" s="118"/>
      <c r="Q256" s="118"/>
      <c r="R256" s="118"/>
      <c r="S256" s="118"/>
      <c r="T256" s="118"/>
      <c r="U256" s="118"/>
    </row>
    <row r="257" spans="2:21">
      <c r="B257" s="118"/>
      <c r="C257" s="118"/>
      <c r="D257" s="118"/>
      <c r="E257" s="118"/>
      <c r="F257" s="118"/>
      <c r="G257" s="118"/>
      <c r="H257" s="118"/>
      <c r="I257" s="118"/>
      <c r="J257" s="118"/>
      <c r="K257" s="118"/>
      <c r="L257" s="118"/>
      <c r="M257" s="118"/>
      <c r="N257" s="118"/>
      <c r="O257" s="118"/>
      <c r="P257" s="118"/>
      <c r="Q257" s="118"/>
      <c r="R257" s="118"/>
      <c r="S257" s="118"/>
      <c r="T257" s="118"/>
      <c r="U257" s="118"/>
    </row>
    <row r="258" spans="2:21">
      <c r="B258" s="118"/>
      <c r="C258" s="118"/>
      <c r="D258" s="118"/>
      <c r="E258" s="118"/>
      <c r="F258" s="118"/>
      <c r="G258" s="118"/>
      <c r="H258" s="118"/>
      <c r="I258" s="118"/>
      <c r="J258" s="118"/>
      <c r="K258" s="118"/>
      <c r="L258" s="118"/>
      <c r="M258" s="118"/>
      <c r="N258" s="118"/>
      <c r="O258" s="118"/>
      <c r="P258" s="118"/>
      <c r="Q258" s="118"/>
      <c r="R258" s="118"/>
      <c r="S258" s="118"/>
      <c r="T258" s="118"/>
      <c r="U258" s="118"/>
    </row>
    <row r="259" spans="2:21">
      <c r="B259" s="118"/>
      <c r="C259" s="118"/>
      <c r="D259" s="118"/>
      <c r="E259" s="118"/>
      <c r="F259" s="118"/>
      <c r="G259" s="118"/>
      <c r="H259" s="118"/>
      <c r="I259" s="118"/>
      <c r="J259" s="118"/>
      <c r="K259" s="118"/>
      <c r="L259" s="118"/>
      <c r="M259" s="118"/>
      <c r="N259" s="118"/>
      <c r="O259" s="118"/>
      <c r="P259" s="118"/>
      <c r="Q259" s="118"/>
      <c r="R259" s="118"/>
      <c r="S259" s="118"/>
      <c r="T259" s="118"/>
      <c r="U259" s="118"/>
    </row>
    <row r="260" spans="2:21">
      <c r="B260" s="118"/>
      <c r="C260" s="118"/>
      <c r="D260" s="118"/>
      <c r="E260" s="118"/>
      <c r="F260" s="118"/>
      <c r="G260" s="118"/>
      <c r="H260" s="118"/>
      <c r="I260" s="118"/>
      <c r="J260" s="118"/>
      <c r="K260" s="118"/>
      <c r="L260" s="118"/>
      <c r="M260" s="118"/>
      <c r="N260" s="118"/>
      <c r="O260" s="118"/>
      <c r="P260" s="118"/>
      <c r="Q260" s="118"/>
      <c r="R260" s="118"/>
      <c r="S260" s="118"/>
      <c r="T260" s="118"/>
      <c r="U260" s="118"/>
    </row>
    <row r="261" spans="2:21">
      <c r="B261" s="118"/>
      <c r="C261" s="118"/>
      <c r="D261" s="118"/>
      <c r="E261" s="118"/>
      <c r="F261" s="118"/>
      <c r="G261" s="118"/>
      <c r="H261" s="118"/>
      <c r="I261" s="118"/>
      <c r="J261" s="118"/>
      <c r="K261" s="118"/>
      <c r="L261" s="118"/>
      <c r="M261" s="118"/>
      <c r="N261" s="118"/>
      <c r="O261" s="118"/>
      <c r="P261" s="118"/>
      <c r="Q261" s="118"/>
      <c r="R261" s="118"/>
      <c r="S261" s="118"/>
      <c r="T261" s="118"/>
      <c r="U261" s="118"/>
    </row>
    <row r="262" spans="2:21">
      <c r="B262" s="118"/>
      <c r="C262" s="118"/>
      <c r="D262" s="118"/>
      <c r="E262" s="118"/>
      <c r="F262" s="118"/>
      <c r="G262" s="118"/>
      <c r="H262" s="118"/>
      <c r="I262" s="118"/>
      <c r="J262" s="118"/>
      <c r="K262" s="118"/>
      <c r="L262" s="118"/>
      <c r="M262" s="118"/>
      <c r="N262" s="118"/>
      <c r="O262" s="118"/>
      <c r="P262" s="118"/>
      <c r="Q262" s="118"/>
      <c r="R262" s="118"/>
      <c r="S262" s="118"/>
      <c r="T262" s="118"/>
      <c r="U262" s="118"/>
    </row>
    <row r="263" spans="2:21">
      <c r="B263" s="118"/>
      <c r="C263" s="118"/>
      <c r="D263" s="118"/>
      <c r="E263" s="118"/>
      <c r="F263" s="118"/>
      <c r="G263" s="118"/>
      <c r="H263" s="118"/>
      <c r="I263" s="118"/>
      <c r="J263" s="118"/>
      <c r="K263" s="118"/>
      <c r="L263" s="118"/>
      <c r="M263" s="118"/>
      <c r="N263" s="118"/>
      <c r="O263" s="118"/>
      <c r="P263" s="118"/>
      <c r="Q263" s="118"/>
      <c r="R263" s="118"/>
      <c r="S263" s="118"/>
      <c r="T263" s="118"/>
      <c r="U263" s="118"/>
    </row>
    <row r="264" spans="2:21">
      <c r="B264" s="118"/>
      <c r="C264" s="118"/>
      <c r="D264" s="118"/>
      <c r="E264" s="118"/>
      <c r="F264" s="118"/>
      <c r="G264" s="118"/>
      <c r="H264" s="118"/>
      <c r="I264" s="118"/>
      <c r="J264" s="118"/>
      <c r="K264" s="118"/>
      <c r="L264" s="118"/>
      <c r="M264" s="118"/>
      <c r="N264" s="118"/>
      <c r="O264" s="118"/>
      <c r="P264" s="118"/>
      <c r="Q264" s="118"/>
      <c r="R264" s="118"/>
      <c r="S264" s="118"/>
      <c r="T264" s="118"/>
      <c r="U264" s="118"/>
    </row>
    <row r="265" spans="2:21">
      <c r="B265" s="118"/>
      <c r="C265" s="118"/>
      <c r="D265" s="118"/>
      <c r="E265" s="118"/>
      <c r="F265" s="118"/>
      <c r="G265" s="118"/>
      <c r="H265" s="118"/>
      <c r="I265" s="118"/>
      <c r="J265" s="118"/>
      <c r="K265" s="118"/>
      <c r="L265" s="118"/>
      <c r="M265" s="118"/>
      <c r="N265" s="118"/>
      <c r="O265" s="118"/>
      <c r="P265" s="118"/>
      <c r="Q265" s="118"/>
      <c r="R265" s="118"/>
      <c r="S265" s="118"/>
      <c r="T265" s="118"/>
      <c r="U265" s="118"/>
    </row>
    <row r="266" spans="2:21">
      <c r="B266" s="118"/>
      <c r="C266" s="118"/>
      <c r="D266" s="118"/>
      <c r="E266" s="118"/>
      <c r="F266" s="118"/>
      <c r="G266" s="118"/>
      <c r="H266" s="118"/>
      <c r="I266" s="118"/>
      <c r="J266" s="118"/>
      <c r="K266" s="118"/>
      <c r="L266" s="118"/>
      <c r="M266" s="118"/>
      <c r="N266" s="118"/>
      <c r="O266" s="118"/>
      <c r="P266" s="118"/>
      <c r="Q266" s="118"/>
      <c r="R266" s="118"/>
      <c r="S266" s="118"/>
      <c r="T266" s="118"/>
      <c r="U266" s="118"/>
    </row>
    <row r="267" spans="2:21">
      <c r="B267" s="118"/>
      <c r="C267" s="118"/>
      <c r="D267" s="118"/>
      <c r="E267" s="118"/>
      <c r="F267" s="118"/>
      <c r="G267" s="118"/>
      <c r="H267" s="118"/>
      <c r="I267" s="118"/>
      <c r="J267" s="118"/>
      <c r="K267" s="118"/>
      <c r="L267" s="118"/>
      <c r="M267" s="118"/>
      <c r="N267" s="118"/>
      <c r="O267" s="118"/>
      <c r="P267" s="118"/>
      <c r="Q267" s="118"/>
      <c r="R267" s="118"/>
      <c r="S267" s="118"/>
      <c r="T267" s="118"/>
      <c r="U267" s="118"/>
    </row>
    <row r="268" spans="2:21">
      <c r="B268" s="118"/>
      <c r="C268" s="118"/>
      <c r="D268" s="118"/>
      <c r="E268" s="118"/>
      <c r="F268" s="118"/>
      <c r="G268" s="118"/>
      <c r="H268" s="118"/>
      <c r="I268" s="118"/>
      <c r="J268" s="118"/>
      <c r="K268" s="118"/>
      <c r="L268" s="118"/>
      <c r="M268" s="118"/>
      <c r="N268" s="118"/>
      <c r="O268" s="118"/>
      <c r="P268" s="118"/>
      <c r="Q268" s="118"/>
      <c r="R268" s="118"/>
      <c r="S268" s="118"/>
      <c r="T268" s="118"/>
      <c r="U268" s="118"/>
    </row>
    <row r="269" spans="2:21">
      <c r="B269" s="118"/>
      <c r="C269" s="118"/>
      <c r="D269" s="118"/>
      <c r="E269" s="118"/>
      <c r="F269" s="118"/>
      <c r="G269" s="118"/>
      <c r="H269" s="118"/>
      <c r="I269" s="118"/>
      <c r="J269" s="118"/>
      <c r="K269" s="118"/>
      <c r="L269" s="118"/>
      <c r="M269" s="118"/>
      <c r="N269" s="118"/>
      <c r="O269" s="118"/>
      <c r="P269" s="118"/>
      <c r="Q269" s="118"/>
      <c r="R269" s="118"/>
      <c r="S269" s="118"/>
      <c r="T269" s="118"/>
      <c r="U269" s="118"/>
    </row>
    <row r="270" spans="2:21">
      <c r="B270" s="118"/>
      <c r="C270" s="118"/>
      <c r="D270" s="118"/>
      <c r="E270" s="118"/>
      <c r="F270" s="118"/>
      <c r="G270" s="118"/>
      <c r="H270" s="118"/>
      <c r="I270" s="118"/>
      <c r="J270" s="118"/>
      <c r="K270" s="118"/>
      <c r="L270" s="118"/>
      <c r="M270" s="118"/>
      <c r="N270" s="118"/>
      <c r="O270" s="118"/>
      <c r="P270" s="118"/>
      <c r="Q270" s="118"/>
      <c r="R270" s="118"/>
      <c r="S270" s="118"/>
      <c r="T270" s="118"/>
      <c r="U270" s="118"/>
    </row>
    <row r="271" spans="2:21">
      <c r="B271" s="118"/>
      <c r="C271" s="118"/>
      <c r="D271" s="118"/>
      <c r="E271" s="118"/>
      <c r="F271" s="118"/>
      <c r="G271" s="118"/>
      <c r="H271" s="118"/>
      <c r="I271" s="118"/>
      <c r="J271" s="118"/>
      <c r="K271" s="118"/>
      <c r="L271" s="118"/>
      <c r="M271" s="118"/>
      <c r="N271" s="118"/>
      <c r="O271" s="118"/>
      <c r="P271" s="118"/>
      <c r="Q271" s="118"/>
      <c r="R271" s="118"/>
      <c r="S271" s="118"/>
      <c r="T271" s="118"/>
      <c r="U271" s="118"/>
    </row>
    <row r="272" spans="2:21">
      <c r="B272" s="118"/>
      <c r="C272" s="118"/>
      <c r="D272" s="118"/>
      <c r="E272" s="118"/>
      <c r="F272" s="118"/>
      <c r="G272" s="118"/>
      <c r="H272" s="118"/>
      <c r="I272" s="118"/>
      <c r="J272" s="118"/>
      <c r="K272" s="118"/>
      <c r="L272" s="118"/>
      <c r="M272" s="118"/>
      <c r="N272" s="118"/>
      <c r="O272" s="118"/>
      <c r="P272" s="118"/>
      <c r="Q272" s="118"/>
      <c r="R272" s="118"/>
      <c r="S272" s="118"/>
      <c r="T272" s="118"/>
      <c r="U272" s="118"/>
    </row>
    <row r="273" spans="2:21">
      <c r="B273" s="118"/>
      <c r="C273" s="118"/>
      <c r="D273" s="118"/>
      <c r="E273" s="118"/>
      <c r="F273" s="118"/>
      <c r="G273" s="118"/>
      <c r="H273" s="118"/>
      <c r="I273" s="118"/>
      <c r="J273" s="118"/>
      <c r="K273" s="118"/>
      <c r="L273" s="118"/>
      <c r="M273" s="118"/>
      <c r="N273" s="118"/>
      <c r="O273" s="118"/>
      <c r="P273" s="118"/>
      <c r="Q273" s="118"/>
      <c r="R273" s="118"/>
      <c r="S273" s="118"/>
      <c r="T273" s="118"/>
      <c r="U273" s="118"/>
    </row>
    <row r="274" spans="2:21">
      <c r="B274" s="118"/>
      <c r="C274" s="118"/>
      <c r="D274" s="118"/>
      <c r="E274" s="118"/>
      <c r="F274" s="118"/>
      <c r="G274" s="118"/>
      <c r="H274" s="118"/>
      <c r="I274" s="118"/>
      <c r="J274" s="118"/>
      <c r="K274" s="118"/>
      <c r="L274" s="118"/>
      <c r="M274" s="118"/>
      <c r="N274" s="118"/>
      <c r="O274" s="118"/>
      <c r="P274" s="118"/>
      <c r="Q274" s="118"/>
      <c r="R274" s="118"/>
      <c r="S274" s="118"/>
      <c r="T274" s="118"/>
      <c r="U274" s="118"/>
    </row>
    <row r="275" spans="2:21">
      <c r="B275" s="118"/>
      <c r="C275" s="118"/>
      <c r="D275" s="118"/>
      <c r="E275" s="118"/>
      <c r="F275" s="118"/>
      <c r="G275" s="118"/>
      <c r="H275" s="118"/>
      <c r="I275" s="118"/>
      <c r="J275" s="118"/>
      <c r="K275" s="118"/>
      <c r="L275" s="118"/>
      <c r="M275" s="118"/>
      <c r="N275" s="118"/>
      <c r="O275" s="118"/>
      <c r="P275" s="118"/>
      <c r="Q275" s="118"/>
      <c r="R275" s="118"/>
      <c r="S275" s="118"/>
      <c r="T275" s="118"/>
      <c r="U275" s="118"/>
    </row>
    <row r="276" spans="2:21">
      <c r="B276" s="118"/>
      <c r="C276" s="118"/>
      <c r="D276" s="118"/>
      <c r="E276" s="118"/>
      <c r="F276" s="118"/>
      <c r="G276" s="118"/>
      <c r="H276" s="118"/>
      <c r="I276" s="118"/>
      <c r="J276" s="118"/>
      <c r="K276" s="118"/>
      <c r="L276" s="118"/>
      <c r="M276" s="118"/>
      <c r="N276" s="118"/>
      <c r="O276" s="118"/>
      <c r="P276" s="118"/>
      <c r="Q276" s="118"/>
      <c r="R276" s="118"/>
      <c r="S276" s="118"/>
      <c r="T276" s="118"/>
      <c r="U276" s="118"/>
    </row>
    <row r="277" spans="2:21">
      <c r="B277" s="118"/>
      <c r="C277" s="118"/>
      <c r="D277" s="118"/>
      <c r="E277" s="118"/>
      <c r="F277" s="118"/>
      <c r="G277" s="118"/>
      <c r="H277" s="118"/>
      <c r="I277" s="118"/>
      <c r="J277" s="118"/>
      <c r="K277" s="118"/>
      <c r="L277" s="118"/>
      <c r="M277" s="118"/>
      <c r="N277" s="118"/>
      <c r="O277" s="118"/>
      <c r="P277" s="118"/>
      <c r="Q277" s="118"/>
      <c r="R277" s="118"/>
      <c r="S277" s="118"/>
      <c r="T277" s="118"/>
      <c r="U277" s="118"/>
    </row>
    <row r="278" spans="2:21">
      <c r="B278" s="118"/>
      <c r="C278" s="118"/>
      <c r="D278" s="118"/>
      <c r="E278" s="118"/>
      <c r="F278" s="118"/>
      <c r="G278" s="118"/>
      <c r="H278" s="118"/>
      <c r="I278" s="118"/>
      <c r="J278" s="118"/>
      <c r="K278" s="118"/>
      <c r="L278" s="118"/>
      <c r="M278" s="118"/>
      <c r="N278" s="118"/>
      <c r="O278" s="118"/>
      <c r="P278" s="118"/>
      <c r="Q278" s="118"/>
      <c r="R278" s="118"/>
      <c r="S278" s="118"/>
      <c r="T278" s="118"/>
      <c r="U278" s="118"/>
    </row>
    <row r="279" spans="2:21">
      <c r="B279" s="118"/>
      <c r="C279" s="118"/>
      <c r="D279" s="118"/>
      <c r="E279" s="118"/>
      <c r="F279" s="118"/>
      <c r="G279" s="118"/>
      <c r="H279" s="118"/>
      <c r="I279" s="118"/>
      <c r="J279" s="118"/>
      <c r="K279" s="118"/>
      <c r="L279" s="118"/>
      <c r="M279" s="118"/>
      <c r="N279" s="118"/>
      <c r="O279" s="118"/>
      <c r="P279" s="118"/>
      <c r="Q279" s="118"/>
      <c r="R279" s="118"/>
      <c r="S279" s="118"/>
      <c r="T279" s="118"/>
      <c r="U279" s="118"/>
    </row>
    <row r="280" spans="2:21">
      <c r="B280" s="118"/>
      <c r="C280" s="118"/>
      <c r="D280" s="118"/>
      <c r="E280" s="118"/>
      <c r="F280" s="118"/>
      <c r="G280" s="118"/>
      <c r="H280" s="118"/>
      <c r="I280" s="118"/>
      <c r="J280" s="118"/>
      <c r="K280" s="118"/>
      <c r="L280" s="118"/>
      <c r="M280" s="118"/>
      <c r="N280" s="118"/>
      <c r="O280" s="118"/>
      <c r="P280" s="118"/>
      <c r="Q280" s="118"/>
      <c r="R280" s="118"/>
      <c r="S280" s="118"/>
      <c r="T280" s="118"/>
      <c r="U280" s="118"/>
    </row>
    <row r="281" spans="2:21">
      <c r="B281" s="118"/>
      <c r="C281" s="118"/>
      <c r="D281" s="118"/>
      <c r="E281" s="118"/>
      <c r="F281" s="118"/>
      <c r="G281" s="118"/>
      <c r="H281" s="118"/>
      <c r="I281" s="118"/>
      <c r="J281" s="118"/>
      <c r="K281" s="118"/>
      <c r="L281" s="118"/>
      <c r="M281" s="118"/>
      <c r="N281" s="118"/>
      <c r="O281" s="118"/>
      <c r="P281" s="118"/>
      <c r="Q281" s="118"/>
      <c r="R281" s="118"/>
      <c r="S281" s="118"/>
      <c r="T281" s="118"/>
      <c r="U281" s="118"/>
    </row>
    <row r="282" spans="2:21">
      <c r="R282" s="118"/>
      <c r="S282" s="118"/>
      <c r="T282" s="118"/>
      <c r="U282" s="118"/>
    </row>
    <row r="283" spans="2:21">
      <c r="R283" s="118"/>
      <c r="S283" s="118"/>
      <c r="T283" s="118"/>
      <c r="U283" s="118"/>
    </row>
    <row r="284" spans="2:21">
      <c r="R284" s="118"/>
      <c r="S284" s="118"/>
      <c r="T284" s="118"/>
      <c r="U284" s="118"/>
    </row>
    <row r="285" spans="2:21">
      <c r="R285" s="118"/>
      <c r="S285" s="118"/>
      <c r="T285" s="118"/>
      <c r="U285" s="118"/>
    </row>
    <row r="286" spans="2:21">
      <c r="R286" s="118"/>
      <c r="S286" s="118"/>
      <c r="T286" s="118"/>
      <c r="U286" s="118"/>
    </row>
    <row r="287" spans="2:21">
      <c r="R287" s="118"/>
      <c r="S287" s="118"/>
      <c r="T287" s="118"/>
      <c r="U287" s="118"/>
    </row>
    <row r="288" spans="2:21">
      <c r="R288" s="118"/>
      <c r="S288" s="118"/>
      <c r="T288" s="118"/>
      <c r="U288" s="118"/>
    </row>
    <row r="289" spans="18:21">
      <c r="R289" s="118"/>
      <c r="S289" s="118"/>
      <c r="T289" s="118"/>
      <c r="U289" s="118"/>
    </row>
    <row r="290" spans="18:21">
      <c r="R290" s="118"/>
      <c r="S290" s="118"/>
      <c r="T290" s="118"/>
      <c r="U290" s="118"/>
    </row>
    <row r="291" spans="18:21">
      <c r="R291" s="118"/>
      <c r="S291" s="118"/>
      <c r="T291" s="118"/>
      <c r="U291" s="118"/>
    </row>
    <row r="292" spans="18:21">
      <c r="R292" s="118"/>
      <c r="S292" s="118"/>
      <c r="T292" s="118"/>
      <c r="U292" s="118"/>
    </row>
    <row r="293" spans="18:21">
      <c r="R293" s="118"/>
      <c r="S293" s="118"/>
      <c r="T293" s="118"/>
      <c r="U293" s="118"/>
    </row>
  </sheetData>
  <mergeCells count="27">
    <mergeCell ref="S7:S8"/>
    <mergeCell ref="C8:C9"/>
    <mergeCell ref="I8:I9"/>
    <mergeCell ref="N7:N9"/>
    <mergeCell ref="L8:L9"/>
    <mergeCell ref="M8:M9"/>
    <mergeCell ref="R7:R8"/>
    <mergeCell ref="T7:T8"/>
    <mergeCell ref="A4:T4"/>
    <mergeCell ref="J8:J9"/>
    <mergeCell ref="D7:E7"/>
    <mergeCell ref="D8:D9"/>
    <mergeCell ref="E8:E9"/>
    <mergeCell ref="F7:I7"/>
    <mergeCell ref="F8:F9"/>
    <mergeCell ref="G8:G9"/>
    <mergeCell ref="H8:H9"/>
    <mergeCell ref="B1:C1"/>
    <mergeCell ref="A178:T179"/>
    <mergeCell ref="A7:A9"/>
    <mergeCell ref="O7:O9"/>
    <mergeCell ref="Q7:Q9"/>
    <mergeCell ref="P7:P9"/>
    <mergeCell ref="J7:M7"/>
    <mergeCell ref="K8:K9"/>
    <mergeCell ref="B7:C7"/>
    <mergeCell ref="B8:B9"/>
  </mergeCells>
  <phoneticPr fontId="43" type="noConversion"/>
  <hyperlinks>
    <hyperlink ref="B1" location="Index!A1" display="Back to Index"/>
    <hyperlink ref="C1" location="Index!A1" display="Index!A1"/>
  </hyperlinks>
  <printOptions horizontalCentered="1" verticalCentered="1"/>
  <pageMargins left="0.79000000000000015" right="0" top="0.98" bottom="0.98" header="0.51" footer="0.51"/>
  <pageSetup paperSize="9" scale="72" orientation="landscape"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enableFormatConditionsCalculation="0">
    <tabColor theme="6" tint="0.39997558519241921"/>
    <pageSetUpPr fitToPage="1"/>
  </sheetPr>
  <dimension ref="A2:W406"/>
  <sheetViews>
    <sheetView workbookViewId="0">
      <pane xSplit="1" ySplit="9" topLeftCell="B10" activePane="bottomRight" state="frozen"/>
      <selection pane="topRight" activeCell="B1" sqref="B1"/>
      <selection pane="bottomLeft" activeCell="A10" sqref="A10"/>
      <selection pane="bottomRight" activeCell="A4" sqref="A4:Q4"/>
    </sheetView>
  </sheetViews>
  <sheetFormatPr baseColWidth="10" defaultColWidth="10.33203125" defaultRowHeight="12" x14ac:dyDescent="0"/>
  <cols>
    <col min="1" max="1" width="8.6640625" style="76" customWidth="1"/>
    <col min="2" max="2" width="9.6640625" style="76" customWidth="1"/>
    <col min="3" max="6" width="9.1640625" style="76" customWidth="1"/>
    <col min="7" max="11" width="8.1640625" style="76" customWidth="1"/>
    <col min="12" max="12" width="8.33203125" style="76" customWidth="1"/>
    <col min="13" max="17" width="8.1640625" style="76" customWidth="1"/>
    <col min="18" max="20" width="8.6640625" style="76" customWidth="1"/>
    <col min="21" max="16384" width="10.33203125" style="76"/>
  </cols>
  <sheetData>
    <row r="2" spans="1:23">
      <c r="B2" s="2252" t="s">
        <v>1416</v>
      </c>
      <c r="C2" s="2252"/>
      <c r="D2" s="75"/>
      <c r="E2" s="75"/>
      <c r="F2" s="75"/>
      <c r="G2" s="231"/>
      <c r="I2" s="75"/>
      <c r="J2" s="75"/>
      <c r="K2" s="75"/>
      <c r="L2" s="75"/>
      <c r="M2" s="75"/>
      <c r="N2" s="75"/>
      <c r="O2" s="75"/>
      <c r="P2" s="75"/>
      <c r="Q2" s="75"/>
    </row>
    <row r="3" spans="1:23" ht="13" thickBot="1">
      <c r="B3" s="231"/>
      <c r="G3" s="231"/>
    </row>
    <row r="4" spans="1:23" ht="19.75" customHeight="1" thickTop="1">
      <c r="A4" s="2264" t="s">
        <v>1443</v>
      </c>
      <c r="B4" s="2265"/>
      <c r="C4" s="2265"/>
      <c r="D4" s="2265"/>
      <c r="E4" s="2265"/>
      <c r="F4" s="2265"/>
      <c r="G4" s="2265"/>
      <c r="H4" s="2265"/>
      <c r="I4" s="2265"/>
      <c r="J4" s="2265"/>
      <c r="K4" s="2265"/>
      <c r="L4" s="2265"/>
      <c r="M4" s="2265"/>
      <c r="N4" s="2265"/>
      <c r="O4" s="2265"/>
      <c r="P4" s="2265"/>
      <c r="Q4" s="2266"/>
    </row>
    <row r="5" spans="1:23">
      <c r="A5" s="120"/>
      <c r="B5" s="83"/>
      <c r="C5" s="83"/>
      <c r="D5" s="83"/>
      <c r="E5" s="83"/>
      <c r="F5" s="83"/>
      <c r="G5" s="83"/>
      <c r="H5" s="83"/>
      <c r="I5" s="83"/>
      <c r="J5" s="83"/>
      <c r="K5" s="83"/>
      <c r="L5" s="83"/>
      <c r="M5" s="83"/>
      <c r="N5" s="83"/>
      <c r="O5" s="83"/>
      <c r="P5" s="83"/>
      <c r="Q5" s="121"/>
    </row>
    <row r="6" spans="1:23">
      <c r="A6" s="120"/>
      <c r="B6" s="358" t="s">
        <v>952</v>
      </c>
      <c r="C6" s="358" t="s">
        <v>953</v>
      </c>
      <c r="D6" s="358" t="s">
        <v>954</v>
      </c>
      <c r="E6" s="358" t="s">
        <v>955</v>
      </c>
      <c r="F6" s="358" t="s">
        <v>956</v>
      </c>
      <c r="G6" s="358" t="s">
        <v>957</v>
      </c>
      <c r="H6" s="358" t="s">
        <v>958</v>
      </c>
      <c r="I6" s="358" t="s">
        <v>959</v>
      </c>
      <c r="J6" s="358" t="s">
        <v>960</v>
      </c>
      <c r="K6" s="358" t="s">
        <v>961</v>
      </c>
      <c r="L6" s="577" t="s">
        <v>962</v>
      </c>
      <c r="M6" s="577" t="s">
        <v>963</v>
      </c>
      <c r="N6" s="577" t="s">
        <v>964</v>
      </c>
      <c r="O6" s="577" t="s">
        <v>965</v>
      </c>
      <c r="P6" s="577" t="s">
        <v>120</v>
      </c>
      <c r="Q6" s="289" t="s">
        <v>121</v>
      </c>
    </row>
    <row r="7" spans="1:23" ht="19.75" customHeight="1">
      <c r="A7" s="2560"/>
      <c r="B7" s="2574" t="s">
        <v>845</v>
      </c>
      <c r="C7" s="2575"/>
      <c r="D7" s="2575"/>
      <c r="E7" s="2575"/>
      <c r="F7" s="2575"/>
      <c r="G7" s="2575"/>
      <c r="H7" s="2575"/>
      <c r="I7" s="2575"/>
      <c r="J7" s="2575"/>
      <c r="K7" s="2575"/>
      <c r="L7" s="2575"/>
      <c r="M7" s="2575"/>
      <c r="N7" s="2575"/>
      <c r="O7" s="2575"/>
      <c r="P7" s="2575"/>
      <c r="Q7" s="2576"/>
    </row>
    <row r="8" spans="1:23" ht="70" customHeight="1">
      <c r="A8" s="2560"/>
      <c r="B8" s="2239" t="s">
        <v>1007</v>
      </c>
      <c r="C8" s="876" t="s">
        <v>1023</v>
      </c>
      <c r="D8" s="876" t="s">
        <v>1024</v>
      </c>
      <c r="E8" s="876" t="s">
        <v>1025</v>
      </c>
      <c r="F8" s="876" t="s">
        <v>1026</v>
      </c>
      <c r="G8" s="879" t="s">
        <v>1008</v>
      </c>
      <c r="H8" s="746" t="s">
        <v>1027</v>
      </c>
      <c r="I8" s="746" t="s">
        <v>1029</v>
      </c>
      <c r="J8" s="746" t="s">
        <v>1028</v>
      </c>
      <c r="K8" s="562" t="s">
        <v>1030</v>
      </c>
      <c r="L8" s="879" t="s">
        <v>1009</v>
      </c>
      <c r="M8" s="746" t="s">
        <v>1031</v>
      </c>
      <c r="N8" s="746" t="s">
        <v>1032</v>
      </c>
      <c r="O8" s="881" t="s">
        <v>1033</v>
      </c>
      <c r="P8" s="746" t="s">
        <v>1034</v>
      </c>
      <c r="Q8" s="747" t="s">
        <v>1035</v>
      </c>
      <c r="U8" s="79" t="s">
        <v>1011</v>
      </c>
      <c r="V8" s="79" t="s">
        <v>1011</v>
      </c>
      <c r="W8" s="79" t="s">
        <v>1012</v>
      </c>
    </row>
    <row r="9" spans="1:23" ht="29" customHeight="1">
      <c r="A9" s="1820"/>
      <c r="B9" s="2240" t="s">
        <v>841</v>
      </c>
      <c r="C9" s="2235"/>
      <c r="D9" s="2235"/>
      <c r="E9" s="2235"/>
      <c r="F9" s="2235"/>
      <c r="G9" s="2236"/>
      <c r="H9" s="2230"/>
      <c r="I9" s="2230"/>
      <c r="J9" s="2230"/>
      <c r="K9" s="2237"/>
      <c r="L9" s="2236"/>
      <c r="M9" s="2230"/>
      <c r="N9" s="2230"/>
      <c r="O9" s="2238"/>
      <c r="P9" s="2230"/>
      <c r="Q9" s="2231"/>
      <c r="U9" s="79"/>
      <c r="V9" s="79"/>
      <c r="W9" s="79"/>
    </row>
    <row r="10" spans="1:23" ht="12" customHeight="1">
      <c r="A10" s="348" t="s">
        <v>1250</v>
      </c>
      <c r="B10" s="575">
        <f t="shared" ref="B10:B15" si="0">B$16</f>
        <v>0.05</v>
      </c>
      <c r="C10" s="335"/>
      <c r="D10" s="335"/>
      <c r="E10" s="78"/>
      <c r="F10" s="2138">
        <f>TableUK5e!F10</f>
        <v>4.6293999999999997E-3</v>
      </c>
      <c r="G10" s="166"/>
      <c r="H10" s="78"/>
      <c r="I10" s="78"/>
      <c r="J10" s="78"/>
      <c r="K10" s="93"/>
      <c r="L10" s="166"/>
      <c r="M10" s="78"/>
      <c r="N10" s="78"/>
      <c r="O10" s="102"/>
      <c r="P10" s="78"/>
      <c r="Q10" s="882"/>
    </row>
    <row r="11" spans="1:23" ht="12" customHeight="1">
      <c r="A11" s="348" t="s">
        <v>1249</v>
      </c>
      <c r="B11" s="575">
        <f t="shared" si="0"/>
        <v>0.05</v>
      </c>
      <c r="C11" s="335"/>
      <c r="D11" s="335"/>
      <c r="E11" s="78"/>
      <c r="F11" s="2138">
        <f>TableUK5e!F11</f>
        <v>4.6293999999999997E-3</v>
      </c>
      <c r="G11" s="166"/>
      <c r="H11" s="78"/>
      <c r="I11" s="78"/>
      <c r="J11" s="78"/>
      <c r="K11" s="93"/>
      <c r="L11" s="166"/>
      <c r="M11" s="78"/>
      <c r="N11" s="78"/>
      <c r="O11" s="102"/>
      <c r="P11" s="78"/>
      <c r="Q11" s="882"/>
    </row>
    <row r="12" spans="1:23" ht="12" customHeight="1">
      <c r="A12" s="348" t="s">
        <v>1251</v>
      </c>
      <c r="B12" s="575">
        <f t="shared" si="0"/>
        <v>0.05</v>
      </c>
      <c r="C12" s="335"/>
      <c r="D12" s="335"/>
      <c r="E12" s="78"/>
      <c r="F12" s="2138">
        <f>TableUK5e!F12</f>
        <v>4.6293999999999997E-3</v>
      </c>
      <c r="G12" s="166"/>
      <c r="H12" s="78"/>
      <c r="I12" s="78"/>
      <c r="J12" s="78"/>
      <c r="K12" s="93"/>
      <c r="L12" s="166"/>
      <c r="M12" s="78"/>
      <c r="N12" s="78"/>
      <c r="O12" s="102"/>
      <c r="P12" s="78"/>
      <c r="Q12" s="882"/>
    </row>
    <row r="13" spans="1:23" ht="12" customHeight="1">
      <c r="A13" s="348" t="s">
        <v>1252</v>
      </c>
      <c r="B13" s="575">
        <f t="shared" si="0"/>
        <v>0.05</v>
      </c>
      <c r="C13" s="335"/>
      <c r="D13" s="335"/>
      <c r="E13" s="78"/>
      <c r="F13" s="2138">
        <f>TableUK5e!F13</f>
        <v>4.6293999999999997E-3</v>
      </c>
      <c r="G13" s="166"/>
      <c r="H13" s="78"/>
      <c r="I13" s="78"/>
      <c r="J13" s="78"/>
      <c r="K13" s="93"/>
      <c r="L13" s="166"/>
      <c r="M13" s="78"/>
      <c r="N13" s="78"/>
      <c r="O13" s="102"/>
      <c r="P13" s="78"/>
      <c r="Q13" s="882"/>
    </row>
    <row r="14" spans="1:23" ht="12" customHeight="1">
      <c r="A14" s="748" t="s">
        <v>1253</v>
      </c>
      <c r="B14" s="878">
        <f t="shared" si="0"/>
        <v>0.05</v>
      </c>
      <c r="C14" s="753"/>
      <c r="D14" s="753"/>
      <c r="E14" s="1193"/>
      <c r="F14" s="2139">
        <f>TableUK5e!F14</f>
        <v>4.6293999999999997E-3</v>
      </c>
      <c r="G14" s="1904"/>
      <c r="H14" s="1193"/>
      <c r="I14" s="1193"/>
      <c r="J14" s="1193"/>
      <c r="K14" s="1902"/>
      <c r="L14" s="1904"/>
      <c r="M14" s="1193"/>
      <c r="N14" s="1193"/>
      <c r="O14" s="1903"/>
      <c r="P14" s="1193"/>
      <c r="Q14" s="1194"/>
    </row>
    <row r="15" spans="1:23" ht="12" customHeight="1">
      <c r="A15" s="348" t="s">
        <v>1254</v>
      </c>
      <c r="B15" s="575">
        <f t="shared" si="0"/>
        <v>0.05</v>
      </c>
      <c r="C15" s="335"/>
      <c r="D15" s="335"/>
      <c r="E15" s="78"/>
      <c r="F15" s="2138">
        <f>TableUK5e!F15</f>
        <v>6.8654500000000004E-3</v>
      </c>
      <c r="G15" s="166"/>
      <c r="H15" s="78"/>
      <c r="I15" s="78"/>
      <c r="J15" s="78"/>
      <c r="K15" s="93"/>
      <c r="L15" s="166"/>
      <c r="M15" s="78"/>
      <c r="N15" s="78"/>
      <c r="O15" s="102"/>
      <c r="P15" s="78"/>
      <c r="Q15" s="882"/>
    </row>
    <row r="16" spans="1:23" ht="12" customHeight="1">
      <c r="A16" s="348" t="s">
        <v>1255</v>
      </c>
      <c r="B16" s="575">
        <f>G16-L16</f>
        <v>0.05</v>
      </c>
      <c r="C16" s="335"/>
      <c r="D16" s="335"/>
      <c r="E16" s="78"/>
      <c r="F16" s="2138">
        <f>TableUK5e!F16</f>
        <v>6.8654500000000004E-3</v>
      </c>
      <c r="G16" s="575">
        <v>0.08</v>
      </c>
      <c r="H16" s="1428"/>
      <c r="I16" s="78"/>
      <c r="J16" s="78"/>
      <c r="K16" s="93"/>
      <c r="L16" s="575">
        <v>0.03</v>
      </c>
      <c r="M16" s="78"/>
      <c r="N16" s="78"/>
      <c r="O16" s="102"/>
      <c r="P16" s="78"/>
      <c r="Q16" s="882"/>
    </row>
    <row r="17" spans="1:23" ht="12" customHeight="1">
      <c r="A17" s="348" t="s">
        <v>1256</v>
      </c>
      <c r="B17" s="575">
        <f t="shared" ref="B17:B24" si="1">G17-L17</f>
        <v>0.06</v>
      </c>
      <c r="C17" s="335"/>
      <c r="D17" s="335"/>
      <c r="E17" s="78"/>
      <c r="F17" s="2138">
        <f>TableUK5e!F17</f>
        <v>6.8654500000000004E-3</v>
      </c>
      <c r="G17" s="575">
        <v>0.09</v>
      </c>
      <c r="H17" s="78"/>
      <c r="I17" s="78"/>
      <c r="J17" s="78"/>
      <c r="K17" s="93"/>
      <c r="L17" s="575">
        <v>0.03</v>
      </c>
      <c r="M17" s="78"/>
      <c r="N17" s="78"/>
      <c r="O17" s="102"/>
      <c r="P17" s="78"/>
      <c r="Q17" s="882"/>
    </row>
    <row r="18" spans="1:23" ht="12" customHeight="1">
      <c r="A18" s="348" t="s">
        <v>1257</v>
      </c>
      <c r="B18" s="575">
        <f t="shared" si="1"/>
        <v>0.09</v>
      </c>
      <c r="C18" s="335"/>
      <c r="D18" s="335"/>
      <c r="E18" s="78"/>
      <c r="F18" s="2138">
        <f>TableUK5e!F18</f>
        <v>6.8654500000000004E-3</v>
      </c>
      <c r="G18" s="575">
        <v>0.12</v>
      </c>
      <c r="H18" s="78"/>
      <c r="I18" s="78"/>
      <c r="J18" s="78"/>
      <c r="K18" s="93"/>
      <c r="L18" s="575">
        <v>0.03</v>
      </c>
      <c r="M18" s="78"/>
      <c r="N18" s="78"/>
      <c r="O18" s="102"/>
      <c r="P18" s="78"/>
      <c r="Q18" s="882"/>
    </row>
    <row r="19" spans="1:23" ht="12" customHeight="1">
      <c r="A19" s="748" t="s">
        <v>1258</v>
      </c>
      <c r="B19" s="878">
        <f t="shared" si="1"/>
        <v>0.1</v>
      </c>
      <c r="C19" s="753"/>
      <c r="D19" s="753"/>
      <c r="E19" s="1193"/>
      <c r="F19" s="2139">
        <f>TableUK5e!F19</f>
        <v>6.8654500000000004E-3</v>
      </c>
      <c r="G19" s="878">
        <v>0.13</v>
      </c>
      <c r="H19" s="752"/>
      <c r="I19" s="1193"/>
      <c r="J19" s="1193"/>
      <c r="K19" s="1902"/>
      <c r="L19" s="878">
        <v>0.03</v>
      </c>
      <c r="M19" s="1193"/>
      <c r="N19" s="1193"/>
      <c r="O19" s="1903"/>
      <c r="P19" s="1193"/>
      <c r="Q19" s="1194"/>
    </row>
    <row r="20" spans="1:23" ht="12" customHeight="1">
      <c r="A20" s="348" t="s">
        <v>1259</v>
      </c>
      <c r="B20" s="575">
        <f t="shared" si="1"/>
        <v>0.08</v>
      </c>
      <c r="C20" s="335"/>
      <c r="D20" s="335"/>
      <c r="E20" s="78"/>
      <c r="F20" s="2138">
        <f>TableUK5e!F20</f>
        <v>6.8654500000000004E-3</v>
      </c>
      <c r="G20" s="575">
        <v>0.11</v>
      </c>
      <c r="H20" s="78"/>
      <c r="I20" s="78"/>
      <c r="J20" s="78"/>
      <c r="K20" s="93"/>
      <c r="L20" s="575">
        <v>0.03</v>
      </c>
      <c r="M20" s="78"/>
      <c r="N20" s="78"/>
      <c r="O20" s="102"/>
      <c r="P20" s="78"/>
      <c r="Q20" s="882"/>
    </row>
    <row r="21" spans="1:23" ht="12" customHeight="1">
      <c r="A21" s="348" t="s">
        <v>1260</v>
      </c>
      <c r="B21" s="575">
        <f t="shared" si="1"/>
        <v>6.5368467030682137E-2</v>
      </c>
      <c r="C21" s="335"/>
      <c r="D21" s="335"/>
      <c r="E21" s="78"/>
      <c r="F21" s="2138">
        <f>TableUK5e!F21</f>
        <v>1.02735E-2</v>
      </c>
      <c r="G21" s="575">
        <v>0.11</v>
      </c>
      <c r="H21" s="78"/>
      <c r="I21" s="78"/>
      <c r="J21" s="78"/>
      <c r="K21" s="93"/>
      <c r="L21" s="575">
        <f>L$25</f>
        <v>4.4631532969317871E-2</v>
      </c>
      <c r="M21" s="78"/>
      <c r="N21" s="78"/>
      <c r="O21" s="102"/>
      <c r="P21" s="78"/>
      <c r="Q21" s="882"/>
    </row>
    <row r="22" spans="1:23" ht="12" customHeight="1">
      <c r="A22" s="348" t="s">
        <v>1261</v>
      </c>
      <c r="B22" s="575">
        <f t="shared" si="1"/>
        <v>7.5368467030682118E-2</v>
      </c>
      <c r="C22" s="335"/>
      <c r="D22" s="335"/>
      <c r="E22" s="78"/>
      <c r="F22" s="2138">
        <f>TableUK5e!F22</f>
        <v>1.02735E-2</v>
      </c>
      <c r="G22" s="575">
        <v>0.12</v>
      </c>
      <c r="H22" s="78"/>
      <c r="I22" s="78"/>
      <c r="J22" s="78"/>
      <c r="K22" s="93"/>
      <c r="L22" s="575">
        <f>L$25</f>
        <v>4.4631532969317871E-2</v>
      </c>
      <c r="M22" s="78"/>
      <c r="N22" s="78"/>
      <c r="O22" s="102"/>
      <c r="P22" s="78"/>
      <c r="Q22" s="882"/>
    </row>
    <row r="23" spans="1:23" ht="12" customHeight="1">
      <c r="A23" s="348" t="s">
        <v>1262</v>
      </c>
      <c r="B23" s="575">
        <f t="shared" si="1"/>
        <v>7.5368467030682118E-2</v>
      </c>
      <c r="C23" s="335"/>
      <c r="D23" s="335"/>
      <c r="E23" s="78"/>
      <c r="F23" s="2138">
        <f>TableUK5e!F23</f>
        <v>1.02735E-2</v>
      </c>
      <c r="G23" s="575">
        <v>0.12</v>
      </c>
      <c r="H23" s="78"/>
      <c r="I23" s="78"/>
      <c r="J23" s="78"/>
      <c r="K23" s="93"/>
      <c r="L23" s="575">
        <f>L$25</f>
        <v>4.4631532969317871E-2</v>
      </c>
      <c r="M23" s="78"/>
      <c r="N23" s="78"/>
      <c r="O23" s="102"/>
      <c r="P23" s="78"/>
      <c r="Q23" s="882"/>
    </row>
    <row r="24" spans="1:23" ht="12" customHeight="1">
      <c r="A24" s="748" t="s">
        <v>1263</v>
      </c>
      <c r="B24" s="878">
        <f t="shared" si="1"/>
        <v>6.5368467030682137E-2</v>
      </c>
      <c r="C24" s="753"/>
      <c r="D24" s="753"/>
      <c r="E24" s="1193"/>
      <c r="F24" s="2139">
        <f>TableUK5e!F24</f>
        <v>1.02735E-2</v>
      </c>
      <c r="G24" s="878">
        <v>0.11</v>
      </c>
      <c r="H24" s="1193"/>
      <c r="I24" s="1193"/>
      <c r="J24" s="1193"/>
      <c r="K24" s="1902"/>
      <c r="L24" s="878">
        <f>L$25</f>
        <v>4.4631532969317871E-2</v>
      </c>
      <c r="M24" s="1193"/>
      <c r="N24" s="1193"/>
      <c r="O24" s="1903"/>
      <c r="P24" s="1193"/>
      <c r="Q24" s="1194"/>
    </row>
    <row r="25" spans="1:23" ht="12" customHeight="1">
      <c r="A25" s="348">
        <v>1855</v>
      </c>
      <c r="B25" s="575">
        <f t="shared" ref="B25:B56" si="2">C25+F25</f>
        <v>4.4111264928106936E-2</v>
      </c>
      <c r="C25" s="386">
        <f t="shared" ref="C25:C87" si="3">H25-M25</f>
        <v>4.137807180678181E-2</v>
      </c>
      <c r="D25" s="544"/>
      <c r="E25" s="544"/>
      <c r="F25" s="544">
        <f t="shared" ref="F25:F87" si="4">K25-Q25</f>
        <v>2.7331931213251288E-3</v>
      </c>
      <c r="G25" s="575">
        <f>TableUK12b!I25</f>
        <v>8.8742797897424813E-2</v>
      </c>
      <c r="H25" s="544">
        <f t="shared" ref="H25:H87" si="5">G25-K25</f>
        <v>8.0874624911952353E-2</v>
      </c>
      <c r="I25" s="386"/>
      <c r="J25" s="386"/>
      <c r="K25" s="576">
        <f>(DataUK1!$GP13)/DataUK1!$G13</f>
        <v>7.8681729854724585E-3</v>
      </c>
      <c r="L25" s="575">
        <f t="shared" ref="L25:L65" si="6">M25+Q25</f>
        <v>4.4631532969317871E-2</v>
      </c>
      <c r="M25" s="544">
        <f t="shared" ref="M25:M65" si="7">N25+P25</f>
        <v>3.9496553105170543E-2</v>
      </c>
      <c r="N25" s="386">
        <f>(DataUK1!$X13+DataUK1!$BT13)/DataUK1!$G13</f>
        <v>3.2883942883122068E-2</v>
      </c>
      <c r="O25" s="386">
        <f>(DataUK1!$X13)/DataUK1!$G13</f>
        <v>9.2429637554651937E-3</v>
      </c>
      <c r="P25" s="386">
        <f>(DataUK1!$CQ13)/DataUK1!$G13</f>
        <v>6.6126102220484756E-3</v>
      </c>
      <c r="Q25" s="883">
        <f>(DataUK1!$DK13)/DataUK1!$G13</f>
        <v>5.1349798641473297E-3</v>
      </c>
      <c r="U25" s="563">
        <f>TableUK12b!F25-TableUK12d!B25</f>
        <v>0</v>
      </c>
      <c r="V25" s="563">
        <f>TableUK12b!I25-TableUK12d!G25</f>
        <v>0</v>
      </c>
      <c r="W25" s="563">
        <f>TableUK12b!J25-TableUK12d!L25</f>
        <v>0</v>
      </c>
    </row>
    <row r="26" spans="1:23" ht="12" customHeight="1">
      <c r="A26" s="348">
        <v>1856</v>
      </c>
      <c r="B26" s="575">
        <f t="shared" si="2"/>
        <v>4.139510592392686E-2</v>
      </c>
      <c r="C26" s="386">
        <f t="shared" si="3"/>
        <v>3.902189099888146E-2</v>
      </c>
      <c r="D26" s="544"/>
      <c r="E26" s="544"/>
      <c r="F26" s="544">
        <f t="shared" si="4"/>
        <v>2.373214925045399E-3</v>
      </c>
      <c r="G26" s="575">
        <f>TableUK12b!I26</f>
        <v>8.4496152161497709E-2</v>
      </c>
      <c r="H26" s="544">
        <f t="shared" si="5"/>
        <v>7.7004498105447725E-2</v>
      </c>
      <c r="I26" s="386"/>
      <c r="J26" s="386"/>
      <c r="K26" s="576">
        <f>(DataUK1!$GP14)/DataUK1!$G14</f>
        <v>7.4916540560499801E-3</v>
      </c>
      <c r="L26" s="575">
        <f t="shared" si="6"/>
        <v>4.3101046237570842E-2</v>
      </c>
      <c r="M26" s="544">
        <f t="shared" si="7"/>
        <v>3.7982607106566264E-2</v>
      </c>
      <c r="N26" s="386">
        <f>(DataUK1!$X14+DataUK1!$BT14)/DataUK1!$G14</f>
        <v>3.2717365556715075E-2</v>
      </c>
      <c r="O26" s="386">
        <f>(DataUK1!$X14)/DataUK1!$G14</f>
        <v>9.2131904358082467E-3</v>
      </c>
      <c r="P26" s="386">
        <f>(DataUK1!$CQ14)/DataUK1!$G14</f>
        <v>5.2652415498511875E-3</v>
      </c>
      <c r="Q26" s="883">
        <f>(DataUK1!$DK14)/DataUK1!$G14</f>
        <v>5.1184391310045811E-3</v>
      </c>
      <c r="U26" s="563">
        <f>TableUK12b!F26-TableUK12d!B26</f>
        <v>0</v>
      </c>
      <c r="V26" s="563">
        <f>TableUK12b!I26-TableUK12d!G26</f>
        <v>0</v>
      </c>
      <c r="W26" s="563">
        <f>TableUK12b!J26-TableUK12d!L26</f>
        <v>0</v>
      </c>
    </row>
    <row r="27" spans="1:23" ht="12" customHeight="1">
      <c r="A27" s="348">
        <v>1857</v>
      </c>
      <c r="B27" s="575">
        <f t="shared" si="2"/>
        <v>3.1678105039429152E-2</v>
      </c>
      <c r="C27" s="386">
        <f t="shared" si="3"/>
        <v>2.9172756022108712E-2</v>
      </c>
      <c r="D27" s="544"/>
      <c r="E27" s="544"/>
      <c r="F27" s="544">
        <f t="shared" si="4"/>
        <v>2.5053490173204407E-3</v>
      </c>
      <c r="G27" s="575">
        <f>TableUK12b!I27</f>
        <v>7.5174598865056105E-2</v>
      </c>
      <c r="H27" s="544">
        <f t="shared" si="5"/>
        <v>6.7557249955007809E-2</v>
      </c>
      <c r="I27" s="386"/>
      <c r="J27" s="386"/>
      <c r="K27" s="576">
        <f>(DataUK1!$GP15)/DataUK1!$G15</f>
        <v>7.6173489100483018E-3</v>
      </c>
      <c r="L27" s="575">
        <f t="shared" si="6"/>
        <v>4.349649382562696E-2</v>
      </c>
      <c r="M27" s="544">
        <f t="shared" si="7"/>
        <v>3.8384493932899097E-2</v>
      </c>
      <c r="N27" s="386">
        <f>(DataUK1!$X15+DataUK1!$BT15)/DataUK1!$G15</f>
        <v>3.3060628501658466E-2</v>
      </c>
      <c r="O27" s="386">
        <f>(DataUK1!$X15)/DataUK1!$G15</f>
        <v>9.2015998069101511E-3</v>
      </c>
      <c r="P27" s="386">
        <f>(DataUK1!$CQ15)/DataUK1!$G15</f>
        <v>5.323865431240628E-3</v>
      </c>
      <c r="Q27" s="883">
        <f>(DataUK1!$DK15)/DataUK1!$G15</f>
        <v>5.1119998927278611E-3</v>
      </c>
      <c r="U27" s="563">
        <f>TableUK12b!F27-TableUK12d!B27</f>
        <v>0</v>
      </c>
      <c r="V27" s="563">
        <f>TableUK12b!I27-TableUK12d!G27</f>
        <v>0</v>
      </c>
      <c r="W27" s="563">
        <f>TableUK12b!J27-TableUK12d!L27</f>
        <v>0</v>
      </c>
    </row>
    <row r="28" spans="1:23" ht="12" customHeight="1">
      <c r="A28" s="348">
        <v>1858</v>
      </c>
      <c r="B28" s="575">
        <f t="shared" si="2"/>
        <v>2.9302029488429259E-2</v>
      </c>
      <c r="C28" s="386">
        <f t="shared" si="3"/>
        <v>2.6701223191675151E-2</v>
      </c>
      <c r="D28" s="544"/>
      <c r="E28" s="544"/>
      <c r="F28" s="544">
        <f t="shared" si="4"/>
        <v>2.600806296754108E-3</v>
      </c>
      <c r="G28" s="575">
        <f>TableUK12b!I28</f>
        <v>7.3983411254836179E-2</v>
      </c>
      <c r="H28" s="544">
        <f t="shared" si="5"/>
        <v>6.6266274280802534E-2</v>
      </c>
      <c r="I28" s="386"/>
      <c r="J28" s="386"/>
      <c r="K28" s="576">
        <f>(DataUK1!$GP16)/DataUK1!$G16</f>
        <v>7.717136974033644E-3</v>
      </c>
      <c r="L28" s="575">
        <f t="shared" si="6"/>
        <v>4.4681381766406916E-2</v>
      </c>
      <c r="M28" s="544">
        <f t="shared" si="7"/>
        <v>3.9565051089127383E-2</v>
      </c>
      <c r="N28" s="386">
        <f>(DataUK1!$X16+DataUK1!$BT16)/DataUK1!$G16</f>
        <v>3.227174318932529E-2</v>
      </c>
      <c r="O28" s="386">
        <f>(DataUK1!$X16)/DataUK1!$G16</f>
        <v>9.2093952191031649E-3</v>
      </c>
      <c r="P28" s="386">
        <f>(DataUK1!$CQ16)/DataUK1!$G16</f>
        <v>7.2933078998020902E-3</v>
      </c>
      <c r="Q28" s="883">
        <f>(DataUK1!$DK16)/DataUK1!$G16</f>
        <v>5.1163306772795359E-3</v>
      </c>
      <c r="U28" s="563">
        <f>TableUK12b!F28-TableUK12d!B28</f>
        <v>0</v>
      </c>
      <c r="V28" s="563">
        <f>TableUK12b!I28-TableUK12d!G28</f>
        <v>0</v>
      </c>
      <c r="W28" s="563">
        <f>TableUK12b!J28-TableUK12d!L28</f>
        <v>0</v>
      </c>
    </row>
    <row r="29" spans="1:23" ht="12" customHeight="1">
      <c r="A29" s="748">
        <v>1859</v>
      </c>
      <c r="B29" s="878">
        <f t="shared" si="2"/>
        <v>3.4658525724588718E-2</v>
      </c>
      <c r="C29" s="880">
        <f t="shared" si="3"/>
        <v>3.2372435782778389E-2</v>
      </c>
      <c r="D29" s="877"/>
      <c r="E29" s="877"/>
      <c r="F29" s="877">
        <f t="shared" si="4"/>
        <v>2.2860899418103292E-3</v>
      </c>
      <c r="G29" s="878">
        <f>TableUK12b!I29</f>
        <v>7.7088944887969232E-2</v>
      </c>
      <c r="H29" s="877">
        <f t="shared" si="5"/>
        <v>6.9699851572357613E-2</v>
      </c>
      <c r="I29" s="880"/>
      <c r="J29" s="880"/>
      <c r="K29" s="779">
        <f>(DataUK1!$GP17)/DataUK1!$G17</f>
        <v>7.3890933156116178E-3</v>
      </c>
      <c r="L29" s="878">
        <f t="shared" si="6"/>
        <v>4.2430419163380514E-2</v>
      </c>
      <c r="M29" s="877">
        <f t="shared" si="7"/>
        <v>3.7327415789579224E-2</v>
      </c>
      <c r="N29" s="880">
        <f>(DataUK1!$X17+DataUK1!$BT17)/DataUK1!$G17</f>
        <v>3.1422896487093878E-2</v>
      </c>
      <c r="O29" s="880">
        <f>(DataUK1!$X17)/DataUK1!$G17</f>
        <v>9.1854060728423191E-3</v>
      </c>
      <c r="P29" s="880">
        <f>(DataUK1!$CQ17)/DataUK1!$G17</f>
        <v>5.9045193024853471E-3</v>
      </c>
      <c r="Q29" s="884">
        <f>(DataUK1!$DK17)/DataUK1!$G17</f>
        <v>5.1030033738012886E-3</v>
      </c>
      <c r="U29" s="563">
        <f>TableUK12b!F29-TableUK12d!B29</f>
        <v>0</v>
      </c>
      <c r="V29" s="563">
        <f>TableUK12b!I29-TableUK12d!G29</f>
        <v>0</v>
      </c>
      <c r="W29" s="563">
        <f>TableUK12b!J29-TableUK12d!L29</f>
        <v>0</v>
      </c>
    </row>
    <row r="30" spans="1:23" ht="12" customHeight="1">
      <c r="A30" s="348">
        <v>1860</v>
      </c>
      <c r="B30" s="575">
        <f t="shared" si="2"/>
        <v>3.8778745903477879E-2</v>
      </c>
      <c r="C30" s="386">
        <f t="shared" si="3"/>
        <v>3.4986520521771293E-2</v>
      </c>
      <c r="D30" s="544"/>
      <c r="E30" s="544"/>
      <c r="F30" s="544">
        <f t="shared" si="4"/>
        <v>3.792225381706588E-3</v>
      </c>
      <c r="G30" s="575">
        <f>TableUK12b!I30</f>
        <v>8.0137289260988023E-2</v>
      </c>
      <c r="H30" s="544">
        <f t="shared" si="5"/>
        <v>7.1255807193830401E-2</v>
      </c>
      <c r="I30" s="386"/>
      <c r="J30" s="386"/>
      <c r="K30" s="576">
        <f>(DataUK1!$GP18)/DataUK1!$G18</f>
        <v>8.8814820671576245E-3</v>
      </c>
      <c r="L30" s="575">
        <f t="shared" si="6"/>
        <v>4.1358543357510144E-2</v>
      </c>
      <c r="M30" s="544">
        <f t="shared" si="7"/>
        <v>3.6269286672059108E-2</v>
      </c>
      <c r="N30" s="386">
        <f>(DataUK1!$X18+DataUK1!$BT18)/DataUK1!$G18</f>
        <v>3.1009936116765949E-2</v>
      </c>
      <c r="O30" s="386">
        <f>(DataUK1!$X18)/DataUK1!$G18</f>
        <v>9.1606620338118682E-3</v>
      </c>
      <c r="P30" s="386">
        <f>(DataUK1!$CQ18)/DataUK1!$G18</f>
        <v>5.2593505552931599E-3</v>
      </c>
      <c r="Q30" s="883">
        <f>(DataUK1!$DK18)/DataUK1!$G18</f>
        <v>5.0892566854510365E-3</v>
      </c>
      <c r="U30" s="563">
        <f>TableUK12b!F30-TableUK12d!B30</f>
        <v>0</v>
      </c>
      <c r="V30" s="563">
        <f>TableUK12b!I30-TableUK12d!G30</f>
        <v>0</v>
      </c>
      <c r="W30" s="563">
        <f>TableUK12b!J30-TableUK12d!L30</f>
        <v>0</v>
      </c>
    </row>
    <row r="31" spans="1:23" ht="12" customHeight="1">
      <c r="A31" s="348">
        <v>1861</v>
      </c>
      <c r="B31" s="575">
        <f t="shared" si="2"/>
        <v>4.7747252128067935E-2</v>
      </c>
      <c r="C31" s="386">
        <f t="shared" si="3"/>
        <v>4.6075809450610711E-2</v>
      </c>
      <c r="D31" s="544"/>
      <c r="E31" s="544"/>
      <c r="F31" s="544">
        <f t="shared" si="4"/>
        <v>1.6714426774572235E-3</v>
      </c>
      <c r="G31" s="575">
        <f>TableUK12b!I31</f>
        <v>8.7587562996941981E-2</v>
      </c>
      <c r="H31" s="544">
        <f t="shared" si="5"/>
        <v>8.0834739709830766E-2</v>
      </c>
      <c r="I31" s="386"/>
      <c r="J31" s="386"/>
      <c r="K31" s="576">
        <f>(DataUK1!$GP19)/DataUK1!$G19</f>
        <v>6.7528232871112183E-3</v>
      </c>
      <c r="L31" s="575">
        <f t="shared" si="6"/>
        <v>3.9840310868874053E-2</v>
      </c>
      <c r="M31" s="544">
        <f t="shared" si="7"/>
        <v>3.4758930259220056E-2</v>
      </c>
      <c r="N31" s="386">
        <f>(DataUK1!$X19+DataUK1!$BT19)/DataUK1!$G19</f>
        <v>3.1171844095609382E-2</v>
      </c>
      <c r="O31" s="386">
        <f>(DataUK1!$X19)/DataUK1!$G19</f>
        <v>9.146485097377189E-3</v>
      </c>
      <c r="P31" s="386">
        <f>(DataUK1!$CQ19)/DataUK1!$G19</f>
        <v>3.5870861636106703E-3</v>
      </c>
      <c r="Q31" s="883">
        <f>(DataUK1!$DK19)/DataUK1!$G19</f>
        <v>5.0813806096539947E-3</v>
      </c>
      <c r="U31" s="563">
        <f>TableUK12b!F31-TableUK12d!B31</f>
        <v>0</v>
      </c>
      <c r="V31" s="563">
        <f>TableUK12b!I31-TableUK12d!G31</f>
        <v>0</v>
      </c>
      <c r="W31" s="563">
        <f>TableUK12b!J31-TableUK12d!L31</f>
        <v>0</v>
      </c>
    </row>
    <row r="32" spans="1:23" ht="12" customHeight="1">
      <c r="A32" s="348">
        <v>1862</v>
      </c>
      <c r="B32" s="575">
        <f t="shared" si="2"/>
        <v>5.2417966557593343E-2</v>
      </c>
      <c r="C32" s="386">
        <f t="shared" si="3"/>
        <v>4.9293898015355851E-2</v>
      </c>
      <c r="D32" s="544"/>
      <c r="E32" s="544"/>
      <c r="F32" s="544">
        <f t="shared" si="4"/>
        <v>3.1240685422374952E-3</v>
      </c>
      <c r="G32" s="575">
        <f>TableUK12b!I32</f>
        <v>9.2532290480169421E-2</v>
      </c>
      <c r="H32" s="544">
        <f t="shared" si="5"/>
        <v>8.4328130982274152E-2</v>
      </c>
      <c r="I32" s="386"/>
      <c r="J32" s="386"/>
      <c r="K32" s="576">
        <f>(DataUK1!$GP20)/DataUK1!$G20</f>
        <v>8.2041594978952709E-3</v>
      </c>
      <c r="L32" s="575">
        <f t="shared" si="6"/>
        <v>4.0114323922576078E-2</v>
      </c>
      <c r="M32" s="544">
        <f t="shared" si="7"/>
        <v>3.5034232966918301E-2</v>
      </c>
      <c r="N32" s="386">
        <f>(DataUK1!$X20+DataUK1!$BT20)/DataUK1!$G20</f>
        <v>3.0809374024327658E-2</v>
      </c>
      <c r="O32" s="386">
        <f>(DataUK1!$X20)/DataUK1!$G20</f>
        <v>9.1441637201839943E-3</v>
      </c>
      <c r="P32" s="386">
        <f>(DataUK1!$CQ20)/DataUK1!$G20</f>
        <v>4.2248589425906424E-3</v>
      </c>
      <c r="Q32" s="883">
        <f>(DataUK1!$DK20)/DataUK1!$G20</f>
        <v>5.0800909556577758E-3</v>
      </c>
      <c r="U32" s="563">
        <f>TableUK12b!F32-TableUK12d!B32</f>
        <v>0</v>
      </c>
      <c r="V32" s="563">
        <f>TableUK12b!I32-TableUK12d!G32</f>
        <v>0</v>
      </c>
      <c r="W32" s="563">
        <f>TableUK12b!J32-TableUK12d!L32</f>
        <v>0</v>
      </c>
    </row>
    <row r="33" spans="1:23" ht="12" customHeight="1">
      <c r="A33" s="348">
        <v>1863</v>
      </c>
      <c r="B33" s="575">
        <f t="shared" si="2"/>
        <v>7.1146025173445426E-2</v>
      </c>
      <c r="C33" s="386">
        <f t="shared" si="3"/>
        <v>6.8364555604573357E-2</v>
      </c>
      <c r="D33" s="544"/>
      <c r="E33" s="544"/>
      <c r="F33" s="544">
        <f t="shared" si="4"/>
        <v>2.7814695688720623E-3</v>
      </c>
      <c r="G33" s="575">
        <f>TableUK12b!I33</f>
        <v>0.11182899958451564</v>
      </c>
      <c r="H33" s="544">
        <f t="shared" si="5"/>
        <v>0.10395990660189111</v>
      </c>
      <c r="I33" s="386"/>
      <c r="J33" s="386"/>
      <c r="K33" s="576">
        <f>(DataUK1!$GP21)/DataUK1!$G21</f>
        <v>7.8690929826245298E-3</v>
      </c>
      <c r="L33" s="575">
        <f t="shared" si="6"/>
        <v>4.0682974411070223E-2</v>
      </c>
      <c r="M33" s="544">
        <f t="shared" si="7"/>
        <v>3.5595350997317754E-2</v>
      </c>
      <c r="N33" s="386">
        <f>(DataUK1!$X21+DataUK1!$BT21)/DataUK1!$G21</f>
        <v>3.0681019980365813E-2</v>
      </c>
      <c r="O33" s="386">
        <f>(DataUK1!$X21)/DataUK1!$G21</f>
        <v>9.1577221447544446E-3</v>
      </c>
      <c r="P33" s="386">
        <f>(DataUK1!$CQ21)/DataUK1!$G21</f>
        <v>4.9143310169519443E-3</v>
      </c>
      <c r="Q33" s="883">
        <f>(DataUK1!$DK21)/DataUK1!$G21</f>
        <v>5.0876234137524675E-3</v>
      </c>
      <c r="U33" s="563">
        <f>TableUK12b!F33-TableUK12d!B33</f>
        <v>0</v>
      </c>
      <c r="V33" s="563">
        <f>TableUK12b!I33-TableUK12d!G33</f>
        <v>0</v>
      </c>
      <c r="W33" s="563">
        <f>TableUK12b!J33-TableUK12d!L33</f>
        <v>0</v>
      </c>
    </row>
    <row r="34" spans="1:23" ht="12" customHeight="1">
      <c r="A34" s="348">
        <v>1864</v>
      </c>
      <c r="B34" s="575">
        <f t="shared" si="2"/>
        <v>9.0307793687350854E-2</v>
      </c>
      <c r="C34" s="386">
        <f t="shared" si="3"/>
        <v>8.7811479422309754E-2</v>
      </c>
      <c r="D34" s="544"/>
      <c r="E34" s="544"/>
      <c r="F34" s="544">
        <f t="shared" si="4"/>
        <v>2.4963142650410971E-3</v>
      </c>
      <c r="G34" s="575">
        <f>TableUK12b!I34</f>
        <v>0.13167096399044811</v>
      </c>
      <c r="H34" s="544">
        <f t="shared" si="5"/>
        <v>0.12409025060953122</v>
      </c>
      <c r="I34" s="386"/>
      <c r="J34" s="386"/>
      <c r="K34" s="576">
        <f>(DataUK1!$GP22)/DataUK1!$G22</f>
        <v>7.5807133809169033E-3</v>
      </c>
      <c r="L34" s="575">
        <f t="shared" si="6"/>
        <v>4.1363170303097267E-2</v>
      </c>
      <c r="M34" s="544">
        <f t="shared" si="7"/>
        <v>3.6278771187221462E-2</v>
      </c>
      <c r="N34" s="386">
        <f>(DataUK1!$X22+DataUK1!$BT22)/DataUK1!$G22</f>
        <v>2.9715878081965821E-2</v>
      </c>
      <c r="O34" s="386">
        <f>(DataUK1!$X22)/DataUK1!$G22</f>
        <v>9.1519184085764507E-3</v>
      </c>
      <c r="P34" s="386">
        <f>(DataUK1!$CQ22)/DataUK1!$G22</f>
        <v>6.5628931052556377E-3</v>
      </c>
      <c r="Q34" s="883">
        <f>(DataUK1!$DK22)/DataUK1!$G22</f>
        <v>5.0843991158758062E-3</v>
      </c>
      <c r="U34" s="563">
        <f>TableUK12b!F34-TableUK12d!B34</f>
        <v>0</v>
      </c>
      <c r="V34" s="563">
        <f>TableUK12b!I34-TableUK12d!G34</f>
        <v>0</v>
      </c>
      <c r="W34" s="563">
        <f>TableUK12b!J34-TableUK12d!L34</f>
        <v>0</v>
      </c>
    </row>
    <row r="35" spans="1:23" ht="12" customHeight="1">
      <c r="A35" s="348">
        <v>1865</v>
      </c>
      <c r="B35" s="575">
        <f t="shared" si="2"/>
        <v>9.0521976135900448E-2</v>
      </c>
      <c r="C35" s="386">
        <f t="shared" si="3"/>
        <v>8.684973489545865E-2</v>
      </c>
      <c r="D35" s="544"/>
      <c r="E35" s="544"/>
      <c r="F35" s="544">
        <f t="shared" si="4"/>
        <v>3.6722412404417972E-3</v>
      </c>
      <c r="G35" s="575">
        <f>TableUK12b!I35</f>
        <v>0.13165600560863644</v>
      </c>
      <c r="H35" s="544">
        <f t="shared" si="5"/>
        <v>0.12290127634117712</v>
      </c>
      <c r="I35" s="386"/>
      <c r="J35" s="386"/>
      <c r="K35" s="576">
        <f>(DataUK1!$GP23)/DataUK1!$G23</f>
        <v>8.7547292674593161E-3</v>
      </c>
      <c r="L35" s="575">
        <f t="shared" si="6"/>
        <v>4.1134029472735985E-2</v>
      </c>
      <c r="M35" s="544">
        <f t="shared" si="7"/>
        <v>3.6051541445718469E-2</v>
      </c>
      <c r="N35" s="386">
        <f>(DataUK1!$X23+DataUK1!$BT23)/DataUK1!$G23</f>
        <v>2.9333807535037098E-2</v>
      </c>
      <c r="O35" s="386">
        <f>(DataUK1!$X23)/DataUK1!$G23</f>
        <v>9.1484784486315363E-3</v>
      </c>
      <c r="P35" s="386">
        <f>(DataUK1!$CQ23)/DataUK1!$G23</f>
        <v>6.7177339106813715E-3</v>
      </c>
      <c r="Q35" s="883">
        <f>(DataUK1!$DK23)/DataUK1!$G23</f>
        <v>5.0824880270175189E-3</v>
      </c>
      <c r="U35" s="563">
        <f>TableUK12b!F35-TableUK12d!B35</f>
        <v>0</v>
      </c>
      <c r="V35" s="563">
        <f>TableUK12b!I35-TableUK12d!G35</f>
        <v>0</v>
      </c>
      <c r="W35" s="563">
        <f>TableUK12b!J35-TableUK12d!L35</f>
        <v>0</v>
      </c>
    </row>
    <row r="36" spans="1:23" ht="12" customHeight="1">
      <c r="A36" s="348">
        <v>1866</v>
      </c>
      <c r="B36" s="575">
        <f t="shared" si="2"/>
        <v>7.2444744738322908E-2</v>
      </c>
      <c r="C36" s="386">
        <f t="shared" si="3"/>
        <v>6.757080074429582E-2</v>
      </c>
      <c r="D36" s="544"/>
      <c r="E36" s="544"/>
      <c r="F36" s="544">
        <f t="shared" si="4"/>
        <v>4.873943994027091E-3</v>
      </c>
      <c r="G36" s="575">
        <f>TableUK12b!I36</f>
        <v>0.1138333568546025</v>
      </c>
      <c r="H36" s="544">
        <f t="shared" si="5"/>
        <v>0.1038827397122305</v>
      </c>
      <c r="I36" s="386"/>
      <c r="J36" s="386"/>
      <c r="K36" s="576">
        <f>(DataUK1!$GP24)/DataUK1!$G24</f>
        <v>9.950617142371998E-3</v>
      </c>
      <c r="L36" s="575">
        <f t="shared" si="6"/>
        <v>4.1388612116279588E-2</v>
      </c>
      <c r="M36" s="544">
        <f t="shared" si="7"/>
        <v>3.6311938967934679E-2</v>
      </c>
      <c r="N36" s="386">
        <f>(DataUK1!$X24+DataUK1!$BT24)/DataUK1!$G24</f>
        <v>2.9206757854036005E-2</v>
      </c>
      <c r="O36" s="386">
        <f>(DataUK1!$X24)/DataUK1!$G24</f>
        <v>9.1380116670208324E-3</v>
      </c>
      <c r="P36" s="386">
        <f>(DataUK1!$CQ24)/DataUK1!$G24</f>
        <v>7.105181113898673E-3</v>
      </c>
      <c r="Q36" s="883">
        <f>(DataUK1!$DK24)/DataUK1!$G24</f>
        <v>5.076673148344907E-3</v>
      </c>
      <c r="U36" s="563">
        <f>TableUK12b!F36-TableUK12d!B36</f>
        <v>0</v>
      </c>
      <c r="V36" s="563">
        <f>TableUK12b!I36-TableUK12d!G36</f>
        <v>0</v>
      </c>
      <c r="W36" s="563">
        <f>TableUK12b!J36-TableUK12d!L36</f>
        <v>0</v>
      </c>
    </row>
    <row r="37" spans="1:23" ht="12" customHeight="1">
      <c r="A37" s="348">
        <v>1867</v>
      </c>
      <c r="B37" s="575">
        <f t="shared" si="2"/>
        <v>5.7396372855294836E-2</v>
      </c>
      <c r="C37" s="386">
        <f t="shared" si="3"/>
        <v>5.2387034427842087E-2</v>
      </c>
      <c r="D37" s="544"/>
      <c r="E37" s="544"/>
      <c r="F37" s="544">
        <f t="shared" si="4"/>
        <v>5.0093384274527489E-3</v>
      </c>
      <c r="G37" s="575">
        <f>TableUK12b!I37</f>
        <v>9.9024428964558431E-2</v>
      </c>
      <c r="H37" s="544">
        <f t="shared" si="5"/>
        <v>8.8949283293287704E-2</v>
      </c>
      <c r="I37" s="386"/>
      <c r="J37" s="386"/>
      <c r="K37" s="576">
        <f>(DataUK1!$GP25)/DataUK1!$G25</f>
        <v>1.0075145671270722E-2</v>
      </c>
      <c r="L37" s="575">
        <f t="shared" si="6"/>
        <v>4.1628056109263588E-2</v>
      </c>
      <c r="M37" s="544">
        <f t="shared" si="7"/>
        <v>3.6562248865445617E-2</v>
      </c>
      <c r="N37" s="386">
        <f>(DataUK1!$X25+DataUK1!$BT25)/DataUK1!$G25</f>
        <v>2.9143150026835433E-2</v>
      </c>
      <c r="O37" s="386">
        <f>(DataUK1!$X25)/DataUK1!$G25</f>
        <v>9.1184530388723518E-3</v>
      </c>
      <c r="P37" s="386">
        <f>(DataUK1!$CQ25)/DataUK1!$G25</f>
        <v>7.4190988386101846E-3</v>
      </c>
      <c r="Q37" s="883">
        <f>(DataUK1!$DK25)/DataUK1!$G25</f>
        <v>5.0658072438179731E-3</v>
      </c>
      <c r="U37" s="563">
        <f>TableUK12b!F37-TableUK12d!B37</f>
        <v>0</v>
      </c>
      <c r="V37" s="563">
        <f>TableUK12b!I37-TableUK12d!G37</f>
        <v>0</v>
      </c>
      <c r="W37" s="563">
        <f>TableUK12b!J37-TableUK12d!L37</f>
        <v>0</v>
      </c>
    </row>
    <row r="38" spans="1:23" ht="12" customHeight="1">
      <c r="A38" s="348">
        <v>1868</v>
      </c>
      <c r="B38" s="575">
        <f t="shared" si="2"/>
        <v>5.5110610973572824E-2</v>
      </c>
      <c r="C38" s="386">
        <f t="shared" si="3"/>
        <v>5.1548306413198373E-2</v>
      </c>
      <c r="D38" s="544"/>
      <c r="E38" s="544"/>
      <c r="F38" s="544">
        <f t="shared" si="4"/>
        <v>3.5623045603744479E-3</v>
      </c>
      <c r="G38" s="575">
        <f>TableUK12b!I38</f>
        <v>9.7166755021369247E-2</v>
      </c>
      <c r="H38" s="544">
        <f t="shared" si="5"/>
        <v>8.855169154513258E-2</v>
      </c>
      <c r="I38" s="386"/>
      <c r="J38" s="386"/>
      <c r="K38" s="576">
        <f>(DataUK1!$GP26)/DataUK1!$G26</f>
        <v>8.6150634762366726E-3</v>
      </c>
      <c r="L38" s="575">
        <f t="shared" si="6"/>
        <v>4.205614404779643E-2</v>
      </c>
      <c r="M38" s="544">
        <f t="shared" si="7"/>
        <v>3.7003385131934206E-2</v>
      </c>
      <c r="N38" s="386">
        <f>(DataUK1!$X26+DataUK1!$BT26)/DataUK1!$G26</f>
        <v>2.8579255161912634E-2</v>
      </c>
      <c r="O38" s="386">
        <f>(DataUK1!$X26)/DataUK1!$G26</f>
        <v>9.0949660485520039E-3</v>
      </c>
      <c r="P38" s="386">
        <f>(DataUK1!$CQ26)/DataUK1!$G26</f>
        <v>8.4241299700215742E-3</v>
      </c>
      <c r="Q38" s="883">
        <f>(DataUK1!$DK26)/DataUK1!$G26</f>
        <v>5.0527589158622247E-3</v>
      </c>
      <c r="U38" s="563">
        <f>TableUK12b!F38-TableUK12d!B38</f>
        <v>0</v>
      </c>
      <c r="V38" s="563">
        <f>TableUK12b!I38-TableUK12d!G38</f>
        <v>0</v>
      </c>
      <c r="W38" s="563">
        <f>TableUK12b!J38-TableUK12d!L38</f>
        <v>0</v>
      </c>
    </row>
    <row r="39" spans="1:23" ht="12" customHeight="1">
      <c r="A39" s="748">
        <v>1869</v>
      </c>
      <c r="B39" s="878">
        <f t="shared" si="2"/>
        <v>5.0313348527970404E-2</v>
      </c>
      <c r="C39" s="880">
        <f t="shared" si="3"/>
        <v>4.7045207415230002E-2</v>
      </c>
      <c r="D39" s="877"/>
      <c r="E39" s="877"/>
      <c r="F39" s="877">
        <f t="shared" si="4"/>
        <v>3.2681411127404008E-3</v>
      </c>
      <c r="G39" s="878">
        <f>TableUK12b!I39</f>
        <v>9.2225131624008222E-2</v>
      </c>
      <c r="H39" s="877">
        <f t="shared" si="5"/>
        <v>8.3909613683284021E-2</v>
      </c>
      <c r="I39" s="880"/>
      <c r="J39" s="880"/>
      <c r="K39" s="779">
        <f>(DataUK1!$GP27)/DataUK1!$G27</f>
        <v>8.3155179407241962E-3</v>
      </c>
      <c r="L39" s="878">
        <f t="shared" si="6"/>
        <v>4.1911783096037811E-2</v>
      </c>
      <c r="M39" s="877">
        <f t="shared" si="7"/>
        <v>3.6864406268054019E-2</v>
      </c>
      <c r="N39" s="880">
        <f>(DataUK1!$X27+DataUK1!$BT27)/DataUK1!$G27</f>
        <v>2.7606465231140093E-2</v>
      </c>
      <c r="O39" s="880">
        <f>(DataUK1!$X27)/DataUK1!$G27</f>
        <v>9.0852782903708303E-3</v>
      </c>
      <c r="P39" s="880">
        <f>(DataUK1!$CQ27)/DataUK1!$G27</f>
        <v>9.2579410369139255E-3</v>
      </c>
      <c r="Q39" s="884">
        <f>(DataUK1!$DK27)/DataUK1!$G27</f>
        <v>5.0473768279837954E-3</v>
      </c>
      <c r="U39" s="563">
        <f>TableUK12b!F39-TableUK12d!B39</f>
        <v>0</v>
      </c>
      <c r="V39" s="563">
        <f>TableUK12b!I39-TableUK12d!G39</f>
        <v>0</v>
      </c>
      <c r="W39" s="563">
        <f>TableUK12b!J39-TableUK12d!L39</f>
        <v>0</v>
      </c>
    </row>
    <row r="40" spans="1:23" ht="12" customHeight="1">
      <c r="A40" s="348">
        <v>1870</v>
      </c>
      <c r="B40" s="575">
        <f t="shared" si="2"/>
        <v>6.3331531948840655E-2</v>
      </c>
      <c r="C40" s="386">
        <f t="shared" si="3"/>
        <v>6.0770992562855439E-2</v>
      </c>
      <c r="D40" s="544"/>
      <c r="E40" s="544"/>
      <c r="F40" s="544">
        <f t="shared" si="4"/>
        <v>2.5605393859852218E-3</v>
      </c>
      <c r="G40" s="575">
        <f>TableUK12b!I40</f>
        <v>0.10363107645590466</v>
      </c>
      <c r="H40" s="544">
        <f t="shared" si="5"/>
        <v>9.6026660490491245E-2</v>
      </c>
      <c r="I40" s="386"/>
      <c r="J40" s="386"/>
      <c r="K40" s="576">
        <f>(DataUK1!$GP28)/DataUK1!$G28</f>
        <v>7.6044159654134122E-3</v>
      </c>
      <c r="L40" s="575">
        <f t="shared" si="6"/>
        <v>4.0299544507063995E-2</v>
      </c>
      <c r="M40" s="544">
        <f t="shared" si="7"/>
        <v>3.5255667927635806E-2</v>
      </c>
      <c r="N40" s="386">
        <f>(DataUK1!$X28+DataUK1!$BT28)/DataUK1!$G28</f>
        <v>2.7190474015058665E-2</v>
      </c>
      <c r="O40" s="386">
        <f>(DataUK1!$X28)/DataUK1!$G28</f>
        <v>8.9706065518927406E-3</v>
      </c>
      <c r="P40" s="386">
        <f>(DataUK1!$CQ28)/DataUK1!$G28</f>
        <v>8.0651939125771406E-3</v>
      </c>
      <c r="Q40" s="883">
        <f>(DataUK1!$DK28)/DataUK1!$G28</f>
        <v>5.0438765794281904E-3</v>
      </c>
      <c r="U40" s="563">
        <f>TableUK12b!F40-TableUK12d!B40</f>
        <v>0</v>
      </c>
      <c r="V40" s="563">
        <f>TableUK12b!I40-TableUK12d!G40</f>
        <v>0</v>
      </c>
      <c r="W40" s="563">
        <f>TableUK12b!J40-TableUK12d!L40</f>
        <v>0</v>
      </c>
    </row>
    <row r="41" spans="1:23" ht="12" customHeight="1">
      <c r="A41" s="348">
        <v>1871</v>
      </c>
      <c r="B41" s="575">
        <f t="shared" si="2"/>
        <v>8.8165481022623851E-2</v>
      </c>
      <c r="C41" s="386">
        <f t="shared" si="3"/>
        <v>8.508822794537077E-2</v>
      </c>
      <c r="D41" s="544"/>
      <c r="E41" s="544"/>
      <c r="F41" s="544">
        <f t="shared" si="4"/>
        <v>3.0772530772530749E-3</v>
      </c>
      <c r="G41" s="575">
        <f>TableUK12b!I41</f>
        <v>0.1268415196986625</v>
      </c>
      <c r="H41" s="544">
        <f t="shared" si="5"/>
        <v>0.11873176158890439</v>
      </c>
      <c r="I41" s="386"/>
      <c r="J41" s="386"/>
      <c r="K41" s="576">
        <f>(DataUK1!$GP29)/DataUK1!$G29</f>
        <v>8.109758109758107E-3</v>
      </c>
      <c r="L41" s="575">
        <f t="shared" si="6"/>
        <v>3.8676038676038658E-2</v>
      </c>
      <c r="M41" s="544">
        <f t="shared" si="7"/>
        <v>3.3643533643533625E-2</v>
      </c>
      <c r="N41" s="386">
        <f>(DataUK1!$X29+DataUK1!$BT29)/DataUK1!$G29</f>
        <v>2.6580817000103917E-2</v>
      </c>
      <c r="O41" s="386">
        <f>(DataUK1!$X29)/DataUK1!$G29</f>
        <v>8.8131208131208109E-3</v>
      </c>
      <c r="P41" s="386">
        <f>(DataUK1!$CQ29)/DataUK1!$G29</f>
        <v>7.0627166434297063E-3</v>
      </c>
      <c r="Q41" s="883">
        <f>(DataUK1!$DK29)/DataUK1!$G29</f>
        <v>5.0325050325050321E-3</v>
      </c>
      <c r="U41" s="563">
        <f>TableUK12b!F41-TableUK12d!B41</f>
        <v>0</v>
      </c>
      <c r="V41" s="563">
        <f>TableUK12b!I41-TableUK12d!G41</f>
        <v>0</v>
      </c>
      <c r="W41" s="563">
        <f>TableUK12b!J41-TableUK12d!L41</f>
        <v>0</v>
      </c>
    </row>
    <row r="42" spans="1:23" ht="12" customHeight="1">
      <c r="A42" s="348">
        <v>1872</v>
      </c>
      <c r="B42" s="575">
        <f t="shared" si="2"/>
        <v>6.7648500823130397E-2</v>
      </c>
      <c r="C42" s="386">
        <f t="shared" si="3"/>
        <v>6.3853329854895141E-2</v>
      </c>
      <c r="D42" s="544"/>
      <c r="E42" s="544"/>
      <c r="F42" s="544">
        <f t="shared" si="4"/>
        <v>3.7951709682352607E-3</v>
      </c>
      <c r="G42" s="575">
        <f>TableUK12b!I42</f>
        <v>0.10825626793569684</v>
      </c>
      <c r="H42" s="544">
        <f t="shared" si="5"/>
        <v>9.9431230377560451E-2</v>
      </c>
      <c r="I42" s="386"/>
      <c r="J42" s="386"/>
      <c r="K42" s="576">
        <f>(DataUK1!$GP30)/DataUK1!$G30</f>
        <v>8.8250375581363956E-3</v>
      </c>
      <c r="L42" s="575">
        <f t="shared" si="6"/>
        <v>4.0607767112566452E-2</v>
      </c>
      <c r="M42" s="544">
        <f t="shared" si="7"/>
        <v>3.5577900522665316E-2</v>
      </c>
      <c r="N42" s="386">
        <f>(DataUK1!$X30+DataUK1!$BT30)/DataUK1!$G30</f>
        <v>2.6404643720800331E-2</v>
      </c>
      <c r="O42" s="386">
        <f>(DataUK1!$X30)/DataUK1!$G30</f>
        <v>8.946141182609009E-3</v>
      </c>
      <c r="P42" s="386">
        <f>(DataUK1!$CQ30)/DataUK1!$G30</f>
        <v>9.173256801864987E-3</v>
      </c>
      <c r="Q42" s="883">
        <f>(DataUK1!$DK30)/DataUK1!$G30</f>
        <v>5.0298665899011349E-3</v>
      </c>
      <c r="U42" s="563">
        <f>TableUK12b!F42-TableUK12d!B42</f>
        <v>0</v>
      </c>
      <c r="V42" s="563">
        <f>TableUK12b!I42-TableUK12d!G42</f>
        <v>0</v>
      </c>
      <c r="W42" s="563">
        <f>TableUK12b!J42-TableUK12d!L42</f>
        <v>0</v>
      </c>
    </row>
    <row r="43" spans="1:23" ht="12" customHeight="1">
      <c r="A43" s="348">
        <v>1873</v>
      </c>
      <c r="B43" s="575">
        <f t="shared" si="2"/>
        <v>6.1196552085516623E-2</v>
      </c>
      <c r="C43" s="386">
        <f t="shared" si="3"/>
        <v>5.6594638615244844E-2</v>
      </c>
      <c r="D43" s="544"/>
      <c r="E43" s="544"/>
      <c r="F43" s="544">
        <f t="shared" si="4"/>
        <v>4.6019134702717755E-3</v>
      </c>
      <c r="G43" s="575">
        <f>TableUK12b!I43</f>
        <v>0.10428238314818691</v>
      </c>
      <c r="H43" s="544">
        <f t="shared" si="5"/>
        <v>9.4663723538042296E-2</v>
      </c>
      <c r="I43" s="386"/>
      <c r="J43" s="386"/>
      <c r="K43" s="576">
        <f>(DataUK1!$GP31)/DataUK1!$G31</f>
        <v>9.6186596101446187E-3</v>
      </c>
      <c r="L43" s="575">
        <f t="shared" si="6"/>
        <v>4.3085831062670298E-2</v>
      </c>
      <c r="M43" s="544">
        <f t="shared" si="7"/>
        <v>3.8069084922797453E-2</v>
      </c>
      <c r="N43" s="386">
        <f>(DataUK1!$X31+DataUK1!$BT31)/DataUK1!$G31</f>
        <v>2.7402647040867076E-2</v>
      </c>
      <c r="O43" s="386">
        <f>(DataUK1!$X31)/DataUK1!$G31</f>
        <v>9.2450263746244668E-3</v>
      </c>
      <c r="P43" s="386">
        <f>(DataUK1!$CQ31)/DataUK1!$G31</f>
        <v>1.0666437881930377E-2</v>
      </c>
      <c r="Q43" s="883">
        <f>(DataUK1!$DK31)/DataUK1!$G31</f>
        <v>5.0167461398728432E-3</v>
      </c>
      <c r="U43" s="563">
        <f>TableUK12b!F43-TableUK12d!B43</f>
        <v>0</v>
      </c>
      <c r="V43" s="563">
        <f>TableUK12b!I43-TableUK12d!G43</f>
        <v>0</v>
      </c>
      <c r="W43" s="563">
        <f>TableUK12b!J43-TableUK12d!L43</f>
        <v>0</v>
      </c>
    </row>
    <row r="44" spans="1:23" ht="12" customHeight="1">
      <c r="A44" s="348">
        <v>1874</v>
      </c>
      <c r="B44" s="575">
        <f t="shared" si="2"/>
        <v>9.5993561194105778E-2</v>
      </c>
      <c r="C44" s="386">
        <f t="shared" si="3"/>
        <v>8.7528312931056396E-2</v>
      </c>
      <c r="D44" s="544"/>
      <c r="E44" s="544"/>
      <c r="F44" s="544">
        <f t="shared" si="4"/>
        <v>8.465248263049386E-3</v>
      </c>
      <c r="G44" s="575">
        <f>TableUK12b!I44</f>
        <v>0.13890620890913558</v>
      </c>
      <c r="H44" s="544">
        <f t="shared" si="5"/>
        <v>0.12543794908338207</v>
      </c>
      <c r="I44" s="386"/>
      <c r="J44" s="386"/>
      <c r="K44" s="576">
        <f>(DataUK1!$GP32)/DataUK1!$G32</f>
        <v>1.3468259825753516E-2</v>
      </c>
      <c r="L44" s="575">
        <f t="shared" si="6"/>
        <v>4.2912647715029804E-2</v>
      </c>
      <c r="M44" s="544">
        <f t="shared" si="7"/>
        <v>3.7909636152325676E-2</v>
      </c>
      <c r="N44" s="386">
        <f>(DataUK1!$X32+DataUK1!$BT32)/DataUK1!$G32</f>
        <v>2.5338252175800081E-2</v>
      </c>
      <c r="O44" s="386">
        <f>(DataUK1!$X32)/DataUK1!$G32</f>
        <v>8.7493022506129146E-3</v>
      </c>
      <c r="P44" s="386">
        <f>(DataUK1!$CQ32)/DataUK1!$G32</f>
        <v>1.2571383976525595E-2</v>
      </c>
      <c r="Q44" s="883">
        <f>(DataUK1!$DK32)/DataUK1!$G32</f>
        <v>5.0030115627041289E-3</v>
      </c>
      <c r="U44" s="563">
        <f>TableUK12b!F44-TableUK12d!B44</f>
        <v>0</v>
      </c>
      <c r="V44" s="563">
        <f>TableUK12b!I44-TableUK12d!G44</f>
        <v>0</v>
      </c>
      <c r="W44" s="563">
        <f>TableUK12b!J44-TableUK12d!L44</f>
        <v>0</v>
      </c>
    </row>
    <row r="45" spans="1:23" ht="12" customHeight="1">
      <c r="A45" s="348">
        <v>1875</v>
      </c>
      <c r="B45" s="575">
        <f t="shared" si="2"/>
        <v>9.4589750830925551E-2</v>
      </c>
      <c r="C45" s="386">
        <f t="shared" si="3"/>
        <v>8.7932027024091336E-2</v>
      </c>
      <c r="D45" s="544"/>
      <c r="E45" s="544"/>
      <c r="F45" s="544">
        <f t="shared" si="4"/>
        <v>6.657723806834214E-3</v>
      </c>
      <c r="G45" s="575">
        <f>TableUK12b!I45</f>
        <v>0.1369941129189928</v>
      </c>
      <c r="H45" s="544">
        <f t="shared" si="5"/>
        <v>0.12534486129515773</v>
      </c>
      <c r="I45" s="386"/>
      <c r="J45" s="386"/>
      <c r="K45" s="576">
        <f>(DataUK1!$GP33)/DataUK1!$G33</f>
        <v>1.1649251623835061E-2</v>
      </c>
      <c r="L45" s="575">
        <f t="shared" si="6"/>
        <v>4.2404362088067242E-2</v>
      </c>
      <c r="M45" s="544">
        <f t="shared" si="7"/>
        <v>3.7412834271066397E-2</v>
      </c>
      <c r="N45" s="386">
        <f>(DataUK1!$X33+DataUK1!$BT33)/DataUK1!$G33</f>
        <v>2.521388637200838E-2</v>
      </c>
      <c r="O45" s="386">
        <f>(DataUK1!$X33)/DataUK1!$G33</f>
        <v>8.847405122412182E-3</v>
      </c>
      <c r="P45" s="386">
        <f>(DataUK1!$CQ33)/DataUK1!$G33</f>
        <v>1.2198947899058017E-2</v>
      </c>
      <c r="Q45" s="883">
        <f>(DataUK1!$DK33)/DataUK1!$G33</f>
        <v>4.9915278170008471E-3</v>
      </c>
      <c r="U45" s="563">
        <f>TableUK12b!F45-TableUK12d!B45</f>
        <v>0</v>
      </c>
      <c r="V45" s="563">
        <f>TableUK12b!I45-TableUK12d!G45</f>
        <v>0</v>
      </c>
      <c r="W45" s="563">
        <f>TableUK12b!J45-TableUK12d!L45</f>
        <v>0</v>
      </c>
    </row>
    <row r="46" spans="1:23" ht="12" customHeight="1">
      <c r="A46" s="348">
        <v>1876</v>
      </c>
      <c r="B46" s="575">
        <f t="shared" si="2"/>
        <v>0.10074730141156926</v>
      </c>
      <c r="C46" s="386">
        <f t="shared" si="3"/>
        <v>9.0783282590644832E-2</v>
      </c>
      <c r="D46" s="544"/>
      <c r="E46" s="544"/>
      <c r="F46" s="544">
        <f t="shared" si="4"/>
        <v>9.9640188209244238E-3</v>
      </c>
      <c r="G46" s="575">
        <f>TableUK12b!I46</f>
        <v>0.14404772888027792</v>
      </c>
      <c r="H46" s="544">
        <f t="shared" si="5"/>
        <v>0.12908632407663675</v>
      </c>
      <c r="I46" s="386"/>
      <c r="J46" s="386"/>
      <c r="K46" s="576">
        <f>(DataUK1!$GP34)/DataUK1!$G34</f>
        <v>1.4961404803641156E-2</v>
      </c>
      <c r="L46" s="575">
        <f t="shared" si="6"/>
        <v>4.3300427468708665E-2</v>
      </c>
      <c r="M46" s="544">
        <f t="shared" si="7"/>
        <v>3.830304148599193E-2</v>
      </c>
      <c r="N46" s="386">
        <f>(DataUK1!$X34+DataUK1!$BT34)/DataUK1!$G34</f>
        <v>2.4982382491310288E-2</v>
      </c>
      <c r="O46" s="386">
        <f>(DataUK1!$X34)/DataUK1!$G34</f>
        <v>8.8460190054433074E-3</v>
      </c>
      <c r="P46" s="386">
        <f>(DataUK1!$CQ34)/DataUK1!$G34</f>
        <v>1.3320658994681643E-2</v>
      </c>
      <c r="Q46" s="883">
        <f>(DataUK1!$DK34)/DataUK1!$G34</f>
        <v>4.9973859827167327E-3</v>
      </c>
      <c r="U46" s="563">
        <f>TableUK12b!F46-TableUK12d!B46</f>
        <v>0</v>
      </c>
      <c r="V46" s="563">
        <f>TableUK12b!I46-TableUK12d!G46</f>
        <v>0</v>
      </c>
      <c r="W46" s="563">
        <f>TableUK12b!J46-TableUK12d!L46</f>
        <v>0</v>
      </c>
    </row>
    <row r="47" spans="1:23" ht="12" customHeight="1">
      <c r="A47" s="348">
        <v>1877</v>
      </c>
      <c r="B47" s="575">
        <f t="shared" si="2"/>
        <v>9.3565159853893784E-2</v>
      </c>
      <c r="C47" s="386">
        <f t="shared" si="3"/>
        <v>8.012254496519465E-2</v>
      </c>
      <c r="D47" s="544"/>
      <c r="E47" s="544"/>
      <c r="F47" s="544">
        <f t="shared" si="4"/>
        <v>1.344261488869913E-2</v>
      </c>
      <c r="G47" s="575">
        <f>TableUK12b!I47</f>
        <v>0.13805868388227449</v>
      </c>
      <c r="H47" s="544">
        <f t="shared" si="5"/>
        <v>0.11960875921546177</v>
      </c>
      <c r="I47" s="386"/>
      <c r="J47" s="386"/>
      <c r="K47" s="576">
        <f>(DataUK1!$GP35)/DataUK1!$G35</f>
        <v>1.8449924666812716E-2</v>
      </c>
      <c r="L47" s="575">
        <f t="shared" si="6"/>
        <v>4.4493524028380707E-2</v>
      </c>
      <c r="M47" s="544">
        <f t="shared" si="7"/>
        <v>3.9486214250267118E-2</v>
      </c>
      <c r="N47" s="386">
        <f>(DataUK1!$X35+DataUK1!$BT35)/DataUK1!$G35</f>
        <v>2.4919735844780605E-2</v>
      </c>
      <c r="O47" s="386">
        <f>(DataUK1!$X35)/DataUK1!$G35</f>
        <v>8.9549476244338826E-3</v>
      </c>
      <c r="P47" s="386">
        <f>(DataUK1!$CQ35)/DataUK1!$G35</f>
        <v>1.4566478405486511E-2</v>
      </c>
      <c r="Q47" s="883">
        <f>(DataUK1!$DK35)/DataUK1!$G35</f>
        <v>5.0073097781135854E-3</v>
      </c>
      <c r="U47" s="563">
        <f>TableUK12b!F47-TableUK12d!B47</f>
        <v>0</v>
      </c>
      <c r="V47" s="563">
        <f>TableUK12b!I47-TableUK12d!G47</f>
        <v>0</v>
      </c>
      <c r="W47" s="563">
        <f>TableUK12b!J47-TableUK12d!L47</f>
        <v>0</v>
      </c>
    </row>
    <row r="48" spans="1:23" ht="12" customHeight="1">
      <c r="A48" s="348">
        <v>1878</v>
      </c>
      <c r="B48" s="575">
        <f t="shared" si="2"/>
        <v>7.9552325004286273E-2</v>
      </c>
      <c r="C48" s="386">
        <f t="shared" si="3"/>
        <v>6.4883997942553881E-2</v>
      </c>
      <c r="D48" s="544"/>
      <c r="E48" s="544"/>
      <c r="F48" s="544">
        <f t="shared" si="4"/>
        <v>1.4668327061732399E-2</v>
      </c>
      <c r="G48" s="575">
        <f>TableUK12b!I48</f>
        <v>0.12417995433913562</v>
      </c>
      <c r="H48" s="544">
        <f t="shared" si="5"/>
        <v>0.10450562639306236</v>
      </c>
      <c r="I48" s="386"/>
      <c r="J48" s="386"/>
      <c r="K48" s="576">
        <f>(DataUK1!$GP36)/DataUK1!$G36</f>
        <v>1.9674327946073249E-2</v>
      </c>
      <c r="L48" s="575">
        <f t="shared" si="6"/>
        <v>4.4627629334849331E-2</v>
      </c>
      <c r="M48" s="544">
        <f t="shared" si="7"/>
        <v>3.9621628450508484E-2</v>
      </c>
      <c r="N48" s="386">
        <f>(DataUK1!$X36+DataUK1!$BT36)/DataUK1!$G36</f>
        <v>2.4009915813537015E-2</v>
      </c>
      <c r="O48" s="386">
        <f>(DataUK1!$X36)/DataUK1!$G36</f>
        <v>8.7836523277114529E-3</v>
      </c>
      <c r="P48" s="386">
        <f>(DataUK1!$CQ36)/DataUK1!$G36</f>
        <v>1.5611712636971468E-2</v>
      </c>
      <c r="Q48" s="883">
        <f>(DataUK1!$DK36)/DataUK1!$G36</f>
        <v>5.0060008843408497E-3</v>
      </c>
      <c r="U48" s="563">
        <f>TableUK12b!F48-TableUK12d!B48</f>
        <v>0</v>
      </c>
      <c r="V48" s="563">
        <f>TableUK12b!I48-TableUK12d!G48</f>
        <v>0</v>
      </c>
      <c r="W48" s="563">
        <f>TableUK12b!J48-TableUK12d!L48</f>
        <v>0</v>
      </c>
    </row>
    <row r="49" spans="1:23" ht="12" customHeight="1">
      <c r="A49" s="748">
        <v>1879</v>
      </c>
      <c r="B49" s="878">
        <f t="shared" si="2"/>
        <v>5.3950682321697835E-2</v>
      </c>
      <c r="C49" s="880">
        <f t="shared" si="3"/>
        <v>4.0338526820185988E-2</v>
      </c>
      <c r="D49" s="877"/>
      <c r="E49" s="877"/>
      <c r="F49" s="877">
        <f t="shared" si="4"/>
        <v>1.3612155501511848E-2</v>
      </c>
      <c r="G49" s="878">
        <f>TableUK12b!I49</f>
        <v>0.10046594645825357</v>
      </c>
      <c r="H49" s="877">
        <f t="shared" si="5"/>
        <v>8.1856954196765488E-2</v>
      </c>
      <c r="I49" s="880"/>
      <c r="J49" s="880"/>
      <c r="K49" s="779">
        <f>(DataUK1!$GP37)/DataUK1!$G37</f>
        <v>1.8608992261488082E-2</v>
      </c>
      <c r="L49" s="878">
        <f t="shared" si="6"/>
        <v>4.6515264136555733E-2</v>
      </c>
      <c r="M49" s="877">
        <f t="shared" si="7"/>
        <v>4.15184273765795E-2</v>
      </c>
      <c r="N49" s="880">
        <f>(DataUK1!$X37+DataUK1!$BT37)/DataUK1!$G37</f>
        <v>2.4209511680962061E-2</v>
      </c>
      <c r="O49" s="880">
        <f>(DataUK1!$X37)/DataUK1!$G37</f>
        <v>9.1376358208667997E-3</v>
      </c>
      <c r="P49" s="880">
        <f>(DataUK1!$CQ37)/DataUK1!$G37</f>
        <v>1.7308915695617443E-2</v>
      </c>
      <c r="Q49" s="884">
        <f>(DataUK1!$DK37)/DataUK1!$G37</f>
        <v>4.996836759976234E-3</v>
      </c>
      <c r="U49" s="563">
        <f>TableUK12b!F49-TableUK12d!B49</f>
        <v>0</v>
      </c>
      <c r="V49" s="563">
        <f>TableUK12b!I49-TableUK12d!G49</f>
        <v>0</v>
      </c>
      <c r="W49" s="563">
        <f>TableUK12b!J49-TableUK12d!L49</f>
        <v>0</v>
      </c>
    </row>
    <row r="50" spans="1:23" ht="12" customHeight="1">
      <c r="A50" s="348">
        <v>1880</v>
      </c>
      <c r="B50" s="575">
        <f t="shared" si="2"/>
        <v>8.66554199260723E-2</v>
      </c>
      <c r="C50" s="386">
        <f t="shared" si="3"/>
        <v>7.610354164875778E-2</v>
      </c>
      <c r="D50" s="544"/>
      <c r="E50" s="544"/>
      <c r="F50" s="544">
        <f t="shared" si="4"/>
        <v>1.0551878277314516E-2</v>
      </c>
      <c r="G50" s="575">
        <f>TableUK12b!I50</f>
        <v>0.13066814235364901</v>
      </c>
      <c r="H50" s="544">
        <f t="shared" si="5"/>
        <v>0.11511432992349344</v>
      </c>
      <c r="I50" s="386"/>
      <c r="J50" s="386"/>
      <c r="K50" s="576">
        <f>(DataUK1!$GP38)/DataUK1!$G38</f>
        <v>1.5553812430155573E-2</v>
      </c>
      <c r="L50" s="575">
        <f t="shared" si="6"/>
        <v>4.4012722427576714E-2</v>
      </c>
      <c r="M50" s="544">
        <f t="shared" si="7"/>
        <v>3.9010788274735655E-2</v>
      </c>
      <c r="N50" s="386">
        <f>(DataUK1!$X38+DataUK1!$BT38)/DataUK1!$G38</f>
        <v>2.2652513247963208E-2</v>
      </c>
      <c r="O50" s="386">
        <f>(DataUK1!$X38)/DataUK1!$G38</f>
        <v>8.4957663543368013E-3</v>
      </c>
      <c r="P50" s="386">
        <f>(DataUK1!$CQ38)/DataUK1!$G38</f>
        <v>1.6358275026772447E-2</v>
      </c>
      <c r="Q50" s="883">
        <f>(DataUK1!$DK38)/DataUK1!$G38</f>
        <v>5.0019341528410562E-3</v>
      </c>
      <c r="U50" s="563">
        <f>TableUK12b!F50-TableUK12d!B50</f>
        <v>0</v>
      </c>
      <c r="V50" s="563">
        <f>TableUK12b!I50-TableUK12d!G50</f>
        <v>0</v>
      </c>
      <c r="W50" s="563">
        <f>TableUK12b!J50-TableUK12d!L50</f>
        <v>0</v>
      </c>
    </row>
    <row r="51" spans="1:23" ht="12" customHeight="1">
      <c r="A51" s="348">
        <v>1881</v>
      </c>
      <c r="B51" s="575">
        <f t="shared" si="2"/>
        <v>6.159490206741685E-2</v>
      </c>
      <c r="C51" s="386">
        <f t="shared" si="3"/>
        <v>5.2869012429061335E-2</v>
      </c>
      <c r="D51" s="544"/>
      <c r="E51" s="544"/>
      <c r="F51" s="544">
        <f t="shared" si="4"/>
        <v>8.7258896383555148E-3</v>
      </c>
      <c r="G51" s="575">
        <f>TableUK12b!I51</f>
        <v>0.10692545194593307</v>
      </c>
      <c r="H51" s="544">
        <f t="shared" si="5"/>
        <v>9.3199321094318721E-2</v>
      </c>
      <c r="I51" s="386"/>
      <c r="J51" s="386"/>
      <c r="K51" s="576">
        <f>(DataUK1!$GP39)/DataUK1!$G39</f>
        <v>1.372613085161435E-2</v>
      </c>
      <c r="L51" s="575">
        <f t="shared" si="6"/>
        <v>4.5330549878516223E-2</v>
      </c>
      <c r="M51" s="544">
        <f t="shared" si="7"/>
        <v>4.0330308665257386E-2</v>
      </c>
      <c r="N51" s="386">
        <f>(DataUK1!$X39+DataUK1!$BT39)/DataUK1!$G39</f>
        <v>2.395749997027994E-2</v>
      </c>
      <c r="O51" s="386">
        <f>(DataUK1!$X39)/DataUK1!$G39</f>
        <v>8.9848079503890114E-3</v>
      </c>
      <c r="P51" s="386">
        <f>(DataUK1!$CQ39)/DataUK1!$G39</f>
        <v>1.6372808694977443E-2</v>
      </c>
      <c r="Q51" s="883">
        <f>(DataUK1!$DK39)/DataUK1!$G39</f>
        <v>5.0002412132588358E-3</v>
      </c>
      <c r="U51" s="563">
        <f>TableUK12b!F51-TableUK12d!B51</f>
        <v>0</v>
      </c>
      <c r="V51" s="563">
        <f>TableUK12b!I51-TableUK12d!G51</f>
        <v>0</v>
      </c>
      <c r="W51" s="563">
        <f>TableUK12b!J51-TableUK12d!L51</f>
        <v>0</v>
      </c>
    </row>
    <row r="52" spans="1:23" ht="12" customHeight="1">
      <c r="A52" s="348">
        <v>1882</v>
      </c>
      <c r="B52" s="575">
        <f t="shared" si="2"/>
        <v>6.4153349200952017E-2</v>
      </c>
      <c r="C52" s="386">
        <f t="shared" si="3"/>
        <v>5.7911849710982635E-2</v>
      </c>
      <c r="D52" s="544"/>
      <c r="E52" s="544"/>
      <c r="F52" s="544">
        <f t="shared" si="4"/>
        <v>6.2414994899693873E-3</v>
      </c>
      <c r="G52" s="575">
        <f>TableUK12b!I52</f>
        <v>0.10918480108806523</v>
      </c>
      <c r="H52" s="544">
        <f t="shared" si="5"/>
        <v>9.7952439646378744E-2</v>
      </c>
      <c r="I52" s="386"/>
      <c r="J52" s="386"/>
      <c r="K52" s="576">
        <f>(DataUK1!$GP40)/DataUK1!$G40</f>
        <v>1.1232361441686491E-2</v>
      </c>
      <c r="L52" s="575">
        <f t="shared" si="6"/>
        <v>4.5031451887113216E-2</v>
      </c>
      <c r="M52" s="544">
        <f t="shared" si="7"/>
        <v>4.0040589935396109E-2</v>
      </c>
      <c r="N52" s="386">
        <f>(DataUK1!$X40+DataUK1!$BT40)/DataUK1!$G40</f>
        <v>2.4155352989315901E-2</v>
      </c>
      <c r="O52" s="386">
        <f>(DataUK1!$X40)/DataUK1!$G40</f>
        <v>8.9985761645698745E-3</v>
      </c>
      <c r="P52" s="386">
        <f>(DataUK1!$CQ40)/DataUK1!$G40</f>
        <v>1.5885236946080211E-2</v>
      </c>
      <c r="Q52" s="883">
        <f>(DataUK1!$DK40)/DataUK1!$G40</f>
        <v>4.9908619517171036E-3</v>
      </c>
      <c r="U52" s="563">
        <f>TableUK12b!F52-TableUK12d!B52</f>
        <v>0</v>
      </c>
      <c r="V52" s="563">
        <f>TableUK12b!I52-TableUK12d!G52</f>
        <v>0</v>
      </c>
      <c r="W52" s="563">
        <f>TableUK12b!J52-TableUK12d!L52</f>
        <v>0</v>
      </c>
    </row>
    <row r="53" spans="1:23" ht="12" customHeight="1">
      <c r="A53" s="348">
        <v>1883</v>
      </c>
      <c r="B53" s="575">
        <f t="shared" si="2"/>
        <v>7.8220174238606027E-2</v>
      </c>
      <c r="C53" s="386">
        <f t="shared" si="3"/>
        <v>7.1373029015767822E-2</v>
      </c>
      <c r="D53" s="544"/>
      <c r="E53" s="544"/>
      <c r="F53" s="544">
        <f t="shared" si="4"/>
        <v>6.8471452228382043E-3</v>
      </c>
      <c r="G53" s="575">
        <f>TableUK12b!I53</f>
        <v>0.12221182230542148</v>
      </c>
      <c r="H53" s="544">
        <f t="shared" si="5"/>
        <v>0.11037511699906394</v>
      </c>
      <c r="I53" s="386"/>
      <c r="J53" s="386"/>
      <c r="K53" s="576">
        <f>(DataUK1!$GP41)/DataUK1!$G41</f>
        <v>1.1836705306357536E-2</v>
      </c>
      <c r="L53" s="575">
        <f t="shared" si="6"/>
        <v>4.399164806681545E-2</v>
      </c>
      <c r="M53" s="544">
        <f t="shared" si="7"/>
        <v>3.9002087983296116E-2</v>
      </c>
      <c r="N53" s="386">
        <f>(DataUK1!$X41+DataUK1!$BT41)/DataUK1!$G41</f>
        <v>2.2827516254101354E-2</v>
      </c>
      <c r="O53" s="386">
        <f>(DataUK1!$X41)/DataUK1!$G41</f>
        <v>8.6022031823745401E-3</v>
      </c>
      <c r="P53" s="386">
        <f>(DataUK1!$CQ41)/DataUK1!$G41</f>
        <v>1.6174571729194762E-2</v>
      </c>
      <c r="Q53" s="883">
        <f>(DataUK1!$DK41)/DataUK1!$G41</f>
        <v>4.9895600835193317E-3</v>
      </c>
      <c r="U53" s="563">
        <f>TableUK12b!F53-TableUK12d!B53</f>
        <v>0</v>
      </c>
      <c r="V53" s="563">
        <f>TableUK12b!I53-TableUK12d!G53</f>
        <v>0</v>
      </c>
      <c r="W53" s="563">
        <f>TableUK12b!J53-TableUK12d!L53</f>
        <v>0</v>
      </c>
    </row>
    <row r="54" spans="1:23" ht="12" customHeight="1">
      <c r="A54" s="348">
        <v>1884</v>
      </c>
      <c r="B54" s="575">
        <f t="shared" si="2"/>
        <v>5.0165484734139551E-2</v>
      </c>
      <c r="C54" s="386">
        <f t="shared" si="3"/>
        <v>4.1907200925693458E-2</v>
      </c>
      <c r="D54" s="544"/>
      <c r="E54" s="544"/>
      <c r="F54" s="544">
        <f t="shared" si="4"/>
        <v>8.2582838084460965E-3</v>
      </c>
      <c r="G54" s="575">
        <f>TableUK12b!I54</f>
        <v>9.4654928169415453E-2</v>
      </c>
      <c r="H54" s="544">
        <f t="shared" si="5"/>
        <v>8.1423594124228338E-2</v>
      </c>
      <c r="I54" s="386"/>
      <c r="J54" s="386"/>
      <c r="K54" s="576">
        <f>(DataUK1!$GP42)/DataUK1!$G42</f>
        <v>1.323133404518711E-2</v>
      </c>
      <c r="L54" s="575">
        <f t="shared" si="6"/>
        <v>4.4489443435275895E-2</v>
      </c>
      <c r="M54" s="544">
        <f t="shared" si="7"/>
        <v>3.951639319853488E-2</v>
      </c>
      <c r="N54" s="386">
        <f>(DataUK1!$X42+DataUK1!$BT42)/DataUK1!$G42</f>
        <v>2.2729369623597506E-2</v>
      </c>
      <c r="O54" s="386">
        <f>(DataUK1!$X42)/DataUK1!$G42</f>
        <v>8.6479556892290286E-3</v>
      </c>
      <c r="P54" s="386">
        <f>(DataUK1!$CQ42)/DataUK1!$G42</f>
        <v>1.678702357493737E-2</v>
      </c>
      <c r="Q54" s="883">
        <f>(DataUK1!$DK42)/DataUK1!$G42</f>
        <v>4.9730502367410136E-3</v>
      </c>
      <c r="U54" s="563">
        <f>TableUK12b!F54-TableUK12d!B54</f>
        <v>0</v>
      </c>
      <c r="V54" s="563">
        <f>TableUK12b!I54-TableUK12d!G54</f>
        <v>0</v>
      </c>
      <c r="W54" s="563">
        <f>TableUK12b!J54-TableUK12d!L54</f>
        <v>0</v>
      </c>
    </row>
    <row r="55" spans="1:23" ht="12" customHeight="1">
      <c r="A55" s="348">
        <v>1885</v>
      </c>
      <c r="B55" s="575">
        <f t="shared" si="2"/>
        <v>3.8170948032323716E-2</v>
      </c>
      <c r="C55" s="386">
        <f t="shared" si="3"/>
        <v>2.9535948141821575E-2</v>
      </c>
      <c r="D55" s="544"/>
      <c r="E55" s="544"/>
      <c r="F55" s="544">
        <f t="shared" si="4"/>
        <v>8.6349998905021416E-3</v>
      </c>
      <c r="G55" s="575">
        <f>TableUK12b!I55</f>
        <v>8.3656351969866122E-2</v>
      </c>
      <c r="H55" s="544">
        <f t="shared" si="5"/>
        <v>7.0062194774762887E-2</v>
      </c>
      <c r="I55" s="386"/>
      <c r="J55" s="386"/>
      <c r="K55" s="576">
        <f>(DataUK1!$GP43)/DataUK1!$G43</f>
        <v>1.3594157195103242E-2</v>
      </c>
      <c r="L55" s="575">
        <f t="shared" si="6"/>
        <v>4.5485403937542412E-2</v>
      </c>
      <c r="M55" s="544">
        <f t="shared" si="7"/>
        <v>4.0526246632941312E-2</v>
      </c>
      <c r="N55" s="386">
        <f>(DataUK1!$X43+DataUK1!$BT43)/DataUK1!$G43</f>
        <v>2.2627596030584212E-2</v>
      </c>
      <c r="O55" s="386">
        <f>(DataUK1!$X43)/DataUK1!$G43</f>
        <v>8.749793049076934E-3</v>
      </c>
      <c r="P55" s="386">
        <f>(DataUK1!$CQ43)/DataUK1!$G43</f>
        <v>1.7898650602357104E-2</v>
      </c>
      <c r="Q55" s="883">
        <f>(DataUK1!$DK43)/DataUK1!$G43</f>
        <v>4.9591573046010992E-3</v>
      </c>
      <c r="U55" s="563">
        <f>TableUK12b!F55-TableUK12d!B55</f>
        <v>0</v>
      </c>
      <c r="V55" s="563">
        <f>TableUK12b!I55-TableUK12d!G55</f>
        <v>0</v>
      </c>
      <c r="W55" s="563">
        <f>TableUK12b!J55-TableUK12d!L55</f>
        <v>0</v>
      </c>
    </row>
    <row r="56" spans="1:23" ht="12" customHeight="1">
      <c r="A56" s="348">
        <v>1886</v>
      </c>
      <c r="B56" s="575">
        <f t="shared" si="2"/>
        <v>3.1509541691371802E-2</v>
      </c>
      <c r="C56" s="386">
        <f t="shared" si="3"/>
        <v>2.4937413531853178E-2</v>
      </c>
      <c r="D56" s="544"/>
      <c r="E56" s="544"/>
      <c r="F56" s="544">
        <f t="shared" si="4"/>
        <v>6.5721281595186257E-3</v>
      </c>
      <c r="G56" s="575">
        <f>TableUK12b!I56</f>
        <v>7.6044754814765955E-2</v>
      </c>
      <c r="H56" s="544">
        <f t="shared" si="5"/>
        <v>6.4534334716823627E-2</v>
      </c>
      <c r="I56" s="386"/>
      <c r="J56" s="386"/>
      <c r="K56" s="576">
        <f>(DataUK1!$GP44)/DataUK1!$G44</f>
        <v>1.1510420097942325E-2</v>
      </c>
      <c r="L56" s="575">
        <f t="shared" si="6"/>
        <v>4.4535213123394146E-2</v>
      </c>
      <c r="M56" s="544">
        <f t="shared" si="7"/>
        <v>3.9596921184970449E-2</v>
      </c>
      <c r="N56" s="386">
        <f>(DataUK1!$X44+DataUK1!$BT44)/DataUK1!$G44</f>
        <v>2.303276821363015E-2</v>
      </c>
      <c r="O56" s="386">
        <f>(DataUK1!$X44)/DataUK1!$G44</f>
        <v>8.9129059885367928E-3</v>
      </c>
      <c r="P56" s="386">
        <f>(DataUK1!$CQ44)/DataUK1!$G44</f>
        <v>1.6564152971340299E-2</v>
      </c>
      <c r="Q56" s="883">
        <f>(DataUK1!$DK44)/DataUK1!$G44</f>
        <v>4.938291938423699E-3</v>
      </c>
      <c r="U56" s="563">
        <f>TableUK12b!F56-TableUK12d!B56</f>
        <v>0</v>
      </c>
      <c r="V56" s="563">
        <f>TableUK12b!I56-TableUK12d!G56</f>
        <v>0</v>
      </c>
      <c r="W56" s="563">
        <f>TableUK12b!J56-TableUK12d!L56</f>
        <v>0</v>
      </c>
    </row>
    <row r="57" spans="1:23" ht="12" customHeight="1">
      <c r="A57" s="348">
        <v>1887</v>
      </c>
      <c r="B57" s="575">
        <f t="shared" ref="B57:B88" si="8">C57+F57</f>
        <v>4.6676680435598902E-2</v>
      </c>
      <c r="C57" s="386">
        <f t="shared" si="3"/>
        <v>3.9697813660449756E-2</v>
      </c>
      <c r="D57" s="544"/>
      <c r="E57" s="544"/>
      <c r="F57" s="544">
        <f t="shared" si="4"/>
        <v>6.9788667751491474E-3</v>
      </c>
      <c r="G57" s="575">
        <f>TableUK12b!I57</f>
        <v>8.9360370509450435E-2</v>
      </c>
      <c r="H57" s="544">
        <f t="shared" si="5"/>
        <v>7.7456502691200357E-2</v>
      </c>
      <c r="I57" s="386"/>
      <c r="J57" s="386"/>
      <c r="K57" s="576">
        <f>(DataUK1!$GP45)/DataUK1!$G45</f>
        <v>1.1903867818250077E-2</v>
      </c>
      <c r="L57" s="575">
        <f t="shared" si="6"/>
        <v>4.2683690073851532E-2</v>
      </c>
      <c r="M57" s="544">
        <f t="shared" si="7"/>
        <v>3.7758689030750602E-2</v>
      </c>
      <c r="N57" s="386">
        <f>(DataUK1!$X45+DataUK1!$BT45)/DataUK1!$G45</f>
        <v>2.2531352801924191E-2</v>
      </c>
      <c r="O57" s="386">
        <f>(DataUK1!$X45)/DataUK1!$G45</f>
        <v>8.7677723536529403E-3</v>
      </c>
      <c r="P57" s="386">
        <f>(DataUK1!$CQ45)/DataUK1!$G45</f>
        <v>1.522733622882641E-2</v>
      </c>
      <c r="Q57" s="883">
        <f>(DataUK1!$DK45)/DataUK1!$G45</f>
        <v>4.92500104310093E-3</v>
      </c>
      <c r="U57" s="563">
        <f>TableUK12b!F57-TableUK12d!B57</f>
        <v>0</v>
      </c>
      <c r="V57" s="563">
        <f>TableUK12b!I57-TableUK12d!G57</f>
        <v>0</v>
      </c>
      <c r="W57" s="563">
        <f>TableUK12b!J57-TableUK12d!L57</f>
        <v>0</v>
      </c>
    </row>
    <row r="58" spans="1:23" ht="12" customHeight="1">
      <c r="A58" s="348">
        <v>1888</v>
      </c>
      <c r="B58" s="575">
        <f t="shared" si="8"/>
        <v>4.4073397508261267E-2</v>
      </c>
      <c r="C58" s="386">
        <f t="shared" si="3"/>
        <v>3.9244371010447185E-2</v>
      </c>
      <c r="D58" s="544"/>
      <c r="E58" s="544"/>
      <c r="F58" s="544">
        <f t="shared" si="4"/>
        <v>4.82902649781408E-3</v>
      </c>
      <c r="G58" s="575">
        <f>TableUK12b!I58</f>
        <v>8.6437059994663418E-2</v>
      </c>
      <c r="H58" s="544">
        <f t="shared" si="5"/>
        <v>7.6697933129451293E-2</v>
      </c>
      <c r="I58" s="386"/>
      <c r="J58" s="386"/>
      <c r="K58" s="576">
        <f>(DataUK1!$GP46)/DataUK1!$G46</f>
        <v>9.7391268652121214E-3</v>
      </c>
      <c r="L58" s="575">
        <f t="shared" si="6"/>
        <v>4.2363662486402151E-2</v>
      </c>
      <c r="M58" s="544">
        <f t="shared" si="7"/>
        <v>3.7453562119004108E-2</v>
      </c>
      <c r="N58" s="386">
        <f>(DataUK1!$X46+DataUK1!$BT46)/DataUK1!$G46</f>
        <v>2.3541703316766173E-2</v>
      </c>
      <c r="O58" s="386">
        <f>(DataUK1!$X46)/DataUK1!$G46</f>
        <v>9.159869460807454E-3</v>
      </c>
      <c r="P58" s="386">
        <f>(DataUK1!$CQ46)/DataUK1!$G46</f>
        <v>1.3911858802237938E-2</v>
      </c>
      <c r="Q58" s="883">
        <f>(DataUK1!$DK46)/DataUK1!$G46</f>
        <v>4.9101003673980414E-3</v>
      </c>
      <c r="U58" s="563">
        <f>TableUK12b!F58-TableUK12d!B58</f>
        <v>0</v>
      </c>
      <c r="V58" s="563">
        <f>TableUK12b!I58-TableUK12d!G58</f>
        <v>0</v>
      </c>
      <c r="W58" s="563">
        <f>TableUK12b!J58-TableUK12d!L58</f>
        <v>0</v>
      </c>
    </row>
    <row r="59" spans="1:23" ht="12" customHeight="1">
      <c r="A59" s="748">
        <v>1889</v>
      </c>
      <c r="B59" s="878">
        <f t="shared" si="8"/>
        <v>5.295646975405615E-2</v>
      </c>
      <c r="C59" s="880">
        <f t="shared" si="3"/>
        <v>4.6332690485790112E-2</v>
      </c>
      <c r="D59" s="877"/>
      <c r="E59" s="877"/>
      <c r="F59" s="877">
        <f t="shared" si="4"/>
        <v>6.6237792682660368E-3</v>
      </c>
      <c r="G59" s="878">
        <f>TableUK12b!I59</f>
        <v>9.6375491818093281E-2</v>
      </c>
      <c r="H59" s="877">
        <f t="shared" si="5"/>
        <v>8.6971115555652595E-2</v>
      </c>
      <c r="I59" s="880"/>
      <c r="J59" s="880"/>
      <c r="K59" s="779">
        <f>(DataUK1!$GP47)/DataUK1!$G47</f>
        <v>9.4043762624406863E-3</v>
      </c>
      <c r="L59" s="878">
        <f t="shared" si="6"/>
        <v>4.3419022064037131E-2</v>
      </c>
      <c r="M59" s="877">
        <f t="shared" si="7"/>
        <v>4.0638425069862483E-2</v>
      </c>
      <c r="N59" s="880">
        <f>(DataUK1!$X47+DataUK1!$BT47)/DataUK1!$G47</f>
        <v>2.4348095008368795E-2</v>
      </c>
      <c r="O59" s="880">
        <f>(DataUK1!$X47)/DataUK1!$G47</f>
        <v>9.4748842576501176E-3</v>
      </c>
      <c r="P59" s="880">
        <f>(DataUK1!$CQ47)/DataUK1!$G47</f>
        <v>1.6290330061493687E-2</v>
      </c>
      <c r="Q59" s="884">
        <f>(DataUK1!$DK47)/DataUK1!$G47</f>
        <v>2.7805969941746495E-3</v>
      </c>
      <c r="U59" s="563">
        <f>TableUK12b!F59-TableUK12d!B59</f>
        <v>0</v>
      </c>
      <c r="V59" s="563">
        <f>TableUK12b!I59-TableUK12d!G59</f>
        <v>0</v>
      </c>
      <c r="W59" s="563">
        <f>TableUK12b!J59-TableUK12d!L59</f>
        <v>0</v>
      </c>
    </row>
    <row r="60" spans="1:23" ht="12" customHeight="1">
      <c r="A60" s="348">
        <v>1890</v>
      </c>
      <c r="B60" s="575">
        <f t="shared" si="8"/>
        <v>4.5954146999325693E-2</v>
      </c>
      <c r="C60" s="386">
        <f t="shared" si="3"/>
        <v>4.0222521915037085E-2</v>
      </c>
      <c r="D60" s="544"/>
      <c r="E60" s="544"/>
      <c r="F60" s="544">
        <f t="shared" si="4"/>
        <v>5.7316250842886045E-3</v>
      </c>
      <c r="G60" s="575">
        <f>TableUK12b!I60</f>
        <v>9.1132838840188801E-2</v>
      </c>
      <c r="H60" s="544">
        <f t="shared" si="5"/>
        <v>8.2029669588671611E-2</v>
      </c>
      <c r="I60" s="386"/>
      <c r="J60" s="386"/>
      <c r="K60" s="576">
        <f>(DataUK1!$GP48)/DataUK1!$G48</f>
        <v>9.1031692515171955E-3</v>
      </c>
      <c r="L60" s="575">
        <f t="shared" si="6"/>
        <v>4.5178691840863115E-2</v>
      </c>
      <c r="M60" s="544">
        <f t="shared" si="7"/>
        <v>4.1807147673634526E-2</v>
      </c>
      <c r="N60" s="386">
        <f>(DataUK1!$X48+DataUK1!$BT48)/DataUK1!$G48</f>
        <v>2.3743300700422396E-2</v>
      </c>
      <c r="O60" s="386">
        <f>(DataUK1!$X48)/DataUK1!$G48</f>
        <v>9.3998651382333105E-3</v>
      </c>
      <c r="P60" s="386">
        <f>(DataUK1!$CQ48)/DataUK1!$G48</f>
        <v>1.8063846973212134E-2</v>
      </c>
      <c r="Q60" s="883">
        <f>(DataUK1!$DK48)/DataUK1!$G48</f>
        <v>3.3715441672285905E-3</v>
      </c>
      <c r="U60" s="563">
        <f>TableUK12b!F60-TableUK12d!B60</f>
        <v>0</v>
      </c>
      <c r="V60" s="563">
        <f>TableUK12b!I60-TableUK12d!G60</f>
        <v>0</v>
      </c>
      <c r="W60" s="563">
        <f>TableUK12b!J60-TableUK12d!L60</f>
        <v>0</v>
      </c>
    </row>
    <row r="61" spans="1:23" ht="12" customHeight="1">
      <c r="A61" s="348">
        <v>1891</v>
      </c>
      <c r="B61" s="575">
        <f t="shared" si="8"/>
        <v>5.6118054382705618E-2</v>
      </c>
      <c r="C61" s="386">
        <f t="shared" si="3"/>
        <v>4.7035973653099132E-2</v>
      </c>
      <c r="D61" s="544"/>
      <c r="E61" s="544"/>
      <c r="F61" s="544">
        <f t="shared" si="4"/>
        <v>9.0820807296064839E-3</v>
      </c>
      <c r="G61" s="575">
        <f>TableUK12b!I61</f>
        <v>9.9311771660192533E-2</v>
      </c>
      <c r="H61" s="544">
        <f t="shared" si="5"/>
        <v>8.695743962168552E-2</v>
      </c>
      <c r="I61" s="386"/>
      <c r="J61" s="386"/>
      <c r="K61" s="576">
        <f>(DataUK1!$GP49)/DataUK1!$G49</f>
        <v>1.2354332038507007E-2</v>
      </c>
      <c r="L61" s="575">
        <f t="shared" si="6"/>
        <v>4.3193717277486915E-2</v>
      </c>
      <c r="M61" s="544">
        <f t="shared" si="7"/>
        <v>3.9921465968586388E-2</v>
      </c>
      <c r="N61" s="386">
        <f>(DataUK1!$X49+DataUK1!$BT49)/DataUK1!$G49</f>
        <v>2.5229702152064309E-2</v>
      </c>
      <c r="O61" s="386">
        <f>(DataUK1!$X49)/DataUK1!$G49</f>
        <v>8.9986910994764406E-3</v>
      </c>
      <c r="P61" s="386">
        <f>(DataUK1!$CQ49)/DataUK1!$G49</f>
        <v>1.4691763816522081E-2</v>
      </c>
      <c r="Q61" s="883">
        <f>(DataUK1!$DK49)/DataUK1!$G49</f>
        <v>3.2722513089005235E-3</v>
      </c>
      <c r="U61" s="563">
        <f>TableUK12b!F61-TableUK12d!B61</f>
        <v>0</v>
      </c>
      <c r="V61" s="563">
        <f>TableUK12b!I61-TableUK12d!G61</f>
        <v>0</v>
      </c>
      <c r="W61" s="563">
        <f>TableUK12b!J61-TableUK12d!L61</f>
        <v>0</v>
      </c>
    </row>
    <row r="62" spans="1:23" ht="12" customHeight="1">
      <c r="A62" s="348">
        <v>1892</v>
      </c>
      <c r="B62" s="575">
        <f t="shared" si="8"/>
        <v>4.702869292556161E-2</v>
      </c>
      <c r="C62" s="386">
        <f t="shared" si="3"/>
        <v>3.7804432799278385E-2</v>
      </c>
      <c r="D62" s="544"/>
      <c r="E62" s="544"/>
      <c r="F62" s="544">
        <f t="shared" si="4"/>
        <v>9.2242601262832284E-3</v>
      </c>
      <c r="G62" s="575">
        <f>TableUK12b!I62</f>
        <v>9.0304325415574926E-2</v>
      </c>
      <c r="H62" s="544">
        <f t="shared" si="5"/>
        <v>7.7751170482367599E-2</v>
      </c>
      <c r="I62" s="386"/>
      <c r="J62" s="386"/>
      <c r="K62" s="576">
        <f>(DataUK1!$GP50)/DataUK1!$G50</f>
        <v>1.255315493320733E-2</v>
      </c>
      <c r="L62" s="575">
        <f t="shared" si="6"/>
        <v>4.3275632490013316E-2</v>
      </c>
      <c r="M62" s="544">
        <f t="shared" si="7"/>
        <v>3.9946737683089213E-2</v>
      </c>
      <c r="N62" s="386">
        <f>(DataUK1!$X50+DataUK1!$BT50)/DataUK1!$G50</f>
        <v>2.4261366269928947E-2</v>
      </c>
      <c r="O62" s="386">
        <f>(DataUK1!$X50)/DataUK1!$G50</f>
        <v>8.8881491344873498E-3</v>
      </c>
      <c r="P62" s="386">
        <f>(DataUK1!$CQ50)/DataUK1!$G50</f>
        <v>1.5685371413160266E-2</v>
      </c>
      <c r="Q62" s="883">
        <f>(DataUK1!$DK50)/DataUK1!$G50</f>
        <v>3.3288948069241011E-3</v>
      </c>
      <c r="U62" s="563">
        <f>TableUK12b!F62-TableUK12d!B62</f>
        <v>0</v>
      </c>
      <c r="V62" s="563">
        <f>TableUK12b!I62-TableUK12d!G62</f>
        <v>0</v>
      </c>
      <c r="W62" s="563">
        <f>TableUK12b!J62-TableUK12d!L62</f>
        <v>0</v>
      </c>
    </row>
    <row r="63" spans="1:23" ht="12" customHeight="1">
      <c r="A63" s="348">
        <v>1893</v>
      </c>
      <c r="B63" s="575">
        <f t="shared" si="8"/>
        <v>4.111709286675639E-2</v>
      </c>
      <c r="C63" s="386">
        <f t="shared" si="3"/>
        <v>2.8860764989363089E-2</v>
      </c>
      <c r="D63" s="544"/>
      <c r="E63" s="544"/>
      <c r="F63" s="544">
        <f t="shared" si="4"/>
        <v>1.22563278773933E-2</v>
      </c>
      <c r="G63" s="575">
        <f>TableUK12b!I63</f>
        <v>8.4185733512785993E-2</v>
      </c>
      <c r="H63" s="544">
        <f t="shared" si="5"/>
        <v>6.7891720574827424E-2</v>
      </c>
      <c r="I63" s="386"/>
      <c r="J63" s="386"/>
      <c r="K63" s="576">
        <f>(DataUK1!$GP51)/DataUK1!$G51</f>
        <v>1.6294012937958575E-2</v>
      </c>
      <c r="L63" s="575">
        <f t="shared" si="6"/>
        <v>4.306864064602961E-2</v>
      </c>
      <c r="M63" s="544">
        <f t="shared" si="7"/>
        <v>3.9030955585464336E-2</v>
      </c>
      <c r="N63" s="386">
        <f>(DataUK1!$X51+DataUK1!$BT51)/DataUK1!$G51</f>
        <v>2.4039779136006429E-2</v>
      </c>
      <c r="O63" s="386">
        <f>(DataUK1!$X51)/DataUK1!$G51</f>
        <v>9.0242261103633918E-3</v>
      </c>
      <c r="P63" s="386">
        <f>(DataUK1!$CQ51)/DataUK1!$G51</f>
        <v>1.4991176449457903E-2</v>
      </c>
      <c r="Q63" s="883">
        <f>(DataUK1!$DK51)/DataUK1!$G51</f>
        <v>4.0376850605652759E-3</v>
      </c>
      <c r="U63" s="563">
        <f>TableUK12b!F63-TableUK12d!B63</f>
        <v>0</v>
      </c>
      <c r="V63" s="563">
        <f>TableUK12b!I63-TableUK12d!G63</f>
        <v>0</v>
      </c>
      <c r="W63" s="563">
        <f>TableUK12b!J63-TableUK12d!L63</f>
        <v>0</v>
      </c>
    </row>
    <row r="64" spans="1:23" ht="12" customHeight="1">
      <c r="A64" s="348">
        <v>1894</v>
      </c>
      <c r="B64" s="575">
        <f t="shared" si="8"/>
        <v>6.4209656499728041E-2</v>
      </c>
      <c r="C64" s="386">
        <f t="shared" si="3"/>
        <v>5.3288565331994477E-2</v>
      </c>
      <c r="D64" s="544"/>
      <c r="E64" s="544"/>
      <c r="F64" s="544">
        <f t="shared" si="4"/>
        <v>1.0921091167733561E-2</v>
      </c>
      <c r="G64" s="575">
        <f>TableUK12b!I64</f>
        <v>0.1057141960587423</v>
      </c>
      <c r="H64" s="544">
        <f t="shared" si="5"/>
        <v>9.0902054307351154E-2</v>
      </c>
      <c r="I64" s="386"/>
      <c r="J64" s="386"/>
      <c r="K64" s="576">
        <f>(DataUK1!$GP52)/DataUK1!$G52</f>
        <v>1.4812141751391148E-2</v>
      </c>
      <c r="L64" s="575">
        <f t="shared" si="6"/>
        <v>4.1504539559014265E-2</v>
      </c>
      <c r="M64" s="544">
        <f t="shared" si="7"/>
        <v>3.7613488975356678E-2</v>
      </c>
      <c r="N64" s="386">
        <f>(DataUK1!$X52+DataUK1!$BT52)/DataUK1!$G52</f>
        <v>2.5591419601092964E-2</v>
      </c>
      <c r="O64" s="386">
        <f>(DataUK1!$X52)/DataUK1!$G52</f>
        <v>9.3060959792477301E-3</v>
      </c>
      <c r="P64" s="386">
        <f>(DataUK1!$CQ52)/DataUK1!$G52</f>
        <v>1.2022069374263715E-2</v>
      </c>
      <c r="Q64" s="883">
        <f>(DataUK1!$DK52)/DataUK1!$G52</f>
        <v>3.8910505836575876E-3</v>
      </c>
      <c r="U64" s="563">
        <f>TableUK12b!F64-TableUK12d!B64</f>
        <v>0</v>
      </c>
      <c r="V64" s="563">
        <f>TableUK12b!I64-TableUK12d!G64</f>
        <v>0</v>
      </c>
      <c r="W64" s="563">
        <f>TableUK12b!J64-TableUK12d!L64</f>
        <v>0</v>
      </c>
    </row>
    <row r="65" spans="1:23" ht="12" customHeight="1">
      <c r="A65" s="348">
        <v>1895</v>
      </c>
      <c r="B65" s="575">
        <f t="shared" si="8"/>
        <v>6.2842729118388937E-2</v>
      </c>
      <c r="C65" s="386">
        <f t="shared" si="3"/>
        <v>5.2154297315587628E-2</v>
      </c>
      <c r="D65" s="544"/>
      <c r="E65" s="544"/>
      <c r="F65" s="544">
        <f t="shared" si="4"/>
        <v>1.0688431802801305E-2</v>
      </c>
      <c r="G65" s="575">
        <f>TableUK12b!I65</f>
        <v>0.10352931525952053</v>
      </c>
      <c r="H65" s="544">
        <f t="shared" si="5"/>
        <v>8.9026516005988141E-2</v>
      </c>
      <c r="I65" s="386"/>
      <c r="J65" s="386"/>
      <c r="K65" s="576">
        <f>(DataUK1!$GP53)/DataUK1!$G53</f>
        <v>1.4502799253532392E-2</v>
      </c>
      <c r="L65" s="575">
        <f t="shared" si="6"/>
        <v>4.0686586141131603E-2</v>
      </c>
      <c r="M65" s="544">
        <f t="shared" si="7"/>
        <v>3.6872218690400513E-2</v>
      </c>
      <c r="N65" s="386">
        <f>(DataUK1!$X53+DataUK1!$BT53)/DataUK1!$G53</f>
        <v>2.542114500518175E-2</v>
      </c>
      <c r="O65" s="386">
        <f>(DataUK1!$X53)/DataUK1!$G53</f>
        <v>9.3579148124602676E-3</v>
      </c>
      <c r="P65" s="386">
        <f>(DataUK1!$CQ53)/DataUK1!$G53</f>
        <v>1.1451073685218759E-2</v>
      </c>
      <c r="Q65" s="883">
        <f>(DataUK1!$DK53)/DataUK1!$G53</f>
        <v>3.8143674507310869E-3</v>
      </c>
      <c r="U65" s="563">
        <f>TableUK12b!F65-TableUK12d!B65</f>
        <v>0</v>
      </c>
      <c r="V65" s="563">
        <f>TableUK12b!I65-TableUK12d!G65</f>
        <v>0</v>
      </c>
      <c r="W65" s="563">
        <f>TableUK12b!J65-TableUK12d!L65</f>
        <v>0</v>
      </c>
    </row>
    <row r="66" spans="1:23" ht="12" customHeight="1">
      <c r="A66" s="198">
        <v>1896</v>
      </c>
      <c r="B66" s="303">
        <f t="shared" si="8"/>
        <v>7.3404297143755765E-2</v>
      </c>
      <c r="C66" s="308">
        <f t="shared" si="3"/>
        <v>6.1541939415383995E-2</v>
      </c>
      <c r="D66" s="307"/>
      <c r="E66" s="307"/>
      <c r="F66" s="307">
        <f t="shared" si="4"/>
        <v>1.1862357728371764E-2</v>
      </c>
      <c r="G66" s="303">
        <f>TableUK12b!I66</f>
        <v>0.11362367557154368</v>
      </c>
      <c r="H66" s="307">
        <f t="shared" si="5"/>
        <v>9.810501071337302E-2</v>
      </c>
      <c r="I66" s="308"/>
      <c r="J66" s="308"/>
      <c r="K66" s="236">
        <f>(DataUK1!$GP54)/DataUK1!$G54</f>
        <v>1.5518664858170668E-2</v>
      </c>
      <c r="L66" s="303">
        <f t="shared" ref="L66:L87" si="9">M66+Q66</f>
        <v>4.021937842778793E-2</v>
      </c>
      <c r="M66" s="307">
        <f t="shared" ref="M66:M87" si="10">N66+P66</f>
        <v>3.6563071297989025E-2</v>
      </c>
      <c r="N66" s="308">
        <f>(DataUK1!$X54+DataUK1!$BT54)/DataUK1!$G54</f>
        <v>2.4469361968770614E-2</v>
      </c>
      <c r="O66" s="308">
        <f>(DataUK1!$X54)/DataUK1!$G54</f>
        <v>9.2138939670932361E-3</v>
      </c>
      <c r="P66" s="308">
        <f>(DataUK1!$CQ54)/DataUK1!$G54</f>
        <v>1.2093709329218414E-2</v>
      </c>
      <c r="Q66" s="193">
        <f>(DataUK1!$DK54)/DataUK1!$G54</f>
        <v>3.6563071297989031E-3</v>
      </c>
      <c r="U66" s="563">
        <f>TableUK12b!F66-TableUK12d!B66</f>
        <v>0</v>
      </c>
      <c r="V66" s="563">
        <f>TableUK12b!I66-TableUK12d!G66</f>
        <v>0</v>
      </c>
      <c r="W66" s="563">
        <f>TableUK12b!J66-TableUK12d!L66</f>
        <v>0</v>
      </c>
    </row>
    <row r="67" spans="1:23" ht="12" customHeight="1">
      <c r="A67" s="198">
        <v>1897</v>
      </c>
      <c r="B67" s="303">
        <f t="shared" si="8"/>
        <v>7.3876988211532046E-2</v>
      </c>
      <c r="C67" s="308">
        <f t="shared" si="3"/>
        <v>6.0563982055116379E-2</v>
      </c>
      <c r="D67" s="307"/>
      <c r="E67" s="307"/>
      <c r="F67" s="307">
        <f t="shared" si="4"/>
        <v>1.3313006156415673E-2</v>
      </c>
      <c r="G67" s="303">
        <f>TableUK12b!I67</f>
        <v>0.11541822842826896</v>
      </c>
      <c r="H67" s="307">
        <f t="shared" si="5"/>
        <v>9.8492940513876165E-2</v>
      </c>
      <c r="I67" s="308"/>
      <c r="J67" s="308"/>
      <c r="K67" s="236">
        <f>(DataUK1!$GP55)/DataUK1!$G55</f>
        <v>1.6925287914392795E-2</v>
      </c>
      <c r="L67" s="303">
        <f t="shared" si="9"/>
        <v>4.1541240216736906E-2</v>
      </c>
      <c r="M67" s="307">
        <f t="shared" si="10"/>
        <v>3.7928958458759786E-2</v>
      </c>
      <c r="N67" s="308">
        <f>(DataUK1!$X55+DataUK1!$BT55)/DataUK1!$G55</f>
        <v>2.501470762565507E-2</v>
      </c>
      <c r="O67" s="308">
        <f>(DataUK1!$X55)/DataUK1!$G55</f>
        <v>9.4280553883202885E-3</v>
      </c>
      <c r="P67" s="308">
        <f>(DataUK1!$CQ55)/DataUK1!$G55</f>
        <v>1.2914250833104718E-2</v>
      </c>
      <c r="Q67" s="193">
        <f>(DataUK1!$DK55)/DataUK1!$G55</f>
        <v>3.6122817579771222E-3</v>
      </c>
      <c r="U67" s="563">
        <f>TableUK12b!F67-TableUK12d!B67</f>
        <v>0</v>
      </c>
      <c r="V67" s="563">
        <f>TableUK12b!I67-TableUK12d!G67</f>
        <v>0</v>
      </c>
      <c r="W67" s="563">
        <f>TableUK12b!J67-TableUK12d!L67</f>
        <v>0</v>
      </c>
    </row>
    <row r="68" spans="1:23" ht="12" customHeight="1">
      <c r="A68" s="198">
        <v>1898</v>
      </c>
      <c r="B68" s="303">
        <f t="shared" si="8"/>
        <v>9.8332173849364685E-2</v>
      </c>
      <c r="C68" s="308">
        <f t="shared" si="3"/>
        <v>8.2574786715975207E-2</v>
      </c>
      <c r="D68" s="307"/>
      <c r="E68" s="307"/>
      <c r="F68" s="307">
        <f t="shared" si="4"/>
        <v>1.5757387133389471E-2</v>
      </c>
      <c r="G68" s="303">
        <f>TableUK12b!I68</f>
        <v>0.13976236681190723</v>
      </c>
      <c r="H68" s="307">
        <f t="shared" si="5"/>
        <v>0.12003222144923287</v>
      </c>
      <c r="I68" s="308"/>
      <c r="J68" s="308"/>
      <c r="K68" s="236">
        <f>(DataUK1!$GP56)/DataUK1!$G56</f>
        <v>1.9730145362674374E-2</v>
      </c>
      <c r="L68" s="303">
        <f t="shared" si="9"/>
        <v>4.1430192962542564E-2</v>
      </c>
      <c r="M68" s="307">
        <f t="shared" si="10"/>
        <v>3.7457434733257661E-2</v>
      </c>
      <c r="N68" s="308">
        <f>(DataUK1!$X56+DataUK1!$BT56)/DataUK1!$G56</f>
        <v>2.4542926073594529E-2</v>
      </c>
      <c r="O68" s="308">
        <f>(DataUK1!$X56)/DataUK1!$G56</f>
        <v>9.3643586833144152E-3</v>
      </c>
      <c r="P68" s="308">
        <f>(DataUK1!$CQ56)/DataUK1!$G56</f>
        <v>1.2914508659663131E-2</v>
      </c>
      <c r="Q68" s="193">
        <f>(DataUK1!$DK56)/DataUK1!$G56</f>
        <v>3.9727582292849034E-3</v>
      </c>
      <c r="U68" s="563">
        <f>TableUK12b!F68-TableUK12d!B68</f>
        <v>0</v>
      </c>
      <c r="V68" s="563">
        <f>TableUK12b!I68-TableUK12d!G68</f>
        <v>0</v>
      </c>
      <c r="W68" s="563">
        <f>TableUK12b!J68-TableUK12d!L68</f>
        <v>0</v>
      </c>
    </row>
    <row r="69" spans="1:23" ht="12" customHeight="1">
      <c r="A69" s="198">
        <v>1899</v>
      </c>
      <c r="B69" s="303">
        <f t="shared" si="8"/>
        <v>0.10589142240419364</v>
      </c>
      <c r="C69" s="308">
        <f t="shared" si="3"/>
        <v>8.8331934284686345E-2</v>
      </c>
      <c r="D69" s="307"/>
      <c r="E69" s="307"/>
      <c r="F69" s="307">
        <f t="shared" si="4"/>
        <v>1.7559488119507291E-2</v>
      </c>
      <c r="G69" s="303">
        <f>TableUK12b!I69</f>
        <v>0.14837681804944058</v>
      </c>
      <c r="H69" s="307">
        <f t="shared" si="5"/>
        <v>0.12709985781097419</v>
      </c>
      <c r="I69" s="308"/>
      <c r="J69" s="308"/>
      <c r="K69" s="236">
        <f>(DataUK1!$GP57)/DataUK1!$G57</f>
        <v>2.1276960238466397E-2</v>
      </c>
      <c r="L69" s="303">
        <f t="shared" si="9"/>
        <v>4.2485395645246948E-2</v>
      </c>
      <c r="M69" s="307">
        <f t="shared" si="10"/>
        <v>3.8767923526287842E-2</v>
      </c>
      <c r="N69" s="308">
        <f>(DataUK1!$X57+DataUK1!$BT57)/DataUK1!$G57</f>
        <v>2.4637028516936367E-2</v>
      </c>
      <c r="O69" s="308">
        <f>(DataUK1!$X57)/DataUK1!$G57</f>
        <v>9.2777482740308021E-3</v>
      </c>
      <c r="P69" s="308">
        <f>(DataUK1!$CQ57)/DataUK1!$G57</f>
        <v>1.4130895009351474E-2</v>
      </c>
      <c r="Q69" s="193">
        <f>(DataUK1!$DK57)/DataUK1!$G57</f>
        <v>3.7174721189591076E-3</v>
      </c>
      <c r="U69" s="563">
        <f>TableUK12b!F69-TableUK12d!B69</f>
        <v>0</v>
      </c>
      <c r="V69" s="563">
        <f>TableUK12b!I69-TableUK12d!G69</f>
        <v>0</v>
      </c>
      <c r="W69" s="563">
        <f>TableUK12b!J69-TableUK12d!L69</f>
        <v>0</v>
      </c>
    </row>
    <row r="70" spans="1:23">
      <c r="A70" s="199">
        <v>1900</v>
      </c>
      <c r="B70" s="566">
        <f t="shared" si="8"/>
        <v>9.025448757916836E-2</v>
      </c>
      <c r="C70" s="551">
        <f t="shared" si="3"/>
        <v>7.0577232304006768E-2</v>
      </c>
      <c r="D70" s="569"/>
      <c r="E70" s="569"/>
      <c r="F70" s="569">
        <f t="shared" si="4"/>
        <v>1.9677255275161593E-2</v>
      </c>
      <c r="G70" s="566">
        <f>TableUK12b!I70</f>
        <v>0.13501542348964649</v>
      </c>
      <c r="H70" s="569">
        <f t="shared" si="5"/>
        <v>0.11126899222262325</v>
      </c>
      <c r="I70" s="551"/>
      <c r="J70" s="551"/>
      <c r="K70" s="240">
        <f>(DataUK1!$GP58)/DataUK1!$G58</f>
        <v>2.3746431267023239E-2</v>
      </c>
      <c r="L70" s="566">
        <f t="shared" si="9"/>
        <v>4.4760935910478132E-2</v>
      </c>
      <c r="M70" s="569">
        <f t="shared" si="10"/>
        <v>4.0691759918616482E-2</v>
      </c>
      <c r="N70" s="551">
        <f>(DataUK1!$X58+DataUK1!$BT58)/DataUK1!$G58</f>
        <v>2.3585735719394204E-2</v>
      </c>
      <c r="O70" s="551">
        <f>(DataUK1!$X58)/DataUK1!$G58</f>
        <v>9.1912512716174968E-3</v>
      </c>
      <c r="P70" s="551">
        <f>(DataUK1!$CQ58)/DataUK1!$G58</f>
        <v>1.7106024199222282E-2</v>
      </c>
      <c r="Q70" s="885">
        <f>(DataUK1!$DK58)/DataUK1!$G58</f>
        <v>4.0691759918616479E-3</v>
      </c>
      <c r="U70" s="563">
        <f>TableUK12b!F70-TableUK12d!B70</f>
        <v>0</v>
      </c>
      <c r="V70" s="563">
        <f>TableUK12b!I70-TableUK12d!G70</f>
        <v>0</v>
      </c>
      <c r="W70" s="563">
        <f>TableUK12b!J70-TableUK12d!L70</f>
        <v>0</v>
      </c>
    </row>
    <row r="71" spans="1:23">
      <c r="A71" s="198">
        <v>1901</v>
      </c>
      <c r="B71" s="303">
        <f t="shared" si="8"/>
        <v>9.835860584380629E-2</v>
      </c>
      <c r="C71" s="308">
        <f t="shared" si="3"/>
        <v>7.5481971572382719E-2</v>
      </c>
      <c r="D71" s="307"/>
      <c r="E71" s="307"/>
      <c r="F71" s="307">
        <f t="shared" si="4"/>
        <v>2.2876634271423571E-2</v>
      </c>
      <c r="G71" s="303">
        <f>TableUK12b!I71</f>
        <v>0.14104751654056782</v>
      </c>
      <c r="H71" s="307">
        <f t="shared" si="5"/>
        <v>0.11424546519357998</v>
      </c>
      <c r="I71" s="308"/>
      <c r="J71" s="308"/>
      <c r="K71" s="236">
        <f>(DataUK1!$GP59)/DataUK1!$G59</f>
        <v>2.6802051346987849E-2</v>
      </c>
      <c r="L71" s="303">
        <f t="shared" si="9"/>
        <v>4.2688910696761534E-2</v>
      </c>
      <c r="M71" s="307">
        <f t="shared" si="10"/>
        <v>3.8763493621197256E-2</v>
      </c>
      <c r="N71" s="308">
        <f>(DataUK1!$X59+DataUK1!$BT59)/DataUK1!$G59</f>
        <v>2.1919716278609586E-2</v>
      </c>
      <c r="O71" s="308">
        <f>(DataUK1!$X59)/DataUK1!$G59</f>
        <v>8.758586849852798E-3</v>
      </c>
      <c r="P71" s="308">
        <f>(DataUK1!$CQ59)/DataUK1!$G59</f>
        <v>1.6843777342587671E-2</v>
      </c>
      <c r="Q71" s="193">
        <f>(DataUK1!$DK59)/DataUK1!$G59</f>
        <v>3.9254170755642784E-3</v>
      </c>
      <c r="U71" s="563">
        <f>TableUK12b!F71-TableUK12d!B71</f>
        <v>0</v>
      </c>
      <c r="V71" s="563">
        <f>TableUK12b!I71-TableUK12d!G71</f>
        <v>0</v>
      </c>
      <c r="W71" s="563">
        <f>TableUK12b!J71-TableUK12d!L71</f>
        <v>0</v>
      </c>
    </row>
    <row r="72" spans="1:23">
      <c r="A72" s="198">
        <v>1902</v>
      </c>
      <c r="B72" s="303">
        <f t="shared" si="8"/>
        <v>8.9944245320589311E-2</v>
      </c>
      <c r="C72" s="308">
        <f t="shared" si="3"/>
        <v>7.319792911190752E-2</v>
      </c>
      <c r="D72" s="307"/>
      <c r="E72" s="307"/>
      <c r="F72" s="307">
        <f t="shared" si="4"/>
        <v>1.6746316208681784E-2</v>
      </c>
      <c r="G72" s="303">
        <f>TableUK12b!I72</f>
        <v>0.13191955396256461</v>
      </c>
      <c r="H72" s="307">
        <f t="shared" si="5"/>
        <v>0.11023496614894455</v>
      </c>
      <c r="I72" s="308"/>
      <c r="J72" s="308"/>
      <c r="K72" s="236">
        <f>(DataUK1!$GP60)/DataUK1!$G60</f>
        <v>2.1684587813620055E-2</v>
      </c>
      <c r="L72" s="303">
        <f t="shared" si="9"/>
        <v>4.1975308641975309E-2</v>
      </c>
      <c r="M72" s="307">
        <f t="shared" si="10"/>
        <v>3.7037037037037035E-2</v>
      </c>
      <c r="N72" s="308">
        <f>(DataUK1!$X60+DataUK1!$BT60)/DataUK1!$G60</f>
        <v>2.2601278099391022E-2</v>
      </c>
      <c r="O72" s="308">
        <f>(DataUK1!$X60)/DataUK1!$G60</f>
        <v>8.9333333333333331E-3</v>
      </c>
      <c r="P72" s="308">
        <f>(DataUK1!$CQ60)/DataUK1!$G60</f>
        <v>1.4435758937646015E-2</v>
      </c>
      <c r="Q72" s="193">
        <f>(DataUK1!$DK60)/DataUK1!$G60</f>
        <v>4.9382716049382715E-3</v>
      </c>
      <c r="U72" s="563">
        <f>TableUK12b!F72-TableUK12d!B72</f>
        <v>0</v>
      </c>
      <c r="V72" s="563">
        <f>TableUK12b!I72-TableUK12d!G72</f>
        <v>0</v>
      </c>
      <c r="W72" s="563">
        <f>TableUK12b!J72-TableUK12d!L72</f>
        <v>0</v>
      </c>
    </row>
    <row r="73" spans="1:23">
      <c r="A73" s="198">
        <v>1903</v>
      </c>
      <c r="B73" s="303">
        <f t="shared" si="8"/>
        <v>8.5095594214915485E-2</v>
      </c>
      <c r="C73" s="308">
        <f t="shared" si="3"/>
        <v>6.5568542407475255E-2</v>
      </c>
      <c r="D73" s="307"/>
      <c r="E73" s="307"/>
      <c r="F73" s="307">
        <f t="shared" si="4"/>
        <v>1.9527051807440229E-2</v>
      </c>
      <c r="G73" s="303">
        <f>TableUK12b!I73</f>
        <v>0.12760671631081266</v>
      </c>
      <c r="H73" s="307">
        <f t="shared" si="5"/>
        <v>0.10264219539808325</v>
      </c>
      <c r="I73" s="308"/>
      <c r="J73" s="308"/>
      <c r="K73" s="236">
        <f>(DataUK1!$GP61)/DataUK1!$G61</f>
        <v>2.4964520912729403E-2</v>
      </c>
      <c r="L73" s="303">
        <f t="shared" si="9"/>
        <v>4.2511122095897177E-2</v>
      </c>
      <c r="M73" s="307">
        <f t="shared" si="10"/>
        <v>3.7073652990608004E-2</v>
      </c>
      <c r="N73" s="308">
        <f>(DataUK1!$X61+DataUK1!$BT61)/DataUK1!$G61</f>
        <v>2.1409144436751956E-2</v>
      </c>
      <c r="O73" s="308">
        <f>(DataUK1!$X61)/DataUK1!$G61</f>
        <v>8.803756796836381E-3</v>
      </c>
      <c r="P73" s="308">
        <f>(DataUK1!$CQ61)/DataUK1!$G61</f>
        <v>1.5664508553856048E-2</v>
      </c>
      <c r="Q73" s="193">
        <f>(DataUK1!$DK61)/DataUK1!$G61</f>
        <v>5.4374691052891744E-3</v>
      </c>
      <c r="U73" s="563">
        <f>TableUK12b!F73-TableUK12d!B73</f>
        <v>0</v>
      </c>
      <c r="V73" s="563">
        <f>TableUK12b!I73-TableUK12d!G73</f>
        <v>0</v>
      </c>
      <c r="W73" s="563">
        <f>TableUK12b!J73-TableUK12d!L73</f>
        <v>0</v>
      </c>
    </row>
    <row r="74" spans="1:23">
      <c r="A74" s="198">
        <v>1904</v>
      </c>
      <c r="B74" s="303">
        <f t="shared" si="8"/>
        <v>8.1444105514374573E-2</v>
      </c>
      <c r="C74" s="308">
        <f t="shared" si="3"/>
        <v>6.3589164072007626E-2</v>
      </c>
      <c r="D74" s="307"/>
      <c r="E74" s="307"/>
      <c r="F74" s="307">
        <f t="shared" si="4"/>
        <v>1.7854941442366948E-2</v>
      </c>
      <c r="G74" s="303">
        <f>TableUK12b!I74</f>
        <v>0.1240702691596465</v>
      </c>
      <c r="H74" s="307">
        <f t="shared" si="5"/>
        <v>9.9355945061718548E-2</v>
      </c>
      <c r="I74" s="308"/>
      <c r="J74" s="308"/>
      <c r="K74" s="236">
        <f>(DataUK1!$GP62)/DataUK1!$G62</f>
        <v>2.4714324097927946E-2</v>
      </c>
      <c r="L74" s="303">
        <f t="shared" si="9"/>
        <v>4.2626163645271921E-2</v>
      </c>
      <c r="M74" s="307">
        <f t="shared" si="10"/>
        <v>3.5766780989710922E-2</v>
      </c>
      <c r="N74" s="308">
        <f>(DataUK1!$X62+DataUK1!$BT62)/DataUK1!$G62</f>
        <v>2.1100052487645106E-2</v>
      </c>
      <c r="O74" s="308">
        <f>(DataUK1!$X62)/DataUK1!$G62</f>
        <v>8.6820186183243497E-3</v>
      </c>
      <c r="P74" s="308">
        <f>(DataUK1!$CQ62)/DataUK1!$G62</f>
        <v>1.4666728502065818E-2</v>
      </c>
      <c r="Q74" s="193">
        <f>(DataUK1!$DK62)/DataUK1!$G62</f>
        <v>6.8593826555609994E-3</v>
      </c>
      <c r="U74" s="563">
        <f>TableUK12b!F74-TableUK12d!B74</f>
        <v>0</v>
      </c>
      <c r="V74" s="563">
        <f>TableUK12b!I74-TableUK12d!G74</f>
        <v>0</v>
      </c>
      <c r="W74" s="563">
        <f>TableUK12b!J74-TableUK12d!L74</f>
        <v>0</v>
      </c>
    </row>
    <row r="75" spans="1:23">
      <c r="A75" s="198">
        <v>1905</v>
      </c>
      <c r="B75" s="303">
        <f t="shared" si="8"/>
        <v>7.6764329639504858E-2</v>
      </c>
      <c r="C75" s="308">
        <f t="shared" si="3"/>
        <v>6.2071729112402246E-2</v>
      </c>
      <c r="D75" s="307"/>
      <c r="E75" s="307"/>
      <c r="F75" s="307">
        <f t="shared" si="4"/>
        <v>1.4692600527102617E-2</v>
      </c>
      <c r="G75" s="303">
        <f>TableUK12b!I75</f>
        <v>0.1192870243361126</v>
      </c>
      <c r="H75" s="307">
        <f t="shared" si="5"/>
        <v>9.8383243684786376E-2</v>
      </c>
      <c r="I75" s="308"/>
      <c r="J75" s="308"/>
      <c r="K75" s="236">
        <f>(DataUK1!$GP63)/DataUK1!$G63</f>
        <v>2.0903780651326219E-2</v>
      </c>
      <c r="L75" s="303">
        <f t="shared" si="9"/>
        <v>4.252269469660773E-2</v>
      </c>
      <c r="M75" s="307">
        <f t="shared" si="10"/>
        <v>3.6311514572384129E-2</v>
      </c>
      <c r="N75" s="308">
        <f>(DataUK1!$X63+DataUK1!$BT63)/DataUK1!$G63</f>
        <v>2.1843697076255594E-2</v>
      </c>
      <c r="O75" s="308">
        <f>(DataUK1!$X63)/DataUK1!$G63</f>
        <v>8.8055422838031524E-3</v>
      </c>
      <c r="P75" s="308">
        <f>(DataUK1!$CQ63)/DataUK1!$G63</f>
        <v>1.4467817496128538E-2</v>
      </c>
      <c r="Q75" s="193">
        <f>(DataUK1!$DK63)/DataUK1!$G63</f>
        <v>6.2111801242236021E-3</v>
      </c>
      <c r="U75" s="563">
        <f>TableUK12b!F75-TableUK12d!B75</f>
        <v>0</v>
      </c>
      <c r="V75" s="563">
        <f>TableUK12b!I75-TableUK12d!G75</f>
        <v>0</v>
      </c>
      <c r="W75" s="563">
        <f>TableUK12b!J75-TableUK12d!L75</f>
        <v>0</v>
      </c>
    </row>
    <row r="76" spans="1:23">
      <c r="A76" s="198">
        <v>1906</v>
      </c>
      <c r="B76" s="303">
        <f t="shared" si="8"/>
        <v>7.3658408801736283E-2</v>
      </c>
      <c r="C76" s="308">
        <f t="shared" si="3"/>
        <v>6.2335154554299742E-2</v>
      </c>
      <c r="D76" s="307"/>
      <c r="E76" s="307"/>
      <c r="F76" s="307">
        <f t="shared" si="4"/>
        <v>1.1323254247436545E-2</v>
      </c>
      <c r="G76" s="303">
        <f>TableUK12b!I76</f>
        <v>0.11681386123793118</v>
      </c>
      <c r="H76" s="307">
        <f t="shared" si="5"/>
        <v>9.8994087268916911E-2</v>
      </c>
      <c r="I76" s="308"/>
      <c r="J76" s="308"/>
      <c r="K76" s="236">
        <f>(DataUK1!$GP64)/DataUK1!$G64</f>
        <v>1.7819773969014272E-2</v>
      </c>
      <c r="L76" s="303">
        <f t="shared" si="9"/>
        <v>4.3155452436194897E-2</v>
      </c>
      <c r="M76" s="307">
        <f t="shared" si="10"/>
        <v>3.6658932714617169E-2</v>
      </c>
      <c r="N76" s="308">
        <f>(DataUK1!$X64+DataUK1!$BT64)/DataUK1!$G64</f>
        <v>2.2490495018866227E-2</v>
      </c>
      <c r="O76" s="308">
        <f>(DataUK1!$X64)/DataUK1!$G64</f>
        <v>8.9976798143851511E-3</v>
      </c>
      <c r="P76" s="308">
        <f>(DataUK1!$CQ64)/DataUK1!$G64</f>
        <v>1.416843769575094E-2</v>
      </c>
      <c r="Q76" s="193">
        <f>(DataUK1!$DK64)/DataUK1!$G64</f>
        <v>6.4965197215777265E-3</v>
      </c>
      <c r="U76" s="563">
        <f>TableUK12b!F76-TableUK12d!B76</f>
        <v>0</v>
      </c>
      <c r="V76" s="563">
        <f>TableUK12b!I76-TableUK12d!G76</f>
        <v>0</v>
      </c>
      <c r="W76" s="563">
        <f>TableUK12b!J76-TableUK12d!L76</f>
        <v>0</v>
      </c>
    </row>
    <row r="77" spans="1:23">
      <c r="A77" s="198">
        <v>1907</v>
      </c>
      <c r="B77" s="303">
        <f t="shared" si="8"/>
        <v>5.0130380006445652E-2</v>
      </c>
      <c r="C77" s="308">
        <f t="shared" si="3"/>
        <v>4.1326067211625711E-2</v>
      </c>
      <c r="D77" s="307"/>
      <c r="E77" s="307"/>
      <c r="F77" s="307">
        <f t="shared" si="4"/>
        <v>8.8043127948199407E-3</v>
      </c>
      <c r="G77" s="303">
        <f>TableUK12b!I77</f>
        <v>9.4635375465119589E-2</v>
      </c>
      <c r="H77" s="307">
        <f t="shared" si="5"/>
        <v>7.9019073569482207E-2</v>
      </c>
      <c r="I77" s="308"/>
      <c r="J77" s="308"/>
      <c r="K77" s="236">
        <f>(DataUK1!$GP65)/DataUK1!$G65</f>
        <v>1.5616301895637379E-2</v>
      </c>
      <c r="L77" s="303">
        <f t="shared" si="9"/>
        <v>4.4504995458673938E-2</v>
      </c>
      <c r="M77" s="307">
        <f t="shared" si="10"/>
        <v>3.7693006357856496E-2</v>
      </c>
      <c r="N77" s="308">
        <f>(DataUK1!$X65+DataUK1!$BT65)/DataUK1!$G65</f>
        <v>2.2988625482189402E-2</v>
      </c>
      <c r="O77" s="308">
        <f>(DataUK1!$X65)/DataUK1!$G65</f>
        <v>9.2188919164396012E-3</v>
      </c>
      <c r="P77" s="308">
        <f>(DataUK1!$CQ65)/DataUK1!$G65</f>
        <v>1.470438087566709E-2</v>
      </c>
      <c r="Q77" s="193">
        <f>(DataUK1!$DK65)/DataUK1!$G65</f>
        <v>6.8119891008174387E-3</v>
      </c>
      <c r="U77" s="563">
        <f>TableUK12b!F77-TableUK12d!B77</f>
        <v>0</v>
      </c>
      <c r="V77" s="563">
        <f>TableUK12b!I77-TableUK12d!G77</f>
        <v>0</v>
      </c>
      <c r="W77" s="563">
        <f>TableUK12b!J77-TableUK12d!L77</f>
        <v>0</v>
      </c>
    </row>
    <row r="78" spans="1:23">
      <c r="A78" s="198">
        <v>1908</v>
      </c>
      <c r="B78" s="303">
        <f t="shared" si="8"/>
        <v>1.9729897312584035E-2</v>
      </c>
      <c r="C78" s="308">
        <f t="shared" si="3"/>
        <v>1.1279736249111438E-2</v>
      </c>
      <c r="D78" s="307"/>
      <c r="E78" s="307"/>
      <c r="F78" s="307">
        <f t="shared" si="4"/>
        <v>8.4501610634725964E-3</v>
      </c>
      <c r="G78" s="303">
        <f>TableUK12b!I78</f>
        <v>6.5205752915021911E-2</v>
      </c>
      <c r="H78" s="307">
        <f t="shared" si="5"/>
        <v>4.9723243047048615E-2</v>
      </c>
      <c r="I78" s="308"/>
      <c r="J78" s="308"/>
      <c r="K78" s="236">
        <f>(DataUK1!$GP66)/DataUK1!$G66</f>
        <v>1.5482509867973299E-2</v>
      </c>
      <c r="L78" s="303">
        <f t="shared" si="9"/>
        <v>4.547585560243788E-2</v>
      </c>
      <c r="M78" s="307">
        <f t="shared" si="10"/>
        <v>3.8443506797937177E-2</v>
      </c>
      <c r="N78" s="308">
        <f>(DataUK1!$X66+DataUK1!$BT66)/DataUK1!$G66</f>
        <v>2.190077358127919E-2</v>
      </c>
      <c r="O78" s="308">
        <f>(DataUK1!$X66)/DataUK1!$G66</f>
        <v>9.0342240975152359E-3</v>
      </c>
      <c r="P78" s="308">
        <f>(DataUK1!$CQ66)/DataUK1!$G66</f>
        <v>1.6542733216657991E-2</v>
      </c>
      <c r="Q78" s="193">
        <f>(DataUK1!$DK66)/DataUK1!$G66</f>
        <v>7.0323488045007029E-3</v>
      </c>
      <c r="U78" s="563">
        <f>TableUK12b!F78-TableUK12d!B78</f>
        <v>0</v>
      </c>
      <c r="V78" s="563">
        <f>TableUK12b!I78-TableUK12d!G78</f>
        <v>0</v>
      </c>
      <c r="W78" s="563">
        <f>TableUK12b!J78-TableUK12d!L78</f>
        <v>0</v>
      </c>
    </row>
    <row r="79" spans="1:23">
      <c r="A79" s="214">
        <v>1909</v>
      </c>
      <c r="B79" s="565">
        <f t="shared" si="8"/>
        <v>4.4081142790234687E-2</v>
      </c>
      <c r="C79" s="550">
        <f t="shared" si="3"/>
        <v>3.7427551080147475E-2</v>
      </c>
      <c r="D79" s="568"/>
      <c r="E79" s="568"/>
      <c r="F79" s="568">
        <f t="shared" si="4"/>
        <v>6.6535917100872151E-3</v>
      </c>
      <c r="G79" s="565">
        <f>TableUK12b!I79</f>
        <v>8.8092032082430688E-2</v>
      </c>
      <c r="H79" s="568">
        <f t="shared" si="5"/>
        <v>7.3725191733505002E-2</v>
      </c>
      <c r="I79" s="550"/>
      <c r="J79" s="550"/>
      <c r="K79" s="244">
        <f>(DataUK1!$GP67)/DataUK1!$G67</f>
        <v>1.4366840348925691E-2</v>
      </c>
      <c r="L79" s="565">
        <f t="shared" si="9"/>
        <v>4.4010889292196001E-2</v>
      </c>
      <c r="M79" s="568">
        <f t="shared" si="10"/>
        <v>3.6297640653357527E-2</v>
      </c>
      <c r="N79" s="550">
        <f>(DataUK1!$X67+DataUK1!$BT67)/DataUK1!$G67</f>
        <v>2.1445251445281123E-2</v>
      </c>
      <c r="O79" s="550">
        <f>(DataUK1!$X67)/DataUK1!$G67</f>
        <v>8.8520871143375687E-3</v>
      </c>
      <c r="P79" s="550">
        <f>(DataUK1!$CQ67)/DataUK1!$G67</f>
        <v>1.4852389208076406E-2</v>
      </c>
      <c r="Q79" s="886">
        <f>(DataUK1!$DK67)/DataUK1!$G67</f>
        <v>7.7132486388384758E-3</v>
      </c>
      <c r="U79" s="563">
        <f>TableUK12b!F79-TableUK12d!B79</f>
        <v>0</v>
      </c>
      <c r="V79" s="563">
        <f>TableUK12b!I79-TableUK12d!G79</f>
        <v>0</v>
      </c>
      <c r="W79" s="563">
        <f>TableUK12b!J79-TableUK12d!L79</f>
        <v>0</v>
      </c>
    </row>
    <row r="80" spans="1:23">
      <c r="A80" s="198">
        <v>1910</v>
      </c>
      <c r="B80" s="303">
        <f t="shared" si="8"/>
        <v>4.7422016164049605E-2</v>
      </c>
      <c r="C80" s="308">
        <f t="shared" si="3"/>
        <v>4.1071253484235071E-2</v>
      </c>
      <c r="D80" s="307"/>
      <c r="E80" s="307"/>
      <c r="F80" s="307">
        <f t="shared" si="4"/>
        <v>6.3507626798145348E-3</v>
      </c>
      <c r="G80" s="303">
        <f>TableUK12b!I80</f>
        <v>9.0843640132786035E-2</v>
      </c>
      <c r="H80" s="307">
        <f t="shared" si="5"/>
        <v>7.7111201378286309E-2</v>
      </c>
      <c r="I80" s="308"/>
      <c r="J80" s="308"/>
      <c r="K80" s="236">
        <f>(DataUK1!$GP68)/DataUK1!$G68</f>
        <v>1.3732438754499728E-2</v>
      </c>
      <c r="L80" s="303">
        <f t="shared" si="9"/>
        <v>4.3421623968736431E-2</v>
      </c>
      <c r="M80" s="307">
        <f t="shared" si="10"/>
        <v>3.6039947894051239E-2</v>
      </c>
      <c r="N80" s="308">
        <f>(DataUK1!$X68+DataUK1!$BT68)/DataUK1!$G68</f>
        <v>2.1403180502558048E-2</v>
      </c>
      <c r="O80" s="308">
        <f>(DataUK1!$X68)/DataUK1!$G68</f>
        <v>8.8449848024316109E-3</v>
      </c>
      <c r="P80" s="308">
        <f>(DataUK1!$CQ68)/DataUK1!$G68</f>
        <v>1.463676739149319E-2</v>
      </c>
      <c r="Q80" s="193">
        <f>(DataUK1!$DK68)/DataUK1!$G68</f>
        <v>7.3816760746851931E-3</v>
      </c>
      <c r="U80" s="563">
        <f>TableUK12b!F80-TableUK12d!B80</f>
        <v>0</v>
      </c>
      <c r="V80" s="563">
        <f>TableUK12b!I80-TableUK12d!G80</f>
        <v>0</v>
      </c>
      <c r="W80" s="563">
        <f>TableUK12b!J80-TableUK12d!L80</f>
        <v>0</v>
      </c>
    </row>
    <row r="81" spans="1:23">
      <c r="A81" s="198">
        <v>1911</v>
      </c>
      <c r="B81" s="303">
        <f t="shared" si="8"/>
        <v>4.2146038601700533E-2</v>
      </c>
      <c r="C81" s="308">
        <f t="shared" si="3"/>
        <v>3.7011742475367718E-2</v>
      </c>
      <c r="D81" s="307"/>
      <c r="E81" s="307"/>
      <c r="F81" s="307">
        <f t="shared" si="4"/>
        <v>5.1342961263328192E-3</v>
      </c>
      <c r="G81" s="303">
        <f>TableUK12b!I81</f>
        <v>8.5242272911323969E-2</v>
      </c>
      <c r="H81" s="307">
        <f t="shared" si="5"/>
        <v>7.2576596031853069E-2</v>
      </c>
      <c r="I81" s="308"/>
      <c r="J81" s="308"/>
      <c r="K81" s="236">
        <f>(DataUK1!$GP69)/DataUK1!$G69</f>
        <v>1.2665676879470894E-2</v>
      </c>
      <c r="L81" s="303">
        <f t="shared" si="9"/>
        <v>4.3096234309623428E-2</v>
      </c>
      <c r="M81" s="307">
        <f t="shared" si="10"/>
        <v>3.5564853556485351E-2</v>
      </c>
      <c r="N81" s="308">
        <f>(DataUK1!$X69+DataUK1!$BT69)/DataUK1!$G69</f>
        <v>2.1743694358400713E-2</v>
      </c>
      <c r="O81" s="308">
        <f>(DataUK1!$X69)/DataUK1!$G69</f>
        <v>8.8619246861924694E-3</v>
      </c>
      <c r="P81" s="308">
        <f>(DataUK1!$CQ69)/DataUK1!$G69</f>
        <v>1.382115919808464E-2</v>
      </c>
      <c r="Q81" s="193">
        <f>(DataUK1!$DK69)/DataUK1!$G69</f>
        <v>7.5313807531380752E-3</v>
      </c>
      <c r="U81" s="563">
        <f>TableUK12b!F81-TableUK12d!B81</f>
        <v>0</v>
      </c>
      <c r="V81" s="563">
        <f>TableUK12b!I81-TableUK12d!G81</f>
        <v>0</v>
      </c>
      <c r="W81" s="563">
        <f>TableUK12b!J81-TableUK12d!L81</f>
        <v>0</v>
      </c>
    </row>
    <row r="82" spans="1:23">
      <c r="A82" s="198">
        <v>1912</v>
      </c>
      <c r="B82" s="303">
        <f t="shared" si="8"/>
        <v>3.6160567636817451E-2</v>
      </c>
      <c r="C82" s="308">
        <f t="shared" si="3"/>
        <v>3.1328427829971667E-2</v>
      </c>
      <c r="D82" s="307"/>
      <c r="E82" s="307"/>
      <c r="F82" s="307">
        <f t="shared" si="4"/>
        <v>4.8321398068457855E-3</v>
      </c>
      <c r="G82" s="303">
        <f>TableUK12b!I82</f>
        <v>8.0967084948426415E-2</v>
      </c>
      <c r="H82" s="307">
        <f t="shared" si="5"/>
        <v>6.7580973654818924E-2</v>
      </c>
      <c r="I82" s="308"/>
      <c r="J82" s="308"/>
      <c r="K82" s="236">
        <f>(DataUK1!$GP70)/DataUK1!$G70</f>
        <v>1.3386111293607497E-2</v>
      </c>
      <c r="L82" s="303">
        <f t="shared" si="9"/>
        <v>4.4806517311608965E-2</v>
      </c>
      <c r="M82" s="307">
        <f t="shared" si="10"/>
        <v>3.6252545824847257E-2</v>
      </c>
      <c r="N82" s="308">
        <f>(DataUK1!$X70+DataUK1!$BT70)/DataUK1!$G70</f>
        <v>2.20236773769058E-2</v>
      </c>
      <c r="O82" s="308">
        <f>(DataUK1!$X70)/DataUK1!$G70</f>
        <v>9.071283095723014E-3</v>
      </c>
      <c r="P82" s="308">
        <f>(DataUK1!$CQ70)/DataUK1!$G70</f>
        <v>1.4228868447941453E-2</v>
      </c>
      <c r="Q82" s="193">
        <f>(DataUK1!$DK70)/DataUK1!$G70</f>
        <v>8.5539714867617113E-3</v>
      </c>
      <c r="U82" s="563">
        <f>TableUK12b!F82-TableUK12d!B82</f>
        <v>0</v>
      </c>
      <c r="V82" s="563">
        <f>TableUK12b!I82-TableUK12d!G82</f>
        <v>0</v>
      </c>
      <c r="W82" s="563">
        <f>TableUK12b!J82-TableUK12d!L82</f>
        <v>0</v>
      </c>
    </row>
    <row r="83" spans="1:23">
      <c r="A83" s="198">
        <v>1913</v>
      </c>
      <c r="B83" s="303">
        <f t="shared" si="8"/>
        <v>5.3465788592476714E-2</v>
      </c>
      <c r="C83" s="308">
        <f t="shared" si="3"/>
        <v>4.6012079721198945E-2</v>
      </c>
      <c r="D83" s="307"/>
      <c r="E83" s="307"/>
      <c r="F83" s="307">
        <f t="shared" si="4"/>
        <v>7.4537088712777711E-3</v>
      </c>
      <c r="G83" s="303">
        <f>TableUK12b!I83</f>
        <v>9.8064020041919248E-2</v>
      </c>
      <c r="H83" s="307">
        <f t="shared" si="5"/>
        <v>8.2920960920737585E-2</v>
      </c>
      <c r="I83" s="308"/>
      <c r="J83" s="308"/>
      <c r="K83" s="236">
        <f>(DataUK1!$GP71)/DataUK1!$G71</f>
        <v>1.5143059121181655E-2</v>
      </c>
      <c r="L83" s="303">
        <f t="shared" si="9"/>
        <v>4.4598231449442527E-2</v>
      </c>
      <c r="M83" s="307">
        <f t="shared" si="10"/>
        <v>3.690888119953864E-2</v>
      </c>
      <c r="N83" s="308">
        <f>(DataUK1!$X71+DataUK1!$BT71)/DataUK1!$G71</f>
        <v>2.1086456745265863E-2</v>
      </c>
      <c r="O83" s="308">
        <f>(DataUK1!$X71)/DataUK1!$G71</f>
        <v>8.8312187620146112E-3</v>
      </c>
      <c r="P83" s="308">
        <f>(DataUK1!$CQ71)/DataUK1!$G71</f>
        <v>1.5822424454272781E-2</v>
      </c>
      <c r="Q83" s="193">
        <f>(DataUK1!$DK71)/DataUK1!$G71</f>
        <v>7.6893502499038842E-3</v>
      </c>
      <c r="U83" s="563">
        <f>TableUK12b!F83-TableUK12d!B83</f>
        <v>0</v>
      </c>
      <c r="V83" s="563">
        <f>TableUK12b!I83-TableUK12d!G83</f>
        <v>0</v>
      </c>
      <c r="W83" s="563">
        <f>TableUK12b!J83-TableUK12d!L83</f>
        <v>0</v>
      </c>
    </row>
    <row r="84" spans="1:23">
      <c r="A84" s="198">
        <v>1914</v>
      </c>
      <c r="B84" s="303">
        <f t="shared" si="8"/>
        <v>5.4741702174687053E-2</v>
      </c>
      <c r="C84" s="308">
        <f t="shared" si="3"/>
        <v>4.7760845807188278E-2</v>
      </c>
      <c r="D84" s="307"/>
      <c r="E84" s="307"/>
      <c r="F84" s="307">
        <f t="shared" si="4"/>
        <v>6.9808563674987733E-3</v>
      </c>
      <c r="G84" s="303">
        <f>TableUK12b!I84</f>
        <v>9.88985350639143E-2</v>
      </c>
      <c r="H84" s="307">
        <f t="shared" si="5"/>
        <v>8.3923769294055428E-2</v>
      </c>
      <c r="I84" s="308"/>
      <c r="J84" s="308"/>
      <c r="K84" s="236">
        <f>(DataUK1!$GP72)/DataUK1!$G72</f>
        <v>1.4974765769858879E-2</v>
      </c>
      <c r="L84" s="303">
        <f t="shared" si="9"/>
        <v>4.4156832889227254E-2</v>
      </c>
      <c r="M84" s="307">
        <f t="shared" si="10"/>
        <v>3.616292348686715E-2</v>
      </c>
      <c r="N84" s="308">
        <f>(DataUK1!$X72+DataUK1!$BT72)/DataUK1!$G72</f>
        <v>2.1870332053135211E-2</v>
      </c>
      <c r="O84" s="308">
        <f>(DataUK1!$X72)/DataUK1!$G72</f>
        <v>9.0521507422915877E-3</v>
      </c>
      <c r="P84" s="308">
        <f>(DataUK1!$CQ72)/DataUK1!$G72</f>
        <v>1.429259143373194E-2</v>
      </c>
      <c r="Q84" s="193">
        <f>(DataUK1!$DK72)/DataUK1!$G72</f>
        <v>7.9939094023601057E-3</v>
      </c>
      <c r="U84" s="563">
        <f>TableUK12b!F84-TableUK12d!B84</f>
        <v>0</v>
      </c>
      <c r="V84" s="563">
        <f>TableUK12b!I84-TableUK12d!G84</f>
        <v>0</v>
      </c>
      <c r="W84" s="563">
        <f>TableUK12b!J84-TableUK12d!L84</f>
        <v>0</v>
      </c>
    </row>
    <row r="85" spans="1:23">
      <c r="A85" s="198">
        <v>1915</v>
      </c>
      <c r="B85" s="303">
        <f t="shared" si="8"/>
        <v>-6.0013334017129168E-2</v>
      </c>
      <c r="C85" s="308">
        <f t="shared" si="3"/>
        <v>-5.8825580799015412E-2</v>
      </c>
      <c r="D85" s="307"/>
      <c r="E85" s="307"/>
      <c r="F85" s="307">
        <f t="shared" si="4"/>
        <v>-1.1877532181137533E-3</v>
      </c>
      <c r="G85" s="303">
        <f>TableUK12b!I85</f>
        <v>-9.4568952253962571E-3</v>
      </c>
      <c r="H85" s="307">
        <f t="shared" si="5"/>
        <v>-1.6536232627314299E-2</v>
      </c>
      <c r="I85" s="308"/>
      <c r="J85" s="308"/>
      <c r="K85" s="236">
        <f>(DataUK1!$GP73)/DataUK1!$G73</f>
        <v>7.0793374019180429E-3</v>
      </c>
      <c r="L85" s="303">
        <f t="shared" si="9"/>
        <v>5.0556438791732911E-2</v>
      </c>
      <c r="M85" s="307">
        <f t="shared" si="10"/>
        <v>4.2289348171701116E-2</v>
      </c>
      <c r="N85" s="308">
        <f>(DataUK1!$X73+DataUK1!$BT73)/DataUK1!$G73</f>
        <v>2.0504514943172805E-2</v>
      </c>
      <c r="O85" s="308">
        <f>(DataUK1!$X73)/DataUK1!$G73</f>
        <v>9.2813990461049281E-3</v>
      </c>
      <c r="P85" s="308">
        <f>(DataUK1!$CQ73)/DataUK1!$G73</f>
        <v>2.1784833228528307E-2</v>
      </c>
      <c r="Q85" s="193">
        <f>(DataUK1!$DK73)/DataUK1!$G73</f>
        <v>8.2670906200317962E-3</v>
      </c>
      <c r="U85" s="563">
        <f>TableUK12b!F85-TableUK12d!B85</f>
        <v>0</v>
      </c>
      <c r="V85" s="563">
        <f>TableUK12b!I85-TableUK12d!G85</f>
        <v>0</v>
      </c>
      <c r="W85" s="563">
        <f>TableUK12b!J85-TableUK12d!L85</f>
        <v>0</v>
      </c>
    </row>
    <row r="86" spans="1:23">
      <c r="A86" s="198">
        <v>1916</v>
      </c>
      <c r="B86" s="303">
        <f t="shared" si="8"/>
        <v>-9.468239662084002E-2</v>
      </c>
      <c r="C86" s="308">
        <f t="shared" si="3"/>
        <v>-8.9336992296447829E-2</v>
      </c>
      <c r="D86" s="307"/>
      <c r="E86" s="307"/>
      <c r="F86" s="307">
        <f t="shared" si="4"/>
        <v>-5.3454043243921969E-3</v>
      </c>
      <c r="G86" s="303">
        <f>TableUK12b!I86</f>
        <v>-4.1582591227456646E-2</v>
      </c>
      <c r="H86" s="307">
        <f t="shared" si="5"/>
        <v>-4.4855479925027197E-2</v>
      </c>
      <c r="I86" s="308"/>
      <c r="J86" s="308"/>
      <c r="K86" s="236">
        <f>(DataUK1!$GP74)/DataUK1!$G74</f>
        <v>3.2728886975705502E-3</v>
      </c>
      <c r="L86" s="303">
        <f t="shared" si="9"/>
        <v>5.3099805393383381E-2</v>
      </c>
      <c r="M86" s="307">
        <f t="shared" si="10"/>
        <v>4.4481512371420631E-2</v>
      </c>
      <c r="N86" s="308">
        <f>(DataUK1!$X74+DataUK1!$BT74)/DataUK1!$G74</f>
        <v>2.1929475709203661E-2</v>
      </c>
      <c r="O86" s="308">
        <f>(DataUK1!$X74)/DataUK1!$G74</f>
        <v>9.8637753683625262E-3</v>
      </c>
      <c r="P86" s="308">
        <f>(DataUK1!$CQ74)/DataUK1!$G74</f>
        <v>2.2552036662216966E-2</v>
      </c>
      <c r="Q86" s="193">
        <f>(DataUK1!$DK74)/DataUK1!$G74</f>
        <v>8.6182930219627467E-3</v>
      </c>
      <c r="U86" s="563">
        <f>TableUK12b!F86-TableUK12d!B86</f>
        <v>0</v>
      </c>
      <c r="V86" s="563">
        <f>TableUK12b!I86-TableUK12d!G86</f>
        <v>0</v>
      </c>
      <c r="W86" s="563">
        <f>TableUK12b!J86-TableUK12d!L86</f>
        <v>0</v>
      </c>
    </row>
    <row r="87" spans="1:23">
      <c r="A87" s="198">
        <v>1917</v>
      </c>
      <c r="B87" s="303">
        <f t="shared" si="8"/>
        <v>-3.0123286984304439E-2</v>
      </c>
      <c r="C87" s="308">
        <f t="shared" si="3"/>
        <v>-2.0982427485618977E-2</v>
      </c>
      <c r="D87" s="307"/>
      <c r="E87" s="307"/>
      <c r="F87" s="307">
        <f t="shared" si="4"/>
        <v>-9.1408594986854622E-3</v>
      </c>
      <c r="G87" s="303">
        <f>TableUK12b!I87</f>
        <v>2.0731698580874328E-2</v>
      </c>
      <c r="H87" s="307">
        <f t="shared" si="5"/>
        <v>1.8990923613648177E-2</v>
      </c>
      <c r="I87" s="308"/>
      <c r="J87" s="308"/>
      <c r="K87" s="236">
        <f>(DataUK1!$GP75)/DataUK1!$G75</f>
        <v>1.7407749672261512E-3</v>
      </c>
      <c r="L87" s="303">
        <f t="shared" si="9"/>
        <v>5.085498556517877E-2</v>
      </c>
      <c r="M87" s="307">
        <f t="shared" si="10"/>
        <v>3.9973351099267154E-2</v>
      </c>
      <c r="N87" s="308">
        <f>(DataUK1!$X75+DataUK1!$BT75)/DataUK1!$G75</f>
        <v>2.0375980373324699E-2</v>
      </c>
      <c r="O87" s="308">
        <f>(DataUK1!$X75)/DataUK1!$G75</f>
        <v>9.3382189651343567E-3</v>
      </c>
      <c r="P87" s="308">
        <f>(DataUK1!$CQ75)/DataUK1!$G75</f>
        <v>1.9597370725942451E-2</v>
      </c>
      <c r="Q87" s="193">
        <f>(DataUK1!$DK75)/DataUK1!$G75</f>
        <v>1.0881634465911614E-2</v>
      </c>
      <c r="U87" s="563">
        <f>TableUK12b!F87-TableUK12d!B87</f>
        <v>0</v>
      </c>
      <c r="V87" s="563">
        <f>TableUK12b!I87-TableUK12d!G87</f>
        <v>0</v>
      </c>
      <c r="W87" s="563">
        <f>TableUK12b!J87-TableUK12d!L87</f>
        <v>0</v>
      </c>
    </row>
    <row r="88" spans="1:23">
      <c r="A88" s="198">
        <v>1918</v>
      </c>
      <c r="B88" s="303">
        <f t="shared" si="8"/>
        <v>8.9404408727326544E-3</v>
      </c>
      <c r="C88" s="308">
        <f t="shared" ref="C88:C151" si="11">H88-M88</f>
        <v>2.0690788238386645E-2</v>
      </c>
      <c r="D88" s="307"/>
      <c r="E88" s="307"/>
      <c r="F88" s="307">
        <f t="shared" ref="F88:F151" si="12">K88-Q88</f>
        <v>-1.1750347365653991E-2</v>
      </c>
      <c r="G88" s="303">
        <f>TableUK12b!I88</f>
        <v>6.0162792444327526E-2</v>
      </c>
      <c r="H88" s="307">
        <f t="shared" ref="H88:H151" si="13">G88-K88</f>
        <v>5.8137431622166232E-2</v>
      </c>
      <c r="I88" s="308"/>
      <c r="J88" s="308"/>
      <c r="K88" s="236">
        <f>(DataUK1!$GP76)/DataUK1!$G76</f>
        <v>2.0253608221612973E-3</v>
      </c>
      <c r="L88" s="303">
        <f t="shared" ref="L88:L151" si="14">M88+Q88</f>
        <v>5.1222351571594875E-2</v>
      </c>
      <c r="M88" s="307">
        <f t="shared" ref="M88:M151" si="15">N88+P88</f>
        <v>3.7446643383779586E-2</v>
      </c>
      <c r="N88" s="308">
        <f>(DataUK1!$X76+DataUK1!$BT76)/DataUK1!$G76</f>
        <v>2.0400358042292139E-2</v>
      </c>
      <c r="O88" s="308">
        <f>(DataUK1!$X76)/DataUK1!$G76</f>
        <v>9.4606131160263861E-3</v>
      </c>
      <c r="P88" s="308">
        <f>(DataUK1!$CQ76)/DataUK1!$G76</f>
        <v>1.7046285341487447E-2</v>
      </c>
      <c r="Q88" s="193">
        <f>(DataUK1!$DK76)/DataUK1!$G76</f>
        <v>1.3775708187815289E-2</v>
      </c>
      <c r="U88" s="563">
        <f>TableUK12b!F88-TableUK12d!B88</f>
        <v>0</v>
      </c>
      <c r="V88" s="563">
        <f>TableUK12b!I88-TableUK12d!G88</f>
        <v>0</v>
      </c>
      <c r="W88" s="563">
        <f>TableUK12b!J88-TableUK12d!L88</f>
        <v>0</v>
      </c>
    </row>
    <row r="89" spans="1:23">
      <c r="A89" s="198">
        <v>1919</v>
      </c>
      <c r="B89" s="303">
        <f t="shared" ref="B89:B120" si="16">C89+F89</f>
        <v>1.3541258242737397E-2</v>
      </c>
      <c r="C89" s="308">
        <f t="shared" si="11"/>
        <v>1.2250935662092247E-2</v>
      </c>
      <c r="D89" s="307"/>
      <c r="E89" s="307"/>
      <c r="F89" s="307">
        <f t="shared" si="12"/>
        <v>1.29032258064515E-3</v>
      </c>
      <c r="G89" s="303">
        <f>TableUK12b!I89</f>
        <v>7.2657280342184896E-2</v>
      </c>
      <c r="H89" s="307">
        <f t="shared" si="13"/>
        <v>6.4737123507396105E-2</v>
      </c>
      <c r="I89" s="308"/>
      <c r="J89" s="308"/>
      <c r="K89" s="236">
        <f>(DataUK1!$GP77)/DataUK1!$G77</f>
        <v>7.9201568347887965E-3</v>
      </c>
      <c r="L89" s="303">
        <f t="shared" si="14"/>
        <v>5.9116022099447503E-2</v>
      </c>
      <c r="M89" s="307">
        <f t="shared" si="15"/>
        <v>5.2486187845303858E-2</v>
      </c>
      <c r="N89" s="308">
        <f>(DataUK1!$X77+DataUK1!$BT77)/DataUK1!$G77</f>
        <v>2.1787116741523609E-2</v>
      </c>
      <c r="O89" s="308">
        <f>(DataUK1!$X77)/DataUK1!$G77</f>
        <v>9.7790055248618783E-3</v>
      </c>
      <c r="P89" s="308">
        <f>(DataUK1!$CQ77)/DataUK1!$G77</f>
        <v>3.0699071103780253E-2</v>
      </c>
      <c r="Q89" s="193">
        <f>(DataUK1!$DK77)/DataUK1!$G77</f>
        <v>6.6298342541436465E-3</v>
      </c>
      <c r="U89" s="563">
        <f>TableUK12b!F89-TableUK12d!B89</f>
        <v>-1.5612511283791264E-17</v>
      </c>
      <c r="V89" s="563">
        <f>TableUK12b!I89-TableUK12d!G89</f>
        <v>0</v>
      </c>
      <c r="W89" s="563">
        <f>TableUK12b!J89-TableUK12d!L89</f>
        <v>0</v>
      </c>
    </row>
    <row r="90" spans="1:23">
      <c r="A90" s="198" t="s">
        <v>651</v>
      </c>
      <c r="B90" s="303">
        <f t="shared" si="16"/>
        <v>1.5890935746044447E-2</v>
      </c>
      <c r="C90" s="308">
        <f t="shared" si="11"/>
        <v>-3.8590639153875672E-3</v>
      </c>
      <c r="D90" s="307"/>
      <c r="E90" s="307"/>
      <c r="F90" s="307">
        <f t="shared" si="12"/>
        <v>1.9749999661432014E-2</v>
      </c>
      <c r="G90" s="303">
        <f>TableUK12b!I90</f>
        <v>9.1359504331216118E-2</v>
      </c>
      <c r="H90" s="307">
        <f t="shared" si="13"/>
        <v>6.8292204951754587E-2</v>
      </c>
      <c r="I90" s="308"/>
      <c r="J90" s="308"/>
      <c r="K90" s="236">
        <f>(DataUK1!$GP78)/DataUK1!$G78</f>
        <v>2.3067299379461538E-2</v>
      </c>
      <c r="L90" s="303">
        <f t="shared" si="14"/>
        <v>7.5468568585171675E-2</v>
      </c>
      <c r="M90" s="307">
        <f t="shared" si="15"/>
        <v>7.2151268867142154E-2</v>
      </c>
      <c r="N90" s="308">
        <f>(DataUK1!$X78+DataUK1!$BT78)/DataUK1!$G78</f>
        <v>2.0790731921991608E-2</v>
      </c>
      <c r="O90" s="308">
        <f>(DataUK1!$X78)/DataUK1!$G78</f>
        <v>9.3216122076629632E-3</v>
      </c>
      <c r="P90" s="308">
        <f>(DataUK1!$CQ78)/DataUK1!$G78</f>
        <v>5.1360536945150539E-2</v>
      </c>
      <c r="Q90" s="193">
        <f>(DataUK1!$DK78)/DataUK1!$G78</f>
        <v>3.317299718029524E-3</v>
      </c>
      <c r="U90" s="563">
        <f>TableUK12b!F90-TableUK12d!B90</f>
        <v>0</v>
      </c>
      <c r="V90" s="563">
        <f>TableUK12b!I90-TableUK12d!G90</f>
        <v>0</v>
      </c>
      <c r="W90" s="563">
        <f>TableUK12b!J90-TableUK12d!L90</f>
        <v>0</v>
      </c>
    </row>
    <row r="91" spans="1:23">
      <c r="A91" s="199" t="s">
        <v>652</v>
      </c>
      <c r="B91" s="566">
        <f t="shared" si="16"/>
        <v>1.5812187122389097E-2</v>
      </c>
      <c r="C91" s="551">
        <f t="shared" si="11"/>
        <v>-3.8494735025030175E-3</v>
      </c>
      <c r="D91" s="569"/>
      <c r="E91" s="569"/>
      <c r="F91" s="569">
        <f t="shared" si="12"/>
        <v>1.9661660624892115E-2</v>
      </c>
      <c r="G91" s="566">
        <f>TableUK12b!I91</f>
        <v>9.0902813740721566E-2</v>
      </c>
      <c r="H91" s="569">
        <f t="shared" si="13"/>
        <v>6.7788710512687728E-2</v>
      </c>
      <c r="I91" s="551"/>
      <c r="J91" s="551"/>
      <c r="K91" s="240">
        <f>(DataUK1!$GP79)/DataUK1!$G79</f>
        <v>2.3114103228033839E-2</v>
      </c>
      <c r="L91" s="566">
        <f t="shared" si="14"/>
        <v>7.5090626618332462E-2</v>
      </c>
      <c r="M91" s="569">
        <f t="shared" si="15"/>
        <v>7.1638184015190745E-2</v>
      </c>
      <c r="N91" s="551">
        <f>(DataUK1!$X79+DataUK1!$BT79)/DataUK1!$G79</f>
        <v>2.0012922325764786E-2</v>
      </c>
      <c r="O91" s="551">
        <f>(DataUK1!$X79)/DataUK1!$G79</f>
        <v>9.3837389953392025E-3</v>
      </c>
      <c r="P91" s="551">
        <f>(DataUK1!$CQ79)/DataUK1!$G79</f>
        <v>5.1625261689425959E-2</v>
      </c>
      <c r="Q91" s="885">
        <f>(DataUK1!$DK79)/DataUK1!$G79</f>
        <v>3.4524426031417228E-3</v>
      </c>
      <c r="U91" s="563">
        <f>TableUK12b!F91-TableUK12d!B91</f>
        <v>0</v>
      </c>
      <c r="V91" s="563">
        <f>TableUK12b!I91-TableUK12d!G91</f>
        <v>0</v>
      </c>
      <c r="W91" s="563">
        <f>TableUK12b!J91-TableUK12d!L91</f>
        <v>0</v>
      </c>
    </row>
    <row r="92" spans="1:23">
      <c r="A92" s="198">
        <v>1921</v>
      </c>
      <c r="B92" s="303">
        <f t="shared" si="16"/>
        <v>2.8911290322580642E-2</v>
      </c>
      <c r="C92" s="308">
        <f t="shared" si="11"/>
        <v>-7.7217741935483863E-3</v>
      </c>
      <c r="D92" s="307"/>
      <c r="E92" s="307"/>
      <c r="F92" s="307">
        <f t="shared" si="12"/>
        <v>3.6633064516129028E-2</v>
      </c>
      <c r="G92" s="303">
        <f>TableUK12b!I92</f>
        <v>9.9879032258064521E-2</v>
      </c>
      <c r="H92" s="307">
        <f t="shared" si="13"/>
        <v>5.8205645161290329E-2</v>
      </c>
      <c r="I92" s="308"/>
      <c r="J92" s="308"/>
      <c r="K92" s="236">
        <f>(DataUK1!$GP80)/DataUK1!$G80</f>
        <v>4.1673387096774192E-2</v>
      </c>
      <c r="L92" s="303">
        <f t="shared" si="14"/>
        <v>7.0967741935483872E-2</v>
      </c>
      <c r="M92" s="307">
        <f t="shared" si="15"/>
        <v>6.5927419354838715E-2</v>
      </c>
      <c r="N92" s="308">
        <f>(DataUK1!$X80+DataUK1!$BT80)/DataUK1!$G80</f>
        <v>1.9351741228527567E-2</v>
      </c>
      <c r="O92" s="308">
        <f>(DataUK1!$X80)/DataUK1!$G80</f>
        <v>9.0221774193548383E-3</v>
      </c>
      <c r="P92" s="308">
        <f>(DataUK1!$CQ80)/DataUK1!$G80</f>
        <v>4.6575678126311144E-2</v>
      </c>
      <c r="Q92" s="193">
        <f>(DataUK1!$DK80)/DataUK1!$G80</f>
        <v>5.0403225806451612E-3</v>
      </c>
      <c r="U92" s="563">
        <f>TableUK12b!F92-TableUK12d!B92</f>
        <v>0</v>
      </c>
      <c r="V92" s="563">
        <f>TableUK12b!I92-TableUK12d!G92</f>
        <v>0</v>
      </c>
      <c r="W92" s="563">
        <f>TableUK12b!J92-TableUK12d!L92</f>
        <v>0</v>
      </c>
    </row>
    <row r="93" spans="1:23">
      <c r="A93" s="198">
        <f t="shared" ref="A93:A119" si="17">A92+1</f>
        <v>1922</v>
      </c>
      <c r="B93" s="303">
        <f t="shared" si="16"/>
        <v>2.0328680774425942E-2</v>
      </c>
      <c r="C93" s="308">
        <f t="shared" si="11"/>
        <v>-4.8851868527690148E-3</v>
      </c>
      <c r="D93" s="307"/>
      <c r="E93" s="307"/>
      <c r="F93" s="307">
        <f t="shared" si="12"/>
        <v>2.5213867627194957E-2</v>
      </c>
      <c r="G93" s="303">
        <f>TableUK12b!I93</f>
        <v>9.1017559657811803E-2</v>
      </c>
      <c r="H93" s="307">
        <f t="shared" si="13"/>
        <v>5.5898244034218829E-2</v>
      </c>
      <c r="I93" s="308"/>
      <c r="J93" s="308"/>
      <c r="K93" s="236">
        <f>(DataUK1!$GP81)/DataUK1!$G81</f>
        <v>3.5119315623592974E-2</v>
      </c>
      <c r="L93" s="303">
        <f t="shared" si="14"/>
        <v>7.0688878883385861E-2</v>
      </c>
      <c r="M93" s="307">
        <f t="shared" si="15"/>
        <v>6.0783430886987844E-2</v>
      </c>
      <c r="N93" s="308">
        <f>(DataUK1!$X81+DataUK1!$BT81)/DataUK1!$G81</f>
        <v>2.1207643133879264E-2</v>
      </c>
      <c r="O93" s="308">
        <f>(DataUK1!$X81)/DataUK1!$G81</f>
        <v>9.5159837910850972E-3</v>
      </c>
      <c r="P93" s="308">
        <f>(DataUK1!$CQ81)/DataUK1!$G81</f>
        <v>3.9575787753108584E-2</v>
      </c>
      <c r="Q93" s="193">
        <f>(DataUK1!$DK81)/DataUK1!$G81</f>
        <v>9.9054479963980192E-3</v>
      </c>
      <c r="U93" s="563">
        <f>TableUK12b!F93-TableUK12d!B93</f>
        <v>0</v>
      </c>
      <c r="V93" s="563">
        <f>TableUK12b!I93-TableUK12d!G93</f>
        <v>0</v>
      </c>
      <c r="W93" s="563">
        <f>TableUK12b!J93-TableUK12d!L93</f>
        <v>0</v>
      </c>
    </row>
    <row r="94" spans="1:23">
      <c r="A94" s="198">
        <f t="shared" si="17"/>
        <v>1923</v>
      </c>
      <c r="B94" s="303">
        <f t="shared" si="16"/>
        <v>1.900304235899836E-2</v>
      </c>
      <c r="C94" s="308">
        <f t="shared" si="11"/>
        <v>2.5274982447928904E-3</v>
      </c>
      <c r="D94" s="307"/>
      <c r="E94" s="307"/>
      <c r="F94" s="307">
        <f t="shared" si="12"/>
        <v>1.647554411420547E-2</v>
      </c>
      <c r="G94" s="303">
        <f>TableUK12b!I94</f>
        <v>8.6402995553475304E-2</v>
      </c>
      <c r="H94" s="307">
        <f t="shared" si="13"/>
        <v>5.9630236367891415E-2</v>
      </c>
      <c r="I94" s="308"/>
      <c r="J94" s="308"/>
      <c r="K94" s="236">
        <f>(DataUK1!$GP82)/DataUK1!$G82</f>
        <v>2.6772759185583892E-2</v>
      </c>
      <c r="L94" s="303">
        <f t="shared" si="14"/>
        <v>6.7399953194476947E-2</v>
      </c>
      <c r="M94" s="307">
        <f t="shared" si="15"/>
        <v>5.7102738123098525E-2</v>
      </c>
      <c r="N94" s="308">
        <f>(DataUK1!$X82+DataUK1!$BT82)/DataUK1!$G82</f>
        <v>2.1654902502012269E-2</v>
      </c>
      <c r="O94" s="308">
        <f>(DataUK1!$X82)/DataUK1!$G82</f>
        <v>9.7191668616896792E-3</v>
      </c>
      <c r="P94" s="308">
        <f>(DataUK1!$CQ82)/DataUK1!$G82</f>
        <v>3.5447835621086256E-2</v>
      </c>
      <c r="Q94" s="193">
        <f>(DataUK1!$DK82)/DataUK1!$G82</f>
        <v>1.0297215071378422E-2</v>
      </c>
      <c r="U94" s="563">
        <f>TableUK12b!F94-TableUK12d!B94</f>
        <v>0</v>
      </c>
      <c r="V94" s="563">
        <f>TableUK12b!I94-TableUK12d!G94</f>
        <v>0</v>
      </c>
      <c r="W94" s="563">
        <f>TableUK12b!J94-TableUK12d!L94</f>
        <v>0</v>
      </c>
    </row>
    <row r="95" spans="1:23">
      <c r="A95" s="198">
        <f t="shared" si="17"/>
        <v>1924</v>
      </c>
      <c r="B95" s="303">
        <f t="shared" si="16"/>
        <v>4.5521698984302861E-2</v>
      </c>
      <c r="C95" s="308">
        <f t="shared" si="11"/>
        <v>2.5646352723915057E-2</v>
      </c>
      <c r="D95" s="307"/>
      <c r="E95" s="307"/>
      <c r="F95" s="307">
        <f t="shared" si="12"/>
        <v>1.9875346260387804E-2</v>
      </c>
      <c r="G95" s="303">
        <f>TableUK12b!I95</f>
        <v>0.11084949215143121</v>
      </c>
      <c r="H95" s="307">
        <f t="shared" si="13"/>
        <v>8.174053554939982E-2</v>
      </c>
      <c r="I95" s="308"/>
      <c r="J95" s="308"/>
      <c r="K95" s="236">
        <f>(DataUK1!$GP83)/DataUK1!$G83</f>
        <v>2.9108956602031385E-2</v>
      </c>
      <c r="L95" s="303">
        <f t="shared" si="14"/>
        <v>6.5327793167128348E-2</v>
      </c>
      <c r="M95" s="307">
        <f t="shared" si="15"/>
        <v>5.6094182825484763E-2</v>
      </c>
      <c r="N95" s="308">
        <f>(DataUK1!$X83+DataUK1!$BT83)/DataUK1!$G83</f>
        <v>2.188794391496332E-2</v>
      </c>
      <c r="O95" s="308">
        <f>(DataUK1!$X83)/DataUK1!$G83</f>
        <v>9.7737765466297324E-3</v>
      </c>
      <c r="P95" s="308">
        <f>(DataUK1!$CQ83)/DataUK1!$G83</f>
        <v>3.4206238910521443E-2</v>
      </c>
      <c r="Q95" s="193">
        <f>(DataUK1!$DK83)/DataUK1!$G83</f>
        <v>9.2336103416435829E-3</v>
      </c>
      <c r="U95" s="563">
        <f>TableUK12b!F95-TableUK12d!B95</f>
        <v>0</v>
      </c>
      <c r="V95" s="563">
        <f>TableUK12b!I95-TableUK12d!G95</f>
        <v>0</v>
      </c>
      <c r="W95" s="563">
        <f>TableUK12b!J95-TableUK12d!L95</f>
        <v>0</v>
      </c>
    </row>
    <row r="96" spans="1:23">
      <c r="A96" s="198">
        <f t="shared" si="17"/>
        <v>1925</v>
      </c>
      <c r="B96" s="303">
        <f t="shared" si="16"/>
        <v>8.6218158066623113E-2</v>
      </c>
      <c r="C96" s="308">
        <f t="shared" si="11"/>
        <v>6.0831700413672987E-2</v>
      </c>
      <c r="D96" s="307"/>
      <c r="E96" s="307"/>
      <c r="F96" s="307">
        <f t="shared" si="12"/>
        <v>2.5386457652950133E-2</v>
      </c>
      <c r="G96" s="303">
        <f>TableUK12b!I96</f>
        <v>0.14783365991726541</v>
      </c>
      <c r="H96" s="307">
        <f t="shared" si="13"/>
        <v>0.11330285216634009</v>
      </c>
      <c r="I96" s="308"/>
      <c r="J96" s="308"/>
      <c r="K96" s="236">
        <f>(DataUK1!$GP84)/DataUK1!$G84</f>
        <v>3.4530807750925312E-2</v>
      </c>
      <c r="L96" s="303">
        <f t="shared" si="14"/>
        <v>6.1615501850642282E-2</v>
      </c>
      <c r="M96" s="307">
        <f t="shared" si="15"/>
        <v>5.2471151752667103E-2</v>
      </c>
      <c r="N96" s="308">
        <f>(DataUK1!$X84+DataUK1!$BT84)/DataUK1!$G84</f>
        <v>2.1109459544555575E-2</v>
      </c>
      <c r="O96" s="308">
        <f>(DataUK1!$X84)/DataUK1!$G84</f>
        <v>9.3620727193555412E-3</v>
      </c>
      <c r="P96" s="308">
        <f>(DataUK1!$CQ84)/DataUK1!$G84</f>
        <v>3.1361692208111525E-2</v>
      </c>
      <c r="Q96" s="193">
        <f>(DataUK1!$DK84)/DataUK1!$G84</f>
        <v>9.1443500979751791E-3</v>
      </c>
      <c r="U96" s="563">
        <f>TableUK12b!F96-TableUK12d!B96</f>
        <v>0</v>
      </c>
      <c r="V96" s="563">
        <f>TableUK12b!I96-TableUK12d!G96</f>
        <v>0</v>
      </c>
      <c r="W96" s="563">
        <f>TableUK12b!J96-TableUK12d!L96</f>
        <v>0</v>
      </c>
    </row>
    <row r="97" spans="1:23">
      <c r="A97" s="198">
        <f t="shared" si="17"/>
        <v>1926</v>
      </c>
      <c r="B97" s="303">
        <f t="shared" si="16"/>
        <v>5.8689655172413813E-2</v>
      </c>
      <c r="C97" s="308">
        <f t="shared" si="11"/>
        <v>2.6942528735632187E-2</v>
      </c>
      <c r="D97" s="307"/>
      <c r="E97" s="307"/>
      <c r="F97" s="307">
        <f t="shared" si="12"/>
        <v>3.1747126436781625E-2</v>
      </c>
      <c r="G97" s="303">
        <f>TableUK12b!I97</f>
        <v>0.12374712643678162</v>
      </c>
      <c r="H97" s="307">
        <f t="shared" si="13"/>
        <v>8.2804597701149424E-2</v>
      </c>
      <c r="I97" s="308"/>
      <c r="J97" s="308"/>
      <c r="K97" s="236">
        <f>(DataUK1!$GP85)/DataUK1!$G85</f>
        <v>4.09425287356322E-2</v>
      </c>
      <c r="L97" s="303">
        <f t="shared" si="14"/>
        <v>6.5057471264367811E-2</v>
      </c>
      <c r="M97" s="307">
        <f t="shared" si="15"/>
        <v>5.5862068965517236E-2</v>
      </c>
      <c r="N97" s="308">
        <f>(DataUK1!$X85+DataUK1!$BT85)/DataUK1!$G85</f>
        <v>2.1847882148693338E-2</v>
      </c>
      <c r="O97" s="308">
        <f>(DataUK1!$X85)/DataUK1!$G85</f>
        <v>9.6229885057471255E-3</v>
      </c>
      <c r="P97" s="308">
        <f>(DataUK1!$CQ85)/DataUK1!$G85</f>
        <v>3.4014186816823895E-2</v>
      </c>
      <c r="Q97" s="193">
        <f>(DataUK1!$DK85)/DataUK1!$G85</f>
        <v>9.1954022988505746E-3</v>
      </c>
      <c r="U97" s="563">
        <f>TableUK12b!F97-TableUK12d!B97</f>
        <v>0</v>
      </c>
      <c r="V97" s="563">
        <f>TableUK12b!I97-TableUK12d!G97</f>
        <v>0</v>
      </c>
      <c r="W97" s="563">
        <f>TableUK12b!J97-TableUK12d!L97</f>
        <v>0</v>
      </c>
    </row>
    <row r="98" spans="1:23">
      <c r="A98" s="198">
        <f t="shared" si="17"/>
        <v>1927</v>
      </c>
      <c r="B98" s="303">
        <f t="shared" si="16"/>
        <v>6.9713535972009633E-2</v>
      </c>
      <c r="C98" s="308">
        <f t="shared" si="11"/>
        <v>3.9558276842335455E-2</v>
      </c>
      <c r="D98" s="307"/>
      <c r="E98" s="307"/>
      <c r="F98" s="307">
        <f t="shared" si="12"/>
        <v>3.0155259129674181E-2</v>
      </c>
      <c r="G98" s="303">
        <f>TableUK12b!I98</f>
        <v>0.1307238136890444</v>
      </c>
      <c r="H98" s="307">
        <f t="shared" si="13"/>
        <v>9.0072162694073921E-2</v>
      </c>
      <c r="I98" s="308"/>
      <c r="J98" s="308"/>
      <c r="K98" s="236">
        <f>(DataUK1!$GP86)/DataUK1!$G86</f>
        <v>4.0651650994970485E-2</v>
      </c>
      <c r="L98" s="303">
        <f t="shared" si="14"/>
        <v>6.1010277717034767E-2</v>
      </c>
      <c r="M98" s="307">
        <f t="shared" si="15"/>
        <v>5.0513885851738466E-2</v>
      </c>
      <c r="N98" s="308">
        <f>(DataUK1!$X86+DataUK1!$BT86)/DataUK1!$G86</f>
        <v>2.1582275899441016E-2</v>
      </c>
      <c r="O98" s="308">
        <f>(DataUK1!$X86)/DataUK1!$G86</f>
        <v>9.7835119177782648E-3</v>
      </c>
      <c r="P98" s="308">
        <f>(DataUK1!$CQ86)/DataUK1!$G86</f>
        <v>2.893160995229745E-2</v>
      </c>
      <c r="Q98" s="193">
        <f>(DataUK1!$DK86)/DataUK1!$G86</f>
        <v>1.0496391865296304E-2</v>
      </c>
      <c r="U98" s="563">
        <f>TableUK12b!F98-TableUK12d!B98</f>
        <v>0</v>
      </c>
      <c r="V98" s="563">
        <f>TableUK12b!I98-TableUK12d!G98</f>
        <v>0</v>
      </c>
      <c r="W98" s="563">
        <f>TableUK12b!J98-TableUK12d!L98</f>
        <v>0</v>
      </c>
    </row>
    <row r="99" spans="1:23">
      <c r="A99" s="198">
        <f t="shared" si="17"/>
        <v>1928</v>
      </c>
      <c r="B99" s="303">
        <f t="shared" si="16"/>
        <v>6.0671722643553645E-2</v>
      </c>
      <c r="C99" s="308">
        <f t="shared" si="11"/>
        <v>3.6511375947995681E-2</v>
      </c>
      <c r="D99" s="307"/>
      <c r="E99" s="307"/>
      <c r="F99" s="307">
        <f t="shared" si="12"/>
        <v>2.4160346695557965E-2</v>
      </c>
      <c r="G99" s="303">
        <f>TableUK12b!I99</f>
        <v>0.12221018418201518</v>
      </c>
      <c r="H99" s="307">
        <f t="shared" si="13"/>
        <v>8.6998916576381369E-2</v>
      </c>
      <c r="I99" s="308"/>
      <c r="J99" s="308"/>
      <c r="K99" s="236">
        <f>(DataUK1!$GP87)/DataUK1!$G87</f>
        <v>3.5211267605633804E-2</v>
      </c>
      <c r="L99" s="303">
        <f t="shared" si="14"/>
        <v>6.1538461538461528E-2</v>
      </c>
      <c r="M99" s="307">
        <f t="shared" si="15"/>
        <v>5.0487540628385688E-2</v>
      </c>
      <c r="N99" s="308">
        <f>(DataUK1!$X87+DataUK1!$BT87)/DataUK1!$G87</f>
        <v>2.1744243604391787E-2</v>
      </c>
      <c r="O99" s="308">
        <f>(DataUK1!$X87)/DataUK1!$G87</f>
        <v>9.7833152762730226E-3</v>
      </c>
      <c r="P99" s="308">
        <f>(DataUK1!$CQ87)/DataUK1!$G87</f>
        <v>2.8743297023993905E-2</v>
      </c>
      <c r="Q99" s="193">
        <f>(DataUK1!$DK87)/DataUK1!$G87</f>
        <v>1.105092091007584E-2</v>
      </c>
      <c r="U99" s="563">
        <f>TableUK12b!F99-TableUK12d!B99</f>
        <v>0</v>
      </c>
      <c r="V99" s="563">
        <f>TableUK12b!I99-TableUK12d!G99</f>
        <v>0</v>
      </c>
      <c r="W99" s="563">
        <f>TableUK12b!J99-TableUK12d!L99</f>
        <v>0</v>
      </c>
    </row>
    <row r="100" spans="1:23">
      <c r="A100" s="214">
        <f t="shared" si="17"/>
        <v>1929</v>
      </c>
      <c r="B100" s="565">
        <f t="shared" si="16"/>
        <v>6.8762026940346374E-2</v>
      </c>
      <c r="C100" s="550">
        <f t="shared" si="11"/>
        <v>4.6119307248236034E-2</v>
      </c>
      <c r="D100" s="568"/>
      <c r="E100" s="568"/>
      <c r="F100" s="568">
        <f t="shared" si="12"/>
        <v>2.2642719692110336E-2</v>
      </c>
      <c r="G100" s="565">
        <f>TableUK12b!I100</f>
        <v>0.13140902287791317</v>
      </c>
      <c r="H100" s="568">
        <f t="shared" si="13"/>
        <v>9.7648064998930917E-2</v>
      </c>
      <c r="I100" s="550"/>
      <c r="J100" s="550"/>
      <c r="K100" s="244">
        <f>(DataUK1!$GP88)/DataUK1!$G88</f>
        <v>3.3760957878982263E-2</v>
      </c>
      <c r="L100" s="565">
        <f t="shared" si="14"/>
        <v>6.2646995937566813E-2</v>
      </c>
      <c r="M100" s="568">
        <f t="shared" si="15"/>
        <v>5.1528757750694883E-2</v>
      </c>
      <c r="N100" s="550">
        <f>(DataUK1!$X88+DataUK1!$BT88)/DataUK1!$G88</f>
        <v>2.1546759069061911E-2</v>
      </c>
      <c r="O100" s="550">
        <f>(DataUK1!$X88)/DataUK1!$G88</f>
        <v>9.7776352362625631E-3</v>
      </c>
      <c r="P100" s="550">
        <f>(DataUK1!$CQ88)/DataUK1!$G88</f>
        <v>2.9981998681632972E-2</v>
      </c>
      <c r="Q100" s="886">
        <f>(DataUK1!$DK88)/DataUK1!$G88</f>
        <v>1.1118238186871927E-2</v>
      </c>
      <c r="U100" s="563">
        <f>TableUK12b!F100-TableUK12d!B100</f>
        <v>0</v>
      </c>
      <c r="V100" s="563">
        <f>TableUK12b!I100-TableUK12d!G100</f>
        <v>0</v>
      </c>
      <c r="W100" s="563">
        <f>TableUK12b!J100-TableUK12d!L100</f>
        <v>0</v>
      </c>
    </row>
    <row r="101" spans="1:23">
      <c r="A101" s="198">
        <f t="shared" si="17"/>
        <v>1930</v>
      </c>
      <c r="B101" s="303">
        <f t="shared" si="16"/>
        <v>7.9301366890865713E-2</v>
      </c>
      <c r="C101" s="308">
        <f t="shared" si="11"/>
        <v>5.5087871555652007E-2</v>
      </c>
      <c r="D101" s="307"/>
      <c r="E101" s="307"/>
      <c r="F101" s="307">
        <f t="shared" si="12"/>
        <v>2.4213495335213706E-2</v>
      </c>
      <c r="G101" s="303">
        <f>TableUK12b!I101</f>
        <v>0.14243870687784771</v>
      </c>
      <c r="H101" s="307">
        <f t="shared" si="13"/>
        <v>0.1065090041223693</v>
      </c>
      <c r="I101" s="308"/>
      <c r="J101" s="308"/>
      <c r="K101" s="236">
        <f>(DataUK1!$GP89)/DataUK1!$G89</f>
        <v>3.5929702755478403E-2</v>
      </c>
      <c r="L101" s="303">
        <f t="shared" si="14"/>
        <v>6.3137339986981997E-2</v>
      </c>
      <c r="M101" s="307">
        <f t="shared" si="15"/>
        <v>5.1421132566717292E-2</v>
      </c>
      <c r="N101" s="308">
        <f>(DataUK1!$X89+DataUK1!$BT89)/DataUK1!$G89</f>
        <v>2.0579604771338345E-2</v>
      </c>
      <c r="O101" s="308">
        <f>(DataUK1!$X89)/DataUK1!$G89</f>
        <v>9.5139943588630951E-3</v>
      </c>
      <c r="P101" s="308">
        <f>(DataUK1!$CQ89)/DataUK1!$G89</f>
        <v>3.0841527795378947E-2</v>
      </c>
      <c r="Q101" s="193">
        <f>(DataUK1!$DK89)/DataUK1!$G89</f>
        <v>1.1716207420264699E-2</v>
      </c>
      <c r="U101" s="563">
        <f>TableUK12b!F101-TableUK12d!B101</f>
        <v>0</v>
      </c>
      <c r="V101" s="563">
        <f>TableUK12b!I101-TableUK12d!G101</f>
        <v>0</v>
      </c>
      <c r="W101" s="563">
        <f>TableUK12b!J101-TableUK12d!L101</f>
        <v>0</v>
      </c>
    </row>
    <row r="102" spans="1:23">
      <c r="A102" s="198">
        <f t="shared" si="17"/>
        <v>1931</v>
      </c>
      <c r="B102" s="303">
        <f t="shared" si="16"/>
        <v>5.6096408317580337E-2</v>
      </c>
      <c r="C102" s="308">
        <f t="shared" si="11"/>
        <v>2.7835538752362957E-2</v>
      </c>
      <c r="D102" s="307"/>
      <c r="E102" s="307"/>
      <c r="F102" s="307">
        <f t="shared" si="12"/>
        <v>2.8260869565217381E-2</v>
      </c>
      <c r="G102" s="303">
        <f>TableUK12b!I102</f>
        <v>0.12462192816635161</v>
      </c>
      <c r="H102" s="307">
        <f t="shared" si="13"/>
        <v>8.336483931947071E-2</v>
      </c>
      <c r="I102" s="308"/>
      <c r="J102" s="308"/>
      <c r="K102" s="236">
        <f>(DataUK1!$GP90)/DataUK1!$G90</f>
        <v>4.1257088846880896E-2</v>
      </c>
      <c r="L102" s="303">
        <f t="shared" si="14"/>
        <v>6.8525519848771269E-2</v>
      </c>
      <c r="M102" s="307">
        <f t="shared" si="15"/>
        <v>5.5529300567107753E-2</v>
      </c>
      <c r="N102" s="308">
        <f>(DataUK1!$X90+DataUK1!$BT90)/DataUK1!$G90</f>
        <v>2.0736745314855445E-2</v>
      </c>
      <c r="O102" s="308">
        <f>(DataUK1!$X90)/DataUK1!$G90</f>
        <v>9.8794896030245747E-3</v>
      </c>
      <c r="P102" s="308">
        <f>(DataUK1!$CQ90)/DataUK1!$G90</f>
        <v>3.4792555252252305E-2</v>
      </c>
      <c r="Q102" s="193">
        <f>(DataUK1!$DK90)/DataUK1!$G90</f>
        <v>1.2996219281663515E-2</v>
      </c>
      <c r="U102" s="563">
        <f>TableUK12b!F102-TableUK12d!B102</f>
        <v>0</v>
      </c>
      <c r="V102" s="563">
        <f>TableUK12b!I102-TableUK12d!G102</f>
        <v>0</v>
      </c>
      <c r="W102" s="563">
        <f>TableUK12b!J102-TableUK12d!L102</f>
        <v>0</v>
      </c>
    </row>
    <row r="103" spans="1:23">
      <c r="A103" s="198">
        <f t="shared" si="17"/>
        <v>1932</v>
      </c>
      <c r="B103" s="303">
        <f t="shared" si="16"/>
        <v>4.1043689320388356E-2</v>
      </c>
      <c r="C103" s="308">
        <f t="shared" si="11"/>
        <v>2.0485436893203895E-2</v>
      </c>
      <c r="D103" s="307"/>
      <c r="E103" s="307"/>
      <c r="F103" s="307">
        <f t="shared" si="12"/>
        <v>2.055825242718446E-2</v>
      </c>
      <c r="G103" s="303">
        <f>TableUK12b!I103</f>
        <v>0.10973300970873787</v>
      </c>
      <c r="H103" s="307">
        <f t="shared" si="13"/>
        <v>7.5097087378640792E-2</v>
      </c>
      <c r="I103" s="308"/>
      <c r="J103" s="308"/>
      <c r="K103" s="236">
        <f>(DataUK1!$GP91)/DataUK1!$G91</f>
        <v>3.4635922330097081E-2</v>
      </c>
      <c r="L103" s="303">
        <f t="shared" si="14"/>
        <v>6.8689320388349517E-2</v>
      </c>
      <c r="M103" s="307">
        <f t="shared" si="15"/>
        <v>5.4611650485436897E-2</v>
      </c>
      <c r="N103" s="308">
        <f>(DataUK1!$X91+DataUK1!$BT91)/DataUK1!$G91</f>
        <v>2.1159994175195238E-2</v>
      </c>
      <c r="O103" s="308">
        <f>(DataUK1!$X91)/DataUK1!$G91</f>
        <v>1.0101941747572814E-2</v>
      </c>
      <c r="P103" s="308">
        <f>(DataUK1!$CQ91)/DataUK1!$G91</f>
        <v>3.3451656310241655E-2</v>
      </c>
      <c r="Q103" s="193">
        <f>(DataUK1!$DK91)/DataUK1!$G91</f>
        <v>1.4077669902912621E-2</v>
      </c>
      <c r="U103" s="563">
        <f>TableUK12b!F103-TableUK12d!B103</f>
        <v>0</v>
      </c>
      <c r="V103" s="563">
        <f>TableUK12b!I103-TableUK12d!G103</f>
        <v>0</v>
      </c>
      <c r="W103" s="563">
        <f>TableUK12b!J103-TableUK12d!L103</f>
        <v>0</v>
      </c>
    </row>
    <row r="104" spans="1:23">
      <c r="A104" s="198">
        <f t="shared" si="17"/>
        <v>1933</v>
      </c>
      <c r="B104" s="303">
        <f t="shared" si="16"/>
        <v>2.980629539951575E-2</v>
      </c>
      <c r="C104" s="308">
        <f t="shared" si="11"/>
        <v>1.6924939467312362E-2</v>
      </c>
      <c r="D104" s="307"/>
      <c r="E104" s="307"/>
      <c r="F104" s="307">
        <f t="shared" si="12"/>
        <v>1.2881355932203386E-2</v>
      </c>
      <c r="G104" s="303">
        <f>TableUK12b!I104</f>
        <v>9.8329297820823253E-2</v>
      </c>
      <c r="H104" s="307">
        <f t="shared" si="13"/>
        <v>7.1162227602905581E-2</v>
      </c>
      <c r="I104" s="308"/>
      <c r="J104" s="308"/>
      <c r="K104" s="236">
        <f>(DataUK1!$GP92)/DataUK1!$G92</f>
        <v>2.7167070217917672E-2</v>
      </c>
      <c r="L104" s="303">
        <f t="shared" si="14"/>
        <v>6.8523002421307502E-2</v>
      </c>
      <c r="M104" s="307">
        <f t="shared" si="15"/>
        <v>5.4237288135593219E-2</v>
      </c>
      <c r="N104" s="308">
        <f>(DataUK1!$X92+DataUK1!$BT92)/DataUK1!$G92</f>
        <v>2.2220101057412893E-2</v>
      </c>
      <c r="O104" s="308">
        <f>(DataUK1!$X92)/DataUK1!$G92</f>
        <v>1.0435835351089589E-2</v>
      </c>
      <c r="P104" s="308">
        <f>(DataUK1!$CQ92)/DataUK1!$G92</f>
        <v>3.2017187078180326E-2</v>
      </c>
      <c r="Q104" s="193">
        <f>(DataUK1!$DK92)/DataUK1!$G92</f>
        <v>1.4285714285714285E-2</v>
      </c>
      <c r="U104" s="563">
        <f>TableUK12b!F104-TableUK12d!B104</f>
        <v>0</v>
      </c>
      <c r="V104" s="563">
        <f>TableUK12b!I104-TableUK12d!G104</f>
        <v>0</v>
      </c>
      <c r="W104" s="563">
        <f>TableUK12b!J104-TableUK12d!L104</f>
        <v>0</v>
      </c>
    </row>
    <row r="105" spans="1:23">
      <c r="A105" s="198">
        <f t="shared" si="17"/>
        <v>1934</v>
      </c>
      <c r="B105" s="303">
        <f t="shared" si="16"/>
        <v>6.8690313778990458E-2</v>
      </c>
      <c r="C105" s="308">
        <f t="shared" si="11"/>
        <v>5.5479763528876763E-2</v>
      </c>
      <c r="D105" s="307"/>
      <c r="E105" s="307"/>
      <c r="F105" s="307">
        <f t="shared" si="12"/>
        <v>1.3210550250113693E-2</v>
      </c>
      <c r="G105" s="303">
        <f>TableUK12b!I105</f>
        <v>0.13281036834924967</v>
      </c>
      <c r="H105" s="307">
        <f t="shared" si="13"/>
        <v>0.10595725329695316</v>
      </c>
      <c r="I105" s="308"/>
      <c r="J105" s="308"/>
      <c r="K105" s="236">
        <f>(DataUK1!$GP93)/DataUK1!$G93</f>
        <v>2.6853115052296504E-2</v>
      </c>
      <c r="L105" s="303">
        <f t="shared" si="14"/>
        <v>6.4120054570259211E-2</v>
      </c>
      <c r="M105" s="307">
        <f t="shared" si="15"/>
        <v>5.0477489768076395E-2</v>
      </c>
      <c r="N105" s="308">
        <f>(DataUK1!$X93+DataUK1!$BT93)/DataUK1!$G93</f>
        <v>2.1470611081805164E-2</v>
      </c>
      <c r="O105" s="308">
        <f>(DataUK1!$X93)/DataUK1!$G93</f>
        <v>1.0316052751250568E-2</v>
      </c>
      <c r="P105" s="308">
        <f>(DataUK1!$CQ93)/DataUK1!$G93</f>
        <v>2.9006878686271234E-2</v>
      </c>
      <c r="Q105" s="193">
        <f>(DataUK1!$DK93)/DataUK1!$G93</f>
        <v>1.3642564802182811E-2</v>
      </c>
      <c r="U105" s="563">
        <f>TableUK12b!F105-TableUK12d!B105</f>
        <v>0</v>
      </c>
      <c r="V105" s="563">
        <f>TableUK12b!I105-TableUK12d!G105</f>
        <v>0</v>
      </c>
      <c r="W105" s="563">
        <f>TableUK12b!J105-TableUK12d!L105</f>
        <v>0</v>
      </c>
    </row>
    <row r="106" spans="1:23">
      <c r="A106" s="198">
        <f t="shared" si="17"/>
        <v>1935</v>
      </c>
      <c r="B106" s="303">
        <f t="shared" si="16"/>
        <v>6.5117289313640331E-2</v>
      </c>
      <c r="C106" s="308">
        <f t="shared" si="11"/>
        <v>4.7198088618592531E-2</v>
      </c>
      <c r="D106" s="307"/>
      <c r="E106" s="307"/>
      <c r="F106" s="307">
        <f t="shared" si="12"/>
        <v>1.7919200695047797E-2</v>
      </c>
      <c r="G106" s="303">
        <f>TableUK12b!I106</f>
        <v>0.12984361424847959</v>
      </c>
      <c r="H106" s="307">
        <f t="shared" si="13"/>
        <v>9.8892267593397046E-2</v>
      </c>
      <c r="I106" s="308"/>
      <c r="J106" s="308"/>
      <c r="K106" s="236">
        <f>(DataUK1!$GP94)/DataUK1!$G94</f>
        <v>3.0951346655082548E-2</v>
      </c>
      <c r="L106" s="303">
        <f t="shared" si="14"/>
        <v>6.4726324934839263E-2</v>
      </c>
      <c r="M106" s="307">
        <f t="shared" si="15"/>
        <v>5.1694178974804515E-2</v>
      </c>
      <c r="N106" s="308">
        <f>(DataUK1!$X94+DataUK1!$BT94)/DataUK1!$G94</f>
        <v>2.1497745575592489E-2</v>
      </c>
      <c r="O106" s="308">
        <f>(DataUK1!$X94)/DataUK1!$G94</f>
        <v>1.0301911381407472E-2</v>
      </c>
      <c r="P106" s="308">
        <f>(DataUK1!$CQ94)/DataUK1!$G94</f>
        <v>3.0196433399212026E-2</v>
      </c>
      <c r="Q106" s="193">
        <f>(DataUK1!$DK94)/DataUK1!$G94</f>
        <v>1.3032145960034752E-2</v>
      </c>
      <c r="U106" s="563">
        <f>TableUK12b!F106-TableUK12d!B106</f>
        <v>0</v>
      </c>
      <c r="V106" s="563">
        <f>TableUK12b!I106-TableUK12d!G106</f>
        <v>0</v>
      </c>
      <c r="W106" s="563">
        <f>TableUK12b!J106-TableUK12d!L106</f>
        <v>0</v>
      </c>
    </row>
    <row r="107" spans="1:23">
      <c r="A107" s="198">
        <f t="shared" si="17"/>
        <v>1936</v>
      </c>
      <c r="B107" s="303">
        <f t="shared" si="16"/>
        <v>7.2987664645619899E-2</v>
      </c>
      <c r="C107" s="308">
        <f t="shared" si="11"/>
        <v>4.9153251097637463E-2</v>
      </c>
      <c r="D107" s="307"/>
      <c r="E107" s="307"/>
      <c r="F107" s="307">
        <f t="shared" si="12"/>
        <v>2.3834413547982436E-2</v>
      </c>
      <c r="G107" s="303">
        <f>TableUK12b!I107</f>
        <v>0.13926406021325527</v>
      </c>
      <c r="H107" s="307">
        <f t="shared" si="13"/>
        <v>0.10288521848212417</v>
      </c>
      <c r="I107" s="308"/>
      <c r="J107" s="308"/>
      <c r="K107" s="236">
        <f>(DataUK1!$GP95)/DataUK1!$G95</f>
        <v>3.6378841731131088E-2</v>
      </c>
      <c r="L107" s="303">
        <f t="shared" si="14"/>
        <v>6.6276395567635371E-2</v>
      </c>
      <c r="M107" s="307">
        <f t="shared" si="15"/>
        <v>5.3731967384486712E-2</v>
      </c>
      <c r="N107" s="308">
        <f>(DataUK1!$X95+DataUK1!$BT95)/DataUK1!$G95</f>
        <v>2.1977154887032165E-2</v>
      </c>
      <c r="O107" s="308">
        <f>(DataUK1!$X95)/DataUK1!$G95</f>
        <v>1.0631402885218482E-2</v>
      </c>
      <c r="P107" s="308">
        <f>(DataUK1!$CQ95)/DataUK1!$G95</f>
        <v>3.175481249745455E-2</v>
      </c>
      <c r="Q107" s="193">
        <f>(DataUK1!$DK95)/DataUK1!$G95</f>
        <v>1.2544428183148652E-2</v>
      </c>
      <c r="U107" s="563">
        <f>TableUK12b!F107-TableUK12d!B107</f>
        <v>0</v>
      </c>
      <c r="V107" s="563">
        <f>TableUK12b!I107-TableUK12d!G107</f>
        <v>0</v>
      </c>
      <c r="W107" s="563">
        <f>TableUK12b!J107-TableUK12d!L107</f>
        <v>0</v>
      </c>
    </row>
    <row r="108" spans="1:23">
      <c r="A108" s="198">
        <f t="shared" si="17"/>
        <v>1937</v>
      </c>
      <c r="B108" s="303">
        <f t="shared" si="16"/>
        <v>8.7444033482577385E-2</v>
      </c>
      <c r="C108" s="308">
        <f t="shared" si="11"/>
        <v>5.7231847381740308E-2</v>
      </c>
      <c r="D108" s="307"/>
      <c r="E108" s="307"/>
      <c r="F108" s="307">
        <f t="shared" si="12"/>
        <v>3.0212186100837077E-2</v>
      </c>
      <c r="G108" s="303">
        <f>TableUK12b!I108</f>
        <v>0.1569398481604049</v>
      </c>
      <c r="H108" s="307">
        <f t="shared" si="13"/>
        <v>0.11465836091103757</v>
      </c>
      <c r="I108" s="308"/>
      <c r="J108" s="308"/>
      <c r="K108" s="236">
        <f>(DataUK1!$GP96)/DataUK1!$G96</f>
        <v>4.2281487249367346E-2</v>
      </c>
      <c r="L108" s="303">
        <f t="shared" si="14"/>
        <v>6.9495814677827533E-2</v>
      </c>
      <c r="M108" s="307">
        <f t="shared" si="15"/>
        <v>5.7426513529297257E-2</v>
      </c>
      <c r="N108" s="308">
        <f>(DataUK1!$X96+DataUK1!$BT96)/DataUK1!$G96</f>
        <v>2.0507856478961677E-2</v>
      </c>
      <c r="O108" s="308">
        <f>(DataUK1!$X96)/DataUK1!$G96</f>
        <v>1.0428265524625268E-2</v>
      </c>
      <c r="P108" s="308">
        <f>(DataUK1!$CQ96)/DataUK1!$G96</f>
        <v>3.6918657050335583E-2</v>
      </c>
      <c r="Q108" s="193">
        <f>(DataUK1!$DK96)/DataUK1!$G96</f>
        <v>1.2069301148530271E-2</v>
      </c>
      <c r="U108" s="563">
        <f>TableUK12b!F108-TableUK12d!B108</f>
        <v>0</v>
      </c>
      <c r="V108" s="563">
        <f>TableUK12b!I108-TableUK12d!G108</f>
        <v>0</v>
      </c>
      <c r="W108" s="563">
        <f>TableUK12b!J108-TableUK12d!L108</f>
        <v>0</v>
      </c>
    </row>
    <row r="109" spans="1:23">
      <c r="A109" s="198">
        <f t="shared" si="17"/>
        <v>1938</v>
      </c>
      <c r="B109" s="303">
        <f t="shared" si="16"/>
        <v>8.9469781238413065E-2</v>
      </c>
      <c r="C109" s="308">
        <f t="shared" si="11"/>
        <v>5.5098257322951441E-2</v>
      </c>
      <c r="D109" s="307"/>
      <c r="E109" s="307"/>
      <c r="F109" s="307">
        <f t="shared" si="12"/>
        <v>3.4371523915461617E-2</v>
      </c>
      <c r="G109" s="303">
        <f>TableUK12b!I109</f>
        <v>0.15806451612903227</v>
      </c>
      <c r="H109" s="307">
        <f t="shared" si="13"/>
        <v>0.11219873934000743</v>
      </c>
      <c r="I109" s="308"/>
      <c r="J109" s="308"/>
      <c r="K109" s="236">
        <f>(DataUK1!$GP97)/DataUK1!$G97</f>
        <v>4.5865776789024836E-2</v>
      </c>
      <c r="L109" s="303">
        <f t="shared" si="14"/>
        <v>6.8594734890619208E-2</v>
      </c>
      <c r="M109" s="307">
        <f t="shared" si="15"/>
        <v>5.710048201705599E-2</v>
      </c>
      <c r="N109" s="308">
        <f>(DataUK1!$X97+DataUK1!$BT97)/DataUK1!$G97</f>
        <v>1.939839120991876E-2</v>
      </c>
      <c r="O109" s="308">
        <f>(DataUK1!$X97)/DataUK1!$G97</f>
        <v>1.0029662588060808E-2</v>
      </c>
      <c r="P109" s="308">
        <f>(DataUK1!$CQ97)/DataUK1!$G97</f>
        <v>3.7702090807137226E-2</v>
      </c>
      <c r="Q109" s="193">
        <f>(DataUK1!$DK97)/DataUK1!$G97</f>
        <v>1.1494252873563218E-2</v>
      </c>
      <c r="U109" s="563">
        <f>TableUK12b!F109-TableUK12d!B109</f>
        <v>0</v>
      </c>
      <c r="V109" s="563">
        <f>TableUK12b!I109-TableUK12d!G109</f>
        <v>0</v>
      </c>
      <c r="W109" s="563">
        <f>TableUK12b!J109-TableUK12d!L109</f>
        <v>0</v>
      </c>
    </row>
    <row r="110" spans="1:23">
      <c r="A110" s="198">
        <f t="shared" si="17"/>
        <v>1939</v>
      </c>
      <c r="B110" s="303">
        <f t="shared" si="16"/>
        <v>7.1927374301675978E-2</v>
      </c>
      <c r="C110" s="308">
        <f t="shared" si="11"/>
        <v>4.7014664804469267E-2</v>
      </c>
      <c r="D110" s="307"/>
      <c r="E110" s="307"/>
      <c r="F110" s="307">
        <f t="shared" si="12"/>
        <v>2.4912709497206705E-2</v>
      </c>
      <c r="G110" s="303">
        <f>TableUK12b!I110</f>
        <v>0.14001396648044692</v>
      </c>
      <c r="H110" s="307">
        <f t="shared" si="13"/>
        <v>0.10183310055865921</v>
      </c>
      <c r="I110" s="308"/>
      <c r="J110" s="308"/>
      <c r="K110" s="236">
        <f>(DataUK1!$GP98)/DataUK1!$G98</f>
        <v>3.818086592178771E-2</v>
      </c>
      <c r="L110" s="303">
        <f t="shared" si="14"/>
        <v>6.8086592178770944E-2</v>
      </c>
      <c r="M110" s="307">
        <f t="shared" si="15"/>
        <v>5.4818435754189945E-2</v>
      </c>
      <c r="N110" s="308">
        <f>(DataUK1!$X98+DataUK1!$BT98)/DataUK1!$G98</f>
        <v>1.9716909240767799E-2</v>
      </c>
      <c r="O110" s="308">
        <f>(DataUK1!$X98)/DataUK1!$G98</f>
        <v>1.0425977653631284E-2</v>
      </c>
      <c r="P110" s="308">
        <f>(DataUK1!$CQ98)/DataUK1!$G98</f>
        <v>3.5101526513422146E-2</v>
      </c>
      <c r="Q110" s="193">
        <f>(DataUK1!$DK98)/DataUK1!$G98</f>
        <v>1.3268156424581005E-2</v>
      </c>
      <c r="U110" s="563">
        <f>TableUK12b!F110-TableUK12d!B110</f>
        <v>0</v>
      </c>
      <c r="V110" s="563">
        <f>TableUK12b!I110-TableUK12d!G110</f>
        <v>0</v>
      </c>
      <c r="W110" s="563">
        <f>TableUK12b!J110-TableUK12d!L110</f>
        <v>0</v>
      </c>
    </row>
    <row r="111" spans="1:23">
      <c r="A111" s="199">
        <f t="shared" si="17"/>
        <v>1940</v>
      </c>
      <c r="B111" s="566">
        <f t="shared" si="16"/>
        <v>6.0212677806932735E-2</v>
      </c>
      <c r="C111" s="551">
        <f t="shared" si="11"/>
        <v>4.4248032039773511E-2</v>
      </c>
      <c r="D111" s="569"/>
      <c r="E111" s="569"/>
      <c r="F111" s="569">
        <f t="shared" si="12"/>
        <v>1.5964645767159228E-2</v>
      </c>
      <c r="G111" s="566">
        <f>TableUK12b!I111</f>
        <v>0.12097776550200248</v>
      </c>
      <c r="H111" s="569">
        <f t="shared" si="13"/>
        <v>9.4379229388206046E-2</v>
      </c>
      <c r="I111" s="551"/>
      <c r="J111" s="551"/>
      <c r="K111" s="240">
        <f>(DataUK1!$GP99)/DataUK1!$G99</f>
        <v>2.6598536113796433E-2</v>
      </c>
      <c r="L111" s="566">
        <f t="shared" si="14"/>
        <v>6.076508769506974E-2</v>
      </c>
      <c r="M111" s="569">
        <f t="shared" si="15"/>
        <v>5.0131197348432535E-2</v>
      </c>
      <c r="N111" s="551">
        <f>(DataUK1!$X99+DataUK1!$BT99)/DataUK1!$G99</f>
        <v>1.7536526733315034E-2</v>
      </c>
      <c r="O111" s="551">
        <f>(DataUK1!$X99)/DataUK1!$G99</f>
        <v>9.8163237121944476E-3</v>
      </c>
      <c r="P111" s="551">
        <f>(DataUK1!$CQ99)/DataUK1!$G99</f>
        <v>3.2594670615117505E-2</v>
      </c>
      <c r="Q111" s="885">
        <f>(DataUK1!$DK99)/DataUK1!$G99</f>
        <v>1.0633890346637205E-2</v>
      </c>
      <c r="U111" s="563">
        <f>TableUK12b!F111-TableUK12d!B111</f>
        <v>0</v>
      </c>
      <c r="V111" s="563">
        <f>TableUK12b!I111-TableUK12d!G111</f>
        <v>0</v>
      </c>
      <c r="W111" s="563">
        <f>TableUK12b!J111-TableUK12d!L111</f>
        <v>0</v>
      </c>
    </row>
    <row r="112" spans="1:23">
      <c r="A112" s="198">
        <f t="shared" si="17"/>
        <v>1941</v>
      </c>
      <c r="B112" s="303">
        <f t="shared" si="16"/>
        <v>2.6443159013103519E-2</v>
      </c>
      <c r="C112" s="308">
        <f t="shared" si="11"/>
        <v>1.8486601345767906E-2</v>
      </c>
      <c r="D112" s="307"/>
      <c r="E112" s="307"/>
      <c r="F112" s="307">
        <f t="shared" si="12"/>
        <v>7.9565576673356134E-3</v>
      </c>
      <c r="G112" s="303">
        <f>TableUK12b!I112</f>
        <v>8.5468067524495331E-2</v>
      </c>
      <c r="H112" s="307">
        <f t="shared" si="13"/>
        <v>6.6887026325109192E-2</v>
      </c>
      <c r="I112" s="308"/>
      <c r="J112" s="308"/>
      <c r="K112" s="236">
        <f>(DataUK1!$GP100)/DataUK1!$G100</f>
        <v>1.8581041199386139E-2</v>
      </c>
      <c r="L112" s="303">
        <f t="shared" si="14"/>
        <v>5.9024908511391812E-2</v>
      </c>
      <c r="M112" s="307">
        <f t="shared" si="15"/>
        <v>4.8400424979341286E-2</v>
      </c>
      <c r="N112" s="308">
        <f>(DataUK1!$X100+DataUK1!$BT100)/DataUK1!$G100</f>
        <v>1.6690535240319954E-2</v>
      </c>
      <c r="O112" s="308">
        <f>(DataUK1!$X100)/DataUK1!$G100</f>
        <v>9.7745248494864826E-3</v>
      </c>
      <c r="P112" s="308">
        <f>(DataUK1!$CQ100)/DataUK1!$G100</f>
        <v>3.1709889739021328E-2</v>
      </c>
      <c r="Q112" s="193">
        <f>(DataUK1!$DK100)/DataUK1!$G100</f>
        <v>1.0624483532050526E-2</v>
      </c>
      <c r="U112" s="563">
        <f>TableUK12b!F112-TableUK12d!B112</f>
        <v>0</v>
      </c>
      <c r="V112" s="563">
        <f>TableUK12b!I112-TableUK12d!G112</f>
        <v>0</v>
      </c>
      <c r="W112" s="563">
        <f>TableUK12b!J112-TableUK12d!L112</f>
        <v>0</v>
      </c>
    </row>
    <row r="113" spans="1:23">
      <c r="A113" s="198">
        <f t="shared" si="17"/>
        <v>1942</v>
      </c>
      <c r="B113" s="303">
        <f t="shared" si="16"/>
        <v>-4.9121274969981515E-3</v>
      </c>
      <c r="C113" s="308">
        <f t="shared" si="11"/>
        <v>-3.9024124003929767E-3</v>
      </c>
      <c r="D113" s="307"/>
      <c r="E113" s="307"/>
      <c r="F113" s="307">
        <f t="shared" si="12"/>
        <v>-1.0097150966051748E-3</v>
      </c>
      <c r="G113" s="303">
        <f>TableUK12b!I113</f>
        <v>5.2941818578757772E-2</v>
      </c>
      <c r="H113" s="307">
        <f t="shared" si="13"/>
        <v>3.9105992795546329E-2</v>
      </c>
      <c r="I113" s="308"/>
      <c r="J113" s="308"/>
      <c r="K113" s="236">
        <f>(DataUK1!$GP101)/DataUK1!$G101</f>
        <v>1.383582578321144E-2</v>
      </c>
      <c r="L113" s="303">
        <f t="shared" si="14"/>
        <v>5.7853946075755919E-2</v>
      </c>
      <c r="M113" s="307">
        <f t="shared" si="15"/>
        <v>4.3008405195939306E-2</v>
      </c>
      <c r="N113" s="308">
        <f>(DataUK1!$X101+DataUK1!$BT101)/DataUK1!$G101</f>
        <v>1.6654192551639177E-2</v>
      </c>
      <c r="O113" s="308">
        <f>(DataUK1!$X101)/DataUK1!$G101</f>
        <v>9.9661608994651239E-3</v>
      </c>
      <c r="P113" s="308">
        <f>(DataUK1!$CQ101)/DataUK1!$G101</f>
        <v>2.6354212644300129E-2</v>
      </c>
      <c r="Q113" s="193">
        <f>(DataUK1!$DK101)/DataUK1!$G101</f>
        <v>1.4845540879816614E-2</v>
      </c>
      <c r="U113" s="563">
        <f>TableUK12b!F113-TableUK12d!B113</f>
        <v>6.9388939039072284E-18</v>
      </c>
      <c r="V113" s="563">
        <f>TableUK12b!I113-TableUK12d!G113</f>
        <v>0</v>
      </c>
      <c r="W113" s="563">
        <f>TableUK12b!J113-TableUK12d!L113</f>
        <v>0</v>
      </c>
    </row>
    <row r="114" spans="1:23">
      <c r="A114" s="198">
        <f t="shared" si="17"/>
        <v>1943</v>
      </c>
      <c r="B114" s="303">
        <f t="shared" si="16"/>
        <v>-5.3730109526761646E-3</v>
      </c>
      <c r="C114" s="308">
        <f t="shared" si="11"/>
        <v>2.9138251704897769E-3</v>
      </c>
      <c r="D114" s="307"/>
      <c r="E114" s="307"/>
      <c r="F114" s="307">
        <f t="shared" si="12"/>
        <v>-8.2868361231659415E-3</v>
      </c>
      <c r="G114" s="303">
        <f>TableUK12b!I114</f>
        <v>5.8689811944616657E-2</v>
      </c>
      <c r="H114" s="307">
        <f t="shared" si="13"/>
        <v>5.1580905145691261E-2</v>
      </c>
      <c r="I114" s="308"/>
      <c r="J114" s="308"/>
      <c r="K114" s="236">
        <f>(DataUK1!$GP102)/DataUK1!$G102</f>
        <v>7.1089067989253988E-3</v>
      </c>
      <c r="L114" s="303">
        <f t="shared" si="14"/>
        <v>6.4062822897292829E-2</v>
      </c>
      <c r="M114" s="307">
        <f t="shared" si="15"/>
        <v>4.8667079975201484E-2</v>
      </c>
      <c r="N114" s="308">
        <f>(DataUK1!$X102+DataUK1!$BT102)/DataUK1!$G102</f>
        <v>1.6647302325933318E-2</v>
      </c>
      <c r="O114" s="308">
        <f>(DataUK1!$X102)/DataUK1!$G102</f>
        <v>1.0039264310808017E-2</v>
      </c>
      <c r="P114" s="308">
        <f>(DataUK1!$CQ102)/DataUK1!$G102</f>
        <v>3.2019777649268166E-2</v>
      </c>
      <c r="Q114" s="193">
        <f>(DataUK1!$DK102)/DataUK1!$G102</f>
        <v>1.5395742922091341E-2</v>
      </c>
      <c r="U114" s="563">
        <f>TableUK12b!F114-TableUK12d!B114</f>
        <v>-7.8062556418956319E-18</v>
      </c>
      <c r="V114" s="563">
        <f>TableUK12b!I114-TableUK12d!G114</f>
        <v>0</v>
      </c>
      <c r="W114" s="563">
        <f>TableUK12b!J114-TableUK12d!L114</f>
        <v>0</v>
      </c>
    </row>
    <row r="115" spans="1:23">
      <c r="A115" s="198">
        <f t="shared" si="17"/>
        <v>1944</v>
      </c>
      <c r="B115" s="303">
        <f t="shared" si="16"/>
        <v>-4.7412904555761692E-2</v>
      </c>
      <c r="C115" s="308">
        <f t="shared" si="11"/>
        <v>-3.6126571840857546E-2</v>
      </c>
      <c r="D115" s="307"/>
      <c r="E115" s="307"/>
      <c r="F115" s="307">
        <f t="shared" si="12"/>
        <v>-1.1286332714904142E-2</v>
      </c>
      <c r="G115" s="303">
        <f>TableUK12b!I115</f>
        <v>1.9583591012162442E-2</v>
      </c>
      <c r="H115" s="307">
        <f t="shared" si="13"/>
        <v>1.7058338486909918E-2</v>
      </c>
      <c r="I115" s="308"/>
      <c r="J115" s="308"/>
      <c r="K115" s="236">
        <f>(DataUK1!$GP103)/DataUK1!$G103</f>
        <v>2.5252525252525255E-3</v>
      </c>
      <c r="L115" s="303">
        <f t="shared" si="14"/>
        <v>6.6996495567924128E-2</v>
      </c>
      <c r="M115" s="307">
        <f t="shared" si="15"/>
        <v>5.3184910327767461E-2</v>
      </c>
      <c r="N115" s="308">
        <f>(DataUK1!$X103+DataUK1!$BT103)/DataUK1!$G103</f>
        <v>1.711978209185723E-2</v>
      </c>
      <c r="O115" s="308">
        <f>(DataUK1!$X103)/DataUK1!$G103</f>
        <v>1.0251494537208824E-2</v>
      </c>
      <c r="P115" s="308">
        <f>(DataUK1!$CQ103)/DataUK1!$G103</f>
        <v>3.6065128235910231E-2</v>
      </c>
      <c r="Q115" s="193">
        <f>(DataUK1!$DK103)/DataUK1!$G103</f>
        <v>1.3811585240156668E-2</v>
      </c>
      <c r="U115" s="563">
        <f>TableUK12b!F115-TableUK12d!B115</f>
        <v>0</v>
      </c>
      <c r="V115" s="563">
        <f>TableUK12b!I115-TableUK12d!G115</f>
        <v>0</v>
      </c>
      <c r="W115" s="563">
        <f>TableUK12b!J115-TableUK12d!L115</f>
        <v>0</v>
      </c>
    </row>
    <row r="116" spans="1:23">
      <c r="A116" s="198">
        <f t="shared" si="17"/>
        <v>1945</v>
      </c>
      <c r="B116" s="303">
        <f t="shared" si="16"/>
        <v>-4.1527343328659254E-2</v>
      </c>
      <c r="C116" s="308">
        <f t="shared" si="11"/>
        <v>-3.1954481717182605E-2</v>
      </c>
      <c r="D116" s="307"/>
      <c r="E116" s="307"/>
      <c r="F116" s="307">
        <f t="shared" si="12"/>
        <v>-9.5728616114766473E-3</v>
      </c>
      <c r="G116" s="303">
        <f>TableUK12b!I116</f>
        <v>2.7505123503397691E-2</v>
      </c>
      <c r="H116" s="307">
        <f t="shared" si="13"/>
        <v>2.424226081328875E-2</v>
      </c>
      <c r="I116" s="308"/>
      <c r="J116" s="308"/>
      <c r="K116" s="236">
        <f>(DataUK1!$GP104)/DataUK1!$G104</f>
        <v>3.2628626901089418E-3</v>
      </c>
      <c r="L116" s="303">
        <f t="shared" si="14"/>
        <v>6.9032466832056938E-2</v>
      </c>
      <c r="M116" s="307">
        <f t="shared" si="15"/>
        <v>5.6196742530471355E-2</v>
      </c>
      <c r="N116" s="308">
        <f>(DataUK1!$X104+DataUK1!$BT104)/DataUK1!$G104</f>
        <v>1.8256893517421532E-2</v>
      </c>
      <c r="O116" s="308">
        <f>(DataUK1!$X104)/DataUK1!$G104</f>
        <v>1.0779851148743393E-2</v>
      </c>
      <c r="P116" s="308">
        <f>(DataUK1!$CQ104)/DataUK1!$G104</f>
        <v>3.7939849013049823E-2</v>
      </c>
      <c r="Q116" s="193">
        <f>(DataUK1!$DK104)/DataUK1!$G104</f>
        <v>1.283572430158559E-2</v>
      </c>
      <c r="U116" s="563">
        <f>TableUK12b!F116-TableUK12d!B116</f>
        <v>0</v>
      </c>
      <c r="V116" s="563">
        <f>TableUK12b!I116-TableUK12d!G116</f>
        <v>0</v>
      </c>
      <c r="W116" s="563">
        <f>TableUK12b!J116-TableUK12d!L116</f>
        <v>0</v>
      </c>
    </row>
    <row r="117" spans="1:23">
      <c r="A117" s="198">
        <f t="shared" si="17"/>
        <v>1946</v>
      </c>
      <c r="B117" s="303">
        <f t="shared" si="16"/>
        <v>4.1173963992755955E-2</v>
      </c>
      <c r="C117" s="308">
        <f t="shared" si="11"/>
        <v>1.9122190263129876E-2</v>
      </c>
      <c r="D117" s="307"/>
      <c r="E117" s="307"/>
      <c r="F117" s="307">
        <f t="shared" si="12"/>
        <v>2.2051773729626079E-2</v>
      </c>
      <c r="G117" s="303">
        <f>TableUK12b!I117</f>
        <v>0.11467987642484287</v>
      </c>
      <c r="H117" s="307">
        <f t="shared" si="13"/>
        <v>8.3466496218174077E-2</v>
      </c>
      <c r="I117" s="308"/>
      <c r="J117" s="308"/>
      <c r="K117" s="236">
        <f>(DataUK1!$GP105)/DataUK1!$G105</f>
        <v>3.1213380206668796E-2</v>
      </c>
      <c r="L117" s="303">
        <f t="shared" si="14"/>
        <v>7.3505912432086914E-2</v>
      </c>
      <c r="M117" s="307">
        <f t="shared" si="15"/>
        <v>6.4344305955044201E-2</v>
      </c>
      <c r="N117" s="308">
        <f>(DataUK1!$X105+DataUK1!$BT105)/DataUK1!$G105</f>
        <v>1.820743514912445E-2</v>
      </c>
      <c r="O117" s="308">
        <f>(DataUK1!$X105)/DataUK1!$G105</f>
        <v>1.0536912751677853E-2</v>
      </c>
      <c r="P117" s="308">
        <f>(DataUK1!$CQ105)/DataUK1!$G105</f>
        <v>4.6136870805919758E-2</v>
      </c>
      <c r="Q117" s="193">
        <f>(DataUK1!$DK105)/DataUK1!$G105</f>
        <v>9.1616064770427188E-3</v>
      </c>
      <c r="U117" s="563">
        <f>TableUK12b!F117-TableUK12d!B117</f>
        <v>0</v>
      </c>
      <c r="V117" s="563">
        <f>TableUK12b!I117-TableUK12d!G117</f>
        <v>0</v>
      </c>
      <c r="W117" s="563">
        <f>TableUK12b!J117-TableUK12d!L117</f>
        <v>0</v>
      </c>
    </row>
    <row r="118" spans="1:23">
      <c r="A118" s="198">
        <f t="shared" si="17"/>
        <v>1947</v>
      </c>
      <c r="B118" s="303">
        <f t="shared" si="16"/>
        <v>0.10489933551522364</v>
      </c>
      <c r="C118" s="308">
        <f t="shared" si="11"/>
        <v>7.494793216304671E-2</v>
      </c>
      <c r="D118" s="307"/>
      <c r="E118" s="307"/>
      <c r="F118" s="307">
        <f t="shared" si="12"/>
        <v>2.9951403352176928E-2</v>
      </c>
      <c r="G118" s="303">
        <f>TableUK12b!I118</f>
        <v>0.18126549638004563</v>
      </c>
      <c r="H118" s="307">
        <f t="shared" si="13"/>
        <v>0.13951204998512348</v>
      </c>
      <c r="I118" s="308"/>
      <c r="J118" s="308"/>
      <c r="K118" s="236">
        <f>(DataUK1!$GP106)/DataUK1!$G106</f>
        <v>4.1753446394922143E-2</v>
      </c>
      <c r="L118" s="303">
        <f t="shared" si="14"/>
        <v>7.636616086482198E-2</v>
      </c>
      <c r="M118" s="307">
        <f t="shared" si="15"/>
        <v>6.4564117822076772E-2</v>
      </c>
      <c r="N118" s="308">
        <f>(DataUK1!$X106+DataUK1!$BT106)/DataUK1!$G106</f>
        <v>1.8203583029817255E-2</v>
      </c>
      <c r="O118" s="308">
        <f>(DataUK1!$X106)/DataUK1!$G106</f>
        <v>1.0796389963304572E-2</v>
      </c>
      <c r="P118" s="308">
        <f>(DataUK1!$CQ106)/DataUK1!$G106</f>
        <v>4.636053479225951E-2</v>
      </c>
      <c r="Q118" s="193">
        <f>(DataUK1!$DK106)/DataUK1!$G106</f>
        <v>1.1802043042745215E-2</v>
      </c>
      <c r="U118" s="563">
        <f>TableUK12b!F118-TableUK12d!B118</f>
        <v>0</v>
      </c>
      <c r="V118" s="563">
        <f>TableUK12b!I118-TableUK12d!G118</f>
        <v>0</v>
      </c>
      <c r="W118" s="563">
        <f>TableUK12b!J118-TableUK12d!L118</f>
        <v>0</v>
      </c>
    </row>
    <row r="119" spans="1:23">
      <c r="A119" s="198">
        <f t="shared" si="17"/>
        <v>1948</v>
      </c>
      <c r="B119" s="303">
        <f t="shared" si="16"/>
        <v>6.3885150291610571E-2</v>
      </c>
      <c r="C119" s="308">
        <f t="shared" si="11"/>
        <v>3.9030955585464322E-2</v>
      </c>
      <c r="D119" s="308"/>
      <c r="E119" s="308"/>
      <c r="F119" s="307">
        <f t="shared" si="12"/>
        <v>2.4854194706146256E-2</v>
      </c>
      <c r="G119" s="303">
        <f>TableUK12b!I119</f>
        <v>0.15047106325706594</v>
      </c>
      <c r="H119" s="307">
        <f t="shared" si="13"/>
        <v>0.10453117990130102</v>
      </c>
      <c r="I119" s="308"/>
      <c r="J119" s="308"/>
      <c r="K119" s="236">
        <f>(DataUK1!$GP107)/DataUK1!$G107</f>
        <v>4.5939883355764918E-2</v>
      </c>
      <c r="L119" s="303">
        <f t="shared" si="14"/>
        <v>8.6585912965455369E-2</v>
      </c>
      <c r="M119" s="307">
        <f t="shared" si="15"/>
        <v>6.55002243158367E-2</v>
      </c>
      <c r="N119" s="308">
        <f>(DataUK1!$X107+DataUK1!$BT107)/DataUK1!$G107</f>
        <v>2.0008972633467924E-2</v>
      </c>
      <c r="O119" s="308">
        <f>(DataUK1!$X107)/DataUK1!$G107</f>
        <v>1.0049349484073575E-2</v>
      </c>
      <c r="P119" s="308">
        <f>(DataUK1!$CQ107)/DataUK1!$G107</f>
        <v>4.5491251682368776E-2</v>
      </c>
      <c r="Q119" s="193">
        <f>(DataUK1!$DK107)/DataUK1!$G107</f>
        <v>2.1085688649618663E-2</v>
      </c>
      <c r="U119" s="563">
        <f>TableUK12b!F119-TableUK12d!B119</f>
        <v>0</v>
      </c>
      <c r="V119" s="563">
        <f>TableUK12b!I119-TableUK12d!G119</f>
        <v>0</v>
      </c>
      <c r="W119" s="563">
        <f>TableUK12b!J119-TableUK12d!L119</f>
        <v>0</v>
      </c>
    </row>
    <row r="120" spans="1:23">
      <c r="A120" s="214">
        <v>1949</v>
      </c>
      <c r="B120" s="565">
        <f t="shared" si="16"/>
        <v>5.9214450029820218E-2</v>
      </c>
      <c r="C120" s="550">
        <f t="shared" si="11"/>
        <v>3.5613870665417047E-2</v>
      </c>
      <c r="D120" s="550"/>
      <c r="E120" s="550"/>
      <c r="F120" s="568">
        <f t="shared" si="12"/>
        <v>2.3600579364403167E-2</v>
      </c>
      <c r="G120" s="565">
        <f>TableUK12b!I120</f>
        <v>0.1471415182755389</v>
      </c>
      <c r="H120" s="568">
        <f t="shared" si="13"/>
        <v>0.10258157962000511</v>
      </c>
      <c r="I120" s="550"/>
      <c r="J120" s="550"/>
      <c r="K120" s="244">
        <f>(DataUK1!$GP108)/DataUK1!$G108</f>
        <v>4.455993865553378E-2</v>
      </c>
      <c r="L120" s="565">
        <f t="shared" si="14"/>
        <v>8.7927068245718679E-2</v>
      </c>
      <c r="M120" s="568">
        <f t="shared" si="15"/>
        <v>6.6967708954588062E-2</v>
      </c>
      <c r="N120" s="550">
        <f>(DataUK1!$X108+DataUK1!$BT108)/DataUK1!$G108</f>
        <v>2.0703757348555851E-2</v>
      </c>
      <c r="O120" s="550">
        <f>(DataUK1!$X108)/DataUK1!$G108</f>
        <v>9.7128738178410157E-3</v>
      </c>
      <c r="P120" s="550">
        <f>(DataUK1!$CQ108)/DataUK1!$G108</f>
        <v>4.6263951606032208E-2</v>
      </c>
      <c r="Q120" s="886">
        <f>(DataUK1!$DK108)/DataUK1!$G108</f>
        <v>2.0959359291130613E-2</v>
      </c>
      <c r="U120" s="563">
        <f>TableUK12b!F120-TableUK12d!B120</f>
        <v>0</v>
      </c>
      <c r="V120" s="563">
        <f>TableUK12b!I120-TableUK12d!G120</f>
        <v>0</v>
      </c>
      <c r="W120" s="563">
        <f>TableUK12b!J120-TableUK12d!L120</f>
        <v>0</v>
      </c>
    </row>
    <row r="121" spans="1:23">
      <c r="A121" s="198">
        <f t="shared" ref="A121:A141" si="18">A120+1</f>
        <v>1950</v>
      </c>
      <c r="B121" s="303">
        <f t="shared" ref="B121:B152" si="19">C121+F121</f>
        <v>3.8414978613509815E-2</v>
      </c>
      <c r="C121" s="308">
        <f t="shared" si="11"/>
        <v>1.3881042692276663E-2</v>
      </c>
      <c r="D121" s="308"/>
      <c r="E121" s="308"/>
      <c r="F121" s="307">
        <f t="shared" si="12"/>
        <v>2.4533935921233152E-2</v>
      </c>
      <c r="G121" s="303">
        <f>TableUK12b!I121</f>
        <v>0.12823823743039303</v>
      </c>
      <c r="H121" s="307">
        <f t="shared" si="13"/>
        <v>8.3366959890242925E-2</v>
      </c>
      <c r="I121" s="308"/>
      <c r="J121" s="308"/>
      <c r="K121" s="236">
        <f>(DataUK1!$GP109)/DataUK1!$G109</f>
        <v>4.4871277540150106E-2</v>
      </c>
      <c r="L121" s="303">
        <f t="shared" si="14"/>
        <v>8.9823258816883217E-2</v>
      </c>
      <c r="M121" s="307">
        <f t="shared" si="15"/>
        <v>6.9485917197966263E-2</v>
      </c>
      <c r="N121" s="308">
        <f>(DataUK1!$X109+DataUK1!$BT109)/DataUK1!$G109</f>
        <v>2.1305786457913003E-2</v>
      </c>
      <c r="O121" s="308">
        <f>(DataUK1!$X109)/DataUK1!$G109</f>
        <v>9.3616334436284407E-3</v>
      </c>
      <c r="P121" s="308">
        <f>(DataUK1!$CQ109)/DataUK1!$G109</f>
        <v>4.8180130740053263E-2</v>
      </c>
      <c r="Q121" s="193">
        <f>(DataUK1!$DK109)/DataUK1!$G109</f>
        <v>2.0337341618916954E-2</v>
      </c>
      <c r="U121" s="563">
        <f>TableUK12b!F121-TableUK12d!B121</f>
        <v>0</v>
      </c>
      <c r="V121" s="563">
        <f>TableUK12b!I121-TableUK12d!G121</f>
        <v>0</v>
      </c>
      <c r="W121" s="563">
        <f>TableUK12b!J121-TableUK12d!L121</f>
        <v>0</v>
      </c>
    </row>
    <row r="122" spans="1:23">
      <c r="A122" s="198">
        <f t="shared" si="18"/>
        <v>1951</v>
      </c>
      <c r="B122" s="303">
        <f t="shared" si="19"/>
        <v>9.3848292004974035E-2</v>
      </c>
      <c r="C122" s="308">
        <f t="shared" si="11"/>
        <v>6.6052227342549924E-2</v>
      </c>
      <c r="D122" s="308"/>
      <c r="E122" s="308"/>
      <c r="F122" s="307">
        <f t="shared" si="12"/>
        <v>2.7796064662424107E-2</v>
      </c>
      <c r="G122" s="303">
        <f>TableUK12b!I122</f>
        <v>0.18915953478165459</v>
      </c>
      <c r="H122" s="307">
        <f t="shared" si="13"/>
        <v>0.14073586423816839</v>
      </c>
      <c r="I122" s="308"/>
      <c r="J122" s="308"/>
      <c r="K122" s="236">
        <f>(DataUK1!$GP110)/DataUK1!$G110</f>
        <v>4.8423670543486209E-2</v>
      </c>
      <c r="L122" s="303">
        <f t="shared" si="14"/>
        <v>9.5311242776680571E-2</v>
      </c>
      <c r="M122" s="307">
        <f t="shared" si="15"/>
        <v>7.4683636895618466E-2</v>
      </c>
      <c r="N122" s="308">
        <f>(DataUK1!$X110+DataUK1!$BT110)/DataUK1!$G110</f>
        <v>2.2968327115792553E-2</v>
      </c>
      <c r="O122" s="308">
        <f>(DataUK1!$X110)/DataUK1!$G110</f>
        <v>9.9480652476044186E-3</v>
      </c>
      <c r="P122" s="308">
        <f>(DataUK1!$CQ110)/DataUK1!$G110</f>
        <v>5.1715309779825906E-2</v>
      </c>
      <c r="Q122" s="193">
        <f>(DataUK1!$DK110)/DataUK1!$G110</f>
        <v>2.0627605881062102E-2</v>
      </c>
      <c r="U122" s="563">
        <f>TableUK12b!F122-TableUK12d!B122</f>
        <v>0</v>
      </c>
      <c r="V122" s="563">
        <f>TableUK12b!I122-TableUK12d!G122</f>
        <v>0</v>
      </c>
      <c r="W122" s="563">
        <f>TableUK12b!J122-TableUK12d!L122</f>
        <v>0</v>
      </c>
    </row>
    <row r="123" spans="1:23">
      <c r="A123" s="198">
        <f t="shared" si="18"/>
        <v>1952</v>
      </c>
      <c r="B123" s="303">
        <f t="shared" si="19"/>
        <v>5.7921635434412255E-2</v>
      </c>
      <c r="C123" s="308">
        <f t="shared" si="11"/>
        <v>2.4599659284497435E-2</v>
      </c>
      <c r="D123" s="308"/>
      <c r="E123" s="308"/>
      <c r="F123" s="307">
        <f t="shared" si="12"/>
        <v>3.332197614991482E-2</v>
      </c>
      <c r="G123" s="303">
        <f>TableUK12b!I123</f>
        <v>0.15775127768313457</v>
      </c>
      <c r="H123" s="307">
        <f t="shared" si="13"/>
        <v>0.10323679727427597</v>
      </c>
      <c r="I123" s="308"/>
      <c r="J123" s="308"/>
      <c r="K123" s="236">
        <f>(DataUK1!$GP111)/DataUK1!$G111</f>
        <v>5.4514480408858604E-2</v>
      </c>
      <c r="L123" s="303">
        <f t="shared" si="14"/>
        <v>9.9829642248722317E-2</v>
      </c>
      <c r="M123" s="307">
        <f t="shared" si="15"/>
        <v>7.8637137989778533E-2</v>
      </c>
      <c r="N123" s="308">
        <f>(DataUK1!$X111+DataUK1!$BT111)/DataUK1!$G111</f>
        <v>2.323679727427598E-2</v>
      </c>
      <c r="O123" s="308">
        <f>(DataUK1!$X111)/DataUK1!$G111</f>
        <v>1.0221465076660987E-2</v>
      </c>
      <c r="P123" s="308">
        <f>(DataUK1!$CQ111)/DataUK1!$G111</f>
        <v>5.5400340715502552E-2</v>
      </c>
      <c r="Q123" s="193">
        <f>(DataUK1!$DK111)/DataUK1!$G111</f>
        <v>2.1192504258943781E-2</v>
      </c>
      <c r="U123" s="563">
        <f>TableUK12b!F123-TableUK12d!B123</f>
        <v>0</v>
      </c>
      <c r="V123" s="563">
        <f>TableUK12b!I123-TableUK12d!G123</f>
        <v>0</v>
      </c>
      <c r="W123" s="563">
        <f>TableUK12b!J123-TableUK12d!L123</f>
        <v>0</v>
      </c>
    </row>
    <row r="124" spans="1:23">
      <c r="A124" s="198">
        <f t="shared" si="18"/>
        <v>1953</v>
      </c>
      <c r="B124" s="303">
        <f t="shared" si="19"/>
        <v>7.3019488737028584E-2</v>
      </c>
      <c r="C124" s="308">
        <f t="shared" si="11"/>
        <v>3.7205770690964299E-2</v>
      </c>
      <c r="D124" s="308"/>
      <c r="E124" s="308"/>
      <c r="F124" s="307">
        <f t="shared" si="12"/>
        <v>3.5813718046064286E-2</v>
      </c>
      <c r="G124" s="303">
        <f>TableUK12b!I124</f>
        <v>0.16862819539357124</v>
      </c>
      <c r="H124" s="307">
        <f t="shared" si="13"/>
        <v>0.11338901543912933</v>
      </c>
      <c r="I124" s="308"/>
      <c r="J124" s="308"/>
      <c r="K124" s="236">
        <f>(DataUK1!$GP112)/DataUK1!$G112</f>
        <v>5.5239179954441914E-2</v>
      </c>
      <c r="L124" s="303">
        <f t="shared" si="14"/>
        <v>9.5608706656542655E-2</v>
      </c>
      <c r="M124" s="307">
        <f t="shared" si="15"/>
        <v>7.6183244748165027E-2</v>
      </c>
      <c r="N124" s="308">
        <f>(DataUK1!$X112+DataUK1!$BT112)/DataUK1!$G112</f>
        <v>2.214629207795495E-2</v>
      </c>
      <c r="O124" s="308">
        <f>(DataUK1!$X112)/DataUK1!$G112</f>
        <v>9.3647177929638073E-3</v>
      </c>
      <c r="P124" s="308">
        <f>(DataUK1!$CQ112)/DataUK1!$G112</f>
        <v>5.4036952670210074E-2</v>
      </c>
      <c r="Q124" s="193">
        <f>(DataUK1!$DK112)/DataUK1!$G112</f>
        <v>1.9425461908377625E-2</v>
      </c>
      <c r="U124" s="563">
        <f>TableUK12b!F124-TableUK12d!B124</f>
        <v>0</v>
      </c>
      <c r="V124" s="563">
        <f>TableUK12b!I124-TableUK12d!G124</f>
        <v>0</v>
      </c>
      <c r="W124" s="563">
        <f>TableUK12b!J124-TableUK12d!L124</f>
        <v>0</v>
      </c>
    </row>
    <row r="125" spans="1:23">
      <c r="A125" s="198">
        <f t="shared" si="18"/>
        <v>1954</v>
      </c>
      <c r="B125" s="303">
        <f t="shared" si="19"/>
        <v>7.2469854220409136E-2</v>
      </c>
      <c r="C125" s="308">
        <f t="shared" si="11"/>
        <v>4.3133961245425637E-2</v>
      </c>
      <c r="D125" s="308"/>
      <c r="E125" s="308"/>
      <c r="F125" s="307">
        <f t="shared" si="12"/>
        <v>2.9335892974983499E-2</v>
      </c>
      <c r="G125" s="303">
        <f>TableUK12b!I125</f>
        <v>0.16779650848881156</v>
      </c>
      <c r="H125" s="307">
        <f t="shared" si="13"/>
        <v>0.11950326954226408</v>
      </c>
      <c r="I125" s="308"/>
      <c r="J125" s="308"/>
      <c r="K125" s="236">
        <f>(DataUK1!$GP113)/DataUK1!$G113</f>
        <v>4.8293238946547482E-2</v>
      </c>
      <c r="L125" s="303">
        <f t="shared" si="14"/>
        <v>9.5326654268402422E-2</v>
      </c>
      <c r="M125" s="307">
        <f t="shared" si="15"/>
        <v>7.636930829683844E-2</v>
      </c>
      <c r="N125" s="308">
        <f>(DataUK1!$X113+DataUK1!$BT113)/DataUK1!$G113</f>
        <v>2.2016917631531584E-2</v>
      </c>
      <c r="O125" s="308">
        <f>(DataUK1!$X113)/DataUK1!$G113</f>
        <v>8.8787569740236359E-3</v>
      </c>
      <c r="P125" s="308">
        <f>(DataUK1!$CQ113)/DataUK1!$G113</f>
        <v>5.4352390665306859E-2</v>
      </c>
      <c r="Q125" s="193">
        <f>(DataUK1!$DK113)/DataUK1!$G113</f>
        <v>1.8957345971563982E-2</v>
      </c>
      <c r="U125" s="563">
        <f>TableUK12b!F125-TableUK12d!B125</f>
        <v>0</v>
      </c>
      <c r="V125" s="563">
        <f>TableUK12b!I125-TableUK12d!G125</f>
        <v>0</v>
      </c>
      <c r="W125" s="563">
        <f>TableUK12b!J125-TableUK12d!L125</f>
        <v>0</v>
      </c>
    </row>
    <row r="126" spans="1:23">
      <c r="A126" s="198">
        <f t="shared" si="18"/>
        <v>1955</v>
      </c>
      <c r="B126" s="303">
        <f t="shared" si="19"/>
        <v>8.8202247191011246E-2</v>
      </c>
      <c r="C126" s="308">
        <f t="shared" si="11"/>
        <v>6.3033707865168542E-2</v>
      </c>
      <c r="D126" s="308"/>
      <c r="E126" s="308"/>
      <c r="F126" s="307">
        <f t="shared" si="12"/>
        <v>2.5168539325842697E-2</v>
      </c>
      <c r="G126" s="303">
        <f>TableUK12b!I126</f>
        <v>0.18685393258426966</v>
      </c>
      <c r="H126" s="307">
        <f t="shared" si="13"/>
        <v>0.14219101123595507</v>
      </c>
      <c r="I126" s="308"/>
      <c r="J126" s="308"/>
      <c r="K126" s="236">
        <f>(DataUK1!$GP114)/DataUK1!$G114</f>
        <v>4.4662921348314608E-2</v>
      </c>
      <c r="L126" s="303">
        <f t="shared" si="14"/>
        <v>9.8651685393258443E-2</v>
      </c>
      <c r="M126" s="307">
        <f t="shared" si="15"/>
        <v>7.9157303370786525E-2</v>
      </c>
      <c r="N126" s="308">
        <f>(DataUK1!$X114+DataUK1!$BT114)/DataUK1!$G114</f>
        <v>2.2584269662921347E-2</v>
      </c>
      <c r="O126" s="308">
        <f>(DataUK1!$X114)/DataUK1!$G114</f>
        <v>1.0168539325842697E-2</v>
      </c>
      <c r="P126" s="308">
        <f>(DataUK1!$CQ114)/DataUK1!$G114</f>
        <v>5.6573033707865171E-2</v>
      </c>
      <c r="Q126" s="193">
        <f>(DataUK1!$DK114)/DataUK1!$G114</f>
        <v>1.9494382022471911E-2</v>
      </c>
      <c r="U126" s="563">
        <f>TableUK12b!F126-TableUK12d!B126</f>
        <v>0</v>
      </c>
      <c r="V126" s="563">
        <f>TableUK12b!I126-TableUK12d!G126</f>
        <v>0</v>
      </c>
      <c r="W126" s="563">
        <f>TableUK12b!J126-TableUK12d!L126</f>
        <v>0</v>
      </c>
    </row>
    <row r="127" spans="1:23">
      <c r="A127" s="198">
        <f t="shared" si="18"/>
        <v>1956</v>
      </c>
      <c r="B127" s="303">
        <f t="shared" si="19"/>
        <v>8.5830212234706618E-2</v>
      </c>
      <c r="C127" s="308">
        <f t="shared" si="11"/>
        <v>6.2317935913441536E-2</v>
      </c>
      <c r="D127" s="308"/>
      <c r="E127" s="308"/>
      <c r="F127" s="307">
        <f t="shared" si="12"/>
        <v>2.3512276321265086E-2</v>
      </c>
      <c r="G127" s="303">
        <f>TableUK12b!I127</f>
        <v>0.18591344153141906</v>
      </c>
      <c r="H127" s="307">
        <f t="shared" si="13"/>
        <v>0.1426862255513941</v>
      </c>
      <c r="I127" s="308"/>
      <c r="J127" s="308"/>
      <c r="K127" s="236">
        <f>(DataUK1!$GP115)/DataUK1!$G115</f>
        <v>4.322721598002497E-2</v>
      </c>
      <c r="L127" s="303">
        <f t="shared" si="14"/>
        <v>0.10008322929671244</v>
      </c>
      <c r="M127" s="307">
        <f t="shared" si="15"/>
        <v>8.0368289637952561E-2</v>
      </c>
      <c r="N127" s="308">
        <f>(DataUK1!$X115+DataUK1!$BT115)/DataUK1!$G115</f>
        <v>2.2055763628797336E-2</v>
      </c>
      <c r="O127" s="308">
        <f>(DataUK1!$X115)/DataUK1!$G115</f>
        <v>9.9354972950478574E-3</v>
      </c>
      <c r="P127" s="308">
        <f>(DataUK1!$CQ115)/DataUK1!$G115</f>
        <v>5.8312526009155222E-2</v>
      </c>
      <c r="Q127" s="193">
        <f>(DataUK1!$DK115)/DataUK1!$G115</f>
        <v>1.9714939658759884E-2</v>
      </c>
      <c r="U127" s="563">
        <f>TableUK12b!F127-TableUK12d!B127</f>
        <v>0</v>
      </c>
      <c r="V127" s="563">
        <f>TableUK12b!I127-TableUK12d!G127</f>
        <v>0</v>
      </c>
      <c r="W127" s="563">
        <f>TableUK12b!J127-TableUK12d!L127</f>
        <v>0</v>
      </c>
    </row>
    <row r="128" spans="1:23">
      <c r="A128" s="198">
        <f t="shared" si="18"/>
        <v>1957</v>
      </c>
      <c r="B128" s="303">
        <f t="shared" si="19"/>
        <v>8.7796226043257597E-2</v>
      </c>
      <c r="C128" s="308">
        <f t="shared" si="11"/>
        <v>6.5428388431787915E-2</v>
      </c>
      <c r="D128" s="308"/>
      <c r="E128" s="308"/>
      <c r="F128" s="307">
        <f t="shared" si="12"/>
        <v>2.2367837611469678E-2</v>
      </c>
      <c r="G128" s="303">
        <f>TableUK12b!I128</f>
        <v>0.1890919840370498</v>
      </c>
      <c r="H128" s="307">
        <f t="shared" si="13"/>
        <v>0.14726314233630583</v>
      </c>
      <c r="I128" s="308"/>
      <c r="J128" s="308"/>
      <c r="K128" s="236">
        <f>(DataUK1!$GP116)/DataUK1!$G116</f>
        <v>4.1828841700743954E-2</v>
      </c>
      <c r="L128" s="303">
        <f t="shared" si="14"/>
        <v>0.10129575799379219</v>
      </c>
      <c r="M128" s="307">
        <f t="shared" si="15"/>
        <v>8.1834753904517915E-2</v>
      </c>
      <c r="N128" s="308">
        <f>(DataUK1!$X116+DataUK1!$BT116)/DataUK1!$G116</f>
        <v>2.1727348869291029E-2</v>
      </c>
      <c r="O128" s="308">
        <f>(DataUK1!$X116)/DataUK1!$G116</f>
        <v>9.8044045918115972E-3</v>
      </c>
      <c r="P128" s="308">
        <f>(DataUK1!$CQ116)/DataUK1!$G116</f>
        <v>6.010740503522688E-2</v>
      </c>
      <c r="Q128" s="193">
        <f>(DataUK1!$DK116)/DataUK1!$G116</f>
        <v>1.9461004089274276E-2</v>
      </c>
      <c r="U128" s="563">
        <f>TableUK12b!F128-TableUK12d!B128</f>
        <v>0</v>
      </c>
      <c r="V128" s="563">
        <f>TableUK12b!I128-TableUK12d!G128</f>
        <v>0</v>
      </c>
      <c r="W128" s="563">
        <f>TableUK12b!J128-TableUK12d!L128</f>
        <v>0</v>
      </c>
    </row>
    <row r="129" spans="1:23">
      <c r="A129" s="198">
        <f t="shared" si="18"/>
        <v>1958</v>
      </c>
      <c r="B129" s="303">
        <f t="shared" si="19"/>
        <v>7.8480533610861422E-2</v>
      </c>
      <c r="C129" s="308">
        <f t="shared" si="11"/>
        <v>5.8943185581153301E-2</v>
      </c>
      <c r="D129" s="308"/>
      <c r="E129" s="308"/>
      <c r="F129" s="307">
        <f t="shared" si="12"/>
        <v>1.9537348029708121E-2</v>
      </c>
      <c r="G129" s="303">
        <f>TableUK12b!I129</f>
        <v>0.18141823170443255</v>
      </c>
      <c r="H129" s="307">
        <f t="shared" si="13"/>
        <v>0.14258006528217984</v>
      </c>
      <c r="I129" s="308"/>
      <c r="J129" s="308"/>
      <c r="K129" s="236">
        <f>(DataUK1!$GP117)/DataUK1!$G117</f>
        <v>3.8838166422252705E-2</v>
      </c>
      <c r="L129" s="303">
        <f t="shared" si="14"/>
        <v>0.10293769809357112</v>
      </c>
      <c r="M129" s="307">
        <f t="shared" si="15"/>
        <v>8.363687970102654E-2</v>
      </c>
      <c r="N129" s="308">
        <f>(DataUK1!$X117+DataUK1!$BT117)/DataUK1!$G117</f>
        <v>2.1949950328776197E-2</v>
      </c>
      <c r="O129" s="308">
        <f>(DataUK1!$X117)/DataUK1!$G117</f>
        <v>9.6977151237050002E-3</v>
      </c>
      <c r="P129" s="308">
        <f>(DataUK1!$CQ117)/DataUK1!$G117</f>
        <v>6.1686929372250343E-2</v>
      </c>
      <c r="Q129" s="193">
        <f>(DataUK1!$DK117)/DataUK1!$G117</f>
        <v>1.9300818392544584E-2</v>
      </c>
      <c r="U129" s="563">
        <f>TableUK12b!F129-TableUK12d!B129</f>
        <v>0</v>
      </c>
      <c r="V129" s="563">
        <f>TableUK12b!I129-TableUK12d!G129</f>
        <v>0</v>
      </c>
      <c r="W129" s="563">
        <f>TableUK12b!J129-TableUK12d!L129</f>
        <v>0</v>
      </c>
    </row>
    <row r="130" spans="1:23">
      <c r="A130" s="198">
        <f t="shared" si="18"/>
        <v>1959</v>
      </c>
      <c r="B130" s="303">
        <f t="shared" si="19"/>
        <v>8.5913277915075276E-2</v>
      </c>
      <c r="C130" s="308">
        <f t="shared" si="11"/>
        <v>6.5423500337002935E-2</v>
      </c>
      <c r="D130" s="550"/>
      <c r="E130" s="550"/>
      <c r="F130" s="307">
        <f t="shared" si="12"/>
        <v>2.0489777578072341E-2</v>
      </c>
      <c r="G130" s="303">
        <f>TableUK12b!I130</f>
        <v>0.18683441923163335</v>
      </c>
      <c r="H130" s="307">
        <f t="shared" si="13"/>
        <v>0.14783194787688161</v>
      </c>
      <c r="I130" s="308"/>
      <c r="J130" s="308"/>
      <c r="K130" s="236">
        <f>(DataUK1!$GP118)/DataUK1!$G118</f>
        <v>3.9002471354751739E-2</v>
      </c>
      <c r="L130" s="303">
        <f t="shared" si="14"/>
        <v>0.10092114131655808</v>
      </c>
      <c r="M130" s="307">
        <f t="shared" si="15"/>
        <v>8.2408447539878679E-2</v>
      </c>
      <c r="N130" s="308">
        <f>(DataUK1!$X118+DataUK1!$BT118)/DataUK1!$G118</f>
        <v>2.170298809256347E-2</v>
      </c>
      <c r="O130" s="308">
        <f>(DataUK1!$X118)/DataUK1!$G118</f>
        <v>9.256346888339699E-3</v>
      </c>
      <c r="P130" s="308">
        <f>(DataUK1!$CQ118)/DataUK1!$G118</f>
        <v>6.0705459447315209E-2</v>
      </c>
      <c r="Q130" s="193">
        <f>(DataUK1!$DK118)/DataUK1!$G118</f>
        <v>1.8512693776679398E-2</v>
      </c>
      <c r="U130" s="563">
        <f>TableUK12b!F130-TableUK12d!B130</f>
        <v>0</v>
      </c>
      <c r="V130" s="563">
        <f>TableUK12b!I130-TableUK12d!G130</f>
        <v>0</v>
      </c>
      <c r="W130" s="563">
        <f>TableUK12b!J130-TableUK12d!L130</f>
        <v>0</v>
      </c>
    </row>
    <row r="131" spans="1:23">
      <c r="A131" s="199">
        <f t="shared" si="18"/>
        <v>1960</v>
      </c>
      <c r="B131" s="566">
        <f t="shared" si="19"/>
        <v>0.10916585220753837</v>
      </c>
      <c r="C131" s="551">
        <f t="shared" si="11"/>
        <v>8.9023923851612646E-2</v>
      </c>
      <c r="D131" s="308"/>
      <c r="E131" s="308"/>
      <c r="F131" s="569">
        <f t="shared" si="12"/>
        <v>2.0141928355925719E-2</v>
      </c>
      <c r="G131" s="566">
        <f>TableUK12b!I131</f>
        <v>0.20949305230952281</v>
      </c>
      <c r="H131" s="569">
        <f t="shared" si="13"/>
        <v>0.17137636510432161</v>
      </c>
      <c r="I131" s="551"/>
      <c r="J131" s="551"/>
      <c r="K131" s="240">
        <f>(DataUK1!$GP119)/DataUK1!$G119</f>
        <v>3.8116687205201207E-2</v>
      </c>
      <c r="L131" s="566">
        <f t="shared" si="14"/>
        <v>0.10032720010198445</v>
      </c>
      <c r="M131" s="569">
        <f t="shared" si="15"/>
        <v>8.2352441252708963E-2</v>
      </c>
      <c r="N131" s="551">
        <f>(DataUK1!$X119+DataUK1!$BT119)/DataUK1!$G119</f>
        <v>2.1459227467811159E-2</v>
      </c>
      <c r="O131" s="551">
        <f>(DataUK1!$X119)/DataUK1!$G119</f>
        <v>8.966132664768622E-3</v>
      </c>
      <c r="P131" s="551">
        <f>(DataUK1!$CQ119)/DataUK1!$G119</f>
        <v>6.0893213784897801E-2</v>
      </c>
      <c r="Q131" s="885">
        <f>(DataUK1!$DK119)/DataUK1!$G119</f>
        <v>1.7974758849275487E-2</v>
      </c>
      <c r="U131" s="563">
        <f>TableUK12b!F131-TableUK12d!B131</f>
        <v>0</v>
      </c>
      <c r="V131" s="563">
        <f>TableUK12b!I131-TableUK12d!G131</f>
        <v>0</v>
      </c>
      <c r="W131" s="563">
        <f>TableUK12b!J131-TableUK12d!L131</f>
        <v>0</v>
      </c>
    </row>
    <row r="132" spans="1:23">
      <c r="A132" s="198">
        <f t="shared" si="18"/>
        <v>1961</v>
      </c>
      <c r="B132" s="303">
        <f t="shared" si="19"/>
        <v>0.10487834112429584</v>
      </c>
      <c r="C132" s="308">
        <f t="shared" si="11"/>
        <v>8.1745175596308312E-2</v>
      </c>
      <c r="D132" s="308"/>
      <c r="E132" s="308"/>
      <c r="F132" s="307">
        <f t="shared" si="12"/>
        <v>2.3133165527987533E-2</v>
      </c>
      <c r="G132" s="303">
        <f>TableUK12b!I132</f>
        <v>0.20648048264013746</v>
      </c>
      <c r="H132" s="307">
        <f t="shared" si="13"/>
        <v>0.1682048823364897</v>
      </c>
      <c r="I132" s="308"/>
      <c r="J132" s="308"/>
      <c r="K132" s="236">
        <f>(DataUK1!$GP120)/DataUK1!$G120</f>
        <v>3.8275600303647767E-2</v>
      </c>
      <c r="L132" s="303">
        <f t="shared" si="14"/>
        <v>0.10160214151584163</v>
      </c>
      <c r="M132" s="307">
        <f t="shared" si="15"/>
        <v>8.6459706740181386E-2</v>
      </c>
      <c r="N132" s="308">
        <f>(DataUK1!$X120+DataUK1!$BT120)/DataUK1!$G120</f>
        <v>2.1694833992568621E-2</v>
      </c>
      <c r="O132" s="308">
        <f>(DataUK1!$X120)/DataUK1!$G120</f>
        <v>8.6299892125134836E-3</v>
      </c>
      <c r="P132" s="308">
        <f>(DataUK1!$CQ120)/DataUK1!$G120</f>
        <v>6.4764872747612764E-2</v>
      </c>
      <c r="Q132" s="193">
        <f>(DataUK1!$DK120)/DataUK1!$G120</f>
        <v>1.5142434775660234E-2</v>
      </c>
      <c r="U132" s="563">
        <f>TableUK12b!F132-TableUK12d!B132</f>
        <v>0</v>
      </c>
      <c r="V132" s="563">
        <f>TableUK12b!I132-TableUK12d!G132</f>
        <v>0</v>
      </c>
      <c r="W132" s="563">
        <f>TableUK12b!J132-TableUK12d!L132</f>
        <v>0</v>
      </c>
    </row>
    <row r="133" spans="1:23">
      <c r="A133" s="198">
        <f t="shared" si="18"/>
        <v>1962</v>
      </c>
      <c r="B133" s="303">
        <f t="shared" si="19"/>
        <v>9.0101426065736262E-2</v>
      </c>
      <c r="C133" s="308">
        <f t="shared" si="11"/>
        <v>6.3677266834439084E-2</v>
      </c>
      <c r="D133" s="308"/>
      <c r="E133" s="308"/>
      <c r="F133" s="307">
        <f t="shared" si="12"/>
        <v>2.6424159231297185E-2</v>
      </c>
      <c r="G133" s="303">
        <f>TableUK12b!I133</f>
        <v>0.19221383360024402</v>
      </c>
      <c r="H133" s="307">
        <f t="shared" si="13"/>
        <v>0.15149088690612367</v>
      </c>
      <c r="I133" s="308"/>
      <c r="J133" s="308"/>
      <c r="K133" s="236">
        <f>(DataUK1!$GP121)/DataUK1!$G121</f>
        <v>4.0722946694120341E-2</v>
      </c>
      <c r="L133" s="303">
        <f t="shared" si="14"/>
        <v>0.10211240753450773</v>
      </c>
      <c r="M133" s="307">
        <f t="shared" si="15"/>
        <v>8.7813620071684584E-2</v>
      </c>
      <c r="N133" s="308">
        <f>(DataUK1!$X121+DataUK1!$BT121)/DataUK1!$G121</f>
        <v>2.1543506443986882E-2</v>
      </c>
      <c r="O133" s="308">
        <f>(DataUK1!$X121)/DataUK1!$G121</f>
        <v>7.6260199801723482E-3</v>
      </c>
      <c r="P133" s="308">
        <f>(DataUK1!$CQ121)/DataUK1!$G121</f>
        <v>6.6270113627697705E-2</v>
      </c>
      <c r="Q133" s="193">
        <f>(DataUK1!$DK121)/DataUK1!$G121</f>
        <v>1.4298787462823153E-2</v>
      </c>
      <c r="U133" s="563">
        <f>TableUK12b!F133-TableUK12d!B133</f>
        <v>0</v>
      </c>
      <c r="V133" s="563">
        <f>TableUK12b!I133-TableUK12d!G133</f>
        <v>0</v>
      </c>
      <c r="W133" s="563">
        <f>TableUK12b!J133-TableUK12d!L133</f>
        <v>0</v>
      </c>
    </row>
    <row r="134" spans="1:23">
      <c r="A134" s="198">
        <f t="shared" si="18"/>
        <v>1963</v>
      </c>
      <c r="B134" s="303">
        <f t="shared" si="19"/>
        <v>9.4114689935006615E-2</v>
      </c>
      <c r="C134" s="308">
        <f t="shared" si="11"/>
        <v>6.6681029839491521E-2</v>
      </c>
      <c r="D134" s="308"/>
      <c r="E134" s="308"/>
      <c r="F134" s="307">
        <f t="shared" si="12"/>
        <v>2.7433660095515098E-2</v>
      </c>
      <c r="G134" s="303">
        <f>TableUK12b!I134</f>
        <v>0.19591367733132248</v>
      </c>
      <c r="H134" s="307">
        <f t="shared" si="13"/>
        <v>0.15433229200330351</v>
      </c>
      <c r="I134" s="308"/>
      <c r="J134" s="308"/>
      <c r="K134" s="236">
        <f>(DataUK1!$GP122)/DataUK1!$G122</f>
        <v>4.1581385328018958E-2</v>
      </c>
      <c r="L134" s="303">
        <f t="shared" si="14"/>
        <v>0.10179898739631585</v>
      </c>
      <c r="M134" s="307">
        <f t="shared" si="15"/>
        <v>8.7651262163811985E-2</v>
      </c>
      <c r="N134" s="308">
        <f>(DataUK1!$X122+DataUK1!$BT122)/DataUK1!$G122</f>
        <v>2.1437035441128946E-2</v>
      </c>
      <c r="O134" s="308">
        <f>(DataUK1!$X122)/DataUK1!$G122</f>
        <v>7.8638371216201656E-3</v>
      </c>
      <c r="P134" s="308">
        <f>(DataUK1!$CQ122)/DataUK1!$G122</f>
        <v>6.6214226722683039E-2</v>
      </c>
      <c r="Q134" s="193">
        <f>(DataUK1!$DK122)/DataUK1!$G122</f>
        <v>1.414772523250386E-2</v>
      </c>
      <c r="U134" s="563">
        <f>TableUK12b!F134-TableUK12d!B134</f>
        <v>0</v>
      </c>
      <c r="V134" s="563">
        <f>TableUK12b!I134-TableUK12d!G134</f>
        <v>0</v>
      </c>
      <c r="W134" s="563">
        <f>TableUK12b!J134-TableUK12d!L134</f>
        <v>0</v>
      </c>
    </row>
    <row r="135" spans="1:23">
      <c r="A135" s="198">
        <f t="shared" si="18"/>
        <v>1964</v>
      </c>
      <c r="B135" s="303">
        <f t="shared" si="19"/>
        <v>0.12896218031006218</v>
      </c>
      <c r="C135" s="308">
        <f t="shared" si="11"/>
        <v>9.5487311148415105E-2</v>
      </c>
      <c r="D135" s="308"/>
      <c r="E135" s="308"/>
      <c r="F135" s="307">
        <f t="shared" si="12"/>
        <v>3.3474869161647075E-2</v>
      </c>
      <c r="G135" s="303">
        <f>TableUK12b!I135</f>
        <v>0.22971594088410519</v>
      </c>
      <c r="H135" s="307">
        <f t="shared" si="13"/>
        <v>0.18254830321582566</v>
      </c>
      <c r="I135" s="308"/>
      <c r="J135" s="308"/>
      <c r="K135" s="236">
        <f>(DataUK1!$GP123)/DataUK1!$G123</f>
        <v>4.7167637668279513E-2</v>
      </c>
      <c r="L135" s="303">
        <f t="shared" si="14"/>
        <v>0.10075376057404299</v>
      </c>
      <c r="M135" s="307">
        <f t="shared" si="15"/>
        <v>8.7060992067410553E-2</v>
      </c>
      <c r="N135" s="308">
        <f>(DataUK1!$X123+DataUK1!$BT123)/DataUK1!$G123</f>
        <v>2.1329120173792831E-2</v>
      </c>
      <c r="O135" s="308">
        <f>(DataUK1!$X123)/DataUK1!$G123</f>
        <v>7.5705210493400479E-3</v>
      </c>
      <c r="P135" s="308">
        <f>(DataUK1!$CQ123)/DataUK1!$G123</f>
        <v>6.5731871893617719E-2</v>
      </c>
      <c r="Q135" s="193">
        <f>(DataUK1!$DK123)/DataUK1!$G123</f>
        <v>1.3692768506632435E-2</v>
      </c>
      <c r="U135" s="563">
        <f>TableUK12b!F135-TableUK12d!B135</f>
        <v>0</v>
      </c>
      <c r="V135" s="563">
        <f>TableUK12b!I135-TableUK12d!G135</f>
        <v>0</v>
      </c>
      <c r="W135" s="563">
        <f>TableUK12b!J135-TableUK12d!L135</f>
        <v>0</v>
      </c>
    </row>
    <row r="136" spans="1:23">
      <c r="A136" s="198">
        <f t="shared" si="18"/>
        <v>1965</v>
      </c>
      <c r="B136" s="303">
        <f t="shared" si="19"/>
        <v>0.12057235256429816</v>
      </c>
      <c r="C136" s="308">
        <f t="shared" si="11"/>
        <v>8.7408853769411488E-2</v>
      </c>
      <c r="D136" s="308"/>
      <c r="E136" s="308"/>
      <c r="F136" s="307">
        <f t="shared" si="12"/>
        <v>3.3163498794886663E-2</v>
      </c>
      <c r="G136" s="303">
        <f>TableUK12b!I136</f>
        <v>0.22164932727217257</v>
      </c>
      <c r="H136" s="307">
        <f t="shared" si="13"/>
        <v>0.17512279952405652</v>
      </c>
      <c r="I136" s="308"/>
      <c r="J136" s="308"/>
      <c r="K136" s="236">
        <f>(DataUK1!$GP124)/DataUK1!$G124</f>
        <v>4.652652774811606E-2</v>
      </c>
      <c r="L136" s="303">
        <f t="shared" si="14"/>
        <v>0.10107697470787443</v>
      </c>
      <c r="M136" s="307">
        <f t="shared" si="15"/>
        <v>8.7713945754645029E-2</v>
      </c>
      <c r="N136" s="308">
        <f>(DataUK1!$X124+DataUK1!$BT124)/DataUK1!$G124</f>
        <v>2.1234402172254935E-2</v>
      </c>
      <c r="O136" s="308">
        <f>(DataUK1!$X124)/DataUK1!$G124</f>
        <v>7.2916984470817953E-3</v>
      </c>
      <c r="P136" s="308">
        <f>(DataUK1!$CQ124)/DataUK1!$G124</f>
        <v>6.6479543582390097E-2</v>
      </c>
      <c r="Q136" s="193">
        <f>(DataUK1!$DK124)/DataUK1!$G124</f>
        <v>1.3363028953229399E-2</v>
      </c>
      <c r="U136" s="563">
        <f>TableUK12b!F136-TableUK12d!B136</f>
        <v>0</v>
      </c>
      <c r="V136" s="563">
        <f>TableUK12b!I136-TableUK12d!G136</f>
        <v>0</v>
      </c>
      <c r="W136" s="563">
        <f>TableUK12b!J136-TableUK12d!L136</f>
        <v>0</v>
      </c>
    </row>
    <row r="137" spans="1:23">
      <c r="A137" s="198">
        <f t="shared" si="18"/>
        <v>1966</v>
      </c>
      <c r="B137" s="303">
        <f t="shared" si="19"/>
        <v>0.11390260709773742</v>
      </c>
      <c r="C137" s="308">
        <f t="shared" si="11"/>
        <v>7.7839669231652656E-2</v>
      </c>
      <c r="D137" s="308"/>
      <c r="E137" s="308"/>
      <c r="F137" s="307">
        <f t="shared" si="12"/>
        <v>3.6062937866084756E-2</v>
      </c>
      <c r="G137" s="303">
        <f>TableUK12b!I137</f>
        <v>0.21675089008843457</v>
      </c>
      <c r="H137" s="307">
        <f t="shared" si="13"/>
        <v>0.16739405076375327</v>
      </c>
      <c r="I137" s="308"/>
      <c r="J137" s="308"/>
      <c r="K137" s="236">
        <f>(DataUK1!$GP125)/DataUK1!$G125</f>
        <v>4.9356839324681288E-2</v>
      </c>
      <c r="L137" s="303">
        <f t="shared" si="14"/>
        <v>0.10284828299069715</v>
      </c>
      <c r="M137" s="307">
        <f t="shared" si="15"/>
        <v>8.9554381532100616E-2</v>
      </c>
      <c r="N137" s="308">
        <f>(DataUK1!$X125+DataUK1!$BT125)/DataUK1!$G125</f>
        <v>2.1333409900080397E-2</v>
      </c>
      <c r="O137" s="308">
        <f>(DataUK1!$X125)/DataUK1!$G125</f>
        <v>7.5513954289652008E-3</v>
      </c>
      <c r="P137" s="308">
        <f>(DataUK1!$CQ125)/DataUK1!$G125</f>
        <v>6.8220971632020219E-2</v>
      </c>
      <c r="Q137" s="193">
        <f>(DataUK1!$DK125)/DataUK1!$G125</f>
        <v>1.3293901458596531E-2</v>
      </c>
      <c r="U137" s="563">
        <f>TableUK12b!F137-TableUK12d!B137</f>
        <v>0</v>
      </c>
      <c r="V137" s="563">
        <f>TableUK12b!I137-TableUK12d!G137</f>
        <v>0</v>
      </c>
      <c r="W137" s="563">
        <f>TableUK12b!J137-TableUK12d!L137</f>
        <v>0</v>
      </c>
    </row>
    <row r="138" spans="1:23">
      <c r="A138" s="198">
        <f t="shared" si="18"/>
        <v>1967</v>
      </c>
      <c r="B138" s="303">
        <f t="shared" si="19"/>
        <v>0.12075328340388582</v>
      </c>
      <c r="C138" s="308">
        <f t="shared" si="11"/>
        <v>7.96700314772604E-2</v>
      </c>
      <c r="D138" s="308"/>
      <c r="E138" s="308"/>
      <c r="F138" s="307">
        <f t="shared" si="12"/>
        <v>4.1083251926625416E-2</v>
      </c>
      <c r="G138" s="303">
        <f>TableUK12b!I138</f>
        <v>0.22335287094323239</v>
      </c>
      <c r="H138" s="307">
        <f t="shared" si="13"/>
        <v>0.16910886790404864</v>
      </c>
      <c r="I138" s="308"/>
      <c r="J138" s="308"/>
      <c r="K138" s="236">
        <f>(DataUK1!$GP126)/DataUK1!$G126</f>
        <v>5.4244003039183759E-2</v>
      </c>
      <c r="L138" s="303">
        <f t="shared" si="14"/>
        <v>0.10259958753934657</v>
      </c>
      <c r="M138" s="307">
        <f t="shared" si="15"/>
        <v>8.9438836426788237E-2</v>
      </c>
      <c r="N138" s="308">
        <f>(DataUK1!$X126+DataUK1!$BT126)/DataUK1!$G126</f>
        <v>2.1220015195918811E-2</v>
      </c>
      <c r="O138" s="308">
        <f>(DataUK1!$X126)/DataUK1!$G126</f>
        <v>7.435145989362857E-3</v>
      </c>
      <c r="P138" s="308">
        <f>(DataUK1!$CQ126)/DataUK1!$G126</f>
        <v>6.821882123086942E-2</v>
      </c>
      <c r="Q138" s="193">
        <f>(DataUK1!$DK126)/DataUK1!$G126</f>
        <v>1.3160751112558341E-2</v>
      </c>
      <c r="U138" s="563">
        <f>TableUK12b!F138-TableUK12d!B138</f>
        <v>0</v>
      </c>
      <c r="V138" s="563">
        <f>TableUK12b!I138-TableUK12d!G138</f>
        <v>0</v>
      </c>
      <c r="W138" s="563">
        <f>TableUK12b!J138-TableUK12d!L138</f>
        <v>0</v>
      </c>
    </row>
    <row r="139" spans="1:23">
      <c r="A139" s="198">
        <f t="shared" si="18"/>
        <v>1968</v>
      </c>
      <c r="B139" s="303">
        <f t="shared" si="19"/>
        <v>0.12693878573755291</v>
      </c>
      <c r="C139" s="308">
        <f t="shared" si="11"/>
        <v>8.5043473903129607E-2</v>
      </c>
      <c r="D139" s="308"/>
      <c r="E139" s="308"/>
      <c r="F139" s="307">
        <f t="shared" si="12"/>
        <v>4.1895311834423313E-2</v>
      </c>
      <c r="G139" s="303">
        <f>TableUK12b!I139</f>
        <v>0.23002330301435767</v>
      </c>
      <c r="H139" s="307">
        <f t="shared" si="13"/>
        <v>0.17497306371996291</v>
      </c>
      <c r="I139" s="308"/>
      <c r="J139" s="308"/>
      <c r="K139" s="236">
        <f>(DataUK1!$GP127)/DataUK1!$G127</f>
        <v>5.5050239294394746E-2</v>
      </c>
      <c r="L139" s="303">
        <f t="shared" si="14"/>
        <v>0.10308451727680473</v>
      </c>
      <c r="M139" s="307">
        <f t="shared" si="15"/>
        <v>8.99295898168333E-2</v>
      </c>
      <c r="N139" s="308">
        <f>(DataUK1!$X127+DataUK1!$BT127)/DataUK1!$G127</f>
        <v>2.1198225964068257E-2</v>
      </c>
      <c r="O139" s="308">
        <f>(DataUK1!$X127)/DataUK1!$G127</f>
        <v>7.4168733869553237E-3</v>
      </c>
      <c r="P139" s="308">
        <f>(DataUK1!$CQ127)/DataUK1!$G127</f>
        <v>6.8731363852765043E-2</v>
      </c>
      <c r="Q139" s="193">
        <f>(DataUK1!$DK127)/DataUK1!$G127</f>
        <v>1.3154927459971434E-2</v>
      </c>
      <c r="U139" s="563">
        <f>TableUK12b!F139-TableUK12d!B139</f>
        <v>0</v>
      </c>
      <c r="V139" s="563">
        <f>TableUK12b!I139-TableUK12d!G139</f>
        <v>0</v>
      </c>
      <c r="W139" s="563">
        <f>TableUK12b!J139-TableUK12d!L139</f>
        <v>0</v>
      </c>
    </row>
    <row r="140" spans="1:23">
      <c r="A140" s="214">
        <f t="shared" si="18"/>
        <v>1969</v>
      </c>
      <c r="B140" s="565">
        <f t="shared" si="19"/>
        <v>0.11993353926799587</v>
      </c>
      <c r="C140" s="550">
        <f t="shared" si="11"/>
        <v>8.0314518393709622E-2</v>
      </c>
      <c r="D140" s="550"/>
      <c r="E140" s="550"/>
      <c r="F140" s="568">
        <f t="shared" si="12"/>
        <v>3.9619020874286245E-2</v>
      </c>
      <c r="G140" s="565">
        <f>TableUK12b!I140</f>
        <v>0.22472620050547598</v>
      </c>
      <c r="H140" s="568">
        <f t="shared" si="13"/>
        <v>0.17172142656557146</v>
      </c>
      <c r="I140" s="550"/>
      <c r="J140" s="550"/>
      <c r="K140" s="244">
        <f>(DataUK1!$GP128)/DataUK1!$G128</f>
        <v>5.300477393990452E-2</v>
      </c>
      <c r="L140" s="565">
        <f t="shared" si="14"/>
        <v>0.10479266123748011</v>
      </c>
      <c r="M140" s="568">
        <f t="shared" si="15"/>
        <v>9.1406908171861839E-2</v>
      </c>
      <c r="N140" s="550">
        <f>(DataUK1!$X128+DataUK1!$BT128)/DataUK1!$G128</f>
        <v>2.1014696246372741E-2</v>
      </c>
      <c r="O140" s="550">
        <f>(DataUK1!$X128)/DataUK1!$G128</f>
        <v>7.4183281849667694E-3</v>
      </c>
      <c r="P140" s="550">
        <f>(DataUK1!$CQ128)/DataUK1!$G128</f>
        <v>7.0392211925489098E-2</v>
      </c>
      <c r="Q140" s="886">
        <f>(DataUK1!$DK128)/DataUK1!$G128</f>
        <v>1.3385753065618271E-2</v>
      </c>
      <c r="U140" s="563">
        <f>TableUK12b!F140-TableUK12d!B140</f>
        <v>0</v>
      </c>
      <c r="V140" s="563">
        <f>TableUK12b!I140-TableUK12d!G140</f>
        <v>0</v>
      </c>
      <c r="W140" s="563">
        <f>TableUK12b!J140-TableUK12d!L140</f>
        <v>0</v>
      </c>
    </row>
    <row r="141" spans="1:23">
      <c r="A141" s="198">
        <f t="shared" si="18"/>
        <v>1970</v>
      </c>
      <c r="B141" s="303">
        <f t="shared" si="19"/>
        <v>0.11424734048223081</v>
      </c>
      <c r="C141" s="308">
        <f t="shared" si="11"/>
        <v>7.5404523845055124E-2</v>
      </c>
      <c r="D141" s="308"/>
      <c r="E141" s="308"/>
      <c r="F141" s="307">
        <f t="shared" si="12"/>
        <v>3.8842816637175689E-2</v>
      </c>
      <c r="G141" s="303">
        <f>TableUK12b!I141</f>
        <v>0.22275992922165136</v>
      </c>
      <c r="H141" s="307">
        <f t="shared" si="13"/>
        <v>0.17037968746668941</v>
      </c>
      <c r="I141" s="308"/>
      <c r="J141" s="308"/>
      <c r="K141" s="236">
        <f>(DataUK1!$GP129)/DataUK1!$G129</f>
        <v>5.2380241754961948E-2</v>
      </c>
      <c r="L141" s="303">
        <f t="shared" si="14"/>
        <v>0.10851258873942055</v>
      </c>
      <c r="M141" s="307">
        <f t="shared" si="15"/>
        <v>9.4975163621634287E-2</v>
      </c>
      <c r="N141" s="308">
        <f>(DataUK1!$X129+DataUK1!$BT129)/DataUK1!$G129</f>
        <v>2.1446692391327519E-2</v>
      </c>
      <c r="O141" s="308">
        <f>(DataUK1!$X129)/DataUK1!$G129</f>
        <v>7.8026733749760168E-3</v>
      </c>
      <c r="P141" s="308">
        <f>(DataUK1!$CQ129)/DataUK1!$G129</f>
        <v>7.3528471230306772E-2</v>
      </c>
      <c r="Q141" s="193">
        <f>(DataUK1!$DK129)/DataUK1!$G129</f>
        <v>1.3537425117786259E-2</v>
      </c>
      <c r="U141" s="563">
        <f>TableUK12b!F141-TableUK12d!B141</f>
        <v>0</v>
      </c>
      <c r="V141" s="563">
        <f>TableUK12b!I141-TableUK12d!G141</f>
        <v>0</v>
      </c>
      <c r="W141" s="563">
        <f>TableUK12b!J141-TableUK12d!L141</f>
        <v>0</v>
      </c>
    </row>
    <row r="142" spans="1:23">
      <c r="A142" s="198">
        <v>1971</v>
      </c>
      <c r="B142" s="303">
        <f t="shared" si="19"/>
        <v>0.10444457166847963</v>
      </c>
      <c r="C142" s="308">
        <f t="shared" si="11"/>
        <v>6.8700978988950612E-2</v>
      </c>
      <c r="D142" s="308"/>
      <c r="E142" s="308"/>
      <c r="F142" s="307">
        <f t="shared" si="12"/>
        <v>3.5743592679529021E-2</v>
      </c>
      <c r="G142" s="303">
        <f>TableUK12b!I142</f>
        <v>0.21755310013167689</v>
      </c>
      <c r="H142" s="307">
        <f t="shared" si="13"/>
        <v>0.16784030839106126</v>
      </c>
      <c r="I142" s="308"/>
      <c r="J142" s="308"/>
      <c r="K142" s="236">
        <f>(DataUK1!$GP130)/DataUK1!$G130</f>
        <v>4.9712791740615637E-2</v>
      </c>
      <c r="L142" s="303">
        <f t="shared" si="14"/>
        <v>0.11310852846319727</v>
      </c>
      <c r="M142" s="307">
        <f t="shared" si="15"/>
        <v>9.9139329402110649E-2</v>
      </c>
      <c r="N142" s="308">
        <f>(DataUK1!$X130+DataUK1!$BT130)/DataUK1!$G130</f>
        <v>2.1812560828991814E-2</v>
      </c>
      <c r="O142" s="308">
        <f>(DataUK1!$X130)/DataUK1!$G130</f>
        <v>8.3013682944981966E-3</v>
      </c>
      <c r="P142" s="308">
        <f>(DataUK1!$CQ130)/DataUK1!$G130</f>
        <v>7.7326768573118834E-2</v>
      </c>
      <c r="Q142" s="193">
        <f>(DataUK1!$DK130)/DataUK1!$G130</f>
        <v>1.396919906108662E-2</v>
      </c>
      <c r="U142" s="563">
        <f>TableUK12b!F142-TableUK12d!B142</f>
        <v>0</v>
      </c>
      <c r="V142" s="563">
        <f>TableUK12b!I142-TableUK12d!G142</f>
        <v>0</v>
      </c>
      <c r="W142" s="563">
        <f>TableUK12b!J142-TableUK12d!L142</f>
        <v>0</v>
      </c>
    </row>
    <row r="143" spans="1:23">
      <c r="A143" s="198">
        <v>1972</v>
      </c>
      <c r="B143" s="303">
        <f t="shared" si="19"/>
        <v>9.5757218621096069E-2</v>
      </c>
      <c r="C143" s="308">
        <f t="shared" si="11"/>
        <v>6.2445838677250537E-2</v>
      </c>
      <c r="D143" s="308"/>
      <c r="E143" s="308"/>
      <c r="F143" s="307">
        <f t="shared" si="12"/>
        <v>3.3311379943845539E-2</v>
      </c>
      <c r="G143" s="303">
        <f>TableUK12b!I143</f>
        <v>0.21515477139588896</v>
      </c>
      <c r="H143" s="307">
        <f t="shared" si="13"/>
        <v>0.16704218517106315</v>
      </c>
      <c r="I143" s="308"/>
      <c r="J143" s="308"/>
      <c r="K143" s="236">
        <f>(DataUK1!$GP131)/DataUK1!$G131</f>
        <v>4.8112586224825817E-2</v>
      </c>
      <c r="L143" s="303">
        <f t="shared" si="14"/>
        <v>0.11939755277479289</v>
      </c>
      <c r="M143" s="307">
        <f t="shared" si="15"/>
        <v>0.10459634649381261</v>
      </c>
      <c r="N143" s="308">
        <f>(DataUK1!$X131+DataUK1!$BT131)/DataUK1!$G131</f>
        <v>2.4281604215050781E-2</v>
      </c>
      <c r="O143" s="308">
        <f>(DataUK1!$X131)/DataUK1!$G131</f>
        <v>8.8737911192762319E-3</v>
      </c>
      <c r="P143" s="308">
        <f>(DataUK1!$CQ131)/DataUK1!$G131</f>
        <v>8.0314742278761828E-2</v>
      </c>
      <c r="Q143" s="193">
        <f>(DataUK1!$DK131)/DataUK1!$G131</f>
        <v>1.4801206280980276E-2</v>
      </c>
      <c r="U143" s="563">
        <f>TableUK12b!F143-TableUK12d!B143</f>
        <v>0</v>
      </c>
      <c r="V143" s="563">
        <f>TableUK12b!I143-TableUK12d!G143</f>
        <v>0</v>
      </c>
      <c r="W143" s="563">
        <f>TableUK12b!J143-TableUK12d!L143</f>
        <v>0</v>
      </c>
    </row>
    <row r="144" spans="1:23">
      <c r="A144" s="198">
        <v>1973</v>
      </c>
      <c r="B144" s="303">
        <f t="shared" si="19"/>
        <v>0.12679098031038691</v>
      </c>
      <c r="C144" s="308">
        <f t="shared" si="11"/>
        <v>8.7262816121056838E-2</v>
      </c>
      <c r="D144" s="308"/>
      <c r="E144" s="308"/>
      <c r="F144" s="307">
        <f t="shared" si="12"/>
        <v>3.9528164189330077E-2</v>
      </c>
      <c r="G144" s="303">
        <f>TableUK12b!I144</f>
        <v>0.25042447350391706</v>
      </c>
      <c r="H144" s="307">
        <f t="shared" si="13"/>
        <v>0.19560036936641742</v>
      </c>
      <c r="I144" s="308"/>
      <c r="J144" s="308"/>
      <c r="K144" s="236">
        <f>(DataUK1!$GP132)/DataUK1!$G132</f>
        <v>5.4824104137499628E-2</v>
      </c>
      <c r="L144" s="303">
        <f t="shared" si="14"/>
        <v>0.12363349319353013</v>
      </c>
      <c r="M144" s="307">
        <f t="shared" si="15"/>
        <v>0.10833755324536058</v>
      </c>
      <c r="N144" s="308">
        <f>(DataUK1!$X132+DataUK1!$BT132)/DataUK1!$G132</f>
        <v>2.6406720085788329E-2</v>
      </c>
      <c r="O144" s="308">
        <f>(DataUK1!$X132)/DataUK1!$G132</f>
        <v>9.7703374936701313E-3</v>
      </c>
      <c r="P144" s="308">
        <f>(DataUK1!$CQ132)/DataUK1!$G132</f>
        <v>8.1930833159572253E-2</v>
      </c>
      <c r="Q144" s="193">
        <f>(DataUK1!$DK132)/DataUK1!$G132</f>
        <v>1.5295939948169551E-2</v>
      </c>
      <c r="U144" s="563">
        <f>TableUK12b!F144-TableUK12d!B144</f>
        <v>0</v>
      </c>
      <c r="V144" s="563">
        <f>TableUK12b!I144-TableUK12d!G144</f>
        <v>0</v>
      </c>
      <c r="W144" s="563">
        <f>TableUK12b!J144-TableUK12d!L144</f>
        <v>0</v>
      </c>
    </row>
    <row r="145" spans="1:23">
      <c r="A145" s="198">
        <v>1974</v>
      </c>
      <c r="B145" s="303">
        <f t="shared" si="19"/>
        <v>0.11879582256448123</v>
      </c>
      <c r="C145" s="308">
        <f t="shared" si="11"/>
        <v>7.7021467376971339E-2</v>
      </c>
      <c r="D145" s="308"/>
      <c r="E145" s="308"/>
      <c r="F145" s="307">
        <f t="shared" si="12"/>
        <v>4.1774355187509889E-2</v>
      </c>
      <c r="G145" s="303">
        <f>TableUK12b!I145</f>
        <v>0.25378448230391898</v>
      </c>
      <c r="H145" s="307">
        <f t="shared" si="13"/>
        <v>0.19583047629094361</v>
      </c>
      <c r="I145" s="308"/>
      <c r="J145" s="308"/>
      <c r="K145" s="236">
        <f>(DataUK1!$GP133)/DataUK1!$G133</f>
        <v>5.7954006012975366E-2</v>
      </c>
      <c r="L145" s="303">
        <f t="shared" si="14"/>
        <v>0.13498865973943774</v>
      </c>
      <c r="M145" s="307">
        <f t="shared" si="15"/>
        <v>0.11880900891397227</v>
      </c>
      <c r="N145" s="308">
        <f>(DataUK1!$X133+DataUK1!$BT133)/DataUK1!$G133</f>
        <v>2.7084761854528194E-2</v>
      </c>
      <c r="O145" s="308">
        <f>(DataUK1!$X133)/DataUK1!$G133</f>
        <v>1.1538055804631046E-2</v>
      </c>
      <c r="P145" s="308">
        <f>(DataUK1!$CQ133)/DataUK1!$G133</f>
        <v>9.172424705944407E-2</v>
      </c>
      <c r="Q145" s="193">
        <f>(DataUK1!$DK133)/DataUK1!$G133</f>
        <v>1.6179650825465478E-2</v>
      </c>
      <c r="U145" s="563">
        <f>TableUK12b!F145-TableUK12d!B145</f>
        <v>0</v>
      </c>
      <c r="V145" s="563">
        <f>TableUK12b!I145-TableUK12d!G145</f>
        <v>0</v>
      </c>
      <c r="W145" s="563">
        <f>TableUK12b!J145-TableUK12d!L145</f>
        <v>0</v>
      </c>
    </row>
    <row r="146" spans="1:23">
      <c r="A146" s="198">
        <v>1975</v>
      </c>
      <c r="B146" s="303">
        <f t="shared" si="19"/>
        <v>7.7787893544494086E-2</v>
      </c>
      <c r="C146" s="308">
        <f t="shared" si="11"/>
        <v>4.0735957316169469E-2</v>
      </c>
      <c r="D146" s="308"/>
      <c r="E146" s="308"/>
      <c r="F146" s="307">
        <f t="shared" si="12"/>
        <v>3.7051936228324617E-2</v>
      </c>
      <c r="G146" s="303">
        <f>TableUK12b!I146</f>
        <v>0.21787597129004255</v>
      </c>
      <c r="H146" s="307">
        <f t="shared" si="13"/>
        <v>0.1645211831212551</v>
      </c>
      <c r="I146" s="308"/>
      <c r="J146" s="308"/>
      <c r="K146" s="236">
        <f>(DataUK1!$GP134)/DataUK1!$G134</f>
        <v>5.335478816878745E-2</v>
      </c>
      <c r="L146" s="303">
        <f t="shared" si="14"/>
        <v>0.14008807774554846</v>
      </c>
      <c r="M146" s="307">
        <f t="shared" si="15"/>
        <v>0.12378522580508564</v>
      </c>
      <c r="N146" s="308">
        <f>(DataUK1!$X134+DataUK1!$BT134)/DataUK1!$G134</f>
        <v>2.7196121191590268E-2</v>
      </c>
      <c r="O146" s="308">
        <f>(DataUK1!$X134)/DataUK1!$G134</f>
        <v>1.1909550930532913E-2</v>
      </c>
      <c r="P146" s="308">
        <f>(DataUK1!$CQ134)/DataUK1!$G134</f>
        <v>9.6589104613495375E-2</v>
      </c>
      <c r="Q146" s="193">
        <f>(DataUK1!$DK134)/DataUK1!$G134</f>
        <v>1.6302851940462833E-2</v>
      </c>
      <c r="U146" s="563">
        <f>TableUK12b!F146-TableUK12d!B146</f>
        <v>0</v>
      </c>
      <c r="V146" s="563">
        <f>TableUK12b!I146-TableUK12d!G146</f>
        <v>0</v>
      </c>
      <c r="W146" s="563">
        <f>TableUK12b!J146-TableUK12d!L146</f>
        <v>0</v>
      </c>
    </row>
    <row r="147" spans="1:23">
      <c r="A147" s="198">
        <v>1976</v>
      </c>
      <c r="B147" s="303">
        <f t="shared" si="19"/>
        <v>9.2683445209967935E-2</v>
      </c>
      <c r="C147" s="308">
        <f t="shared" si="11"/>
        <v>6.0068011547794037E-2</v>
      </c>
      <c r="D147" s="308"/>
      <c r="E147" s="308"/>
      <c r="F147" s="307">
        <f t="shared" si="12"/>
        <v>3.2615433662173891E-2</v>
      </c>
      <c r="G147" s="303">
        <f>TableUK12b!I147</f>
        <v>0.23503834505233701</v>
      </c>
      <c r="H147" s="307">
        <f t="shared" si="13"/>
        <v>0.18627902445936131</v>
      </c>
      <c r="I147" s="308"/>
      <c r="J147" s="308"/>
      <c r="K147" s="236">
        <f>(DataUK1!$GP135)/DataUK1!$G135</f>
        <v>4.8759320592975684E-2</v>
      </c>
      <c r="L147" s="303">
        <f t="shared" si="14"/>
        <v>0.14235489984236907</v>
      </c>
      <c r="M147" s="307">
        <f t="shared" si="15"/>
        <v>0.12621101291156728</v>
      </c>
      <c r="N147" s="308">
        <f>(DataUK1!$X135+DataUK1!$BT135)/DataUK1!$G135</f>
        <v>2.6921237668479127E-2</v>
      </c>
      <c r="O147" s="308">
        <f>(DataUK1!$X135)/DataUK1!$G135</f>
        <v>1.1609783744531624E-2</v>
      </c>
      <c r="P147" s="308">
        <f>(DataUK1!$CQ135)/DataUK1!$G135</f>
        <v>9.9289775243088144E-2</v>
      </c>
      <c r="Q147" s="193">
        <f>(DataUK1!$DK135)/DataUK1!$G135</f>
        <v>1.6143886930801793E-2</v>
      </c>
      <c r="U147" s="563">
        <f>TableUK12b!F147-TableUK12d!B147</f>
        <v>0</v>
      </c>
      <c r="V147" s="563">
        <f>TableUK12b!I147-TableUK12d!G147</f>
        <v>0</v>
      </c>
      <c r="W147" s="563">
        <f>TableUK12b!J147-TableUK12d!L147</f>
        <v>0</v>
      </c>
    </row>
    <row r="148" spans="1:23">
      <c r="A148" s="198">
        <v>1977</v>
      </c>
      <c r="B148" s="303">
        <f t="shared" si="19"/>
        <v>8.7999498935237383E-2</v>
      </c>
      <c r="C148" s="308">
        <f t="shared" si="11"/>
        <v>6.6030940749091827E-2</v>
      </c>
      <c r="D148" s="308"/>
      <c r="E148" s="308"/>
      <c r="F148" s="307">
        <f t="shared" si="12"/>
        <v>2.196855818614556E-2</v>
      </c>
      <c r="G148" s="303">
        <f>TableUK12b!I148</f>
        <v>0.23624420643868221</v>
      </c>
      <c r="H148" s="307">
        <f t="shared" si="13"/>
        <v>0.19815545534260304</v>
      </c>
      <c r="I148" s="308"/>
      <c r="J148" s="308"/>
      <c r="K148" s="236">
        <f>(DataUK1!$GP136)/DataUK1!$G136</f>
        <v>3.8088751096079169E-2</v>
      </c>
      <c r="L148" s="303">
        <f t="shared" si="14"/>
        <v>0.14824470750344482</v>
      </c>
      <c r="M148" s="307">
        <f t="shared" si="15"/>
        <v>0.13212451459351121</v>
      </c>
      <c r="N148" s="308">
        <f>(DataUK1!$X136+DataUK1!$BT136)/DataUK1!$G136</f>
        <v>2.7519416259551548E-2</v>
      </c>
      <c r="O148" s="308">
        <f>(DataUK1!$X136)/DataUK1!$G136</f>
        <v>1.1226982337467118E-2</v>
      </c>
      <c r="P148" s="308">
        <f>(DataUK1!$CQ136)/DataUK1!$G136</f>
        <v>0.10460509833395966</v>
      </c>
      <c r="Q148" s="193">
        <f>(DataUK1!$DK136)/DataUK1!$G136</f>
        <v>1.612019290993361E-2</v>
      </c>
      <c r="U148" s="563">
        <f>TableUK12b!F148-TableUK12d!B148</f>
        <v>0</v>
      </c>
      <c r="V148" s="563">
        <f>TableUK12b!I148-TableUK12d!G148</f>
        <v>0</v>
      </c>
      <c r="W148" s="563">
        <f>TableUK12b!J148-TableUK12d!L148</f>
        <v>0</v>
      </c>
    </row>
    <row r="149" spans="1:23">
      <c r="A149" s="198">
        <v>1978</v>
      </c>
      <c r="B149" s="303">
        <f t="shared" si="19"/>
        <v>8.1970776640332602E-2</v>
      </c>
      <c r="C149" s="308">
        <f t="shared" si="11"/>
        <v>6.4669080435565296E-2</v>
      </c>
      <c r="D149" s="308"/>
      <c r="E149" s="308"/>
      <c r="F149" s="307">
        <f t="shared" si="12"/>
        <v>1.7301696204767309E-2</v>
      </c>
      <c r="G149" s="303">
        <f>TableUK12b!I149</f>
        <v>0.23225845894668198</v>
      </c>
      <c r="H149" s="307">
        <f t="shared" si="13"/>
        <v>0.19904762551711491</v>
      </c>
      <c r="I149" s="308"/>
      <c r="J149" s="308"/>
      <c r="K149" s="236">
        <f>(DataUK1!$GP137)/DataUK1!$G137</f>
        <v>3.3210833429567085E-2</v>
      </c>
      <c r="L149" s="303">
        <f t="shared" si="14"/>
        <v>0.1502876823063494</v>
      </c>
      <c r="M149" s="307">
        <f t="shared" si="15"/>
        <v>0.13437854508154962</v>
      </c>
      <c r="N149" s="308">
        <f>(DataUK1!$X137+DataUK1!$BT137)/DataUK1!$G137</f>
        <v>2.8258757837389868E-2</v>
      </c>
      <c r="O149" s="308">
        <f>(DataUK1!$X137)/DataUK1!$G137</f>
        <v>1.3307429471982393E-2</v>
      </c>
      <c r="P149" s="308">
        <f>(DataUK1!$CQ137)/DataUK1!$G137</f>
        <v>0.10611978724415974</v>
      </c>
      <c r="Q149" s="193">
        <f>(DataUK1!$DK137)/DataUK1!$G137</f>
        <v>1.5909137224799776E-2</v>
      </c>
      <c r="U149" s="563">
        <f>TableUK12b!F149-TableUK12d!B149</f>
        <v>0</v>
      </c>
      <c r="V149" s="563">
        <f>TableUK12b!I149-TableUK12d!G149</f>
        <v>0</v>
      </c>
      <c r="W149" s="563">
        <f>TableUK12b!J149-TableUK12d!L149</f>
        <v>0</v>
      </c>
    </row>
    <row r="150" spans="1:23" ht="12.75" customHeight="1">
      <c r="A150" s="198">
        <v>1979</v>
      </c>
      <c r="B150" s="303">
        <f t="shared" si="19"/>
        <v>8.3977409585725443E-2</v>
      </c>
      <c r="C150" s="308">
        <f t="shared" si="11"/>
        <v>6.8203874980999224E-2</v>
      </c>
      <c r="D150" s="550"/>
      <c r="E150" s="550"/>
      <c r="F150" s="307">
        <f t="shared" si="12"/>
        <v>1.5773534604726216E-2</v>
      </c>
      <c r="G150" s="303">
        <f>TableUK12b!I150</f>
        <v>0.23800615039229212</v>
      </c>
      <c r="H150" s="307">
        <f t="shared" si="13"/>
        <v>0.20595044607883256</v>
      </c>
      <c r="I150" s="308"/>
      <c r="J150" s="308"/>
      <c r="K150" s="236">
        <f>(DataUK1!$GP138)/DataUK1!$G138</f>
        <v>3.205570431345954E-2</v>
      </c>
      <c r="L150" s="303">
        <f t="shared" si="14"/>
        <v>0.15402874080656667</v>
      </c>
      <c r="M150" s="307">
        <f t="shared" si="15"/>
        <v>0.13774657109783334</v>
      </c>
      <c r="N150" s="308">
        <f>(DataUK1!$X138+DataUK1!$BT138)/DataUK1!$G138</f>
        <v>2.9167592343580091E-2</v>
      </c>
      <c r="O150" s="308">
        <f>(DataUK1!$X138)/DataUK1!$G138</f>
        <v>1.5311670544765735E-2</v>
      </c>
      <c r="P150" s="308">
        <f>(DataUK1!$CQ138)/DataUK1!$G138</f>
        <v>0.10857897875425324</v>
      </c>
      <c r="Q150" s="193">
        <f>(DataUK1!$DK138)/DataUK1!$G138</f>
        <v>1.6282169708733325E-2</v>
      </c>
      <c r="U150" s="563">
        <f>TableUK12b!F150-TableUK12d!B150</f>
        <v>0</v>
      </c>
      <c r="V150" s="563">
        <f>TableUK12b!I150-TableUK12d!G150</f>
        <v>0</v>
      </c>
      <c r="W150" s="563">
        <f>TableUK12b!J150-TableUK12d!L150</f>
        <v>0</v>
      </c>
    </row>
    <row r="151" spans="1:23">
      <c r="A151" s="199">
        <v>1980</v>
      </c>
      <c r="B151" s="566">
        <f t="shared" si="19"/>
        <v>4.6593120695392586E-2</v>
      </c>
      <c r="C151" s="551">
        <f t="shared" si="11"/>
        <v>3.3468795062873702E-2</v>
      </c>
      <c r="D151" s="308"/>
      <c r="E151" s="308"/>
      <c r="F151" s="569">
        <f t="shared" si="12"/>
        <v>1.3124325632518884E-2</v>
      </c>
      <c r="G151" s="566">
        <f>TableUK12b!I151</f>
        <v>0.20692367420613711</v>
      </c>
      <c r="H151" s="569">
        <f t="shared" si="13"/>
        <v>0.17649016305827542</v>
      </c>
      <c r="I151" s="551"/>
      <c r="J151" s="551"/>
      <c r="K151" s="240">
        <f>(DataUK1!$GP139)/DataUK1!$G139</f>
        <v>3.0433511147861688E-2</v>
      </c>
      <c r="L151" s="566">
        <f t="shared" si="14"/>
        <v>0.16033055351074452</v>
      </c>
      <c r="M151" s="569">
        <f t="shared" si="15"/>
        <v>0.14302136799540172</v>
      </c>
      <c r="N151" s="551">
        <f>(DataUK1!$X139+DataUK1!$BT139)/DataUK1!$G139</f>
        <v>3.0378049149414624E-2</v>
      </c>
      <c r="O151" s="551">
        <f>(DataUK1!$X139)/DataUK1!$G139</f>
        <v>1.6325995542872125E-2</v>
      </c>
      <c r="P151" s="551">
        <f>(DataUK1!$CQ139)/DataUK1!$G139</f>
        <v>0.11264331884598708</v>
      </c>
      <c r="Q151" s="885">
        <f>(DataUK1!$DK139)/DataUK1!$G139</f>
        <v>1.7309185515342804E-2</v>
      </c>
      <c r="U151" s="563">
        <f>TableUK12b!F151-TableUK12d!B151</f>
        <v>0</v>
      </c>
      <c r="V151" s="563">
        <f>TableUK12b!I151-TableUK12d!G151</f>
        <v>0</v>
      </c>
      <c r="W151" s="563">
        <f>TableUK12b!J151-TableUK12d!L151</f>
        <v>0</v>
      </c>
    </row>
    <row r="152" spans="1:23">
      <c r="A152" s="198">
        <v>1981</v>
      </c>
      <c r="B152" s="303">
        <f t="shared" si="19"/>
        <v>2.3044130562060887E-2</v>
      </c>
      <c r="C152" s="308">
        <f t="shared" ref="C152:C181" si="20">H152-M152</f>
        <v>1.6292813231850112E-2</v>
      </c>
      <c r="D152" s="308"/>
      <c r="E152" s="308"/>
      <c r="F152" s="307">
        <f t="shared" ref="F152:F181" si="21">K152-Q152</f>
        <v>6.7513173302107751E-3</v>
      </c>
      <c r="G152" s="303">
        <f>TableUK12b!I152</f>
        <v>0.18743596311475411</v>
      </c>
      <c r="H152" s="307">
        <f t="shared" ref="H152:H181" si="22">G152-K152</f>
        <v>0.16308365046838408</v>
      </c>
      <c r="I152" s="308"/>
      <c r="J152" s="308"/>
      <c r="K152" s="236">
        <f>(DataUK1!$GP140)/DataUK1!$G140</f>
        <v>2.4352312646370024E-2</v>
      </c>
      <c r="L152" s="303">
        <f t="shared" ref="L152:L181" si="23">M152+Q152</f>
        <v>0.16439183255269321</v>
      </c>
      <c r="M152" s="307">
        <f t="shared" ref="M152:M181" si="24">N152+P152</f>
        <v>0.14679083723653397</v>
      </c>
      <c r="N152" s="308">
        <f>(DataUK1!$X140+DataUK1!$BT140)/DataUK1!$G140</f>
        <v>3.1245425936768149E-2</v>
      </c>
      <c r="O152" s="308">
        <f>(DataUK1!$X140)/DataUK1!$G140</f>
        <v>1.5345982142857142E-2</v>
      </c>
      <c r="P152" s="308">
        <f>(DataUK1!$CQ140)/DataUK1!$G140</f>
        <v>0.11554541129976581</v>
      </c>
      <c r="Q152" s="193">
        <f>(DataUK1!$DK140)/DataUK1!$G140</f>
        <v>1.7600995316159249E-2</v>
      </c>
      <c r="U152" s="563">
        <f>TableUK12b!F152-TableUK12d!B152</f>
        <v>0</v>
      </c>
      <c r="V152" s="563">
        <f>TableUK12b!I152-TableUK12d!G152</f>
        <v>0</v>
      </c>
      <c r="W152" s="563">
        <f>TableUK12b!J152-TableUK12d!L152</f>
        <v>0</v>
      </c>
    </row>
    <row r="153" spans="1:23">
      <c r="A153" s="198">
        <v>1982</v>
      </c>
      <c r="B153" s="303">
        <f t="shared" ref="B153:B181" si="25">C153+F153</f>
        <v>3.3828642366746771E-2</v>
      </c>
      <c r="C153" s="308">
        <f t="shared" si="20"/>
        <v>2.8749732633777475E-2</v>
      </c>
      <c r="D153" s="308"/>
      <c r="E153" s="308"/>
      <c r="F153" s="307">
        <f t="shared" si="21"/>
        <v>5.0789097329692959E-3</v>
      </c>
      <c r="G153" s="303">
        <f>TableUK12b!I153</f>
        <v>0.19605598124452162</v>
      </c>
      <c r="H153" s="307">
        <f t="shared" si="22"/>
        <v>0.17410049614782941</v>
      </c>
      <c r="I153" s="308"/>
      <c r="J153" s="308"/>
      <c r="K153" s="236">
        <f>(DataUK1!$GP141)/DataUK1!$G141</f>
        <v>2.1955485096692207E-2</v>
      </c>
      <c r="L153" s="303">
        <f t="shared" si="23"/>
        <v>0.16222733887777485</v>
      </c>
      <c r="M153" s="307">
        <f t="shared" si="24"/>
        <v>0.14535076351405193</v>
      </c>
      <c r="N153" s="308">
        <f>(DataUK1!$X141+DataUK1!$BT141)/DataUK1!$G141</f>
        <v>3.0750261075252583E-2</v>
      </c>
      <c r="O153" s="308">
        <f>(DataUK1!$X141)/DataUK1!$G141</f>
        <v>1.4448260966209103E-2</v>
      </c>
      <c r="P153" s="308">
        <f>(DataUK1!$CQ141)/DataUK1!$G141</f>
        <v>0.11460050243879935</v>
      </c>
      <c r="Q153" s="193">
        <f>(DataUK1!$DK141)/DataUK1!$G141</f>
        <v>1.6876575363722911E-2</v>
      </c>
      <c r="R153" s="154"/>
      <c r="S153" s="154"/>
      <c r="T153" s="154"/>
      <c r="U153" s="563">
        <f>TableUK12b!F153-TableUK12d!B153</f>
        <v>0</v>
      </c>
      <c r="V153" s="563">
        <f>TableUK12b!I153-TableUK12d!G153</f>
        <v>0</v>
      </c>
      <c r="W153" s="563">
        <f>TableUK12b!J153-TableUK12d!L153</f>
        <v>0</v>
      </c>
    </row>
    <row r="154" spans="1:23">
      <c r="A154" s="198">
        <v>1983</v>
      </c>
      <c r="B154" s="303">
        <f t="shared" si="25"/>
        <v>4.5788033148331173E-2</v>
      </c>
      <c r="C154" s="308">
        <f t="shared" si="20"/>
        <v>3.6166653995286235E-2</v>
      </c>
      <c r="D154" s="308"/>
      <c r="E154" s="308"/>
      <c r="F154" s="307">
        <f t="shared" si="21"/>
        <v>9.6213791530449337E-3</v>
      </c>
      <c r="G154" s="303">
        <f>TableUK12b!I154</f>
        <v>0.20361894624800425</v>
      </c>
      <c r="H154" s="307">
        <f t="shared" si="22"/>
        <v>0.17803542917965481</v>
      </c>
      <c r="I154" s="308"/>
      <c r="J154" s="308"/>
      <c r="K154" s="236">
        <f>(DataUK1!$GP142)/DataUK1!$G142</f>
        <v>2.5583517068349427E-2</v>
      </c>
      <c r="L154" s="303">
        <f t="shared" si="23"/>
        <v>0.15783091309967306</v>
      </c>
      <c r="M154" s="307">
        <f t="shared" si="24"/>
        <v>0.14186877518436858</v>
      </c>
      <c r="N154" s="308">
        <f>(DataUK1!$X142+DataUK1!$BT142)/DataUK1!$G142</f>
        <v>3.0951113814338935E-2</v>
      </c>
      <c r="O154" s="308">
        <f>(DataUK1!$X142)/DataUK1!$G142</f>
        <v>1.4300919942218505E-2</v>
      </c>
      <c r="P154" s="308">
        <f>(DataUK1!$CQ142)/DataUK1!$G142</f>
        <v>0.11091766137002965</v>
      </c>
      <c r="Q154" s="193">
        <f>(DataUK1!$DK142)/DataUK1!$G142</f>
        <v>1.5962137915304493E-2</v>
      </c>
      <c r="R154" s="154"/>
      <c r="S154" s="154"/>
      <c r="T154" s="154"/>
      <c r="U154" s="563">
        <f>TableUK12b!F154-TableUK12d!B154</f>
        <v>0</v>
      </c>
      <c r="V154" s="563">
        <f>TableUK12b!I154-TableUK12d!G154</f>
        <v>0</v>
      </c>
      <c r="W154" s="563">
        <f>TableUK12b!J154-TableUK12d!L154</f>
        <v>0</v>
      </c>
    </row>
    <row r="155" spans="1:23">
      <c r="A155" s="198">
        <v>1984</v>
      </c>
      <c r="B155" s="303">
        <f t="shared" si="25"/>
        <v>5.7691831792551197E-2</v>
      </c>
      <c r="C155" s="308">
        <f t="shared" si="20"/>
        <v>4.5732062998250028E-2</v>
      </c>
      <c r="D155" s="308"/>
      <c r="E155" s="308"/>
      <c r="F155" s="307">
        <f t="shared" si="21"/>
        <v>1.1959768794301167E-2</v>
      </c>
      <c r="G155" s="303">
        <f>TableUK12b!I155</f>
        <v>0.21414455659059975</v>
      </c>
      <c r="H155" s="307">
        <f t="shared" si="22"/>
        <v>0.1866402700935075</v>
      </c>
      <c r="I155" s="308"/>
      <c r="J155" s="308"/>
      <c r="K155" s="236">
        <f>(DataUK1!$GP143)/DataUK1!$G143</f>
        <v>2.7504286497092252E-2</v>
      </c>
      <c r="L155" s="303">
        <f t="shared" si="23"/>
        <v>0.15645272479804856</v>
      </c>
      <c r="M155" s="307">
        <f t="shared" si="24"/>
        <v>0.14090820709525748</v>
      </c>
      <c r="N155" s="308">
        <f>(DataUK1!$X143+DataUK1!$BT143)/DataUK1!$G143</f>
        <v>3.1965778728368657E-2</v>
      </c>
      <c r="O155" s="308">
        <f>(DataUK1!$X143)/DataUK1!$G143</f>
        <v>1.2465310307036926E-2</v>
      </c>
      <c r="P155" s="308">
        <f>(DataUK1!$CQ143)/DataUK1!$G143</f>
        <v>0.1089424283668888</v>
      </c>
      <c r="Q155" s="193">
        <f>(DataUK1!$DK143)/DataUK1!$G143</f>
        <v>1.5544517702791085E-2</v>
      </c>
      <c r="R155" s="154"/>
      <c r="S155" s="154"/>
      <c r="T155" s="154"/>
      <c r="U155" s="563">
        <f>TableUK12b!F155-TableUK12d!B155</f>
        <v>0</v>
      </c>
      <c r="V155" s="563">
        <f>TableUK12b!I155-TableUK12d!G155</f>
        <v>0</v>
      </c>
      <c r="W155" s="563">
        <f>TableUK12b!J155-TableUK12d!L155</f>
        <v>0</v>
      </c>
    </row>
    <row r="156" spans="1:23">
      <c r="A156" s="198">
        <v>1985</v>
      </c>
      <c r="B156" s="303">
        <f t="shared" si="25"/>
        <v>5.9046510123552616E-2</v>
      </c>
      <c r="C156" s="308">
        <f t="shared" si="20"/>
        <v>4.7907367876317997E-2</v>
      </c>
      <c r="D156" s="308"/>
      <c r="E156" s="308"/>
      <c r="F156" s="307">
        <f t="shared" si="21"/>
        <v>1.1139142247234619E-2</v>
      </c>
      <c r="G156" s="303">
        <f>TableUK12b!I156</f>
        <v>0.21347435151044697</v>
      </c>
      <c r="H156" s="307">
        <f t="shared" si="22"/>
        <v>0.18700433404489292</v>
      </c>
      <c r="I156" s="308"/>
      <c r="J156" s="308"/>
      <c r="K156" s="236">
        <f>(DataUK1!$GP144)/DataUK1!$G144</f>
        <v>2.6470017465554045E-2</v>
      </c>
      <c r="L156" s="303">
        <f t="shared" si="23"/>
        <v>0.15442784138689436</v>
      </c>
      <c r="M156" s="307">
        <f t="shared" si="24"/>
        <v>0.13909696616857492</v>
      </c>
      <c r="N156" s="308">
        <f>(DataUK1!$X144+DataUK1!$BT144)/DataUK1!$G144</f>
        <v>3.2052526036612974E-2</v>
      </c>
      <c r="O156" s="308">
        <f>(DataUK1!$X144)/DataUK1!$G144</f>
        <v>1.2180606766285011E-2</v>
      </c>
      <c r="P156" s="308">
        <f>(DataUK1!$CQ144)/DataUK1!$G144</f>
        <v>0.10704444013196196</v>
      </c>
      <c r="Q156" s="193">
        <f>(DataUK1!$DK144)/DataUK1!$G144</f>
        <v>1.5330875218319426E-2</v>
      </c>
      <c r="R156" s="154"/>
      <c r="S156" s="154"/>
      <c r="T156" s="154"/>
      <c r="U156" s="563">
        <f>TableUK12b!F156-TableUK12d!B156</f>
        <v>0</v>
      </c>
      <c r="V156" s="563">
        <f>TableUK12b!I156-TableUK12d!G156</f>
        <v>0</v>
      </c>
      <c r="W156" s="563">
        <f>TableUK12b!J156-TableUK12d!L156</f>
        <v>0</v>
      </c>
    </row>
    <row r="157" spans="1:23">
      <c r="A157" s="198">
        <v>1986</v>
      </c>
      <c r="B157" s="303">
        <f t="shared" si="25"/>
        <v>5.6720021274116406E-2</v>
      </c>
      <c r="C157" s="308">
        <f t="shared" si="20"/>
        <v>4.5105907451617827E-2</v>
      </c>
      <c r="D157" s="308"/>
      <c r="E157" s="308"/>
      <c r="F157" s="307">
        <f t="shared" si="21"/>
        <v>1.1614113822498575E-2</v>
      </c>
      <c r="G157" s="303">
        <f>TableUK12b!I157</f>
        <v>0.2098727437335477</v>
      </c>
      <c r="H157" s="307">
        <f t="shared" si="22"/>
        <v>0.18296038890997046</v>
      </c>
      <c r="I157" s="308"/>
      <c r="J157" s="308"/>
      <c r="K157" s="236">
        <f>(DataUK1!$GP145)/DataUK1!$G145</f>
        <v>2.691235482357722E-2</v>
      </c>
      <c r="L157" s="303">
        <f t="shared" si="23"/>
        <v>0.15315272245943129</v>
      </c>
      <c r="M157" s="307">
        <f t="shared" si="24"/>
        <v>0.13785448145835263</v>
      </c>
      <c r="N157" s="308">
        <f>(DataUK1!$X145+DataUK1!$BT145)/DataUK1!$G145</f>
        <v>3.2840423211495197E-2</v>
      </c>
      <c r="O157" s="308">
        <f>(DataUK1!$X145)/DataUK1!$G145</f>
        <v>1.5063974733998845E-2</v>
      </c>
      <c r="P157" s="308">
        <f>(DataUK1!$CQ145)/DataUK1!$G145</f>
        <v>0.10501405824685743</v>
      </c>
      <c r="Q157" s="193">
        <f>(DataUK1!$DK145)/DataUK1!$G145</f>
        <v>1.5298241001078645E-2</v>
      </c>
      <c r="R157" s="154"/>
      <c r="S157" s="154"/>
      <c r="T157" s="154"/>
      <c r="U157" s="563">
        <f>TableUK12b!F157-TableUK12d!B157</f>
        <v>0</v>
      </c>
      <c r="V157" s="563">
        <f>TableUK12b!I157-TableUK12d!G157</f>
        <v>0</v>
      </c>
      <c r="W157" s="563">
        <f>TableUK12b!J157-TableUK12d!L157</f>
        <v>0</v>
      </c>
    </row>
    <row r="158" spans="1:23">
      <c r="A158" s="198">
        <v>1987</v>
      </c>
      <c r="B158" s="303">
        <f t="shared" si="25"/>
        <v>6.8532054438275425E-2</v>
      </c>
      <c r="C158" s="308">
        <f t="shared" si="20"/>
        <v>5.9794509927667688E-2</v>
      </c>
      <c r="D158" s="308"/>
      <c r="E158" s="308"/>
      <c r="F158" s="307">
        <f t="shared" si="21"/>
        <v>8.7375445106077365E-3</v>
      </c>
      <c r="G158" s="303">
        <f>TableUK12b!I158</f>
        <v>0.22154517435644938</v>
      </c>
      <c r="H158" s="307">
        <f t="shared" si="22"/>
        <v>0.19798753566969252</v>
      </c>
      <c r="I158" s="308"/>
      <c r="J158" s="308"/>
      <c r="K158" s="236">
        <f>(DataUK1!$GP146)/DataUK1!$G146</f>
        <v>2.3557638686756852E-2</v>
      </c>
      <c r="L158" s="303">
        <f t="shared" si="23"/>
        <v>0.15301311991817396</v>
      </c>
      <c r="M158" s="307">
        <f t="shared" si="24"/>
        <v>0.13819302574202483</v>
      </c>
      <c r="N158" s="308">
        <f>(DataUK1!$X146+DataUK1!$BT146)/DataUK1!$G146</f>
        <v>3.412593271655482E-2</v>
      </c>
      <c r="O158" s="308">
        <f>(DataUK1!$X146)/DataUK1!$G146</f>
        <v>1.8476152651322464E-2</v>
      </c>
      <c r="P158" s="308">
        <f>(DataUK1!$CQ146)/DataUK1!$G146</f>
        <v>0.10406709302547</v>
      </c>
      <c r="Q158" s="193">
        <f>(DataUK1!$DK146)/DataUK1!$G146</f>
        <v>1.4820094176149115E-2</v>
      </c>
      <c r="R158" s="154"/>
      <c r="S158" s="154"/>
      <c r="T158" s="154"/>
      <c r="U158" s="563">
        <f>TableUK12b!F158-TableUK12d!B158</f>
        <v>0</v>
      </c>
      <c r="V158" s="563">
        <f>TableUK12b!I158-TableUK12d!G158</f>
        <v>0</v>
      </c>
      <c r="W158" s="563">
        <f>TableUK12b!J158-TableUK12d!L158</f>
        <v>0</v>
      </c>
    </row>
    <row r="159" spans="1:23">
      <c r="A159" s="198">
        <v>1988</v>
      </c>
      <c r="B159" s="303">
        <f t="shared" si="25"/>
        <v>9.8685486529994731E-2</v>
      </c>
      <c r="C159" s="308">
        <f t="shared" si="20"/>
        <v>9.3671812874570853E-2</v>
      </c>
      <c r="D159" s="308"/>
      <c r="E159" s="308"/>
      <c r="F159" s="307">
        <f t="shared" si="21"/>
        <v>5.0136736554238833E-3</v>
      </c>
      <c r="G159" s="303">
        <f>TableUK12b!I159</f>
        <v>0.24809199169883045</v>
      </c>
      <c r="H159" s="307">
        <f t="shared" si="22"/>
        <v>0.22843974863748326</v>
      </c>
      <c r="I159" s="308"/>
      <c r="J159" s="308"/>
      <c r="K159" s="236">
        <f>(DataUK1!$GP147)/DataUK1!$G147</f>
        <v>1.9652243061347194E-2</v>
      </c>
      <c r="L159" s="303">
        <f t="shared" si="23"/>
        <v>0.14940650516883572</v>
      </c>
      <c r="M159" s="307">
        <f t="shared" si="24"/>
        <v>0.13476793576291241</v>
      </c>
      <c r="N159" s="308">
        <f>(DataUK1!$X147+DataUK1!$BT147)/DataUK1!$G147</f>
        <v>3.5784247173141451E-2</v>
      </c>
      <c r="O159" s="308">
        <f>(DataUK1!$X147)/DataUK1!$G147</f>
        <v>1.8733392812118155E-2</v>
      </c>
      <c r="P159" s="308">
        <f>(DataUK1!$CQ147)/DataUK1!$G147</f>
        <v>9.8983688589770941E-2</v>
      </c>
      <c r="Q159" s="193">
        <f>(DataUK1!$DK147)/DataUK1!$G147</f>
        <v>1.4638569405923311E-2</v>
      </c>
      <c r="R159" s="154"/>
      <c r="S159" s="154"/>
      <c r="T159" s="154"/>
      <c r="U159" s="563">
        <f>TableUK12b!F159-TableUK12d!B159</f>
        <v>0</v>
      </c>
      <c r="V159" s="563">
        <f>TableUK12b!I159-TableUK12d!G159</f>
        <v>0</v>
      </c>
      <c r="W159" s="563">
        <f>TableUK12b!J159-TableUK12d!L159</f>
        <v>0</v>
      </c>
    </row>
    <row r="160" spans="1:23">
      <c r="A160" s="214">
        <v>1989</v>
      </c>
      <c r="B160" s="565">
        <f t="shared" si="25"/>
        <v>0.10852510576092493</v>
      </c>
      <c r="C160" s="550">
        <f t="shared" si="20"/>
        <v>9.8325544308844048E-2</v>
      </c>
      <c r="D160" s="550"/>
      <c r="E160" s="550"/>
      <c r="F160" s="568">
        <f t="shared" si="21"/>
        <v>1.0199561452080888E-2</v>
      </c>
      <c r="G160" s="565">
        <f>TableUK12b!I160</f>
        <v>0.25726815654831781</v>
      </c>
      <c r="H160" s="568">
        <f t="shared" si="22"/>
        <v>0.23203171720303883</v>
      </c>
      <c r="I160" s="550"/>
      <c r="J160" s="550"/>
      <c r="K160" s="244">
        <f>(DataUK1!$GP148)/DataUK1!$G148</f>
        <v>2.5236439345278965E-2</v>
      </c>
      <c r="L160" s="565">
        <f t="shared" si="23"/>
        <v>0.14874305078739286</v>
      </c>
      <c r="M160" s="568">
        <f t="shared" si="24"/>
        <v>0.13370617289419479</v>
      </c>
      <c r="N160" s="550">
        <f>(DataUK1!$X148+DataUK1!$BT148)/DataUK1!$G148</f>
        <v>3.4089348601297927E-2</v>
      </c>
      <c r="O160" s="550">
        <f>(DataUK1!$X148)/DataUK1!$G148</f>
        <v>1.9871979445834902E-2</v>
      </c>
      <c r="P160" s="550">
        <f>(DataUK1!$CQ148)/DataUK1!$G148</f>
        <v>9.9616824292896852E-2</v>
      </c>
      <c r="Q160" s="886">
        <f>(DataUK1!$DK148)/DataUK1!$G148</f>
        <v>1.5036877893198077E-2</v>
      </c>
      <c r="R160" s="154"/>
      <c r="S160" s="154"/>
      <c r="T160" s="154"/>
      <c r="U160" s="563">
        <f>TableUK12b!F160-TableUK12d!B160</f>
        <v>0</v>
      </c>
      <c r="V160" s="563">
        <f>TableUK12b!I160-TableUK12d!G160</f>
        <v>0</v>
      </c>
      <c r="W160" s="563">
        <f>TableUK12b!J160-TableUK12d!L160</f>
        <v>0</v>
      </c>
    </row>
    <row r="161" spans="1:23">
      <c r="A161" s="198">
        <v>1990</v>
      </c>
      <c r="B161" s="303">
        <f t="shared" si="25"/>
        <v>8.3313607031483147E-2</v>
      </c>
      <c r="C161" s="308">
        <f t="shared" si="20"/>
        <v>6.828936941016639E-2</v>
      </c>
      <c r="D161" s="308"/>
      <c r="E161" s="308"/>
      <c r="F161" s="307">
        <f t="shared" si="21"/>
        <v>1.5024237621316758E-2</v>
      </c>
      <c r="G161" s="303">
        <f>TableUK12b!I161</f>
        <v>0.23692146187334684</v>
      </c>
      <c r="H161" s="307">
        <f t="shared" si="22"/>
        <v>0.20668155573623703</v>
      </c>
      <c r="I161" s="308"/>
      <c r="J161" s="308"/>
      <c r="K161" s="236">
        <f>(DataUK1!$GP149)/DataUK1!$G149</f>
        <v>3.0239906137109807E-2</v>
      </c>
      <c r="L161" s="303">
        <f t="shared" si="23"/>
        <v>0.15360785484186368</v>
      </c>
      <c r="M161" s="307">
        <f t="shared" si="24"/>
        <v>0.13839218632607064</v>
      </c>
      <c r="N161" s="308">
        <f>(DataUK1!$X149+DataUK1!$BT149)/DataUK1!$G149</f>
        <v>3.4861006761833208E-2</v>
      </c>
      <c r="O161" s="308">
        <f>(DataUK1!$X149)/DataUK1!$G149</f>
        <v>2.1145909451128517E-2</v>
      </c>
      <c r="P161" s="308">
        <f>(DataUK1!$CQ149)/DataUK1!$G149</f>
        <v>0.10353117956423742</v>
      </c>
      <c r="Q161" s="193">
        <f>(DataUK1!$DK149)/DataUK1!$G149</f>
        <v>1.5215668515793049E-2</v>
      </c>
      <c r="R161" s="154"/>
      <c r="S161" s="154"/>
      <c r="T161" s="154"/>
      <c r="U161" s="563">
        <f>TableUK12b!F161-TableUK12d!B161</f>
        <v>0</v>
      </c>
      <c r="V161" s="563">
        <f>TableUK12b!I161-TableUK12d!G161</f>
        <v>0</v>
      </c>
      <c r="W161" s="563">
        <f>TableUK12b!J161-TableUK12d!L161</f>
        <v>0</v>
      </c>
    </row>
    <row r="162" spans="1:23">
      <c r="A162" s="198">
        <v>1991</v>
      </c>
      <c r="B162" s="303">
        <f t="shared" si="25"/>
        <v>4.3917246257220356E-2</v>
      </c>
      <c r="C162" s="308">
        <f t="shared" si="20"/>
        <v>3.0639710794137326E-2</v>
      </c>
      <c r="D162" s="308"/>
      <c r="E162" s="308"/>
      <c r="F162" s="307">
        <f t="shared" si="21"/>
        <v>1.3277535463083029E-2</v>
      </c>
      <c r="G162" s="303">
        <f>TableUK12b!I162</f>
        <v>0.20200007858854965</v>
      </c>
      <c r="H162" s="307">
        <f t="shared" si="22"/>
        <v>0.17383983653581675</v>
      </c>
      <c r="I162" s="308"/>
      <c r="J162" s="308"/>
      <c r="K162" s="236">
        <f>(DataUK1!$GP150)/DataUK1!$G150</f>
        <v>2.8160242052732917E-2</v>
      </c>
      <c r="L162" s="303">
        <f t="shared" si="23"/>
        <v>0.1580828323313293</v>
      </c>
      <c r="M162" s="307">
        <f t="shared" si="24"/>
        <v>0.14320012574167942</v>
      </c>
      <c r="N162" s="308">
        <f>(DataUK1!$X150+DataUK1!$BT150)/DataUK1!$G150</f>
        <v>3.4873668906440329E-2</v>
      </c>
      <c r="O162" s="308">
        <f>(DataUK1!$X150)/DataUK1!$G150</f>
        <v>2.133679122951786E-2</v>
      </c>
      <c r="P162" s="308">
        <f>(DataUK1!$CQ150)/DataUK1!$G150</f>
        <v>0.1083264568352391</v>
      </c>
      <c r="Q162" s="193">
        <f>(DataUK1!$DK150)/DataUK1!$G150</f>
        <v>1.4882706589649889E-2</v>
      </c>
      <c r="R162" s="154"/>
      <c r="S162" s="154"/>
      <c r="T162" s="154"/>
      <c r="U162" s="563">
        <f>TableUK12b!F162-TableUK12d!B162</f>
        <v>0</v>
      </c>
      <c r="V162" s="563">
        <f>TableUK12b!I162-TableUK12d!G162</f>
        <v>0</v>
      </c>
      <c r="W162" s="563">
        <f>TableUK12b!J162-TableUK12d!L162</f>
        <v>0</v>
      </c>
    </row>
    <row r="163" spans="1:23">
      <c r="A163" s="198">
        <v>1992</v>
      </c>
      <c r="B163" s="303">
        <f t="shared" si="25"/>
        <v>3.7240976857887284E-2</v>
      </c>
      <c r="C163" s="308">
        <f t="shared" si="20"/>
        <v>2.5253762720867573E-2</v>
      </c>
      <c r="D163" s="308"/>
      <c r="E163" s="308"/>
      <c r="F163" s="307">
        <f t="shared" si="21"/>
        <v>1.1987214137019713E-2</v>
      </c>
      <c r="G163" s="303">
        <f>TableUK12b!I163</f>
        <v>0.19076485122125941</v>
      </c>
      <c r="H163" s="307">
        <f t="shared" si="22"/>
        <v>0.16498738434087157</v>
      </c>
      <c r="I163" s="308"/>
      <c r="J163" s="308"/>
      <c r="K163" s="236">
        <f>(DataUK1!$GP151)/DataUK1!$G151</f>
        <v>2.5777466880387841E-2</v>
      </c>
      <c r="L163" s="303">
        <f t="shared" si="23"/>
        <v>0.15352387436337211</v>
      </c>
      <c r="M163" s="307">
        <f t="shared" si="24"/>
        <v>0.13973362162000399</v>
      </c>
      <c r="N163" s="308">
        <f>(DataUK1!$X151+DataUK1!$BT151)/DataUK1!$G151</f>
        <v>3.2015157494674117E-2</v>
      </c>
      <c r="O163" s="308">
        <f>(DataUK1!$X151)/DataUK1!$G151</f>
        <v>2.070127727703763E-2</v>
      </c>
      <c r="P163" s="308">
        <f>(DataUK1!$CQ151)/DataUK1!$G151</f>
        <v>0.10771846412532989</v>
      </c>
      <c r="Q163" s="193">
        <f>(DataUK1!$DK151)/DataUK1!$G151</f>
        <v>1.3790252743368129E-2</v>
      </c>
      <c r="R163" s="154"/>
      <c r="S163" s="154"/>
      <c r="T163" s="154"/>
      <c r="U163" s="563">
        <f>TableUK12b!F163-TableUK12d!B163</f>
        <v>0</v>
      </c>
      <c r="V163" s="563">
        <f>TableUK12b!I163-TableUK12d!G163</f>
        <v>0</v>
      </c>
      <c r="W163" s="563">
        <f>TableUK12b!J163-TableUK12d!L163</f>
        <v>0</v>
      </c>
    </row>
    <row r="164" spans="1:23">
      <c r="A164" s="198">
        <v>1993</v>
      </c>
      <c r="B164" s="303">
        <f t="shared" si="25"/>
        <v>3.5583079295373264E-2</v>
      </c>
      <c r="C164" s="308">
        <f t="shared" si="20"/>
        <v>2.4750047965209188E-2</v>
      </c>
      <c r="D164" s="308"/>
      <c r="E164" s="308"/>
      <c r="F164" s="307">
        <f t="shared" si="21"/>
        <v>1.0833031330164078E-2</v>
      </c>
      <c r="G164" s="303">
        <f>TableUK12b!I164</f>
        <v>0.18528249731750124</v>
      </c>
      <c r="H164" s="307">
        <f t="shared" si="22"/>
        <v>0.16109026697080159</v>
      </c>
      <c r="I164" s="308"/>
      <c r="J164" s="308"/>
      <c r="K164" s="236">
        <f>(DataUK1!$GP152)/DataUK1!$G152</f>
        <v>2.419223034669964E-2</v>
      </c>
      <c r="L164" s="303">
        <f t="shared" si="23"/>
        <v>0.14969941802212797</v>
      </c>
      <c r="M164" s="307">
        <f t="shared" si="24"/>
        <v>0.1363402190055924</v>
      </c>
      <c r="N164" s="308">
        <f>(DataUK1!$X152+DataUK1!$BT152)/DataUK1!$G152</f>
        <v>3.2095830935072872E-2</v>
      </c>
      <c r="O164" s="308">
        <f>(DataUK1!$X152)/DataUK1!$G152</f>
        <v>2.0170258727891591E-2</v>
      </c>
      <c r="P164" s="308">
        <f>(DataUK1!$CQ152)/DataUK1!$G152</f>
        <v>0.10424438807051951</v>
      </c>
      <c r="Q164" s="193">
        <f>(DataUK1!$DK152)/DataUK1!$G152</f>
        <v>1.3359199016535562E-2</v>
      </c>
      <c r="R164" s="154"/>
      <c r="S164" s="154"/>
      <c r="T164" s="154"/>
      <c r="U164" s="563">
        <f>TableUK12b!F164-TableUK12d!B164</f>
        <v>0</v>
      </c>
      <c r="V164" s="563">
        <f>TableUK12b!I164-TableUK12d!G164</f>
        <v>0</v>
      </c>
      <c r="W164" s="563">
        <f>TableUK12b!J164-TableUK12d!L164</f>
        <v>0</v>
      </c>
    </row>
    <row r="165" spans="1:23">
      <c r="A165" s="198">
        <v>1994</v>
      </c>
      <c r="B165" s="303">
        <f t="shared" si="25"/>
        <v>4.7628971010465856E-2</v>
      </c>
      <c r="C165" s="308">
        <f t="shared" si="20"/>
        <v>3.6807512668863035E-2</v>
      </c>
      <c r="D165" s="308"/>
      <c r="E165" s="308"/>
      <c r="F165" s="307">
        <f t="shared" si="21"/>
        <v>1.0821458341602825E-2</v>
      </c>
      <c r="G165" s="303">
        <f>TableUK12b!I165</f>
        <v>0.19093266648143004</v>
      </c>
      <c r="H165" s="307">
        <f t="shared" si="22"/>
        <v>0.1670024080763175</v>
      </c>
      <c r="I165" s="308"/>
      <c r="J165" s="308"/>
      <c r="K165" s="236">
        <f>(DataUK1!$GP153)/DataUK1!$G153</f>
        <v>2.393025840511253E-2</v>
      </c>
      <c r="L165" s="303">
        <f t="shared" si="23"/>
        <v>0.14330369547096417</v>
      </c>
      <c r="M165" s="307">
        <f t="shared" si="24"/>
        <v>0.13019489540745446</v>
      </c>
      <c r="N165" s="308">
        <f>(DataUK1!$X153+DataUK1!$BT153)/DataUK1!$G153</f>
        <v>3.1465420288704533E-2</v>
      </c>
      <c r="O165" s="308">
        <f>(DataUK1!$X153)/DataUK1!$G153</f>
        <v>1.9803781473689781E-2</v>
      </c>
      <c r="P165" s="308">
        <f>(DataUK1!$CQ153)/DataUK1!$G153</f>
        <v>9.8729475118749924E-2</v>
      </c>
      <c r="Q165" s="193">
        <f>(DataUK1!$DK153)/DataUK1!$G153</f>
        <v>1.3108800063509705E-2</v>
      </c>
      <c r="R165" s="154"/>
      <c r="S165" s="154"/>
      <c r="T165" s="154"/>
      <c r="U165" s="563">
        <f>TableUK12b!F165-TableUK12d!B165</f>
        <v>0</v>
      </c>
      <c r="V165" s="563">
        <f>TableUK12b!I165-TableUK12d!G165</f>
        <v>0</v>
      </c>
      <c r="W165" s="563">
        <f>TableUK12b!J165-TableUK12d!L165</f>
        <v>0</v>
      </c>
    </row>
    <row r="166" spans="1:23">
      <c r="A166" s="198">
        <v>1995</v>
      </c>
      <c r="B166" s="303">
        <f t="shared" si="25"/>
        <v>5.737277342728108E-2</v>
      </c>
      <c r="C166" s="308">
        <f t="shared" si="20"/>
        <v>4.8075642770873894E-2</v>
      </c>
      <c r="D166" s="308"/>
      <c r="E166" s="308"/>
      <c r="F166" s="307">
        <f t="shared" si="21"/>
        <v>9.297130656407188E-3</v>
      </c>
      <c r="G166" s="303">
        <f>TableUK12b!I166</f>
        <v>0.196994214944648</v>
      </c>
      <c r="H166" s="307">
        <f t="shared" si="22"/>
        <v>0.17438190137678991</v>
      </c>
      <c r="I166" s="308"/>
      <c r="J166" s="308"/>
      <c r="K166" s="236">
        <f>(DataUK1!$GP154)/DataUK1!$G154</f>
        <v>2.2612313567858089E-2</v>
      </c>
      <c r="L166" s="303">
        <f t="shared" si="23"/>
        <v>0.13962144151736691</v>
      </c>
      <c r="M166" s="307">
        <f t="shared" si="24"/>
        <v>0.12630625860591602</v>
      </c>
      <c r="N166" s="308">
        <f>(DataUK1!$X154+DataUK1!$BT154)/DataUK1!$G154</f>
        <v>3.146925994213378E-2</v>
      </c>
      <c r="O166" s="308">
        <f>(DataUK1!$X154)/DataUK1!$G154</f>
        <v>2.0099660227861943E-2</v>
      </c>
      <c r="P166" s="308">
        <f>(DataUK1!$CQ154)/DataUK1!$G154</f>
        <v>9.4836998663782229E-2</v>
      </c>
      <c r="Q166" s="193">
        <f>(DataUK1!$DK154)/DataUK1!$G154</f>
        <v>1.3315182911450901E-2</v>
      </c>
      <c r="R166" s="154"/>
      <c r="S166" s="154"/>
      <c r="T166" s="154"/>
      <c r="U166" s="563">
        <f>TableUK12b!F166-TableUK12d!B166</f>
        <v>0</v>
      </c>
      <c r="V166" s="563">
        <f>TableUK12b!I166-TableUK12d!G166</f>
        <v>0</v>
      </c>
      <c r="W166" s="563">
        <f>TableUK12b!J166-TableUK12d!L166</f>
        <v>0</v>
      </c>
    </row>
    <row r="167" spans="1:23">
      <c r="A167" s="198">
        <v>1996</v>
      </c>
      <c r="B167" s="303">
        <f t="shared" si="25"/>
        <v>5.6493379121763866E-2</v>
      </c>
      <c r="C167" s="308">
        <f t="shared" si="20"/>
        <v>5.1822315126284157E-2</v>
      </c>
      <c r="D167" s="308"/>
      <c r="E167" s="308"/>
      <c r="F167" s="307">
        <f t="shared" si="21"/>
        <v>4.6710639954797087E-3</v>
      </c>
      <c r="G167" s="303">
        <f>TableUK12b!I167</f>
        <v>0.19316189020730684</v>
      </c>
      <c r="H167" s="307">
        <f t="shared" si="22"/>
        <v>0.17559014084919389</v>
      </c>
      <c r="I167" s="308"/>
      <c r="J167" s="308"/>
      <c r="K167" s="236">
        <f>(DataUK1!$GP155)/DataUK1!$G155</f>
        <v>1.7571749358112954E-2</v>
      </c>
      <c r="L167" s="303">
        <f t="shared" si="23"/>
        <v>0.13666851108554298</v>
      </c>
      <c r="M167" s="307">
        <f t="shared" si="24"/>
        <v>0.12376782572290973</v>
      </c>
      <c r="N167" s="308">
        <f>(DataUK1!$X155+DataUK1!$BT155)/DataUK1!$G155</f>
        <v>3.1844038281938457E-2</v>
      </c>
      <c r="O167" s="308">
        <f>(DataUK1!$X155)/DataUK1!$G155</f>
        <v>1.985238793691502E-2</v>
      </c>
      <c r="P167" s="308">
        <f>(DataUK1!$CQ155)/DataUK1!$G155</f>
        <v>9.192378744097128E-2</v>
      </c>
      <c r="Q167" s="193">
        <f>(DataUK1!$DK155)/DataUK1!$G155</f>
        <v>1.2900685362633245E-2</v>
      </c>
      <c r="R167" s="154"/>
      <c r="S167" s="154"/>
      <c r="T167" s="154"/>
      <c r="U167" s="563">
        <f>TableUK12b!F167-TableUK12d!B167</f>
        <v>0</v>
      </c>
      <c r="V167" s="563">
        <f>TableUK12b!I167-TableUK12d!G167</f>
        <v>0</v>
      </c>
      <c r="W167" s="563">
        <f>TableUK12b!J167-TableUK12d!L167</f>
        <v>0</v>
      </c>
    </row>
    <row r="168" spans="1:23">
      <c r="A168" s="198">
        <v>1997</v>
      </c>
      <c r="B168" s="303">
        <f t="shared" si="25"/>
        <v>6.5945798348010093E-2</v>
      </c>
      <c r="C168" s="308">
        <f t="shared" si="20"/>
        <v>6.3728582155778535E-2</v>
      </c>
      <c r="D168" s="308"/>
      <c r="E168" s="308"/>
      <c r="F168" s="307">
        <f t="shared" si="21"/>
        <v>2.2172161922315529E-3</v>
      </c>
      <c r="G168" s="303">
        <f>TableUK12b!I168</f>
        <v>0.19588913919038842</v>
      </c>
      <c r="H168" s="307">
        <f t="shared" si="22"/>
        <v>0.18138029899651853</v>
      </c>
      <c r="I168" s="308"/>
      <c r="J168" s="308"/>
      <c r="K168" s="236">
        <f>(DataUK1!$GP156)/DataUK1!$G156</f>
        <v>1.4508840193869889E-2</v>
      </c>
      <c r="L168" s="303">
        <f t="shared" si="23"/>
        <v>0.12994334084237832</v>
      </c>
      <c r="M168" s="307">
        <f t="shared" si="24"/>
        <v>0.11765171684073999</v>
      </c>
      <c r="N168" s="308">
        <f>(DataUK1!$X156+DataUK1!$BT156)/DataUK1!$G156</f>
        <v>3.2359888046965664E-2</v>
      </c>
      <c r="O168" s="308">
        <f>(DataUK1!$X156)/DataUK1!$G156</f>
        <v>1.9464809884633765E-2</v>
      </c>
      <c r="P168" s="308">
        <f>(DataUK1!$CQ156)/DataUK1!$G156</f>
        <v>8.5291828793774324E-2</v>
      </c>
      <c r="Q168" s="193">
        <f>(DataUK1!$DK156)/DataUK1!$G156</f>
        <v>1.2291624001638336E-2</v>
      </c>
      <c r="R168" s="154"/>
      <c r="S168" s="154"/>
      <c r="T168" s="154"/>
      <c r="U168" s="563">
        <f>TableUK12b!F168-TableUK12d!B168</f>
        <v>0</v>
      </c>
      <c r="V168" s="563">
        <f>TableUK12b!I168-TableUK12d!G168</f>
        <v>0</v>
      </c>
      <c r="W168" s="563">
        <f>TableUK12b!J168-TableUK12d!L168</f>
        <v>0</v>
      </c>
    </row>
    <row r="169" spans="1:23">
      <c r="A169" s="198">
        <v>1998</v>
      </c>
      <c r="B169" s="303">
        <f t="shared" si="25"/>
        <v>7.9629667202645707E-2</v>
      </c>
      <c r="C169" s="308">
        <f t="shared" si="20"/>
        <v>7.5784820463917754E-2</v>
      </c>
      <c r="D169" s="308"/>
      <c r="E169" s="308"/>
      <c r="F169" s="307">
        <f t="shared" si="21"/>
        <v>3.8448467387279545E-3</v>
      </c>
      <c r="G169" s="303">
        <f>TableUK12b!I169</f>
        <v>0.2051159794468087</v>
      </c>
      <c r="H169" s="307">
        <f t="shared" si="22"/>
        <v>0.18985959715339312</v>
      </c>
      <c r="I169" s="308"/>
      <c r="J169" s="308"/>
      <c r="K169" s="236">
        <f>(DataUK1!$GP157)/DataUK1!$G157</f>
        <v>1.5256382293415574E-2</v>
      </c>
      <c r="L169" s="303">
        <f t="shared" si="23"/>
        <v>0.12548631224416298</v>
      </c>
      <c r="M169" s="307">
        <f t="shared" si="24"/>
        <v>0.11407477668947537</v>
      </c>
      <c r="N169" s="308">
        <f>(DataUK1!$X157+DataUK1!$BT157)/DataUK1!$G157</f>
        <v>3.1765636809081552E-2</v>
      </c>
      <c r="O169" s="308">
        <f>(DataUK1!$X157)/DataUK1!$G157</f>
        <v>1.934850644442979E-2</v>
      </c>
      <c r="P169" s="308">
        <f>(DataUK1!$CQ157)/DataUK1!$G157</f>
        <v>8.2309139880393817E-2</v>
      </c>
      <c r="Q169" s="193">
        <f>(DataUK1!$DK157)/DataUK1!$G157</f>
        <v>1.1411535554687619E-2</v>
      </c>
      <c r="R169" s="154"/>
      <c r="S169" s="154"/>
      <c r="T169" s="154"/>
      <c r="U169" s="563">
        <f>TableUK12b!F169-TableUK12d!B169</f>
        <v>0</v>
      </c>
      <c r="V169" s="563">
        <f>TableUK12b!I169-TableUK12d!G169</f>
        <v>0</v>
      </c>
      <c r="W169" s="563">
        <f>TableUK12b!J169-TableUK12d!L169</f>
        <v>0</v>
      </c>
    </row>
    <row r="170" spans="1:23">
      <c r="A170" s="200">
        <f t="shared" ref="A170:A181" si="26">A169+1</f>
        <v>1999</v>
      </c>
      <c r="B170" s="303">
        <f t="shared" si="25"/>
        <v>7.6435189141022652E-2</v>
      </c>
      <c r="C170" s="308">
        <f t="shared" si="20"/>
        <v>7.2676781856133188E-2</v>
      </c>
      <c r="D170" s="308"/>
      <c r="E170" s="308"/>
      <c r="F170" s="307">
        <f t="shared" si="21"/>
        <v>3.7584072848894697E-3</v>
      </c>
      <c r="G170" s="303">
        <f>TableUK12b!I170</f>
        <v>0.205218314758981</v>
      </c>
      <c r="H170" s="307">
        <f t="shared" si="22"/>
        <v>0.19015416915884428</v>
      </c>
      <c r="I170" s="308"/>
      <c r="J170" s="308"/>
      <c r="K170" s="236">
        <f>(DataUK1!$GP158)/DataUK1!$G158</f>
        <v>1.5064145600136714E-2</v>
      </c>
      <c r="L170" s="303">
        <f t="shared" si="23"/>
        <v>0.12878312561795835</v>
      </c>
      <c r="M170" s="307">
        <f t="shared" si="24"/>
        <v>0.11747738730271109</v>
      </c>
      <c r="N170" s="308">
        <f>(DataUK1!$X158+DataUK1!$BT158)/DataUK1!$G158</f>
        <v>3.4144257412448274E-2</v>
      </c>
      <c r="O170" s="308">
        <f>(DataUK1!$X158)/DataUK1!$G158</f>
        <v>2.0251943898538873E-2</v>
      </c>
      <c r="P170" s="308">
        <f>(DataUK1!$CQ158)/DataUK1!$G158</f>
        <v>8.3333129890262814E-2</v>
      </c>
      <c r="Q170" s="193">
        <f>(DataUK1!$DK158)/DataUK1!$G158</f>
        <v>1.1305738315247244E-2</v>
      </c>
      <c r="R170" s="154"/>
      <c r="S170" s="154"/>
      <c r="T170" s="154"/>
      <c r="U170" s="563">
        <f>TableUK12b!F170-TableUK12d!B170</f>
        <v>0</v>
      </c>
      <c r="V170" s="563">
        <f>TableUK12b!I170-TableUK12d!G170</f>
        <v>0</v>
      </c>
      <c r="W170" s="563">
        <f>TableUK12b!J170-TableUK12d!L170</f>
        <v>0</v>
      </c>
    </row>
    <row r="171" spans="1:23">
      <c r="A171" s="201">
        <f t="shared" si="26"/>
        <v>2000</v>
      </c>
      <c r="B171" s="566">
        <f t="shared" si="25"/>
        <v>7.0824118984705225E-2</v>
      </c>
      <c r="C171" s="551">
        <f t="shared" si="20"/>
        <v>6.7862012402156058E-2</v>
      </c>
      <c r="D171" s="551"/>
      <c r="E171" s="551"/>
      <c r="F171" s="569">
        <f t="shared" si="21"/>
        <v>2.9621065825491712E-3</v>
      </c>
      <c r="G171" s="566">
        <f>TableUK12b!I171</f>
        <v>0.19969834471877362</v>
      </c>
      <c r="H171" s="569">
        <f t="shared" si="22"/>
        <v>0.18568249507377463</v>
      </c>
      <c r="I171" s="551"/>
      <c r="J171" s="551"/>
      <c r="K171" s="240">
        <f>(DataUK1!$GP159)/DataUK1!$G159</f>
        <v>1.4015849644998997E-2</v>
      </c>
      <c r="L171" s="566">
        <f t="shared" si="23"/>
        <v>0.1288742257340684</v>
      </c>
      <c r="M171" s="569">
        <f t="shared" si="24"/>
        <v>0.11782048267161857</v>
      </c>
      <c r="N171" s="551">
        <f>(DataUK1!$X159+DataUK1!$BT159)/DataUK1!$G159</f>
        <v>3.535066268012145E-2</v>
      </c>
      <c r="O171" s="551">
        <f>(DataUK1!$X159)/DataUK1!$G159</f>
        <v>2.0984967048446719E-2</v>
      </c>
      <c r="P171" s="551">
        <f>(DataUK1!$CQ159)/DataUK1!$G159</f>
        <v>8.246981999149712E-2</v>
      </c>
      <c r="Q171" s="885">
        <f>(DataUK1!$DK159)/DataUK1!$G159</f>
        <v>1.1053743062449826E-2</v>
      </c>
      <c r="R171" s="154"/>
      <c r="S171" s="154"/>
      <c r="T171" s="154"/>
      <c r="U171" s="563">
        <f>TableUK12b!F171-TableUK12d!B171</f>
        <v>0</v>
      </c>
      <c r="V171" s="563">
        <f>TableUK12b!I171-TableUK12d!G171</f>
        <v>0</v>
      </c>
      <c r="W171" s="563">
        <f>TableUK12b!J171-TableUK12d!L171</f>
        <v>0</v>
      </c>
    </row>
    <row r="172" spans="1:23">
      <c r="A172" s="200">
        <f t="shared" si="26"/>
        <v>2001</v>
      </c>
      <c r="B172" s="303">
        <f t="shared" si="25"/>
        <v>6.8768018282285445E-2</v>
      </c>
      <c r="C172" s="308">
        <f t="shared" si="20"/>
        <v>6.4665689242818208E-2</v>
      </c>
      <c r="D172" s="308"/>
      <c r="E172" s="308"/>
      <c r="F172" s="307">
        <f t="shared" si="21"/>
        <v>4.1023290394672351E-3</v>
      </c>
      <c r="G172" s="303">
        <f>TableUK12b!I172</f>
        <v>0.19574721933149913</v>
      </c>
      <c r="H172" s="307">
        <f t="shared" si="22"/>
        <v>0.1809027317059263</v>
      </c>
      <c r="I172" s="308"/>
      <c r="J172" s="308"/>
      <c r="K172" s="236">
        <f>(DataUK1!$GP160)/DataUK1!$G160</f>
        <v>1.484448762557283E-2</v>
      </c>
      <c r="L172" s="303">
        <f t="shared" si="23"/>
        <v>0.12697920104921367</v>
      </c>
      <c r="M172" s="307">
        <f t="shared" si="24"/>
        <v>0.11623704246310809</v>
      </c>
      <c r="N172" s="308">
        <f>(DataUK1!$X160+DataUK1!$BT160)/DataUK1!$G160</f>
        <v>3.6085362657510903E-2</v>
      </c>
      <c r="O172" s="308">
        <f>(DataUK1!$X160)/DataUK1!$G160</f>
        <v>2.1257323825199771E-2</v>
      </c>
      <c r="P172" s="308">
        <f>(DataUK1!$CQ160)/DataUK1!$G160</f>
        <v>8.015167980559719E-2</v>
      </c>
      <c r="Q172" s="193">
        <f>(DataUK1!$DK160)/DataUK1!$G160</f>
        <v>1.0742158586105595E-2</v>
      </c>
      <c r="R172" s="154"/>
      <c r="S172" s="154"/>
      <c r="T172" s="154"/>
      <c r="U172" s="563">
        <f>TableUK12b!F172-TableUK12d!B172</f>
        <v>0</v>
      </c>
      <c r="V172" s="563">
        <f>TableUK12b!I172-TableUK12d!G172</f>
        <v>0</v>
      </c>
      <c r="W172" s="563">
        <f>TableUK12b!J172-TableUK12d!L172</f>
        <v>0</v>
      </c>
    </row>
    <row r="173" spans="1:23">
      <c r="A173" s="200">
        <f t="shared" si="26"/>
        <v>2002</v>
      </c>
      <c r="B173" s="303">
        <f t="shared" si="25"/>
        <v>6.3802357289900469E-2</v>
      </c>
      <c r="C173" s="308">
        <f t="shared" si="20"/>
        <v>5.8454725099733096E-2</v>
      </c>
      <c r="D173" s="308"/>
      <c r="E173" s="308"/>
      <c r="F173" s="307">
        <f t="shared" si="21"/>
        <v>5.3476321901673694E-3</v>
      </c>
      <c r="G173" s="303">
        <f>TableUK12b!I173</f>
        <v>0.18954029959116658</v>
      </c>
      <c r="H173" s="307">
        <f t="shared" si="22"/>
        <v>0.17358094365854365</v>
      </c>
      <c r="I173" s="308"/>
      <c r="J173" s="308"/>
      <c r="K173" s="236">
        <f>(DataUK1!$GP161)/DataUK1!$G161</f>
        <v>1.5959355932622928E-2</v>
      </c>
      <c r="L173" s="303">
        <f t="shared" si="23"/>
        <v>0.12573794230126611</v>
      </c>
      <c r="M173" s="307">
        <f t="shared" si="24"/>
        <v>0.11512621855881056</v>
      </c>
      <c r="N173" s="308">
        <f>(DataUK1!$X161+DataUK1!$BT161)/DataUK1!$G161</f>
        <v>3.7173521124436358E-2</v>
      </c>
      <c r="O173" s="308">
        <f>(DataUK1!$X161)/DataUK1!$G161</f>
        <v>2.111412269953836E-2</v>
      </c>
      <c r="P173" s="308">
        <f>(DataUK1!$CQ161)/DataUK1!$G161</f>
        <v>7.7952697434374191E-2</v>
      </c>
      <c r="Q173" s="193">
        <f>(DataUK1!$DK161)/DataUK1!$G161</f>
        <v>1.0611723742455559E-2</v>
      </c>
      <c r="R173" s="154"/>
      <c r="S173" s="154"/>
      <c r="T173" s="154"/>
      <c r="U173" s="563">
        <f>TableUK12b!F173-TableUK12d!B173</f>
        <v>0</v>
      </c>
      <c r="V173" s="563">
        <f>TableUK12b!I173-TableUK12d!G173</f>
        <v>0</v>
      </c>
      <c r="W173" s="563">
        <f>TableUK12b!J173-TableUK12d!L173</f>
        <v>0</v>
      </c>
    </row>
    <row r="174" spans="1:23">
      <c r="A174" s="200">
        <f t="shared" si="26"/>
        <v>2003</v>
      </c>
      <c r="B174" s="303">
        <f t="shared" si="25"/>
        <v>6.348332230973118E-2</v>
      </c>
      <c r="C174" s="308">
        <f t="shared" si="20"/>
        <v>5.4030219238565325E-2</v>
      </c>
      <c r="D174" s="308"/>
      <c r="E174" s="308"/>
      <c r="F174" s="307">
        <f t="shared" si="21"/>
        <v>9.4531030711658501E-3</v>
      </c>
      <c r="G174" s="303">
        <f>TableUK12b!I174</f>
        <v>0.18547332045465803</v>
      </c>
      <c r="H174" s="307">
        <f t="shared" si="22"/>
        <v>0.16552399988733588</v>
      </c>
      <c r="I174" s="308"/>
      <c r="J174" s="308"/>
      <c r="K174" s="236">
        <f>(DataUK1!$GP162)/DataUK1!$G162</f>
        <v>1.9949320567322158E-2</v>
      </c>
      <c r="L174" s="303">
        <f t="shared" si="23"/>
        <v>0.12198999814492686</v>
      </c>
      <c r="M174" s="307">
        <f t="shared" si="24"/>
        <v>0.11149378064877055</v>
      </c>
      <c r="N174" s="308">
        <f>(DataUK1!$X162+DataUK1!$BT162)/DataUK1!$G162</f>
        <v>3.5840790047484042E-2</v>
      </c>
      <c r="O174" s="308">
        <f>(DataUK1!$X162)/DataUK1!$G162</f>
        <v>2.07379694621939E-2</v>
      </c>
      <c r="P174" s="308">
        <f>(DataUK1!$CQ162)/DataUK1!$G162</f>
        <v>7.565299060128651E-2</v>
      </c>
      <c r="Q174" s="193">
        <f>(DataUK1!$DK162)/DataUK1!$G162</f>
        <v>1.0496217496156307E-2</v>
      </c>
      <c r="R174" s="154"/>
      <c r="S174" s="154"/>
      <c r="T174" s="154"/>
      <c r="U174" s="563">
        <f>TableUK12b!F174-TableUK12d!B174</f>
        <v>0</v>
      </c>
      <c r="V174" s="563">
        <f>TableUK12b!I174-TableUK12d!G174</f>
        <v>0</v>
      </c>
      <c r="W174" s="563">
        <f>TableUK12b!J174-TableUK12d!L174</f>
        <v>0</v>
      </c>
    </row>
    <row r="175" spans="1:23">
      <c r="A175" s="200">
        <f t="shared" si="26"/>
        <v>2004</v>
      </c>
      <c r="B175" s="303">
        <f t="shared" si="25"/>
        <v>6.4737238040099246E-2</v>
      </c>
      <c r="C175" s="308">
        <f t="shared" si="20"/>
        <v>5.3785903671771551E-2</v>
      </c>
      <c r="D175" s="308"/>
      <c r="E175" s="308"/>
      <c r="F175" s="307">
        <f t="shared" si="21"/>
        <v>1.0951334368327697E-2</v>
      </c>
      <c r="G175" s="303">
        <f>TableUK12b!I175</f>
        <v>0.18925369776935358</v>
      </c>
      <c r="H175" s="307">
        <f t="shared" si="22"/>
        <v>0.16787375035493421</v>
      </c>
      <c r="I175" s="308"/>
      <c r="J175" s="308"/>
      <c r="K175" s="236">
        <f>(DataUK1!$GP163)/DataUK1!$G163</f>
        <v>2.1379947414419363E-2</v>
      </c>
      <c r="L175" s="303">
        <f t="shared" si="23"/>
        <v>0.12451645972925432</v>
      </c>
      <c r="M175" s="307">
        <f t="shared" si="24"/>
        <v>0.11408784668316266</v>
      </c>
      <c r="N175" s="308">
        <f>(DataUK1!$X163+DataUK1!$BT163)/DataUK1!$G163</f>
        <v>3.9186582932918351E-2</v>
      </c>
      <c r="O175" s="308">
        <f>(DataUK1!$X163)/DataUK1!$G163</f>
        <v>2.0596326384612264E-2</v>
      </c>
      <c r="P175" s="308">
        <f>(DataUK1!$CQ163)/DataUK1!$G163</f>
        <v>7.4901263750244307E-2</v>
      </c>
      <c r="Q175" s="193">
        <f>(DataUK1!$DK163)/DataUK1!$G163</f>
        <v>1.0428613046091667E-2</v>
      </c>
      <c r="R175" s="154"/>
      <c r="S175" s="154"/>
      <c r="T175" s="154"/>
      <c r="U175" s="563">
        <f>TableUK12b!F175-TableUK12d!B175</f>
        <v>0</v>
      </c>
      <c r="V175" s="563">
        <f>TableUK12b!I175-TableUK12d!G175</f>
        <v>0</v>
      </c>
      <c r="W175" s="563">
        <f>TableUK12b!J175-TableUK12d!L175</f>
        <v>0</v>
      </c>
    </row>
    <row r="176" spans="1:23">
      <c r="A176" s="200">
        <f t="shared" si="26"/>
        <v>2005</v>
      </c>
      <c r="B176" s="303">
        <f t="shared" si="25"/>
        <v>6.6379565073625107E-2</v>
      </c>
      <c r="C176" s="308">
        <f t="shared" si="20"/>
        <v>7.062452950984599E-2</v>
      </c>
      <c r="D176" s="308"/>
      <c r="E176" s="308"/>
      <c r="F176" s="307">
        <f t="shared" si="21"/>
        <v>-4.2449644362208827E-3</v>
      </c>
      <c r="G176" s="303">
        <f>TableUK12b!I176</f>
        <v>0.18797620638952012</v>
      </c>
      <c r="H176" s="307">
        <f t="shared" si="22"/>
        <v>0.18173231836441792</v>
      </c>
      <c r="I176" s="308"/>
      <c r="J176" s="308"/>
      <c r="K176" s="236">
        <f>(DataUK1!$GP164)/DataUK1!$G164</f>
        <v>6.2438880251021889E-3</v>
      </c>
      <c r="L176" s="303">
        <f t="shared" si="23"/>
        <v>0.121596641315895</v>
      </c>
      <c r="M176" s="307">
        <f t="shared" si="24"/>
        <v>0.11110778885457193</v>
      </c>
      <c r="N176" s="308">
        <f>(DataUK1!$X164+DataUK1!$BT164)/DataUK1!$G164</f>
        <v>3.8038469385601417E-2</v>
      </c>
      <c r="O176" s="308">
        <f>(DataUK1!$X164)/DataUK1!$G164</f>
        <v>2.0611865849626071E-2</v>
      </c>
      <c r="P176" s="308">
        <f>(DataUK1!$CQ164)/DataUK1!$G164</f>
        <v>7.3069319468970509E-2</v>
      </c>
      <c r="Q176" s="193">
        <f>(DataUK1!$DK164)/DataUK1!$G164</f>
        <v>1.0488852461323072E-2</v>
      </c>
      <c r="R176" s="154"/>
      <c r="S176" s="154"/>
      <c r="T176" s="154"/>
      <c r="U176" s="563">
        <f>TableUK12b!F176-TableUK12d!B176</f>
        <v>0</v>
      </c>
      <c r="V176" s="563">
        <f>TableUK12b!I176-TableUK12d!G176</f>
        <v>0</v>
      </c>
      <c r="W176" s="563">
        <f>TableUK12b!J176-TableUK12d!L176</f>
        <v>0</v>
      </c>
    </row>
    <row r="177" spans="1:23">
      <c r="A177" s="200">
        <f t="shared" si="26"/>
        <v>2006</v>
      </c>
      <c r="B177" s="303">
        <f t="shared" si="25"/>
        <v>7.1717042644020026E-2</v>
      </c>
      <c r="C177" s="308">
        <f t="shared" si="20"/>
        <v>6.24048987744657E-2</v>
      </c>
      <c r="D177" s="308"/>
      <c r="E177" s="308"/>
      <c r="F177" s="307">
        <f t="shared" si="21"/>
        <v>9.3121438695543263E-3</v>
      </c>
      <c r="G177" s="303">
        <f>TableUK12b!I177</f>
        <v>0.19556595002026023</v>
      </c>
      <c r="H177" s="307">
        <f t="shared" si="22"/>
        <v>0.17563273314827299</v>
      </c>
      <c r="I177" s="308"/>
      <c r="J177" s="308"/>
      <c r="K177" s="236">
        <f>(DataUK1!$GP165)/DataUK1!$G165</f>
        <v>1.9933216871987236E-2</v>
      </c>
      <c r="L177" s="303">
        <f t="shared" si="23"/>
        <v>0.1238489073762402</v>
      </c>
      <c r="M177" s="307">
        <f t="shared" si="24"/>
        <v>0.11322783437380729</v>
      </c>
      <c r="N177" s="308">
        <f>(DataUK1!$X165+DataUK1!$BT165)/DataUK1!$G165</f>
        <v>4.0841615371552606E-2</v>
      </c>
      <c r="O177" s="308">
        <f>(DataUK1!$X165)/DataUK1!$G165</f>
        <v>2.0857958070552709E-2</v>
      </c>
      <c r="P177" s="308">
        <f>(DataUK1!$CQ165)/DataUK1!$G165</f>
        <v>7.2386219002254684E-2</v>
      </c>
      <c r="Q177" s="193">
        <f>(DataUK1!$DK165)/DataUK1!$G165</f>
        <v>1.062107300243291E-2</v>
      </c>
      <c r="R177" s="154"/>
      <c r="S177" s="154"/>
      <c r="T177" s="154"/>
      <c r="U177" s="563">
        <f>TableUK12b!F177-TableUK12d!B177</f>
        <v>0</v>
      </c>
      <c r="V177" s="563">
        <f>TableUK12b!I177-TableUK12d!G177</f>
        <v>0</v>
      </c>
      <c r="W177" s="563">
        <f>TableUK12b!J177-TableUK12d!L177</f>
        <v>0</v>
      </c>
    </row>
    <row r="178" spans="1:23">
      <c r="A178" s="200">
        <f t="shared" si="26"/>
        <v>2007</v>
      </c>
      <c r="B178" s="303">
        <f t="shared" si="25"/>
        <v>8.0581971288493329E-2</v>
      </c>
      <c r="C178" s="308">
        <f t="shared" si="20"/>
        <v>7.0298978545040275E-2</v>
      </c>
      <c r="D178" s="308"/>
      <c r="E178" s="308"/>
      <c r="F178" s="307">
        <f t="shared" si="21"/>
        <v>1.0282992743453057E-2</v>
      </c>
      <c r="G178" s="303">
        <f>TableUK12b!I178</f>
        <v>0.2019662850633453</v>
      </c>
      <c r="H178" s="307">
        <f t="shared" si="22"/>
        <v>0.18127442712299624</v>
      </c>
      <c r="I178" s="308"/>
      <c r="J178" s="308"/>
      <c r="K178" s="236">
        <f>(DataUK1!$GP166)/DataUK1!$G166</f>
        <v>2.0691857940349043E-2</v>
      </c>
      <c r="L178" s="303">
        <f t="shared" si="23"/>
        <v>0.12138431377485195</v>
      </c>
      <c r="M178" s="307">
        <f t="shared" si="24"/>
        <v>0.11097544857795597</v>
      </c>
      <c r="N178" s="308">
        <f>(DataUK1!$X166+DataUK1!$BT166)/DataUK1!$G166</f>
        <v>4.0831450491217253E-2</v>
      </c>
      <c r="O178" s="308">
        <f>(DataUK1!$X166)/DataUK1!$G166</f>
        <v>2.0421232165446754E-2</v>
      </c>
      <c r="P178" s="308">
        <f>(DataUK1!$CQ166)/DataUK1!$G166</f>
        <v>7.0143998086738713E-2</v>
      </c>
      <c r="Q178" s="193">
        <f>(DataUK1!$DK166)/DataUK1!$G166</f>
        <v>1.0408865196895985E-2</v>
      </c>
      <c r="R178" s="154"/>
      <c r="S178" s="154"/>
      <c r="T178" s="154"/>
      <c r="U178" s="563">
        <f>TableUK12b!F178-TableUK12d!B178</f>
        <v>0</v>
      </c>
      <c r="V178" s="563">
        <f>TableUK12b!I178-TableUK12d!G178</f>
        <v>0</v>
      </c>
      <c r="W178" s="563">
        <f>TableUK12b!J178-TableUK12d!L178</f>
        <v>0</v>
      </c>
    </row>
    <row r="179" spans="1:23">
      <c r="A179" s="200">
        <f t="shared" si="26"/>
        <v>2008</v>
      </c>
      <c r="B179" s="303">
        <f t="shared" si="25"/>
        <v>7.0234261361603753E-2</v>
      </c>
      <c r="C179" s="308">
        <f t="shared" si="20"/>
        <v>5.5873507846389364E-2</v>
      </c>
      <c r="D179" s="308"/>
      <c r="E179" s="308"/>
      <c r="F179" s="307">
        <f t="shared" si="21"/>
        <v>1.4360753515214391E-2</v>
      </c>
      <c r="G179" s="303">
        <f>TableUK12b!I179</f>
        <v>0.18544378130734845</v>
      </c>
      <c r="H179" s="307">
        <f t="shared" si="22"/>
        <v>0.16045498934760455</v>
      </c>
      <c r="I179" s="308"/>
      <c r="J179" s="308"/>
      <c r="K179" s="236">
        <f>(DataUK1!$GP167)/DataUK1!$G167</f>
        <v>2.4988791959743916E-2</v>
      </c>
      <c r="L179" s="303">
        <f t="shared" si="23"/>
        <v>0.11520951994574471</v>
      </c>
      <c r="M179" s="307">
        <f t="shared" si="24"/>
        <v>0.10458148150121518</v>
      </c>
      <c r="N179" s="308">
        <f>(DataUK1!$X167+DataUK1!$BT167)/DataUK1!$G167</f>
        <v>3.4179765548349089E-2</v>
      </c>
      <c r="O179" s="308">
        <f>(DataUK1!$X167)/DataUK1!$G167</f>
        <v>2.0778070146728281E-2</v>
      </c>
      <c r="P179" s="308">
        <f>(DataUK1!$CQ167)/DataUK1!$G167</f>
        <v>7.0401715952866095E-2</v>
      </c>
      <c r="Q179" s="193">
        <f>(DataUK1!$DK167)/DataUK1!$G167</f>
        <v>1.0628038444529525E-2</v>
      </c>
      <c r="R179" s="154"/>
      <c r="S179" s="154"/>
      <c r="T179" s="154"/>
      <c r="U179" s="563">
        <f>TableUK12b!F179-TableUK12d!B179</f>
        <v>0</v>
      </c>
      <c r="V179" s="563">
        <f>TableUK12b!I179-TableUK12d!G179</f>
        <v>0</v>
      </c>
      <c r="W179" s="563">
        <f>TableUK12b!J179-TableUK12d!L179</f>
        <v>0</v>
      </c>
    </row>
    <row r="180" spans="1:23">
      <c r="A180" s="380">
        <f t="shared" si="26"/>
        <v>2009</v>
      </c>
      <c r="B180" s="565">
        <f t="shared" si="25"/>
        <v>3.079781507914358E-2</v>
      </c>
      <c r="C180" s="550">
        <f t="shared" si="20"/>
        <v>1.285754156532834E-2</v>
      </c>
      <c r="D180" s="550"/>
      <c r="E180" s="550"/>
      <c r="F180" s="568">
        <f t="shared" si="21"/>
        <v>1.794027351381524E-2</v>
      </c>
      <c r="G180" s="565">
        <f>TableUK12b!I180</f>
        <v>0.1579163510226865</v>
      </c>
      <c r="H180" s="568">
        <f t="shared" si="22"/>
        <v>0.1282739922650612</v>
      </c>
      <c r="I180" s="550"/>
      <c r="J180" s="550"/>
      <c r="K180" s="244">
        <f>(DataUK1!$GP168)/DataUK1!$G168</f>
        <v>2.9642358757625293E-2</v>
      </c>
      <c r="L180" s="565">
        <f t="shared" si="23"/>
        <v>0.12711853594354292</v>
      </c>
      <c r="M180" s="568">
        <f t="shared" si="24"/>
        <v>0.11541645069973286</v>
      </c>
      <c r="N180" s="550">
        <f>(DataUK1!$X168+DataUK1!$BT168)/DataUK1!$G168</f>
        <v>3.7419560623579602E-2</v>
      </c>
      <c r="O180" s="550">
        <f>(DataUK1!$X168)/DataUK1!$G168</f>
        <v>2.2332442885052432E-2</v>
      </c>
      <c r="P180" s="550">
        <f>(DataUK1!$CQ168)/DataUK1!$G168</f>
        <v>7.7996890076153264E-2</v>
      </c>
      <c r="Q180" s="886">
        <f>(DataUK1!$DK168)/DataUK1!$G168</f>
        <v>1.1702085243810055E-2</v>
      </c>
      <c r="R180" s="154"/>
      <c r="S180" s="154"/>
      <c r="T180" s="154"/>
      <c r="U180" s="563">
        <f>TableUK12b!F180-TableUK12d!B180</f>
        <v>0</v>
      </c>
      <c r="V180" s="563">
        <f>TableUK12b!I180-TableUK12d!G180</f>
        <v>0</v>
      </c>
      <c r="W180" s="563">
        <f>TableUK12b!J180-TableUK12d!L180</f>
        <v>0</v>
      </c>
    </row>
    <row r="181" spans="1:23" ht="13" thickBot="1">
      <c r="A181" s="221">
        <f t="shared" si="26"/>
        <v>2010</v>
      </c>
      <c r="B181" s="567">
        <f t="shared" si="25"/>
        <v>4.596529703928269E-2</v>
      </c>
      <c r="C181" s="552">
        <f t="shared" si="20"/>
        <v>3.0038208923510029E-2</v>
      </c>
      <c r="D181" s="552"/>
      <c r="E181" s="552"/>
      <c r="F181" s="573">
        <f t="shared" si="21"/>
        <v>1.5927088115772661E-2</v>
      </c>
      <c r="G181" s="567">
        <f>TableUK12b!I181</f>
        <v>0.17042394071735639</v>
      </c>
      <c r="H181" s="573">
        <f t="shared" si="22"/>
        <v>0.14273442331844688</v>
      </c>
      <c r="I181" s="552"/>
      <c r="J181" s="552"/>
      <c r="K181" s="248">
        <f>(DataUK1!$GP169)/DataUK1!$G169</f>
        <v>2.768951739890951E-2</v>
      </c>
      <c r="L181" s="567">
        <f t="shared" si="23"/>
        <v>0.1244586436780737</v>
      </c>
      <c r="M181" s="573">
        <f t="shared" si="24"/>
        <v>0.11269621439493685</v>
      </c>
      <c r="N181" s="552">
        <f>(DataUK1!$X169+DataUK1!$BT169)/DataUK1!$G169</f>
        <v>3.5451202992969104E-2</v>
      </c>
      <c r="O181" s="552">
        <f>(DataUK1!$X169)/DataUK1!$G169</f>
        <v>2.2448786003468019E-2</v>
      </c>
      <c r="P181" s="552">
        <f>(DataUK1!$CQ169)/DataUK1!$G169</f>
        <v>7.7245011401967739E-2</v>
      </c>
      <c r="Q181" s="226">
        <f>(DataUK1!$DK169)/DataUK1!$G169</f>
        <v>1.176242928313685E-2</v>
      </c>
      <c r="R181" s="154"/>
      <c r="S181" s="154"/>
      <c r="T181" s="154"/>
      <c r="U181" s="563">
        <f>TableUK12b!F181-TableUK12d!B181</f>
        <v>0</v>
      </c>
      <c r="V181" s="563">
        <f>TableUK12b!I181-TableUK12d!G181</f>
        <v>0</v>
      </c>
      <c r="W181" s="563">
        <f>TableUK12b!J181-TableUK12d!L181</f>
        <v>0</v>
      </c>
    </row>
    <row r="182" spans="1:23" ht="13" thickTop="1">
      <c r="A182" s="358"/>
      <c r="B182" s="307"/>
      <c r="C182" s="308"/>
      <c r="D182" s="308"/>
      <c r="E182" s="308"/>
      <c r="F182" s="307"/>
      <c r="G182" s="307"/>
      <c r="H182" s="307"/>
      <c r="I182" s="308"/>
      <c r="J182" s="308"/>
      <c r="K182" s="307"/>
      <c r="L182" s="307"/>
      <c r="M182" s="307"/>
      <c r="N182" s="308"/>
      <c r="O182" s="308"/>
      <c r="P182" s="308"/>
      <c r="Q182" s="307"/>
      <c r="R182" s="154"/>
      <c r="S182" s="154"/>
      <c r="T182" s="154"/>
      <c r="U182" s="563"/>
      <c r="V182" s="563"/>
      <c r="W182" s="563"/>
    </row>
    <row r="183" spans="1:23" ht="13" thickBot="1">
      <c r="A183" s="358"/>
      <c r="B183" s="307"/>
      <c r="C183" s="308"/>
      <c r="D183" s="308"/>
      <c r="E183" s="308"/>
      <c r="F183" s="307"/>
      <c r="G183" s="307"/>
      <c r="H183" s="307"/>
      <c r="I183" s="308"/>
      <c r="J183" s="308"/>
      <c r="K183" s="307"/>
      <c r="L183" s="307"/>
      <c r="M183" s="307"/>
      <c r="N183" s="308"/>
      <c r="O183" s="308"/>
      <c r="P183" s="308"/>
      <c r="Q183" s="307"/>
      <c r="R183" s="154"/>
      <c r="S183" s="154"/>
      <c r="T183" s="154"/>
      <c r="U183" s="563"/>
      <c r="V183" s="563"/>
      <c r="W183" s="563"/>
    </row>
    <row r="184" spans="1:23">
      <c r="A184" s="2400" t="s">
        <v>1441</v>
      </c>
      <c r="B184" s="2401"/>
      <c r="C184" s="2401"/>
      <c r="D184" s="2401"/>
      <c r="E184" s="2401"/>
      <c r="F184" s="2401"/>
      <c r="G184" s="2401"/>
      <c r="H184" s="2401"/>
      <c r="I184" s="2401"/>
      <c r="J184" s="2401"/>
      <c r="K184" s="2401"/>
      <c r="L184" s="2401"/>
      <c r="M184" s="2401"/>
      <c r="N184" s="2401"/>
      <c r="O184" s="2401"/>
      <c r="P184" s="2401"/>
      <c r="Q184" s="2402"/>
      <c r="R184" s="154"/>
      <c r="S184" s="154"/>
      <c r="T184" s="154"/>
    </row>
    <row r="185" spans="1:23">
      <c r="A185" s="2571"/>
      <c r="B185" s="2572"/>
      <c r="C185" s="2572"/>
      <c r="D185" s="2572"/>
      <c r="E185" s="2572"/>
      <c r="F185" s="2572"/>
      <c r="G185" s="2572"/>
      <c r="H185" s="2572"/>
      <c r="I185" s="2572"/>
      <c r="J185" s="2572"/>
      <c r="K185" s="2572"/>
      <c r="L185" s="2572"/>
      <c r="M185" s="2572"/>
      <c r="N185" s="2572"/>
      <c r="O185" s="2572"/>
      <c r="P185" s="2572"/>
      <c r="Q185" s="2573"/>
      <c r="R185" s="154"/>
      <c r="S185" s="154"/>
      <c r="T185" s="154"/>
    </row>
    <row r="186" spans="1:23" ht="15" customHeight="1">
      <c r="A186" s="1905"/>
      <c r="B186" s="2567" t="s">
        <v>626</v>
      </c>
      <c r="C186" s="2567"/>
      <c r="D186" s="2567"/>
      <c r="E186" s="309"/>
      <c r="F186" s="309"/>
      <c r="G186" s="309"/>
      <c r="H186" s="309"/>
      <c r="I186" s="309"/>
      <c r="J186" s="309"/>
      <c r="K186" s="309"/>
      <c r="L186" s="309"/>
      <c r="M186" s="309"/>
      <c r="N186" s="309"/>
      <c r="O186" s="309"/>
      <c r="P186" s="309"/>
      <c r="Q186" s="1906"/>
      <c r="R186" s="154"/>
      <c r="S186" s="154"/>
      <c r="T186" s="154"/>
    </row>
    <row r="187" spans="1:23">
      <c r="A187" s="1695"/>
      <c r="B187" s="519" t="s">
        <v>627</v>
      </c>
      <c r="C187" s="310" t="s">
        <v>628</v>
      </c>
      <c r="D187" s="310"/>
      <c r="E187" s="170"/>
      <c r="F187" s="170"/>
      <c r="G187" s="170"/>
      <c r="H187" s="170"/>
      <c r="I187" s="170"/>
      <c r="J187" s="170"/>
      <c r="K187" s="170"/>
      <c r="L187" s="170"/>
      <c r="M187" s="170"/>
      <c r="N187" s="170"/>
      <c r="O187" s="170"/>
      <c r="P187" s="170"/>
      <c r="Q187" s="1907"/>
      <c r="R187" s="154"/>
      <c r="S187" s="154"/>
      <c r="T187" s="154"/>
    </row>
    <row r="188" spans="1:23">
      <c r="A188" s="1695" t="s">
        <v>618</v>
      </c>
      <c r="B188" s="1188">
        <f>AVERAGE(B$26:B$43)</f>
        <v>5.797559270763792E-2</v>
      </c>
      <c r="C188" s="1212">
        <v>6.0999999999999999E-2</v>
      </c>
      <c r="D188" s="1188">
        <f>B188-C188</f>
        <v>-3.0244072923620788E-3</v>
      </c>
      <c r="E188" s="307"/>
      <c r="F188" s="307"/>
      <c r="G188" s="1187"/>
      <c r="H188" s="1187"/>
      <c r="I188" s="307"/>
      <c r="J188" s="307"/>
      <c r="K188" s="307"/>
      <c r="L188" s="1187"/>
      <c r="M188" s="1187"/>
      <c r="N188" s="307"/>
      <c r="O188" s="307"/>
      <c r="P188" s="307"/>
      <c r="Q188" s="1178"/>
      <c r="R188" s="154"/>
      <c r="S188" s="154"/>
      <c r="T188" s="154"/>
    </row>
    <row r="189" spans="1:23">
      <c r="A189" s="1695" t="s">
        <v>619</v>
      </c>
      <c r="B189" s="1188">
        <f>AVERAGE(B$44:B$84)</f>
        <v>6.548165153169952E-2</v>
      </c>
      <c r="C189" s="1212">
        <v>6.2E-2</v>
      </c>
      <c r="D189" s="1188">
        <f>B189-C189</f>
        <v>3.48165153169952E-3</v>
      </c>
      <c r="E189" s="307"/>
      <c r="F189" s="307"/>
      <c r="G189" s="1187"/>
      <c r="H189" s="1187"/>
      <c r="I189" s="307"/>
      <c r="J189" s="307"/>
      <c r="K189" s="307"/>
      <c r="L189" s="1187"/>
      <c r="M189" s="1187"/>
      <c r="N189" s="307"/>
      <c r="O189" s="307"/>
      <c r="P189" s="307"/>
      <c r="Q189" s="1178"/>
      <c r="R189" s="154"/>
      <c r="S189" s="154"/>
      <c r="T189" s="154"/>
    </row>
    <row r="190" spans="1:23" ht="13" thickBot="1">
      <c r="A190" s="1908" t="s">
        <v>620</v>
      </c>
      <c r="B190" s="1909">
        <f>AVERAGE(B$95:B$108)</f>
        <v>6.3575989923459114E-2</v>
      </c>
      <c r="C190" s="1910">
        <v>6.6000000000000003E-2</v>
      </c>
      <c r="D190" s="1909">
        <f>B190-C190</f>
        <v>-2.424010076540889E-3</v>
      </c>
      <c r="E190" s="1911"/>
      <c r="F190" s="1911"/>
      <c r="G190" s="1912"/>
      <c r="H190" s="1912"/>
      <c r="I190" s="1911"/>
      <c r="J190" s="1911"/>
      <c r="K190" s="1911"/>
      <c r="L190" s="1912"/>
      <c r="M190" s="1912"/>
      <c r="N190" s="1911"/>
      <c r="O190" s="1911"/>
      <c r="P190" s="1911"/>
      <c r="Q190" s="1913"/>
      <c r="R190" s="154"/>
      <c r="S190" s="154"/>
      <c r="T190" s="154"/>
    </row>
    <row r="191" spans="1:23">
      <c r="A191" s="87"/>
      <c r="B191" s="592"/>
      <c r="C191" s="592"/>
      <c r="D191" s="306"/>
      <c r="E191" s="306"/>
      <c r="F191" s="306"/>
      <c r="G191" s="592"/>
      <c r="H191" s="592"/>
      <c r="I191" s="306"/>
      <c r="J191" s="306"/>
      <c r="K191" s="306"/>
      <c r="L191" s="592"/>
      <c r="M191" s="592"/>
      <c r="N191" s="306"/>
      <c r="O191" s="306"/>
      <c r="P191" s="306"/>
      <c r="Q191" s="592"/>
      <c r="R191" s="154"/>
      <c r="S191" s="154"/>
      <c r="T191" s="154"/>
    </row>
    <row r="192" spans="1:23">
      <c r="A192" s="440"/>
      <c r="B192" s="300"/>
      <c r="C192" s="302"/>
      <c r="D192" s="302"/>
      <c r="E192" s="118"/>
      <c r="F192" s="118"/>
      <c r="G192" s="593"/>
      <c r="H192" s="118"/>
      <c r="I192" s="118"/>
      <c r="J192" s="118"/>
      <c r="K192" s="118"/>
      <c r="L192" s="118"/>
      <c r="M192" s="118"/>
      <c r="N192" s="118"/>
      <c r="O192" s="118"/>
      <c r="P192" s="118"/>
      <c r="Q192" s="118"/>
      <c r="R192" s="154"/>
      <c r="S192" s="154"/>
      <c r="T192" s="154"/>
    </row>
    <row r="193" spans="1:20">
      <c r="A193" s="440"/>
      <c r="B193" s="300"/>
      <c r="C193" s="302"/>
      <c r="D193" s="302"/>
      <c r="E193" s="118"/>
      <c r="F193" s="118"/>
      <c r="G193" s="593"/>
      <c r="H193" s="118"/>
      <c r="I193" s="118"/>
      <c r="J193" s="118"/>
      <c r="K193" s="118"/>
      <c r="L193" s="118"/>
      <c r="M193" s="118"/>
      <c r="N193" s="118"/>
      <c r="O193" s="118"/>
      <c r="P193" s="118"/>
      <c r="Q193" s="118"/>
      <c r="R193" s="154"/>
      <c r="S193" s="154"/>
      <c r="T193" s="154"/>
    </row>
    <row r="194" spans="1:20">
      <c r="A194" s="440"/>
      <c r="B194" s="300"/>
      <c r="C194" s="118"/>
      <c r="D194" s="118"/>
      <c r="E194" s="118"/>
      <c r="F194" s="118"/>
      <c r="G194" s="593"/>
      <c r="H194" s="118"/>
      <c r="I194" s="118"/>
      <c r="J194" s="118"/>
      <c r="K194" s="118"/>
      <c r="L194" s="118"/>
      <c r="M194" s="118"/>
      <c r="N194" s="118"/>
      <c r="O194" s="118"/>
      <c r="P194" s="118"/>
      <c r="Q194" s="118"/>
      <c r="R194" s="154"/>
      <c r="S194" s="154"/>
      <c r="T194" s="154"/>
    </row>
    <row r="195" spans="1:20">
      <c r="A195" s="440"/>
      <c r="B195" s="300"/>
      <c r="C195" s="118"/>
      <c r="D195" s="118"/>
      <c r="E195" s="118"/>
      <c r="F195" s="118"/>
      <c r="G195" s="593"/>
      <c r="H195" s="118"/>
      <c r="I195" s="118"/>
      <c r="J195" s="118"/>
      <c r="K195" s="118"/>
      <c r="L195" s="118"/>
      <c r="M195" s="118"/>
      <c r="N195" s="118"/>
      <c r="O195" s="118"/>
      <c r="P195" s="118"/>
      <c r="Q195" s="118"/>
      <c r="R195" s="154"/>
      <c r="S195" s="154"/>
      <c r="T195" s="154"/>
    </row>
    <row r="196" spans="1:20">
      <c r="B196" s="118"/>
      <c r="C196" s="118"/>
      <c r="D196" s="118"/>
      <c r="E196" s="118"/>
      <c r="F196" s="118"/>
      <c r="G196" s="118"/>
      <c r="H196" s="118"/>
      <c r="I196" s="118"/>
      <c r="J196" s="118"/>
      <c r="K196" s="118"/>
      <c r="L196" s="118"/>
      <c r="M196" s="118"/>
      <c r="N196" s="118"/>
      <c r="O196" s="118"/>
      <c r="P196" s="118"/>
      <c r="Q196" s="118"/>
      <c r="R196" s="154"/>
      <c r="S196" s="154"/>
      <c r="T196" s="154"/>
    </row>
    <row r="197" spans="1:20">
      <c r="B197" s="118"/>
      <c r="C197" s="118"/>
      <c r="D197" s="118"/>
      <c r="E197" s="118"/>
      <c r="F197" s="118"/>
      <c r="G197" s="118"/>
      <c r="H197" s="118"/>
      <c r="I197" s="118"/>
      <c r="J197" s="118"/>
      <c r="K197" s="118"/>
      <c r="L197" s="118"/>
      <c r="M197" s="118"/>
      <c r="N197" s="118"/>
      <c r="O197" s="118"/>
      <c r="P197" s="118"/>
      <c r="Q197" s="118"/>
      <c r="R197" s="154"/>
      <c r="S197" s="154"/>
      <c r="T197" s="154"/>
    </row>
    <row r="198" spans="1:20">
      <c r="B198" s="118"/>
      <c r="C198" s="118"/>
      <c r="D198" s="118"/>
      <c r="E198" s="118"/>
      <c r="F198" s="118"/>
      <c r="G198" s="118"/>
      <c r="H198" s="118"/>
      <c r="I198" s="118"/>
      <c r="J198" s="118"/>
      <c r="K198" s="118"/>
      <c r="L198" s="118"/>
      <c r="M198" s="118"/>
      <c r="N198" s="118"/>
      <c r="O198" s="118"/>
      <c r="P198" s="118"/>
      <c r="Q198" s="118"/>
      <c r="R198" s="154"/>
      <c r="S198" s="154"/>
      <c r="T198" s="154"/>
    </row>
    <row r="199" spans="1:20">
      <c r="B199" s="118"/>
      <c r="C199" s="118"/>
      <c r="D199" s="118"/>
      <c r="E199" s="118"/>
      <c r="F199" s="118"/>
      <c r="G199" s="118"/>
      <c r="H199" s="118"/>
      <c r="I199" s="118"/>
      <c r="J199" s="118"/>
      <c r="K199" s="118"/>
      <c r="L199" s="118"/>
      <c r="M199" s="118"/>
      <c r="N199" s="118"/>
      <c r="O199" s="118"/>
      <c r="P199" s="118"/>
      <c r="Q199" s="118"/>
      <c r="R199" s="154"/>
      <c r="S199" s="154"/>
      <c r="T199" s="154"/>
    </row>
    <row r="200" spans="1:20">
      <c r="B200" s="118"/>
      <c r="C200" s="118"/>
      <c r="D200" s="118"/>
      <c r="E200" s="118"/>
      <c r="F200" s="118"/>
      <c r="G200" s="118"/>
      <c r="H200" s="118"/>
      <c r="I200" s="118"/>
      <c r="J200" s="118"/>
      <c r="K200" s="118"/>
      <c r="L200" s="118"/>
      <c r="M200" s="118"/>
      <c r="N200" s="118"/>
      <c r="O200" s="118"/>
      <c r="P200" s="118"/>
      <c r="Q200" s="118"/>
      <c r="R200" s="154"/>
      <c r="S200" s="154"/>
      <c r="T200" s="154"/>
    </row>
    <row r="201" spans="1:20">
      <c r="B201" s="118"/>
      <c r="C201" s="118"/>
      <c r="D201" s="118"/>
      <c r="E201" s="118"/>
      <c r="F201" s="118"/>
      <c r="G201" s="118"/>
      <c r="H201" s="118"/>
      <c r="I201" s="118"/>
      <c r="J201" s="118"/>
      <c r="K201" s="118"/>
      <c r="L201" s="118"/>
      <c r="M201" s="118"/>
      <c r="N201" s="118"/>
      <c r="O201" s="118"/>
      <c r="P201" s="118"/>
      <c r="Q201" s="118"/>
      <c r="R201" s="118"/>
      <c r="S201" s="118"/>
      <c r="T201" s="118"/>
    </row>
    <row r="202" spans="1:20">
      <c r="B202" s="118"/>
      <c r="C202" s="118"/>
      <c r="D202" s="118"/>
      <c r="E202" s="118"/>
      <c r="F202" s="118"/>
      <c r="G202" s="118"/>
      <c r="H202" s="118"/>
      <c r="I202" s="118"/>
      <c r="J202" s="118"/>
      <c r="K202" s="118"/>
      <c r="L202" s="118"/>
      <c r="M202" s="118"/>
      <c r="N202" s="118"/>
      <c r="O202" s="118"/>
      <c r="P202" s="118"/>
      <c r="Q202" s="118"/>
      <c r="R202" s="118"/>
      <c r="S202" s="118"/>
      <c r="T202" s="118"/>
    </row>
    <row r="203" spans="1:20">
      <c r="B203" s="118"/>
      <c r="C203" s="118"/>
      <c r="D203" s="118"/>
      <c r="E203" s="118"/>
      <c r="F203" s="118"/>
      <c r="G203" s="118"/>
      <c r="H203" s="118"/>
      <c r="I203" s="118"/>
      <c r="J203" s="118"/>
      <c r="K203" s="118"/>
      <c r="L203" s="118"/>
      <c r="M203" s="118"/>
      <c r="N203" s="118"/>
      <c r="O203" s="118"/>
      <c r="P203" s="118"/>
      <c r="Q203" s="118"/>
      <c r="R203" s="118"/>
      <c r="S203" s="118"/>
      <c r="T203" s="118"/>
    </row>
    <row r="204" spans="1:20">
      <c r="B204" s="118"/>
      <c r="C204" s="118"/>
      <c r="D204" s="118"/>
      <c r="E204" s="118"/>
      <c r="F204" s="118"/>
      <c r="G204" s="118"/>
      <c r="H204" s="118"/>
      <c r="I204" s="118"/>
      <c r="J204" s="118"/>
      <c r="K204" s="118"/>
      <c r="L204" s="118"/>
      <c r="M204" s="118"/>
      <c r="N204" s="118"/>
      <c r="O204" s="118"/>
      <c r="P204" s="118"/>
      <c r="Q204" s="118"/>
      <c r="R204" s="118"/>
      <c r="S204" s="118"/>
      <c r="T204" s="118"/>
    </row>
    <row r="205" spans="1:20">
      <c r="B205" s="118"/>
      <c r="C205" s="118"/>
      <c r="D205" s="118"/>
      <c r="E205" s="118"/>
      <c r="F205" s="118"/>
      <c r="G205" s="118"/>
      <c r="H205" s="118"/>
      <c r="I205" s="118"/>
      <c r="J205" s="118"/>
      <c r="K205" s="118"/>
      <c r="L205" s="118"/>
      <c r="M205" s="118"/>
      <c r="N205" s="118"/>
      <c r="O205" s="118"/>
      <c r="P205" s="118"/>
      <c r="Q205" s="118"/>
      <c r="R205" s="118"/>
      <c r="S205" s="118"/>
      <c r="T205" s="118"/>
    </row>
    <row r="206" spans="1:20">
      <c r="B206" s="118"/>
      <c r="C206" s="118"/>
      <c r="D206" s="118"/>
      <c r="E206" s="118"/>
      <c r="F206" s="118"/>
      <c r="G206" s="118"/>
      <c r="H206" s="118"/>
      <c r="I206" s="118"/>
      <c r="J206" s="118"/>
      <c r="K206" s="118"/>
      <c r="L206" s="118"/>
      <c r="M206" s="118"/>
      <c r="N206" s="118"/>
      <c r="O206" s="118"/>
      <c r="P206" s="118"/>
      <c r="Q206" s="118"/>
      <c r="R206" s="118"/>
      <c r="S206" s="118"/>
      <c r="T206" s="118"/>
    </row>
    <row r="207" spans="1:20">
      <c r="B207" s="118"/>
      <c r="C207" s="118"/>
      <c r="D207" s="118"/>
      <c r="E207" s="118"/>
      <c r="F207" s="118"/>
      <c r="G207" s="118"/>
      <c r="H207" s="118"/>
      <c r="I207" s="118"/>
      <c r="J207" s="118"/>
      <c r="K207" s="118"/>
      <c r="L207" s="118"/>
      <c r="M207" s="118"/>
      <c r="N207" s="118"/>
      <c r="O207" s="118"/>
      <c r="P207" s="118"/>
      <c r="Q207" s="118"/>
      <c r="R207" s="118"/>
      <c r="S207" s="118"/>
      <c r="T207" s="118"/>
    </row>
    <row r="208" spans="1:20">
      <c r="B208" s="118"/>
      <c r="C208" s="118"/>
      <c r="D208" s="118"/>
      <c r="E208" s="118"/>
      <c r="F208" s="118"/>
      <c r="G208" s="118"/>
      <c r="H208" s="118"/>
      <c r="I208" s="118"/>
      <c r="J208" s="118"/>
      <c r="K208" s="118"/>
      <c r="L208" s="118"/>
      <c r="M208" s="118"/>
      <c r="N208" s="118"/>
      <c r="O208" s="118"/>
      <c r="P208" s="118"/>
      <c r="Q208" s="118"/>
      <c r="R208" s="118"/>
      <c r="S208" s="118"/>
      <c r="T208" s="118"/>
    </row>
    <row r="209" spans="2:20">
      <c r="B209" s="118"/>
      <c r="C209" s="118"/>
      <c r="D209" s="118"/>
      <c r="E209" s="118"/>
      <c r="F209" s="118"/>
      <c r="G209" s="118"/>
      <c r="H209" s="118"/>
      <c r="I209" s="118"/>
      <c r="J209" s="118"/>
      <c r="K209" s="118"/>
      <c r="L209" s="118"/>
      <c r="M209" s="118"/>
      <c r="N209" s="118"/>
      <c r="O209" s="118"/>
      <c r="P209" s="118"/>
      <c r="Q209" s="118"/>
      <c r="R209" s="118"/>
      <c r="S209" s="118"/>
      <c r="T209" s="118"/>
    </row>
    <row r="210" spans="2:20">
      <c r="B210" s="118"/>
      <c r="C210" s="118"/>
      <c r="D210" s="118"/>
      <c r="E210" s="118"/>
      <c r="F210" s="118"/>
      <c r="G210" s="118"/>
      <c r="H210" s="118"/>
      <c r="I210" s="118"/>
      <c r="J210" s="118"/>
      <c r="K210" s="118"/>
      <c r="L210" s="118"/>
      <c r="M210" s="118"/>
      <c r="N210" s="118"/>
      <c r="O210" s="118"/>
      <c r="P210" s="118"/>
      <c r="Q210" s="118"/>
      <c r="R210" s="118"/>
      <c r="S210" s="118"/>
      <c r="T210" s="118"/>
    </row>
    <row r="211" spans="2:20">
      <c r="B211" s="118"/>
      <c r="C211" s="118"/>
      <c r="D211" s="118"/>
      <c r="E211" s="118"/>
      <c r="F211" s="118"/>
      <c r="G211" s="118"/>
      <c r="H211" s="118"/>
      <c r="I211" s="118"/>
      <c r="J211" s="118"/>
      <c r="K211" s="118"/>
      <c r="L211" s="118"/>
      <c r="M211" s="118"/>
      <c r="N211" s="118"/>
      <c r="O211" s="118"/>
      <c r="P211" s="118"/>
      <c r="Q211" s="118"/>
      <c r="R211" s="118"/>
      <c r="S211" s="118"/>
      <c r="T211" s="118"/>
    </row>
    <row r="212" spans="2:20">
      <c r="B212" s="118"/>
      <c r="C212" s="118"/>
      <c r="D212" s="118"/>
      <c r="E212" s="118"/>
      <c r="F212" s="118"/>
      <c r="G212" s="118"/>
      <c r="H212" s="118"/>
      <c r="I212" s="118"/>
      <c r="J212" s="118"/>
      <c r="K212" s="118"/>
      <c r="L212" s="118"/>
      <c r="M212" s="118"/>
      <c r="N212" s="118"/>
      <c r="O212" s="118"/>
      <c r="P212" s="118"/>
      <c r="Q212" s="118"/>
      <c r="R212" s="118"/>
      <c r="S212" s="118"/>
      <c r="T212" s="118"/>
    </row>
    <row r="213" spans="2:20">
      <c r="B213" s="118"/>
      <c r="C213" s="118"/>
      <c r="D213" s="118"/>
      <c r="E213" s="118"/>
      <c r="F213" s="118"/>
      <c r="G213" s="118"/>
      <c r="H213" s="118"/>
      <c r="I213" s="118"/>
      <c r="J213" s="118"/>
      <c r="K213" s="118"/>
      <c r="L213" s="118"/>
      <c r="M213" s="118"/>
      <c r="N213" s="118"/>
      <c r="O213" s="118"/>
      <c r="P213" s="118"/>
      <c r="Q213" s="118"/>
      <c r="R213" s="118"/>
      <c r="S213" s="118"/>
      <c r="T213" s="118"/>
    </row>
    <row r="214" spans="2:20">
      <c r="B214" s="118"/>
      <c r="C214" s="118"/>
      <c r="D214" s="118"/>
      <c r="E214" s="118"/>
      <c r="F214" s="118"/>
      <c r="G214" s="118"/>
      <c r="H214" s="118"/>
      <c r="I214" s="118"/>
      <c r="J214" s="118"/>
      <c r="K214" s="118"/>
      <c r="L214" s="118"/>
      <c r="M214" s="118"/>
      <c r="N214" s="118"/>
      <c r="O214" s="118"/>
      <c r="P214" s="118"/>
      <c r="Q214" s="118"/>
      <c r="R214" s="118"/>
      <c r="S214" s="118"/>
      <c r="T214" s="118"/>
    </row>
    <row r="215" spans="2:20">
      <c r="B215" s="118"/>
      <c r="C215" s="118"/>
      <c r="D215" s="118"/>
      <c r="E215" s="118"/>
      <c r="F215" s="118"/>
      <c r="G215" s="118"/>
      <c r="H215" s="118"/>
      <c r="I215" s="118"/>
      <c r="J215" s="118"/>
      <c r="K215" s="118"/>
      <c r="L215" s="118"/>
      <c r="M215" s="118"/>
      <c r="N215" s="118"/>
      <c r="O215" s="118"/>
      <c r="P215" s="118"/>
      <c r="Q215" s="118"/>
      <c r="R215" s="118"/>
      <c r="S215" s="118"/>
      <c r="T215" s="118"/>
    </row>
    <row r="216" spans="2:20">
      <c r="B216" s="118"/>
      <c r="C216" s="118"/>
      <c r="D216" s="118"/>
      <c r="E216" s="118"/>
      <c r="F216" s="118"/>
      <c r="G216" s="118"/>
      <c r="H216" s="118"/>
      <c r="I216" s="118"/>
      <c r="J216" s="118"/>
      <c r="K216" s="118"/>
      <c r="L216" s="118"/>
      <c r="M216" s="118"/>
      <c r="N216" s="118"/>
      <c r="O216" s="118"/>
      <c r="P216" s="118"/>
      <c r="Q216" s="118"/>
      <c r="R216" s="118"/>
      <c r="S216" s="118"/>
      <c r="T216" s="118"/>
    </row>
    <row r="217" spans="2:20">
      <c r="B217" s="118"/>
      <c r="C217" s="118"/>
      <c r="D217" s="118"/>
      <c r="E217" s="118"/>
      <c r="F217" s="118"/>
      <c r="G217" s="118"/>
      <c r="H217" s="118"/>
      <c r="I217" s="118"/>
      <c r="J217" s="118"/>
      <c r="K217" s="118"/>
      <c r="L217" s="118"/>
      <c r="M217" s="118"/>
      <c r="N217" s="118"/>
      <c r="O217" s="118"/>
      <c r="P217" s="118"/>
      <c r="Q217" s="118"/>
      <c r="R217" s="118"/>
      <c r="S217" s="118"/>
      <c r="T217" s="118"/>
    </row>
    <row r="218" spans="2:20">
      <c r="B218" s="118"/>
      <c r="C218" s="118"/>
      <c r="D218" s="118"/>
      <c r="E218" s="118"/>
      <c r="F218" s="118"/>
      <c r="G218" s="118"/>
      <c r="H218" s="118"/>
      <c r="I218" s="118"/>
      <c r="J218" s="118"/>
      <c r="K218" s="118"/>
      <c r="L218" s="118"/>
      <c r="M218" s="118"/>
      <c r="N218" s="118"/>
      <c r="O218" s="118"/>
      <c r="P218" s="118"/>
      <c r="Q218" s="118"/>
      <c r="R218" s="118"/>
      <c r="S218" s="118"/>
      <c r="T218" s="118"/>
    </row>
    <row r="219" spans="2:20">
      <c r="B219" s="118"/>
      <c r="C219" s="118"/>
      <c r="D219" s="118"/>
      <c r="E219" s="118"/>
      <c r="F219" s="118"/>
      <c r="G219" s="118"/>
      <c r="H219" s="118"/>
      <c r="I219" s="118"/>
      <c r="J219" s="118"/>
      <c r="K219" s="118"/>
      <c r="L219" s="118"/>
      <c r="M219" s="118"/>
      <c r="N219" s="118"/>
      <c r="O219" s="118"/>
      <c r="P219" s="118"/>
      <c r="Q219" s="118"/>
      <c r="R219" s="118"/>
      <c r="S219" s="118"/>
      <c r="T219" s="118"/>
    </row>
    <row r="220" spans="2:20">
      <c r="B220" s="118"/>
      <c r="C220" s="118"/>
      <c r="D220" s="118"/>
      <c r="E220" s="118"/>
      <c r="F220" s="118"/>
      <c r="G220" s="118"/>
      <c r="H220" s="118"/>
      <c r="I220" s="118"/>
      <c r="J220" s="118"/>
      <c r="K220" s="118"/>
      <c r="L220" s="118"/>
      <c r="M220" s="118"/>
      <c r="N220" s="118"/>
      <c r="O220" s="118"/>
      <c r="P220" s="118"/>
      <c r="Q220" s="118"/>
      <c r="R220" s="118"/>
      <c r="S220" s="118"/>
      <c r="T220" s="118"/>
    </row>
    <row r="221" spans="2:20">
      <c r="B221" s="118"/>
      <c r="C221" s="118"/>
      <c r="D221" s="118"/>
      <c r="E221" s="118"/>
      <c r="F221" s="118"/>
      <c r="G221" s="118"/>
      <c r="H221" s="118"/>
      <c r="I221" s="118"/>
      <c r="J221" s="118"/>
      <c r="K221" s="118"/>
      <c r="L221" s="118"/>
      <c r="M221" s="118"/>
      <c r="N221" s="118"/>
      <c r="O221" s="118"/>
      <c r="P221" s="118"/>
      <c r="Q221" s="118"/>
      <c r="R221" s="118"/>
      <c r="S221" s="118"/>
      <c r="T221" s="118"/>
    </row>
    <row r="222" spans="2:20">
      <c r="B222" s="118"/>
      <c r="C222" s="118"/>
      <c r="D222" s="118"/>
      <c r="E222" s="118"/>
      <c r="F222" s="118"/>
      <c r="G222" s="118"/>
      <c r="H222" s="118"/>
      <c r="I222" s="118"/>
      <c r="J222" s="118"/>
      <c r="K222" s="118"/>
      <c r="L222" s="118"/>
      <c r="M222" s="118"/>
      <c r="N222" s="118"/>
      <c r="O222" s="118"/>
      <c r="P222" s="118"/>
      <c r="Q222" s="118"/>
      <c r="R222" s="118"/>
      <c r="S222" s="118"/>
      <c r="T222" s="118"/>
    </row>
    <row r="223" spans="2:20">
      <c r="B223" s="118"/>
      <c r="C223" s="118"/>
      <c r="D223" s="118"/>
      <c r="E223" s="118"/>
      <c r="F223" s="118"/>
      <c r="G223" s="118"/>
      <c r="H223" s="118"/>
      <c r="I223" s="118"/>
      <c r="J223" s="118"/>
      <c r="K223" s="118"/>
      <c r="L223" s="118"/>
      <c r="M223" s="118"/>
      <c r="N223" s="118"/>
      <c r="O223" s="118"/>
      <c r="P223" s="118"/>
      <c r="Q223" s="118"/>
      <c r="R223" s="118"/>
      <c r="S223" s="118"/>
      <c r="T223" s="118"/>
    </row>
    <row r="224" spans="2:20">
      <c r="B224" s="118"/>
      <c r="C224" s="118"/>
      <c r="D224" s="118"/>
      <c r="E224" s="118"/>
      <c r="F224" s="118"/>
      <c r="G224" s="118"/>
      <c r="H224" s="118"/>
      <c r="I224" s="118"/>
      <c r="J224" s="118"/>
      <c r="K224" s="118"/>
      <c r="L224" s="118"/>
      <c r="M224" s="118"/>
      <c r="N224" s="118"/>
      <c r="O224" s="118"/>
      <c r="P224" s="118"/>
      <c r="Q224" s="118"/>
      <c r="R224" s="118"/>
      <c r="S224" s="118"/>
      <c r="T224" s="118"/>
    </row>
    <row r="225" spans="2:20">
      <c r="B225" s="118"/>
      <c r="C225" s="118"/>
      <c r="D225" s="118"/>
      <c r="E225" s="118"/>
      <c r="F225" s="118"/>
      <c r="G225" s="118"/>
      <c r="H225" s="118"/>
      <c r="I225" s="118"/>
      <c r="J225" s="118"/>
      <c r="K225" s="118"/>
      <c r="L225" s="118"/>
      <c r="M225" s="118"/>
      <c r="N225" s="118"/>
      <c r="O225" s="118"/>
      <c r="P225" s="118"/>
      <c r="Q225" s="118"/>
      <c r="R225" s="118"/>
      <c r="S225" s="118"/>
      <c r="T225" s="118"/>
    </row>
    <row r="226" spans="2:20">
      <c r="B226" s="118"/>
      <c r="C226" s="118"/>
      <c r="D226" s="118"/>
      <c r="E226" s="118"/>
      <c r="F226" s="118"/>
      <c r="G226" s="118"/>
      <c r="H226" s="118"/>
      <c r="I226" s="118"/>
      <c r="J226" s="118"/>
      <c r="K226" s="118"/>
      <c r="L226" s="118"/>
      <c r="M226" s="118"/>
      <c r="N226" s="118"/>
      <c r="O226" s="118"/>
      <c r="P226" s="118"/>
      <c r="Q226" s="118"/>
      <c r="R226" s="118"/>
      <c r="S226" s="118"/>
      <c r="T226" s="118"/>
    </row>
    <row r="227" spans="2:20">
      <c r="B227" s="118"/>
      <c r="C227" s="118"/>
      <c r="D227" s="118"/>
      <c r="E227" s="118"/>
      <c r="F227" s="118"/>
      <c r="G227" s="118"/>
      <c r="H227" s="118"/>
      <c r="I227" s="118"/>
      <c r="J227" s="118"/>
      <c r="K227" s="118"/>
      <c r="L227" s="118"/>
      <c r="M227" s="118"/>
      <c r="N227" s="118"/>
      <c r="O227" s="118"/>
      <c r="P227" s="118"/>
      <c r="Q227" s="118"/>
      <c r="R227" s="118"/>
      <c r="S227" s="118"/>
      <c r="T227" s="118"/>
    </row>
    <row r="228" spans="2:20">
      <c r="B228" s="118"/>
      <c r="C228" s="118"/>
      <c r="D228" s="118"/>
      <c r="E228" s="118"/>
      <c r="F228" s="118"/>
      <c r="G228" s="118"/>
      <c r="H228" s="118"/>
      <c r="I228" s="118"/>
      <c r="J228" s="118"/>
      <c r="K228" s="118"/>
      <c r="L228" s="118"/>
      <c r="M228" s="118"/>
      <c r="N228" s="118"/>
      <c r="O228" s="118"/>
      <c r="P228" s="118"/>
      <c r="Q228" s="118"/>
      <c r="R228" s="118"/>
      <c r="S228" s="118"/>
      <c r="T228" s="118"/>
    </row>
    <row r="229" spans="2:20">
      <c r="B229" s="118"/>
      <c r="C229" s="118"/>
      <c r="D229" s="118"/>
      <c r="E229" s="118"/>
      <c r="F229" s="118"/>
      <c r="G229" s="118"/>
      <c r="H229" s="118"/>
      <c r="I229" s="118"/>
      <c r="J229" s="118"/>
      <c r="K229" s="118"/>
      <c r="L229" s="118"/>
      <c r="M229" s="118"/>
      <c r="N229" s="118"/>
      <c r="O229" s="118"/>
      <c r="P229" s="118"/>
      <c r="Q229" s="118"/>
      <c r="R229" s="118"/>
      <c r="S229" s="118"/>
      <c r="T229" s="118"/>
    </row>
    <row r="230" spans="2:20">
      <c r="B230" s="118"/>
      <c r="C230" s="118"/>
      <c r="D230" s="118"/>
      <c r="E230" s="118"/>
      <c r="F230" s="118"/>
      <c r="G230" s="118"/>
      <c r="H230" s="118"/>
      <c r="I230" s="118"/>
      <c r="J230" s="118"/>
      <c r="K230" s="118"/>
      <c r="L230" s="118"/>
      <c r="M230" s="118"/>
      <c r="N230" s="118"/>
      <c r="O230" s="118"/>
      <c r="P230" s="118"/>
      <c r="Q230" s="118"/>
      <c r="R230" s="118"/>
      <c r="S230" s="118"/>
      <c r="T230" s="118"/>
    </row>
    <row r="231" spans="2:20">
      <c r="B231" s="118"/>
      <c r="C231" s="118"/>
      <c r="D231" s="118"/>
      <c r="E231" s="118"/>
      <c r="F231" s="118"/>
      <c r="G231" s="118"/>
      <c r="H231" s="118"/>
      <c r="I231" s="118"/>
      <c r="J231" s="118"/>
      <c r="K231" s="118"/>
      <c r="L231" s="118"/>
      <c r="M231" s="118"/>
      <c r="N231" s="118"/>
      <c r="O231" s="118"/>
      <c r="P231" s="118"/>
      <c r="Q231" s="118"/>
      <c r="R231" s="118"/>
      <c r="S231" s="118"/>
      <c r="T231" s="118"/>
    </row>
    <row r="232" spans="2:20">
      <c r="B232" s="118"/>
      <c r="C232" s="118"/>
      <c r="D232" s="118"/>
      <c r="E232" s="118"/>
      <c r="F232" s="118"/>
      <c r="G232" s="118"/>
      <c r="H232" s="118"/>
      <c r="I232" s="118"/>
      <c r="J232" s="118"/>
      <c r="K232" s="118"/>
      <c r="L232" s="118"/>
      <c r="M232" s="118"/>
      <c r="N232" s="118"/>
      <c r="O232" s="118"/>
      <c r="P232" s="118"/>
      <c r="Q232" s="118"/>
      <c r="R232" s="118"/>
      <c r="S232" s="118"/>
      <c r="T232" s="118"/>
    </row>
    <row r="233" spans="2:20">
      <c r="B233" s="118"/>
      <c r="C233" s="118"/>
      <c r="D233" s="118"/>
      <c r="E233" s="118"/>
      <c r="F233" s="118"/>
      <c r="G233" s="118"/>
      <c r="H233" s="118"/>
      <c r="I233" s="118"/>
      <c r="J233" s="118"/>
      <c r="K233" s="118"/>
      <c r="L233" s="118"/>
      <c r="M233" s="118"/>
      <c r="N233" s="118"/>
      <c r="O233" s="118"/>
      <c r="P233" s="118"/>
      <c r="Q233" s="118"/>
      <c r="R233" s="118"/>
      <c r="S233" s="118"/>
      <c r="T233" s="118"/>
    </row>
    <row r="234" spans="2:20">
      <c r="B234" s="118"/>
      <c r="C234" s="118"/>
      <c r="D234" s="118"/>
      <c r="E234" s="118"/>
      <c r="F234" s="118"/>
      <c r="G234" s="118"/>
      <c r="H234" s="118"/>
      <c r="I234" s="118"/>
      <c r="J234" s="118"/>
      <c r="K234" s="118"/>
      <c r="L234" s="118"/>
      <c r="M234" s="118"/>
      <c r="N234" s="118"/>
      <c r="O234" s="118"/>
      <c r="P234" s="118"/>
      <c r="Q234" s="118"/>
      <c r="R234" s="118"/>
      <c r="S234" s="118"/>
      <c r="T234" s="118"/>
    </row>
    <row r="235" spans="2:20">
      <c r="B235" s="118"/>
      <c r="C235" s="118"/>
      <c r="D235" s="118"/>
      <c r="E235" s="118"/>
      <c r="F235" s="118"/>
      <c r="G235" s="118"/>
      <c r="H235" s="118"/>
      <c r="I235" s="118"/>
      <c r="J235" s="118"/>
      <c r="K235" s="118"/>
      <c r="L235" s="118"/>
      <c r="M235" s="118"/>
      <c r="N235" s="118"/>
      <c r="O235" s="118"/>
      <c r="P235" s="118"/>
      <c r="Q235" s="118"/>
      <c r="R235" s="118"/>
      <c r="S235" s="118"/>
      <c r="T235" s="118"/>
    </row>
    <row r="236" spans="2:20">
      <c r="B236" s="118"/>
      <c r="C236" s="118"/>
      <c r="D236" s="118"/>
      <c r="E236" s="118"/>
      <c r="F236" s="118"/>
      <c r="G236" s="118"/>
      <c r="H236" s="118"/>
      <c r="I236" s="118"/>
      <c r="J236" s="118"/>
      <c r="K236" s="118"/>
      <c r="L236" s="118"/>
      <c r="M236" s="118"/>
      <c r="N236" s="118"/>
      <c r="O236" s="118"/>
      <c r="P236" s="118"/>
      <c r="Q236" s="118"/>
      <c r="R236" s="118"/>
      <c r="S236" s="118"/>
      <c r="T236" s="118"/>
    </row>
    <row r="237" spans="2:20">
      <c r="B237" s="118"/>
      <c r="C237" s="118"/>
      <c r="D237" s="118"/>
      <c r="E237" s="118"/>
      <c r="F237" s="118"/>
      <c r="G237" s="118"/>
      <c r="H237" s="118"/>
      <c r="I237" s="118"/>
      <c r="J237" s="118"/>
      <c r="K237" s="118"/>
      <c r="L237" s="118"/>
      <c r="M237" s="118"/>
      <c r="N237" s="118"/>
      <c r="O237" s="118"/>
      <c r="P237" s="118"/>
      <c r="Q237" s="118"/>
      <c r="R237" s="118"/>
      <c r="S237" s="118"/>
      <c r="T237" s="118"/>
    </row>
    <row r="238" spans="2:20">
      <c r="B238" s="118"/>
      <c r="C238" s="118"/>
      <c r="D238" s="118"/>
      <c r="E238" s="118"/>
      <c r="F238" s="118"/>
      <c r="G238" s="118"/>
      <c r="H238" s="118"/>
      <c r="I238" s="118"/>
      <c r="J238" s="118"/>
      <c r="K238" s="118"/>
      <c r="L238" s="118"/>
      <c r="M238" s="118"/>
      <c r="N238" s="118"/>
      <c r="O238" s="118"/>
      <c r="P238" s="118"/>
      <c r="Q238" s="118"/>
      <c r="R238" s="118"/>
      <c r="S238" s="118"/>
      <c r="T238" s="118"/>
    </row>
    <row r="239" spans="2:20">
      <c r="B239" s="118"/>
      <c r="C239" s="118"/>
      <c r="D239" s="118"/>
      <c r="E239" s="118"/>
      <c r="F239" s="118"/>
      <c r="G239" s="118"/>
      <c r="H239" s="118"/>
      <c r="I239" s="118"/>
      <c r="J239" s="118"/>
      <c r="K239" s="118"/>
      <c r="L239" s="118"/>
      <c r="M239" s="118"/>
      <c r="N239" s="118"/>
      <c r="O239" s="118"/>
      <c r="P239" s="118"/>
      <c r="Q239" s="118"/>
      <c r="R239" s="118"/>
      <c r="S239" s="118"/>
      <c r="T239" s="118"/>
    </row>
    <row r="240" spans="2:20">
      <c r="B240" s="118"/>
      <c r="C240" s="118"/>
      <c r="D240" s="118"/>
      <c r="E240" s="118"/>
      <c r="F240" s="118"/>
      <c r="G240" s="118"/>
      <c r="H240" s="118"/>
      <c r="I240" s="118"/>
      <c r="J240" s="118"/>
      <c r="K240" s="118"/>
      <c r="L240" s="118"/>
      <c r="M240" s="118"/>
      <c r="N240" s="118"/>
      <c r="O240" s="118"/>
      <c r="P240" s="118"/>
      <c r="Q240" s="118"/>
      <c r="R240" s="118"/>
      <c r="S240" s="118"/>
      <c r="T240" s="118"/>
    </row>
    <row r="241" spans="2:20">
      <c r="B241" s="118"/>
      <c r="C241" s="118"/>
      <c r="D241" s="118"/>
      <c r="E241" s="118"/>
      <c r="F241" s="118"/>
      <c r="G241" s="118"/>
      <c r="H241" s="118"/>
      <c r="I241" s="118"/>
      <c r="J241" s="118"/>
      <c r="K241" s="118"/>
      <c r="L241" s="118"/>
      <c r="M241" s="118"/>
      <c r="N241" s="118"/>
      <c r="O241" s="118"/>
      <c r="P241" s="118"/>
      <c r="Q241" s="118"/>
      <c r="R241" s="118"/>
      <c r="S241" s="118"/>
      <c r="T241" s="118"/>
    </row>
    <row r="242" spans="2:20">
      <c r="B242" s="118"/>
      <c r="C242" s="118"/>
      <c r="D242" s="118"/>
      <c r="E242" s="118"/>
      <c r="F242" s="118"/>
      <c r="G242" s="118"/>
      <c r="H242" s="118"/>
      <c r="I242" s="118"/>
      <c r="J242" s="118"/>
      <c r="K242" s="118"/>
      <c r="L242" s="118"/>
      <c r="M242" s="118"/>
      <c r="N242" s="118"/>
      <c r="O242" s="118"/>
      <c r="P242" s="118"/>
      <c r="Q242" s="118"/>
      <c r="R242" s="118"/>
      <c r="S242" s="118"/>
      <c r="T242" s="118"/>
    </row>
    <row r="243" spans="2:20">
      <c r="B243" s="118"/>
      <c r="C243" s="118"/>
      <c r="D243" s="118"/>
      <c r="E243" s="118"/>
      <c r="F243" s="118"/>
      <c r="G243" s="118"/>
      <c r="H243" s="118"/>
      <c r="I243" s="118"/>
      <c r="J243" s="118"/>
      <c r="K243" s="118"/>
      <c r="L243" s="118"/>
      <c r="M243" s="118"/>
      <c r="N243" s="118"/>
      <c r="O243" s="118"/>
      <c r="P243" s="118"/>
      <c r="Q243" s="118"/>
      <c r="R243" s="118"/>
      <c r="S243" s="118"/>
      <c r="T243" s="118"/>
    </row>
    <row r="244" spans="2:20">
      <c r="B244" s="118"/>
      <c r="C244" s="118"/>
      <c r="D244" s="118"/>
      <c r="E244" s="118"/>
      <c r="F244" s="118"/>
      <c r="G244" s="118"/>
      <c r="H244" s="118"/>
      <c r="I244" s="118"/>
      <c r="J244" s="118"/>
      <c r="K244" s="118"/>
      <c r="L244" s="118"/>
      <c r="M244" s="118"/>
      <c r="N244" s="118"/>
      <c r="O244" s="118"/>
      <c r="P244" s="118"/>
      <c r="Q244" s="118"/>
      <c r="R244" s="118"/>
      <c r="S244" s="118"/>
      <c r="T244" s="118"/>
    </row>
    <row r="245" spans="2:20">
      <c r="B245" s="118"/>
      <c r="C245" s="118"/>
      <c r="D245" s="118"/>
      <c r="E245" s="118"/>
      <c r="F245" s="118"/>
      <c r="G245" s="118"/>
      <c r="H245" s="118"/>
      <c r="I245" s="118"/>
      <c r="J245" s="118"/>
      <c r="K245" s="118"/>
      <c r="L245" s="118"/>
      <c r="M245" s="118"/>
      <c r="N245" s="118"/>
      <c r="O245" s="118"/>
      <c r="P245" s="118"/>
      <c r="Q245" s="118"/>
      <c r="R245" s="118"/>
      <c r="S245" s="118"/>
      <c r="T245" s="118"/>
    </row>
    <row r="246" spans="2:20">
      <c r="B246" s="118"/>
      <c r="C246" s="118"/>
      <c r="D246" s="118"/>
      <c r="E246" s="118"/>
      <c r="F246" s="118"/>
      <c r="G246" s="118"/>
      <c r="H246" s="118"/>
      <c r="I246" s="118"/>
      <c r="J246" s="118"/>
      <c r="K246" s="118"/>
      <c r="L246" s="118"/>
      <c r="M246" s="118"/>
      <c r="N246" s="118"/>
      <c r="O246" s="118"/>
      <c r="P246" s="118"/>
      <c r="Q246" s="118"/>
      <c r="R246" s="118"/>
      <c r="S246" s="118"/>
      <c r="T246" s="118"/>
    </row>
    <row r="247" spans="2:20">
      <c r="B247" s="118"/>
      <c r="C247" s="118"/>
      <c r="D247" s="118"/>
      <c r="E247" s="118"/>
      <c r="F247" s="118"/>
      <c r="G247" s="118"/>
      <c r="H247" s="118"/>
      <c r="I247" s="118"/>
      <c r="J247" s="118"/>
      <c r="K247" s="118"/>
      <c r="L247" s="118"/>
      <c r="M247" s="118"/>
      <c r="N247" s="118"/>
      <c r="O247" s="118"/>
      <c r="P247" s="118"/>
      <c r="Q247" s="118"/>
      <c r="R247" s="118"/>
      <c r="S247" s="118"/>
      <c r="T247" s="118"/>
    </row>
    <row r="248" spans="2:20">
      <c r="B248" s="118"/>
      <c r="C248" s="118"/>
      <c r="D248" s="118"/>
      <c r="E248" s="118"/>
      <c r="F248" s="118"/>
      <c r="G248" s="118"/>
      <c r="H248" s="118"/>
      <c r="I248" s="118"/>
      <c r="J248" s="118"/>
      <c r="K248" s="118"/>
      <c r="L248" s="118"/>
      <c r="M248" s="118"/>
      <c r="N248" s="118"/>
      <c r="O248" s="118"/>
      <c r="P248" s="118"/>
      <c r="Q248" s="118"/>
      <c r="R248" s="118"/>
      <c r="S248" s="118"/>
      <c r="T248" s="118"/>
    </row>
    <row r="249" spans="2:20">
      <c r="B249" s="118"/>
      <c r="C249" s="118"/>
      <c r="D249" s="118"/>
      <c r="E249" s="118"/>
      <c r="F249" s="118"/>
      <c r="G249" s="118"/>
      <c r="H249" s="118"/>
      <c r="I249" s="118"/>
      <c r="J249" s="118"/>
      <c r="K249" s="118"/>
      <c r="L249" s="118"/>
      <c r="M249" s="118"/>
      <c r="N249" s="118"/>
      <c r="O249" s="118"/>
      <c r="P249" s="118"/>
      <c r="Q249" s="118"/>
      <c r="R249" s="118"/>
      <c r="S249" s="118"/>
      <c r="T249" s="118"/>
    </row>
    <row r="250" spans="2:20">
      <c r="B250" s="118"/>
      <c r="C250" s="118"/>
      <c r="D250" s="118"/>
      <c r="E250" s="118"/>
      <c r="F250" s="118"/>
      <c r="G250" s="118"/>
      <c r="H250" s="118"/>
      <c r="I250" s="118"/>
      <c r="J250" s="118"/>
      <c r="K250" s="118"/>
      <c r="L250" s="118"/>
      <c r="M250" s="118"/>
      <c r="N250" s="118"/>
      <c r="O250" s="118"/>
      <c r="P250" s="118"/>
      <c r="Q250" s="118"/>
      <c r="R250" s="118"/>
      <c r="S250" s="118"/>
      <c r="T250" s="118"/>
    </row>
    <row r="251" spans="2:20">
      <c r="B251" s="118"/>
      <c r="C251" s="118"/>
      <c r="D251" s="118"/>
      <c r="E251" s="118"/>
      <c r="F251" s="118"/>
      <c r="G251" s="118"/>
      <c r="H251" s="118"/>
      <c r="I251" s="118"/>
      <c r="J251" s="118"/>
      <c r="K251" s="118"/>
      <c r="L251" s="118"/>
      <c r="M251" s="118"/>
      <c r="N251" s="118"/>
      <c r="O251" s="118"/>
      <c r="P251" s="118"/>
      <c r="Q251" s="118"/>
      <c r="R251" s="118"/>
      <c r="S251" s="118"/>
      <c r="T251" s="118"/>
    </row>
    <row r="252" spans="2:20">
      <c r="B252" s="118"/>
      <c r="C252" s="118"/>
      <c r="D252" s="118"/>
      <c r="E252" s="118"/>
      <c r="F252" s="118"/>
      <c r="G252" s="118"/>
      <c r="H252" s="118"/>
      <c r="I252" s="118"/>
      <c r="J252" s="118"/>
      <c r="K252" s="118"/>
      <c r="L252" s="118"/>
      <c r="M252" s="118"/>
      <c r="N252" s="118"/>
      <c r="O252" s="118"/>
      <c r="P252" s="118"/>
      <c r="Q252" s="118"/>
      <c r="R252" s="118"/>
      <c r="S252" s="118"/>
      <c r="T252" s="118"/>
    </row>
    <row r="253" spans="2:20">
      <c r="B253" s="118"/>
      <c r="C253" s="118"/>
      <c r="D253" s="118"/>
      <c r="E253" s="118"/>
      <c r="F253" s="118"/>
      <c r="G253" s="118"/>
      <c r="H253" s="118"/>
      <c r="I253" s="118"/>
      <c r="J253" s="118"/>
      <c r="K253" s="118"/>
      <c r="L253" s="118"/>
      <c r="M253" s="118"/>
      <c r="N253" s="118"/>
      <c r="O253" s="118"/>
      <c r="P253" s="118"/>
      <c r="Q253" s="118"/>
      <c r="R253" s="118"/>
      <c r="S253" s="118"/>
      <c r="T253" s="118"/>
    </row>
    <row r="254" spans="2:20">
      <c r="B254" s="118"/>
      <c r="C254" s="118"/>
      <c r="D254" s="118"/>
      <c r="E254" s="118"/>
      <c r="F254" s="118"/>
      <c r="G254" s="118"/>
      <c r="H254" s="118"/>
      <c r="I254" s="118"/>
      <c r="J254" s="118"/>
      <c r="K254" s="118"/>
      <c r="L254" s="118"/>
      <c r="M254" s="118"/>
      <c r="N254" s="118"/>
      <c r="O254" s="118"/>
      <c r="P254" s="118"/>
      <c r="Q254" s="118"/>
      <c r="R254" s="118"/>
      <c r="S254" s="118"/>
      <c r="T254" s="118"/>
    </row>
    <row r="255" spans="2:20">
      <c r="B255" s="118"/>
      <c r="C255" s="118"/>
      <c r="D255" s="118"/>
      <c r="E255" s="118"/>
      <c r="F255" s="118"/>
      <c r="G255" s="118"/>
      <c r="H255" s="118"/>
      <c r="I255" s="118"/>
      <c r="J255" s="118"/>
      <c r="K255" s="118"/>
      <c r="L255" s="118"/>
      <c r="M255" s="118"/>
      <c r="N255" s="118"/>
      <c r="O255" s="118"/>
      <c r="P255" s="118"/>
      <c r="Q255" s="118"/>
      <c r="R255" s="118"/>
      <c r="S255" s="118"/>
      <c r="T255" s="118"/>
    </row>
    <row r="256" spans="2:20">
      <c r="B256" s="118"/>
      <c r="C256" s="118"/>
      <c r="D256" s="118"/>
      <c r="E256" s="118"/>
      <c r="F256" s="118"/>
      <c r="G256" s="118"/>
      <c r="H256" s="118"/>
      <c r="I256" s="118"/>
      <c r="J256" s="118"/>
      <c r="K256" s="118"/>
      <c r="L256" s="118"/>
      <c r="M256" s="118"/>
      <c r="N256" s="118"/>
      <c r="O256" s="118"/>
      <c r="P256" s="118"/>
      <c r="Q256" s="118"/>
      <c r="R256" s="118"/>
      <c r="S256" s="118"/>
      <c r="T256" s="118"/>
    </row>
    <row r="257" spans="2:20">
      <c r="B257" s="118"/>
      <c r="C257" s="118"/>
      <c r="D257" s="118"/>
      <c r="E257" s="118"/>
      <c r="F257" s="118"/>
      <c r="G257" s="118"/>
      <c r="H257" s="118"/>
      <c r="I257" s="118"/>
      <c r="J257" s="118"/>
      <c r="K257" s="118"/>
      <c r="L257" s="118"/>
      <c r="M257" s="118"/>
      <c r="N257" s="118"/>
      <c r="O257" s="118"/>
      <c r="P257" s="118"/>
      <c r="Q257" s="118"/>
      <c r="R257" s="118"/>
      <c r="S257" s="118"/>
      <c r="T257" s="118"/>
    </row>
    <row r="258" spans="2:20">
      <c r="B258" s="118"/>
      <c r="C258" s="118"/>
      <c r="D258" s="118"/>
      <c r="E258" s="118"/>
      <c r="F258" s="118"/>
      <c r="G258" s="118"/>
      <c r="H258" s="118"/>
      <c r="I258" s="118"/>
      <c r="J258" s="118"/>
      <c r="K258" s="118"/>
      <c r="L258" s="118"/>
      <c r="M258" s="118"/>
      <c r="N258" s="118"/>
      <c r="O258" s="118"/>
      <c r="P258" s="118"/>
      <c r="Q258" s="118"/>
      <c r="R258" s="118"/>
      <c r="S258" s="118"/>
      <c r="T258" s="118"/>
    </row>
    <row r="259" spans="2:20">
      <c r="B259" s="118"/>
      <c r="C259" s="118"/>
      <c r="D259" s="118"/>
      <c r="E259" s="118"/>
      <c r="F259" s="118"/>
      <c r="G259" s="118"/>
      <c r="H259" s="118"/>
      <c r="I259" s="118"/>
      <c r="J259" s="118"/>
      <c r="K259" s="118"/>
      <c r="L259" s="118"/>
      <c r="M259" s="118"/>
      <c r="N259" s="118"/>
      <c r="O259" s="118"/>
      <c r="P259" s="118"/>
      <c r="Q259" s="118"/>
      <c r="R259" s="118"/>
      <c r="S259" s="118"/>
      <c r="T259" s="118"/>
    </row>
    <row r="260" spans="2:20">
      <c r="B260" s="118"/>
      <c r="C260" s="118"/>
      <c r="D260" s="118"/>
      <c r="E260" s="118"/>
      <c r="F260" s="118"/>
      <c r="G260" s="118"/>
      <c r="H260" s="118"/>
      <c r="I260" s="118"/>
      <c r="J260" s="118"/>
      <c r="K260" s="118"/>
      <c r="L260" s="118"/>
      <c r="M260" s="118"/>
      <c r="N260" s="118"/>
      <c r="O260" s="118"/>
      <c r="P260" s="118"/>
      <c r="Q260" s="118"/>
      <c r="R260" s="118"/>
      <c r="S260" s="118"/>
      <c r="T260" s="118"/>
    </row>
    <row r="261" spans="2:20">
      <c r="B261" s="118"/>
      <c r="C261" s="118"/>
      <c r="D261" s="118"/>
      <c r="E261" s="118"/>
      <c r="F261" s="118"/>
      <c r="G261" s="118"/>
      <c r="H261" s="118"/>
      <c r="I261" s="118"/>
      <c r="J261" s="118"/>
      <c r="K261" s="118"/>
      <c r="L261" s="118"/>
      <c r="M261" s="118"/>
      <c r="N261" s="118"/>
      <c r="O261" s="118"/>
      <c r="P261" s="118"/>
      <c r="Q261" s="118"/>
      <c r="R261" s="118"/>
      <c r="S261" s="118"/>
      <c r="T261" s="118"/>
    </row>
    <row r="262" spans="2:20">
      <c r="B262" s="118"/>
      <c r="C262" s="118"/>
      <c r="D262" s="118"/>
      <c r="E262" s="118"/>
      <c r="F262" s="118"/>
      <c r="G262" s="118"/>
      <c r="H262" s="118"/>
      <c r="I262" s="118"/>
      <c r="J262" s="118"/>
      <c r="K262" s="118"/>
      <c r="L262" s="118"/>
      <c r="M262" s="118"/>
      <c r="N262" s="118"/>
      <c r="O262" s="118"/>
      <c r="P262" s="118"/>
      <c r="Q262" s="118"/>
      <c r="R262" s="118"/>
      <c r="S262" s="118"/>
      <c r="T262" s="118"/>
    </row>
    <row r="263" spans="2:20">
      <c r="B263" s="118"/>
      <c r="C263" s="118"/>
      <c r="D263" s="118"/>
      <c r="E263" s="118"/>
      <c r="F263" s="118"/>
      <c r="G263" s="118"/>
      <c r="H263" s="118"/>
      <c r="I263" s="118"/>
      <c r="J263" s="118"/>
      <c r="K263" s="118"/>
      <c r="L263" s="118"/>
      <c r="M263" s="118"/>
      <c r="N263" s="118"/>
      <c r="O263" s="118"/>
      <c r="P263" s="118"/>
      <c r="Q263" s="118"/>
      <c r="R263" s="118"/>
      <c r="S263" s="118"/>
      <c r="T263" s="118"/>
    </row>
    <row r="264" spans="2:20">
      <c r="B264" s="118"/>
      <c r="C264" s="118"/>
      <c r="D264" s="118"/>
      <c r="E264" s="118"/>
      <c r="F264" s="118"/>
      <c r="G264" s="118"/>
      <c r="H264" s="118"/>
      <c r="I264" s="118"/>
      <c r="J264" s="118"/>
      <c r="K264" s="118"/>
      <c r="L264" s="118"/>
      <c r="M264" s="118"/>
      <c r="N264" s="118"/>
      <c r="O264" s="118"/>
      <c r="P264" s="118"/>
      <c r="Q264" s="118"/>
      <c r="R264" s="118"/>
      <c r="S264" s="118"/>
      <c r="T264" s="118"/>
    </row>
    <row r="265" spans="2:20">
      <c r="B265" s="118"/>
      <c r="C265" s="118"/>
      <c r="D265" s="118"/>
      <c r="E265" s="118"/>
      <c r="F265" s="118"/>
      <c r="G265" s="118"/>
      <c r="H265" s="118"/>
      <c r="I265" s="118"/>
      <c r="J265" s="118"/>
      <c r="K265" s="118"/>
      <c r="L265" s="118"/>
      <c r="M265" s="118"/>
      <c r="N265" s="118"/>
      <c r="O265" s="118"/>
      <c r="P265" s="118"/>
      <c r="Q265" s="118"/>
      <c r="R265" s="118"/>
      <c r="S265" s="118"/>
      <c r="T265" s="118"/>
    </row>
    <row r="266" spans="2:20">
      <c r="B266" s="118"/>
      <c r="C266" s="118"/>
      <c r="D266" s="118"/>
      <c r="E266" s="118"/>
      <c r="F266" s="118"/>
      <c r="G266" s="118"/>
      <c r="H266" s="118"/>
      <c r="I266" s="118"/>
      <c r="J266" s="118"/>
      <c r="K266" s="118"/>
      <c r="L266" s="118"/>
      <c r="M266" s="118"/>
      <c r="N266" s="118"/>
      <c r="O266" s="118"/>
      <c r="P266" s="118"/>
      <c r="Q266" s="118"/>
      <c r="R266" s="118"/>
      <c r="S266" s="118"/>
      <c r="T266" s="118"/>
    </row>
    <row r="267" spans="2:20">
      <c r="B267" s="118"/>
      <c r="C267" s="118"/>
      <c r="D267" s="118"/>
      <c r="E267" s="118"/>
      <c r="F267" s="118"/>
      <c r="G267" s="118"/>
      <c r="H267" s="118"/>
      <c r="I267" s="118"/>
      <c r="J267" s="118"/>
      <c r="K267" s="118"/>
      <c r="L267" s="118"/>
      <c r="M267" s="118"/>
      <c r="N267" s="118"/>
      <c r="O267" s="118"/>
      <c r="P267" s="118"/>
      <c r="Q267" s="118"/>
      <c r="R267" s="118"/>
      <c r="S267" s="118"/>
      <c r="T267" s="118"/>
    </row>
    <row r="268" spans="2:20">
      <c r="B268" s="118"/>
      <c r="C268" s="118"/>
      <c r="D268" s="118"/>
      <c r="E268" s="118"/>
      <c r="F268" s="118"/>
      <c r="G268" s="118"/>
      <c r="H268" s="118"/>
      <c r="I268" s="118"/>
      <c r="J268" s="118"/>
      <c r="K268" s="118"/>
      <c r="L268" s="118"/>
      <c r="M268" s="118"/>
      <c r="N268" s="118"/>
      <c r="O268" s="118"/>
      <c r="P268" s="118"/>
      <c r="Q268" s="118"/>
      <c r="R268" s="118"/>
      <c r="S268" s="118"/>
      <c r="T268" s="118"/>
    </row>
    <row r="269" spans="2:20">
      <c r="B269" s="118"/>
      <c r="C269" s="118"/>
      <c r="D269" s="118"/>
      <c r="E269" s="118"/>
      <c r="F269" s="118"/>
      <c r="G269" s="118"/>
      <c r="H269" s="118"/>
      <c r="I269" s="118"/>
      <c r="J269" s="118"/>
      <c r="K269" s="118"/>
      <c r="L269" s="118"/>
      <c r="M269" s="118"/>
      <c r="N269" s="118"/>
      <c r="O269" s="118"/>
      <c r="P269" s="118"/>
      <c r="Q269" s="118"/>
      <c r="R269" s="118"/>
      <c r="S269" s="118"/>
      <c r="T269" s="118"/>
    </row>
    <row r="270" spans="2:20">
      <c r="B270" s="118"/>
      <c r="C270" s="118"/>
      <c r="D270" s="118"/>
      <c r="E270" s="118"/>
      <c r="F270" s="118"/>
      <c r="G270" s="118"/>
      <c r="H270" s="118"/>
      <c r="I270" s="118"/>
      <c r="J270" s="118"/>
      <c r="K270" s="118"/>
      <c r="L270" s="118"/>
      <c r="M270" s="118"/>
      <c r="N270" s="118"/>
      <c r="O270" s="118"/>
      <c r="P270" s="118"/>
      <c r="Q270" s="118"/>
      <c r="R270" s="118"/>
      <c r="S270" s="118"/>
      <c r="T270" s="118"/>
    </row>
    <row r="271" spans="2:20">
      <c r="B271" s="118"/>
      <c r="C271" s="118"/>
      <c r="D271" s="118"/>
      <c r="E271" s="118"/>
      <c r="F271" s="118"/>
      <c r="G271" s="118"/>
      <c r="H271" s="118"/>
      <c r="I271" s="118"/>
      <c r="J271" s="118"/>
      <c r="K271" s="118"/>
      <c r="L271" s="118"/>
      <c r="M271" s="118"/>
      <c r="N271" s="118"/>
      <c r="O271" s="118"/>
      <c r="P271" s="118"/>
      <c r="Q271" s="118"/>
      <c r="R271" s="118"/>
      <c r="S271" s="118"/>
      <c r="T271" s="118"/>
    </row>
    <row r="272" spans="2:20">
      <c r="B272" s="118"/>
      <c r="C272" s="118"/>
      <c r="D272" s="118"/>
      <c r="E272" s="118"/>
      <c r="F272" s="118"/>
      <c r="G272" s="118"/>
      <c r="H272" s="118"/>
      <c r="I272" s="118"/>
      <c r="J272" s="118"/>
      <c r="K272" s="118"/>
      <c r="L272" s="118"/>
      <c r="M272" s="118"/>
      <c r="N272" s="118"/>
      <c r="O272" s="118"/>
      <c r="P272" s="118"/>
      <c r="Q272" s="118"/>
      <c r="R272" s="118"/>
      <c r="S272" s="118"/>
      <c r="T272" s="118"/>
    </row>
    <row r="273" spans="2:20">
      <c r="B273" s="118"/>
      <c r="C273" s="118"/>
      <c r="D273" s="118"/>
      <c r="E273" s="118"/>
      <c r="F273" s="118"/>
      <c r="G273" s="118"/>
      <c r="H273" s="118"/>
      <c r="I273" s="118"/>
      <c r="J273" s="118"/>
      <c r="K273" s="118"/>
      <c r="L273" s="118"/>
      <c r="M273" s="118"/>
      <c r="N273" s="118"/>
      <c r="O273" s="118"/>
      <c r="P273" s="118"/>
      <c r="Q273" s="118"/>
      <c r="R273" s="118"/>
      <c r="S273" s="118"/>
      <c r="T273" s="118"/>
    </row>
    <row r="274" spans="2:20">
      <c r="B274" s="118"/>
      <c r="C274" s="118"/>
      <c r="D274" s="118"/>
      <c r="E274" s="118"/>
      <c r="F274" s="118"/>
      <c r="G274" s="118"/>
      <c r="H274" s="118"/>
      <c r="I274" s="118"/>
      <c r="J274" s="118"/>
      <c r="K274" s="118"/>
      <c r="L274" s="118"/>
      <c r="M274" s="118"/>
      <c r="N274" s="118"/>
      <c r="O274" s="118"/>
      <c r="P274" s="118"/>
      <c r="Q274" s="118"/>
      <c r="R274" s="118"/>
      <c r="S274" s="118"/>
      <c r="T274" s="118"/>
    </row>
    <row r="275" spans="2:20">
      <c r="B275" s="118"/>
      <c r="C275" s="118"/>
      <c r="D275" s="118"/>
      <c r="E275" s="118"/>
      <c r="F275" s="118"/>
      <c r="G275" s="118"/>
      <c r="H275" s="118"/>
      <c r="I275" s="118"/>
      <c r="J275" s="118"/>
      <c r="K275" s="118"/>
      <c r="L275" s="118"/>
      <c r="M275" s="118"/>
      <c r="N275" s="118"/>
      <c r="O275" s="118"/>
      <c r="P275" s="118"/>
      <c r="Q275" s="118"/>
      <c r="R275" s="118"/>
      <c r="S275" s="118"/>
      <c r="T275" s="118"/>
    </row>
    <row r="276" spans="2:20">
      <c r="B276" s="118"/>
      <c r="C276" s="118"/>
      <c r="D276" s="118"/>
      <c r="E276" s="118"/>
      <c r="F276" s="118"/>
      <c r="G276" s="118"/>
      <c r="H276" s="118"/>
      <c r="I276" s="118"/>
      <c r="J276" s="118"/>
      <c r="K276" s="118"/>
      <c r="L276" s="118"/>
      <c r="M276" s="118"/>
      <c r="N276" s="118"/>
      <c r="O276" s="118"/>
      <c r="P276" s="118"/>
      <c r="Q276" s="118"/>
      <c r="R276" s="118"/>
      <c r="S276" s="118"/>
      <c r="T276" s="118"/>
    </row>
    <row r="277" spans="2:20">
      <c r="B277" s="118"/>
      <c r="C277" s="118"/>
      <c r="D277" s="118"/>
      <c r="E277" s="118"/>
      <c r="F277" s="118"/>
      <c r="G277" s="118"/>
      <c r="H277" s="118"/>
      <c r="I277" s="118"/>
      <c r="J277" s="118"/>
      <c r="K277" s="118"/>
      <c r="L277" s="118"/>
      <c r="M277" s="118"/>
      <c r="N277" s="118"/>
      <c r="O277" s="118"/>
      <c r="P277" s="118"/>
      <c r="Q277" s="118"/>
      <c r="R277" s="118"/>
      <c r="S277" s="118"/>
      <c r="T277" s="118"/>
    </row>
    <row r="278" spans="2:20">
      <c r="B278" s="118"/>
      <c r="C278" s="118"/>
      <c r="D278" s="118"/>
      <c r="E278" s="118"/>
      <c r="F278" s="118"/>
      <c r="G278" s="118"/>
      <c r="H278" s="118"/>
      <c r="I278" s="118"/>
      <c r="J278" s="118"/>
      <c r="K278" s="118"/>
      <c r="L278" s="118"/>
      <c r="M278" s="118"/>
      <c r="N278" s="118"/>
      <c r="O278" s="118"/>
      <c r="P278" s="118"/>
      <c r="Q278" s="118"/>
      <c r="R278" s="118"/>
      <c r="S278" s="118"/>
      <c r="T278" s="118"/>
    </row>
    <row r="279" spans="2:20">
      <c r="B279" s="118"/>
      <c r="C279" s="118"/>
      <c r="D279" s="118"/>
      <c r="E279" s="118"/>
      <c r="F279" s="118"/>
      <c r="G279" s="118"/>
      <c r="H279" s="118"/>
      <c r="I279" s="118"/>
      <c r="J279" s="118"/>
      <c r="K279" s="118"/>
      <c r="L279" s="118"/>
      <c r="M279" s="118"/>
      <c r="N279" s="118"/>
      <c r="O279" s="118"/>
      <c r="P279" s="118"/>
      <c r="Q279" s="118"/>
      <c r="R279" s="118"/>
      <c r="S279" s="118"/>
      <c r="T279" s="118"/>
    </row>
    <row r="280" spans="2:20">
      <c r="B280" s="118"/>
      <c r="C280" s="118"/>
      <c r="D280" s="118"/>
      <c r="E280" s="118"/>
      <c r="F280" s="118"/>
      <c r="G280" s="118"/>
      <c r="H280" s="118"/>
      <c r="I280" s="118"/>
      <c r="J280" s="118"/>
      <c r="K280" s="118"/>
      <c r="L280" s="118"/>
      <c r="M280" s="118"/>
      <c r="N280" s="118"/>
      <c r="O280" s="118"/>
      <c r="P280" s="118"/>
      <c r="Q280" s="118"/>
      <c r="R280" s="118"/>
      <c r="S280" s="118"/>
      <c r="T280" s="118"/>
    </row>
    <row r="281" spans="2:20">
      <c r="B281" s="118"/>
      <c r="C281" s="118"/>
      <c r="D281" s="118"/>
      <c r="E281" s="118"/>
      <c r="F281" s="118"/>
      <c r="G281" s="118"/>
      <c r="H281" s="118"/>
      <c r="I281" s="118"/>
      <c r="J281" s="118"/>
      <c r="K281" s="118"/>
      <c r="L281" s="118"/>
      <c r="M281" s="118"/>
      <c r="N281" s="118"/>
      <c r="O281" s="118"/>
      <c r="P281" s="118"/>
      <c r="Q281" s="118"/>
      <c r="R281" s="118"/>
      <c r="S281" s="118"/>
      <c r="T281" s="118"/>
    </row>
    <row r="282" spans="2:20">
      <c r="B282" s="118"/>
      <c r="C282" s="118"/>
      <c r="D282" s="118"/>
      <c r="E282" s="118"/>
      <c r="F282" s="118"/>
      <c r="G282" s="118"/>
      <c r="H282" s="118"/>
      <c r="I282" s="118"/>
      <c r="J282" s="118"/>
      <c r="K282" s="118"/>
      <c r="L282" s="118"/>
      <c r="M282" s="118"/>
      <c r="N282" s="118"/>
      <c r="O282" s="118"/>
      <c r="P282" s="118"/>
      <c r="Q282" s="118"/>
      <c r="R282" s="118"/>
      <c r="S282" s="118"/>
      <c r="T282" s="118"/>
    </row>
    <row r="283" spans="2:20">
      <c r="B283" s="118"/>
      <c r="C283" s="118"/>
      <c r="D283" s="118"/>
      <c r="E283" s="118"/>
      <c r="F283" s="118"/>
      <c r="G283" s="118"/>
      <c r="H283" s="118"/>
      <c r="I283" s="118"/>
      <c r="J283" s="118"/>
      <c r="K283" s="118"/>
      <c r="L283" s="118"/>
      <c r="M283" s="118"/>
      <c r="N283" s="118"/>
      <c r="O283" s="118"/>
      <c r="P283" s="118"/>
      <c r="Q283" s="118"/>
      <c r="R283" s="118"/>
      <c r="S283" s="118"/>
      <c r="T283" s="118"/>
    </row>
    <row r="284" spans="2:20">
      <c r="B284" s="118"/>
      <c r="C284" s="118"/>
      <c r="D284" s="118"/>
      <c r="E284" s="118"/>
      <c r="F284" s="118"/>
      <c r="G284" s="118"/>
      <c r="H284" s="118"/>
      <c r="I284" s="118"/>
      <c r="J284" s="118"/>
      <c r="K284" s="118"/>
      <c r="L284" s="118"/>
      <c r="M284" s="118"/>
      <c r="N284" s="118"/>
      <c r="O284" s="118"/>
      <c r="P284" s="118"/>
      <c r="Q284" s="118"/>
      <c r="R284" s="118"/>
      <c r="S284" s="118"/>
      <c r="T284" s="118"/>
    </row>
    <row r="285" spans="2:20">
      <c r="B285" s="118"/>
      <c r="C285" s="118"/>
      <c r="D285" s="118"/>
      <c r="E285" s="118"/>
      <c r="F285" s="118"/>
      <c r="G285" s="118"/>
      <c r="H285" s="118"/>
      <c r="I285" s="118"/>
      <c r="J285" s="118"/>
      <c r="K285" s="118"/>
      <c r="L285" s="118"/>
      <c r="M285" s="118"/>
      <c r="N285" s="118"/>
      <c r="O285" s="118"/>
      <c r="P285" s="118"/>
      <c r="Q285" s="118"/>
      <c r="R285" s="118"/>
      <c r="S285" s="118"/>
      <c r="T285" s="118"/>
    </row>
    <row r="286" spans="2:20">
      <c r="B286" s="118"/>
      <c r="C286" s="118"/>
      <c r="D286" s="118"/>
      <c r="E286" s="118"/>
      <c r="F286" s="118"/>
      <c r="G286" s="118"/>
      <c r="H286" s="118"/>
      <c r="I286" s="118"/>
      <c r="J286" s="118"/>
      <c r="K286" s="118"/>
      <c r="L286" s="118"/>
      <c r="M286" s="118"/>
      <c r="N286" s="118"/>
      <c r="O286" s="118"/>
      <c r="P286" s="118"/>
      <c r="Q286" s="118"/>
      <c r="R286" s="118"/>
      <c r="S286" s="118"/>
      <c r="T286" s="118"/>
    </row>
    <row r="287" spans="2:20">
      <c r="B287" s="118"/>
      <c r="C287" s="118"/>
      <c r="D287" s="118"/>
      <c r="E287" s="118"/>
      <c r="F287" s="118"/>
      <c r="G287" s="118"/>
      <c r="H287" s="118"/>
      <c r="I287" s="118"/>
      <c r="J287" s="118"/>
      <c r="K287" s="118"/>
      <c r="L287" s="118"/>
      <c r="M287" s="118"/>
      <c r="N287" s="118"/>
      <c r="O287" s="118"/>
      <c r="P287" s="118"/>
      <c r="Q287" s="118"/>
      <c r="R287" s="118"/>
      <c r="S287" s="118"/>
      <c r="T287" s="118"/>
    </row>
    <row r="288" spans="2:20">
      <c r="B288" s="118"/>
      <c r="C288" s="118"/>
      <c r="D288" s="118"/>
      <c r="E288" s="118"/>
      <c r="F288" s="118"/>
      <c r="G288" s="118"/>
      <c r="H288" s="118"/>
      <c r="I288" s="118"/>
      <c r="J288" s="118"/>
      <c r="K288" s="118"/>
      <c r="L288" s="118"/>
      <c r="M288" s="118"/>
      <c r="N288" s="118"/>
      <c r="O288" s="118"/>
      <c r="P288" s="118"/>
      <c r="Q288" s="118"/>
      <c r="R288" s="118"/>
      <c r="S288" s="118"/>
      <c r="T288" s="118"/>
    </row>
    <row r="289" spans="2:20">
      <c r="B289" s="118"/>
      <c r="C289" s="118"/>
      <c r="D289" s="118"/>
      <c r="E289" s="118"/>
      <c r="F289" s="118"/>
      <c r="G289" s="118"/>
      <c r="H289" s="118"/>
      <c r="I289" s="118"/>
      <c r="J289" s="118"/>
      <c r="K289" s="118"/>
      <c r="L289" s="118"/>
      <c r="M289" s="118"/>
      <c r="N289" s="118"/>
      <c r="O289" s="118"/>
      <c r="P289" s="118"/>
      <c r="Q289" s="118"/>
      <c r="R289" s="118"/>
      <c r="S289" s="118"/>
      <c r="T289" s="118"/>
    </row>
    <row r="290" spans="2:20">
      <c r="B290" s="118"/>
      <c r="C290" s="118"/>
      <c r="D290" s="118"/>
      <c r="E290" s="118"/>
      <c r="F290" s="118"/>
      <c r="G290" s="118"/>
      <c r="H290" s="118"/>
      <c r="I290" s="118"/>
      <c r="J290" s="118"/>
      <c r="K290" s="118"/>
      <c r="L290" s="118"/>
      <c r="M290" s="118"/>
      <c r="N290" s="118"/>
      <c r="O290" s="118"/>
      <c r="P290" s="118"/>
      <c r="Q290" s="118"/>
      <c r="R290" s="118"/>
      <c r="S290" s="118"/>
      <c r="T290" s="118"/>
    </row>
    <row r="291" spans="2:20">
      <c r="B291" s="118"/>
      <c r="C291" s="118"/>
      <c r="D291" s="118"/>
      <c r="E291" s="118"/>
      <c r="F291" s="118"/>
      <c r="G291" s="118"/>
      <c r="H291" s="118"/>
      <c r="I291" s="118"/>
      <c r="J291" s="118"/>
      <c r="K291" s="118"/>
      <c r="L291" s="118"/>
      <c r="M291" s="118"/>
      <c r="N291" s="118"/>
      <c r="O291" s="118"/>
      <c r="P291" s="118"/>
      <c r="Q291" s="118"/>
      <c r="R291" s="118"/>
      <c r="S291" s="118"/>
      <c r="T291" s="118"/>
    </row>
    <row r="292" spans="2:20">
      <c r="B292" s="118"/>
      <c r="C292" s="118"/>
      <c r="D292" s="118"/>
      <c r="E292" s="118"/>
      <c r="F292" s="118"/>
      <c r="G292" s="118"/>
      <c r="H292" s="118"/>
      <c r="I292" s="118"/>
      <c r="J292" s="118"/>
      <c r="K292" s="118"/>
      <c r="L292" s="118"/>
      <c r="M292" s="118"/>
      <c r="N292" s="118"/>
      <c r="O292" s="118"/>
      <c r="P292" s="118"/>
      <c r="Q292" s="118"/>
      <c r="R292" s="118"/>
      <c r="S292" s="118"/>
      <c r="T292" s="118"/>
    </row>
    <row r="293" spans="2:20">
      <c r="B293" s="118"/>
      <c r="C293" s="118"/>
      <c r="D293" s="118"/>
      <c r="E293" s="118"/>
      <c r="F293" s="118"/>
      <c r="G293" s="118"/>
      <c r="H293" s="118"/>
      <c r="I293" s="118"/>
      <c r="J293" s="118"/>
      <c r="K293" s="118"/>
      <c r="L293" s="118"/>
      <c r="M293" s="118"/>
      <c r="N293" s="118"/>
      <c r="O293" s="118"/>
      <c r="P293" s="118"/>
      <c r="Q293" s="118"/>
      <c r="R293" s="118"/>
      <c r="S293" s="118"/>
      <c r="T293" s="118"/>
    </row>
    <row r="294" spans="2:20">
      <c r="B294" s="118"/>
      <c r="C294" s="118"/>
      <c r="D294" s="118"/>
      <c r="E294" s="118"/>
      <c r="F294" s="118"/>
      <c r="G294" s="118"/>
      <c r="H294" s="118"/>
      <c r="I294" s="118"/>
      <c r="J294" s="118"/>
      <c r="K294" s="118"/>
      <c r="L294" s="118"/>
      <c r="M294" s="118"/>
      <c r="N294" s="118"/>
      <c r="O294" s="118"/>
      <c r="P294" s="118"/>
      <c r="Q294" s="118"/>
      <c r="R294" s="118"/>
      <c r="S294" s="118"/>
      <c r="T294" s="118"/>
    </row>
    <row r="295" spans="2:20">
      <c r="B295" s="118"/>
      <c r="C295" s="118"/>
      <c r="D295" s="118"/>
      <c r="E295" s="118"/>
      <c r="F295" s="118"/>
      <c r="G295" s="118"/>
      <c r="H295" s="118"/>
      <c r="I295" s="118"/>
      <c r="J295" s="118"/>
      <c r="K295" s="118"/>
      <c r="L295" s="118"/>
      <c r="M295" s="118"/>
      <c r="N295" s="118"/>
      <c r="O295" s="118"/>
      <c r="P295" s="118"/>
      <c r="Q295" s="118"/>
      <c r="R295" s="118"/>
      <c r="S295" s="118"/>
      <c r="T295" s="118"/>
    </row>
    <row r="296" spans="2:20">
      <c r="B296" s="118"/>
      <c r="C296" s="118"/>
      <c r="D296" s="118"/>
      <c r="E296" s="118"/>
      <c r="F296" s="118"/>
      <c r="G296" s="118"/>
      <c r="H296" s="118"/>
      <c r="I296" s="118"/>
      <c r="J296" s="118"/>
      <c r="K296" s="118"/>
      <c r="L296" s="118"/>
      <c r="M296" s="118"/>
      <c r="N296" s="118"/>
      <c r="O296" s="118"/>
      <c r="P296" s="118"/>
      <c r="Q296" s="118"/>
      <c r="R296" s="118"/>
      <c r="S296" s="118"/>
      <c r="T296" s="118"/>
    </row>
    <row r="297" spans="2:20">
      <c r="B297" s="118"/>
      <c r="C297" s="118"/>
      <c r="D297" s="118"/>
      <c r="E297" s="118"/>
      <c r="F297" s="118"/>
      <c r="G297" s="118"/>
      <c r="H297" s="118"/>
      <c r="I297" s="118"/>
      <c r="J297" s="118"/>
      <c r="K297" s="118"/>
      <c r="L297" s="118"/>
      <c r="M297" s="118"/>
      <c r="N297" s="118"/>
      <c r="O297" s="118"/>
      <c r="P297" s="118"/>
      <c r="Q297" s="118"/>
      <c r="R297" s="118"/>
      <c r="S297" s="118"/>
      <c r="T297" s="118"/>
    </row>
    <row r="298" spans="2:20">
      <c r="B298" s="118"/>
      <c r="C298" s="118"/>
      <c r="D298" s="118"/>
      <c r="E298" s="118"/>
      <c r="F298" s="118"/>
      <c r="G298" s="118"/>
      <c r="H298" s="118"/>
      <c r="I298" s="118"/>
      <c r="J298" s="118"/>
      <c r="K298" s="118"/>
      <c r="L298" s="118"/>
      <c r="M298" s="118"/>
      <c r="N298" s="118"/>
      <c r="O298" s="118"/>
      <c r="P298" s="118"/>
      <c r="Q298" s="118"/>
      <c r="R298" s="118"/>
      <c r="S298" s="118"/>
      <c r="T298" s="118"/>
    </row>
    <row r="299" spans="2:20">
      <c r="B299" s="118"/>
      <c r="C299" s="118"/>
      <c r="D299" s="118"/>
      <c r="E299" s="118"/>
      <c r="F299" s="118"/>
      <c r="G299" s="118"/>
      <c r="H299" s="118"/>
      <c r="I299" s="118"/>
      <c r="J299" s="118"/>
      <c r="K299" s="118"/>
      <c r="L299" s="118"/>
      <c r="M299" s="118"/>
      <c r="N299" s="118"/>
      <c r="O299" s="118"/>
      <c r="P299" s="118"/>
      <c r="Q299" s="118"/>
      <c r="R299" s="118"/>
      <c r="S299" s="118"/>
      <c r="T299" s="118"/>
    </row>
    <row r="300" spans="2:20">
      <c r="B300" s="118"/>
      <c r="C300" s="118"/>
      <c r="D300" s="118"/>
      <c r="E300" s="118"/>
      <c r="F300" s="118"/>
      <c r="G300" s="118"/>
      <c r="H300" s="118"/>
      <c r="I300" s="118"/>
      <c r="J300" s="118"/>
      <c r="K300" s="118"/>
      <c r="L300" s="118"/>
      <c r="M300" s="118"/>
      <c r="N300" s="118"/>
      <c r="O300" s="118"/>
      <c r="P300" s="118"/>
      <c r="Q300" s="118"/>
      <c r="R300" s="118"/>
      <c r="S300" s="118"/>
      <c r="T300" s="118"/>
    </row>
    <row r="301" spans="2:20">
      <c r="B301" s="118"/>
      <c r="C301" s="118"/>
      <c r="D301" s="118"/>
      <c r="E301" s="118"/>
      <c r="F301" s="118"/>
      <c r="G301" s="118"/>
      <c r="H301" s="118"/>
      <c r="I301" s="118"/>
      <c r="J301" s="118"/>
      <c r="K301" s="118"/>
      <c r="L301" s="118"/>
      <c r="M301" s="118"/>
      <c r="N301" s="118"/>
      <c r="O301" s="118"/>
      <c r="P301" s="118"/>
      <c r="Q301" s="118"/>
      <c r="R301" s="118"/>
      <c r="S301" s="118"/>
      <c r="T301" s="118"/>
    </row>
    <row r="302" spans="2:20">
      <c r="B302" s="118"/>
      <c r="C302" s="118"/>
      <c r="D302" s="118"/>
      <c r="E302" s="118"/>
      <c r="F302" s="118"/>
      <c r="G302" s="118"/>
      <c r="H302" s="118"/>
      <c r="I302" s="118"/>
      <c r="J302" s="118"/>
      <c r="K302" s="118"/>
      <c r="L302" s="118"/>
      <c r="M302" s="118"/>
      <c r="N302" s="118"/>
      <c r="O302" s="118"/>
      <c r="P302" s="118"/>
      <c r="Q302" s="118"/>
      <c r="R302" s="118"/>
      <c r="S302" s="118"/>
      <c r="T302" s="118"/>
    </row>
    <row r="303" spans="2:20">
      <c r="B303" s="118"/>
      <c r="C303" s="118"/>
      <c r="D303" s="118"/>
      <c r="E303" s="118"/>
      <c r="F303" s="118"/>
      <c r="G303" s="118"/>
      <c r="H303" s="118"/>
      <c r="I303" s="118"/>
      <c r="J303" s="118"/>
      <c r="K303" s="118"/>
      <c r="L303" s="118"/>
      <c r="M303" s="118"/>
      <c r="N303" s="118"/>
      <c r="O303" s="118"/>
      <c r="P303" s="118"/>
      <c r="Q303" s="118"/>
      <c r="R303" s="118"/>
      <c r="S303" s="118"/>
      <c r="T303" s="118"/>
    </row>
    <row r="304" spans="2:20">
      <c r="B304" s="118"/>
      <c r="C304" s="118"/>
      <c r="D304" s="118"/>
      <c r="E304" s="118"/>
      <c r="F304" s="118"/>
      <c r="G304" s="118"/>
      <c r="H304" s="118"/>
      <c r="I304" s="118"/>
      <c r="J304" s="118"/>
      <c r="K304" s="118"/>
      <c r="L304" s="118"/>
      <c r="M304" s="118"/>
      <c r="N304" s="118"/>
      <c r="O304" s="118"/>
      <c r="P304" s="118"/>
      <c r="Q304" s="118"/>
      <c r="R304" s="118"/>
      <c r="S304" s="118"/>
      <c r="T304" s="118"/>
    </row>
    <row r="305" spans="2:20">
      <c r="B305" s="118"/>
      <c r="C305" s="118"/>
      <c r="D305" s="118"/>
      <c r="E305" s="118"/>
      <c r="F305" s="118"/>
      <c r="G305" s="118"/>
      <c r="H305" s="118"/>
      <c r="I305" s="118"/>
      <c r="J305" s="118"/>
      <c r="K305" s="118"/>
      <c r="L305" s="118"/>
      <c r="M305" s="118"/>
      <c r="N305" s="118"/>
      <c r="O305" s="118"/>
      <c r="P305" s="118"/>
      <c r="Q305" s="118"/>
      <c r="R305" s="118"/>
      <c r="S305" s="118"/>
      <c r="T305" s="118"/>
    </row>
    <row r="306" spans="2:20">
      <c r="B306" s="118"/>
      <c r="C306" s="118"/>
      <c r="D306" s="118"/>
      <c r="E306" s="118"/>
      <c r="F306" s="118"/>
      <c r="G306" s="118"/>
      <c r="H306" s="118"/>
      <c r="I306" s="118"/>
      <c r="J306" s="118"/>
      <c r="K306" s="118"/>
      <c r="L306" s="118"/>
      <c r="M306" s="118"/>
      <c r="N306" s="118"/>
      <c r="O306" s="118"/>
      <c r="P306" s="118"/>
      <c r="Q306" s="118"/>
      <c r="R306" s="118"/>
      <c r="S306" s="118"/>
      <c r="T306" s="118"/>
    </row>
    <row r="307" spans="2:20">
      <c r="B307" s="118"/>
      <c r="C307" s="118"/>
      <c r="D307" s="118"/>
      <c r="E307" s="118"/>
      <c r="F307" s="118"/>
      <c r="G307" s="118"/>
      <c r="H307" s="118"/>
      <c r="I307" s="118"/>
      <c r="J307" s="118"/>
      <c r="K307" s="118"/>
      <c r="L307" s="118"/>
      <c r="M307" s="118"/>
      <c r="N307" s="118"/>
      <c r="O307" s="118"/>
      <c r="P307" s="118"/>
      <c r="Q307" s="118"/>
      <c r="R307" s="118"/>
      <c r="S307" s="118"/>
      <c r="T307" s="118"/>
    </row>
    <row r="308" spans="2:20">
      <c r="B308" s="118"/>
      <c r="C308" s="118"/>
      <c r="D308" s="118"/>
      <c r="E308" s="118"/>
      <c r="F308" s="118"/>
      <c r="G308" s="118"/>
      <c r="H308" s="118"/>
      <c r="I308" s="118"/>
      <c r="J308" s="118"/>
      <c r="K308" s="118"/>
      <c r="L308" s="118"/>
      <c r="M308" s="118"/>
      <c r="N308" s="118"/>
      <c r="O308" s="118"/>
      <c r="P308" s="118"/>
      <c r="Q308" s="118"/>
      <c r="R308" s="118"/>
      <c r="S308" s="118"/>
      <c r="T308" s="118"/>
    </row>
    <row r="309" spans="2:20">
      <c r="B309" s="118"/>
      <c r="C309" s="118"/>
      <c r="D309" s="118"/>
      <c r="E309" s="118"/>
      <c r="F309" s="118"/>
      <c r="G309" s="118"/>
      <c r="H309" s="118"/>
      <c r="I309" s="118"/>
      <c r="J309" s="118"/>
      <c r="K309" s="118"/>
      <c r="L309" s="118"/>
      <c r="M309" s="118"/>
      <c r="N309" s="118"/>
      <c r="O309" s="118"/>
      <c r="P309" s="118"/>
      <c r="Q309" s="118"/>
      <c r="R309" s="118"/>
      <c r="S309" s="118"/>
      <c r="T309" s="118"/>
    </row>
    <row r="310" spans="2:20">
      <c r="B310" s="118"/>
      <c r="C310" s="118"/>
      <c r="D310" s="118"/>
      <c r="E310" s="118"/>
      <c r="F310" s="118"/>
      <c r="G310" s="118"/>
      <c r="H310" s="118"/>
      <c r="I310" s="118"/>
      <c r="J310" s="118"/>
      <c r="K310" s="118"/>
      <c r="L310" s="118"/>
      <c r="M310" s="118"/>
      <c r="N310" s="118"/>
      <c r="O310" s="118"/>
      <c r="P310" s="118"/>
      <c r="Q310" s="118"/>
      <c r="R310" s="118"/>
      <c r="S310" s="118"/>
      <c r="T310" s="118"/>
    </row>
    <row r="311" spans="2:20">
      <c r="B311" s="118"/>
      <c r="C311" s="118"/>
      <c r="D311" s="118"/>
      <c r="E311" s="118"/>
      <c r="F311" s="118"/>
      <c r="G311" s="118"/>
      <c r="H311" s="118"/>
      <c r="I311" s="118"/>
      <c r="J311" s="118"/>
      <c r="K311" s="118"/>
      <c r="L311" s="118"/>
      <c r="M311" s="118"/>
      <c r="N311" s="118"/>
      <c r="O311" s="118"/>
      <c r="P311" s="118"/>
      <c r="Q311" s="118"/>
      <c r="R311" s="118"/>
      <c r="S311" s="118"/>
      <c r="T311" s="118"/>
    </row>
    <row r="312" spans="2:20">
      <c r="B312" s="118"/>
      <c r="C312" s="118"/>
      <c r="D312" s="118"/>
      <c r="E312" s="118"/>
      <c r="F312" s="118"/>
      <c r="G312" s="118"/>
      <c r="H312" s="118"/>
      <c r="I312" s="118"/>
      <c r="J312" s="118"/>
      <c r="K312" s="118"/>
      <c r="L312" s="118"/>
      <c r="M312" s="118"/>
      <c r="N312" s="118"/>
      <c r="O312" s="118"/>
      <c r="P312" s="118"/>
      <c r="Q312" s="118"/>
      <c r="R312" s="118"/>
      <c r="S312" s="118"/>
      <c r="T312" s="118"/>
    </row>
    <row r="313" spans="2:20">
      <c r="B313" s="118"/>
      <c r="C313" s="118"/>
      <c r="D313" s="118"/>
      <c r="E313" s="118"/>
      <c r="F313" s="118"/>
      <c r="G313" s="118"/>
      <c r="H313" s="118"/>
      <c r="I313" s="118"/>
      <c r="J313" s="118"/>
      <c r="K313" s="118"/>
      <c r="L313" s="118"/>
      <c r="M313" s="118"/>
      <c r="N313" s="118"/>
      <c r="O313" s="118"/>
      <c r="P313" s="118"/>
      <c r="Q313" s="118"/>
      <c r="R313" s="118"/>
      <c r="S313" s="118"/>
      <c r="T313" s="118"/>
    </row>
    <row r="314" spans="2:20">
      <c r="B314" s="118"/>
      <c r="C314" s="118"/>
      <c r="D314" s="118"/>
      <c r="E314" s="118"/>
      <c r="F314" s="118"/>
      <c r="G314" s="118"/>
      <c r="H314" s="118"/>
      <c r="I314" s="118"/>
      <c r="J314" s="118"/>
      <c r="K314" s="118"/>
      <c r="L314" s="118"/>
      <c r="M314" s="118"/>
      <c r="N314" s="118"/>
      <c r="O314" s="118"/>
      <c r="P314" s="118"/>
      <c r="Q314" s="118"/>
      <c r="R314" s="118"/>
      <c r="S314" s="118"/>
      <c r="T314" s="118"/>
    </row>
    <row r="315" spans="2:20">
      <c r="B315" s="118"/>
      <c r="C315" s="118"/>
      <c r="D315" s="118"/>
      <c r="E315" s="118"/>
      <c r="F315" s="118"/>
      <c r="G315" s="118"/>
      <c r="H315" s="118"/>
      <c r="I315" s="118"/>
      <c r="J315" s="118"/>
      <c r="K315" s="118"/>
      <c r="L315" s="118"/>
      <c r="M315" s="118"/>
      <c r="N315" s="118"/>
      <c r="O315" s="118"/>
      <c r="P315" s="118"/>
      <c r="Q315" s="118"/>
      <c r="R315" s="118"/>
      <c r="S315" s="118"/>
      <c r="T315" s="118"/>
    </row>
    <row r="316" spans="2:20">
      <c r="B316" s="118"/>
      <c r="C316" s="118"/>
      <c r="D316" s="118"/>
      <c r="E316" s="118"/>
      <c r="F316" s="118"/>
      <c r="G316" s="118"/>
      <c r="H316" s="118"/>
      <c r="I316" s="118"/>
      <c r="J316" s="118"/>
      <c r="K316" s="118"/>
      <c r="L316" s="118"/>
      <c r="M316" s="118"/>
      <c r="N316" s="118"/>
      <c r="O316" s="118"/>
      <c r="P316" s="118"/>
      <c r="Q316" s="118"/>
      <c r="R316" s="118"/>
      <c r="S316" s="118"/>
      <c r="T316" s="118"/>
    </row>
    <row r="317" spans="2:20">
      <c r="B317" s="118"/>
      <c r="C317" s="118"/>
      <c r="D317" s="118"/>
      <c r="E317" s="118"/>
      <c r="F317" s="118"/>
      <c r="G317" s="118"/>
      <c r="H317" s="118"/>
      <c r="I317" s="118"/>
      <c r="J317" s="118"/>
      <c r="K317" s="118"/>
      <c r="L317" s="118"/>
      <c r="M317" s="118"/>
      <c r="N317" s="118"/>
      <c r="O317" s="118"/>
      <c r="P317" s="118"/>
      <c r="Q317" s="118"/>
      <c r="R317" s="118"/>
      <c r="S317" s="118"/>
      <c r="T317" s="118"/>
    </row>
    <row r="318" spans="2:20">
      <c r="B318" s="118"/>
      <c r="C318" s="118"/>
      <c r="D318" s="118"/>
      <c r="E318" s="118"/>
      <c r="F318" s="118"/>
      <c r="G318" s="118"/>
      <c r="H318" s="118"/>
      <c r="I318" s="118"/>
      <c r="J318" s="118"/>
      <c r="K318" s="118"/>
      <c r="L318" s="118"/>
      <c r="M318" s="118"/>
      <c r="N318" s="118"/>
      <c r="O318" s="118"/>
      <c r="P318" s="118"/>
      <c r="Q318" s="118"/>
      <c r="R318" s="118"/>
      <c r="S318" s="118"/>
      <c r="T318" s="118"/>
    </row>
    <row r="319" spans="2:20">
      <c r="B319" s="118"/>
      <c r="C319" s="118"/>
      <c r="D319" s="118"/>
      <c r="E319" s="118"/>
      <c r="F319" s="118"/>
      <c r="G319" s="118"/>
      <c r="H319" s="118"/>
      <c r="I319" s="118"/>
      <c r="J319" s="118"/>
      <c r="K319" s="118"/>
      <c r="L319" s="118"/>
      <c r="M319" s="118"/>
      <c r="N319" s="118"/>
      <c r="O319" s="118"/>
      <c r="P319" s="118"/>
      <c r="Q319" s="118"/>
      <c r="R319" s="118"/>
      <c r="S319" s="118"/>
      <c r="T319" s="118"/>
    </row>
    <row r="320" spans="2:20">
      <c r="B320" s="118"/>
      <c r="C320" s="118"/>
      <c r="D320" s="118"/>
      <c r="E320" s="118"/>
      <c r="F320" s="118"/>
      <c r="G320" s="118"/>
      <c r="H320" s="118"/>
      <c r="I320" s="118"/>
      <c r="J320" s="118"/>
      <c r="K320" s="118"/>
      <c r="L320" s="118"/>
      <c r="M320" s="118"/>
      <c r="N320" s="118"/>
      <c r="O320" s="118"/>
      <c r="P320" s="118"/>
      <c r="Q320" s="118"/>
      <c r="R320" s="118"/>
      <c r="S320" s="118"/>
      <c r="T320" s="118"/>
    </row>
    <row r="321" spans="2:20">
      <c r="B321" s="118"/>
      <c r="C321" s="118"/>
      <c r="D321" s="118"/>
      <c r="E321" s="118"/>
      <c r="F321" s="118"/>
      <c r="G321" s="118"/>
      <c r="H321" s="118"/>
      <c r="I321" s="118"/>
      <c r="J321" s="118"/>
      <c r="K321" s="118"/>
      <c r="L321" s="118"/>
      <c r="M321" s="118"/>
      <c r="N321" s="118"/>
      <c r="O321" s="118"/>
      <c r="P321" s="118"/>
      <c r="Q321" s="118"/>
      <c r="R321" s="118"/>
      <c r="S321" s="118"/>
      <c r="T321" s="118"/>
    </row>
    <row r="322" spans="2:20">
      <c r="B322" s="118"/>
      <c r="C322" s="118"/>
      <c r="D322" s="118"/>
      <c r="E322" s="118"/>
      <c r="F322" s="118"/>
      <c r="G322" s="118"/>
      <c r="H322" s="118"/>
      <c r="I322" s="118"/>
      <c r="J322" s="118"/>
      <c r="K322" s="118"/>
      <c r="L322" s="118"/>
      <c r="M322" s="118"/>
      <c r="N322" s="118"/>
      <c r="O322" s="118"/>
      <c r="P322" s="118"/>
      <c r="Q322" s="118"/>
      <c r="R322" s="118"/>
      <c r="S322" s="118"/>
      <c r="T322" s="118"/>
    </row>
    <row r="323" spans="2:20">
      <c r="B323" s="118"/>
      <c r="C323" s="118"/>
      <c r="D323" s="118"/>
      <c r="E323" s="118"/>
      <c r="F323" s="118"/>
      <c r="G323" s="118"/>
      <c r="H323" s="118"/>
      <c r="I323" s="118"/>
      <c r="J323" s="118"/>
      <c r="K323" s="118"/>
      <c r="L323" s="118"/>
      <c r="M323" s="118"/>
      <c r="N323" s="118"/>
      <c r="O323" s="118"/>
      <c r="P323" s="118"/>
      <c r="Q323" s="118"/>
      <c r="R323" s="118"/>
      <c r="S323" s="118"/>
      <c r="T323" s="118"/>
    </row>
    <row r="324" spans="2:20">
      <c r="B324" s="118"/>
      <c r="C324" s="118"/>
      <c r="D324" s="118"/>
      <c r="E324" s="118"/>
      <c r="F324" s="118"/>
      <c r="G324" s="118"/>
      <c r="H324" s="118"/>
      <c r="I324" s="118"/>
      <c r="J324" s="118"/>
      <c r="K324" s="118"/>
      <c r="L324" s="118"/>
      <c r="M324" s="118"/>
      <c r="N324" s="118"/>
      <c r="O324" s="118"/>
      <c r="P324" s="118"/>
      <c r="Q324" s="118"/>
      <c r="R324" s="118"/>
      <c r="S324" s="118"/>
      <c r="T324" s="118"/>
    </row>
    <row r="325" spans="2:20">
      <c r="B325" s="118"/>
      <c r="C325" s="118"/>
      <c r="D325" s="118"/>
      <c r="E325" s="118"/>
      <c r="F325" s="118"/>
      <c r="G325" s="118"/>
      <c r="H325" s="118"/>
      <c r="I325" s="118"/>
      <c r="J325" s="118"/>
      <c r="K325" s="118"/>
      <c r="L325" s="118"/>
      <c r="M325" s="118"/>
      <c r="N325" s="118"/>
      <c r="O325" s="118"/>
      <c r="P325" s="118"/>
      <c r="Q325" s="118"/>
      <c r="R325" s="118"/>
      <c r="S325" s="118"/>
      <c r="T325" s="118"/>
    </row>
    <row r="326" spans="2:20">
      <c r="B326" s="118"/>
      <c r="C326" s="118"/>
      <c r="D326" s="118"/>
      <c r="E326" s="118"/>
      <c r="F326" s="118"/>
      <c r="G326" s="118"/>
      <c r="H326" s="118"/>
      <c r="I326" s="118"/>
      <c r="J326" s="118"/>
      <c r="K326" s="118"/>
      <c r="L326" s="118"/>
      <c r="M326" s="118"/>
      <c r="N326" s="118"/>
      <c r="O326" s="118"/>
      <c r="P326" s="118"/>
      <c r="Q326" s="118"/>
      <c r="R326" s="118"/>
      <c r="S326" s="118"/>
      <c r="T326" s="118"/>
    </row>
    <row r="327" spans="2:20">
      <c r="B327" s="118"/>
      <c r="C327" s="118"/>
      <c r="D327" s="118"/>
      <c r="E327" s="118"/>
      <c r="F327" s="118"/>
      <c r="G327" s="118"/>
      <c r="H327" s="118"/>
      <c r="I327" s="118"/>
      <c r="J327" s="118"/>
      <c r="K327" s="118"/>
      <c r="L327" s="118"/>
      <c r="M327" s="118"/>
      <c r="N327" s="118"/>
      <c r="O327" s="118"/>
      <c r="P327" s="118"/>
      <c r="Q327" s="118"/>
      <c r="R327" s="118"/>
      <c r="S327" s="118"/>
      <c r="T327" s="118"/>
    </row>
    <row r="328" spans="2:20">
      <c r="B328" s="118"/>
      <c r="C328" s="118"/>
      <c r="D328" s="118"/>
      <c r="E328" s="118"/>
      <c r="F328" s="118"/>
      <c r="G328" s="118"/>
      <c r="H328" s="118"/>
      <c r="I328" s="118"/>
      <c r="J328" s="118"/>
      <c r="K328" s="118"/>
      <c r="L328" s="118"/>
      <c r="M328" s="118"/>
      <c r="N328" s="118"/>
      <c r="O328" s="118"/>
      <c r="P328" s="118"/>
      <c r="Q328" s="118"/>
      <c r="R328" s="118"/>
      <c r="S328" s="118"/>
      <c r="T328" s="118"/>
    </row>
    <row r="329" spans="2:20">
      <c r="B329" s="118"/>
      <c r="C329" s="118"/>
      <c r="D329" s="118"/>
      <c r="E329" s="118"/>
      <c r="F329" s="118"/>
      <c r="G329" s="118"/>
      <c r="H329" s="118"/>
      <c r="I329" s="118"/>
      <c r="J329" s="118"/>
      <c r="K329" s="118"/>
      <c r="L329" s="118"/>
      <c r="M329" s="118"/>
      <c r="N329" s="118"/>
      <c r="O329" s="118"/>
      <c r="P329" s="118"/>
      <c r="Q329" s="118"/>
      <c r="R329" s="118"/>
      <c r="S329" s="118"/>
      <c r="T329" s="118"/>
    </row>
    <row r="330" spans="2:20">
      <c r="B330" s="118"/>
      <c r="C330" s="118"/>
      <c r="D330" s="118"/>
      <c r="E330" s="118"/>
      <c r="F330" s="118"/>
      <c r="G330" s="118"/>
      <c r="H330" s="118"/>
      <c r="I330" s="118"/>
      <c r="J330" s="118"/>
      <c r="K330" s="118"/>
      <c r="L330" s="118"/>
      <c r="M330" s="118"/>
      <c r="N330" s="118"/>
      <c r="O330" s="118"/>
      <c r="P330" s="118"/>
      <c r="Q330" s="118"/>
      <c r="R330" s="118"/>
      <c r="S330" s="118"/>
      <c r="T330" s="118"/>
    </row>
    <row r="331" spans="2:20">
      <c r="B331" s="118"/>
      <c r="C331" s="118"/>
      <c r="D331" s="118"/>
      <c r="E331" s="118"/>
      <c r="F331" s="118"/>
      <c r="G331" s="118"/>
      <c r="H331" s="118"/>
      <c r="I331" s="118"/>
      <c r="J331" s="118"/>
      <c r="K331" s="118"/>
      <c r="L331" s="118"/>
      <c r="M331" s="118"/>
      <c r="N331" s="118"/>
      <c r="O331" s="118"/>
      <c r="P331" s="118"/>
      <c r="Q331" s="118"/>
      <c r="R331" s="118"/>
      <c r="S331" s="118"/>
      <c r="T331" s="118"/>
    </row>
    <row r="332" spans="2:20">
      <c r="B332" s="118"/>
      <c r="C332" s="118"/>
      <c r="D332" s="118"/>
      <c r="E332" s="118"/>
      <c r="F332" s="118"/>
      <c r="G332" s="118"/>
      <c r="H332" s="118"/>
      <c r="I332" s="118"/>
      <c r="J332" s="118"/>
      <c r="K332" s="118"/>
      <c r="L332" s="118"/>
      <c r="M332" s="118"/>
      <c r="N332" s="118"/>
      <c r="O332" s="118"/>
      <c r="P332" s="118"/>
      <c r="Q332" s="118"/>
      <c r="R332" s="118"/>
      <c r="S332" s="118"/>
      <c r="T332" s="118"/>
    </row>
    <row r="333" spans="2:20">
      <c r="B333" s="118"/>
      <c r="C333" s="118"/>
      <c r="D333" s="118"/>
      <c r="E333" s="118"/>
      <c r="F333" s="118"/>
      <c r="G333" s="118"/>
      <c r="H333" s="118"/>
      <c r="I333" s="118"/>
      <c r="J333" s="118"/>
      <c r="K333" s="118"/>
      <c r="L333" s="118"/>
      <c r="M333" s="118"/>
      <c r="N333" s="118"/>
      <c r="O333" s="118"/>
      <c r="P333" s="118"/>
      <c r="Q333" s="118"/>
      <c r="R333" s="118"/>
      <c r="S333" s="118"/>
      <c r="T333" s="118"/>
    </row>
    <row r="334" spans="2:20">
      <c r="B334" s="118"/>
      <c r="C334" s="118"/>
      <c r="D334" s="118"/>
      <c r="E334" s="118"/>
      <c r="F334" s="118"/>
      <c r="G334" s="118"/>
      <c r="H334" s="118"/>
      <c r="I334" s="118"/>
      <c r="J334" s="118"/>
      <c r="K334" s="118"/>
      <c r="L334" s="118"/>
      <c r="M334" s="118"/>
      <c r="N334" s="118"/>
      <c r="O334" s="118"/>
      <c r="P334" s="118"/>
      <c r="Q334" s="118"/>
      <c r="R334" s="118"/>
      <c r="S334" s="118"/>
      <c r="T334" s="118"/>
    </row>
    <row r="335" spans="2:20">
      <c r="B335" s="118"/>
      <c r="C335" s="118"/>
      <c r="D335" s="118"/>
      <c r="E335" s="118"/>
      <c r="F335" s="118"/>
      <c r="G335" s="118"/>
      <c r="H335" s="118"/>
      <c r="I335" s="118"/>
      <c r="J335" s="118"/>
      <c r="K335" s="118"/>
      <c r="L335" s="118"/>
      <c r="M335" s="118"/>
      <c r="N335" s="118"/>
      <c r="O335" s="118"/>
      <c r="P335" s="118"/>
      <c r="Q335" s="118"/>
      <c r="R335" s="118"/>
      <c r="S335" s="118"/>
      <c r="T335" s="118"/>
    </row>
    <row r="336" spans="2:20">
      <c r="B336" s="118"/>
      <c r="C336" s="118"/>
      <c r="D336" s="118"/>
      <c r="E336" s="118"/>
      <c r="F336" s="118"/>
      <c r="G336" s="118"/>
      <c r="H336" s="118"/>
      <c r="I336" s="118"/>
      <c r="J336" s="118"/>
      <c r="K336" s="118"/>
      <c r="L336" s="118"/>
      <c r="M336" s="118"/>
      <c r="N336" s="118"/>
      <c r="O336" s="118"/>
      <c r="P336" s="118"/>
      <c r="Q336" s="118"/>
      <c r="R336" s="118"/>
      <c r="S336" s="118"/>
      <c r="T336" s="118"/>
    </row>
    <row r="337" spans="2:20">
      <c r="B337" s="118"/>
      <c r="C337" s="118"/>
      <c r="D337" s="118"/>
      <c r="E337" s="118"/>
      <c r="F337" s="118"/>
      <c r="G337" s="118"/>
      <c r="H337" s="118"/>
      <c r="I337" s="118"/>
      <c r="J337" s="118"/>
      <c r="K337" s="118"/>
      <c r="L337" s="118"/>
      <c r="M337" s="118"/>
      <c r="N337" s="118"/>
      <c r="O337" s="118"/>
      <c r="P337" s="118"/>
      <c r="Q337" s="118"/>
      <c r="R337" s="118"/>
      <c r="S337" s="118"/>
      <c r="T337" s="118"/>
    </row>
    <row r="338" spans="2:20">
      <c r="B338" s="118"/>
      <c r="C338" s="118"/>
      <c r="D338" s="118"/>
      <c r="E338" s="118"/>
      <c r="F338" s="118"/>
      <c r="G338" s="118"/>
      <c r="H338" s="118"/>
      <c r="I338" s="118"/>
      <c r="J338" s="118"/>
      <c r="K338" s="118"/>
      <c r="L338" s="118"/>
      <c r="M338" s="118"/>
      <c r="N338" s="118"/>
      <c r="O338" s="118"/>
      <c r="P338" s="118"/>
      <c r="Q338" s="118"/>
      <c r="R338" s="118"/>
      <c r="S338" s="118"/>
      <c r="T338" s="118"/>
    </row>
    <row r="339" spans="2:20">
      <c r="B339" s="118"/>
      <c r="C339" s="118"/>
      <c r="D339" s="118"/>
      <c r="E339" s="118"/>
      <c r="F339" s="118"/>
      <c r="G339" s="118"/>
      <c r="H339" s="118"/>
      <c r="I339" s="118"/>
      <c r="J339" s="118"/>
      <c r="K339" s="118"/>
      <c r="L339" s="118"/>
      <c r="M339" s="118"/>
      <c r="N339" s="118"/>
      <c r="O339" s="118"/>
      <c r="P339" s="118"/>
      <c r="Q339" s="118"/>
      <c r="R339" s="118"/>
      <c r="S339" s="118"/>
      <c r="T339" s="118"/>
    </row>
    <row r="340" spans="2:20">
      <c r="B340" s="118"/>
      <c r="C340" s="118"/>
      <c r="D340" s="118"/>
      <c r="E340" s="118"/>
      <c r="F340" s="118"/>
      <c r="G340" s="118"/>
      <c r="H340" s="118"/>
      <c r="I340" s="118"/>
      <c r="J340" s="118"/>
      <c r="K340" s="118"/>
      <c r="L340" s="118"/>
      <c r="M340" s="118"/>
      <c r="N340" s="118"/>
      <c r="O340" s="118"/>
      <c r="P340" s="118"/>
      <c r="Q340" s="118"/>
      <c r="R340" s="118"/>
      <c r="S340" s="118"/>
      <c r="T340" s="118"/>
    </row>
    <row r="341" spans="2:20">
      <c r="B341" s="118"/>
      <c r="C341" s="118"/>
      <c r="D341" s="118"/>
      <c r="E341" s="118"/>
      <c r="F341" s="118"/>
      <c r="G341" s="118"/>
      <c r="H341" s="118"/>
      <c r="I341" s="118"/>
      <c r="J341" s="118"/>
      <c r="K341" s="118"/>
      <c r="L341" s="118"/>
      <c r="M341" s="118"/>
      <c r="N341" s="118"/>
      <c r="O341" s="118"/>
      <c r="P341" s="118"/>
      <c r="Q341" s="118"/>
      <c r="R341" s="118"/>
      <c r="S341" s="118"/>
      <c r="T341" s="118"/>
    </row>
    <row r="342" spans="2:20">
      <c r="B342" s="118"/>
      <c r="C342" s="118"/>
      <c r="D342" s="118"/>
      <c r="E342" s="118"/>
      <c r="F342" s="118"/>
      <c r="G342" s="118"/>
      <c r="H342" s="118"/>
      <c r="I342" s="118"/>
      <c r="J342" s="118"/>
      <c r="K342" s="118"/>
      <c r="L342" s="118"/>
      <c r="M342" s="118"/>
      <c r="N342" s="118"/>
      <c r="O342" s="118"/>
      <c r="P342" s="118"/>
      <c r="Q342" s="118"/>
      <c r="R342" s="118"/>
      <c r="S342" s="118"/>
      <c r="T342" s="118"/>
    </row>
    <row r="343" spans="2:20">
      <c r="B343" s="118"/>
      <c r="C343" s="118"/>
      <c r="D343" s="118"/>
      <c r="E343" s="118"/>
      <c r="F343" s="118"/>
      <c r="G343" s="118"/>
      <c r="H343" s="118"/>
      <c r="I343" s="118"/>
      <c r="J343" s="118"/>
      <c r="K343" s="118"/>
      <c r="L343" s="118"/>
      <c r="M343" s="118"/>
      <c r="N343" s="118"/>
      <c r="O343" s="118"/>
      <c r="P343" s="118"/>
      <c r="Q343" s="118"/>
      <c r="R343" s="118"/>
      <c r="S343" s="118"/>
      <c r="T343" s="118"/>
    </row>
    <row r="344" spans="2:20">
      <c r="B344" s="118"/>
      <c r="C344" s="118"/>
      <c r="D344" s="118"/>
      <c r="E344" s="118"/>
      <c r="F344" s="118"/>
      <c r="G344" s="118"/>
      <c r="H344" s="118"/>
      <c r="I344" s="118"/>
      <c r="J344" s="118"/>
      <c r="K344" s="118"/>
      <c r="L344" s="118"/>
      <c r="M344" s="118"/>
      <c r="N344" s="118"/>
      <c r="O344" s="118"/>
      <c r="P344" s="118"/>
      <c r="Q344" s="118"/>
      <c r="R344" s="118"/>
      <c r="S344" s="118"/>
      <c r="T344" s="118"/>
    </row>
    <row r="345" spans="2:20">
      <c r="B345" s="118"/>
      <c r="C345" s="118"/>
      <c r="D345" s="118"/>
      <c r="E345" s="118"/>
      <c r="F345" s="118"/>
      <c r="G345" s="118"/>
      <c r="H345" s="118"/>
      <c r="I345" s="118"/>
      <c r="J345" s="118"/>
      <c r="K345" s="118"/>
      <c r="L345" s="118"/>
      <c r="M345" s="118"/>
      <c r="N345" s="118"/>
      <c r="O345" s="118"/>
      <c r="P345" s="118"/>
      <c r="Q345" s="118"/>
      <c r="R345" s="118"/>
      <c r="S345" s="118"/>
      <c r="T345" s="118"/>
    </row>
    <row r="346" spans="2:20">
      <c r="B346" s="118"/>
      <c r="C346" s="118"/>
      <c r="D346" s="118"/>
      <c r="E346" s="118"/>
      <c r="F346" s="118"/>
      <c r="G346" s="118"/>
      <c r="H346" s="118"/>
      <c r="I346" s="118"/>
      <c r="J346" s="118"/>
      <c r="K346" s="118"/>
      <c r="L346" s="118"/>
      <c r="M346" s="118"/>
      <c r="N346" s="118"/>
      <c r="O346" s="118"/>
      <c r="P346" s="118"/>
      <c r="Q346" s="118"/>
      <c r="R346" s="118"/>
      <c r="S346" s="118"/>
      <c r="T346" s="118"/>
    </row>
    <row r="347" spans="2:20">
      <c r="B347" s="118"/>
      <c r="C347" s="118"/>
      <c r="D347" s="118"/>
      <c r="E347" s="118"/>
      <c r="F347" s="118"/>
      <c r="G347" s="118"/>
      <c r="H347" s="118"/>
      <c r="I347" s="118"/>
      <c r="J347" s="118"/>
      <c r="K347" s="118"/>
      <c r="L347" s="118"/>
      <c r="M347" s="118"/>
      <c r="N347" s="118"/>
      <c r="O347" s="118"/>
      <c r="P347" s="118"/>
      <c r="Q347" s="118"/>
      <c r="R347" s="118"/>
      <c r="S347" s="118"/>
      <c r="T347" s="118"/>
    </row>
    <row r="348" spans="2:20">
      <c r="B348" s="118"/>
      <c r="C348" s="118"/>
      <c r="D348" s="118"/>
      <c r="E348" s="118"/>
      <c r="F348" s="118"/>
      <c r="G348" s="118"/>
      <c r="H348" s="118"/>
      <c r="I348" s="118"/>
      <c r="J348" s="118"/>
      <c r="K348" s="118"/>
      <c r="L348" s="118"/>
      <c r="M348" s="118"/>
      <c r="N348" s="118"/>
      <c r="O348" s="118"/>
      <c r="P348" s="118"/>
      <c r="Q348" s="118"/>
      <c r="R348" s="118"/>
      <c r="S348" s="118"/>
      <c r="T348" s="118"/>
    </row>
    <row r="349" spans="2:20">
      <c r="B349" s="118"/>
      <c r="C349" s="118"/>
      <c r="D349" s="118"/>
      <c r="E349" s="118"/>
      <c r="F349" s="118"/>
      <c r="G349" s="118"/>
      <c r="H349" s="118"/>
      <c r="I349" s="118"/>
      <c r="J349" s="118"/>
      <c r="K349" s="118"/>
      <c r="L349" s="118"/>
      <c r="M349" s="118"/>
      <c r="N349" s="118"/>
      <c r="O349" s="118"/>
      <c r="P349" s="118"/>
      <c r="Q349" s="118"/>
      <c r="R349" s="118"/>
      <c r="S349" s="118"/>
      <c r="T349" s="118"/>
    </row>
    <row r="350" spans="2:20">
      <c r="B350" s="118"/>
      <c r="C350" s="118"/>
      <c r="D350" s="118"/>
      <c r="E350" s="118"/>
      <c r="F350" s="118"/>
      <c r="G350" s="118"/>
      <c r="H350" s="118"/>
      <c r="I350" s="118"/>
      <c r="J350" s="118"/>
      <c r="K350" s="118"/>
      <c r="L350" s="118"/>
      <c r="M350" s="118"/>
      <c r="N350" s="118"/>
      <c r="O350" s="118"/>
      <c r="P350" s="118"/>
      <c r="Q350" s="118"/>
      <c r="R350" s="118"/>
      <c r="S350" s="118"/>
      <c r="T350" s="118"/>
    </row>
    <row r="351" spans="2:20">
      <c r="B351" s="118"/>
      <c r="C351" s="118"/>
      <c r="D351" s="118"/>
      <c r="E351" s="118"/>
      <c r="F351" s="118"/>
      <c r="G351" s="118"/>
      <c r="H351" s="118"/>
      <c r="I351" s="118"/>
      <c r="J351" s="118"/>
      <c r="K351" s="118"/>
      <c r="L351" s="118"/>
      <c r="M351" s="118"/>
      <c r="N351" s="118"/>
      <c r="O351" s="118"/>
      <c r="P351" s="118"/>
      <c r="Q351" s="118"/>
      <c r="R351" s="118"/>
      <c r="S351" s="118"/>
      <c r="T351" s="118"/>
    </row>
    <row r="352" spans="2:20">
      <c r="B352" s="118"/>
      <c r="C352" s="118"/>
      <c r="D352" s="118"/>
      <c r="E352" s="118"/>
      <c r="F352" s="118"/>
      <c r="G352" s="118"/>
      <c r="H352" s="118"/>
      <c r="I352" s="118"/>
      <c r="J352" s="118"/>
      <c r="K352" s="118"/>
      <c r="L352" s="118"/>
      <c r="M352" s="118"/>
      <c r="N352" s="118"/>
      <c r="O352" s="118"/>
      <c r="P352" s="118"/>
      <c r="Q352" s="118"/>
      <c r="R352" s="118"/>
      <c r="S352" s="118"/>
      <c r="T352" s="118"/>
    </row>
    <row r="353" spans="2:20">
      <c r="B353" s="118"/>
      <c r="C353" s="118"/>
      <c r="D353" s="118"/>
      <c r="E353" s="118"/>
      <c r="F353" s="118"/>
      <c r="G353" s="118"/>
      <c r="H353" s="118"/>
      <c r="I353" s="118"/>
      <c r="J353" s="118"/>
      <c r="K353" s="118"/>
      <c r="L353" s="118"/>
      <c r="M353" s="118"/>
      <c r="N353" s="118"/>
      <c r="O353" s="118"/>
      <c r="P353" s="118"/>
      <c r="Q353" s="118"/>
      <c r="R353" s="118"/>
      <c r="S353" s="118"/>
      <c r="T353" s="118"/>
    </row>
    <row r="354" spans="2:20">
      <c r="B354" s="118"/>
      <c r="C354" s="118"/>
      <c r="D354" s="118"/>
      <c r="E354" s="118"/>
      <c r="F354" s="118"/>
      <c r="G354" s="118"/>
      <c r="H354" s="118"/>
      <c r="I354" s="118"/>
      <c r="J354" s="118"/>
      <c r="K354" s="118"/>
      <c r="L354" s="118"/>
      <c r="M354" s="118"/>
      <c r="N354" s="118"/>
      <c r="O354" s="118"/>
      <c r="P354" s="118"/>
      <c r="Q354" s="118"/>
      <c r="R354" s="118"/>
      <c r="S354" s="118"/>
      <c r="T354" s="118"/>
    </row>
    <row r="355" spans="2:20">
      <c r="B355" s="118"/>
      <c r="C355" s="118"/>
      <c r="D355" s="118"/>
      <c r="E355" s="118"/>
      <c r="F355" s="118"/>
      <c r="G355" s="118"/>
      <c r="H355" s="118"/>
      <c r="I355" s="118"/>
      <c r="J355" s="118"/>
      <c r="K355" s="118"/>
      <c r="L355" s="118"/>
      <c r="M355" s="118"/>
      <c r="N355" s="118"/>
      <c r="O355" s="118"/>
      <c r="P355" s="118"/>
      <c r="Q355" s="118"/>
      <c r="R355" s="118"/>
      <c r="S355" s="118"/>
      <c r="T355" s="118"/>
    </row>
    <row r="356" spans="2:20">
      <c r="B356" s="118"/>
      <c r="C356" s="118"/>
      <c r="D356" s="118"/>
      <c r="E356" s="118"/>
      <c r="F356" s="118"/>
      <c r="G356" s="118"/>
      <c r="H356" s="118"/>
      <c r="I356" s="118"/>
      <c r="J356" s="118"/>
      <c r="K356" s="118"/>
      <c r="L356" s="118"/>
      <c r="M356" s="118"/>
      <c r="N356" s="118"/>
      <c r="O356" s="118"/>
      <c r="P356" s="118"/>
      <c r="Q356" s="118"/>
      <c r="R356" s="118"/>
      <c r="S356" s="118"/>
      <c r="T356" s="118"/>
    </row>
    <row r="357" spans="2:20">
      <c r="B357" s="118"/>
      <c r="C357" s="118"/>
      <c r="D357" s="118"/>
      <c r="E357" s="118"/>
      <c r="F357" s="118"/>
      <c r="G357" s="118"/>
      <c r="H357" s="118"/>
      <c r="I357" s="118"/>
      <c r="J357" s="118"/>
      <c r="K357" s="118"/>
      <c r="L357" s="118"/>
      <c r="M357" s="118"/>
      <c r="N357" s="118"/>
      <c r="O357" s="118"/>
      <c r="P357" s="118"/>
      <c r="Q357" s="118"/>
      <c r="R357" s="118"/>
      <c r="S357" s="118"/>
      <c r="T357" s="118"/>
    </row>
    <row r="358" spans="2:20">
      <c r="B358" s="118"/>
      <c r="C358" s="118"/>
      <c r="D358" s="118"/>
      <c r="E358" s="118"/>
      <c r="F358" s="118"/>
      <c r="G358" s="118"/>
      <c r="H358" s="118"/>
      <c r="I358" s="118"/>
      <c r="J358" s="118"/>
      <c r="K358" s="118"/>
      <c r="L358" s="118"/>
      <c r="M358" s="118"/>
      <c r="N358" s="118"/>
      <c r="O358" s="118"/>
      <c r="P358" s="118"/>
      <c r="Q358" s="118"/>
      <c r="R358" s="118"/>
      <c r="S358" s="118"/>
      <c r="T358" s="118"/>
    </row>
    <row r="359" spans="2:20">
      <c r="B359" s="118"/>
      <c r="C359" s="118"/>
      <c r="D359" s="118"/>
      <c r="E359" s="118"/>
      <c r="F359" s="118"/>
      <c r="G359" s="118"/>
      <c r="H359" s="118"/>
      <c r="I359" s="118"/>
      <c r="J359" s="118"/>
      <c r="K359" s="118"/>
      <c r="L359" s="118"/>
      <c r="M359" s="118"/>
      <c r="N359" s="118"/>
      <c r="O359" s="118"/>
      <c r="P359" s="118"/>
      <c r="Q359" s="118"/>
      <c r="R359" s="118"/>
      <c r="S359" s="118"/>
      <c r="T359" s="118"/>
    </row>
    <row r="360" spans="2:20">
      <c r="B360" s="118"/>
      <c r="C360" s="118"/>
      <c r="D360" s="118"/>
      <c r="E360" s="118"/>
      <c r="F360" s="118"/>
      <c r="G360" s="118"/>
      <c r="H360" s="118"/>
      <c r="I360" s="118"/>
      <c r="J360" s="118"/>
      <c r="K360" s="118"/>
      <c r="L360" s="118"/>
      <c r="M360" s="118"/>
      <c r="N360" s="118"/>
      <c r="O360" s="118"/>
      <c r="P360" s="118"/>
      <c r="Q360" s="118"/>
      <c r="R360" s="118"/>
      <c r="S360" s="118"/>
      <c r="T360" s="118"/>
    </row>
    <row r="361" spans="2:20">
      <c r="B361" s="118"/>
      <c r="C361" s="118"/>
      <c r="D361" s="118"/>
      <c r="E361" s="118"/>
      <c r="F361" s="118"/>
      <c r="G361" s="118"/>
      <c r="H361" s="118"/>
      <c r="I361" s="118"/>
      <c r="J361" s="118"/>
      <c r="K361" s="118"/>
      <c r="L361" s="118"/>
      <c r="M361" s="118"/>
      <c r="N361" s="118"/>
      <c r="O361" s="118"/>
      <c r="P361" s="118"/>
      <c r="Q361" s="118"/>
      <c r="R361" s="118"/>
      <c r="S361" s="118"/>
      <c r="T361" s="118"/>
    </row>
    <row r="362" spans="2:20">
      <c r="B362" s="118"/>
      <c r="C362" s="118"/>
      <c r="D362" s="118"/>
      <c r="E362" s="118"/>
      <c r="F362" s="118"/>
      <c r="G362" s="118"/>
      <c r="H362" s="118"/>
      <c r="I362" s="118"/>
      <c r="J362" s="118"/>
      <c r="K362" s="118"/>
      <c r="L362" s="118"/>
      <c r="M362" s="118"/>
      <c r="N362" s="118"/>
      <c r="O362" s="118"/>
      <c r="P362" s="118"/>
      <c r="Q362" s="118"/>
      <c r="R362" s="118"/>
      <c r="S362" s="118"/>
      <c r="T362" s="118"/>
    </row>
    <row r="363" spans="2:20">
      <c r="B363" s="118"/>
      <c r="C363" s="118"/>
      <c r="D363" s="118"/>
      <c r="E363" s="118"/>
      <c r="F363" s="118"/>
      <c r="G363" s="118"/>
      <c r="H363" s="118"/>
      <c r="I363" s="118"/>
      <c r="J363" s="118"/>
      <c r="K363" s="118"/>
      <c r="L363" s="118"/>
      <c r="M363" s="118"/>
      <c r="N363" s="118"/>
      <c r="O363" s="118"/>
      <c r="P363" s="118"/>
      <c r="Q363" s="118"/>
      <c r="R363" s="118"/>
      <c r="S363" s="118"/>
      <c r="T363" s="118"/>
    </row>
    <row r="364" spans="2:20">
      <c r="B364" s="118"/>
      <c r="C364" s="118"/>
      <c r="D364" s="118"/>
      <c r="E364" s="118"/>
      <c r="F364" s="118"/>
      <c r="G364" s="118"/>
      <c r="H364" s="118"/>
      <c r="I364" s="118"/>
      <c r="J364" s="118"/>
      <c r="K364" s="118"/>
      <c r="L364" s="118"/>
      <c r="M364" s="118"/>
      <c r="N364" s="118"/>
      <c r="O364" s="118"/>
      <c r="P364" s="118"/>
      <c r="Q364" s="118"/>
      <c r="R364" s="118"/>
      <c r="S364" s="118"/>
      <c r="T364" s="118"/>
    </row>
    <row r="365" spans="2:20">
      <c r="B365" s="118"/>
      <c r="C365" s="118"/>
      <c r="D365" s="118"/>
      <c r="E365" s="118"/>
      <c r="F365" s="118"/>
      <c r="G365" s="118"/>
      <c r="H365" s="118"/>
      <c r="I365" s="118"/>
      <c r="J365" s="118"/>
      <c r="K365" s="118"/>
      <c r="L365" s="118"/>
      <c r="M365" s="118"/>
      <c r="N365" s="118"/>
      <c r="O365" s="118"/>
      <c r="P365" s="118"/>
      <c r="Q365" s="118"/>
      <c r="R365" s="118"/>
      <c r="S365" s="118"/>
      <c r="T365" s="118"/>
    </row>
    <row r="366" spans="2:20">
      <c r="B366" s="118"/>
      <c r="C366" s="118"/>
      <c r="D366" s="118"/>
      <c r="E366" s="118"/>
      <c r="F366" s="118"/>
      <c r="G366" s="118"/>
      <c r="H366" s="118"/>
      <c r="I366" s="118"/>
      <c r="J366" s="118"/>
      <c r="K366" s="118"/>
      <c r="L366" s="118"/>
      <c r="M366" s="118"/>
      <c r="N366" s="118"/>
      <c r="O366" s="118"/>
      <c r="P366" s="118"/>
      <c r="Q366" s="118"/>
      <c r="R366" s="118"/>
      <c r="S366" s="118"/>
      <c r="T366" s="118"/>
    </row>
    <row r="367" spans="2:20">
      <c r="B367" s="118"/>
      <c r="C367" s="118"/>
      <c r="D367" s="118"/>
      <c r="E367" s="118"/>
      <c r="F367" s="118"/>
      <c r="G367" s="118"/>
      <c r="H367" s="118"/>
      <c r="I367" s="118"/>
      <c r="J367" s="118"/>
      <c r="K367" s="118"/>
      <c r="L367" s="118"/>
      <c r="M367" s="118"/>
      <c r="N367" s="118"/>
      <c r="O367" s="118"/>
      <c r="P367" s="118"/>
      <c r="Q367" s="118"/>
      <c r="R367" s="118"/>
      <c r="S367" s="118"/>
      <c r="T367" s="118"/>
    </row>
    <row r="368" spans="2:20">
      <c r="B368" s="118"/>
      <c r="C368" s="118"/>
      <c r="D368" s="118"/>
      <c r="E368" s="118"/>
      <c r="F368" s="118"/>
      <c r="G368" s="118"/>
      <c r="H368" s="118"/>
      <c r="I368" s="118"/>
      <c r="J368" s="118"/>
      <c r="K368" s="118"/>
      <c r="L368" s="118"/>
      <c r="M368" s="118"/>
      <c r="N368" s="118"/>
      <c r="O368" s="118"/>
      <c r="P368" s="118"/>
      <c r="Q368" s="118"/>
      <c r="R368" s="118"/>
      <c r="S368" s="118"/>
      <c r="T368" s="118"/>
    </row>
    <row r="369" spans="2:20">
      <c r="B369" s="118"/>
      <c r="C369" s="118"/>
      <c r="D369" s="118"/>
      <c r="E369" s="118"/>
      <c r="F369" s="118"/>
      <c r="G369" s="118"/>
      <c r="H369" s="118"/>
      <c r="I369" s="118"/>
      <c r="J369" s="118"/>
      <c r="K369" s="118"/>
      <c r="L369" s="118"/>
      <c r="M369" s="118"/>
      <c r="N369" s="118"/>
      <c r="O369" s="118"/>
      <c r="P369" s="118"/>
      <c r="Q369" s="118"/>
      <c r="R369" s="118"/>
      <c r="S369" s="118"/>
      <c r="T369" s="118"/>
    </row>
    <row r="370" spans="2:20">
      <c r="B370" s="118"/>
      <c r="C370" s="118"/>
      <c r="D370" s="118"/>
      <c r="E370" s="118"/>
      <c r="F370" s="118"/>
      <c r="G370" s="118"/>
      <c r="H370" s="118"/>
      <c r="I370" s="118"/>
      <c r="J370" s="118"/>
      <c r="K370" s="118"/>
      <c r="L370" s="118"/>
      <c r="M370" s="118"/>
      <c r="N370" s="118"/>
      <c r="O370" s="118"/>
      <c r="P370" s="118"/>
      <c r="Q370" s="118"/>
      <c r="R370" s="118"/>
      <c r="S370" s="118"/>
      <c r="T370" s="118"/>
    </row>
    <row r="371" spans="2:20">
      <c r="B371" s="118"/>
      <c r="C371" s="118"/>
      <c r="D371" s="118"/>
      <c r="E371" s="118"/>
      <c r="F371" s="118"/>
      <c r="G371" s="118"/>
      <c r="H371" s="118"/>
      <c r="I371" s="118"/>
      <c r="J371" s="118"/>
      <c r="K371" s="118"/>
      <c r="L371" s="118"/>
      <c r="M371" s="118"/>
      <c r="N371" s="118"/>
      <c r="O371" s="118"/>
      <c r="P371" s="118"/>
      <c r="Q371" s="118"/>
      <c r="R371" s="118"/>
      <c r="S371" s="118"/>
      <c r="T371" s="118"/>
    </row>
    <row r="372" spans="2:20">
      <c r="B372" s="118"/>
      <c r="C372" s="118"/>
      <c r="D372" s="118"/>
      <c r="E372" s="118"/>
      <c r="F372" s="118"/>
      <c r="G372" s="118"/>
      <c r="H372" s="118"/>
      <c r="I372" s="118"/>
      <c r="J372" s="118"/>
      <c r="K372" s="118"/>
      <c r="L372" s="118"/>
      <c r="M372" s="118"/>
      <c r="N372" s="118"/>
      <c r="O372" s="118"/>
      <c r="P372" s="118"/>
      <c r="Q372" s="118"/>
      <c r="R372" s="118"/>
      <c r="S372" s="118"/>
      <c r="T372" s="118"/>
    </row>
    <row r="373" spans="2:20">
      <c r="B373" s="118"/>
      <c r="C373" s="118"/>
      <c r="D373" s="118"/>
      <c r="E373" s="118"/>
      <c r="F373" s="118"/>
      <c r="G373" s="118"/>
      <c r="H373" s="118"/>
      <c r="I373" s="118"/>
      <c r="J373" s="118"/>
      <c r="K373" s="118"/>
      <c r="L373" s="118"/>
      <c r="M373" s="118"/>
      <c r="N373" s="118"/>
      <c r="O373" s="118"/>
      <c r="P373" s="118"/>
      <c r="Q373" s="118"/>
      <c r="R373" s="118"/>
      <c r="S373" s="118"/>
      <c r="T373" s="118"/>
    </row>
    <row r="374" spans="2:20">
      <c r="B374" s="118"/>
      <c r="C374" s="118"/>
      <c r="D374" s="118"/>
      <c r="E374" s="118"/>
      <c r="F374" s="118"/>
      <c r="G374" s="118"/>
      <c r="H374" s="118"/>
      <c r="I374" s="118"/>
      <c r="J374" s="118"/>
      <c r="K374" s="118"/>
      <c r="L374" s="118"/>
      <c r="M374" s="118"/>
      <c r="N374" s="118"/>
      <c r="O374" s="118"/>
      <c r="P374" s="118"/>
      <c r="Q374" s="118"/>
      <c r="R374" s="118"/>
      <c r="S374" s="118"/>
      <c r="T374" s="118"/>
    </row>
    <row r="375" spans="2:20">
      <c r="B375" s="118"/>
      <c r="C375" s="118"/>
      <c r="D375" s="118"/>
      <c r="E375" s="118"/>
      <c r="F375" s="118"/>
      <c r="G375" s="118"/>
      <c r="H375" s="118"/>
      <c r="I375" s="118"/>
      <c r="J375" s="118"/>
      <c r="K375" s="118"/>
      <c r="L375" s="118"/>
      <c r="M375" s="118"/>
      <c r="N375" s="118"/>
      <c r="O375" s="118"/>
      <c r="P375" s="118"/>
      <c r="Q375" s="118"/>
      <c r="R375" s="118"/>
      <c r="S375" s="118"/>
      <c r="T375" s="118"/>
    </row>
    <row r="376" spans="2:20">
      <c r="B376" s="118"/>
      <c r="C376" s="118"/>
      <c r="D376" s="118"/>
      <c r="E376" s="118"/>
      <c r="F376" s="118"/>
      <c r="G376" s="118"/>
      <c r="H376" s="118"/>
      <c r="I376" s="118"/>
      <c r="J376" s="118"/>
      <c r="K376" s="118"/>
      <c r="L376" s="118"/>
      <c r="M376" s="118"/>
      <c r="N376" s="118"/>
      <c r="O376" s="118"/>
      <c r="P376" s="118"/>
      <c r="Q376" s="118"/>
      <c r="R376" s="118"/>
      <c r="S376" s="118"/>
      <c r="T376" s="118"/>
    </row>
    <row r="377" spans="2:20">
      <c r="B377" s="118"/>
      <c r="C377" s="118"/>
      <c r="D377" s="118"/>
      <c r="E377" s="118"/>
      <c r="F377" s="118"/>
      <c r="G377" s="118"/>
      <c r="H377" s="118"/>
      <c r="I377" s="118"/>
      <c r="J377" s="118"/>
      <c r="K377" s="118"/>
      <c r="L377" s="118"/>
      <c r="M377" s="118"/>
      <c r="N377" s="118"/>
      <c r="O377" s="118"/>
      <c r="P377" s="118"/>
      <c r="Q377" s="118"/>
      <c r="R377" s="118"/>
      <c r="S377" s="118"/>
      <c r="T377" s="118"/>
    </row>
    <row r="378" spans="2:20">
      <c r="B378" s="118"/>
      <c r="C378" s="118"/>
      <c r="D378" s="118"/>
      <c r="E378" s="118"/>
      <c r="F378" s="118"/>
      <c r="G378" s="118"/>
      <c r="H378" s="118"/>
      <c r="I378" s="118"/>
      <c r="J378" s="118"/>
      <c r="K378" s="118"/>
      <c r="L378" s="118"/>
      <c r="M378" s="118"/>
      <c r="N378" s="118"/>
      <c r="O378" s="118"/>
      <c r="P378" s="118"/>
      <c r="Q378" s="118"/>
      <c r="R378" s="118"/>
      <c r="S378" s="118"/>
      <c r="T378" s="118"/>
    </row>
    <row r="379" spans="2:20">
      <c r="B379" s="118"/>
      <c r="C379" s="118"/>
      <c r="D379" s="118"/>
      <c r="E379" s="118"/>
      <c r="F379" s="118"/>
      <c r="G379" s="118"/>
      <c r="H379" s="118"/>
      <c r="I379" s="118"/>
      <c r="J379" s="118"/>
      <c r="K379" s="118"/>
      <c r="L379" s="118"/>
      <c r="M379" s="118"/>
      <c r="N379" s="118"/>
      <c r="O379" s="118"/>
      <c r="P379" s="118"/>
      <c r="Q379" s="118"/>
      <c r="R379" s="118"/>
      <c r="S379" s="118"/>
      <c r="T379" s="118"/>
    </row>
    <row r="380" spans="2:20">
      <c r="B380" s="118"/>
      <c r="C380" s="118"/>
      <c r="D380" s="118"/>
      <c r="E380" s="118"/>
      <c r="F380" s="118"/>
      <c r="G380" s="118"/>
      <c r="H380" s="118"/>
      <c r="I380" s="118"/>
      <c r="J380" s="118"/>
      <c r="K380" s="118"/>
      <c r="L380" s="118"/>
      <c r="M380" s="118"/>
      <c r="N380" s="118"/>
      <c r="O380" s="118"/>
      <c r="P380" s="118"/>
      <c r="Q380" s="118"/>
      <c r="R380" s="118"/>
      <c r="S380" s="118"/>
      <c r="T380" s="118"/>
    </row>
    <row r="381" spans="2:20">
      <c r="B381" s="118"/>
      <c r="C381" s="118"/>
      <c r="D381" s="118"/>
      <c r="E381" s="118"/>
      <c r="F381" s="118"/>
      <c r="G381" s="118"/>
      <c r="H381" s="118"/>
      <c r="I381" s="118"/>
      <c r="J381" s="118"/>
      <c r="K381" s="118"/>
      <c r="L381" s="118"/>
      <c r="M381" s="118"/>
      <c r="N381" s="118"/>
      <c r="O381" s="118"/>
      <c r="P381" s="118"/>
      <c r="Q381" s="118"/>
      <c r="R381" s="118"/>
      <c r="S381" s="118"/>
      <c r="T381" s="118"/>
    </row>
    <row r="382" spans="2:20">
      <c r="B382" s="118"/>
      <c r="C382" s="118"/>
      <c r="D382" s="118"/>
      <c r="E382" s="118"/>
      <c r="F382" s="118"/>
      <c r="G382" s="118"/>
      <c r="H382" s="118"/>
      <c r="I382" s="118"/>
      <c r="J382" s="118"/>
      <c r="K382" s="118"/>
      <c r="L382" s="118"/>
      <c r="M382" s="118"/>
      <c r="N382" s="118"/>
      <c r="O382" s="118"/>
      <c r="P382" s="118"/>
      <c r="Q382" s="118"/>
      <c r="R382" s="118"/>
      <c r="S382" s="118"/>
      <c r="T382" s="118"/>
    </row>
    <row r="383" spans="2:20">
      <c r="B383" s="118"/>
      <c r="C383" s="118"/>
      <c r="D383" s="118"/>
      <c r="E383" s="118"/>
      <c r="F383" s="118"/>
      <c r="G383" s="118"/>
      <c r="H383" s="118"/>
      <c r="I383" s="118"/>
      <c r="J383" s="118"/>
      <c r="K383" s="118"/>
      <c r="L383" s="118"/>
      <c r="M383" s="118"/>
      <c r="N383" s="118"/>
      <c r="O383" s="118"/>
      <c r="P383" s="118"/>
      <c r="Q383" s="118"/>
      <c r="R383" s="118"/>
      <c r="S383" s="118"/>
      <c r="T383" s="118"/>
    </row>
    <row r="384" spans="2:20">
      <c r="B384" s="118"/>
      <c r="C384" s="118"/>
      <c r="D384" s="118"/>
      <c r="E384" s="118"/>
      <c r="F384" s="118"/>
      <c r="G384" s="118"/>
      <c r="H384" s="118"/>
      <c r="I384" s="118"/>
      <c r="J384" s="118"/>
      <c r="K384" s="118"/>
      <c r="L384" s="118"/>
      <c r="M384" s="118"/>
      <c r="N384" s="118"/>
      <c r="O384" s="118"/>
      <c r="P384" s="118"/>
      <c r="Q384" s="118"/>
      <c r="R384" s="118"/>
      <c r="S384" s="118"/>
      <c r="T384" s="118"/>
    </row>
    <row r="385" spans="2:20">
      <c r="B385" s="118"/>
      <c r="C385" s="118"/>
      <c r="D385" s="118"/>
      <c r="E385" s="118"/>
      <c r="F385" s="118"/>
      <c r="G385" s="118"/>
      <c r="H385" s="118"/>
      <c r="I385" s="118"/>
      <c r="J385" s="118"/>
      <c r="K385" s="118"/>
      <c r="L385" s="118"/>
      <c r="M385" s="118"/>
      <c r="N385" s="118"/>
      <c r="O385" s="118"/>
      <c r="P385" s="118"/>
      <c r="Q385" s="118"/>
      <c r="R385" s="118"/>
      <c r="S385" s="118"/>
      <c r="T385" s="118"/>
    </row>
    <row r="386" spans="2:20">
      <c r="B386" s="118"/>
      <c r="C386" s="118"/>
      <c r="D386" s="118"/>
      <c r="E386" s="118"/>
      <c r="F386" s="118"/>
      <c r="G386" s="118"/>
      <c r="H386" s="118"/>
      <c r="I386" s="118"/>
      <c r="J386" s="118"/>
      <c r="K386" s="118"/>
      <c r="L386" s="118"/>
      <c r="M386" s="118"/>
      <c r="N386" s="118"/>
      <c r="O386" s="118"/>
      <c r="P386" s="118"/>
      <c r="Q386" s="118"/>
      <c r="R386" s="118"/>
      <c r="S386" s="118"/>
      <c r="T386" s="118"/>
    </row>
    <row r="387" spans="2:20">
      <c r="B387" s="118"/>
      <c r="C387" s="118"/>
      <c r="D387" s="118"/>
      <c r="E387" s="118"/>
      <c r="F387" s="118"/>
      <c r="G387" s="118"/>
      <c r="H387" s="118"/>
      <c r="I387" s="118"/>
      <c r="J387" s="118"/>
      <c r="K387" s="118"/>
      <c r="L387" s="118"/>
      <c r="M387" s="118"/>
      <c r="N387" s="118"/>
      <c r="O387" s="118"/>
      <c r="P387" s="118"/>
      <c r="Q387" s="118"/>
      <c r="R387" s="118"/>
      <c r="S387" s="118"/>
      <c r="T387" s="118"/>
    </row>
    <row r="388" spans="2:20">
      <c r="B388" s="118"/>
      <c r="C388" s="118"/>
      <c r="D388" s="118"/>
      <c r="E388" s="118"/>
      <c r="F388" s="118"/>
      <c r="G388" s="118"/>
      <c r="H388" s="118"/>
      <c r="I388" s="118"/>
      <c r="J388" s="118"/>
      <c r="K388" s="118"/>
      <c r="L388" s="118"/>
      <c r="M388" s="118"/>
      <c r="N388" s="118"/>
      <c r="O388" s="118"/>
      <c r="P388" s="118"/>
      <c r="Q388" s="118"/>
      <c r="R388" s="118"/>
      <c r="S388" s="118"/>
      <c r="T388" s="118"/>
    </row>
    <row r="389" spans="2:20">
      <c r="B389" s="118"/>
      <c r="C389" s="118"/>
      <c r="D389" s="118"/>
      <c r="E389" s="118"/>
      <c r="F389" s="118"/>
      <c r="G389" s="118"/>
      <c r="H389" s="118"/>
      <c r="I389" s="118"/>
      <c r="J389" s="118"/>
      <c r="K389" s="118"/>
      <c r="L389" s="118"/>
      <c r="M389" s="118"/>
      <c r="N389" s="118"/>
      <c r="O389" s="118"/>
      <c r="P389" s="118"/>
      <c r="Q389" s="118"/>
      <c r="R389" s="118"/>
      <c r="S389" s="118"/>
      <c r="T389" s="118"/>
    </row>
    <row r="390" spans="2:20">
      <c r="B390" s="118"/>
      <c r="C390" s="118"/>
      <c r="D390" s="118"/>
      <c r="E390" s="118"/>
      <c r="F390" s="118"/>
      <c r="G390" s="118"/>
      <c r="H390" s="118"/>
      <c r="I390" s="118"/>
      <c r="J390" s="118"/>
      <c r="K390" s="118"/>
      <c r="L390" s="118"/>
      <c r="M390" s="118"/>
      <c r="N390" s="118"/>
      <c r="O390" s="118"/>
      <c r="P390" s="118"/>
      <c r="Q390" s="118"/>
      <c r="R390" s="118"/>
      <c r="S390" s="118"/>
      <c r="T390" s="118"/>
    </row>
    <row r="391" spans="2:20">
      <c r="B391" s="118"/>
      <c r="C391" s="118"/>
      <c r="D391" s="118"/>
      <c r="E391" s="118"/>
      <c r="F391" s="118"/>
      <c r="G391" s="118"/>
      <c r="H391" s="118"/>
      <c r="I391" s="118"/>
      <c r="J391" s="118"/>
      <c r="K391" s="118"/>
      <c r="L391" s="118"/>
      <c r="M391" s="118"/>
      <c r="N391" s="118"/>
      <c r="O391" s="118"/>
      <c r="P391" s="118"/>
      <c r="Q391" s="118"/>
      <c r="R391" s="118"/>
      <c r="S391" s="118"/>
      <c r="T391" s="118"/>
    </row>
    <row r="392" spans="2:20">
      <c r="B392" s="118"/>
      <c r="C392" s="118"/>
      <c r="D392" s="118"/>
      <c r="E392" s="118"/>
      <c r="F392" s="118"/>
      <c r="G392" s="118"/>
      <c r="H392" s="118"/>
      <c r="I392" s="118"/>
      <c r="J392" s="118"/>
      <c r="K392" s="118"/>
      <c r="L392" s="118"/>
      <c r="M392" s="118"/>
      <c r="N392" s="118"/>
      <c r="O392" s="118"/>
      <c r="P392" s="118"/>
      <c r="Q392" s="118"/>
      <c r="R392" s="118"/>
      <c r="S392" s="118"/>
      <c r="T392" s="118"/>
    </row>
    <row r="393" spans="2:20">
      <c r="B393" s="118"/>
      <c r="C393" s="118"/>
      <c r="D393" s="118"/>
      <c r="E393" s="118"/>
      <c r="F393" s="118"/>
      <c r="G393" s="118"/>
      <c r="H393" s="118"/>
      <c r="I393" s="118"/>
      <c r="J393" s="118"/>
      <c r="K393" s="118"/>
      <c r="L393" s="118"/>
      <c r="M393" s="118"/>
      <c r="N393" s="118"/>
      <c r="O393" s="118"/>
      <c r="P393" s="118"/>
      <c r="Q393" s="118"/>
      <c r="R393" s="118"/>
      <c r="S393" s="118"/>
      <c r="T393" s="118"/>
    </row>
    <row r="394" spans="2:20">
      <c r="B394" s="118"/>
      <c r="C394" s="118"/>
      <c r="D394" s="118"/>
      <c r="E394" s="118"/>
      <c r="F394" s="118"/>
      <c r="G394" s="118"/>
      <c r="H394" s="118"/>
      <c r="I394" s="118"/>
      <c r="J394" s="118"/>
      <c r="K394" s="118"/>
      <c r="L394" s="118"/>
      <c r="M394" s="118"/>
      <c r="N394" s="118"/>
      <c r="O394" s="118"/>
      <c r="P394" s="118"/>
      <c r="Q394" s="118"/>
      <c r="R394" s="118"/>
      <c r="S394" s="118"/>
      <c r="T394" s="118"/>
    </row>
    <row r="395" spans="2:20">
      <c r="R395" s="118"/>
      <c r="S395" s="118"/>
      <c r="T395" s="118"/>
    </row>
    <row r="396" spans="2:20">
      <c r="R396" s="118"/>
      <c r="S396" s="118"/>
      <c r="T396" s="118"/>
    </row>
    <row r="397" spans="2:20">
      <c r="R397" s="118"/>
      <c r="S397" s="118"/>
      <c r="T397" s="118"/>
    </row>
    <row r="398" spans="2:20">
      <c r="R398" s="118"/>
      <c r="S398" s="118"/>
      <c r="T398" s="118"/>
    </row>
    <row r="399" spans="2:20">
      <c r="R399" s="118"/>
      <c r="S399" s="118"/>
      <c r="T399" s="118"/>
    </row>
    <row r="400" spans="2:20">
      <c r="R400" s="118"/>
      <c r="S400" s="118"/>
      <c r="T400" s="118"/>
    </row>
    <row r="401" spans="18:20">
      <c r="R401" s="118"/>
      <c r="S401" s="118"/>
      <c r="T401" s="118"/>
    </row>
    <row r="402" spans="18:20">
      <c r="R402" s="118"/>
      <c r="S402" s="118"/>
      <c r="T402" s="118"/>
    </row>
    <row r="403" spans="18:20">
      <c r="R403" s="118"/>
      <c r="S403" s="118"/>
      <c r="T403" s="118"/>
    </row>
    <row r="404" spans="18:20">
      <c r="R404" s="118"/>
      <c r="S404" s="118"/>
      <c r="T404" s="118"/>
    </row>
    <row r="405" spans="18:20">
      <c r="R405" s="118"/>
      <c r="S405" s="118"/>
      <c r="T405" s="118"/>
    </row>
    <row r="406" spans="18:20">
      <c r="R406" s="118"/>
      <c r="S406" s="118"/>
      <c r="T406" s="118"/>
    </row>
  </sheetData>
  <mergeCells count="6">
    <mergeCell ref="B7:Q7"/>
    <mergeCell ref="A7:A8"/>
    <mergeCell ref="A4:Q4"/>
    <mergeCell ref="B186:D186"/>
    <mergeCell ref="B2:C2"/>
    <mergeCell ref="A184:Q185"/>
  </mergeCells>
  <phoneticPr fontId="43" type="noConversion"/>
  <hyperlinks>
    <hyperlink ref="B2" location="Index!A1" display="Back to Index"/>
  </hyperlinks>
  <pageMargins left="0.75000000000000011" right="0.75000000000000011" top="1" bottom="1" header="0.49" footer="0.49"/>
  <pageSetup paperSize="9" scale="40" fitToHeight="3"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enableFormatConditionsCalculation="0">
    <tabColor theme="8" tint="0.59999389629810485"/>
    <pageSetUpPr fitToPage="1"/>
  </sheetPr>
  <dimension ref="A1:I520"/>
  <sheetViews>
    <sheetView workbookViewId="0">
      <pane xSplit="1" ySplit="9" topLeftCell="B10" activePane="bottomRight" state="frozen"/>
      <selection activeCell="Q55" sqref="Q55"/>
      <selection pane="topRight" activeCell="Q55" sqref="Q55"/>
      <selection pane="bottomLeft" activeCell="Q55" sqref="Q55"/>
      <selection pane="bottomRight" activeCell="A4" sqref="A4:G4"/>
    </sheetView>
  </sheetViews>
  <sheetFormatPr baseColWidth="10" defaultRowHeight="12" x14ac:dyDescent="0"/>
  <cols>
    <col min="1" max="1" width="9.6640625" style="689" customWidth="1"/>
    <col min="2" max="4" width="11.1640625" style="689" customWidth="1"/>
    <col min="5" max="6" width="11.1640625" style="65" customWidth="1"/>
    <col min="7" max="7" width="11.1640625" style="689" customWidth="1"/>
    <col min="8" max="9" width="9.6640625" style="689" customWidth="1"/>
    <col min="10" max="16384" width="10.83203125" style="689"/>
  </cols>
  <sheetData>
    <row r="1" spans="1:7">
      <c r="B1" s="1860"/>
      <c r="C1" s="1860"/>
    </row>
    <row r="2" spans="1:7">
      <c r="B2" s="2252" t="s">
        <v>1416</v>
      </c>
      <c r="C2" s="2252"/>
      <c r="D2" s="690"/>
      <c r="E2" s="4"/>
      <c r="F2" s="4"/>
      <c r="G2" s="690"/>
    </row>
    <row r="3" spans="1:7" ht="13" thickBot="1"/>
    <row r="4" spans="1:7" ht="42" customHeight="1" thickTop="1">
      <c r="A4" s="2577" t="s">
        <v>1440</v>
      </c>
      <c r="B4" s="2578"/>
      <c r="C4" s="2578"/>
      <c r="D4" s="2578"/>
      <c r="E4" s="2578"/>
      <c r="F4" s="2578"/>
      <c r="G4" s="2579"/>
    </row>
    <row r="5" spans="1:7">
      <c r="A5" s="696"/>
      <c r="B5" s="694"/>
      <c r="C5" s="694"/>
      <c r="D5" s="694"/>
      <c r="E5" s="36"/>
      <c r="F5" s="36"/>
      <c r="G5" s="695"/>
    </row>
    <row r="6" spans="1:7">
      <c r="A6" s="696"/>
      <c r="B6" s="1861" t="s">
        <v>952</v>
      </c>
      <c r="C6" s="1861" t="s">
        <v>953</v>
      </c>
      <c r="D6" s="697" t="s">
        <v>954</v>
      </c>
      <c r="E6" s="38" t="s">
        <v>955</v>
      </c>
      <c r="F6" s="1861" t="s">
        <v>956</v>
      </c>
      <c r="G6" s="1100" t="s">
        <v>957</v>
      </c>
    </row>
    <row r="7" spans="1:7" ht="15" customHeight="1">
      <c r="A7" s="2580"/>
      <c r="B7" s="2581" t="s">
        <v>1435</v>
      </c>
      <c r="C7" s="2582"/>
      <c r="D7" s="2582"/>
      <c r="E7" s="2581" t="s">
        <v>1427</v>
      </c>
      <c r="F7" s="2582"/>
      <c r="G7" s="2583"/>
    </row>
    <row r="8" spans="1:7" ht="39.75" customHeight="1">
      <c r="A8" s="2580"/>
      <c r="B8" s="1862" t="s">
        <v>252</v>
      </c>
      <c r="C8" s="1862" t="s">
        <v>324</v>
      </c>
      <c r="D8" s="2584" t="s">
        <v>1434</v>
      </c>
      <c r="E8" s="1863" t="s">
        <v>1428</v>
      </c>
      <c r="F8" s="1863" t="s">
        <v>1429</v>
      </c>
      <c r="G8" s="2586" t="s">
        <v>1430</v>
      </c>
    </row>
    <row r="9" spans="1:7" ht="30" customHeight="1">
      <c r="A9" s="2580"/>
      <c r="B9" s="2250" t="s">
        <v>1432</v>
      </c>
      <c r="C9" s="2250" t="s">
        <v>1433</v>
      </c>
      <c r="D9" s="2585"/>
      <c r="E9" s="2251" t="s">
        <v>1431</v>
      </c>
      <c r="F9" s="2251"/>
      <c r="G9" s="2587"/>
    </row>
    <row r="10" spans="1:7" ht="12" customHeight="1">
      <c r="A10" s="703">
        <v>1700</v>
      </c>
      <c r="B10" s="1897">
        <f>B11*DataUK4!AW11/DataUK4!AW12</f>
        <v>7.2578269188438638</v>
      </c>
      <c r="C10" s="1897">
        <f t="shared" ref="C10:C73" si="0">C11*B10/B11</f>
        <v>0.88680843381371943</v>
      </c>
      <c r="D10" s="1898">
        <v>16.947600000000001</v>
      </c>
      <c r="E10" s="1899"/>
      <c r="F10" s="1899"/>
      <c r="G10" s="2241"/>
    </row>
    <row r="11" spans="1:7" ht="12" customHeight="1">
      <c r="A11" s="703">
        <v>1701</v>
      </c>
      <c r="B11" s="1896">
        <f>B12*DataUK4!AW12/DataUK4!AW13</f>
        <v>7.2578269188438638</v>
      </c>
      <c r="C11" s="1896">
        <f t="shared" si="0"/>
        <v>0.88680843381371943</v>
      </c>
      <c r="D11" s="2242">
        <v>17.602599999999999</v>
      </c>
      <c r="E11" s="1870">
        <f t="shared" ref="E11:E74" si="1">B11/B10-1</f>
        <v>0</v>
      </c>
      <c r="F11" s="1870">
        <f t="shared" ref="F11:F74" si="2">C11/C10-1</f>
        <v>0</v>
      </c>
      <c r="G11" s="2243">
        <f t="shared" ref="G11:G74" si="3">D12/D11-1</f>
        <v>-0.14775090043516292</v>
      </c>
    </row>
    <row r="12" spans="1:7" ht="12" customHeight="1">
      <c r="A12" s="703">
        <v>1702</v>
      </c>
      <c r="B12" s="1896">
        <f>B13*DataUK4!AW13/DataUK4!AW14</f>
        <v>7.2578269188438638</v>
      </c>
      <c r="C12" s="1896">
        <f t="shared" si="0"/>
        <v>0.88680843381371943</v>
      </c>
      <c r="D12" s="2242">
        <v>15.001799999999999</v>
      </c>
      <c r="E12" s="1870">
        <f t="shared" si="1"/>
        <v>0</v>
      </c>
      <c r="F12" s="1870">
        <f t="shared" si="2"/>
        <v>0</v>
      </c>
      <c r="G12" s="2243">
        <f t="shared" si="3"/>
        <v>0.18939727232732073</v>
      </c>
    </row>
    <row r="13" spans="1:7" ht="12" customHeight="1">
      <c r="A13" s="703">
        <v>1703</v>
      </c>
      <c r="B13" s="1896">
        <f>B14*DataUK4!AW14/DataUK4!AW15</f>
        <v>7.2578269188438638</v>
      </c>
      <c r="C13" s="1896">
        <f t="shared" si="0"/>
        <v>0.88680843381371943</v>
      </c>
      <c r="D13" s="2242">
        <v>17.8431</v>
      </c>
      <c r="E13" s="1870">
        <f t="shared" si="1"/>
        <v>0</v>
      </c>
      <c r="F13" s="1870">
        <f t="shared" si="2"/>
        <v>0</v>
      </c>
      <c r="G13" s="2243">
        <f t="shared" si="3"/>
        <v>1.5171130577085856E-2</v>
      </c>
    </row>
    <row r="14" spans="1:7" ht="12" customHeight="1">
      <c r="A14" s="703">
        <v>1704</v>
      </c>
      <c r="B14" s="1896">
        <f>B15*DataUK4!AW15/DataUK4!AW16</f>
        <v>7.2578269188438638</v>
      </c>
      <c r="C14" s="1896">
        <f t="shared" si="0"/>
        <v>0.88680843381371943</v>
      </c>
      <c r="D14" s="2242">
        <v>18.113800000000001</v>
      </c>
      <c r="E14" s="1870">
        <f t="shared" si="1"/>
        <v>0</v>
      </c>
      <c r="F14" s="1870">
        <f t="shared" si="2"/>
        <v>0</v>
      </c>
      <c r="G14" s="2243">
        <f t="shared" si="3"/>
        <v>-2.235312303326753E-2</v>
      </c>
    </row>
    <row r="15" spans="1:7" ht="12" customHeight="1">
      <c r="A15" s="703">
        <v>1705</v>
      </c>
      <c r="B15" s="1896">
        <f>B16*DataUK4!AW16/DataUK4!AW17</f>
        <v>7.2578269188438638</v>
      </c>
      <c r="C15" s="1896">
        <f t="shared" si="0"/>
        <v>0.88680843381371943</v>
      </c>
      <c r="D15" s="2242">
        <v>17.7089</v>
      </c>
      <c r="E15" s="1870">
        <f t="shared" si="1"/>
        <v>0</v>
      </c>
      <c r="F15" s="1870">
        <f t="shared" si="2"/>
        <v>0</v>
      </c>
      <c r="G15" s="2243">
        <f t="shared" si="3"/>
        <v>-0.23716888118403734</v>
      </c>
    </row>
    <row r="16" spans="1:7" ht="12" customHeight="1">
      <c r="A16" s="703">
        <v>1706</v>
      </c>
      <c r="B16" s="1896">
        <f>B17*DataUK4!AW17/DataUK4!AW18</f>
        <v>7.2578269188438638</v>
      </c>
      <c r="C16" s="1896">
        <f t="shared" si="0"/>
        <v>0.88680843381371943</v>
      </c>
      <c r="D16" s="2242">
        <v>13.508900000000001</v>
      </c>
      <c r="E16" s="1870">
        <f t="shared" si="1"/>
        <v>0</v>
      </c>
      <c r="F16" s="1870">
        <f t="shared" si="2"/>
        <v>0</v>
      </c>
      <c r="G16" s="2243">
        <f t="shared" si="3"/>
        <v>2.3976785674629353E-2</v>
      </c>
    </row>
    <row r="17" spans="1:7" ht="12" customHeight="1">
      <c r="A17" s="703">
        <v>1707</v>
      </c>
      <c r="B17" s="1896">
        <f>B18*DataUK4!AW18/DataUK4!AW19</f>
        <v>7.2578269188438638</v>
      </c>
      <c r="C17" s="1896">
        <f t="shared" si="0"/>
        <v>0.88680843381371943</v>
      </c>
      <c r="D17" s="2242">
        <v>13.832800000000001</v>
      </c>
      <c r="E17" s="1870">
        <f t="shared" si="1"/>
        <v>0</v>
      </c>
      <c r="F17" s="1870">
        <f t="shared" si="2"/>
        <v>0</v>
      </c>
      <c r="G17" s="2243">
        <f t="shared" si="3"/>
        <v>0.20515007807529928</v>
      </c>
    </row>
    <row r="18" spans="1:7" ht="12" customHeight="1">
      <c r="A18" s="703">
        <v>1708</v>
      </c>
      <c r="B18" s="1896">
        <f>B19*DataUK4!AW19/DataUK4!AW20</f>
        <v>7.2578269188438638</v>
      </c>
      <c r="C18" s="1896">
        <f t="shared" si="0"/>
        <v>0.88680843381371943</v>
      </c>
      <c r="D18" s="2242">
        <v>16.6706</v>
      </c>
      <c r="E18" s="1870">
        <f t="shared" si="1"/>
        <v>0</v>
      </c>
      <c r="F18" s="1870">
        <f t="shared" si="2"/>
        <v>0</v>
      </c>
      <c r="G18" s="2243">
        <f t="shared" si="3"/>
        <v>-8.3866207575012286E-2</v>
      </c>
    </row>
    <row r="19" spans="1:7" ht="12" customHeight="1">
      <c r="A19" s="1825">
        <v>1709</v>
      </c>
      <c r="B19" s="1900">
        <f>B20*DataUK4!AW20/DataUK4!AW21</f>
        <v>7.2578269188438638</v>
      </c>
      <c r="C19" s="1900">
        <f t="shared" si="0"/>
        <v>0.88680843381371943</v>
      </c>
      <c r="D19" s="1901">
        <v>15.272500000000001</v>
      </c>
      <c r="E19" s="1876">
        <f t="shared" si="1"/>
        <v>0</v>
      </c>
      <c r="F19" s="1876">
        <f t="shared" si="2"/>
        <v>0</v>
      </c>
      <c r="G19" s="2244">
        <f t="shared" si="3"/>
        <v>0.11903093796038622</v>
      </c>
    </row>
    <row r="20" spans="1:7" ht="12" customHeight="1">
      <c r="A20" s="703">
        <v>1710</v>
      </c>
      <c r="B20" s="1896">
        <f>B21*DataUK4!AW21/DataUK4!AW22</f>
        <v>7.2578269188438638</v>
      </c>
      <c r="C20" s="1896">
        <f t="shared" si="0"/>
        <v>0.88680843381371943</v>
      </c>
      <c r="D20" s="2242">
        <v>17.090399999999999</v>
      </c>
      <c r="E20" s="1870">
        <f t="shared" si="1"/>
        <v>0</v>
      </c>
      <c r="F20" s="1870">
        <f t="shared" si="2"/>
        <v>0</v>
      </c>
      <c r="G20" s="2243">
        <f t="shared" si="3"/>
        <v>-8.6633431634133728E-2</v>
      </c>
    </row>
    <row r="21" spans="1:7" ht="12" customHeight="1">
      <c r="A21" s="703">
        <v>1711</v>
      </c>
      <c r="B21" s="1896">
        <f>B22*DataUK4!AW22/DataUK4!AW23</f>
        <v>7.2578269188438638</v>
      </c>
      <c r="C21" s="1896">
        <f t="shared" si="0"/>
        <v>0.88680843381371943</v>
      </c>
      <c r="D21" s="2242">
        <v>15.6098</v>
      </c>
      <c r="E21" s="1870">
        <f t="shared" si="1"/>
        <v>0</v>
      </c>
      <c r="F21" s="1870">
        <f t="shared" si="2"/>
        <v>0</v>
      </c>
      <c r="G21" s="2243">
        <f t="shared" si="3"/>
        <v>7.8726184832605073E-2</v>
      </c>
    </row>
    <row r="22" spans="1:7" ht="12" customHeight="1">
      <c r="A22" s="703">
        <v>1712</v>
      </c>
      <c r="B22" s="1896">
        <f>B23*DataUK4!AW23/DataUK4!AW24</f>
        <v>7.2578269188438638</v>
      </c>
      <c r="C22" s="1896">
        <f t="shared" si="0"/>
        <v>0.88680843381371943</v>
      </c>
      <c r="D22" s="2242">
        <v>16.838699999999999</v>
      </c>
      <c r="E22" s="1870">
        <f t="shared" si="1"/>
        <v>0</v>
      </c>
      <c r="F22" s="1870">
        <f t="shared" si="2"/>
        <v>0</v>
      </c>
      <c r="G22" s="2243">
        <f t="shared" si="3"/>
        <v>0.10481806790310411</v>
      </c>
    </row>
    <row r="23" spans="1:7" ht="12" customHeight="1">
      <c r="A23" s="703">
        <v>1713</v>
      </c>
      <c r="B23" s="1896">
        <f>B24*DataUK4!AW24/DataUK4!AW25</f>
        <v>7.2578269188438638</v>
      </c>
      <c r="C23" s="1896">
        <f t="shared" si="0"/>
        <v>0.88680843381371943</v>
      </c>
      <c r="D23" s="2242">
        <v>18.6037</v>
      </c>
      <c r="E23" s="1870">
        <f t="shared" si="1"/>
        <v>0</v>
      </c>
      <c r="F23" s="1870">
        <f t="shared" si="2"/>
        <v>0</v>
      </c>
      <c r="G23" s="2243">
        <f t="shared" si="3"/>
        <v>1.568505189827829E-2</v>
      </c>
    </row>
    <row r="24" spans="1:7" ht="12" customHeight="1">
      <c r="A24" s="703">
        <v>1714</v>
      </c>
      <c r="B24" s="1896">
        <f>B25*DataUK4!AW25/DataUK4!AW26</f>
        <v>7.2578269188438638</v>
      </c>
      <c r="C24" s="1896">
        <f t="shared" si="0"/>
        <v>0.88680843381371943</v>
      </c>
      <c r="D24" s="2242">
        <v>18.895499999999998</v>
      </c>
      <c r="E24" s="1870">
        <f t="shared" si="1"/>
        <v>0</v>
      </c>
      <c r="F24" s="1870">
        <f t="shared" si="2"/>
        <v>0</v>
      </c>
      <c r="G24" s="2243">
        <f t="shared" si="3"/>
        <v>6.5264216347807658E-2</v>
      </c>
    </row>
    <row r="25" spans="1:7" ht="12" customHeight="1">
      <c r="A25" s="703">
        <v>1715</v>
      </c>
      <c r="B25" s="1896">
        <f>B26*DataUK4!AW26/DataUK4!AW27</f>
        <v>7.2578269188438638</v>
      </c>
      <c r="C25" s="1896">
        <f t="shared" si="0"/>
        <v>0.88680843381371943</v>
      </c>
      <c r="D25" s="2242">
        <v>20.128699999999998</v>
      </c>
      <c r="E25" s="1870">
        <f t="shared" si="1"/>
        <v>0</v>
      </c>
      <c r="F25" s="1870">
        <f t="shared" si="2"/>
        <v>0</v>
      </c>
      <c r="G25" s="2243">
        <f t="shared" si="3"/>
        <v>-1.8555594747797888E-2</v>
      </c>
    </row>
    <row r="26" spans="1:7" ht="12" customHeight="1">
      <c r="A26" s="703">
        <v>1716</v>
      </c>
      <c r="B26" s="1896">
        <f>B27*DataUK4!AW27/DataUK4!AW28</f>
        <v>7.2578269188438638</v>
      </c>
      <c r="C26" s="1896">
        <f t="shared" si="0"/>
        <v>0.88680843381371943</v>
      </c>
      <c r="D26" s="2242">
        <v>19.755199999999999</v>
      </c>
      <c r="E26" s="1870">
        <f t="shared" si="1"/>
        <v>0</v>
      </c>
      <c r="F26" s="1870">
        <f t="shared" si="2"/>
        <v>0</v>
      </c>
      <c r="G26" s="2243">
        <f t="shared" si="3"/>
        <v>0.13621223779055658</v>
      </c>
    </row>
    <row r="27" spans="1:7" ht="12" customHeight="1">
      <c r="A27" s="703">
        <v>1717</v>
      </c>
      <c r="B27" s="1896">
        <f>B28*DataUK4!AW28/DataUK4!AW29</f>
        <v>7.2578269188438638</v>
      </c>
      <c r="C27" s="1896">
        <f t="shared" si="0"/>
        <v>0.88680843381371943</v>
      </c>
      <c r="D27" s="2242">
        <v>22.446100000000001</v>
      </c>
      <c r="E27" s="1870">
        <f t="shared" si="1"/>
        <v>0</v>
      </c>
      <c r="F27" s="1870">
        <f t="shared" si="2"/>
        <v>0</v>
      </c>
      <c r="G27" s="2243">
        <f t="shared" si="3"/>
        <v>0.17951448135756309</v>
      </c>
    </row>
    <row r="28" spans="1:7" ht="12" customHeight="1">
      <c r="A28" s="703">
        <v>1718</v>
      </c>
      <c r="B28" s="1896">
        <f>B29*DataUK4!AW29/DataUK4!AW30</f>
        <v>7.2578269188438638</v>
      </c>
      <c r="C28" s="1896">
        <f t="shared" si="0"/>
        <v>0.88680843381371943</v>
      </c>
      <c r="D28" s="2242">
        <v>26.4755</v>
      </c>
      <c r="E28" s="1870">
        <f t="shared" si="1"/>
        <v>0</v>
      </c>
      <c r="F28" s="1870">
        <f t="shared" si="2"/>
        <v>0</v>
      </c>
      <c r="G28" s="2243">
        <f t="shared" si="3"/>
        <v>5.9979981492321865E-3</v>
      </c>
    </row>
    <row r="29" spans="1:7" ht="12" customHeight="1">
      <c r="A29" s="1825">
        <v>1719</v>
      </c>
      <c r="B29" s="1900">
        <f>B30*DataUK4!AW30/DataUK4!AW31</f>
        <v>7.2578269188438638</v>
      </c>
      <c r="C29" s="1900">
        <f t="shared" si="0"/>
        <v>0.88680843381371943</v>
      </c>
      <c r="D29" s="1901">
        <v>26.6343</v>
      </c>
      <c r="E29" s="1876">
        <f t="shared" si="1"/>
        <v>0</v>
      </c>
      <c r="F29" s="1876">
        <f t="shared" si="2"/>
        <v>0</v>
      </c>
      <c r="G29" s="2244">
        <f t="shared" si="3"/>
        <v>-3.7883481075154934E-3</v>
      </c>
    </row>
    <row r="30" spans="1:7" ht="12" customHeight="1">
      <c r="A30" s="703">
        <v>1720</v>
      </c>
      <c r="B30" s="1896">
        <f>B31*DataUK4!AW31/DataUK4!AW32</f>
        <v>7.2578269188438638</v>
      </c>
      <c r="C30" s="1896">
        <f t="shared" si="0"/>
        <v>0.88680843381371943</v>
      </c>
      <c r="D30" s="2242">
        <v>26.5334</v>
      </c>
      <c r="E30" s="1870">
        <f t="shared" si="1"/>
        <v>0</v>
      </c>
      <c r="F30" s="1870">
        <f t="shared" si="2"/>
        <v>0</v>
      </c>
      <c r="G30" s="2243">
        <f t="shared" si="3"/>
        <v>0.15085514860515437</v>
      </c>
    </row>
    <row r="31" spans="1:7" ht="12" customHeight="1">
      <c r="A31" s="703">
        <v>1721</v>
      </c>
      <c r="B31" s="1896">
        <f>B32*DataUK4!AW32/DataUK4!AW33</f>
        <v>7.2578269188438638</v>
      </c>
      <c r="C31" s="1896">
        <f t="shared" si="0"/>
        <v>0.88680843381371943</v>
      </c>
      <c r="D31" s="2242">
        <v>30.536100000000001</v>
      </c>
      <c r="E31" s="1870">
        <f t="shared" si="1"/>
        <v>0</v>
      </c>
      <c r="F31" s="1870">
        <f t="shared" si="2"/>
        <v>0</v>
      </c>
      <c r="G31" s="2243">
        <f t="shared" si="3"/>
        <v>-0.33117195712615555</v>
      </c>
    </row>
    <row r="32" spans="1:7" ht="12" customHeight="1">
      <c r="A32" s="703">
        <v>1722</v>
      </c>
      <c r="B32" s="1896">
        <f>B33*DataUK4!AW33/DataUK4!AW34</f>
        <v>7.2578269188438638</v>
      </c>
      <c r="C32" s="1896">
        <f t="shared" si="0"/>
        <v>0.88680843381371943</v>
      </c>
      <c r="D32" s="2242">
        <v>20.423400000000001</v>
      </c>
      <c r="E32" s="1870">
        <f t="shared" si="1"/>
        <v>0</v>
      </c>
      <c r="F32" s="1870">
        <f t="shared" si="2"/>
        <v>0</v>
      </c>
      <c r="G32" s="2243">
        <f t="shared" si="3"/>
        <v>-3.5180234436969493E-2</v>
      </c>
    </row>
    <row r="33" spans="1:7" ht="12" customHeight="1">
      <c r="A33" s="703">
        <v>1723</v>
      </c>
      <c r="B33" s="1896">
        <f>B34*DataUK4!AW34/DataUK4!AW35</f>
        <v>7.2578269188438638</v>
      </c>
      <c r="C33" s="1896">
        <f t="shared" si="0"/>
        <v>0.88680843381371943</v>
      </c>
      <c r="D33" s="2242">
        <v>19.704899999999999</v>
      </c>
      <c r="E33" s="1870">
        <f t="shared" si="1"/>
        <v>0</v>
      </c>
      <c r="F33" s="1870">
        <f t="shared" si="2"/>
        <v>0</v>
      </c>
      <c r="G33" s="2243">
        <f t="shared" si="3"/>
        <v>0.10258869621261724</v>
      </c>
    </row>
    <row r="34" spans="1:7" ht="12" customHeight="1">
      <c r="A34" s="703">
        <v>1724</v>
      </c>
      <c r="B34" s="1896">
        <f>B35*DataUK4!AW35/DataUK4!AW36</f>
        <v>7.2578269188438638</v>
      </c>
      <c r="C34" s="1896">
        <f t="shared" si="0"/>
        <v>0.88680843381371943</v>
      </c>
      <c r="D34" s="2242">
        <v>21.726400000000002</v>
      </c>
      <c r="E34" s="1870">
        <f t="shared" si="1"/>
        <v>0</v>
      </c>
      <c r="F34" s="1870">
        <f t="shared" si="2"/>
        <v>0</v>
      </c>
      <c r="G34" s="2243">
        <f t="shared" si="3"/>
        <v>3.5426946019588845E-2</v>
      </c>
    </row>
    <row r="35" spans="1:7" ht="12" customHeight="1">
      <c r="A35" s="703">
        <v>1725</v>
      </c>
      <c r="B35" s="1896">
        <f>B36*DataUK4!AW36/DataUK4!AW37</f>
        <v>7.2578269188438638</v>
      </c>
      <c r="C35" s="1896">
        <f t="shared" si="0"/>
        <v>0.88680843381371943</v>
      </c>
      <c r="D35" s="2242">
        <v>22.496099999999998</v>
      </c>
      <c r="E35" s="1870">
        <f t="shared" si="1"/>
        <v>0</v>
      </c>
      <c r="F35" s="1870">
        <f t="shared" si="2"/>
        <v>0</v>
      </c>
      <c r="G35" s="2243">
        <f t="shared" si="3"/>
        <v>2.5337725205702988E-3</v>
      </c>
    </row>
    <row r="36" spans="1:7" ht="12" customHeight="1">
      <c r="A36" s="703">
        <v>1726</v>
      </c>
      <c r="B36" s="1896">
        <f>B37*DataUK4!AW37/DataUK4!AW38</f>
        <v>7.2578269188438638</v>
      </c>
      <c r="C36" s="1896">
        <f t="shared" si="0"/>
        <v>0.88680843381371943</v>
      </c>
      <c r="D36" s="2242">
        <v>22.553100000000001</v>
      </c>
      <c r="E36" s="1870">
        <f t="shared" si="1"/>
        <v>0</v>
      </c>
      <c r="F36" s="1870">
        <f t="shared" si="2"/>
        <v>0</v>
      </c>
      <c r="G36" s="2243">
        <f t="shared" si="3"/>
        <v>-0.14106708168721815</v>
      </c>
    </row>
    <row r="37" spans="1:7" ht="12" customHeight="1">
      <c r="A37" s="703">
        <v>1727</v>
      </c>
      <c r="B37" s="1896">
        <f>B38*DataUK4!AW38/DataUK4!AW39</f>
        <v>7.2578269188438638</v>
      </c>
      <c r="C37" s="1896">
        <f t="shared" si="0"/>
        <v>0.88680843381371943</v>
      </c>
      <c r="D37" s="2242">
        <v>19.371600000000001</v>
      </c>
      <c r="E37" s="1870">
        <f t="shared" si="1"/>
        <v>0</v>
      </c>
      <c r="F37" s="1870">
        <f t="shared" si="2"/>
        <v>0</v>
      </c>
      <c r="G37" s="2243">
        <f t="shared" si="3"/>
        <v>0.14543455367651603</v>
      </c>
    </row>
    <row r="38" spans="1:7" ht="12" customHeight="1">
      <c r="A38" s="703">
        <v>1728</v>
      </c>
      <c r="B38" s="1896">
        <f>B39*DataUK4!AW39/DataUK4!AW40</f>
        <v>7.2578269188438638</v>
      </c>
      <c r="C38" s="1896">
        <f t="shared" si="0"/>
        <v>0.88680843381371943</v>
      </c>
      <c r="D38" s="2242">
        <v>22.1889</v>
      </c>
      <c r="E38" s="1870">
        <f t="shared" si="1"/>
        <v>0</v>
      </c>
      <c r="F38" s="1870">
        <f t="shared" si="2"/>
        <v>0</v>
      </c>
      <c r="G38" s="2243">
        <f t="shared" si="3"/>
        <v>-1.7954923407649703E-2</v>
      </c>
    </row>
    <row r="39" spans="1:7" ht="12" customHeight="1">
      <c r="A39" s="1825">
        <v>1729</v>
      </c>
      <c r="B39" s="1900">
        <f>B40*DataUK4!AW40/DataUK4!AW41</f>
        <v>7.2578269188438638</v>
      </c>
      <c r="C39" s="1900">
        <f t="shared" si="0"/>
        <v>0.88680843381371943</v>
      </c>
      <c r="D39" s="1901">
        <v>21.790500000000002</v>
      </c>
      <c r="E39" s="1876">
        <f t="shared" si="1"/>
        <v>0</v>
      </c>
      <c r="F39" s="1876">
        <f t="shared" si="2"/>
        <v>0</v>
      </c>
      <c r="G39" s="2244">
        <f t="shared" si="3"/>
        <v>8.5082948991533014E-2</v>
      </c>
    </row>
    <row r="40" spans="1:7" ht="12" customHeight="1">
      <c r="A40" s="703">
        <v>1730</v>
      </c>
      <c r="B40" s="1896">
        <f>B41*DataUK4!AW41/DataUK4!AW42</f>
        <v>7.2578269188438638</v>
      </c>
      <c r="C40" s="1896">
        <f t="shared" si="0"/>
        <v>0.88680843381371943</v>
      </c>
      <c r="D40" s="2242">
        <v>23.644500000000001</v>
      </c>
      <c r="E40" s="1870">
        <f t="shared" si="1"/>
        <v>0</v>
      </c>
      <c r="F40" s="1870">
        <f t="shared" si="2"/>
        <v>0</v>
      </c>
      <c r="G40" s="2243">
        <f t="shared" si="3"/>
        <v>2.9837805832223063E-2</v>
      </c>
    </row>
    <row r="41" spans="1:7" ht="12" customHeight="1">
      <c r="A41" s="703">
        <v>1731</v>
      </c>
      <c r="B41" s="1896">
        <f>B42*DataUK4!AW42/DataUK4!AW43</f>
        <v>7.2578269188438638</v>
      </c>
      <c r="C41" s="1896">
        <f t="shared" si="0"/>
        <v>0.88680843381371943</v>
      </c>
      <c r="D41" s="2242">
        <v>24.35</v>
      </c>
      <c r="E41" s="1870">
        <f t="shared" si="1"/>
        <v>0</v>
      </c>
      <c r="F41" s="1870">
        <f t="shared" si="2"/>
        <v>0</v>
      </c>
      <c r="G41" s="2243">
        <f t="shared" si="3"/>
        <v>-7.9219712525667729E-3</v>
      </c>
    </row>
    <row r="42" spans="1:7" ht="12" customHeight="1">
      <c r="A42" s="703">
        <v>1732</v>
      </c>
      <c r="B42" s="1896">
        <f>B43*DataUK4!AW43/DataUK4!AW44</f>
        <v>7.2578269188438638</v>
      </c>
      <c r="C42" s="1896">
        <f t="shared" si="0"/>
        <v>0.88680843381371943</v>
      </c>
      <c r="D42" s="2242">
        <v>24.1571</v>
      </c>
      <c r="E42" s="1870">
        <f t="shared" si="1"/>
        <v>0</v>
      </c>
      <c r="F42" s="1870">
        <f t="shared" si="2"/>
        <v>0</v>
      </c>
      <c r="G42" s="2243">
        <f t="shared" si="3"/>
        <v>-1.5001800712833968E-2</v>
      </c>
    </row>
    <row r="43" spans="1:7" ht="12" customHeight="1">
      <c r="A43" s="703">
        <v>1733</v>
      </c>
      <c r="B43" s="1896">
        <f>B44*DataUK4!AW44/DataUK4!AW45</f>
        <v>7.2578269188438638</v>
      </c>
      <c r="C43" s="1896">
        <f t="shared" si="0"/>
        <v>0.88680843381371943</v>
      </c>
      <c r="D43" s="2242">
        <v>23.794699999999999</v>
      </c>
      <c r="E43" s="1870">
        <f t="shared" si="1"/>
        <v>0</v>
      </c>
      <c r="F43" s="1870">
        <f t="shared" si="2"/>
        <v>0</v>
      </c>
      <c r="G43" s="2243">
        <f t="shared" si="3"/>
        <v>-0.14002698079824494</v>
      </c>
    </row>
    <row r="44" spans="1:7" ht="12" customHeight="1">
      <c r="A44" s="703">
        <v>1734</v>
      </c>
      <c r="B44" s="1896">
        <f>B45*DataUK4!AW45/DataUK4!AW46</f>
        <v>7.2578269188438638</v>
      </c>
      <c r="C44" s="1896">
        <f t="shared" si="0"/>
        <v>0.88680843381371943</v>
      </c>
      <c r="D44" s="2242">
        <v>20.462800000000001</v>
      </c>
      <c r="E44" s="1870">
        <f t="shared" si="1"/>
        <v>0</v>
      </c>
      <c r="F44" s="1870">
        <f t="shared" si="2"/>
        <v>0</v>
      </c>
      <c r="G44" s="2243">
        <f t="shared" si="3"/>
        <v>3.5141818323982887E-2</v>
      </c>
    </row>
    <row r="45" spans="1:7" ht="12" customHeight="1">
      <c r="A45" s="703">
        <v>1735</v>
      </c>
      <c r="B45" s="1896">
        <f>B46*DataUK4!AW46/DataUK4!AW47</f>
        <v>7.2578269188438638</v>
      </c>
      <c r="C45" s="1896">
        <f t="shared" si="0"/>
        <v>0.88680843381371943</v>
      </c>
      <c r="D45" s="2242">
        <v>21.181899999999999</v>
      </c>
      <c r="E45" s="1870">
        <f t="shared" si="1"/>
        <v>0</v>
      </c>
      <c r="F45" s="1870">
        <f t="shared" si="2"/>
        <v>0</v>
      </c>
      <c r="G45" s="2243">
        <f t="shared" si="3"/>
        <v>9.1134411927164427E-2</v>
      </c>
    </row>
    <row r="46" spans="1:7" ht="12" customHeight="1">
      <c r="A46" s="703">
        <v>1736</v>
      </c>
      <c r="B46" s="1896">
        <f>B47*DataUK4!AW47/DataUK4!AW48</f>
        <v>7.2578269188438638</v>
      </c>
      <c r="C46" s="1896">
        <f t="shared" si="0"/>
        <v>0.88680843381371943</v>
      </c>
      <c r="D46" s="2242">
        <v>23.112300000000001</v>
      </c>
      <c r="E46" s="1870">
        <f t="shared" si="1"/>
        <v>0</v>
      </c>
      <c r="F46" s="1870">
        <f t="shared" si="2"/>
        <v>0</v>
      </c>
      <c r="G46" s="2243">
        <f t="shared" si="3"/>
        <v>2.0750855605023988E-2</v>
      </c>
    </row>
    <row r="47" spans="1:7" ht="12" customHeight="1">
      <c r="A47" s="703">
        <v>1737</v>
      </c>
      <c r="B47" s="1896">
        <f>B48*DataUK4!AW48/DataUK4!AW49</f>
        <v>7.2578269188438638</v>
      </c>
      <c r="C47" s="1896">
        <f t="shared" si="0"/>
        <v>0.88680843381371943</v>
      </c>
      <c r="D47" s="2242">
        <v>23.591899999999999</v>
      </c>
      <c r="E47" s="1870">
        <f t="shared" si="1"/>
        <v>0</v>
      </c>
      <c r="F47" s="1870">
        <f t="shared" si="2"/>
        <v>0</v>
      </c>
      <c r="G47" s="2243">
        <f t="shared" si="3"/>
        <v>-5.3264044015106871E-2</v>
      </c>
    </row>
    <row r="48" spans="1:7" ht="12" customHeight="1">
      <c r="A48" s="703">
        <v>1738</v>
      </c>
      <c r="B48" s="1896">
        <f>B49*DataUK4!AW49/DataUK4!AW50</f>
        <v>7.2578269188438638</v>
      </c>
      <c r="C48" s="1896">
        <f t="shared" si="0"/>
        <v>0.88680843381371943</v>
      </c>
      <c r="D48" s="2242">
        <v>22.3353</v>
      </c>
      <c r="E48" s="1870">
        <f t="shared" si="1"/>
        <v>0</v>
      </c>
      <c r="F48" s="1870">
        <f t="shared" si="2"/>
        <v>0</v>
      </c>
      <c r="G48" s="2243">
        <f t="shared" si="3"/>
        <v>4.1100858282627772E-3</v>
      </c>
    </row>
    <row r="49" spans="1:7" ht="12" customHeight="1">
      <c r="A49" s="1825">
        <v>1739</v>
      </c>
      <c r="B49" s="1900">
        <f>B50*DataUK4!AW50/DataUK4!AW51</f>
        <v>7.2578269188438638</v>
      </c>
      <c r="C49" s="1900">
        <f t="shared" si="0"/>
        <v>0.88680843381371943</v>
      </c>
      <c r="D49" s="1901">
        <v>22.427099999999999</v>
      </c>
      <c r="E49" s="1876">
        <f t="shared" si="1"/>
        <v>0</v>
      </c>
      <c r="F49" s="1876">
        <f t="shared" si="2"/>
        <v>0</v>
      </c>
      <c r="G49" s="2244">
        <f t="shared" si="3"/>
        <v>-7.0196324981830038E-2</v>
      </c>
    </row>
    <row r="50" spans="1:7" ht="12" customHeight="1">
      <c r="A50" s="703">
        <v>1740</v>
      </c>
      <c r="B50" s="1896">
        <f>B51*DataUK4!AW51/DataUK4!AW52</f>
        <v>7.2578269188438638</v>
      </c>
      <c r="C50" s="1896">
        <f t="shared" si="0"/>
        <v>0.88680843381371943</v>
      </c>
      <c r="D50" s="2242">
        <v>20.852799999999998</v>
      </c>
      <c r="E50" s="1870">
        <f t="shared" si="1"/>
        <v>0</v>
      </c>
      <c r="F50" s="1870">
        <f t="shared" si="2"/>
        <v>0</v>
      </c>
      <c r="G50" s="2243">
        <f t="shared" si="3"/>
        <v>-3.9073889357783997E-2</v>
      </c>
    </row>
    <row r="51" spans="1:7" ht="12" customHeight="1">
      <c r="A51" s="703">
        <v>1741</v>
      </c>
      <c r="B51" s="1896">
        <f>B52*DataUK4!AW52/DataUK4!AW53</f>
        <v>7.2578269188438638</v>
      </c>
      <c r="C51" s="1896">
        <f t="shared" si="0"/>
        <v>0.88680843381371943</v>
      </c>
      <c r="D51" s="2242">
        <v>20.038</v>
      </c>
      <c r="E51" s="1870">
        <f t="shared" si="1"/>
        <v>0</v>
      </c>
      <c r="F51" s="1870">
        <f t="shared" si="2"/>
        <v>0</v>
      </c>
      <c r="G51" s="2243">
        <f t="shared" si="3"/>
        <v>6.2381475197126335E-3</v>
      </c>
    </row>
    <row r="52" spans="1:7" ht="12" customHeight="1">
      <c r="A52" s="703">
        <v>1742</v>
      </c>
      <c r="B52" s="1896">
        <f>B53*DataUK4!AW53/DataUK4!AW54</f>
        <v>7.2578269188438638</v>
      </c>
      <c r="C52" s="1896">
        <f t="shared" si="0"/>
        <v>0.88680843381371943</v>
      </c>
      <c r="D52" s="2242">
        <v>20.163</v>
      </c>
      <c r="E52" s="1870">
        <f t="shared" si="1"/>
        <v>0</v>
      </c>
      <c r="F52" s="1870">
        <f t="shared" si="2"/>
        <v>0</v>
      </c>
      <c r="G52" s="2243">
        <f t="shared" si="3"/>
        <v>5.2204533055596691E-2</v>
      </c>
    </row>
    <row r="53" spans="1:7" ht="12" customHeight="1">
      <c r="A53" s="703">
        <v>1743</v>
      </c>
      <c r="B53" s="1896">
        <f>B54*DataUK4!AW54/DataUK4!AW55</f>
        <v>7.2578269188438638</v>
      </c>
      <c r="C53" s="1896">
        <f t="shared" si="0"/>
        <v>0.88680843381371943</v>
      </c>
      <c r="D53" s="2242">
        <v>21.215599999999998</v>
      </c>
      <c r="E53" s="1870">
        <f t="shared" si="1"/>
        <v>0</v>
      </c>
      <c r="F53" s="1870">
        <f t="shared" si="2"/>
        <v>0</v>
      </c>
      <c r="G53" s="2243">
        <f t="shared" si="3"/>
        <v>7.2357133430117404E-2</v>
      </c>
    </row>
    <row r="54" spans="1:7" ht="12" customHeight="1">
      <c r="A54" s="703">
        <v>1744</v>
      </c>
      <c r="B54" s="1896">
        <f>B55*DataUK4!AW55/DataUK4!AW56</f>
        <v>7.2578269188438638</v>
      </c>
      <c r="C54" s="1896">
        <f t="shared" si="0"/>
        <v>0.88680843381371943</v>
      </c>
      <c r="D54" s="2242">
        <v>22.750699999999998</v>
      </c>
      <c r="E54" s="1870">
        <f t="shared" si="1"/>
        <v>0</v>
      </c>
      <c r="F54" s="1870">
        <f t="shared" si="2"/>
        <v>0</v>
      </c>
      <c r="G54" s="2243">
        <f t="shared" si="3"/>
        <v>-1.5063272778419901E-2</v>
      </c>
    </row>
    <row r="55" spans="1:7" ht="12" customHeight="1">
      <c r="A55" s="703">
        <v>1745</v>
      </c>
      <c r="B55" s="1896">
        <f>B56*DataUK4!AW56/DataUK4!AW57</f>
        <v>7.2578269188438638</v>
      </c>
      <c r="C55" s="1896">
        <f t="shared" si="0"/>
        <v>0.88680843381371943</v>
      </c>
      <c r="D55" s="2242">
        <v>22.408000000000001</v>
      </c>
      <c r="E55" s="1870">
        <f t="shared" si="1"/>
        <v>0</v>
      </c>
      <c r="F55" s="1870">
        <f t="shared" si="2"/>
        <v>0</v>
      </c>
      <c r="G55" s="2243">
        <f t="shared" si="3"/>
        <v>-0.13533113173866484</v>
      </c>
    </row>
    <row r="56" spans="1:7" ht="12" customHeight="1">
      <c r="A56" s="703">
        <v>1746</v>
      </c>
      <c r="B56" s="1896">
        <f>B57*DataUK4!AW57/DataUK4!AW58</f>
        <v>7.2578269188438638</v>
      </c>
      <c r="C56" s="1896">
        <f t="shared" si="0"/>
        <v>0.88680843381371943</v>
      </c>
      <c r="D56" s="2242">
        <v>19.375499999999999</v>
      </c>
      <c r="E56" s="1870">
        <f t="shared" si="1"/>
        <v>0</v>
      </c>
      <c r="F56" s="1870">
        <f t="shared" si="2"/>
        <v>0</v>
      </c>
      <c r="G56" s="2243">
        <f t="shared" si="3"/>
        <v>8.1546282676576265E-2</v>
      </c>
    </row>
    <row r="57" spans="1:7" ht="12" customHeight="1">
      <c r="A57" s="703">
        <v>1747</v>
      </c>
      <c r="B57" s="1896">
        <f>B58*DataUK4!AW58/DataUK4!AW59</f>
        <v>7.2578269188438638</v>
      </c>
      <c r="C57" s="1896">
        <f t="shared" si="0"/>
        <v>0.88680843381371943</v>
      </c>
      <c r="D57" s="2242">
        <v>20.955500000000001</v>
      </c>
      <c r="E57" s="1870">
        <f t="shared" si="1"/>
        <v>0</v>
      </c>
      <c r="F57" s="1870">
        <f t="shared" si="2"/>
        <v>0</v>
      </c>
      <c r="G57" s="2243">
        <f t="shared" si="3"/>
        <v>-8.0465748848750906E-2</v>
      </c>
    </row>
    <row r="58" spans="1:7" ht="12" customHeight="1">
      <c r="A58" s="703">
        <v>1748</v>
      </c>
      <c r="B58" s="1896">
        <f>B59*DataUK4!AW59/DataUK4!AW60</f>
        <v>7.2578269188438638</v>
      </c>
      <c r="C58" s="1896">
        <f t="shared" si="0"/>
        <v>0.88680843381371943</v>
      </c>
      <c r="D58" s="2242">
        <v>19.269300000000001</v>
      </c>
      <c r="E58" s="1870">
        <f t="shared" si="1"/>
        <v>0</v>
      </c>
      <c r="F58" s="1870">
        <f t="shared" si="2"/>
        <v>0</v>
      </c>
      <c r="G58" s="2243">
        <f t="shared" si="3"/>
        <v>7.6240444645108818E-2</v>
      </c>
    </row>
    <row r="59" spans="1:7" ht="12" customHeight="1">
      <c r="A59" s="1825">
        <v>1749</v>
      </c>
      <c r="B59" s="1900">
        <f>B60*DataUK4!AW60/DataUK4!AW61</f>
        <v>7.2578269188438638</v>
      </c>
      <c r="C59" s="1900">
        <f t="shared" si="0"/>
        <v>0.88680843381371943</v>
      </c>
      <c r="D59" s="1901">
        <v>20.738399999999999</v>
      </c>
      <c r="E59" s="1876">
        <f t="shared" si="1"/>
        <v>0</v>
      </c>
      <c r="F59" s="1876">
        <f t="shared" si="2"/>
        <v>0</v>
      </c>
      <c r="G59" s="2244">
        <f t="shared" si="3"/>
        <v>7.1254291555761462E-2</v>
      </c>
    </row>
    <row r="60" spans="1:7" ht="12" customHeight="1">
      <c r="A60" s="703">
        <v>1750</v>
      </c>
      <c r="B60" s="1896">
        <f>B61*DataUK4!AW61/DataUK4!AW62</f>
        <v>7.2578269188438638</v>
      </c>
      <c r="C60" s="1896">
        <f t="shared" si="0"/>
        <v>0.88680843381371943</v>
      </c>
      <c r="D60" s="2242">
        <v>22.216100000000001</v>
      </c>
      <c r="E60" s="1870">
        <f t="shared" si="1"/>
        <v>0</v>
      </c>
      <c r="F60" s="1870">
        <f t="shared" si="2"/>
        <v>0</v>
      </c>
      <c r="G60" s="2243">
        <f t="shared" si="3"/>
        <v>4.3193899919427681E-2</v>
      </c>
    </row>
    <row r="61" spans="1:7" ht="12" customHeight="1">
      <c r="A61" s="703">
        <v>1751</v>
      </c>
      <c r="B61" s="1896">
        <f>B62*DataUK4!AW62/DataUK4!AW63</f>
        <v>7.2578269188438638</v>
      </c>
      <c r="C61" s="1896">
        <f t="shared" si="0"/>
        <v>0.88680843381371943</v>
      </c>
      <c r="D61" s="2242">
        <v>23.175699999999999</v>
      </c>
      <c r="E61" s="1870">
        <f t="shared" si="1"/>
        <v>0</v>
      </c>
      <c r="F61" s="1870">
        <f t="shared" si="2"/>
        <v>0</v>
      </c>
      <c r="G61" s="2243">
        <f t="shared" si="3"/>
        <v>1.6771877440595162E-2</v>
      </c>
    </row>
    <row r="62" spans="1:7" ht="12" customHeight="1">
      <c r="A62" s="703">
        <v>1752</v>
      </c>
      <c r="B62" s="1896">
        <f>B63*DataUK4!AW63/DataUK4!AW64</f>
        <v>7.2578269188438638</v>
      </c>
      <c r="C62" s="1896">
        <f t="shared" si="0"/>
        <v>0.88680843381371943</v>
      </c>
      <c r="D62" s="2242">
        <v>23.564399999999999</v>
      </c>
      <c r="E62" s="1870">
        <f t="shared" si="1"/>
        <v>0</v>
      </c>
      <c r="F62" s="1870">
        <f t="shared" si="2"/>
        <v>0</v>
      </c>
      <c r="G62" s="2243">
        <f t="shared" si="3"/>
        <v>2.3344536673965743E-2</v>
      </c>
    </row>
    <row r="63" spans="1:7" ht="12" customHeight="1">
      <c r="A63" s="703">
        <v>1753</v>
      </c>
      <c r="B63" s="1896">
        <f>B64*DataUK4!AW64/DataUK4!AW65</f>
        <v>7.2578269188438638</v>
      </c>
      <c r="C63" s="1896">
        <f t="shared" si="0"/>
        <v>0.88680843381371943</v>
      </c>
      <c r="D63" s="2242">
        <v>24.1145</v>
      </c>
      <c r="E63" s="1870">
        <f t="shared" si="1"/>
        <v>0</v>
      </c>
      <c r="F63" s="1870">
        <f t="shared" si="2"/>
        <v>0</v>
      </c>
      <c r="G63" s="2243">
        <f t="shared" si="3"/>
        <v>-2.5084492732588282E-2</v>
      </c>
    </row>
    <row r="64" spans="1:7" ht="12" customHeight="1">
      <c r="A64" s="703">
        <v>1754</v>
      </c>
      <c r="B64" s="1896">
        <f>B65*DataUK4!AW65/DataUK4!AW66</f>
        <v>7.2578269188438638</v>
      </c>
      <c r="C64" s="1896">
        <f t="shared" si="0"/>
        <v>0.88680843381371943</v>
      </c>
      <c r="D64" s="2242">
        <v>23.509599999999999</v>
      </c>
      <c r="E64" s="1870">
        <f t="shared" si="1"/>
        <v>0</v>
      </c>
      <c r="F64" s="1870">
        <f t="shared" si="2"/>
        <v>0</v>
      </c>
      <c r="G64" s="2243">
        <f t="shared" si="3"/>
        <v>-3.9528533024806745E-2</v>
      </c>
    </row>
    <row r="65" spans="1:7" ht="12" customHeight="1">
      <c r="A65" s="703">
        <v>1755</v>
      </c>
      <c r="B65" s="1896">
        <f>B66*DataUK4!AW66/DataUK4!AW67</f>
        <v>7.2578269188438638</v>
      </c>
      <c r="C65" s="1896">
        <f t="shared" si="0"/>
        <v>0.88680843381371943</v>
      </c>
      <c r="D65" s="2242">
        <v>22.580300000000001</v>
      </c>
      <c r="E65" s="1870">
        <f t="shared" si="1"/>
        <v>0</v>
      </c>
      <c r="F65" s="1870">
        <f t="shared" si="2"/>
        <v>0</v>
      </c>
      <c r="G65" s="2243">
        <f t="shared" si="3"/>
        <v>-0.14401934429569152</v>
      </c>
    </row>
    <row r="66" spans="1:7" ht="12" customHeight="1">
      <c r="A66" s="703">
        <v>1756</v>
      </c>
      <c r="B66" s="1896">
        <f>B67*DataUK4!AW67/DataUK4!AW68</f>
        <v>7.2578269188438638</v>
      </c>
      <c r="C66" s="1896">
        <f t="shared" si="0"/>
        <v>0.88680843381371943</v>
      </c>
      <c r="D66" s="2242">
        <v>19.328299999999999</v>
      </c>
      <c r="E66" s="1870">
        <f t="shared" si="1"/>
        <v>0</v>
      </c>
      <c r="F66" s="1870">
        <f t="shared" si="2"/>
        <v>0</v>
      </c>
      <c r="G66" s="2243">
        <f t="shared" si="3"/>
        <v>-4.8617829814313618E-2</v>
      </c>
    </row>
    <row r="67" spans="1:7" ht="12" customHeight="1">
      <c r="A67" s="703">
        <v>1757</v>
      </c>
      <c r="B67" s="1896">
        <f>B68*DataUK4!AW68/DataUK4!AW69</f>
        <v>7.2578269188438638</v>
      </c>
      <c r="C67" s="1896">
        <f t="shared" si="0"/>
        <v>0.88680843381371943</v>
      </c>
      <c r="D67" s="2242">
        <v>18.3886</v>
      </c>
      <c r="E67" s="1870">
        <f t="shared" si="1"/>
        <v>0</v>
      </c>
      <c r="F67" s="1870">
        <f t="shared" si="2"/>
        <v>0</v>
      </c>
      <c r="G67" s="2243">
        <f t="shared" si="3"/>
        <v>2.4716400378495429E-2</v>
      </c>
    </row>
    <row r="68" spans="1:7" ht="12" customHeight="1">
      <c r="A68" s="703">
        <v>1758</v>
      </c>
      <c r="B68" s="1896">
        <f>B69*DataUK4!AW69/DataUK4!AW70</f>
        <v>7.2578269188438638</v>
      </c>
      <c r="C68" s="1896">
        <f t="shared" si="0"/>
        <v>0.88680843381371943</v>
      </c>
      <c r="D68" s="2242">
        <v>18.8431</v>
      </c>
      <c r="E68" s="1870">
        <f t="shared" si="1"/>
        <v>0</v>
      </c>
      <c r="F68" s="1870">
        <f t="shared" si="2"/>
        <v>0</v>
      </c>
      <c r="G68" s="2243">
        <f t="shared" si="3"/>
        <v>-2.7983718178006822E-2</v>
      </c>
    </row>
    <row r="69" spans="1:7" ht="12" customHeight="1">
      <c r="A69" s="1825">
        <v>1759</v>
      </c>
      <c r="B69" s="1900">
        <f>B70*DataUK4!AW70/DataUK4!AW71</f>
        <v>7.2578269188438638</v>
      </c>
      <c r="C69" s="1900">
        <f t="shared" si="0"/>
        <v>0.88680843381371943</v>
      </c>
      <c r="D69" s="1901">
        <v>18.315799999999999</v>
      </c>
      <c r="E69" s="1876">
        <f t="shared" si="1"/>
        <v>0</v>
      </c>
      <c r="F69" s="1876">
        <f t="shared" si="2"/>
        <v>0</v>
      </c>
      <c r="G69" s="2244">
        <f t="shared" si="3"/>
        <v>-4.477008921258685E-4</v>
      </c>
    </row>
    <row r="70" spans="1:7" ht="12" customHeight="1">
      <c r="A70" s="703">
        <v>1760</v>
      </c>
      <c r="B70" s="1896">
        <f>B71*DataUK4!AW71/DataUK4!AW72</f>
        <v>7.2578269188438647</v>
      </c>
      <c r="C70" s="1896">
        <f t="shared" si="0"/>
        <v>0.88680843381371954</v>
      </c>
      <c r="D70" s="2242">
        <v>18.307600000000001</v>
      </c>
      <c r="E70" s="1870">
        <f t="shared" si="1"/>
        <v>0</v>
      </c>
      <c r="F70" s="1870">
        <f t="shared" si="2"/>
        <v>0</v>
      </c>
      <c r="G70" s="2243">
        <f t="shared" si="3"/>
        <v>-5.0760339968100698E-2</v>
      </c>
    </row>
    <row r="71" spans="1:7" ht="12" customHeight="1">
      <c r="A71" s="703">
        <v>1761</v>
      </c>
      <c r="B71" s="1896">
        <f>B72*DataUK4!AW72/DataUK4!AW73</f>
        <v>7.0763812458727688</v>
      </c>
      <c r="C71" s="1896">
        <f t="shared" si="0"/>
        <v>0.86463822296837667</v>
      </c>
      <c r="D71" s="2242">
        <v>17.378299999999999</v>
      </c>
      <c r="E71" s="1870">
        <f t="shared" si="1"/>
        <v>-2.4999999999999911E-2</v>
      </c>
      <c r="F71" s="1870">
        <f t="shared" si="2"/>
        <v>-2.4999999999999911E-2</v>
      </c>
      <c r="G71" s="2243">
        <f t="shared" si="3"/>
        <v>-0.11677206631258519</v>
      </c>
    </row>
    <row r="72" spans="1:7" ht="12" customHeight="1">
      <c r="A72" s="703">
        <v>1762</v>
      </c>
      <c r="B72" s="1896">
        <f>B73*DataUK4!AW73/DataUK4!AW74</f>
        <v>7.1126703804669882</v>
      </c>
      <c r="C72" s="1896">
        <f t="shared" si="0"/>
        <v>0.86907226513744529</v>
      </c>
      <c r="D72" s="2242">
        <v>15.349</v>
      </c>
      <c r="E72" s="1870">
        <f t="shared" si="1"/>
        <v>5.12820512820511E-3</v>
      </c>
      <c r="F72" s="1870">
        <f t="shared" si="2"/>
        <v>5.12820512820511E-3</v>
      </c>
      <c r="G72" s="2243">
        <f t="shared" si="3"/>
        <v>0.25405563880383086</v>
      </c>
    </row>
    <row r="73" spans="1:7" ht="12" customHeight="1">
      <c r="A73" s="703">
        <v>1763</v>
      </c>
      <c r="B73" s="1896">
        <f>B74*DataUK4!AW74/DataUK4!AW75</f>
        <v>7.3304051880323042</v>
      </c>
      <c r="C73" s="1896">
        <f t="shared" si="0"/>
        <v>0.89567651815185689</v>
      </c>
      <c r="D73" s="2242">
        <v>19.2485</v>
      </c>
      <c r="E73" s="1870">
        <f t="shared" si="1"/>
        <v>3.0612244897959107E-2</v>
      </c>
      <c r="F73" s="1870">
        <f t="shared" si="2"/>
        <v>3.0612244897959107E-2</v>
      </c>
      <c r="G73" s="2243">
        <f t="shared" si="3"/>
        <v>-3.4589708288957577E-2</v>
      </c>
    </row>
    <row r="74" spans="1:7" ht="12" customHeight="1">
      <c r="A74" s="703">
        <v>1764</v>
      </c>
      <c r="B74" s="1896">
        <f>B75*DataUK4!AW75/DataUK4!AW76</f>
        <v>7.3666943226265236</v>
      </c>
      <c r="C74" s="1896">
        <f t="shared" ref="C74:C109" si="4">C75*B74/B75</f>
        <v>0.90011056032092551</v>
      </c>
      <c r="D74" s="2242">
        <v>18.582699999999999</v>
      </c>
      <c r="E74" s="1870">
        <f t="shared" si="1"/>
        <v>4.9504950495049549E-3</v>
      </c>
      <c r="F74" s="1870">
        <f t="shared" si="2"/>
        <v>4.9504950495049549E-3</v>
      </c>
      <c r="G74" s="2243">
        <f t="shared" si="3"/>
        <v>4.2507278274954707E-2</v>
      </c>
    </row>
    <row r="75" spans="1:7" ht="12" customHeight="1">
      <c r="A75" s="703">
        <v>1765</v>
      </c>
      <c r="B75" s="1896">
        <f>B76*DataUK4!AW76/DataUK4!AW77</f>
        <v>7.4392725918149614</v>
      </c>
      <c r="C75" s="1896">
        <f t="shared" si="4"/>
        <v>0.90897864465906264</v>
      </c>
      <c r="D75" s="2242">
        <v>19.372599999999998</v>
      </c>
      <c r="E75" s="1870">
        <f t="shared" ref="E75:E138" si="5">B75/B74-1</f>
        <v>9.8522167487684609E-3</v>
      </c>
      <c r="F75" s="1870">
        <f t="shared" ref="F75:F138" si="6">C75/C74-1</f>
        <v>9.8522167487684609E-3</v>
      </c>
      <c r="G75" s="2243">
        <f t="shared" ref="G75:G138" si="7">D76/D75-1</f>
        <v>0.13684275729638773</v>
      </c>
    </row>
    <row r="76" spans="1:7" ht="12" customHeight="1">
      <c r="A76" s="703">
        <v>1766</v>
      </c>
      <c r="B76" s="1896">
        <f>B77*DataUK4!AW77/DataUK4!AW78</f>
        <v>7.4755617264091798</v>
      </c>
      <c r="C76" s="1896">
        <f t="shared" si="4"/>
        <v>0.91341268682813104</v>
      </c>
      <c r="D76" s="2242">
        <v>22.023599999999998</v>
      </c>
      <c r="E76" s="1870">
        <f t="shared" si="5"/>
        <v>4.8780487804875872E-3</v>
      </c>
      <c r="F76" s="1870">
        <f t="shared" si="6"/>
        <v>4.8780487804875872E-3</v>
      </c>
      <c r="G76" s="2243">
        <f t="shared" si="7"/>
        <v>9.5788154525145774E-2</v>
      </c>
    </row>
    <row r="77" spans="1:7" ht="12" customHeight="1">
      <c r="A77" s="703">
        <v>1767</v>
      </c>
      <c r="B77" s="1896">
        <f>B78*DataUK4!AW78/DataUK4!AW79</f>
        <v>7.5481399955976185</v>
      </c>
      <c r="C77" s="1896">
        <f t="shared" si="4"/>
        <v>0.92228077116626828</v>
      </c>
      <c r="D77" s="2242">
        <v>24.133199999999999</v>
      </c>
      <c r="E77" s="1870">
        <f t="shared" si="5"/>
        <v>9.7087378640776656E-3</v>
      </c>
      <c r="F77" s="1870">
        <f t="shared" si="6"/>
        <v>9.7087378640776656E-3</v>
      </c>
      <c r="G77" s="2243">
        <f t="shared" si="7"/>
        <v>9.9012977972254168E-2</v>
      </c>
    </row>
    <row r="78" spans="1:7" ht="12" customHeight="1">
      <c r="A78" s="703">
        <v>1768</v>
      </c>
      <c r="B78" s="1896">
        <f>B79*DataUK4!AW79/DataUK4!AW80</f>
        <v>7.4755617264091807</v>
      </c>
      <c r="C78" s="1896">
        <f t="shared" si="4"/>
        <v>0.91341268682813126</v>
      </c>
      <c r="D78" s="2242">
        <v>26.5227</v>
      </c>
      <c r="E78" s="1870">
        <f t="shared" si="5"/>
        <v>-9.6153846153844702E-3</v>
      </c>
      <c r="F78" s="1870">
        <f t="shared" si="6"/>
        <v>-9.6153846153844702E-3</v>
      </c>
      <c r="G78" s="2243">
        <f t="shared" si="7"/>
        <v>-7.1599045346062429E-3</v>
      </c>
    </row>
    <row r="79" spans="1:7" ht="12" customHeight="1">
      <c r="A79" s="1825">
        <v>1769</v>
      </c>
      <c r="B79" s="1900">
        <f>B80*DataUK4!AW80/DataUK4!AW81</f>
        <v>6.9312247074958906</v>
      </c>
      <c r="C79" s="1900">
        <f t="shared" si="4"/>
        <v>0.8469020542921023</v>
      </c>
      <c r="D79" s="1901">
        <v>26.332799999999999</v>
      </c>
      <c r="E79" s="1876">
        <f t="shared" si="5"/>
        <v>-7.2815533980582603E-2</v>
      </c>
      <c r="F79" s="1876">
        <f t="shared" si="6"/>
        <v>-7.2815533980582492E-2</v>
      </c>
      <c r="G79" s="2244">
        <f t="shared" si="7"/>
        <v>-0.11672894640904119</v>
      </c>
    </row>
    <row r="80" spans="1:7" ht="12" customHeight="1">
      <c r="A80" s="703">
        <v>1770</v>
      </c>
      <c r="B80" s="1896">
        <f>B81*DataUK4!AW81/DataUK4!AW82</f>
        <v>7.0400921112785477</v>
      </c>
      <c r="C80" s="1896">
        <f t="shared" si="4"/>
        <v>0.86020418079930805</v>
      </c>
      <c r="D80" s="2242">
        <v>23.259</v>
      </c>
      <c r="E80" s="1870">
        <f t="shared" si="5"/>
        <v>1.5706806282722363E-2</v>
      </c>
      <c r="F80" s="1870">
        <f t="shared" si="6"/>
        <v>1.5706806282722363E-2</v>
      </c>
      <c r="G80" s="2243">
        <f t="shared" si="7"/>
        <v>-0.14993335912979922</v>
      </c>
    </row>
    <row r="81" spans="1:7" ht="12" customHeight="1">
      <c r="A81" s="703">
        <v>1771</v>
      </c>
      <c r="B81" s="1896">
        <f>B82*DataUK4!AW82/DataUK4!AW83</f>
        <v>7.2941160534380831</v>
      </c>
      <c r="C81" s="1896">
        <f t="shared" si="4"/>
        <v>0.89124247598278827</v>
      </c>
      <c r="D81" s="2242">
        <v>19.771699999999999</v>
      </c>
      <c r="E81" s="1870">
        <f t="shared" si="5"/>
        <v>3.6082474226804218E-2</v>
      </c>
      <c r="F81" s="1870">
        <f t="shared" si="6"/>
        <v>3.6082474226804218E-2</v>
      </c>
      <c r="G81" s="2243">
        <f t="shared" si="7"/>
        <v>0.15687067879848482</v>
      </c>
    </row>
    <row r="82" spans="1:7" ht="12" customHeight="1">
      <c r="A82" s="703">
        <v>1772</v>
      </c>
      <c r="B82" s="1896">
        <f>B83*DataUK4!AW83/DataUK4!AW84</f>
        <v>7.8021639377571539</v>
      </c>
      <c r="C82" s="1896">
        <f t="shared" si="4"/>
        <v>0.95331906634974872</v>
      </c>
      <c r="D82" s="2242">
        <v>22.8733</v>
      </c>
      <c r="E82" s="1870">
        <f t="shared" si="5"/>
        <v>6.9651741293532465E-2</v>
      </c>
      <c r="F82" s="1870">
        <f t="shared" si="6"/>
        <v>6.9651741293532465E-2</v>
      </c>
      <c r="G82" s="2243">
        <f t="shared" si="7"/>
        <v>-0.14021588489636394</v>
      </c>
    </row>
    <row r="83" spans="1:7" ht="12" customHeight="1">
      <c r="A83" s="703">
        <v>1773</v>
      </c>
      <c r="B83" s="1896">
        <f>B84*DataUK4!AW84/DataUK4!AW85</f>
        <v>7.9110313415398128</v>
      </c>
      <c r="C83" s="1896">
        <f t="shared" si="4"/>
        <v>0.96662119285695469</v>
      </c>
      <c r="D83" s="2242">
        <v>19.6661</v>
      </c>
      <c r="E83" s="1870">
        <f t="shared" si="5"/>
        <v>1.3953488372093092E-2</v>
      </c>
      <c r="F83" s="1870">
        <f t="shared" si="6"/>
        <v>1.3953488372093314E-2</v>
      </c>
      <c r="G83" s="2243">
        <f t="shared" si="7"/>
        <v>-4.5799624734950029E-2</v>
      </c>
    </row>
    <row r="84" spans="1:7" ht="12" customHeight="1">
      <c r="A84" s="703">
        <v>1774</v>
      </c>
      <c r="B84" s="1896">
        <f>B85*DataUK4!AW85/DataUK4!AW86</f>
        <v>7.7658748031629345</v>
      </c>
      <c r="C84" s="1896">
        <f t="shared" si="4"/>
        <v>0.94888502418068021</v>
      </c>
      <c r="D84" s="2242">
        <v>18.7654</v>
      </c>
      <c r="E84" s="1870">
        <f t="shared" si="5"/>
        <v>-1.8348623853211121E-2</v>
      </c>
      <c r="F84" s="1870">
        <f t="shared" si="6"/>
        <v>-1.8348623853211121E-2</v>
      </c>
      <c r="G84" s="2243">
        <f t="shared" si="7"/>
        <v>4.8488175045562576E-2</v>
      </c>
    </row>
    <row r="85" spans="1:7" ht="12" customHeight="1">
      <c r="A85" s="703">
        <v>1775</v>
      </c>
      <c r="B85" s="1896">
        <f>B86*DataUK4!AW86/DataUK4!AW87</f>
        <v>7.6570073993802774</v>
      </c>
      <c r="C85" s="1896">
        <f t="shared" si="4"/>
        <v>0.93558289767347458</v>
      </c>
      <c r="D85" s="2242">
        <v>19.6753</v>
      </c>
      <c r="E85" s="1870">
        <f t="shared" si="5"/>
        <v>-1.4018691588784993E-2</v>
      </c>
      <c r="F85" s="1870">
        <f t="shared" si="6"/>
        <v>-1.4018691588784882E-2</v>
      </c>
      <c r="G85" s="2243">
        <f t="shared" si="7"/>
        <v>2.1295736278481137E-2</v>
      </c>
    </row>
    <row r="86" spans="1:7" ht="12" customHeight="1">
      <c r="A86" s="703">
        <v>1776</v>
      </c>
      <c r="B86" s="1896">
        <f>B87*DataUK4!AW87/DataUK4!AW88</f>
        <v>7.8021639377571539</v>
      </c>
      <c r="C86" s="1896">
        <f t="shared" si="4"/>
        <v>0.95331906634974883</v>
      </c>
      <c r="D86" s="2242">
        <v>20.0943</v>
      </c>
      <c r="E86" s="1870">
        <f t="shared" si="5"/>
        <v>1.8957345971563955E-2</v>
      </c>
      <c r="F86" s="1870">
        <f t="shared" si="6"/>
        <v>1.8957345971563733E-2</v>
      </c>
      <c r="G86" s="2243">
        <f t="shared" si="7"/>
        <v>-1.2073075449256732E-2</v>
      </c>
    </row>
    <row r="87" spans="1:7" ht="12" customHeight="1">
      <c r="A87" s="703">
        <v>1777</v>
      </c>
      <c r="B87" s="1896">
        <f>B88*DataUK4!AW88/DataUK4!AW89</f>
        <v>7.6207182647860581</v>
      </c>
      <c r="C87" s="1896">
        <f t="shared" si="4"/>
        <v>0.93114885550440596</v>
      </c>
      <c r="D87" s="2242">
        <v>19.851700000000001</v>
      </c>
      <c r="E87" s="1870">
        <f t="shared" si="5"/>
        <v>-2.3255813953488302E-2</v>
      </c>
      <c r="F87" s="1870">
        <f t="shared" si="6"/>
        <v>-2.3255813953488191E-2</v>
      </c>
      <c r="G87" s="2243">
        <f t="shared" si="7"/>
        <v>-6.3662054131384149E-2</v>
      </c>
    </row>
    <row r="88" spans="1:7" ht="12" customHeight="1">
      <c r="A88" s="703">
        <v>1778</v>
      </c>
      <c r="B88" s="1896">
        <f>B89*DataUK4!AW89/DataUK4!AW90</f>
        <v>8.0198987453224717</v>
      </c>
      <c r="C88" s="1896">
        <f t="shared" si="4"/>
        <v>0.97992331936416077</v>
      </c>
      <c r="D88" s="2242">
        <v>18.587900000000001</v>
      </c>
      <c r="E88" s="1870">
        <f t="shared" si="5"/>
        <v>5.2380952380952417E-2</v>
      </c>
      <c r="F88" s="1870">
        <f t="shared" si="6"/>
        <v>5.2380952380952639E-2</v>
      </c>
      <c r="G88" s="2243">
        <f t="shared" si="7"/>
        <v>-0.12589372656405506</v>
      </c>
    </row>
    <row r="89" spans="1:7" ht="12" customHeight="1">
      <c r="A89" s="1825">
        <v>1779</v>
      </c>
      <c r="B89" s="1900">
        <f>B90*DataUK4!AW90/DataUK4!AW91</f>
        <v>8.0198987453224717</v>
      </c>
      <c r="C89" s="1900">
        <f t="shared" si="4"/>
        <v>0.97992331936416077</v>
      </c>
      <c r="D89" s="1901">
        <v>16.247800000000002</v>
      </c>
      <c r="E89" s="1876">
        <f t="shared" si="5"/>
        <v>0</v>
      </c>
      <c r="F89" s="1876">
        <f t="shared" si="6"/>
        <v>0</v>
      </c>
      <c r="G89" s="2244">
        <f t="shared" si="7"/>
        <v>1.0407562870049958E-2</v>
      </c>
    </row>
    <row r="90" spans="1:7" ht="12" customHeight="1">
      <c r="A90" s="703">
        <v>1780</v>
      </c>
      <c r="B90" s="1896">
        <f>B91*DataUK4!AW91/DataUK4!AW92</f>
        <v>8.0924770145109104</v>
      </c>
      <c r="C90" s="1896">
        <f t="shared" si="4"/>
        <v>0.9887914037022979</v>
      </c>
      <c r="D90" s="2242">
        <v>16.416899999999998</v>
      </c>
      <c r="E90" s="1870">
        <f t="shared" si="5"/>
        <v>9.0497737556560764E-3</v>
      </c>
      <c r="F90" s="1870">
        <f t="shared" si="6"/>
        <v>9.0497737556560764E-3</v>
      </c>
      <c r="G90" s="2243">
        <f t="shared" si="7"/>
        <v>-4.8303881975281238E-3</v>
      </c>
    </row>
    <row r="91" spans="1:7" ht="12" customHeight="1">
      <c r="A91" s="703">
        <v>1781</v>
      </c>
      <c r="B91" s="1896">
        <f>B92*DataUK4!AW92/DataUK4!AW93</f>
        <v>8.1650552836993509</v>
      </c>
      <c r="C91" s="1896">
        <f t="shared" si="4"/>
        <v>0.99765948804043536</v>
      </c>
      <c r="D91" s="2242">
        <v>16.337599999999998</v>
      </c>
      <c r="E91" s="1870">
        <f t="shared" si="5"/>
        <v>8.9686098654711E-3</v>
      </c>
      <c r="F91" s="1870">
        <f t="shared" si="6"/>
        <v>8.9686098654711E-3</v>
      </c>
      <c r="G91" s="2243">
        <f t="shared" si="7"/>
        <v>-7.2819753207325366E-2</v>
      </c>
    </row>
    <row r="92" spans="1:7" ht="12" customHeight="1">
      <c r="A92" s="703">
        <v>1782</v>
      </c>
      <c r="B92" s="1896">
        <f>B93*DataUK4!AW93/DataUK4!AW94</f>
        <v>8.5642357642357627</v>
      </c>
      <c r="C92" s="1896">
        <f t="shared" si="4"/>
        <v>1.04643395190019</v>
      </c>
      <c r="D92" s="2242">
        <v>15.1479</v>
      </c>
      <c r="E92" s="1870">
        <f t="shared" si="5"/>
        <v>4.888888888888876E-2</v>
      </c>
      <c r="F92" s="1870">
        <f t="shared" si="6"/>
        <v>4.888888888888876E-2</v>
      </c>
      <c r="G92" s="2243">
        <f t="shared" si="7"/>
        <v>6.3546762257474576E-2</v>
      </c>
    </row>
    <row r="93" spans="1:7" ht="12" customHeight="1">
      <c r="A93" s="703">
        <v>1783</v>
      </c>
      <c r="B93" s="1896">
        <f>B94*DataUK4!AW94/DataUK4!AW95</f>
        <v>8.9271271101779561</v>
      </c>
      <c r="C93" s="1896">
        <f t="shared" si="4"/>
        <v>1.0907743735908759</v>
      </c>
      <c r="D93" s="2242">
        <v>16.110499999999998</v>
      </c>
      <c r="E93" s="1870">
        <f t="shared" si="5"/>
        <v>4.2372881355932313E-2</v>
      </c>
      <c r="F93" s="1870">
        <f t="shared" si="6"/>
        <v>4.237288135593209E-2</v>
      </c>
      <c r="G93" s="2243">
        <f t="shared" si="7"/>
        <v>-8.9202693895285567E-2</v>
      </c>
    </row>
    <row r="94" spans="1:7" ht="12" customHeight="1">
      <c r="A94" s="703">
        <v>1784</v>
      </c>
      <c r="B94" s="1896">
        <f>B95*DataUK4!AW95/DataUK4!AW96</f>
        <v>8.491657495047324</v>
      </c>
      <c r="C94" s="1896">
        <f t="shared" si="4"/>
        <v>1.0375658675620527</v>
      </c>
      <c r="D94" s="2242">
        <v>14.673400000000001</v>
      </c>
      <c r="E94" s="1870">
        <f t="shared" si="5"/>
        <v>-4.8780487804878092E-2</v>
      </c>
      <c r="F94" s="1870">
        <f t="shared" si="6"/>
        <v>-4.8780487804878092E-2</v>
      </c>
      <c r="G94" s="2243">
        <f t="shared" si="7"/>
        <v>4.3684490302178247E-3</v>
      </c>
    </row>
    <row r="95" spans="1:7" ht="12" customHeight="1">
      <c r="A95" s="703">
        <v>1785</v>
      </c>
      <c r="B95" s="1896">
        <f>B96*DataUK4!AW96/DataUK4!AW97</f>
        <v>8.2376335528877878</v>
      </c>
      <c r="C95" s="1896">
        <f t="shared" si="4"/>
        <v>1.0065275723785725</v>
      </c>
      <c r="D95" s="2242">
        <v>14.737500000000001</v>
      </c>
      <c r="E95" s="1870">
        <f t="shared" si="5"/>
        <v>-2.991452991453003E-2</v>
      </c>
      <c r="F95" s="1870">
        <f t="shared" si="6"/>
        <v>-2.9914529914529919E-2</v>
      </c>
      <c r="G95" s="2243">
        <f t="shared" si="7"/>
        <v>0.20198812553011036</v>
      </c>
    </row>
    <row r="96" spans="1:7" ht="12" customHeight="1">
      <c r="A96" s="703">
        <v>1786</v>
      </c>
      <c r="B96" s="1896">
        <f>B97*DataUK4!AW97/DataUK4!AW98</f>
        <v>8.4190792258588854</v>
      </c>
      <c r="C96" s="1896">
        <f t="shared" si="4"/>
        <v>1.0286977832239155</v>
      </c>
      <c r="D96" s="2242">
        <v>17.714300000000001</v>
      </c>
      <c r="E96" s="1870">
        <f t="shared" si="5"/>
        <v>2.2026431718061845E-2</v>
      </c>
      <c r="F96" s="1870">
        <f t="shared" si="6"/>
        <v>2.2026431718061623E-2</v>
      </c>
      <c r="G96" s="2243">
        <f t="shared" si="7"/>
        <v>6.9062847529961502E-2</v>
      </c>
    </row>
    <row r="97" spans="1:7" ht="12" customHeight="1">
      <c r="A97" s="703">
        <v>1787</v>
      </c>
      <c r="B97" s="1896">
        <f>B98*DataUK4!AW98/DataUK4!AW99</f>
        <v>8.2739226874820098</v>
      </c>
      <c r="C97" s="1896">
        <f t="shared" si="4"/>
        <v>1.0109616145476412</v>
      </c>
      <c r="D97" s="2242">
        <v>18.9377</v>
      </c>
      <c r="E97" s="1870">
        <f t="shared" si="5"/>
        <v>-1.724137931034464E-2</v>
      </c>
      <c r="F97" s="1870">
        <f t="shared" si="6"/>
        <v>-1.724137931034464E-2</v>
      </c>
      <c r="G97" s="2243">
        <f t="shared" si="7"/>
        <v>3.7612804089197649E-2</v>
      </c>
    </row>
    <row r="98" spans="1:7" ht="12" customHeight="1">
      <c r="A98" s="703">
        <v>1788</v>
      </c>
      <c r="B98" s="1896">
        <f>B99*DataUK4!AW99/DataUK4!AW100</f>
        <v>8.491657495047324</v>
      </c>
      <c r="C98" s="1896">
        <f t="shared" si="4"/>
        <v>1.0375658675620527</v>
      </c>
      <c r="D98" s="2242">
        <v>19.649999999999999</v>
      </c>
      <c r="E98" s="1870">
        <f t="shared" si="5"/>
        <v>2.631578947368407E-2</v>
      </c>
      <c r="F98" s="1870">
        <f t="shared" si="6"/>
        <v>2.631578947368407E-2</v>
      </c>
      <c r="G98" s="2243">
        <f t="shared" si="7"/>
        <v>-1.1811704834605585E-2</v>
      </c>
    </row>
    <row r="99" spans="1:7" ht="12" customHeight="1">
      <c r="A99" s="1825">
        <v>1789</v>
      </c>
      <c r="B99" s="1900">
        <f>B100*DataUK4!AW100/DataUK4!AW101</f>
        <v>8.1287661491051306</v>
      </c>
      <c r="C99" s="1900">
        <f t="shared" si="4"/>
        <v>0.99322544587136663</v>
      </c>
      <c r="D99" s="1901">
        <v>19.417899999999999</v>
      </c>
      <c r="E99" s="1876">
        <f t="shared" si="5"/>
        <v>-4.2735042735042694E-2</v>
      </c>
      <c r="F99" s="1876">
        <f t="shared" si="6"/>
        <v>-4.2735042735042805E-2</v>
      </c>
      <c r="G99" s="2244">
        <f t="shared" si="7"/>
        <v>5.1462825537262002E-2</v>
      </c>
    </row>
    <row r="100" spans="1:7" ht="12" customHeight="1">
      <c r="A100" s="703">
        <v>1790</v>
      </c>
      <c r="B100" s="1896">
        <f>B101*DataUK4!AW101/DataUK4!AW102</f>
        <v>8.3827900912646669</v>
      </c>
      <c r="C100" s="1896">
        <f t="shared" si="4"/>
        <v>1.024263741054847</v>
      </c>
      <c r="D100" s="2242">
        <v>20.417200000000001</v>
      </c>
      <c r="E100" s="1870">
        <f t="shared" si="5"/>
        <v>3.1250000000000222E-2</v>
      </c>
      <c r="F100" s="1870">
        <f t="shared" si="6"/>
        <v>3.1250000000000222E-2</v>
      </c>
      <c r="G100" s="2243">
        <f t="shared" si="7"/>
        <v>-6.2692239876194211E-4</v>
      </c>
    </row>
    <row r="101" spans="1:7" ht="12" customHeight="1">
      <c r="A101" s="703">
        <v>1791</v>
      </c>
      <c r="B101" s="1896">
        <f>B102*DataUK4!AW102/DataUK4!AW103</f>
        <v>8.420338983050847</v>
      </c>
      <c r="C101" s="1896">
        <f t="shared" si="4"/>
        <v>1.0288517085399751</v>
      </c>
      <c r="D101" s="2242">
        <v>20.404399999999999</v>
      </c>
      <c r="E101" s="1870">
        <f t="shared" si="5"/>
        <v>4.4792833146696243E-3</v>
      </c>
      <c r="F101" s="1870">
        <f t="shared" si="6"/>
        <v>4.4792833146696243E-3</v>
      </c>
      <c r="G101" s="2243">
        <f t="shared" si="7"/>
        <v>7.4184979710258503E-2</v>
      </c>
    </row>
    <row r="102" spans="1:7" ht="12" customHeight="1">
      <c r="A102" s="703">
        <v>1792</v>
      </c>
      <c r="B102" s="1896">
        <f>B103*DataUK4!AW103/DataUK4!AW104</f>
        <v>8.2701434159061264</v>
      </c>
      <c r="C102" s="1896">
        <f t="shared" si="4"/>
        <v>1.0104998385994626</v>
      </c>
      <c r="D102" s="2242">
        <v>21.918099999999999</v>
      </c>
      <c r="E102" s="1870">
        <f t="shared" si="5"/>
        <v>-1.7837235228539638E-2</v>
      </c>
      <c r="F102" s="1870">
        <f t="shared" si="6"/>
        <v>-1.783723522853975E-2</v>
      </c>
      <c r="G102" s="2243">
        <f t="shared" si="7"/>
        <v>-8.435037708560511E-2</v>
      </c>
    </row>
    <row r="103" spans="1:7" ht="12" customHeight="1">
      <c r="A103" s="703">
        <v>1793</v>
      </c>
      <c r="B103" s="1896">
        <f>B104*DataUK4!AW104/DataUK4!AW105</f>
        <v>9.0680573663624493</v>
      </c>
      <c r="C103" s="1896">
        <f t="shared" si="4"/>
        <v>1.1079941476584345</v>
      </c>
      <c r="D103" s="2242">
        <v>20.069299999999998</v>
      </c>
      <c r="E103" s="1870">
        <f t="shared" si="5"/>
        <v>9.6481271282633285E-2</v>
      </c>
      <c r="F103" s="1870">
        <f t="shared" si="6"/>
        <v>9.6481271282633285E-2</v>
      </c>
      <c r="G103" s="2243">
        <f t="shared" si="7"/>
        <v>2.1525414438969825E-3</v>
      </c>
    </row>
    <row r="104" spans="1:7" ht="12" customHeight="1">
      <c r="A104" s="703">
        <v>1794</v>
      </c>
      <c r="B104" s="1896">
        <f>B105*DataUK4!AW105/DataUK4!AW106</f>
        <v>9.2464146023468032</v>
      </c>
      <c r="C104" s="1896">
        <f t="shared" si="4"/>
        <v>1.1297869932127929</v>
      </c>
      <c r="D104" s="2242">
        <v>20.112500000000001</v>
      </c>
      <c r="E104" s="1870">
        <f t="shared" si="5"/>
        <v>1.9668737060041241E-2</v>
      </c>
      <c r="F104" s="1870">
        <f t="shared" si="6"/>
        <v>1.9668737060041241E-2</v>
      </c>
      <c r="G104" s="2243">
        <f t="shared" si="7"/>
        <v>-8.8889993784959653E-2</v>
      </c>
    </row>
    <row r="105" spans="1:7" ht="12" customHeight="1">
      <c r="A105" s="703">
        <v>1795</v>
      </c>
      <c r="B105" s="1896">
        <f>B106*DataUK4!AW106/DataUK4!AW107</f>
        <v>10.78591916558018</v>
      </c>
      <c r="C105" s="1896">
        <f t="shared" si="4"/>
        <v>1.3178936601030449</v>
      </c>
      <c r="D105" s="2242">
        <v>18.3247</v>
      </c>
      <c r="E105" s="1870">
        <f t="shared" si="5"/>
        <v>0.16649746192893411</v>
      </c>
      <c r="F105" s="1870">
        <f t="shared" si="6"/>
        <v>0.16649746192893411</v>
      </c>
      <c r="G105" s="2243">
        <f t="shared" si="7"/>
        <v>0.10309036437158592</v>
      </c>
    </row>
    <row r="106" spans="1:7" ht="12" customHeight="1">
      <c r="A106" s="703">
        <v>1796</v>
      </c>
      <c r="B106" s="1896">
        <f>B107*DataUK4!AW107/DataUK4!AW108</f>
        <v>10.898565840938719</v>
      </c>
      <c r="C106" s="1896">
        <f t="shared" si="4"/>
        <v>1.331657562558429</v>
      </c>
      <c r="D106" s="2242">
        <v>20.213799999999999</v>
      </c>
      <c r="E106" s="1870">
        <f t="shared" si="5"/>
        <v>1.0443864229764843E-2</v>
      </c>
      <c r="F106" s="1870">
        <f t="shared" si="6"/>
        <v>1.0443864229764843E-2</v>
      </c>
      <c r="G106" s="2243">
        <f t="shared" si="7"/>
        <v>-0.18563555590735037</v>
      </c>
    </row>
    <row r="107" spans="1:7" ht="12" customHeight="1">
      <c r="A107" s="703">
        <v>1797</v>
      </c>
      <c r="B107" s="1896">
        <f>B108*DataUK4!AW108/DataUK4!AW109</f>
        <v>9.9692307692307658</v>
      </c>
      <c r="C107" s="1896">
        <f t="shared" si="4"/>
        <v>1.2181053673015088</v>
      </c>
      <c r="D107" s="2242">
        <v>16.461400000000001</v>
      </c>
      <c r="E107" s="1870">
        <f t="shared" si="5"/>
        <v>-8.5271317829457405E-2</v>
      </c>
      <c r="F107" s="1870">
        <f t="shared" si="6"/>
        <v>-8.5271317829457294E-2</v>
      </c>
      <c r="G107" s="2243">
        <f t="shared" si="7"/>
        <v>-0.13707218098096163</v>
      </c>
    </row>
    <row r="108" spans="1:7" ht="12" customHeight="1">
      <c r="A108" s="703">
        <v>1798</v>
      </c>
      <c r="B108" s="1896">
        <f>B109*DataUK4!AW109/DataUK4!AW110</f>
        <v>10.128813559322031</v>
      </c>
      <c r="C108" s="1896">
        <f t="shared" si="4"/>
        <v>1.2376042291133034</v>
      </c>
      <c r="D108" s="2242">
        <v>14.205</v>
      </c>
      <c r="E108" s="1870">
        <f t="shared" si="5"/>
        <v>1.6007532956685555E-2</v>
      </c>
      <c r="F108" s="1870">
        <f t="shared" si="6"/>
        <v>1.6007532956685777E-2</v>
      </c>
      <c r="G108" s="2243">
        <f t="shared" si="7"/>
        <v>0.11755015839493144</v>
      </c>
    </row>
    <row r="109" spans="1:7" ht="12" customHeight="1">
      <c r="A109" s="1825">
        <v>1799</v>
      </c>
      <c r="B109" s="1900">
        <f>B110*DataUK4!AW110/DataUK4!AW111</f>
        <v>11.69647979139504</v>
      </c>
      <c r="C109" s="1900">
        <f t="shared" si="4"/>
        <v>1.429151871617401</v>
      </c>
      <c r="D109" s="1901">
        <v>15.8748</v>
      </c>
      <c r="E109" s="1876">
        <f t="shared" si="5"/>
        <v>0.15477293790546787</v>
      </c>
      <c r="F109" s="1876">
        <f t="shared" si="6"/>
        <v>0.15477293790546787</v>
      </c>
      <c r="G109" s="2244">
        <f t="shared" si="7"/>
        <v>0.15001763801748669</v>
      </c>
    </row>
    <row r="110" spans="1:7" ht="12" customHeight="1">
      <c r="A110" s="1869">
        <v>1800</v>
      </c>
      <c r="B110" s="1877">
        <f>B111*DataUK4!AW111/DataUK4!AW112</f>
        <v>14.174706649282914</v>
      </c>
      <c r="C110" s="1877">
        <f t="shared" ref="C110:C163" si="8">C111*B110/B111</f>
        <v>1.7319577256358551</v>
      </c>
      <c r="D110" s="2242">
        <v>18.2563</v>
      </c>
      <c r="E110" s="1870">
        <f t="shared" si="5"/>
        <v>0.2118780096308186</v>
      </c>
      <c r="F110" s="1870">
        <f t="shared" si="6"/>
        <v>0.2118780096308186</v>
      </c>
      <c r="G110" s="2245">
        <f t="shared" si="7"/>
        <v>3.4985183197033365E-2</v>
      </c>
    </row>
    <row r="111" spans="1:7" ht="12" customHeight="1">
      <c r="A111" s="1869">
        <f>A110+1</f>
        <v>1801</v>
      </c>
      <c r="B111" s="1877">
        <f>B112*DataUK4!AW112/DataUK4!AW113</f>
        <v>14.615906127770524</v>
      </c>
      <c r="C111" s="1868">
        <f t="shared" si="8"/>
        <v>1.7858663435861097</v>
      </c>
      <c r="D111" s="1868">
        <v>18.895</v>
      </c>
      <c r="E111" s="1870">
        <f t="shared" si="5"/>
        <v>3.1125827814569185E-2</v>
      </c>
      <c r="F111" s="1870">
        <f t="shared" si="6"/>
        <v>3.1125827814569185E-2</v>
      </c>
      <c r="G111" s="2246">
        <f t="shared" si="7"/>
        <v>0.11012437152685894</v>
      </c>
    </row>
    <row r="112" spans="1:7" ht="12" customHeight="1">
      <c r="A112" s="1869">
        <f t="shared" ref="A112:A175" si="9">A111+1</f>
        <v>1802</v>
      </c>
      <c r="B112" s="1877">
        <f>B113*DataUK4!AW113/DataUK4!AW114</f>
        <v>11.471186440677959</v>
      </c>
      <c r="C112" s="1868">
        <f t="shared" si="8"/>
        <v>1.4016240667066322</v>
      </c>
      <c r="D112" s="1868">
        <v>20.9758</v>
      </c>
      <c r="E112" s="1870">
        <f t="shared" si="5"/>
        <v>-0.21515735388567747</v>
      </c>
      <c r="F112" s="1870">
        <f t="shared" si="6"/>
        <v>-0.21515735388567747</v>
      </c>
      <c r="G112" s="2246">
        <f t="shared" si="7"/>
        <v>1.3601388266478498E-2</v>
      </c>
    </row>
    <row r="113" spans="1:7" ht="12" customHeight="1">
      <c r="A113" s="1869">
        <f t="shared" si="9"/>
        <v>1803</v>
      </c>
      <c r="B113" s="1877">
        <f>B114*DataUK4!AW114/DataUK4!AW115</f>
        <v>11.602607561929586</v>
      </c>
      <c r="C113" s="1868">
        <f t="shared" si="8"/>
        <v>1.4176819529045803</v>
      </c>
      <c r="D113" s="1868">
        <v>21.261099999999999</v>
      </c>
      <c r="E113" s="1870">
        <f t="shared" si="5"/>
        <v>1.145662847790474E-2</v>
      </c>
      <c r="F113" s="1870">
        <f t="shared" si="6"/>
        <v>1.1456628477904962E-2</v>
      </c>
      <c r="G113" s="2246">
        <f t="shared" si="7"/>
        <v>-0.21917492509794889</v>
      </c>
    </row>
    <row r="114" spans="1:7" ht="12" customHeight="1">
      <c r="A114" s="1869">
        <f t="shared" si="9"/>
        <v>1804</v>
      </c>
      <c r="B114" s="1877">
        <f>B115*DataUK4!AW115/DataUK4!AW116</f>
        <v>11.668318122555402</v>
      </c>
      <c r="C114" s="1868">
        <f t="shared" si="8"/>
        <v>1.4257108960035547</v>
      </c>
      <c r="D114" s="1868">
        <v>16.601199999999999</v>
      </c>
      <c r="E114" s="1870">
        <f t="shared" si="5"/>
        <v>5.6634304207119346E-3</v>
      </c>
      <c r="F114" s="1870">
        <f t="shared" si="6"/>
        <v>5.6634304207121566E-3</v>
      </c>
      <c r="G114" s="2246">
        <f t="shared" si="7"/>
        <v>0.10297448377225749</v>
      </c>
    </row>
    <row r="115" spans="1:7" ht="12" customHeight="1">
      <c r="A115" s="1869">
        <f t="shared" si="9"/>
        <v>1805</v>
      </c>
      <c r="B115" s="1877">
        <f>B116*DataUK4!AW116/DataUK4!AW117</f>
        <v>12.785397653194252</v>
      </c>
      <c r="C115" s="1868">
        <f t="shared" si="8"/>
        <v>1.5622029286861152</v>
      </c>
      <c r="D115" s="1868">
        <v>18.310700000000001</v>
      </c>
      <c r="E115" s="1870">
        <f t="shared" si="5"/>
        <v>9.5736122284794778E-2</v>
      </c>
      <c r="F115" s="1870">
        <f t="shared" si="6"/>
        <v>9.5736122284794778E-2</v>
      </c>
      <c r="G115" s="2246">
        <f t="shared" si="7"/>
        <v>8.4578962027666904E-2</v>
      </c>
    </row>
    <row r="116" spans="1:7" ht="12" customHeight="1">
      <c r="A116" s="1869">
        <f t="shared" si="9"/>
        <v>1806</v>
      </c>
      <c r="B116" s="1877">
        <f>B117*DataUK4!AW117/DataUK4!AW118</f>
        <v>12.625814863102988</v>
      </c>
      <c r="C116" s="1868">
        <f t="shared" si="8"/>
        <v>1.5427040668743208</v>
      </c>
      <c r="D116" s="1868">
        <v>19.859400000000001</v>
      </c>
      <c r="E116" s="1870">
        <f t="shared" si="5"/>
        <v>-1.2481644640234935E-2</v>
      </c>
      <c r="F116" s="1870">
        <f t="shared" si="6"/>
        <v>-1.2481644640234935E-2</v>
      </c>
      <c r="G116" s="2246">
        <f t="shared" si="7"/>
        <v>6.9941690081272156E-3</v>
      </c>
    </row>
    <row r="117" spans="1:7" ht="12" customHeight="1">
      <c r="A117" s="1869">
        <f t="shared" si="9"/>
        <v>1807</v>
      </c>
      <c r="B117" s="1877">
        <f>B118*DataUK4!AW118/DataUK4!AW119</f>
        <v>12.316036505867004</v>
      </c>
      <c r="C117" s="1868">
        <f t="shared" si="8"/>
        <v>1.5048533351220141</v>
      </c>
      <c r="D117" s="1868">
        <v>19.9983</v>
      </c>
      <c r="E117" s="1870">
        <f t="shared" si="5"/>
        <v>-2.4535315985130146E-2</v>
      </c>
      <c r="F117" s="1870">
        <f t="shared" si="6"/>
        <v>-2.4535315985130035E-2</v>
      </c>
      <c r="G117" s="2246">
        <f t="shared" si="7"/>
        <v>3.475295400109002E-2</v>
      </c>
    </row>
    <row r="118" spans="1:7" ht="12" customHeight="1">
      <c r="A118" s="1869">
        <f t="shared" si="9"/>
        <v>1808</v>
      </c>
      <c r="B118" s="1877">
        <f>B119*DataUK4!AW119/DataUK4!AW120</f>
        <v>13.564537157757485</v>
      </c>
      <c r="C118" s="1868">
        <f t="shared" si="8"/>
        <v>1.6574032540025232</v>
      </c>
      <c r="D118" s="1868">
        <v>20.693300000000001</v>
      </c>
      <c r="E118" s="1870">
        <f t="shared" si="5"/>
        <v>0.10137195121951215</v>
      </c>
      <c r="F118" s="1870">
        <f t="shared" si="6"/>
        <v>0.10137195121951215</v>
      </c>
      <c r="G118" s="2246">
        <f t="shared" si="7"/>
        <v>4.7020049967863908E-2</v>
      </c>
    </row>
    <row r="119" spans="1:7" ht="12" customHeight="1">
      <c r="A119" s="1869">
        <f t="shared" si="9"/>
        <v>1809</v>
      </c>
      <c r="B119" s="1877">
        <f>B120*DataUK4!AW120/DataUK4!AW121</f>
        <v>14.550195567144707</v>
      </c>
      <c r="C119" s="1868">
        <f t="shared" si="8"/>
        <v>1.7778374004871356</v>
      </c>
      <c r="D119" s="1868">
        <v>21.6663</v>
      </c>
      <c r="E119" s="1870">
        <f t="shared" si="5"/>
        <v>7.2664359861591699E-2</v>
      </c>
      <c r="F119" s="1870">
        <f t="shared" si="6"/>
        <v>7.2664359861591699E-2</v>
      </c>
      <c r="G119" s="2246">
        <f t="shared" si="7"/>
        <v>0.10368175461430895</v>
      </c>
    </row>
    <row r="120" spans="1:7" ht="12" customHeight="1">
      <c r="A120" s="1871">
        <f t="shared" si="9"/>
        <v>1810</v>
      </c>
      <c r="B120" s="1879">
        <f>B121*DataUK4!AW121/DataUK4!AW122</f>
        <v>14.399999999999986</v>
      </c>
      <c r="C120" s="1872">
        <f t="shared" si="8"/>
        <v>1.7594855305466233</v>
      </c>
      <c r="D120" s="1872">
        <v>23.912700000000001</v>
      </c>
      <c r="E120" s="1873">
        <f t="shared" si="5"/>
        <v>-1.0322580645161339E-2</v>
      </c>
      <c r="F120" s="1873">
        <f t="shared" si="6"/>
        <v>-1.0322580645161228E-2</v>
      </c>
      <c r="G120" s="2247">
        <f t="shared" si="7"/>
        <v>-9.2101686551497752E-2</v>
      </c>
    </row>
    <row r="121" spans="1:7" ht="12" customHeight="1">
      <c r="A121" s="1869">
        <f t="shared" si="9"/>
        <v>1811</v>
      </c>
      <c r="B121" s="1877">
        <f>B122*DataUK4!AW122/DataUK4!AW123</f>
        <v>13.999999999999988</v>
      </c>
      <c r="C121" s="1868">
        <f t="shared" si="8"/>
        <v>1.7106109324758838</v>
      </c>
      <c r="D121" s="1868">
        <v>21.7103</v>
      </c>
      <c r="E121" s="1870">
        <f t="shared" si="5"/>
        <v>-2.7777777777777679E-2</v>
      </c>
      <c r="F121" s="1870">
        <f t="shared" si="6"/>
        <v>-2.777777777777779E-2</v>
      </c>
      <c r="G121" s="2246">
        <f t="shared" si="7"/>
        <v>-0.14617025098685876</v>
      </c>
    </row>
    <row r="122" spans="1:7" ht="12" customHeight="1">
      <c r="A122" s="1869">
        <f t="shared" si="9"/>
        <v>1812</v>
      </c>
      <c r="B122" s="1877">
        <f>B123*DataUK4!AW123/DataUK4!AW124</f>
        <v>15.899999999999986</v>
      </c>
      <c r="C122" s="1868">
        <f t="shared" si="8"/>
        <v>1.9427652733118965</v>
      </c>
      <c r="D122" s="1868">
        <v>18.536899999999999</v>
      </c>
      <c r="E122" s="1870">
        <f t="shared" si="5"/>
        <v>0.13571428571428568</v>
      </c>
      <c r="F122" s="1870">
        <f t="shared" si="6"/>
        <v>0.13571428571428568</v>
      </c>
      <c r="G122" s="2246">
        <f t="shared" si="7"/>
        <v>-7.461333879990717E-2</v>
      </c>
    </row>
    <row r="123" spans="1:7" ht="12" customHeight="1">
      <c r="A123" s="1869">
        <f t="shared" si="9"/>
        <v>1813</v>
      </c>
      <c r="B123" s="1877">
        <f>B124*DataUK4!AW124/DataUK4!AW125</f>
        <v>16.299999999999986</v>
      </c>
      <c r="C123" s="1868">
        <f t="shared" si="8"/>
        <v>1.9916398713826362</v>
      </c>
      <c r="D123" s="1868">
        <v>17.1538</v>
      </c>
      <c r="E123" s="1870">
        <f t="shared" si="5"/>
        <v>2.515723270440251E-2</v>
      </c>
      <c r="F123" s="1870">
        <f t="shared" si="6"/>
        <v>2.515723270440251E-2</v>
      </c>
      <c r="G123" s="2246">
        <f t="shared" si="7"/>
        <v>-2.2385710454826402E-3</v>
      </c>
    </row>
    <row r="124" spans="1:7" ht="12" customHeight="1">
      <c r="A124" s="1869">
        <f t="shared" si="9"/>
        <v>1814</v>
      </c>
      <c r="B124" s="1877">
        <f>B125*DataUK4!AW125/DataUK4!AW126</f>
        <v>14.199999999999987</v>
      </c>
      <c r="C124" s="1868">
        <f t="shared" si="8"/>
        <v>1.7350482315112534</v>
      </c>
      <c r="D124" s="1868">
        <v>17.115400000000001</v>
      </c>
      <c r="E124" s="1870">
        <f t="shared" si="5"/>
        <v>-0.12883435582822089</v>
      </c>
      <c r="F124" s="1870">
        <f t="shared" si="6"/>
        <v>-0.128834355828221</v>
      </c>
      <c r="G124" s="2246">
        <f t="shared" si="7"/>
        <v>2.3569417016254146E-2</v>
      </c>
    </row>
    <row r="125" spans="1:7" ht="12" customHeight="1">
      <c r="A125" s="1869">
        <f t="shared" si="9"/>
        <v>1815</v>
      </c>
      <c r="B125" s="1877">
        <f>B126*DataUK4!AW126/DataUK4!AW127</f>
        <v>12.699999999999989</v>
      </c>
      <c r="C125" s="1868">
        <f t="shared" si="8"/>
        <v>1.5517684887459802</v>
      </c>
      <c r="D125" s="1868">
        <v>17.518799999999999</v>
      </c>
      <c r="E125" s="1870">
        <f t="shared" si="5"/>
        <v>-0.10563380281690138</v>
      </c>
      <c r="F125" s="1870">
        <f t="shared" si="6"/>
        <v>-0.10563380281690138</v>
      </c>
      <c r="G125" s="2246">
        <f t="shared" si="7"/>
        <v>-6.2498572961618315E-2</v>
      </c>
    </row>
    <row r="126" spans="1:7" ht="12" customHeight="1">
      <c r="A126" s="1869">
        <f t="shared" si="9"/>
        <v>1816</v>
      </c>
      <c r="B126" s="1877">
        <f>B127*DataUK4!AW127/DataUK4!AW128</f>
        <v>11.599999999999989</v>
      </c>
      <c r="C126" s="1868">
        <f t="shared" si="8"/>
        <v>1.4173633440514464</v>
      </c>
      <c r="D126" s="1868">
        <v>16.4239</v>
      </c>
      <c r="E126" s="1870">
        <f t="shared" si="5"/>
        <v>-8.6614173228346525E-2</v>
      </c>
      <c r="F126" s="1870">
        <f t="shared" si="6"/>
        <v>-8.6614173228346525E-2</v>
      </c>
      <c r="G126" s="2246">
        <f t="shared" si="7"/>
        <v>-0.12163980540553709</v>
      </c>
    </row>
    <row r="127" spans="1:7" ht="12" customHeight="1">
      <c r="A127" s="1869">
        <f t="shared" si="9"/>
        <v>1817</v>
      </c>
      <c r="B127" s="1877">
        <f>B128*DataUK4!AW128/DataUK4!AW129</f>
        <v>13.199999999999985</v>
      </c>
      <c r="C127" s="1868">
        <f t="shared" si="8"/>
        <v>1.6128617363344042</v>
      </c>
      <c r="D127" s="1868">
        <v>14.4261</v>
      </c>
      <c r="E127" s="1870">
        <f t="shared" si="5"/>
        <v>0.13793103448275845</v>
      </c>
      <c r="F127" s="1870">
        <f t="shared" si="6"/>
        <v>0.13793103448275845</v>
      </c>
      <c r="G127" s="2246">
        <f t="shared" si="7"/>
        <v>0.32622815591185428</v>
      </c>
    </row>
    <row r="128" spans="1:7" ht="12" customHeight="1">
      <c r="A128" s="1869">
        <f t="shared" si="9"/>
        <v>1818</v>
      </c>
      <c r="B128" s="1877">
        <f>B129*DataUK4!AW129/DataUK4!AW130</f>
        <v>13.199999999999985</v>
      </c>
      <c r="C128" s="1868">
        <f t="shared" si="8"/>
        <v>1.6128617363344042</v>
      </c>
      <c r="D128" s="1868">
        <v>19.132300000000001</v>
      </c>
      <c r="E128" s="1870">
        <f t="shared" si="5"/>
        <v>0</v>
      </c>
      <c r="F128" s="1870">
        <f t="shared" si="6"/>
        <v>0</v>
      </c>
      <c r="G128" s="2246">
        <f t="shared" si="7"/>
        <v>5.5225979103401102E-2</v>
      </c>
    </row>
    <row r="129" spans="1:7" ht="12" customHeight="1">
      <c r="A129" s="1874">
        <f t="shared" si="9"/>
        <v>1819</v>
      </c>
      <c r="B129" s="1878">
        <f>B130*DataUK4!AW130/DataUK4!AW131</f>
        <v>12.899999999999986</v>
      </c>
      <c r="C129" s="1875">
        <f t="shared" si="8"/>
        <v>1.5762057877813496</v>
      </c>
      <c r="D129" s="1875">
        <v>20.1889</v>
      </c>
      <c r="E129" s="1876">
        <f t="shared" si="5"/>
        <v>-2.2727272727272707E-2</v>
      </c>
      <c r="F129" s="1876">
        <f t="shared" si="6"/>
        <v>-2.2727272727272707E-2</v>
      </c>
      <c r="G129" s="2248">
        <f t="shared" si="7"/>
        <v>-8.2778160276191337E-2</v>
      </c>
    </row>
    <row r="130" spans="1:7" ht="12" customHeight="1">
      <c r="A130" s="1869">
        <f t="shared" si="9"/>
        <v>1820</v>
      </c>
      <c r="B130" s="1877">
        <f>B131*DataUK4!AW131/DataUK4!AW132</f>
        <v>11.699999999999985</v>
      </c>
      <c r="C130" s="1868">
        <f t="shared" si="8"/>
        <v>1.4295819935691307</v>
      </c>
      <c r="D130" s="1868">
        <v>18.517700000000001</v>
      </c>
      <c r="E130" s="1870">
        <f t="shared" si="5"/>
        <v>-9.3023255813953654E-2</v>
      </c>
      <c r="F130" s="1870">
        <f t="shared" si="6"/>
        <v>-9.3023255813953654E-2</v>
      </c>
      <c r="G130" s="2246">
        <f t="shared" si="7"/>
        <v>3.2153021163535245E-2</v>
      </c>
    </row>
    <row r="131" spans="1:7" ht="12" customHeight="1">
      <c r="A131" s="1869">
        <f t="shared" si="9"/>
        <v>1821</v>
      </c>
      <c r="B131" s="1877">
        <f>B132*DataUK4!AW132/DataUK4!AW133</f>
        <v>10.29999999999999</v>
      </c>
      <c r="C131" s="1868">
        <f t="shared" si="8"/>
        <v>1.258520900321543</v>
      </c>
      <c r="D131" s="1868">
        <v>19.113099999999999</v>
      </c>
      <c r="E131" s="1870">
        <f t="shared" si="5"/>
        <v>-0.11965811965811934</v>
      </c>
      <c r="F131" s="1870">
        <f t="shared" si="6"/>
        <v>-0.11965811965811934</v>
      </c>
      <c r="G131" s="2246">
        <f t="shared" si="7"/>
        <v>4.5230757961816748E-2</v>
      </c>
    </row>
    <row r="132" spans="1:7" ht="12" customHeight="1">
      <c r="A132" s="1869">
        <f t="shared" si="9"/>
        <v>1822</v>
      </c>
      <c r="B132" s="1877">
        <f>B133*DataUK4!AW133/DataUK4!AW134</f>
        <v>8.8999999999999915</v>
      </c>
      <c r="C132" s="1868">
        <f t="shared" si="8"/>
        <v>1.0874598070739545</v>
      </c>
      <c r="D132" s="1868">
        <v>19.977599999999999</v>
      </c>
      <c r="E132" s="1870">
        <f t="shared" si="5"/>
        <v>-0.13592233009708732</v>
      </c>
      <c r="F132" s="1870">
        <f t="shared" si="6"/>
        <v>-0.13592233009708743</v>
      </c>
      <c r="G132" s="2246">
        <f t="shared" si="7"/>
        <v>9.423053820278704E-2</v>
      </c>
    </row>
    <row r="133" spans="1:7" ht="12" customHeight="1">
      <c r="A133" s="1869">
        <f t="shared" si="9"/>
        <v>1823</v>
      </c>
      <c r="B133" s="1877">
        <f>B134*DataUK4!AW134/DataUK4!AW135</f>
        <v>9.4999999999999911</v>
      </c>
      <c r="C133" s="1868">
        <f t="shared" si="8"/>
        <v>1.1607717041800638</v>
      </c>
      <c r="D133" s="1868">
        <v>21.860099999999999</v>
      </c>
      <c r="E133" s="1870">
        <f t="shared" si="5"/>
        <v>6.7415730337078594E-2</v>
      </c>
      <c r="F133" s="1870">
        <f t="shared" si="6"/>
        <v>6.7415730337078594E-2</v>
      </c>
      <c r="G133" s="2246">
        <f t="shared" si="7"/>
        <v>9.2263987813413495E-2</v>
      </c>
    </row>
    <row r="134" spans="1:7" ht="12" customHeight="1">
      <c r="A134" s="1869">
        <f t="shared" si="9"/>
        <v>1824</v>
      </c>
      <c r="B134" s="1877">
        <f>B135*DataUK4!AW135/DataUK4!AW136</f>
        <v>10.299999999999992</v>
      </c>
      <c r="C134" s="1868">
        <f t="shared" si="8"/>
        <v>1.2585209003215432</v>
      </c>
      <c r="D134" s="1868">
        <v>23.876999999999999</v>
      </c>
      <c r="E134" s="1870">
        <f t="shared" si="5"/>
        <v>8.4210526315789735E-2</v>
      </c>
      <c r="F134" s="1870">
        <f t="shared" si="6"/>
        <v>8.4210526315789735E-2</v>
      </c>
      <c r="G134" s="2246">
        <f t="shared" si="7"/>
        <v>0.90668006868534579</v>
      </c>
    </row>
    <row r="135" spans="1:7" ht="12" customHeight="1">
      <c r="A135" s="1869">
        <f t="shared" si="9"/>
        <v>1825</v>
      </c>
      <c r="B135" s="1877">
        <f>B136*DataUK4!AW136/DataUK4!AW137</f>
        <v>12.099999999999989</v>
      </c>
      <c r="C135" s="1868">
        <f t="shared" si="8"/>
        <v>1.4784565916398709</v>
      </c>
      <c r="D135" s="1868">
        <v>45.525799999999997</v>
      </c>
      <c r="E135" s="1870">
        <f t="shared" si="5"/>
        <v>0.17475728155339798</v>
      </c>
      <c r="F135" s="1870">
        <f t="shared" si="6"/>
        <v>0.17475728155339776</v>
      </c>
      <c r="G135" s="2246">
        <f t="shared" si="7"/>
        <v>-0.22742708530108202</v>
      </c>
    </row>
    <row r="136" spans="1:7" ht="12" customHeight="1">
      <c r="A136" s="1869">
        <f t="shared" si="9"/>
        <v>1826</v>
      </c>
      <c r="B136" s="1877">
        <f>B137*DataUK4!AW137/DataUK4!AW138</f>
        <v>11.399999999999991</v>
      </c>
      <c r="C136" s="1868">
        <f t="shared" si="8"/>
        <v>1.3929260450160768</v>
      </c>
      <c r="D136" s="1868">
        <v>35.171999999999997</v>
      </c>
      <c r="E136" s="1870">
        <f t="shared" si="5"/>
        <v>-5.7851239669421295E-2</v>
      </c>
      <c r="F136" s="1870">
        <f t="shared" si="6"/>
        <v>-5.7851239669421406E-2</v>
      </c>
      <c r="G136" s="2246">
        <f t="shared" si="7"/>
        <v>-0.2009837370635732</v>
      </c>
    </row>
    <row r="137" spans="1:7" ht="12" customHeight="1">
      <c r="A137" s="1869">
        <f t="shared" si="9"/>
        <v>1827</v>
      </c>
      <c r="B137" s="1877">
        <f>B138*DataUK4!AW138/DataUK4!AW139</f>
        <v>10.69999999999999</v>
      </c>
      <c r="C137" s="1868">
        <f t="shared" si="8"/>
        <v>1.3073954983922824</v>
      </c>
      <c r="D137" s="1868">
        <v>28.103000000000002</v>
      </c>
      <c r="E137" s="1870">
        <f t="shared" si="5"/>
        <v>-6.1403508771930015E-2</v>
      </c>
      <c r="F137" s="1870">
        <f t="shared" si="6"/>
        <v>-6.1403508771929904E-2</v>
      </c>
      <c r="G137" s="2246">
        <f t="shared" si="7"/>
        <v>4.6482581930754829E-2</v>
      </c>
    </row>
    <row r="138" spans="1:7" ht="12" customHeight="1">
      <c r="A138" s="1869">
        <f t="shared" si="9"/>
        <v>1828</v>
      </c>
      <c r="B138" s="1877">
        <f>B139*DataUK4!AW139/DataUK4!AW140</f>
        <v>10.399999999999993</v>
      </c>
      <c r="C138" s="1868">
        <f t="shared" si="8"/>
        <v>1.270739549839228</v>
      </c>
      <c r="D138" s="1868">
        <v>29.409300000000002</v>
      </c>
      <c r="E138" s="1870">
        <f t="shared" si="5"/>
        <v>-2.8037383177569875E-2</v>
      </c>
      <c r="F138" s="1870">
        <f t="shared" si="6"/>
        <v>-2.8037383177569875E-2</v>
      </c>
      <c r="G138" s="2246">
        <f t="shared" si="7"/>
        <v>-0.14500515143169002</v>
      </c>
    </row>
    <row r="139" spans="1:7" ht="12" customHeight="1">
      <c r="A139" s="1869">
        <f t="shared" si="9"/>
        <v>1829</v>
      </c>
      <c r="B139" s="1877">
        <f>B140*DataUK4!AW140/DataUK4!AW141</f>
        <v>10.299999999999992</v>
      </c>
      <c r="C139" s="1868">
        <f t="shared" si="8"/>
        <v>1.2585209003215427</v>
      </c>
      <c r="D139" s="1868">
        <v>25.1448</v>
      </c>
      <c r="E139" s="1870">
        <f t="shared" ref="E139:E202" si="10">B139/B138-1</f>
        <v>-9.6153846153848033E-3</v>
      </c>
      <c r="F139" s="1870">
        <f t="shared" ref="F139:F202" si="11">C139/C138-1</f>
        <v>-9.6153846153849143E-3</v>
      </c>
      <c r="G139" s="2246">
        <f t="shared" ref="G139:G202" si="12">D140/D139-1</f>
        <v>3.284973433871019E-2</v>
      </c>
    </row>
    <row r="140" spans="1:7" ht="12" customHeight="1">
      <c r="A140" s="1871">
        <f t="shared" si="9"/>
        <v>1830</v>
      </c>
      <c r="B140" s="1879">
        <f>B141*DataUK4!AW141/DataUK4!AW142</f>
        <v>9.8999999999999915</v>
      </c>
      <c r="C140" s="1872">
        <f t="shared" si="8"/>
        <v>1.2096463022508031</v>
      </c>
      <c r="D140" s="1872">
        <v>25.970800000000001</v>
      </c>
      <c r="E140" s="1873">
        <f t="shared" si="10"/>
        <v>-3.8834951456310773E-2</v>
      </c>
      <c r="F140" s="1873">
        <f t="shared" si="11"/>
        <v>-3.8834951456310773E-2</v>
      </c>
      <c r="G140" s="2247">
        <f t="shared" si="12"/>
        <v>-0.14792767261693895</v>
      </c>
    </row>
    <row r="141" spans="1:7" ht="12" customHeight="1">
      <c r="A141" s="1869">
        <f t="shared" si="9"/>
        <v>1831</v>
      </c>
      <c r="B141" s="1877">
        <f>B142*DataUK4!AW142/DataUK4!AW143</f>
        <v>10.899999999999991</v>
      </c>
      <c r="C141" s="1868">
        <f t="shared" si="8"/>
        <v>1.3318327974276518</v>
      </c>
      <c r="D141" s="1868">
        <v>22.129000000000001</v>
      </c>
      <c r="E141" s="1870">
        <f t="shared" si="10"/>
        <v>0.10101010101010099</v>
      </c>
      <c r="F141" s="1870">
        <f t="shared" si="11"/>
        <v>0.10101010101010099</v>
      </c>
      <c r="G141" s="2246">
        <f t="shared" si="12"/>
        <v>-0.15711961679244435</v>
      </c>
    </row>
    <row r="142" spans="1:7" ht="12" customHeight="1">
      <c r="A142" s="1869">
        <f t="shared" si="9"/>
        <v>1832</v>
      </c>
      <c r="B142" s="1877">
        <f>B143*DataUK4!AW143/DataUK4!AW144</f>
        <v>10.099999999999991</v>
      </c>
      <c r="C142" s="1868">
        <f t="shared" si="8"/>
        <v>1.2340836012861727</v>
      </c>
      <c r="D142" s="1868">
        <v>18.652100000000001</v>
      </c>
      <c r="E142" s="1870">
        <f t="shared" si="10"/>
        <v>-7.3394495412844152E-2</v>
      </c>
      <c r="F142" s="1870">
        <f t="shared" si="11"/>
        <v>-7.3394495412844152E-2</v>
      </c>
      <c r="G142" s="2246">
        <f t="shared" si="12"/>
        <v>2.1627591531248269E-2</v>
      </c>
    </row>
    <row r="143" spans="1:7" ht="12" customHeight="1">
      <c r="A143" s="1869">
        <f t="shared" si="9"/>
        <v>1833</v>
      </c>
      <c r="B143" s="1877">
        <f>B144*DataUK4!AW144/DataUK4!AW145</f>
        <v>9.4999999999999911</v>
      </c>
      <c r="C143" s="1868">
        <f t="shared" si="8"/>
        <v>1.1607717041800634</v>
      </c>
      <c r="D143" s="1868">
        <v>19.055499999999999</v>
      </c>
      <c r="E143" s="1870">
        <f t="shared" si="10"/>
        <v>-5.9405940594059459E-2</v>
      </c>
      <c r="F143" s="1870">
        <f t="shared" si="11"/>
        <v>-5.9405940594059459E-2</v>
      </c>
      <c r="G143" s="2246">
        <f t="shared" si="12"/>
        <v>0.16532234787856526</v>
      </c>
    </row>
    <row r="144" spans="1:7" ht="12" customHeight="1">
      <c r="A144" s="1869">
        <f t="shared" si="9"/>
        <v>1834</v>
      </c>
      <c r="B144" s="1877">
        <f>B145*DataUK4!AW145/DataUK4!AW146</f>
        <v>8.6999999999999922</v>
      </c>
      <c r="C144" s="1868">
        <f t="shared" si="8"/>
        <v>1.0630225080385842</v>
      </c>
      <c r="D144" s="1868">
        <v>22.2058</v>
      </c>
      <c r="E144" s="1870">
        <f t="shared" si="10"/>
        <v>-8.4210526315789402E-2</v>
      </c>
      <c r="F144" s="1870">
        <f t="shared" si="11"/>
        <v>-8.4210526315789624E-2</v>
      </c>
      <c r="G144" s="2246">
        <f t="shared" si="12"/>
        <v>-9.3426041844923424E-2</v>
      </c>
    </row>
    <row r="145" spans="1:7" ht="12" customHeight="1">
      <c r="A145" s="1869">
        <f t="shared" si="9"/>
        <v>1835</v>
      </c>
      <c r="B145" s="1877">
        <f>B146*DataUK4!AW146/DataUK4!AW147</f>
        <v>8.899999999999995</v>
      </c>
      <c r="C145" s="1868">
        <f t="shared" si="8"/>
        <v>1.0874598070739543</v>
      </c>
      <c r="D145" s="1868">
        <v>20.1312</v>
      </c>
      <c r="E145" s="1870">
        <f t="shared" si="10"/>
        <v>2.2988505747126853E-2</v>
      </c>
      <c r="F145" s="1870">
        <f t="shared" si="11"/>
        <v>2.2988505747126631E-2</v>
      </c>
      <c r="G145" s="2246">
        <f t="shared" si="12"/>
        <v>4.9619496105547611E-2</v>
      </c>
    </row>
    <row r="146" spans="1:7" ht="12" customHeight="1">
      <c r="A146" s="1869">
        <f t="shared" si="9"/>
        <v>1836</v>
      </c>
      <c r="B146" s="1877">
        <f>B147*DataUK4!AW147/DataUK4!AW148</f>
        <v>9.899999999999995</v>
      </c>
      <c r="C146" s="1868">
        <f t="shared" si="8"/>
        <v>1.2096463022508033</v>
      </c>
      <c r="D146" s="1868">
        <v>21.130099999999999</v>
      </c>
      <c r="E146" s="1870">
        <f t="shared" si="10"/>
        <v>0.11235955056179781</v>
      </c>
      <c r="F146" s="1870">
        <f t="shared" si="11"/>
        <v>0.11235955056179803</v>
      </c>
      <c r="G146" s="2246">
        <f t="shared" si="12"/>
        <v>5.181707611416897E-2</v>
      </c>
    </row>
    <row r="147" spans="1:7" ht="12" customHeight="1">
      <c r="A147" s="1869">
        <f t="shared" si="9"/>
        <v>1837</v>
      </c>
      <c r="B147" s="1877">
        <f>B148*DataUK4!AW148/DataUK4!AW149</f>
        <v>10.099999999999994</v>
      </c>
      <c r="C147" s="1868">
        <f t="shared" si="8"/>
        <v>1.2340836012861729</v>
      </c>
      <c r="D147" s="1868">
        <v>22.225000000000001</v>
      </c>
      <c r="E147" s="1870">
        <f t="shared" si="10"/>
        <v>2.020202020202011E-2</v>
      </c>
      <c r="F147" s="1870">
        <f t="shared" si="11"/>
        <v>2.020202020202011E-2</v>
      </c>
      <c r="G147" s="2246">
        <f t="shared" si="12"/>
        <v>-8.4701912260967349E-2</v>
      </c>
    </row>
    <row r="148" spans="1:7" ht="12" customHeight="1">
      <c r="A148" s="1869">
        <f t="shared" si="9"/>
        <v>1838</v>
      </c>
      <c r="B148" s="1877">
        <f>B149*DataUK4!AW149/DataUK4!AW150</f>
        <v>10.199999999999994</v>
      </c>
      <c r="C148" s="1868">
        <f t="shared" si="8"/>
        <v>1.2463022508038577</v>
      </c>
      <c r="D148" s="1868">
        <v>20.342500000000001</v>
      </c>
      <c r="E148" s="1870">
        <f t="shared" si="10"/>
        <v>9.9009900990099098E-3</v>
      </c>
      <c r="F148" s="1870">
        <f t="shared" si="11"/>
        <v>9.9009900990099098E-3</v>
      </c>
      <c r="G148" s="2246">
        <f t="shared" si="12"/>
        <v>-3.5880545655647023E-2</v>
      </c>
    </row>
    <row r="149" spans="1:7" ht="12" customHeight="1">
      <c r="A149" s="1874">
        <f t="shared" si="9"/>
        <v>1839</v>
      </c>
      <c r="B149" s="1878">
        <f>B150*DataUK4!AW150/DataUK4!AW151</f>
        <v>10.899999999999997</v>
      </c>
      <c r="C149" s="1875">
        <f t="shared" si="8"/>
        <v>1.3318327974276523</v>
      </c>
      <c r="D149" s="1875">
        <v>19.6126</v>
      </c>
      <c r="E149" s="1876">
        <f t="shared" si="10"/>
        <v>6.8627450980392579E-2</v>
      </c>
      <c r="F149" s="1876">
        <f t="shared" si="11"/>
        <v>6.8627450980392579E-2</v>
      </c>
      <c r="G149" s="2248">
        <f t="shared" si="12"/>
        <v>-0.12732631063703947</v>
      </c>
    </row>
    <row r="150" spans="1:7" ht="12" customHeight="1">
      <c r="A150" s="1869">
        <f t="shared" si="9"/>
        <v>1840</v>
      </c>
      <c r="B150" s="1877">
        <f>B151*DataUK4!AW151/DataUK4!AW152</f>
        <v>11.099999999999994</v>
      </c>
      <c r="C150" s="1868">
        <f t="shared" si="8"/>
        <v>1.3562700964630217</v>
      </c>
      <c r="D150" s="1868">
        <v>17.115400000000001</v>
      </c>
      <c r="E150" s="1870">
        <f t="shared" si="10"/>
        <v>1.8348623853210677E-2</v>
      </c>
      <c r="F150" s="1870">
        <f t="shared" si="11"/>
        <v>1.8348623853210677E-2</v>
      </c>
      <c r="G150" s="2246">
        <f t="shared" si="12"/>
        <v>3.1421994227420758E-2</v>
      </c>
    </row>
    <row r="151" spans="1:7" ht="12" customHeight="1">
      <c r="A151" s="1869">
        <f t="shared" si="9"/>
        <v>1841</v>
      </c>
      <c r="B151" s="1877">
        <f>B152*DataUK4!AW152/DataUK4!AW153</f>
        <v>10.899999999999993</v>
      </c>
      <c r="C151" s="1868">
        <f t="shared" si="8"/>
        <v>1.3318327974276518</v>
      </c>
      <c r="D151" s="1868">
        <v>17.653199999999998</v>
      </c>
      <c r="E151" s="1870">
        <f t="shared" si="10"/>
        <v>-1.8018018018018167E-2</v>
      </c>
      <c r="F151" s="1870">
        <f t="shared" si="11"/>
        <v>-1.8018018018018056E-2</v>
      </c>
      <c r="G151" s="2246">
        <f t="shared" si="12"/>
        <v>-9.6843631749484405E-2</v>
      </c>
    </row>
    <row r="152" spans="1:7" ht="12" customHeight="1">
      <c r="A152" s="1869">
        <f t="shared" si="9"/>
        <v>1842</v>
      </c>
      <c r="B152" s="1877">
        <f>B153*DataUK4!AW153/DataUK4!AW154</f>
        <v>9.9999999999999947</v>
      </c>
      <c r="C152" s="1868">
        <f t="shared" si="8"/>
        <v>1.2218649517684881</v>
      </c>
      <c r="D152" s="1868">
        <v>15.9436</v>
      </c>
      <c r="E152" s="1870">
        <f t="shared" si="10"/>
        <v>-8.256880733944949E-2</v>
      </c>
      <c r="F152" s="1870">
        <f t="shared" si="11"/>
        <v>-8.2568807339449379E-2</v>
      </c>
      <c r="G152" s="2246">
        <f t="shared" si="12"/>
        <v>7.1088085501392451E-2</v>
      </c>
    </row>
    <row r="153" spans="1:7" ht="12" customHeight="1">
      <c r="A153" s="1869">
        <f t="shared" si="9"/>
        <v>1843</v>
      </c>
      <c r="B153" s="1877">
        <f>B154*DataUK4!AW154/DataUK4!AW155</f>
        <v>8.8999999999999968</v>
      </c>
      <c r="C153" s="1868">
        <f t="shared" si="8"/>
        <v>1.0874598070739545</v>
      </c>
      <c r="D153" s="1868">
        <v>17.077000000000002</v>
      </c>
      <c r="E153" s="1870">
        <f t="shared" si="10"/>
        <v>-0.10999999999999988</v>
      </c>
      <c r="F153" s="1870">
        <f t="shared" si="11"/>
        <v>-0.10999999999999988</v>
      </c>
      <c r="G153" s="2246">
        <f t="shared" si="12"/>
        <v>0.12260935761550606</v>
      </c>
    </row>
    <row r="154" spans="1:7" ht="12" customHeight="1">
      <c r="A154" s="1869">
        <f t="shared" si="9"/>
        <v>1844</v>
      </c>
      <c r="B154" s="1877">
        <f>B155*DataUK4!AW155/DataUK4!AW156</f>
        <v>8.8999999999999968</v>
      </c>
      <c r="C154" s="1868">
        <f t="shared" si="8"/>
        <v>1.0874598070739545</v>
      </c>
      <c r="D154" s="1868">
        <v>19.1708</v>
      </c>
      <c r="E154" s="1870">
        <f t="shared" si="10"/>
        <v>0</v>
      </c>
      <c r="F154" s="1870">
        <f t="shared" si="11"/>
        <v>0</v>
      </c>
      <c r="G154" s="2246">
        <f t="shared" si="12"/>
        <v>0.16532956371147778</v>
      </c>
    </row>
    <row r="155" spans="1:7" ht="12" customHeight="1">
      <c r="A155" s="1869">
        <f t="shared" si="9"/>
        <v>1845</v>
      </c>
      <c r="B155" s="1877">
        <f>B156*DataUK4!AW156/DataUK4!AW157</f>
        <v>9.2999999999999972</v>
      </c>
      <c r="C155" s="1868">
        <f t="shared" si="8"/>
        <v>1.136334405144694</v>
      </c>
      <c r="D155" s="1868">
        <v>22.340299999999999</v>
      </c>
      <c r="E155" s="1870">
        <f t="shared" si="10"/>
        <v>4.4943820224719211E-2</v>
      </c>
      <c r="F155" s="1870">
        <f t="shared" si="11"/>
        <v>4.4943820224718989E-2</v>
      </c>
      <c r="G155" s="2246">
        <f t="shared" si="12"/>
        <v>-2.0635354046275034E-2</v>
      </c>
    </row>
    <row r="156" spans="1:7" ht="12" customHeight="1">
      <c r="A156" s="1869">
        <f t="shared" si="9"/>
        <v>1846</v>
      </c>
      <c r="B156" s="1877">
        <f>B157*DataUK4!AW157/DataUK4!AW158</f>
        <v>9.6999999999999957</v>
      </c>
      <c r="C156" s="1868">
        <f t="shared" si="8"/>
        <v>1.1852090032154334</v>
      </c>
      <c r="D156" s="1868">
        <v>21.879300000000001</v>
      </c>
      <c r="E156" s="1870">
        <f t="shared" si="10"/>
        <v>4.3010752688172005E-2</v>
      </c>
      <c r="F156" s="1870">
        <f t="shared" si="11"/>
        <v>4.3010752688172005E-2</v>
      </c>
      <c r="G156" s="2246">
        <f t="shared" si="12"/>
        <v>-1.7559976781706954E-2</v>
      </c>
    </row>
    <row r="157" spans="1:7" ht="12" customHeight="1">
      <c r="A157" s="1869">
        <f t="shared" si="9"/>
        <v>1847</v>
      </c>
      <c r="B157" s="1877">
        <f>B158*DataUK4!AW158/DataUK4!AW159</f>
        <v>10.899999999999995</v>
      </c>
      <c r="C157" s="1868">
        <f t="shared" si="8"/>
        <v>1.3318327974276518</v>
      </c>
      <c r="D157" s="1868">
        <v>21.495100000000001</v>
      </c>
      <c r="E157" s="1870">
        <f t="shared" si="10"/>
        <v>0.12371134020618557</v>
      </c>
      <c r="F157" s="1870">
        <f t="shared" si="11"/>
        <v>0.12371134020618535</v>
      </c>
      <c r="G157" s="2246">
        <f t="shared" si="12"/>
        <v>-0.13851528953110237</v>
      </c>
    </row>
    <row r="158" spans="1:7" ht="12" customHeight="1">
      <c r="A158" s="1869">
        <f t="shared" si="9"/>
        <v>1848</v>
      </c>
      <c r="B158" s="1877">
        <f>B159*DataUK4!AW159/DataUK4!AW160</f>
        <v>9.4999999999999964</v>
      </c>
      <c r="C158" s="1868">
        <f t="shared" si="8"/>
        <v>1.1607717041800636</v>
      </c>
      <c r="D158" s="1868">
        <v>18.517700000000001</v>
      </c>
      <c r="E158" s="1870">
        <f t="shared" si="10"/>
        <v>-0.12844036697247696</v>
      </c>
      <c r="F158" s="1870">
        <f t="shared" si="11"/>
        <v>-0.12844036697247696</v>
      </c>
      <c r="G158" s="2246">
        <f t="shared" si="12"/>
        <v>-0.13485476058041779</v>
      </c>
    </row>
    <row r="159" spans="1:7" ht="12" customHeight="1">
      <c r="A159" s="1869">
        <f t="shared" si="9"/>
        <v>1849</v>
      </c>
      <c r="B159" s="1877">
        <f>B160*DataUK4!AW160/DataUK4!AW161</f>
        <v>8.8999999999999968</v>
      </c>
      <c r="C159" s="1868">
        <f t="shared" si="8"/>
        <v>1.0874598070739543</v>
      </c>
      <c r="D159" s="1868">
        <v>16.020499999999998</v>
      </c>
      <c r="E159" s="1870">
        <f t="shared" si="10"/>
        <v>-6.315789473684208E-2</v>
      </c>
      <c r="F159" s="1870">
        <f t="shared" si="11"/>
        <v>-6.315789473684208E-2</v>
      </c>
      <c r="G159" s="2246">
        <f t="shared" si="12"/>
        <v>-7.314378452607595E-2</v>
      </c>
    </row>
    <row r="160" spans="1:7" ht="12" customHeight="1">
      <c r="A160" s="1871">
        <f t="shared" si="9"/>
        <v>1850</v>
      </c>
      <c r="B160" s="1879">
        <f>B161*DataUK4!AW161/DataUK4!AW162</f>
        <v>8.3999999999999968</v>
      </c>
      <c r="C160" s="1872">
        <f t="shared" si="8"/>
        <v>1.02636655948553</v>
      </c>
      <c r="D160" s="1872">
        <v>14.848699999999999</v>
      </c>
      <c r="E160" s="1873">
        <f t="shared" si="10"/>
        <v>-5.6179775280898903E-2</v>
      </c>
      <c r="F160" s="1873">
        <f t="shared" si="11"/>
        <v>-5.6179775280898792E-2</v>
      </c>
      <c r="G160" s="2247">
        <f t="shared" si="12"/>
        <v>0.14359506219399676</v>
      </c>
    </row>
    <row r="161" spans="1:7" ht="12" customHeight="1">
      <c r="A161" s="1869">
        <f t="shared" si="9"/>
        <v>1851</v>
      </c>
      <c r="B161" s="1877">
        <f>B162*DataUK4!AW162/DataUK4!AW163</f>
        <v>8.0999999999999979</v>
      </c>
      <c r="C161" s="1868">
        <f t="shared" si="8"/>
        <v>0.98971061093247548</v>
      </c>
      <c r="D161" s="1868">
        <v>16.980899999999998</v>
      </c>
      <c r="E161" s="1870">
        <f t="shared" si="10"/>
        <v>-3.5714285714285587E-2</v>
      </c>
      <c r="F161" s="1870">
        <f t="shared" si="11"/>
        <v>-3.5714285714285587E-2</v>
      </c>
      <c r="G161" s="2246">
        <f t="shared" si="12"/>
        <v>-1.7431349339551705E-3</v>
      </c>
    </row>
    <row r="162" spans="1:7" ht="12" customHeight="1">
      <c r="A162" s="1869">
        <f t="shared" si="9"/>
        <v>1852</v>
      </c>
      <c r="B162" s="1877">
        <f>B163*DataUK4!AW163/DataUK4!AW164</f>
        <v>8.0999999999999979</v>
      </c>
      <c r="C162" s="1868">
        <f t="shared" si="8"/>
        <v>0.98971061093247559</v>
      </c>
      <c r="D162" s="1868">
        <v>16.9513</v>
      </c>
      <c r="E162" s="1870">
        <f t="shared" si="10"/>
        <v>0</v>
      </c>
      <c r="F162" s="1870">
        <f t="shared" si="11"/>
        <v>0</v>
      </c>
      <c r="G162" s="2246">
        <f t="shared" si="12"/>
        <v>9.5986738480234424E-2</v>
      </c>
    </row>
    <row r="163" spans="1:7" ht="12" customHeight="1">
      <c r="A163" s="1869">
        <f t="shared" si="9"/>
        <v>1853</v>
      </c>
      <c r="B163" s="1877">
        <f>B164*DataUK4!AW164/DataUK4!AW165</f>
        <v>8.8999999999999986</v>
      </c>
      <c r="C163" s="1868">
        <f t="shared" si="8"/>
        <v>1.0874598070739547</v>
      </c>
      <c r="D163" s="1868">
        <v>18.578399999999998</v>
      </c>
      <c r="E163" s="1870">
        <f t="shared" si="10"/>
        <v>9.8765432098765649E-2</v>
      </c>
      <c r="F163" s="1870">
        <f t="shared" si="11"/>
        <v>9.8765432098765427E-2</v>
      </c>
      <c r="G163" s="2246">
        <f t="shared" si="12"/>
        <v>-6.84666063816044E-2</v>
      </c>
    </row>
    <row r="164" spans="1:7" ht="12" customHeight="1">
      <c r="A164" s="1869">
        <f t="shared" si="9"/>
        <v>1854</v>
      </c>
      <c r="B164" s="1877">
        <f>B165*DataUK4!AW165/DataUK4!AW166</f>
        <v>10.199999999999998</v>
      </c>
      <c r="C164" s="1868">
        <f>C165*B164/B165</f>
        <v>1.2463022508038581</v>
      </c>
      <c r="D164" s="1868">
        <v>17.3064</v>
      </c>
      <c r="E164" s="1870">
        <f t="shared" si="10"/>
        <v>0.14606741573033699</v>
      </c>
      <c r="F164" s="1870">
        <f t="shared" si="11"/>
        <v>0.14606741573033699</v>
      </c>
      <c r="G164" s="2246">
        <f t="shared" si="12"/>
        <v>-3.2479314011001792E-2</v>
      </c>
    </row>
    <row r="165" spans="1:7" ht="12" customHeight="1">
      <c r="A165" s="1869">
        <f t="shared" si="9"/>
        <v>1855</v>
      </c>
      <c r="B165" s="1877">
        <f>DataUK1!HT13</f>
        <v>10.5</v>
      </c>
      <c r="C165" s="1868">
        <f>DataUK1!HU13</f>
        <v>1.282958199356913</v>
      </c>
      <c r="D165" s="1868">
        <v>16.744299999999999</v>
      </c>
      <c r="E165" s="1870">
        <f t="shared" si="10"/>
        <v>2.9411764705882693E-2</v>
      </c>
      <c r="F165" s="1870">
        <f t="shared" si="11"/>
        <v>2.941176470588247E-2</v>
      </c>
      <c r="G165" s="2246">
        <f t="shared" si="12"/>
        <v>-3.3569632651111014E-2</v>
      </c>
    </row>
    <row r="166" spans="1:7" ht="12" customHeight="1">
      <c r="A166" s="1869">
        <f t="shared" si="9"/>
        <v>1856</v>
      </c>
      <c r="B166" s="1877">
        <f>DataUK1!HT14</f>
        <v>10.5</v>
      </c>
      <c r="C166" s="1868">
        <f>DataUK1!HU14</f>
        <v>1.282958199356913</v>
      </c>
      <c r="D166" s="1868">
        <v>16.182200000000002</v>
      </c>
      <c r="E166" s="1870">
        <f t="shared" si="10"/>
        <v>0</v>
      </c>
      <c r="F166" s="1870">
        <f t="shared" si="11"/>
        <v>0</v>
      </c>
      <c r="G166" s="2246">
        <f t="shared" si="12"/>
        <v>5.392962637960208E-2</v>
      </c>
    </row>
    <row r="167" spans="1:7" ht="12" customHeight="1">
      <c r="A167" s="1869">
        <f t="shared" si="9"/>
        <v>1857</v>
      </c>
      <c r="B167" s="1877">
        <f>DataUK1!HT15</f>
        <v>10</v>
      </c>
      <c r="C167" s="1868">
        <f>DataUK1!HU15</f>
        <v>1.2218649517684887</v>
      </c>
      <c r="D167" s="1868">
        <v>17.0549</v>
      </c>
      <c r="E167" s="1870">
        <f t="shared" si="10"/>
        <v>-4.7619047619047672E-2</v>
      </c>
      <c r="F167" s="1870">
        <f t="shared" si="11"/>
        <v>-4.761904761904745E-2</v>
      </c>
      <c r="G167" s="2246">
        <f t="shared" si="12"/>
        <v>-5.8974253733531157E-2</v>
      </c>
    </row>
    <row r="168" spans="1:7" ht="12" customHeight="1">
      <c r="A168" s="1869">
        <f t="shared" si="9"/>
        <v>1858</v>
      </c>
      <c r="B168" s="1877">
        <f>DataUK1!HT16</f>
        <v>9.1</v>
      </c>
      <c r="C168" s="1868">
        <f>DataUK1!HU16</f>
        <v>1.1118971061093246</v>
      </c>
      <c r="D168" s="1868">
        <v>16.049099999999999</v>
      </c>
      <c r="E168" s="1870">
        <f t="shared" si="10"/>
        <v>-9.000000000000008E-2</v>
      </c>
      <c r="F168" s="1870">
        <f t="shared" si="11"/>
        <v>-9.0000000000000191E-2</v>
      </c>
      <c r="G168" s="2246">
        <f t="shared" si="12"/>
        <v>6.5436691154021176E-2</v>
      </c>
    </row>
    <row r="169" spans="1:7" ht="12" customHeight="1">
      <c r="A169" s="1874">
        <f t="shared" si="9"/>
        <v>1859</v>
      </c>
      <c r="B169" s="1878">
        <f>DataUK1!HT17</f>
        <v>9</v>
      </c>
      <c r="C169" s="1875">
        <f>DataUK1!HU17</f>
        <v>1.0996784565916398</v>
      </c>
      <c r="D169" s="1875">
        <v>17.099299999999999</v>
      </c>
      <c r="E169" s="1876">
        <f t="shared" si="10"/>
        <v>-1.098901098901095E-2</v>
      </c>
      <c r="F169" s="1876">
        <f t="shared" si="11"/>
        <v>-1.098901098901095E-2</v>
      </c>
      <c r="G169" s="2248">
        <f t="shared" si="12"/>
        <v>-1.9895551279876966E-2</v>
      </c>
    </row>
    <row r="170" spans="1:7" ht="12" customHeight="1">
      <c r="A170" s="1869">
        <f t="shared" si="9"/>
        <v>1860</v>
      </c>
      <c r="B170" s="1877">
        <f>DataUK1!HT18</f>
        <v>9.3000000000000007</v>
      </c>
      <c r="C170" s="1868">
        <f>DataUK1!HU18</f>
        <v>1.1363344051446946</v>
      </c>
      <c r="D170" s="1868">
        <v>16.7591</v>
      </c>
      <c r="E170" s="1870">
        <f t="shared" si="10"/>
        <v>3.3333333333333437E-2</v>
      </c>
      <c r="F170" s="1870">
        <f t="shared" si="11"/>
        <v>3.3333333333333437E-2</v>
      </c>
      <c r="G170" s="2246">
        <f t="shared" si="12"/>
        <v>0.11120525565215322</v>
      </c>
    </row>
    <row r="171" spans="1:7" ht="12" customHeight="1">
      <c r="A171" s="1869">
        <f t="shared" si="9"/>
        <v>1861</v>
      </c>
      <c r="B171" s="1877">
        <f>DataUK1!HT19</f>
        <v>9.5</v>
      </c>
      <c r="C171" s="1868">
        <f>DataUK1!HU19</f>
        <v>1.1607717041800643</v>
      </c>
      <c r="D171" s="1868">
        <v>18.622800000000002</v>
      </c>
      <c r="E171" s="1870">
        <f t="shared" si="10"/>
        <v>2.1505376344086002E-2</v>
      </c>
      <c r="F171" s="1870">
        <f t="shared" si="11"/>
        <v>2.150537634408578E-2</v>
      </c>
      <c r="G171" s="2246">
        <f t="shared" si="12"/>
        <v>3.0978155809008312E-2</v>
      </c>
    </row>
    <row r="172" spans="1:7" ht="12" customHeight="1">
      <c r="A172" s="1869">
        <f t="shared" si="9"/>
        <v>1862</v>
      </c>
      <c r="B172" s="1877">
        <f>DataUK1!HT20</f>
        <v>9.3000000000000007</v>
      </c>
      <c r="C172" s="1868">
        <f>DataUK1!HU20</f>
        <v>1.1363344051446946</v>
      </c>
      <c r="D172" s="1868">
        <v>19.1997</v>
      </c>
      <c r="E172" s="1870">
        <f t="shared" si="10"/>
        <v>-2.1052631578947323E-2</v>
      </c>
      <c r="F172" s="1870">
        <f t="shared" si="11"/>
        <v>-2.1052631578947212E-2</v>
      </c>
      <c r="G172" s="2246">
        <f t="shared" si="12"/>
        <v>0.16640885013828344</v>
      </c>
    </row>
    <row r="173" spans="1:7" ht="12" customHeight="1">
      <c r="A173" s="1869">
        <f t="shared" si="9"/>
        <v>1863</v>
      </c>
      <c r="B173" s="1877">
        <f>DataUK1!HT21</f>
        <v>9</v>
      </c>
      <c r="C173" s="1868">
        <f>DataUK1!HU21</f>
        <v>1.0996784565916398</v>
      </c>
      <c r="D173" s="1868">
        <v>22.3947</v>
      </c>
      <c r="E173" s="1870">
        <f t="shared" si="10"/>
        <v>-3.2258064516129115E-2</v>
      </c>
      <c r="F173" s="1870">
        <f t="shared" si="11"/>
        <v>-3.2258064516129226E-2</v>
      </c>
      <c r="G173" s="2246">
        <f t="shared" si="12"/>
        <v>0.12813746109570556</v>
      </c>
    </row>
    <row r="174" spans="1:7" ht="12" customHeight="1">
      <c r="A174" s="1869">
        <f t="shared" si="9"/>
        <v>1864</v>
      </c>
      <c r="B174" s="1877">
        <f>DataUK1!HT22</f>
        <v>8.9</v>
      </c>
      <c r="C174" s="1868">
        <f>DataUK1!HU22</f>
        <v>1.087459807073955</v>
      </c>
      <c r="D174" s="1868">
        <v>25.264299999999999</v>
      </c>
      <c r="E174" s="1870">
        <f t="shared" si="10"/>
        <v>-1.1111111111111072E-2</v>
      </c>
      <c r="F174" s="1870">
        <f t="shared" si="11"/>
        <v>-1.1111111111111072E-2</v>
      </c>
      <c r="G174" s="2246">
        <f t="shared" si="12"/>
        <v>5.0351682017708788E-2</v>
      </c>
    </row>
    <row r="175" spans="1:7" ht="12" customHeight="1">
      <c r="A175" s="1869">
        <f t="shared" si="9"/>
        <v>1865</v>
      </c>
      <c r="B175" s="1877">
        <f>DataUK1!HT23</f>
        <v>9</v>
      </c>
      <c r="C175" s="1868">
        <f>DataUK1!HU23</f>
        <v>1.0996784565916398</v>
      </c>
      <c r="D175" s="1868">
        <v>26.5364</v>
      </c>
      <c r="E175" s="1870">
        <f t="shared" si="10"/>
        <v>1.1235955056179803E-2</v>
      </c>
      <c r="F175" s="1870">
        <f t="shared" si="11"/>
        <v>1.1235955056179803E-2</v>
      </c>
      <c r="G175" s="2246">
        <f t="shared" si="12"/>
        <v>1.4493299769373413E-2</v>
      </c>
    </row>
    <row r="176" spans="1:7" ht="12" customHeight="1">
      <c r="A176" s="1869">
        <f t="shared" ref="A176:A239" si="13">A175+1</f>
        <v>1866</v>
      </c>
      <c r="B176" s="1877">
        <f>DataUK1!HT24</f>
        <v>9.5</v>
      </c>
      <c r="C176" s="1868">
        <f>DataUK1!HU24</f>
        <v>1.1607717041800643</v>
      </c>
      <c r="D176" s="1868">
        <v>26.920999999999999</v>
      </c>
      <c r="E176" s="1870">
        <f t="shared" si="10"/>
        <v>5.555555555555558E-2</v>
      </c>
      <c r="F176" s="1870">
        <f t="shared" si="11"/>
        <v>5.555555555555558E-2</v>
      </c>
      <c r="G176" s="2246">
        <f t="shared" si="12"/>
        <v>-0.22417443631365852</v>
      </c>
    </row>
    <row r="177" spans="1:7" ht="12" customHeight="1">
      <c r="A177" s="1869">
        <f t="shared" si="13"/>
        <v>1867</v>
      </c>
      <c r="B177" s="1877">
        <f>DataUK1!HT25</f>
        <v>10.1</v>
      </c>
      <c r="C177" s="1868">
        <f>DataUK1!HU25</f>
        <v>1.2340836012861733</v>
      </c>
      <c r="D177" s="1868">
        <v>20.885999999999999</v>
      </c>
      <c r="E177" s="1870">
        <f t="shared" si="10"/>
        <v>6.315789473684208E-2</v>
      </c>
      <c r="F177" s="1870">
        <f t="shared" si="11"/>
        <v>6.3157894736841858E-2</v>
      </c>
      <c r="G177" s="2246">
        <f t="shared" si="12"/>
        <v>-2.1818442976156316E-2</v>
      </c>
    </row>
    <row r="178" spans="1:7" ht="12" customHeight="1">
      <c r="A178" s="1869">
        <f t="shared" si="13"/>
        <v>1868</v>
      </c>
      <c r="B178" s="1877">
        <f>DataUK1!HT26</f>
        <v>10</v>
      </c>
      <c r="C178" s="1868">
        <f>DataUK1!HU26</f>
        <v>1.2218649517684887</v>
      </c>
      <c r="D178" s="1868">
        <v>20.430299999999999</v>
      </c>
      <c r="E178" s="1870">
        <f t="shared" si="10"/>
        <v>-9.9009900990099098E-3</v>
      </c>
      <c r="F178" s="1870">
        <f t="shared" si="11"/>
        <v>-9.9009900990096877E-3</v>
      </c>
      <c r="G178" s="2246">
        <f t="shared" si="12"/>
        <v>6.7923623245865317E-2</v>
      </c>
    </row>
    <row r="179" spans="1:7" ht="12" customHeight="1">
      <c r="A179" s="1869">
        <f t="shared" si="13"/>
        <v>1869</v>
      </c>
      <c r="B179" s="1877">
        <f>DataUK1!HT27</f>
        <v>9.5</v>
      </c>
      <c r="C179" s="1868">
        <f>DataUK1!HU27</f>
        <v>1.1607717041800643</v>
      </c>
      <c r="D179" s="1868">
        <v>21.818000000000001</v>
      </c>
      <c r="E179" s="1870">
        <f t="shared" si="10"/>
        <v>-5.0000000000000044E-2</v>
      </c>
      <c r="F179" s="1870">
        <f t="shared" si="11"/>
        <v>-5.0000000000000044E-2</v>
      </c>
      <c r="G179" s="2246">
        <f t="shared" si="12"/>
        <v>7.4204785039875265E-2</v>
      </c>
    </row>
    <row r="180" spans="1:7" ht="12" customHeight="1">
      <c r="A180" s="1871">
        <f t="shared" si="13"/>
        <v>1870</v>
      </c>
      <c r="B180" s="1879">
        <f>DataUK1!HT28</f>
        <v>9.5</v>
      </c>
      <c r="C180" s="1872">
        <f>DataUK1!HU28</f>
        <v>1.1607717041800643</v>
      </c>
      <c r="D180" s="1872">
        <v>23.437000000000001</v>
      </c>
      <c r="E180" s="1873">
        <f t="shared" si="10"/>
        <v>0</v>
      </c>
      <c r="F180" s="1873">
        <f t="shared" si="11"/>
        <v>0</v>
      </c>
      <c r="G180" s="2247">
        <f t="shared" si="12"/>
        <v>8.5527157912702156E-2</v>
      </c>
    </row>
    <row r="181" spans="1:7" ht="12" customHeight="1">
      <c r="A181" s="1869">
        <f t="shared" si="13"/>
        <v>1871</v>
      </c>
      <c r="B181" s="1877">
        <f>DataUK1!HT29</f>
        <v>9.6</v>
      </c>
      <c r="C181" s="1868">
        <f>DataUK1!HU29</f>
        <v>1.1729903536977491</v>
      </c>
      <c r="D181" s="1868">
        <v>25.441500000000001</v>
      </c>
      <c r="E181" s="1870">
        <f t="shared" si="10"/>
        <v>1.0526315789473717E-2</v>
      </c>
      <c r="F181" s="1870">
        <f t="shared" si="11"/>
        <v>1.0526315789473717E-2</v>
      </c>
      <c r="G181" s="2246">
        <f t="shared" si="12"/>
        <v>0.18888823379124653</v>
      </c>
    </row>
    <row r="182" spans="1:7" ht="12" customHeight="1">
      <c r="A182" s="1869">
        <f t="shared" si="13"/>
        <v>1872</v>
      </c>
      <c r="B182" s="1877">
        <f>DataUK1!HT30</f>
        <v>10</v>
      </c>
      <c r="C182" s="1868">
        <f>DataUK1!HU30</f>
        <v>1.2218649517684887</v>
      </c>
      <c r="D182" s="1868">
        <v>30.2471</v>
      </c>
      <c r="E182" s="1870">
        <f t="shared" si="10"/>
        <v>4.1666666666666741E-2</v>
      </c>
      <c r="F182" s="1870">
        <f t="shared" si="11"/>
        <v>4.1666666666666741E-2</v>
      </c>
      <c r="G182" s="2246">
        <f t="shared" si="12"/>
        <v>3.9931100832807154E-2</v>
      </c>
    </row>
    <row r="183" spans="1:7" ht="12" customHeight="1">
      <c r="A183" s="1869">
        <f t="shared" si="13"/>
        <v>1873</v>
      </c>
      <c r="B183" s="1877">
        <f>DataUK1!HT31</f>
        <v>10.4</v>
      </c>
      <c r="C183" s="1868">
        <f>DataUK1!HU31</f>
        <v>1.2707395498392282</v>
      </c>
      <c r="D183" s="1868">
        <v>31.454899999999999</v>
      </c>
      <c r="E183" s="1870">
        <f t="shared" si="10"/>
        <v>4.0000000000000036E-2</v>
      </c>
      <c r="F183" s="1870">
        <f t="shared" si="11"/>
        <v>4.0000000000000036E-2</v>
      </c>
      <c r="G183" s="2246">
        <f t="shared" si="12"/>
        <v>3.5946704646970806E-2</v>
      </c>
    </row>
    <row r="184" spans="1:7" ht="12" customHeight="1">
      <c r="A184" s="1869">
        <f t="shared" si="13"/>
        <v>1874</v>
      </c>
      <c r="B184" s="1877">
        <f>DataUK1!HT32</f>
        <v>10</v>
      </c>
      <c r="C184" s="1868">
        <f>DataUK1!HU32</f>
        <v>1.2218649517684887</v>
      </c>
      <c r="D184" s="1868">
        <v>32.585599999999999</v>
      </c>
      <c r="E184" s="1870">
        <f t="shared" si="10"/>
        <v>-3.8461538461538547E-2</v>
      </c>
      <c r="F184" s="1870">
        <f t="shared" si="11"/>
        <v>-3.8461538461538436E-2</v>
      </c>
      <c r="G184" s="2246">
        <f t="shared" si="12"/>
        <v>-5.2050599037611667E-2</v>
      </c>
    </row>
    <row r="185" spans="1:7" ht="12" customHeight="1">
      <c r="A185" s="1869">
        <f t="shared" si="13"/>
        <v>1875</v>
      </c>
      <c r="B185" s="1877">
        <f>DataUK1!HT33</f>
        <v>9.8000000000000007</v>
      </c>
      <c r="C185" s="1868">
        <f>DataUK1!HU33</f>
        <v>1.1974276527331189</v>
      </c>
      <c r="D185" s="1868">
        <v>30.889500000000002</v>
      </c>
      <c r="E185" s="1870">
        <f t="shared" si="10"/>
        <v>-1.9999999999999907E-2</v>
      </c>
      <c r="F185" s="1870">
        <f t="shared" si="11"/>
        <v>-2.0000000000000018E-2</v>
      </c>
      <c r="G185" s="2246">
        <f t="shared" si="12"/>
        <v>-7.9033328477314368E-2</v>
      </c>
    </row>
    <row r="186" spans="1:7" ht="12" customHeight="1">
      <c r="A186" s="1869">
        <f t="shared" si="13"/>
        <v>1876</v>
      </c>
      <c r="B186" s="1877">
        <f>DataUK1!HT34</f>
        <v>9.8000000000000007</v>
      </c>
      <c r="C186" s="1868">
        <f>DataUK1!HU34</f>
        <v>1.1974276527331189</v>
      </c>
      <c r="D186" s="1868">
        <v>28.4482</v>
      </c>
      <c r="E186" s="1870">
        <f t="shared" si="10"/>
        <v>0</v>
      </c>
      <c r="F186" s="1870">
        <f t="shared" si="11"/>
        <v>0</v>
      </c>
      <c r="G186" s="2246">
        <f t="shared" si="12"/>
        <v>-2.4391701408173483E-2</v>
      </c>
    </row>
    <row r="187" spans="1:7" ht="12" customHeight="1">
      <c r="A187" s="1869">
        <f t="shared" si="13"/>
        <v>1877</v>
      </c>
      <c r="B187" s="1877">
        <f>DataUK1!HT35</f>
        <v>9.6999999999999993</v>
      </c>
      <c r="C187" s="1868">
        <f>DataUK1!HU35</f>
        <v>1.1852090032154339</v>
      </c>
      <c r="D187" s="1868">
        <v>27.754300000000001</v>
      </c>
      <c r="E187" s="1870">
        <f t="shared" si="10"/>
        <v>-1.0204081632653184E-2</v>
      </c>
      <c r="F187" s="1870">
        <f t="shared" si="11"/>
        <v>-1.0204081632653184E-2</v>
      </c>
      <c r="G187" s="2246">
        <f t="shared" si="12"/>
        <v>-9.629498852430074E-2</v>
      </c>
    </row>
    <row r="188" spans="1:7" ht="12" customHeight="1">
      <c r="A188" s="1869">
        <f t="shared" si="13"/>
        <v>1878</v>
      </c>
      <c r="B188" s="1877">
        <f>DataUK1!HT36</f>
        <v>9.5</v>
      </c>
      <c r="C188" s="1868">
        <f>DataUK1!HU36</f>
        <v>1.1607717041800643</v>
      </c>
      <c r="D188" s="1868">
        <v>25.081700000000001</v>
      </c>
      <c r="E188" s="1870">
        <f t="shared" si="10"/>
        <v>-2.0618556701030855E-2</v>
      </c>
      <c r="F188" s="1870">
        <f t="shared" si="11"/>
        <v>-2.0618556701030855E-2</v>
      </c>
      <c r="G188" s="2246">
        <f t="shared" si="12"/>
        <v>-0.10963371701280222</v>
      </c>
    </row>
    <row r="189" spans="1:7" ht="12" customHeight="1">
      <c r="A189" s="1874">
        <f t="shared" si="13"/>
        <v>1879</v>
      </c>
      <c r="B189" s="1878">
        <f>DataUK1!HT37</f>
        <v>9.1</v>
      </c>
      <c r="C189" s="1875">
        <f>DataUK1!HU37</f>
        <v>1.1118971061093246</v>
      </c>
      <c r="D189" s="1875">
        <v>22.331900000000001</v>
      </c>
      <c r="E189" s="1876">
        <f t="shared" si="10"/>
        <v>-4.2105263157894757E-2</v>
      </c>
      <c r="F189" s="1876">
        <f t="shared" si="11"/>
        <v>-4.2105263157894868E-2</v>
      </c>
      <c r="G189" s="2248">
        <f t="shared" si="12"/>
        <v>0.12083163546317155</v>
      </c>
    </row>
    <row r="190" spans="1:7" ht="12" customHeight="1">
      <c r="A190" s="1869">
        <f t="shared" si="13"/>
        <v>1880</v>
      </c>
      <c r="B190" s="1877">
        <f>DataUK1!HT38</f>
        <v>9.4</v>
      </c>
      <c r="C190" s="1868">
        <f>DataUK1!HU38</f>
        <v>1.1485530546623792</v>
      </c>
      <c r="D190" s="1868">
        <v>25.0303</v>
      </c>
      <c r="E190" s="1870">
        <f t="shared" si="10"/>
        <v>3.2967032967033072E-2</v>
      </c>
      <c r="F190" s="1870">
        <f t="shared" si="11"/>
        <v>3.2967032967033072E-2</v>
      </c>
      <c r="G190" s="2246">
        <f t="shared" si="12"/>
        <v>4.9280272309960349E-2</v>
      </c>
    </row>
    <row r="191" spans="1:7" ht="12" customHeight="1">
      <c r="A191" s="1869">
        <f t="shared" si="13"/>
        <v>1881</v>
      </c>
      <c r="B191" s="1877">
        <f>DataUK1!HT39</f>
        <v>9.3000000000000007</v>
      </c>
      <c r="C191" s="1868">
        <f>DataUK1!HU39</f>
        <v>1.1363344051446946</v>
      </c>
      <c r="D191" s="1868">
        <v>26.2638</v>
      </c>
      <c r="E191" s="1870">
        <f t="shared" si="10"/>
        <v>-1.0638297872340385E-2</v>
      </c>
      <c r="F191" s="1870">
        <f t="shared" si="11"/>
        <v>-1.0638297872340163E-2</v>
      </c>
      <c r="G191" s="2246">
        <f t="shared" si="12"/>
        <v>-5.8711991410229647E-3</v>
      </c>
    </row>
    <row r="192" spans="1:7" ht="12" customHeight="1">
      <c r="A192" s="1869">
        <f t="shared" si="13"/>
        <v>1882</v>
      </c>
      <c r="B192" s="1877">
        <f>DataUK1!HT40</f>
        <v>9.4</v>
      </c>
      <c r="C192" s="1868">
        <f>DataUK1!HU40</f>
        <v>1.1485530546623792</v>
      </c>
      <c r="D192" s="1868">
        <v>26.1096</v>
      </c>
      <c r="E192" s="1870">
        <f t="shared" si="10"/>
        <v>1.0752688172043001E-2</v>
      </c>
      <c r="F192" s="1870">
        <f t="shared" si="11"/>
        <v>1.0752688172042779E-2</v>
      </c>
      <c r="G192" s="2246">
        <f t="shared" si="12"/>
        <v>-6.2992156141802313E-2</v>
      </c>
    </row>
    <row r="193" spans="1:7" ht="12" customHeight="1">
      <c r="A193" s="1869">
        <f t="shared" si="13"/>
        <v>1883</v>
      </c>
      <c r="B193" s="1877">
        <f>DataUK1!HT41</f>
        <v>9.3000000000000007</v>
      </c>
      <c r="C193" s="1868">
        <f>DataUK1!HU41</f>
        <v>1.1363344051446946</v>
      </c>
      <c r="D193" s="1868">
        <v>24.4649</v>
      </c>
      <c r="E193" s="1870">
        <f t="shared" si="10"/>
        <v>-1.0638297872340385E-2</v>
      </c>
      <c r="F193" s="1870">
        <f t="shared" si="11"/>
        <v>-1.0638297872340163E-2</v>
      </c>
      <c r="G193" s="2246">
        <f t="shared" si="12"/>
        <v>-5.0419171956558095E-2</v>
      </c>
    </row>
    <row r="194" spans="1:7" ht="12" customHeight="1">
      <c r="A194" s="1869">
        <f t="shared" si="13"/>
        <v>1884</v>
      </c>
      <c r="B194" s="1877">
        <f>DataUK1!HT42</f>
        <v>9.1</v>
      </c>
      <c r="C194" s="1868">
        <f>DataUK1!HU42</f>
        <v>1.1118971061093246</v>
      </c>
      <c r="D194" s="1868">
        <v>23.231400000000001</v>
      </c>
      <c r="E194" s="1870">
        <f t="shared" si="10"/>
        <v>-2.1505376344086113E-2</v>
      </c>
      <c r="F194" s="1870">
        <f t="shared" si="11"/>
        <v>-2.1505376344086224E-2</v>
      </c>
      <c r="G194" s="2246">
        <f t="shared" si="12"/>
        <v>-2.1018965710202675E-2</v>
      </c>
    </row>
    <row r="195" spans="1:7" ht="12" customHeight="1">
      <c r="A195" s="1869">
        <f t="shared" si="13"/>
        <v>1885</v>
      </c>
      <c r="B195" s="1877">
        <f>DataUK1!HT43</f>
        <v>8.8000000000000007</v>
      </c>
      <c r="C195" s="1868">
        <f>DataUK1!HU43</f>
        <v>1.0752411575562699</v>
      </c>
      <c r="D195" s="1868">
        <v>22.743099999999998</v>
      </c>
      <c r="E195" s="1870">
        <f t="shared" si="10"/>
        <v>-3.296703296703285E-2</v>
      </c>
      <c r="F195" s="1870">
        <f t="shared" si="11"/>
        <v>-3.2967032967032961E-2</v>
      </c>
      <c r="G195" s="2246">
        <f t="shared" si="12"/>
        <v>2.2600261178116199E-3</v>
      </c>
    </row>
    <row r="196" spans="1:7" ht="12" customHeight="1">
      <c r="A196" s="1869">
        <f t="shared" si="13"/>
        <v>1886</v>
      </c>
      <c r="B196" s="1877">
        <f>DataUK1!HT44</f>
        <v>8.6999999999999993</v>
      </c>
      <c r="C196" s="1868">
        <f>DataUK1!HU44</f>
        <v>1.0630225080385851</v>
      </c>
      <c r="D196" s="1868">
        <v>22.794499999999999</v>
      </c>
      <c r="E196" s="1870">
        <f t="shared" si="10"/>
        <v>-1.1363636363636576E-2</v>
      </c>
      <c r="F196" s="1870">
        <f t="shared" si="11"/>
        <v>-1.1363636363636243E-2</v>
      </c>
      <c r="G196" s="2246">
        <f t="shared" si="12"/>
        <v>5.6373247932615111E-3</v>
      </c>
    </row>
    <row r="197" spans="1:7" ht="12" customHeight="1">
      <c r="A197" s="1869">
        <f t="shared" si="13"/>
        <v>1887</v>
      </c>
      <c r="B197" s="1877">
        <f>DataUK1!HT45</f>
        <v>8.6</v>
      </c>
      <c r="C197" s="1868">
        <f>DataUK1!HU45</f>
        <v>1.0508038585209003</v>
      </c>
      <c r="D197" s="1868">
        <v>22.922999999999998</v>
      </c>
      <c r="E197" s="1870">
        <f t="shared" si="10"/>
        <v>-1.1494252873563204E-2</v>
      </c>
      <c r="F197" s="1870">
        <f t="shared" si="11"/>
        <v>-1.1494252873563093E-2</v>
      </c>
      <c r="G197" s="2246">
        <f t="shared" si="12"/>
        <v>-3.5872268027745013E-2</v>
      </c>
    </row>
    <row r="198" spans="1:7" ht="12" customHeight="1">
      <c r="A198" s="1869">
        <f t="shared" si="13"/>
        <v>1888</v>
      </c>
      <c r="B198" s="1877">
        <f>DataUK1!HT46</f>
        <v>8.6999999999999993</v>
      </c>
      <c r="C198" s="1868">
        <f>DataUK1!HU46</f>
        <v>1.0630225080385851</v>
      </c>
      <c r="D198" s="1868">
        <v>22.1007</v>
      </c>
      <c r="E198" s="1870">
        <f t="shared" si="10"/>
        <v>1.1627906976744207E-2</v>
      </c>
      <c r="F198" s="1870">
        <f t="shared" si="11"/>
        <v>1.1627906976744207E-2</v>
      </c>
      <c r="G198" s="2246">
        <f t="shared" si="12"/>
        <v>5.8138430004479602E-2</v>
      </c>
    </row>
    <row r="199" spans="1:7" ht="12" customHeight="1">
      <c r="A199" s="1869">
        <f t="shared" si="13"/>
        <v>1889</v>
      </c>
      <c r="B199" s="1877">
        <f>DataUK1!HT47</f>
        <v>8.8000000000000007</v>
      </c>
      <c r="C199" s="1868">
        <f>DataUK1!HU47</f>
        <v>1.0752411575562699</v>
      </c>
      <c r="D199" s="1868">
        <v>23.3856</v>
      </c>
      <c r="E199" s="1870">
        <f t="shared" si="10"/>
        <v>1.1494252873563315E-2</v>
      </c>
      <c r="F199" s="1870">
        <f t="shared" si="11"/>
        <v>1.1494252873563093E-2</v>
      </c>
      <c r="G199" s="2246">
        <f t="shared" si="12"/>
        <v>0.13076850711548982</v>
      </c>
    </row>
    <row r="200" spans="1:7" ht="12" customHeight="1">
      <c r="A200" s="1871">
        <f t="shared" si="13"/>
        <v>1890</v>
      </c>
      <c r="B200" s="1879">
        <f>DataUK1!HT48</f>
        <v>8.8000000000000007</v>
      </c>
      <c r="C200" s="1872">
        <f>DataUK1!HU48</f>
        <v>1.0752411575562699</v>
      </c>
      <c r="D200" s="1872">
        <v>26.4437</v>
      </c>
      <c r="E200" s="1873">
        <f t="shared" si="10"/>
        <v>0</v>
      </c>
      <c r="F200" s="1873">
        <f t="shared" si="11"/>
        <v>0</v>
      </c>
      <c r="G200" s="2247">
        <f t="shared" si="12"/>
        <v>-6.219628871905214E-2</v>
      </c>
    </row>
    <row r="201" spans="1:7" ht="12" customHeight="1">
      <c r="A201" s="1869">
        <f t="shared" si="13"/>
        <v>1891</v>
      </c>
      <c r="B201" s="1877">
        <f>DataUK1!HT49</f>
        <v>8.9</v>
      </c>
      <c r="C201" s="1868">
        <f>DataUK1!HU49</f>
        <v>1.087459807073955</v>
      </c>
      <c r="D201" s="1868">
        <v>24.798999999999999</v>
      </c>
      <c r="E201" s="1870">
        <f t="shared" si="10"/>
        <v>1.1363636363636243E-2</v>
      </c>
      <c r="F201" s="1870">
        <f t="shared" si="11"/>
        <v>1.1363636363636465E-2</v>
      </c>
      <c r="G201" s="2246">
        <f t="shared" si="12"/>
        <v>7.2543247711600589E-3</v>
      </c>
    </row>
    <row r="202" spans="1:7" ht="12" customHeight="1">
      <c r="A202" s="1869">
        <f t="shared" si="13"/>
        <v>1892</v>
      </c>
      <c r="B202" s="1877">
        <f>DataUK1!HT50</f>
        <v>8.9</v>
      </c>
      <c r="C202" s="1868">
        <f>DataUK1!HU50</f>
        <v>1.087459807073955</v>
      </c>
      <c r="D202" s="1868">
        <v>24.978899999999999</v>
      </c>
      <c r="E202" s="1870">
        <f t="shared" si="10"/>
        <v>0</v>
      </c>
      <c r="F202" s="1870">
        <f t="shared" si="11"/>
        <v>0</v>
      </c>
      <c r="G202" s="2246">
        <f t="shared" si="12"/>
        <v>-1.0288683649000152E-3</v>
      </c>
    </row>
    <row r="203" spans="1:7" ht="12" customHeight="1">
      <c r="A203" s="1869">
        <f t="shared" si="13"/>
        <v>1893</v>
      </c>
      <c r="B203" s="1877">
        <f>DataUK1!HT51</f>
        <v>8.8000000000000007</v>
      </c>
      <c r="C203" s="1868">
        <f>DataUK1!HU51</f>
        <v>1.0752411575562699</v>
      </c>
      <c r="D203" s="1868">
        <v>24.953199999999999</v>
      </c>
      <c r="E203" s="1870">
        <f t="shared" ref="E203:E266" si="14">B203/B202-1</f>
        <v>-1.1235955056179692E-2</v>
      </c>
      <c r="F203" s="1870">
        <f t="shared" ref="F203:F266" si="15">C203/C202-1</f>
        <v>-1.1235955056179914E-2</v>
      </c>
      <c r="G203" s="2246">
        <f t="shared" ref="G203:G266" si="16">D204/D203-1</f>
        <v>1.6478848404212654E-2</v>
      </c>
    </row>
    <row r="204" spans="1:7" ht="12" customHeight="1">
      <c r="A204" s="1869">
        <f t="shared" si="13"/>
        <v>1894</v>
      </c>
      <c r="B204" s="1877">
        <f>DataUK1!HT52</f>
        <v>8.6999999999999993</v>
      </c>
      <c r="C204" s="1868">
        <f>DataUK1!HU52</f>
        <v>1.0630225080385851</v>
      </c>
      <c r="D204" s="1868">
        <v>25.3644</v>
      </c>
      <c r="E204" s="1870">
        <f t="shared" si="14"/>
        <v>-1.1363636363636576E-2</v>
      </c>
      <c r="F204" s="1870">
        <f t="shared" si="15"/>
        <v>-1.1363636363636243E-2</v>
      </c>
      <c r="G204" s="2246">
        <f t="shared" si="16"/>
        <v>5.9776694895207427E-2</v>
      </c>
    </row>
    <row r="205" spans="1:7" ht="12" customHeight="1">
      <c r="A205" s="1869">
        <f t="shared" si="13"/>
        <v>1895</v>
      </c>
      <c r="B205" s="1877">
        <f>DataUK1!HT53</f>
        <v>8.6</v>
      </c>
      <c r="C205" s="1868">
        <f>DataUK1!HU53</f>
        <v>1.0508038585209003</v>
      </c>
      <c r="D205" s="1868">
        <v>26.880600000000001</v>
      </c>
      <c r="E205" s="1870">
        <f t="shared" si="14"/>
        <v>-1.1494252873563204E-2</v>
      </c>
      <c r="F205" s="1870">
        <f t="shared" si="15"/>
        <v>-1.1494252873563093E-2</v>
      </c>
      <c r="G205" s="2246">
        <f t="shared" si="16"/>
        <v>0.11185390207063817</v>
      </c>
    </row>
    <row r="206" spans="1:7" ht="12" customHeight="1">
      <c r="A206" s="1869">
        <f t="shared" si="13"/>
        <v>1896</v>
      </c>
      <c r="B206" s="1877">
        <f>DataUK1!HT54</f>
        <v>8.5</v>
      </c>
      <c r="C206" s="1868">
        <f>DataUK1!HU54</f>
        <v>1.0385852090032153</v>
      </c>
      <c r="D206" s="1868">
        <v>29.8873</v>
      </c>
      <c r="E206" s="1870">
        <f t="shared" si="14"/>
        <v>-1.1627906976744096E-2</v>
      </c>
      <c r="F206" s="1870">
        <f t="shared" si="15"/>
        <v>-1.1627906976744318E-2</v>
      </c>
      <c r="G206" s="2246">
        <f t="shared" si="16"/>
        <v>0.22012025174572458</v>
      </c>
    </row>
    <row r="207" spans="1:7" ht="12" customHeight="1">
      <c r="A207" s="1869">
        <f t="shared" si="13"/>
        <v>1897</v>
      </c>
      <c r="B207" s="1877">
        <f>DataUK1!HT55</f>
        <v>8.6999999999999993</v>
      </c>
      <c r="C207" s="1868">
        <f>DataUK1!HU55</f>
        <v>1.0630225080385851</v>
      </c>
      <c r="D207" s="1868">
        <v>36.466099999999997</v>
      </c>
      <c r="E207" s="1870">
        <f t="shared" si="14"/>
        <v>2.3529411764705799E-2</v>
      </c>
      <c r="F207" s="1870">
        <f t="shared" si="15"/>
        <v>2.3529411764706021E-2</v>
      </c>
      <c r="G207" s="2246">
        <f t="shared" si="16"/>
        <v>5.214980488727905E-2</v>
      </c>
    </row>
    <row r="208" spans="1:7" ht="12" customHeight="1">
      <c r="A208" s="1869">
        <f t="shared" si="13"/>
        <v>1898</v>
      </c>
      <c r="B208" s="1877">
        <f>DataUK1!HT56</f>
        <v>8.6999999999999993</v>
      </c>
      <c r="C208" s="1868">
        <f>DataUK1!HU56</f>
        <v>1.0630225080385851</v>
      </c>
      <c r="D208" s="1868">
        <v>38.367800000000003</v>
      </c>
      <c r="E208" s="1870">
        <f t="shared" si="14"/>
        <v>0</v>
      </c>
      <c r="F208" s="1870">
        <f t="shared" si="15"/>
        <v>0</v>
      </c>
      <c r="G208" s="2246">
        <f t="shared" si="16"/>
        <v>3.3491625790376123E-3</v>
      </c>
    </row>
    <row r="209" spans="1:7" ht="12" customHeight="1">
      <c r="A209" s="1874">
        <f t="shared" si="13"/>
        <v>1899</v>
      </c>
      <c r="B209" s="1878">
        <f>DataUK1!HT57</f>
        <v>8.8000000000000007</v>
      </c>
      <c r="C209" s="1875">
        <f>DataUK1!HU57</f>
        <v>1.0752411575562699</v>
      </c>
      <c r="D209" s="1875">
        <v>38.496299999999998</v>
      </c>
      <c r="E209" s="1876">
        <f t="shared" si="14"/>
        <v>1.1494252873563315E-2</v>
      </c>
      <c r="F209" s="1876">
        <f t="shared" si="15"/>
        <v>1.1494252873563093E-2</v>
      </c>
      <c r="G209" s="2248">
        <f t="shared" si="16"/>
        <v>-2.0027898785078047E-2</v>
      </c>
    </row>
    <row r="210" spans="1:7" ht="12" customHeight="1">
      <c r="A210" s="1869">
        <f t="shared" si="13"/>
        <v>1900</v>
      </c>
      <c r="B210" s="1877">
        <f>DataUK1!HT58</f>
        <v>9.1999999999999993</v>
      </c>
      <c r="C210" s="1868">
        <f>DataUK1!HU58</f>
        <v>1.1241157556270094</v>
      </c>
      <c r="D210" s="1868">
        <v>37.725299999999997</v>
      </c>
      <c r="E210" s="1870">
        <f t="shared" si="14"/>
        <v>4.5454545454545192E-2</v>
      </c>
      <c r="F210" s="1870">
        <f t="shared" si="15"/>
        <v>4.5454545454545414E-2</v>
      </c>
      <c r="G210" s="2246">
        <f t="shared" si="16"/>
        <v>-8.8031109096546878E-3</v>
      </c>
    </row>
    <row r="211" spans="1:7" ht="12" customHeight="1">
      <c r="A211" s="1869">
        <f t="shared" si="13"/>
        <v>1901</v>
      </c>
      <c r="B211" s="1877">
        <f>DataUK1!HT59</f>
        <v>9.1999999999999993</v>
      </c>
      <c r="C211" s="1868">
        <f>DataUK1!HU59</f>
        <v>1.1241157556270094</v>
      </c>
      <c r="D211" s="1868">
        <v>37.3932</v>
      </c>
      <c r="E211" s="1870">
        <f t="shared" si="14"/>
        <v>0</v>
      </c>
      <c r="F211" s="1870">
        <f t="shared" si="15"/>
        <v>0</v>
      </c>
      <c r="G211" s="2246">
        <f t="shared" si="16"/>
        <v>-4.9484933089438687E-2</v>
      </c>
    </row>
    <row r="212" spans="1:7" ht="12" customHeight="1">
      <c r="A212" s="1869">
        <f t="shared" si="13"/>
        <v>1902</v>
      </c>
      <c r="B212" s="1877">
        <f>DataUK1!HT60</f>
        <v>9.1999999999999993</v>
      </c>
      <c r="C212" s="1868">
        <f>DataUK1!HU60</f>
        <v>1.1241157556270094</v>
      </c>
      <c r="D212" s="1868">
        <v>35.5428</v>
      </c>
      <c r="E212" s="1870">
        <f t="shared" si="14"/>
        <v>0</v>
      </c>
      <c r="F212" s="1870">
        <f t="shared" si="15"/>
        <v>0</v>
      </c>
      <c r="G212" s="2246">
        <f t="shared" si="16"/>
        <v>-1.3015294236807473E-2</v>
      </c>
    </row>
    <row r="213" spans="1:7" ht="12" customHeight="1">
      <c r="A213" s="1869">
        <f t="shared" si="13"/>
        <v>1903</v>
      </c>
      <c r="B213" s="1877">
        <f>DataUK1!HT61</f>
        <v>9.3000000000000007</v>
      </c>
      <c r="C213" s="1868">
        <f>DataUK1!HU61</f>
        <v>1.1363344051446946</v>
      </c>
      <c r="D213" s="1868">
        <v>35.080199999999998</v>
      </c>
      <c r="E213" s="1870">
        <f t="shared" si="14"/>
        <v>1.0869565217391353E-2</v>
      </c>
      <c r="F213" s="1870">
        <f t="shared" si="15"/>
        <v>1.0869565217391575E-2</v>
      </c>
      <c r="G213" s="2246">
        <f t="shared" si="16"/>
        <v>-5.5678131823649668E-2</v>
      </c>
    </row>
    <row r="214" spans="1:7" ht="12" customHeight="1">
      <c r="A214" s="1869">
        <f t="shared" si="13"/>
        <v>1904</v>
      </c>
      <c r="B214" s="1877">
        <f>DataUK1!HT62</f>
        <v>9.3000000000000007</v>
      </c>
      <c r="C214" s="1868">
        <f>DataUK1!HU62</f>
        <v>1.1363344051446946</v>
      </c>
      <c r="D214" s="1868">
        <v>33.127000000000002</v>
      </c>
      <c r="E214" s="1870">
        <f t="shared" si="14"/>
        <v>0</v>
      </c>
      <c r="F214" s="1870">
        <f t="shared" si="15"/>
        <v>0</v>
      </c>
      <c r="G214" s="2246">
        <f t="shared" si="16"/>
        <v>2.4825670902888675E-2</v>
      </c>
    </row>
    <row r="215" spans="1:7" ht="12" customHeight="1">
      <c r="A215" s="1869">
        <f t="shared" si="13"/>
        <v>1905</v>
      </c>
      <c r="B215" s="1877">
        <f>DataUK1!HT63</f>
        <v>9.3000000000000007</v>
      </c>
      <c r="C215" s="1868">
        <f>DataUK1!HU63</f>
        <v>1.1363344051446946</v>
      </c>
      <c r="D215" s="1868">
        <v>33.949399999999997</v>
      </c>
      <c r="E215" s="1870">
        <f t="shared" si="14"/>
        <v>0</v>
      </c>
      <c r="F215" s="1870">
        <f t="shared" si="15"/>
        <v>0</v>
      </c>
      <c r="G215" s="2246">
        <f t="shared" si="16"/>
        <v>6.2074734752308069E-2</v>
      </c>
    </row>
    <row r="216" spans="1:7" ht="12" customHeight="1">
      <c r="A216" s="1869">
        <f t="shared" si="13"/>
        <v>1906</v>
      </c>
      <c r="B216" s="1877">
        <f>DataUK1!HT64</f>
        <v>9.3000000000000007</v>
      </c>
      <c r="C216" s="1868">
        <f>DataUK1!HU64</f>
        <v>1.1363344051446946</v>
      </c>
      <c r="D216" s="1868">
        <v>36.056800000000003</v>
      </c>
      <c r="E216" s="1870">
        <f t="shared" si="14"/>
        <v>0</v>
      </c>
      <c r="F216" s="1870">
        <f t="shared" si="15"/>
        <v>0</v>
      </c>
      <c r="G216" s="2246">
        <f t="shared" si="16"/>
        <v>-4.2765858312441285E-3</v>
      </c>
    </row>
    <row r="217" spans="1:7" ht="12" customHeight="1">
      <c r="A217" s="1869">
        <f t="shared" si="13"/>
        <v>1907</v>
      </c>
      <c r="B217" s="1877">
        <f>DataUK1!HT65</f>
        <v>9.4</v>
      </c>
      <c r="C217" s="1868">
        <f>DataUK1!HU65</f>
        <v>1.1485530546623792</v>
      </c>
      <c r="D217" s="1868">
        <v>35.9026</v>
      </c>
      <c r="E217" s="1870">
        <f t="shared" si="14"/>
        <v>1.0752688172043001E-2</v>
      </c>
      <c r="F217" s="1870">
        <f t="shared" si="15"/>
        <v>1.0752688172042779E-2</v>
      </c>
      <c r="G217" s="2246">
        <f t="shared" si="16"/>
        <v>-0.14742664876638456</v>
      </c>
    </row>
    <row r="218" spans="1:7" ht="12" customHeight="1">
      <c r="A218" s="1869">
        <f t="shared" si="13"/>
        <v>1908</v>
      </c>
      <c r="B218" s="1877">
        <f>DataUK1!HT66</f>
        <v>9.4</v>
      </c>
      <c r="C218" s="1868">
        <f>DataUK1!HU66</f>
        <v>1.1485530546623792</v>
      </c>
      <c r="D218" s="1868">
        <v>30.6096</v>
      </c>
      <c r="E218" s="1870">
        <f t="shared" si="14"/>
        <v>0</v>
      </c>
      <c r="F218" s="1870">
        <f t="shared" si="15"/>
        <v>0</v>
      </c>
      <c r="G218" s="2246">
        <f t="shared" si="16"/>
        <v>8.1288223302493412E-2</v>
      </c>
    </row>
    <row r="219" spans="1:7" ht="12" customHeight="1">
      <c r="A219" s="1869">
        <f t="shared" si="13"/>
        <v>1909</v>
      </c>
      <c r="B219" s="1877">
        <f>DataUK1!HT67</f>
        <v>9.5</v>
      </c>
      <c r="C219" s="1868">
        <f>DataUK1!HU67</f>
        <v>1.1607717041800643</v>
      </c>
      <c r="D219" s="1868">
        <v>33.097799999999999</v>
      </c>
      <c r="E219" s="1870">
        <f t="shared" si="14"/>
        <v>1.0638297872340496E-2</v>
      </c>
      <c r="F219" s="1870">
        <f t="shared" si="15"/>
        <v>1.0638297872340496E-2</v>
      </c>
      <c r="G219" s="2246">
        <f t="shared" si="16"/>
        <v>4.7655735426523904E-2</v>
      </c>
    </row>
    <row r="220" spans="1:7" ht="12" customHeight="1">
      <c r="A220" s="1871">
        <f t="shared" si="13"/>
        <v>1910</v>
      </c>
      <c r="B220" s="1879">
        <f>DataUK1!HT68</f>
        <v>9.6</v>
      </c>
      <c r="C220" s="1872">
        <f>DataUK1!HU68</f>
        <v>1.1729903536977491</v>
      </c>
      <c r="D220" s="1872">
        <v>34.6751</v>
      </c>
      <c r="E220" s="1873">
        <f t="shared" si="14"/>
        <v>1.0526315789473717E-2</v>
      </c>
      <c r="F220" s="1873">
        <f t="shared" si="15"/>
        <v>1.0526315789473717E-2</v>
      </c>
      <c r="G220" s="2247">
        <f t="shared" si="16"/>
        <v>-2.5072746726036765E-2</v>
      </c>
    </row>
    <row r="221" spans="1:7" ht="12" customHeight="1">
      <c r="A221" s="1869">
        <f t="shared" si="13"/>
        <v>1911</v>
      </c>
      <c r="B221" s="1877">
        <f>DataUK1!HT69</f>
        <v>9.6</v>
      </c>
      <c r="C221" s="1868">
        <f>DataUK1!HU69</f>
        <v>1.1729903536977491</v>
      </c>
      <c r="D221" s="1868">
        <v>33.805700000000002</v>
      </c>
      <c r="E221" s="1870">
        <f t="shared" si="14"/>
        <v>0</v>
      </c>
      <c r="F221" s="1870">
        <f t="shared" si="15"/>
        <v>0</v>
      </c>
      <c r="G221" s="2246">
        <f t="shared" si="16"/>
        <v>3.3781285404530514E-3</v>
      </c>
    </row>
    <row r="222" spans="1:7" ht="12" customHeight="1">
      <c r="A222" s="1869">
        <f t="shared" si="13"/>
        <v>1912</v>
      </c>
      <c r="B222" s="1877">
        <f>DataUK1!HT70</f>
        <v>9.9</v>
      </c>
      <c r="C222" s="1868">
        <f>DataUK1!HU70</f>
        <v>1.2096463022508037</v>
      </c>
      <c r="D222" s="1868">
        <v>33.919899999999998</v>
      </c>
      <c r="E222" s="1870">
        <f t="shared" si="14"/>
        <v>3.125E-2</v>
      </c>
      <c r="F222" s="1870">
        <f t="shared" si="15"/>
        <v>3.125E-2</v>
      </c>
      <c r="G222" s="2246">
        <f t="shared" si="16"/>
        <v>-8.9652386946894591E-3</v>
      </c>
    </row>
    <row r="223" spans="1:7" ht="12" customHeight="1">
      <c r="A223" s="1869">
        <f t="shared" si="13"/>
        <v>1913</v>
      </c>
      <c r="B223" s="1877">
        <f>DataUK1!HT71</f>
        <v>9.8000000000000007</v>
      </c>
      <c r="C223" s="1868">
        <f>DataUK1!HU71</f>
        <v>1.1974276527331189</v>
      </c>
      <c r="D223" s="1868">
        <v>33.6158</v>
      </c>
      <c r="E223" s="1870">
        <f t="shared" si="14"/>
        <v>-1.0101010101010055E-2</v>
      </c>
      <c r="F223" s="1870">
        <f t="shared" si="15"/>
        <v>-1.0101010101010055E-2</v>
      </c>
      <c r="G223" s="2246">
        <f t="shared" si="16"/>
        <v>-6.6679954069217451E-2</v>
      </c>
    </row>
    <row r="224" spans="1:7" ht="12" customHeight="1">
      <c r="A224" s="1869">
        <f t="shared" si="13"/>
        <v>1914</v>
      </c>
      <c r="B224" s="1877">
        <f>DataUK1!HT72</f>
        <v>9.8000000000000007</v>
      </c>
      <c r="C224" s="1868">
        <f>DataUK1!HU72</f>
        <v>1.1974276527331189</v>
      </c>
      <c r="D224" s="1868">
        <v>31.374300000000002</v>
      </c>
      <c r="E224" s="1870">
        <f t="shared" si="14"/>
        <v>0</v>
      </c>
      <c r="F224" s="1870">
        <f t="shared" si="15"/>
        <v>0</v>
      </c>
      <c r="G224" s="2246">
        <f t="shared" si="16"/>
        <v>-6.9088394004009679E-2</v>
      </c>
    </row>
    <row r="225" spans="1:7" ht="12" customHeight="1">
      <c r="A225" s="1869">
        <f t="shared" si="13"/>
        <v>1915</v>
      </c>
      <c r="B225" s="1877">
        <f>DataUK1!HT73</f>
        <v>11</v>
      </c>
      <c r="C225" s="1868">
        <f>DataUK1!HU73</f>
        <v>1.3440514469453375</v>
      </c>
      <c r="D225" s="1868">
        <v>29.206700000000001</v>
      </c>
      <c r="E225" s="1870">
        <f t="shared" si="14"/>
        <v>0.12244897959183665</v>
      </c>
      <c r="F225" s="1870">
        <f t="shared" si="15"/>
        <v>0.12244897959183665</v>
      </c>
      <c r="G225" s="2246">
        <f t="shared" si="16"/>
        <v>-5.0978029013890702E-2</v>
      </c>
    </row>
    <row r="226" spans="1:7" ht="12" customHeight="1">
      <c r="A226" s="1869">
        <f t="shared" si="13"/>
        <v>1916</v>
      </c>
      <c r="B226" s="1877">
        <f>DataUK1!HT74</f>
        <v>13</v>
      </c>
      <c r="C226" s="1868">
        <f>DataUK1!HU74</f>
        <v>1.5884244372990353</v>
      </c>
      <c r="D226" s="1868">
        <v>27.7178</v>
      </c>
      <c r="E226" s="1870">
        <f t="shared" si="14"/>
        <v>0.18181818181818188</v>
      </c>
      <c r="F226" s="1870">
        <f t="shared" si="15"/>
        <v>0.18181818181818188</v>
      </c>
      <c r="G226" s="2246">
        <f t="shared" si="16"/>
        <v>5.3611758508971263E-3</v>
      </c>
    </row>
    <row r="227" spans="1:7" ht="12" customHeight="1">
      <c r="A227" s="1869">
        <f t="shared" si="13"/>
        <v>1917</v>
      </c>
      <c r="B227" s="1877">
        <f>DataUK1!HT75</f>
        <v>16.3</v>
      </c>
      <c r="C227" s="1868">
        <f>DataUK1!HU75</f>
        <v>1.9916398713826364</v>
      </c>
      <c r="D227" s="1868">
        <v>27.866399999999999</v>
      </c>
      <c r="E227" s="1870">
        <f t="shared" si="14"/>
        <v>0.25384615384615383</v>
      </c>
      <c r="F227" s="1870">
        <f t="shared" si="15"/>
        <v>0.25384615384615383</v>
      </c>
      <c r="G227" s="2246">
        <f t="shared" si="16"/>
        <v>-0.10538856831165844</v>
      </c>
    </row>
    <row r="228" spans="1:7" ht="12" customHeight="1">
      <c r="A228" s="1869">
        <f t="shared" si="13"/>
        <v>1918</v>
      </c>
      <c r="B228" s="1877">
        <f>DataUK1!HT76</f>
        <v>19.899999999999999</v>
      </c>
      <c r="C228" s="1868">
        <f>DataUK1!HU76</f>
        <v>2.4315112540192922</v>
      </c>
      <c r="D228" s="1868">
        <v>24.929600000000001</v>
      </c>
      <c r="E228" s="1870">
        <f t="shared" si="14"/>
        <v>0.22085889570552131</v>
      </c>
      <c r="F228" s="1870">
        <f t="shared" si="15"/>
        <v>0.22085889570552153</v>
      </c>
      <c r="G228" s="2246">
        <f t="shared" si="16"/>
        <v>0.1096367370515372</v>
      </c>
    </row>
    <row r="229" spans="1:7" ht="12" customHeight="1">
      <c r="A229" s="1874">
        <f t="shared" si="13"/>
        <v>1919</v>
      </c>
      <c r="B229" s="1878">
        <f>DataUK1!HT77</f>
        <v>21.9</v>
      </c>
      <c r="C229" s="1875">
        <f>DataUK1!HU77</f>
        <v>2.6758842443729898</v>
      </c>
      <c r="D229" s="1875">
        <v>27.662800000000001</v>
      </c>
      <c r="E229" s="1876">
        <f t="shared" si="14"/>
        <v>0.10050251256281406</v>
      </c>
      <c r="F229" s="1876">
        <f t="shared" si="15"/>
        <v>0.10050251256281406</v>
      </c>
      <c r="G229" s="2248">
        <f t="shared" si="16"/>
        <v>2.4451610104544663E-2</v>
      </c>
    </row>
    <row r="230" spans="1:7" ht="12" customHeight="1">
      <c r="A230" s="1869" t="s">
        <v>652</v>
      </c>
      <c r="B230" s="1877">
        <f>DataUK1!HT79</f>
        <v>25.3</v>
      </c>
      <c r="C230" s="1868">
        <f>DataUK1!HU79</f>
        <v>3.0913183279742764</v>
      </c>
      <c r="D230" s="1868">
        <v>28.339200000000002</v>
      </c>
      <c r="E230" s="1870">
        <f t="shared" si="14"/>
        <v>0.15525114155251152</v>
      </c>
      <c r="F230" s="1870">
        <f t="shared" si="15"/>
        <v>0.15525114155251152</v>
      </c>
      <c r="G230" s="2246">
        <f t="shared" si="16"/>
        <v>-0.13269252484191507</v>
      </c>
    </row>
    <row r="231" spans="1:7" ht="12" customHeight="1">
      <c r="A231" s="1869">
        <v>1921</v>
      </c>
      <c r="B231" s="1877">
        <f>DataUK1!HT80</f>
        <v>23.1</v>
      </c>
      <c r="C231" s="1868">
        <f>DataUK1!HU80</f>
        <v>2.8225080385852088</v>
      </c>
      <c r="D231" s="1868">
        <v>24.578800000000001</v>
      </c>
      <c r="E231" s="1870">
        <f t="shared" si="14"/>
        <v>-8.6956521739130377E-2</v>
      </c>
      <c r="F231" s="1870">
        <f t="shared" si="15"/>
        <v>-8.6956521739130488E-2</v>
      </c>
      <c r="G231" s="2246">
        <f t="shared" si="16"/>
        <v>-5.4042508177779336E-2</v>
      </c>
    </row>
    <row r="232" spans="1:7" ht="12" customHeight="1">
      <c r="A232" s="1869">
        <f t="shared" si="13"/>
        <v>1922</v>
      </c>
      <c r="B232" s="1877">
        <f>DataUK1!HT81</f>
        <v>19.899999999999999</v>
      </c>
      <c r="C232" s="1868">
        <f>DataUK1!HU81</f>
        <v>2.4315112540192922</v>
      </c>
      <c r="D232" s="1868">
        <v>23.250499999999999</v>
      </c>
      <c r="E232" s="1870">
        <f t="shared" si="14"/>
        <v>-0.13852813852813861</v>
      </c>
      <c r="F232" s="1870">
        <f t="shared" si="15"/>
        <v>-0.13852813852813861</v>
      </c>
      <c r="G232" s="2246">
        <f t="shared" si="16"/>
        <v>0.17600051611793299</v>
      </c>
    </row>
    <row r="233" spans="1:7" ht="12" customHeight="1">
      <c r="A233" s="1869">
        <f t="shared" si="13"/>
        <v>1923</v>
      </c>
      <c r="B233" s="1877">
        <f>DataUK1!HT82</f>
        <v>18.7</v>
      </c>
      <c r="C233" s="1868">
        <f>DataUK1!HU82</f>
        <v>2.2848874598070736</v>
      </c>
      <c r="D233" s="1868">
        <v>27.342600000000001</v>
      </c>
      <c r="E233" s="1870">
        <f t="shared" si="14"/>
        <v>-6.030150753768837E-2</v>
      </c>
      <c r="F233" s="1870">
        <f t="shared" si="15"/>
        <v>-6.0301507537688481E-2</v>
      </c>
      <c r="G233" s="2246">
        <f t="shared" si="16"/>
        <v>2.006027224916429E-2</v>
      </c>
    </row>
    <row r="234" spans="1:7" ht="12" customHeight="1">
      <c r="A234" s="1869">
        <f t="shared" si="13"/>
        <v>1924</v>
      </c>
      <c r="B234" s="1877">
        <f>DataUK1!HT83</f>
        <v>18.600000000000001</v>
      </c>
      <c r="C234" s="1868">
        <f>DataUK1!HU83</f>
        <v>2.2726688102893893</v>
      </c>
      <c r="D234" s="1868">
        <v>27.891100000000002</v>
      </c>
      <c r="E234" s="1870">
        <f t="shared" si="14"/>
        <v>-5.3475935828876109E-3</v>
      </c>
      <c r="F234" s="1870">
        <f t="shared" si="15"/>
        <v>-5.3475935828874999E-3</v>
      </c>
      <c r="G234" s="2246">
        <f t="shared" si="16"/>
        <v>9.4911997016969396E-2</v>
      </c>
    </row>
    <row r="235" spans="1:7" ht="12" customHeight="1">
      <c r="A235" s="1869">
        <f t="shared" si="13"/>
        <v>1925</v>
      </c>
      <c r="B235" s="1877">
        <f>DataUK1!HT84</f>
        <v>18.600000000000001</v>
      </c>
      <c r="C235" s="1868">
        <f>DataUK1!HU84</f>
        <v>2.2726688102893893</v>
      </c>
      <c r="D235" s="1868">
        <v>30.5383</v>
      </c>
      <c r="E235" s="1870">
        <f t="shared" si="14"/>
        <v>0</v>
      </c>
      <c r="F235" s="1870">
        <f t="shared" si="15"/>
        <v>0</v>
      </c>
      <c r="G235" s="2246">
        <f t="shared" si="16"/>
        <v>4.4128193121424575E-2</v>
      </c>
    </row>
    <row r="236" spans="1:7" ht="12" customHeight="1">
      <c r="A236" s="1869">
        <f t="shared" si="13"/>
        <v>1926</v>
      </c>
      <c r="B236" s="1877">
        <f>DataUK1!HT85</f>
        <v>18.5</v>
      </c>
      <c r="C236" s="1868">
        <f>DataUK1!HU85</f>
        <v>2.260450160771704</v>
      </c>
      <c r="D236" s="1868">
        <v>31.885899999999999</v>
      </c>
      <c r="E236" s="1870">
        <f t="shared" si="14"/>
        <v>-5.3763440860216116E-3</v>
      </c>
      <c r="F236" s="1870">
        <f t="shared" si="15"/>
        <v>-5.3763440860216116E-3</v>
      </c>
      <c r="G236" s="2246">
        <f t="shared" si="16"/>
        <v>2.4151741051687381E-2</v>
      </c>
    </row>
    <row r="237" spans="1:7" ht="12" customHeight="1">
      <c r="A237" s="1869">
        <f t="shared" si="13"/>
        <v>1927</v>
      </c>
      <c r="B237" s="1877">
        <f>DataUK1!HT86</f>
        <v>18</v>
      </c>
      <c r="C237" s="1868">
        <f>DataUK1!HU86</f>
        <v>2.1993569131832795</v>
      </c>
      <c r="D237" s="1868">
        <v>32.655999999999999</v>
      </c>
      <c r="E237" s="1870">
        <f t="shared" si="14"/>
        <v>-2.7027027027026973E-2</v>
      </c>
      <c r="F237" s="1870">
        <f t="shared" si="15"/>
        <v>-2.7027027027027084E-2</v>
      </c>
      <c r="G237" s="2246">
        <f t="shared" si="16"/>
        <v>8.2533072023517784E-2</v>
      </c>
    </row>
    <row r="238" spans="1:7" ht="12" customHeight="1">
      <c r="A238" s="1869">
        <f t="shared" si="13"/>
        <v>1928</v>
      </c>
      <c r="B238" s="1877">
        <f>DataUK1!HT87</f>
        <v>18</v>
      </c>
      <c r="C238" s="1868">
        <f>DataUK1!HU87</f>
        <v>2.1993569131832795</v>
      </c>
      <c r="D238" s="1868">
        <v>35.351199999999999</v>
      </c>
      <c r="E238" s="1870">
        <f t="shared" si="14"/>
        <v>0</v>
      </c>
      <c r="F238" s="1870">
        <f t="shared" si="15"/>
        <v>0</v>
      </c>
      <c r="G238" s="2246">
        <f t="shared" si="16"/>
        <v>8.100715110095269E-2</v>
      </c>
    </row>
    <row r="239" spans="1:7" ht="12" customHeight="1">
      <c r="A239" s="1869">
        <f t="shared" si="13"/>
        <v>1929</v>
      </c>
      <c r="B239" s="1877">
        <f>DataUK1!HT88</f>
        <v>17.8</v>
      </c>
      <c r="C239" s="1868">
        <f>DataUK1!HU88</f>
        <v>2.1749196141479099</v>
      </c>
      <c r="D239" s="1868">
        <v>38.2149</v>
      </c>
      <c r="E239" s="1870">
        <f t="shared" si="14"/>
        <v>-1.1111111111111072E-2</v>
      </c>
      <c r="F239" s="1870">
        <f t="shared" si="15"/>
        <v>-1.1111111111111072E-2</v>
      </c>
      <c r="G239" s="2246">
        <f t="shared" si="16"/>
        <v>-7.3675451198354613E-2</v>
      </c>
    </row>
    <row r="240" spans="1:7" ht="12" customHeight="1">
      <c r="A240" s="1871">
        <f t="shared" ref="A240:A303" si="17">A239+1</f>
        <v>1930</v>
      </c>
      <c r="B240" s="1879">
        <f>DataUK1!HT89</f>
        <v>17.3</v>
      </c>
      <c r="C240" s="1872">
        <f>DataUK1!HU89</f>
        <v>2.1138263665594854</v>
      </c>
      <c r="D240" s="1872">
        <v>35.3994</v>
      </c>
      <c r="E240" s="1873">
        <f t="shared" si="14"/>
        <v>-2.8089887640449396E-2</v>
      </c>
      <c r="F240" s="1873">
        <f t="shared" si="15"/>
        <v>-2.8089887640449507E-2</v>
      </c>
      <c r="G240" s="2247">
        <f t="shared" si="16"/>
        <v>-0.19442702418685065</v>
      </c>
    </row>
    <row r="241" spans="1:7" ht="12" customHeight="1">
      <c r="A241" s="1869">
        <f t="shared" si="17"/>
        <v>1931</v>
      </c>
      <c r="B241" s="1877">
        <f>DataUK1!HT90</f>
        <v>16.600000000000001</v>
      </c>
      <c r="C241" s="1868">
        <f>DataUK1!HU90</f>
        <v>2.0282958199356913</v>
      </c>
      <c r="D241" s="1868">
        <v>28.5168</v>
      </c>
      <c r="E241" s="1870">
        <f t="shared" si="14"/>
        <v>-4.0462427745664664E-2</v>
      </c>
      <c r="F241" s="1870">
        <f t="shared" si="15"/>
        <v>-4.0462427745664664E-2</v>
      </c>
      <c r="G241" s="2246">
        <f t="shared" si="16"/>
        <v>-0.23459855243225047</v>
      </c>
    </row>
    <row r="242" spans="1:7" ht="12" customHeight="1">
      <c r="A242" s="1869">
        <f t="shared" si="17"/>
        <v>1932</v>
      </c>
      <c r="B242" s="1877">
        <f>DataUK1!HT91</f>
        <v>16.2</v>
      </c>
      <c r="C242" s="1868">
        <f>DataUK1!HU91</f>
        <v>1.9794212218649516</v>
      </c>
      <c r="D242" s="1868">
        <v>21.826799999999999</v>
      </c>
      <c r="E242" s="1870">
        <f t="shared" si="14"/>
        <v>-2.4096385542168752E-2</v>
      </c>
      <c r="F242" s="1870">
        <f t="shared" si="15"/>
        <v>-2.4096385542168752E-2</v>
      </c>
      <c r="G242" s="2246">
        <f t="shared" si="16"/>
        <v>5.6229039529385849E-2</v>
      </c>
    </row>
    <row r="243" spans="1:7" ht="12" customHeight="1">
      <c r="A243" s="1869">
        <f t="shared" si="17"/>
        <v>1933</v>
      </c>
      <c r="B243" s="1877">
        <f>DataUK1!HT92</f>
        <v>15.8</v>
      </c>
      <c r="C243" s="1868">
        <f>DataUK1!HU92</f>
        <v>1.9305466237942122</v>
      </c>
      <c r="D243" s="1868">
        <v>23.054099999999998</v>
      </c>
      <c r="E243" s="1870">
        <f t="shared" si="14"/>
        <v>-2.4691358024691246E-2</v>
      </c>
      <c r="F243" s="1870">
        <f t="shared" si="15"/>
        <v>-2.4691358024691357E-2</v>
      </c>
      <c r="G243" s="2246">
        <f t="shared" si="16"/>
        <v>0.27163064270563586</v>
      </c>
    </row>
    <row r="244" spans="1:7" ht="12" customHeight="1">
      <c r="A244" s="1869">
        <f t="shared" si="17"/>
        <v>1934</v>
      </c>
      <c r="B244" s="1877">
        <f>DataUK1!HT93</f>
        <v>15.8</v>
      </c>
      <c r="C244" s="1868">
        <f>DataUK1!HU93</f>
        <v>1.9305466237942122</v>
      </c>
      <c r="D244" s="1868">
        <v>29.316299999999998</v>
      </c>
      <c r="E244" s="1870">
        <f t="shared" si="14"/>
        <v>0</v>
      </c>
      <c r="F244" s="1870">
        <f t="shared" si="15"/>
        <v>0</v>
      </c>
      <c r="G244" s="2246">
        <f t="shared" si="16"/>
        <v>8.3090294477816018E-2</v>
      </c>
    </row>
    <row r="245" spans="1:7" ht="12" customHeight="1">
      <c r="A245" s="1869">
        <f t="shared" si="17"/>
        <v>1935</v>
      </c>
      <c r="B245" s="1877">
        <f>DataUK1!HT94</f>
        <v>15.9</v>
      </c>
      <c r="C245" s="1868">
        <f>DataUK1!HU94</f>
        <v>1.942765273311897</v>
      </c>
      <c r="D245" s="1868">
        <v>31.752199999999998</v>
      </c>
      <c r="E245" s="1870">
        <f t="shared" si="14"/>
        <v>6.3291139240506666E-3</v>
      </c>
      <c r="F245" s="1870">
        <f t="shared" si="15"/>
        <v>6.3291139240506666E-3</v>
      </c>
      <c r="G245" s="2246">
        <f t="shared" si="16"/>
        <v>7.8063882187690892E-2</v>
      </c>
    </row>
    <row r="246" spans="1:7" ht="12" customHeight="1">
      <c r="A246" s="1869">
        <f t="shared" si="17"/>
        <v>1936</v>
      </c>
      <c r="B246" s="1877">
        <f>DataUK1!HT95</f>
        <v>16</v>
      </c>
      <c r="C246" s="1868">
        <f>DataUK1!HU95</f>
        <v>1.9549839228295818</v>
      </c>
      <c r="D246" s="1868">
        <v>34.230899999999998</v>
      </c>
      <c r="E246" s="1870">
        <f t="shared" si="14"/>
        <v>6.2893081761006275E-3</v>
      </c>
      <c r="F246" s="1870">
        <f t="shared" si="15"/>
        <v>6.2893081761006275E-3</v>
      </c>
      <c r="G246" s="2246">
        <f t="shared" si="16"/>
        <v>0.13857654925812635</v>
      </c>
    </row>
    <row r="247" spans="1:7" ht="12" customHeight="1">
      <c r="A247" s="1869">
        <f t="shared" si="17"/>
        <v>1937</v>
      </c>
      <c r="B247" s="1877">
        <f>DataUK1!HT96</f>
        <v>16.600000000000001</v>
      </c>
      <c r="C247" s="1868">
        <f>DataUK1!HU96</f>
        <v>2.0282958199356913</v>
      </c>
      <c r="D247" s="1868">
        <v>38.974499999999999</v>
      </c>
      <c r="E247" s="1870">
        <f t="shared" si="14"/>
        <v>3.7500000000000089E-2</v>
      </c>
      <c r="F247" s="1870">
        <f t="shared" si="15"/>
        <v>3.7500000000000089E-2</v>
      </c>
      <c r="G247" s="2246">
        <f t="shared" si="16"/>
        <v>-0.19298259118141348</v>
      </c>
    </row>
    <row r="248" spans="1:7" ht="12" customHeight="1">
      <c r="A248" s="1869">
        <f t="shared" si="17"/>
        <v>1938</v>
      </c>
      <c r="B248" s="1877">
        <f>DataUK1!HT97</f>
        <v>16.8</v>
      </c>
      <c r="C248" s="1868">
        <f>DataUK1!HU97</f>
        <v>2.0527331189710609</v>
      </c>
      <c r="D248" s="1868">
        <v>31.453099999999999</v>
      </c>
      <c r="E248" s="1870">
        <f t="shared" si="14"/>
        <v>1.2048192771084265E-2</v>
      </c>
      <c r="F248" s="1870">
        <f t="shared" si="15"/>
        <v>1.2048192771084265E-2</v>
      </c>
      <c r="G248" s="2246">
        <f t="shared" si="16"/>
        <v>-0.14266320330905369</v>
      </c>
    </row>
    <row r="249" spans="1:7" ht="12" customHeight="1">
      <c r="A249" s="1874">
        <f t="shared" si="17"/>
        <v>1939</v>
      </c>
      <c r="B249" s="1878">
        <f>DataUK1!HT98</f>
        <v>17.3</v>
      </c>
      <c r="C249" s="1875">
        <f>DataUK1!HU98</f>
        <v>2.1138263665594854</v>
      </c>
      <c r="D249" s="1875">
        <v>26.965900000000001</v>
      </c>
      <c r="E249" s="1876">
        <f t="shared" si="14"/>
        <v>2.9761904761904656E-2</v>
      </c>
      <c r="F249" s="1876">
        <f t="shared" si="15"/>
        <v>2.9761904761904878E-2</v>
      </c>
      <c r="G249" s="2248">
        <f t="shared" si="16"/>
        <v>7.9359487352543834E-3</v>
      </c>
    </row>
    <row r="250" spans="1:7" ht="12" customHeight="1">
      <c r="A250" s="1869">
        <f t="shared" si="17"/>
        <v>1940</v>
      </c>
      <c r="B250" s="1877">
        <f>DataUK1!HT99</f>
        <v>20.2</v>
      </c>
      <c r="C250" s="1868">
        <f>DataUK1!HU99</f>
        <v>2.4681672025723467</v>
      </c>
      <c r="D250" s="1868">
        <v>27.1799</v>
      </c>
      <c r="E250" s="1870">
        <f t="shared" si="14"/>
        <v>0.16763005780346818</v>
      </c>
      <c r="F250" s="1870">
        <f t="shared" si="15"/>
        <v>0.16763005780346796</v>
      </c>
      <c r="G250" s="2246">
        <f t="shared" si="16"/>
        <v>-0.13005198694623599</v>
      </c>
    </row>
    <row r="251" spans="1:7" ht="12" customHeight="1">
      <c r="A251" s="1869">
        <f t="shared" si="17"/>
        <v>1941</v>
      </c>
      <c r="B251" s="1877">
        <f>DataUK1!HT100</f>
        <v>22.4</v>
      </c>
      <c r="C251" s="1868">
        <f>DataUK1!HU100</f>
        <v>2.7369774919614143</v>
      </c>
      <c r="D251" s="1868">
        <v>23.645099999999999</v>
      </c>
      <c r="E251" s="1870">
        <f t="shared" si="14"/>
        <v>0.10891089108910879</v>
      </c>
      <c r="F251" s="1870">
        <f t="shared" si="15"/>
        <v>0.10891089108910901</v>
      </c>
      <c r="G251" s="2246">
        <f t="shared" si="16"/>
        <v>0.22626252373641909</v>
      </c>
    </row>
    <row r="252" spans="1:7" ht="12" customHeight="1">
      <c r="A252" s="1869">
        <f t="shared" si="17"/>
        <v>1942</v>
      </c>
      <c r="B252" s="1877">
        <f>DataUK1!HT101</f>
        <v>24</v>
      </c>
      <c r="C252" s="1868">
        <f>DataUK1!HU101</f>
        <v>2.9324758842443726</v>
      </c>
      <c r="D252" s="1868">
        <v>28.995100000000001</v>
      </c>
      <c r="E252" s="1870">
        <f t="shared" si="14"/>
        <v>7.1428571428571397E-2</v>
      </c>
      <c r="F252" s="1870">
        <f t="shared" si="15"/>
        <v>7.1428571428571397E-2</v>
      </c>
      <c r="G252" s="2246">
        <f t="shared" si="16"/>
        <v>0.18615904066549183</v>
      </c>
    </row>
    <row r="253" spans="1:7" ht="12" customHeight="1">
      <c r="A253" s="1869">
        <f t="shared" si="17"/>
        <v>1943</v>
      </c>
      <c r="B253" s="1877">
        <f>DataUK1!HT102</f>
        <v>24.8</v>
      </c>
      <c r="C253" s="1868">
        <f>DataUK1!HU102</f>
        <v>3.0302250803858519</v>
      </c>
      <c r="D253" s="1868">
        <v>34.392800000000001</v>
      </c>
      <c r="E253" s="1870">
        <f t="shared" si="14"/>
        <v>3.3333333333333437E-2</v>
      </c>
      <c r="F253" s="1870">
        <f t="shared" si="15"/>
        <v>3.3333333333333437E-2</v>
      </c>
      <c r="G253" s="2246">
        <f t="shared" si="16"/>
        <v>8.0554650973459596E-2</v>
      </c>
    </row>
    <row r="254" spans="1:7" ht="12" customHeight="1">
      <c r="A254" s="1869">
        <f t="shared" si="17"/>
        <v>1944</v>
      </c>
      <c r="B254" s="1877">
        <f>DataUK1!HT103</f>
        <v>25.5</v>
      </c>
      <c r="C254" s="1868">
        <f>DataUK1!HU103</f>
        <v>3.115755627009646</v>
      </c>
      <c r="D254" s="1868">
        <v>37.1633</v>
      </c>
      <c r="E254" s="1870">
        <f t="shared" si="14"/>
        <v>2.8225806451612767E-2</v>
      </c>
      <c r="F254" s="1870">
        <f t="shared" si="15"/>
        <v>2.8225806451612767E-2</v>
      </c>
      <c r="G254" s="2246">
        <f t="shared" si="16"/>
        <v>0.10668589710816856</v>
      </c>
    </row>
    <row r="255" spans="1:7" ht="12" customHeight="1">
      <c r="A255" s="1869">
        <f t="shared" si="17"/>
        <v>1945</v>
      </c>
      <c r="B255" s="1877">
        <f>DataUK1!HT104</f>
        <v>26.2</v>
      </c>
      <c r="C255" s="1868">
        <f>DataUK1!HU104</f>
        <v>3.2012861736334401</v>
      </c>
      <c r="D255" s="1868">
        <v>41.128100000000003</v>
      </c>
      <c r="E255" s="1870">
        <f t="shared" si="14"/>
        <v>2.7450980392156765E-2</v>
      </c>
      <c r="F255" s="1870">
        <f t="shared" si="15"/>
        <v>2.7450980392156765E-2</v>
      </c>
      <c r="G255" s="2246">
        <f t="shared" si="16"/>
        <v>-5.8086806830366378E-3</v>
      </c>
    </row>
    <row r="256" spans="1:7" ht="12" customHeight="1">
      <c r="A256" s="1869">
        <f t="shared" si="17"/>
        <v>1946</v>
      </c>
      <c r="B256" s="1877">
        <f>DataUK1!HT105</f>
        <v>27</v>
      </c>
      <c r="C256" s="1868">
        <f>DataUK1!HU105</f>
        <v>3.2990353697749191</v>
      </c>
      <c r="D256" s="1868">
        <v>40.889200000000002</v>
      </c>
      <c r="E256" s="1870">
        <f t="shared" si="14"/>
        <v>3.0534351145038219E-2</v>
      </c>
      <c r="F256" s="1870">
        <f t="shared" si="15"/>
        <v>3.0534351145038219E-2</v>
      </c>
      <c r="G256" s="2246">
        <f t="shared" si="16"/>
        <v>0.18129726186865969</v>
      </c>
    </row>
    <row r="257" spans="1:7" ht="12" customHeight="1">
      <c r="A257" s="1869">
        <f t="shared" si="17"/>
        <v>1947</v>
      </c>
      <c r="B257" s="1877">
        <f>DataUK1!HT106</f>
        <v>28.9</v>
      </c>
      <c r="C257" s="1868">
        <f>DataUK1!HU106</f>
        <v>3.5311897106109322</v>
      </c>
      <c r="D257" s="1868">
        <v>48.302300000000002</v>
      </c>
      <c r="E257" s="1870">
        <f t="shared" si="14"/>
        <v>7.0370370370370416E-2</v>
      </c>
      <c r="F257" s="1870">
        <f t="shared" si="15"/>
        <v>7.0370370370370416E-2</v>
      </c>
      <c r="G257" s="2246">
        <f t="shared" si="16"/>
        <v>-2.7371367409005365E-2</v>
      </c>
    </row>
    <row r="258" spans="1:7" ht="12" customHeight="1">
      <c r="A258" s="1869">
        <f t="shared" si="17"/>
        <v>1948</v>
      </c>
      <c r="B258" s="1877">
        <f>DataUK1!HT107</f>
        <v>31.1</v>
      </c>
      <c r="C258" s="1868">
        <f>DataUK1!HU107</f>
        <v>3.8</v>
      </c>
      <c r="D258" s="1868">
        <v>46.980200000000004</v>
      </c>
      <c r="E258" s="1870">
        <f t="shared" si="14"/>
        <v>7.6124567474048499E-2</v>
      </c>
      <c r="F258" s="1870">
        <f t="shared" si="15"/>
        <v>7.6124567474048499E-2</v>
      </c>
      <c r="G258" s="2246">
        <f t="shared" si="16"/>
        <v>-4.0025372390922187E-2</v>
      </c>
    </row>
    <row r="259" spans="1:7" ht="12" customHeight="1">
      <c r="A259" s="1869">
        <f t="shared" si="17"/>
        <v>1949</v>
      </c>
      <c r="B259" s="1877">
        <f>DataUK1!HT108</f>
        <v>32</v>
      </c>
      <c r="C259" s="1868">
        <f>DataUK1!HU108</f>
        <v>3.9</v>
      </c>
      <c r="D259" s="1868">
        <v>45.099800000000002</v>
      </c>
      <c r="E259" s="1870">
        <f t="shared" si="14"/>
        <v>2.8938906752411508E-2</v>
      </c>
      <c r="F259" s="1870">
        <f t="shared" si="15"/>
        <v>2.6315789473684292E-2</v>
      </c>
      <c r="G259" s="2246">
        <f t="shared" si="16"/>
        <v>-0.13876114749954538</v>
      </c>
    </row>
    <row r="260" spans="1:7" ht="12" customHeight="1">
      <c r="A260" s="1871">
        <f t="shared" si="17"/>
        <v>1950</v>
      </c>
      <c r="B260" s="1879">
        <f>DataUK1!HT109</f>
        <v>33</v>
      </c>
      <c r="C260" s="1872">
        <f>DataUK1!HU109</f>
        <v>4</v>
      </c>
      <c r="D260" s="1872">
        <v>38.841700000000003</v>
      </c>
      <c r="E260" s="1873">
        <f t="shared" si="14"/>
        <v>3.125E-2</v>
      </c>
      <c r="F260" s="1873">
        <f t="shared" si="15"/>
        <v>2.5641025641025772E-2</v>
      </c>
      <c r="G260" s="2247">
        <f t="shared" si="16"/>
        <v>6.3539958343738823E-2</v>
      </c>
    </row>
    <row r="261" spans="1:7" ht="12" customHeight="1">
      <c r="A261" s="1869">
        <f t="shared" si="17"/>
        <v>1951</v>
      </c>
      <c r="B261" s="1877">
        <f>DataUK1!HT110</f>
        <v>36</v>
      </c>
      <c r="C261" s="1868">
        <f>DataUK1!HU110</f>
        <v>4.3</v>
      </c>
      <c r="D261" s="1868">
        <v>41.309699999999999</v>
      </c>
      <c r="E261" s="1870">
        <f t="shared" si="14"/>
        <v>9.0909090909090828E-2</v>
      </c>
      <c r="F261" s="1870">
        <f t="shared" si="15"/>
        <v>7.4999999999999956E-2</v>
      </c>
      <c r="G261" s="2246">
        <f t="shared" si="16"/>
        <v>2.4180761419230867E-2</v>
      </c>
    </row>
    <row r="262" spans="1:7" ht="12" customHeight="1">
      <c r="A262" s="1869">
        <f t="shared" si="17"/>
        <v>1952</v>
      </c>
      <c r="B262" s="1877">
        <f>DataUK1!HT111</f>
        <v>39.299999999999997</v>
      </c>
      <c r="C262" s="1868">
        <f>DataUK1!HU111</f>
        <v>4.5999999999999996</v>
      </c>
      <c r="D262" s="1868">
        <v>42.308599999999998</v>
      </c>
      <c r="E262" s="1870">
        <f t="shared" si="14"/>
        <v>9.1666666666666563E-2</v>
      </c>
      <c r="F262" s="1870">
        <f t="shared" si="15"/>
        <v>6.9767441860465018E-2</v>
      </c>
      <c r="G262" s="2246">
        <f t="shared" si="16"/>
        <v>-5.0632731879570514E-2</v>
      </c>
    </row>
    <row r="263" spans="1:7" ht="12" customHeight="1">
      <c r="A263" s="1869">
        <f t="shared" si="17"/>
        <v>1953</v>
      </c>
      <c r="B263" s="1877">
        <f>DataUK1!HT112</f>
        <v>40.5</v>
      </c>
      <c r="C263" s="1868">
        <f>DataUK1!HU112</f>
        <v>4.8</v>
      </c>
      <c r="D263" s="1868">
        <v>40.166400000000003</v>
      </c>
      <c r="E263" s="1870">
        <f t="shared" si="14"/>
        <v>3.0534351145038219E-2</v>
      </c>
      <c r="F263" s="1870">
        <f t="shared" si="15"/>
        <v>4.3478260869565188E-2</v>
      </c>
      <c r="G263" s="2246">
        <f t="shared" si="16"/>
        <v>0.15999940248565969</v>
      </c>
    </row>
    <row r="264" spans="1:7" ht="12" customHeight="1">
      <c r="A264" s="1869">
        <f t="shared" si="17"/>
        <v>1954</v>
      </c>
      <c r="B264" s="1877">
        <f>DataUK1!HT113</f>
        <v>41.3</v>
      </c>
      <c r="C264" s="1868">
        <f>DataUK1!HU113</f>
        <v>4.9000000000000004</v>
      </c>
      <c r="D264" s="1868">
        <v>46.593000000000004</v>
      </c>
      <c r="E264" s="1870">
        <f t="shared" si="14"/>
        <v>1.9753086419753041E-2</v>
      </c>
      <c r="F264" s="1870">
        <f t="shared" si="15"/>
        <v>2.0833333333333481E-2</v>
      </c>
      <c r="G264" s="2246">
        <f t="shared" si="16"/>
        <v>0.34482862232524192</v>
      </c>
    </row>
    <row r="265" spans="1:7" ht="12" customHeight="1">
      <c r="A265" s="1869">
        <f t="shared" si="17"/>
        <v>1955</v>
      </c>
      <c r="B265" s="1877">
        <f>DataUK1!HT114</f>
        <v>43.1</v>
      </c>
      <c r="C265" s="1868">
        <f>DataUK1!HU114</f>
        <v>5.0999999999999996</v>
      </c>
      <c r="D265" s="1868">
        <v>62.659599999999998</v>
      </c>
      <c r="E265" s="1870">
        <f t="shared" si="14"/>
        <v>4.3583535108958849E-2</v>
      </c>
      <c r="F265" s="1870">
        <f t="shared" si="15"/>
        <v>4.0816326530612068E-2</v>
      </c>
      <c r="G265" s="2246">
        <f t="shared" si="16"/>
        <v>1.5778906983128005E-2</v>
      </c>
    </row>
    <row r="266" spans="1:7" ht="12" customHeight="1">
      <c r="A266" s="1869">
        <f t="shared" si="17"/>
        <v>1956</v>
      </c>
      <c r="B266" s="1877">
        <f>DataUK1!HT115</f>
        <v>45.3</v>
      </c>
      <c r="C266" s="1868">
        <f>DataUK1!HU115</f>
        <v>5.4</v>
      </c>
      <c r="D266" s="1868">
        <v>63.648299999999999</v>
      </c>
      <c r="E266" s="1870">
        <f t="shared" si="14"/>
        <v>5.1044083526682105E-2</v>
      </c>
      <c r="F266" s="1870">
        <f t="shared" si="15"/>
        <v>5.8823529411764941E-2</v>
      </c>
      <c r="G266" s="2246">
        <f t="shared" si="16"/>
        <v>-8.9967838889648322E-2</v>
      </c>
    </row>
    <row r="267" spans="1:7" ht="12" customHeight="1">
      <c r="A267" s="1869">
        <f t="shared" si="17"/>
        <v>1957</v>
      </c>
      <c r="B267" s="1877">
        <f>DataUK1!HT116</f>
        <v>46.9</v>
      </c>
      <c r="C267" s="1868">
        <f>DataUK1!HU116</f>
        <v>5.6</v>
      </c>
      <c r="D267" s="1868">
        <v>57.921999999999997</v>
      </c>
      <c r="E267" s="1870">
        <f t="shared" ref="E267:E320" si="18">B267/B266-1</f>
        <v>3.5320088300220709E-2</v>
      </c>
      <c r="F267" s="1870">
        <f t="shared" ref="F267:F320" si="19">C267/C266-1</f>
        <v>3.7037037037036979E-2</v>
      </c>
      <c r="G267" s="2246">
        <f t="shared" ref="G267:G317" si="20">D268/D267-1</f>
        <v>-3.3427713131452652E-2</v>
      </c>
    </row>
    <row r="268" spans="1:7" ht="12" customHeight="1">
      <c r="A268" s="1869">
        <f t="shared" si="17"/>
        <v>1958</v>
      </c>
      <c r="B268" s="1877">
        <f>DataUK1!HT117</f>
        <v>48.4</v>
      </c>
      <c r="C268" s="1868">
        <f>DataUK1!HU117</f>
        <v>5.8</v>
      </c>
      <c r="D268" s="1868">
        <v>55.985799999999998</v>
      </c>
      <c r="E268" s="1870">
        <f t="shared" si="18"/>
        <v>3.1982942430703654E-2</v>
      </c>
      <c r="F268" s="1870">
        <f t="shared" si="19"/>
        <v>3.5714285714285809E-2</v>
      </c>
      <c r="G268" s="2246">
        <f t="shared" si="20"/>
        <v>0.3320002572080778</v>
      </c>
    </row>
    <row r="269" spans="1:7" ht="12" customHeight="1">
      <c r="A269" s="1874">
        <f t="shared" si="17"/>
        <v>1959</v>
      </c>
      <c r="B269" s="1878">
        <f>DataUK1!HT118</f>
        <v>48.6</v>
      </c>
      <c r="C269" s="1875">
        <f>DataUK1!HU118</f>
        <v>5.9</v>
      </c>
      <c r="D269" s="1875">
        <v>74.573099999999997</v>
      </c>
      <c r="E269" s="1876">
        <f t="shared" si="18"/>
        <v>4.1322314049587749E-3</v>
      </c>
      <c r="F269" s="1876">
        <f t="shared" si="19"/>
        <v>1.7241379310344973E-2</v>
      </c>
      <c r="G269" s="2248">
        <f t="shared" si="20"/>
        <v>0.43393395205509777</v>
      </c>
    </row>
    <row r="270" spans="1:7" ht="12" customHeight="1">
      <c r="A270" s="1869">
        <f t="shared" si="17"/>
        <v>1960</v>
      </c>
      <c r="B270" s="1877">
        <f>DataUK1!HT119</f>
        <v>49.1</v>
      </c>
      <c r="C270" s="1868">
        <f>DataUK1!HU119</f>
        <v>6</v>
      </c>
      <c r="D270" s="1868">
        <v>106.9329</v>
      </c>
      <c r="E270" s="1870">
        <f t="shared" si="18"/>
        <v>1.0288065843621297E-2</v>
      </c>
      <c r="F270" s="1870">
        <f t="shared" si="19"/>
        <v>1.6949152542372836E-2</v>
      </c>
      <c r="G270" s="2246">
        <f t="shared" si="20"/>
        <v>-4.712020341728318E-2</v>
      </c>
    </row>
    <row r="271" spans="1:7" ht="12" customHeight="1">
      <c r="A271" s="1869">
        <f t="shared" si="17"/>
        <v>1961</v>
      </c>
      <c r="B271" s="1877">
        <f>DataUK1!HT120</f>
        <v>50.8</v>
      </c>
      <c r="C271" s="1868">
        <f>DataUK1!HU120</f>
        <v>6.1</v>
      </c>
      <c r="D271" s="1868">
        <v>101.8942</v>
      </c>
      <c r="E271" s="1870">
        <f t="shared" si="18"/>
        <v>3.4623217922606919E-2</v>
      </c>
      <c r="F271" s="1870">
        <f t="shared" si="19"/>
        <v>1.6666666666666607E-2</v>
      </c>
      <c r="G271" s="2246">
        <f t="shared" si="20"/>
        <v>-2.5275236470770679E-2</v>
      </c>
    </row>
    <row r="272" spans="1:7" ht="12" customHeight="1">
      <c r="A272" s="1869">
        <f t="shared" si="17"/>
        <v>1962</v>
      </c>
      <c r="B272" s="1877">
        <f>DataUK1!HT121</f>
        <v>53</v>
      </c>
      <c r="C272" s="1868">
        <f>DataUK1!HU121</f>
        <v>6.4</v>
      </c>
      <c r="D272" s="1868">
        <v>99.318799999999996</v>
      </c>
      <c r="E272" s="1870">
        <f t="shared" si="18"/>
        <v>4.3307086614173373E-2</v>
      </c>
      <c r="F272" s="1870">
        <f t="shared" si="19"/>
        <v>4.9180327868852514E-2</v>
      </c>
      <c r="G272" s="2246">
        <f t="shared" si="20"/>
        <v>-1.8111374684349757E-2</v>
      </c>
    </row>
    <row r="273" spans="1:9" ht="12" customHeight="1">
      <c r="A273" s="1869">
        <f t="shared" si="17"/>
        <v>1963</v>
      </c>
      <c r="B273" s="1877">
        <f>DataUK1!HT122</f>
        <v>54</v>
      </c>
      <c r="C273" s="1868">
        <f>DataUK1!HU122</f>
        <v>6.5</v>
      </c>
      <c r="D273" s="1868">
        <v>97.52</v>
      </c>
      <c r="E273" s="1870">
        <f t="shared" si="18"/>
        <v>1.8867924528301883E-2</v>
      </c>
      <c r="F273" s="1870">
        <f t="shared" si="19"/>
        <v>1.5625E-2</v>
      </c>
      <c r="G273" s="2246">
        <f t="shared" si="20"/>
        <v>0.10602953240360957</v>
      </c>
    </row>
    <row r="274" spans="1:9" ht="12" customHeight="1">
      <c r="A274" s="1869">
        <f t="shared" si="17"/>
        <v>1964</v>
      </c>
      <c r="B274" s="1877">
        <f>DataUK1!HT123</f>
        <v>55.8</v>
      </c>
      <c r="C274" s="1868">
        <f>DataUK1!HU123</f>
        <v>6.7</v>
      </c>
      <c r="D274" s="1868">
        <v>107.86</v>
      </c>
      <c r="E274" s="1870">
        <f t="shared" si="18"/>
        <v>3.3333333333333215E-2</v>
      </c>
      <c r="F274" s="1870">
        <f t="shared" si="19"/>
        <v>3.0769230769230882E-2</v>
      </c>
      <c r="G274" s="2246">
        <f t="shared" si="20"/>
        <v>-9.6699425180789889E-2</v>
      </c>
    </row>
    <row r="275" spans="1:9" ht="12" customHeight="1">
      <c r="A275" s="1869">
        <f t="shared" si="17"/>
        <v>1965</v>
      </c>
      <c r="B275" s="1877">
        <f>DataUK1!HT124</f>
        <v>58.4</v>
      </c>
      <c r="C275" s="1868">
        <f>DataUK1!HU124</f>
        <v>7.1</v>
      </c>
      <c r="D275" s="1868">
        <v>97.43</v>
      </c>
      <c r="E275" s="1870">
        <f t="shared" si="18"/>
        <v>4.6594982078853153E-2</v>
      </c>
      <c r="F275" s="1870">
        <f t="shared" si="19"/>
        <v>5.9701492537313383E-2</v>
      </c>
      <c r="G275" s="2246">
        <f t="shared" si="20"/>
        <v>6.2506414861952075E-2</v>
      </c>
    </row>
    <row r="276" spans="1:9" ht="12" customHeight="1">
      <c r="A276" s="1869">
        <f t="shared" si="17"/>
        <v>1966</v>
      </c>
      <c r="B276" s="1877">
        <f>DataUK1!HT125</f>
        <v>60.7</v>
      </c>
      <c r="C276" s="1868">
        <f>DataUK1!HU125</f>
        <v>7.4</v>
      </c>
      <c r="D276" s="1868">
        <v>103.52</v>
      </c>
      <c r="E276" s="1870">
        <f t="shared" si="18"/>
        <v>3.9383561643835607E-2</v>
      </c>
      <c r="F276" s="1870">
        <f t="shared" si="19"/>
        <v>4.2253521126760729E-2</v>
      </c>
      <c r="G276" s="2246">
        <f t="shared" si="20"/>
        <v>-0.10664605873261201</v>
      </c>
    </row>
    <row r="277" spans="1:9" ht="12" customHeight="1">
      <c r="A277" s="1869">
        <f t="shared" si="17"/>
        <v>1967</v>
      </c>
      <c r="B277" s="1877">
        <f>DataUK1!HT126</f>
        <v>62.3</v>
      </c>
      <c r="C277" s="1868">
        <f>DataUK1!HU126</f>
        <v>7.6</v>
      </c>
      <c r="D277" s="1868">
        <v>92.48</v>
      </c>
      <c r="E277" s="1870">
        <f t="shared" si="18"/>
        <v>2.6359143327841839E-2</v>
      </c>
      <c r="F277" s="1870">
        <f t="shared" si="19"/>
        <v>2.7027027027026973E-2</v>
      </c>
      <c r="G277" s="2246">
        <f t="shared" si="20"/>
        <v>0.32115051903114189</v>
      </c>
    </row>
    <row r="278" spans="1:9" ht="12" customHeight="1">
      <c r="A278" s="1869">
        <f t="shared" si="17"/>
        <v>1968</v>
      </c>
      <c r="B278" s="1877">
        <f>DataUK1!HT127</f>
        <v>65.2</v>
      </c>
      <c r="C278" s="1868">
        <f>DataUK1!HU127</f>
        <v>7.9</v>
      </c>
      <c r="D278" s="1868">
        <v>122.18</v>
      </c>
      <c r="E278" s="1870">
        <f t="shared" si="18"/>
        <v>4.6548956661316199E-2</v>
      </c>
      <c r="F278" s="1870">
        <f t="shared" si="19"/>
        <v>3.9473684210526327E-2</v>
      </c>
      <c r="G278" s="2246">
        <f t="shared" si="20"/>
        <v>0.3799312489769191</v>
      </c>
    </row>
    <row r="279" spans="1:9" ht="12" customHeight="1">
      <c r="A279" s="1869">
        <f t="shared" si="17"/>
        <v>1969</v>
      </c>
      <c r="B279" s="1877">
        <f>DataUK1!HT128</f>
        <v>68.7</v>
      </c>
      <c r="C279" s="1868">
        <f>DataUK1!HU128</f>
        <v>8.4</v>
      </c>
      <c r="D279" s="1868">
        <v>168.6</v>
      </c>
      <c r="E279" s="1870">
        <f t="shared" si="18"/>
        <v>5.3680981595092048E-2</v>
      </c>
      <c r="F279" s="1870">
        <f t="shared" si="19"/>
        <v>6.3291139240506222E-2</v>
      </c>
      <c r="G279" s="2246">
        <f t="shared" si="20"/>
        <v>-0.12609727164887308</v>
      </c>
    </row>
    <row r="280" spans="1:9" ht="12" customHeight="1">
      <c r="A280" s="1871">
        <f t="shared" si="17"/>
        <v>1970</v>
      </c>
      <c r="B280" s="1879">
        <f>DataUK1!HT129</f>
        <v>73.099999999999994</v>
      </c>
      <c r="C280" s="1872">
        <f>DataUK1!HU129</f>
        <v>9</v>
      </c>
      <c r="D280" s="1872">
        <v>147.34</v>
      </c>
      <c r="E280" s="1873">
        <f t="shared" si="18"/>
        <v>6.4046579330421904E-2</v>
      </c>
      <c r="F280" s="1873">
        <f t="shared" si="19"/>
        <v>7.1428571428571397E-2</v>
      </c>
      <c r="G280" s="2247">
        <f t="shared" si="20"/>
        <v>-7.5200217184742901E-2</v>
      </c>
    </row>
    <row r="281" spans="1:9" ht="12" customHeight="1">
      <c r="A281" s="1869">
        <f t="shared" si="17"/>
        <v>1971</v>
      </c>
      <c r="B281" s="1877">
        <f>DataUK1!HT130</f>
        <v>80</v>
      </c>
      <c r="C281" s="1868">
        <f>DataUK1!HU130</f>
        <v>9.8000000000000007</v>
      </c>
      <c r="D281" s="1868">
        <v>136.26</v>
      </c>
      <c r="E281" s="1870">
        <f t="shared" si="18"/>
        <v>9.4391244870041024E-2</v>
      </c>
      <c r="F281" s="1870">
        <f t="shared" si="19"/>
        <v>8.8888888888889017E-2</v>
      </c>
      <c r="G281" s="2246">
        <f t="shared" si="20"/>
        <v>0.41927198003816235</v>
      </c>
    </row>
    <row r="282" spans="1:9" ht="12" customHeight="1">
      <c r="A282" s="1869">
        <f t="shared" si="17"/>
        <v>1972</v>
      </c>
      <c r="B282" s="1877">
        <f>DataUK1!HT131</f>
        <v>85.7</v>
      </c>
      <c r="C282" s="1868">
        <f>DataUK1!HU131</f>
        <v>10.6</v>
      </c>
      <c r="D282" s="1868">
        <v>193.39</v>
      </c>
      <c r="E282" s="1870">
        <f t="shared" si="18"/>
        <v>7.1250000000000036E-2</v>
      </c>
      <c r="F282" s="1870">
        <f t="shared" si="19"/>
        <v>8.1632653061224358E-2</v>
      </c>
      <c r="G282" s="2246">
        <f t="shared" si="20"/>
        <v>0.12818656600651535</v>
      </c>
    </row>
    <row r="283" spans="1:9" ht="12" customHeight="1">
      <c r="A283" s="1869">
        <f t="shared" si="17"/>
        <v>1973</v>
      </c>
      <c r="B283" s="1877">
        <f>DataUK1!HT132</f>
        <v>93.5</v>
      </c>
      <c r="C283" s="1868">
        <f>DataUK1!HU132</f>
        <v>11.4</v>
      </c>
      <c r="D283" s="1868">
        <v>218.18</v>
      </c>
      <c r="E283" s="1870">
        <f t="shared" si="18"/>
        <v>9.1015169194865742E-2</v>
      </c>
      <c r="F283" s="1870">
        <f t="shared" si="19"/>
        <v>7.547169811320753E-2</v>
      </c>
      <c r="G283" s="2246">
        <f t="shared" si="20"/>
        <v>-0.31359427995233302</v>
      </c>
      <c r="H283" s="1864"/>
      <c r="I283" s="1864"/>
    </row>
    <row r="284" spans="1:9" ht="12" customHeight="1">
      <c r="A284" s="1869">
        <f t="shared" si="17"/>
        <v>1974</v>
      </c>
      <c r="B284" s="1877">
        <f>DataUK1!HT133</f>
        <v>108.5</v>
      </c>
      <c r="C284" s="1868">
        <f>DataUK1!HU133</f>
        <v>13.1</v>
      </c>
      <c r="D284" s="1868">
        <v>149.76</v>
      </c>
      <c r="E284" s="1870">
        <f t="shared" si="18"/>
        <v>0.16042780748663099</v>
      </c>
      <c r="F284" s="1870">
        <f t="shared" si="19"/>
        <v>0.14912280701754388</v>
      </c>
      <c r="G284" s="2246">
        <f t="shared" si="20"/>
        <v>-0.55335202991452981</v>
      </c>
      <c r="H284" s="1864"/>
      <c r="I284" s="1864"/>
    </row>
    <row r="285" spans="1:9" ht="12" customHeight="1">
      <c r="A285" s="1869">
        <f t="shared" si="17"/>
        <v>1975</v>
      </c>
      <c r="B285" s="1877">
        <f>DataUK1!HT134</f>
        <v>134.80000000000001</v>
      </c>
      <c r="C285" s="1868">
        <f>DataUK1!HU134</f>
        <v>16.7</v>
      </c>
      <c r="D285" s="1868">
        <v>66.89</v>
      </c>
      <c r="E285" s="1870">
        <f t="shared" si="18"/>
        <v>0.24239631336405543</v>
      </c>
      <c r="F285" s="1870">
        <f t="shared" si="19"/>
        <v>0.27480916030534353</v>
      </c>
      <c r="G285" s="2246">
        <f t="shared" si="20"/>
        <v>1.3632830019434894</v>
      </c>
      <c r="H285" s="1864"/>
      <c r="I285" s="1864"/>
    </row>
    <row r="286" spans="1:9" ht="12" customHeight="1">
      <c r="A286" s="1869">
        <f t="shared" si="17"/>
        <v>1976</v>
      </c>
      <c r="B286" s="1877">
        <f>DataUK1!HT135</f>
        <v>157.1</v>
      </c>
      <c r="C286" s="1868">
        <f>DataUK1!HU135</f>
        <v>19.2</v>
      </c>
      <c r="D286" s="1868">
        <v>158.08000000000001</v>
      </c>
      <c r="E286" s="1870">
        <f t="shared" si="18"/>
        <v>0.16543026706231445</v>
      </c>
      <c r="F286" s="1870">
        <f t="shared" si="19"/>
        <v>0.14970059880239517</v>
      </c>
      <c r="G286" s="2246">
        <f t="shared" si="20"/>
        <v>-3.8714574898785492E-2</v>
      </c>
      <c r="H286" s="1864"/>
      <c r="I286" s="1864"/>
    </row>
    <row r="287" spans="1:9" ht="12" customHeight="1">
      <c r="A287" s="1869">
        <f t="shared" si="17"/>
        <v>1977</v>
      </c>
      <c r="B287" s="1877">
        <f>DataUK1!HT136</f>
        <v>182</v>
      </c>
      <c r="C287" s="1868">
        <f>DataUK1!HU136</f>
        <v>21.8</v>
      </c>
      <c r="D287" s="1868">
        <v>151.96</v>
      </c>
      <c r="E287" s="1870">
        <f t="shared" si="18"/>
        <v>0.15849777211966898</v>
      </c>
      <c r="F287" s="1870">
        <f t="shared" si="19"/>
        <v>0.13541666666666674</v>
      </c>
      <c r="G287" s="2246">
        <f t="shared" si="20"/>
        <v>0.41175309291918927</v>
      </c>
      <c r="H287" s="1864"/>
      <c r="I287" s="1864"/>
    </row>
    <row r="288" spans="1:9" ht="12" customHeight="1">
      <c r="A288" s="1869">
        <f t="shared" si="17"/>
        <v>1978</v>
      </c>
      <c r="B288" s="1877">
        <f>DataUK1!HT137</f>
        <v>197.1</v>
      </c>
      <c r="C288" s="1868">
        <f>DataUK1!HU137</f>
        <v>24.4</v>
      </c>
      <c r="D288" s="1868">
        <v>214.53</v>
      </c>
      <c r="E288" s="1870">
        <f t="shared" si="18"/>
        <v>8.2967032967032894E-2</v>
      </c>
      <c r="F288" s="1870">
        <f t="shared" si="19"/>
        <v>0.11926605504587151</v>
      </c>
      <c r="G288" s="2246">
        <f t="shared" si="20"/>
        <v>2.6523097002750129E-2</v>
      </c>
      <c r="H288" s="1864"/>
      <c r="I288" s="1864"/>
    </row>
    <row r="289" spans="1:9" ht="12" customHeight="1">
      <c r="A289" s="1874">
        <f t="shared" si="17"/>
        <v>1979</v>
      </c>
      <c r="B289" s="1878">
        <f>DataUK1!HT138</f>
        <v>223.5</v>
      </c>
      <c r="C289" s="1875">
        <f>DataUK1!HU138</f>
        <v>27.9</v>
      </c>
      <c r="D289" s="1875">
        <v>220.22</v>
      </c>
      <c r="E289" s="1876">
        <f t="shared" si="18"/>
        <v>0.13394216133942161</v>
      </c>
      <c r="F289" s="1876">
        <f t="shared" si="19"/>
        <v>0.14344262295081966</v>
      </c>
      <c r="G289" s="2248">
        <f t="shared" si="20"/>
        <v>4.3456543456543484E-2</v>
      </c>
      <c r="H289" s="1864"/>
      <c r="I289" s="1864"/>
    </row>
    <row r="290" spans="1:9" ht="12" customHeight="1">
      <c r="A290" s="1869">
        <f t="shared" si="17"/>
        <v>1980</v>
      </c>
      <c r="B290" s="1877">
        <f>DataUK1!HT139</f>
        <v>263.7</v>
      </c>
      <c r="C290" s="1868">
        <f>DataUK1!HU139</f>
        <v>33.4</v>
      </c>
      <c r="D290" s="1868">
        <v>229.79</v>
      </c>
      <c r="E290" s="1870">
        <f t="shared" si="18"/>
        <v>0.17986577181208041</v>
      </c>
      <c r="F290" s="1870">
        <f t="shared" si="19"/>
        <v>0.19713261648745517</v>
      </c>
      <c r="G290" s="2246">
        <f t="shared" si="20"/>
        <v>0.27068192697680504</v>
      </c>
      <c r="H290" s="1864"/>
      <c r="I290" s="1864"/>
    </row>
    <row r="291" spans="1:9" ht="12" customHeight="1">
      <c r="A291" s="1869">
        <f t="shared" si="17"/>
        <v>1981</v>
      </c>
      <c r="B291" s="1877">
        <f>DataUK1!HT140</f>
        <v>295</v>
      </c>
      <c r="C291" s="1868">
        <f>DataUK1!HU140</f>
        <v>37.200000000000003</v>
      </c>
      <c r="D291" s="1868">
        <v>291.99</v>
      </c>
      <c r="E291" s="1870">
        <f t="shared" si="18"/>
        <v>0.11869548729616985</v>
      </c>
      <c r="F291" s="1870">
        <f t="shared" si="19"/>
        <v>0.11377245508982048</v>
      </c>
      <c r="G291" s="2246">
        <f t="shared" si="20"/>
        <v>7.2365491968902962E-2</v>
      </c>
      <c r="H291" s="1864"/>
      <c r="I291" s="1864"/>
    </row>
    <row r="292" spans="1:9" ht="12" customHeight="1">
      <c r="A292" s="1869">
        <f t="shared" si="17"/>
        <v>1982</v>
      </c>
      <c r="B292" s="1877">
        <f>DataUK1!HT141</f>
        <v>320.39999999999998</v>
      </c>
      <c r="C292" s="1868">
        <f>DataUK1!HU141</f>
        <v>39.9</v>
      </c>
      <c r="D292" s="1868">
        <v>313.12</v>
      </c>
      <c r="E292" s="1870">
        <f t="shared" si="18"/>
        <v>8.6101694915254212E-2</v>
      </c>
      <c r="F292" s="1870">
        <f t="shared" si="19"/>
        <v>7.2580645161290258E-2</v>
      </c>
      <c r="G292" s="2246">
        <f t="shared" si="20"/>
        <v>0.22068216658150241</v>
      </c>
      <c r="H292" s="1864"/>
      <c r="I292" s="1864"/>
    </row>
    <row r="293" spans="1:9" ht="12" customHeight="1">
      <c r="A293" s="1869">
        <f t="shared" si="17"/>
        <v>1983</v>
      </c>
      <c r="B293" s="1877">
        <f>DataUK1!HT142</f>
        <v>335.1</v>
      </c>
      <c r="C293" s="1868">
        <f>DataUK1!HU142</f>
        <v>42.1</v>
      </c>
      <c r="D293" s="1868">
        <v>382.22</v>
      </c>
      <c r="E293" s="1870">
        <f t="shared" si="18"/>
        <v>4.5880149812734139E-2</v>
      </c>
      <c r="F293" s="1870">
        <f t="shared" si="19"/>
        <v>5.513784461152893E-2</v>
      </c>
      <c r="G293" s="2246">
        <f t="shared" si="20"/>
        <v>0.23096645910732039</v>
      </c>
      <c r="H293" s="1864"/>
      <c r="I293" s="1864"/>
    </row>
    <row r="294" spans="1:9" ht="12" customHeight="1">
      <c r="A294" s="1869">
        <f t="shared" si="17"/>
        <v>1984</v>
      </c>
      <c r="B294" s="1877">
        <f>DataUK1!HT143</f>
        <v>351.8</v>
      </c>
      <c r="C294" s="1868">
        <f>DataUK1!HU143</f>
        <v>44.1</v>
      </c>
      <c r="D294" s="1868">
        <v>470.5</v>
      </c>
      <c r="E294" s="1870">
        <f t="shared" si="18"/>
        <v>4.9835869889585105E-2</v>
      </c>
      <c r="F294" s="1870">
        <f t="shared" si="19"/>
        <v>4.7505938242280221E-2</v>
      </c>
      <c r="G294" s="2246">
        <f t="shared" si="20"/>
        <v>0.26023379383634437</v>
      </c>
      <c r="H294" s="1864"/>
      <c r="I294" s="1864"/>
    </row>
    <row r="295" spans="1:9" ht="12" customHeight="1">
      <c r="A295" s="1869">
        <f t="shared" si="17"/>
        <v>1985</v>
      </c>
      <c r="B295" s="1877">
        <f>DataUK1!HT144</f>
        <v>373.2</v>
      </c>
      <c r="C295" s="1868">
        <f>DataUK1!HU144</f>
        <v>46.6</v>
      </c>
      <c r="D295" s="1868">
        <v>592.94000000000005</v>
      </c>
      <c r="E295" s="1870">
        <f t="shared" si="18"/>
        <v>6.0830017055144792E-2</v>
      </c>
      <c r="F295" s="1870">
        <f t="shared" si="19"/>
        <v>5.6689342403628107E-2</v>
      </c>
      <c r="G295" s="2246">
        <f t="shared" si="20"/>
        <v>0.15178601544844339</v>
      </c>
      <c r="H295" s="1864"/>
      <c r="I295" s="1864"/>
    </row>
    <row r="296" spans="1:9" ht="12" customHeight="1">
      <c r="A296" s="1869">
        <f t="shared" si="17"/>
        <v>1986</v>
      </c>
      <c r="B296" s="1877">
        <f>DataUK1!HT145</f>
        <v>385.9</v>
      </c>
      <c r="C296" s="1868">
        <f>DataUK1!HU145</f>
        <v>48.2</v>
      </c>
      <c r="D296" s="1868">
        <v>682.94</v>
      </c>
      <c r="E296" s="1870">
        <f t="shared" si="18"/>
        <v>3.4030010718113513E-2</v>
      </c>
      <c r="F296" s="1870">
        <f t="shared" si="19"/>
        <v>3.4334763948497882E-2</v>
      </c>
      <c r="G296" s="2246">
        <f t="shared" si="20"/>
        <v>0.2233578352417489</v>
      </c>
      <c r="H296" s="1864"/>
      <c r="I296" s="1864"/>
    </row>
    <row r="297" spans="1:9" ht="12" customHeight="1">
      <c r="A297" s="1869">
        <f t="shared" si="17"/>
        <v>1987</v>
      </c>
      <c r="B297" s="1877">
        <f>DataUK1!HT146</f>
        <v>402</v>
      </c>
      <c r="C297" s="1868">
        <f>DataUK1!HU146</f>
        <v>50.8</v>
      </c>
      <c r="D297" s="1868">
        <v>835.48</v>
      </c>
      <c r="E297" s="1870">
        <f t="shared" si="18"/>
        <v>4.172065301891692E-2</v>
      </c>
      <c r="F297" s="1870">
        <f t="shared" si="19"/>
        <v>5.3941908713692754E-2</v>
      </c>
      <c r="G297" s="2246">
        <f t="shared" si="20"/>
        <v>4.1580887633456243E-2</v>
      </c>
      <c r="H297" s="1864"/>
      <c r="I297" s="1864"/>
    </row>
    <row r="298" spans="1:9" ht="12" customHeight="1">
      <c r="A298" s="1869">
        <f t="shared" si="17"/>
        <v>1988</v>
      </c>
      <c r="B298" s="1877">
        <f>DataUK1!HT147</f>
        <v>421.7</v>
      </c>
      <c r="C298" s="1868">
        <f>DataUK1!HU147</f>
        <v>54</v>
      </c>
      <c r="D298" s="1868">
        <v>870.22</v>
      </c>
      <c r="E298" s="1870">
        <f t="shared" si="18"/>
        <v>4.9004975124378181E-2</v>
      </c>
      <c r="F298" s="1870">
        <f t="shared" si="19"/>
        <v>6.2992125984252079E-2</v>
      </c>
      <c r="G298" s="2246">
        <f t="shared" si="20"/>
        <v>6.4776723127484948E-2</v>
      </c>
      <c r="H298" s="1864"/>
      <c r="I298" s="1864"/>
    </row>
    <row r="299" spans="1:9" ht="12" customHeight="1">
      <c r="A299" s="1869">
        <f t="shared" si="17"/>
        <v>1989</v>
      </c>
      <c r="B299" s="1877">
        <f>DataUK1!HT148</f>
        <v>454.5</v>
      </c>
      <c r="C299" s="1868">
        <f>DataUK1!HU148</f>
        <v>58</v>
      </c>
      <c r="D299" s="1868">
        <v>926.59</v>
      </c>
      <c r="E299" s="1870">
        <f t="shared" si="18"/>
        <v>7.7780412615603645E-2</v>
      </c>
      <c r="F299" s="1870">
        <f t="shared" si="19"/>
        <v>7.4074074074074181E-2</v>
      </c>
      <c r="G299" s="2246">
        <f t="shared" si="20"/>
        <v>0.3001435370552239</v>
      </c>
      <c r="H299" s="1864"/>
      <c r="I299" s="1864"/>
    </row>
    <row r="300" spans="1:9" ht="12" customHeight="1">
      <c r="A300" s="1871">
        <f t="shared" si="17"/>
        <v>1990</v>
      </c>
      <c r="B300" s="1879">
        <f>DataUK1!HT149</f>
        <v>497.5</v>
      </c>
      <c r="C300" s="1872">
        <f>DataUK1!HU149</f>
        <v>62.4</v>
      </c>
      <c r="D300" s="1872">
        <v>1204.7</v>
      </c>
      <c r="E300" s="1873">
        <f t="shared" si="18"/>
        <v>9.460946094609457E-2</v>
      </c>
      <c r="F300" s="1873">
        <f t="shared" si="19"/>
        <v>7.5862068965517171E-2</v>
      </c>
      <c r="G300" s="2247">
        <f t="shared" si="20"/>
        <v>-0.14314767161949038</v>
      </c>
      <c r="H300" s="1864"/>
      <c r="I300" s="1864"/>
    </row>
    <row r="301" spans="1:9" ht="12" customHeight="1">
      <c r="A301" s="1869">
        <f t="shared" si="17"/>
        <v>1991</v>
      </c>
      <c r="B301" s="1877">
        <f>DataUK1!HT150</f>
        <v>526.70000000000005</v>
      </c>
      <c r="C301" s="1868">
        <f>DataUK1!HU150</f>
        <v>66.5</v>
      </c>
      <c r="D301" s="1868">
        <v>1032.25</v>
      </c>
      <c r="E301" s="1870">
        <f t="shared" si="18"/>
        <v>5.8693467336683458E-2</v>
      </c>
      <c r="F301" s="1870">
        <f t="shared" si="19"/>
        <v>6.5705128205128194E-2</v>
      </c>
      <c r="G301" s="2246">
        <f t="shared" si="20"/>
        <v>0.15059336401065648</v>
      </c>
      <c r="H301" s="1864"/>
      <c r="I301" s="1864"/>
    </row>
    <row r="302" spans="1:9" ht="12" customHeight="1">
      <c r="A302" s="1869">
        <f t="shared" si="17"/>
        <v>1992</v>
      </c>
      <c r="B302" s="1877">
        <f>DataUK1!HT151</f>
        <v>546.4</v>
      </c>
      <c r="C302" s="1868">
        <f>DataUK1!HU151</f>
        <v>69</v>
      </c>
      <c r="D302" s="1868">
        <v>1187.7</v>
      </c>
      <c r="E302" s="1870">
        <f t="shared" si="18"/>
        <v>3.7402696031896498E-2</v>
      </c>
      <c r="F302" s="1870">
        <f t="shared" si="19"/>
        <v>3.7593984962406068E-2</v>
      </c>
      <c r="G302" s="2246">
        <f t="shared" si="20"/>
        <v>0.14826126126126127</v>
      </c>
      <c r="H302" s="1864"/>
      <c r="I302" s="1864"/>
    </row>
    <row r="303" spans="1:9" ht="12" customHeight="1">
      <c r="A303" s="1869">
        <f t="shared" si="17"/>
        <v>1993</v>
      </c>
      <c r="B303" s="1877">
        <f>DataUK1!HT152</f>
        <v>555.1</v>
      </c>
      <c r="C303" s="1868">
        <f>DataUK1!HU152</f>
        <v>71</v>
      </c>
      <c r="D303" s="1868">
        <v>1363.7899</v>
      </c>
      <c r="E303" s="1870">
        <f t="shared" si="18"/>
        <v>1.5922401171303058E-2</v>
      </c>
      <c r="F303" s="1870">
        <f t="shared" si="19"/>
        <v>2.8985507246376718E-2</v>
      </c>
      <c r="G303" s="2246">
        <f t="shared" si="20"/>
        <v>0.2334523814848608</v>
      </c>
      <c r="H303" s="1864"/>
      <c r="I303" s="1864"/>
    </row>
    <row r="304" spans="1:9" ht="12" customHeight="1">
      <c r="A304" s="1869">
        <f t="shared" ref="A304:A320" si="21">A303+1</f>
        <v>1994</v>
      </c>
      <c r="B304" s="1877">
        <f>DataUK1!HT153</f>
        <v>568.5</v>
      </c>
      <c r="C304" s="1868">
        <f>DataUK1!HU153</f>
        <v>72.099999999999994</v>
      </c>
      <c r="D304" s="1868">
        <v>1682.1699000000001</v>
      </c>
      <c r="E304" s="1870">
        <f t="shared" si="18"/>
        <v>2.4139794631597766E-2</v>
      </c>
      <c r="F304" s="1870">
        <f t="shared" si="19"/>
        <v>1.5492957746478853E-2</v>
      </c>
      <c r="G304" s="2246">
        <f t="shared" si="20"/>
        <v>-9.5549207009351433E-2</v>
      </c>
      <c r="H304" s="1864"/>
      <c r="I304" s="1864"/>
    </row>
    <row r="305" spans="1:9" ht="12" customHeight="1">
      <c r="A305" s="1869">
        <f t="shared" si="21"/>
        <v>1995</v>
      </c>
      <c r="B305" s="1877">
        <f>DataUK1!HT154</f>
        <v>588.20000000000005</v>
      </c>
      <c r="C305" s="1868">
        <f>DataUK1!HU154</f>
        <v>74</v>
      </c>
      <c r="D305" s="1868">
        <v>1521.4399000000001</v>
      </c>
      <c r="E305" s="1870">
        <f t="shared" si="18"/>
        <v>3.4652594547053717E-2</v>
      </c>
      <c r="F305" s="1870">
        <f t="shared" si="19"/>
        <v>2.6352288488210807E-2</v>
      </c>
      <c r="G305" s="2246">
        <f t="shared" si="20"/>
        <v>0.18477890582467293</v>
      </c>
      <c r="H305" s="1864"/>
      <c r="I305" s="1864"/>
    </row>
    <row r="306" spans="1:9" ht="12" customHeight="1">
      <c r="A306" s="1869">
        <f t="shared" si="21"/>
        <v>1996</v>
      </c>
      <c r="B306" s="1877">
        <f>DataUK1!HT155</f>
        <v>602.4</v>
      </c>
      <c r="C306" s="1868">
        <f>DataUK1!HU155</f>
        <v>76.7</v>
      </c>
      <c r="D306" s="1868">
        <v>1802.5699</v>
      </c>
      <c r="E306" s="1870">
        <f t="shared" si="18"/>
        <v>2.4141448486909134E-2</v>
      </c>
      <c r="F306" s="1870">
        <f t="shared" si="19"/>
        <v>3.6486486486486447E-2</v>
      </c>
      <c r="G306" s="2246">
        <f t="shared" si="20"/>
        <v>0.11710508424666366</v>
      </c>
      <c r="H306" s="1864"/>
      <c r="I306" s="1864"/>
    </row>
    <row r="307" spans="1:9" ht="12" customHeight="1">
      <c r="A307" s="1869">
        <f t="shared" si="21"/>
        <v>1997</v>
      </c>
      <c r="B307" s="1877">
        <f>DataUK1!HT156</f>
        <v>621.29999999999995</v>
      </c>
      <c r="C307" s="1868">
        <f>DataUK1!HU156</f>
        <v>78.7</v>
      </c>
      <c r="D307" s="1868">
        <v>2013.66</v>
      </c>
      <c r="E307" s="1870">
        <f t="shared" si="18"/>
        <v>3.1374501992031734E-2</v>
      </c>
      <c r="F307" s="1870">
        <f t="shared" si="19"/>
        <v>2.6075619295958363E-2</v>
      </c>
      <c r="G307" s="2246">
        <f t="shared" si="20"/>
        <v>0.1973222887677164</v>
      </c>
      <c r="H307" s="1864"/>
      <c r="I307" s="1864"/>
    </row>
    <row r="308" spans="1:9" ht="12" customHeight="1">
      <c r="A308" s="1869">
        <f t="shared" si="21"/>
        <v>1998</v>
      </c>
      <c r="B308" s="1877">
        <f>DataUK1!HT157</f>
        <v>642.6</v>
      </c>
      <c r="C308" s="1868">
        <f>DataUK1!HU157</f>
        <v>80.3</v>
      </c>
      <c r="D308" s="1868">
        <v>2411</v>
      </c>
      <c r="E308" s="1870">
        <f t="shared" si="18"/>
        <v>3.4282955094157463E-2</v>
      </c>
      <c r="F308" s="1870">
        <f t="shared" si="19"/>
        <v>2.0330368487928796E-2</v>
      </c>
      <c r="G308" s="2246">
        <f t="shared" si="20"/>
        <v>0.10905014516797995</v>
      </c>
      <c r="H308" s="1864"/>
      <c r="I308" s="1864"/>
    </row>
    <row r="309" spans="1:9" ht="12" customHeight="1">
      <c r="A309" s="1874">
        <f t="shared" si="21"/>
        <v>1999</v>
      </c>
      <c r="B309" s="1878">
        <f>DataUK1!HT158</f>
        <v>652.5</v>
      </c>
      <c r="C309" s="1875">
        <f>DataUK1!HU158</f>
        <v>81.900000000000006</v>
      </c>
      <c r="D309" s="1875">
        <v>2673.9198999999999</v>
      </c>
      <c r="E309" s="1876">
        <f t="shared" si="18"/>
        <v>1.540616246498594E-2</v>
      </c>
      <c r="F309" s="1876">
        <f t="shared" si="19"/>
        <v>1.9925280199252882E-2</v>
      </c>
      <c r="G309" s="2248">
        <f t="shared" si="20"/>
        <v>0.21247465191459192</v>
      </c>
      <c r="H309" s="1864"/>
      <c r="I309" s="1864"/>
    </row>
    <row r="310" spans="1:9" ht="12" customHeight="1">
      <c r="A310" s="1869">
        <f t="shared" si="21"/>
        <v>2000</v>
      </c>
      <c r="B310" s="1877">
        <f>DataUK1!HT159</f>
        <v>671.8</v>
      </c>
      <c r="C310" s="1868">
        <f>DataUK1!HU159</f>
        <v>82.4</v>
      </c>
      <c r="D310" s="1868">
        <v>3242.0601000000001</v>
      </c>
      <c r="E310" s="1870">
        <f t="shared" si="18"/>
        <v>2.9578544061302559E-2</v>
      </c>
      <c r="F310" s="1870">
        <f t="shared" si="19"/>
        <v>6.1050061050060833E-3</v>
      </c>
      <c r="G310" s="2246">
        <f t="shared" si="20"/>
        <v>-7.965617293769478E-2</v>
      </c>
      <c r="H310" s="1864"/>
      <c r="I310" s="1864"/>
    </row>
    <row r="311" spans="1:9" ht="12" customHeight="1">
      <c r="A311" s="1869">
        <f t="shared" si="21"/>
        <v>2001</v>
      </c>
      <c r="B311" s="1877">
        <f>DataUK1!HT160</f>
        <v>683.7</v>
      </c>
      <c r="C311" s="1868">
        <f>DataUK1!HU160</f>
        <v>83.6</v>
      </c>
      <c r="D311" s="1868">
        <v>2983.81</v>
      </c>
      <c r="E311" s="1870">
        <f t="shared" si="18"/>
        <v>1.7713605239654706E-2</v>
      </c>
      <c r="F311" s="1870">
        <f t="shared" si="19"/>
        <v>1.4563106796116276E-2</v>
      </c>
      <c r="G311" s="2246">
        <f t="shared" si="20"/>
        <v>-0.15413514935602468</v>
      </c>
      <c r="H311" s="1864"/>
      <c r="I311" s="1864"/>
    </row>
    <row r="312" spans="1:9" ht="12" customHeight="1">
      <c r="A312" s="1869">
        <f t="shared" si="21"/>
        <v>2002</v>
      </c>
      <c r="B312" s="1877">
        <f>DataUK1!HT161</f>
        <v>695.1</v>
      </c>
      <c r="C312" s="1868">
        <f>DataUK1!HU161</f>
        <v>85.7</v>
      </c>
      <c r="D312" s="1868">
        <v>2523.9</v>
      </c>
      <c r="E312" s="1870">
        <f t="shared" si="18"/>
        <v>1.6673979815708506E-2</v>
      </c>
      <c r="F312" s="1870">
        <f t="shared" si="19"/>
        <v>2.5119617224880431E-2</v>
      </c>
      <c r="G312" s="2246">
        <f t="shared" si="20"/>
        <v>-0.24969293553627325</v>
      </c>
      <c r="H312" s="1864"/>
      <c r="I312" s="1864"/>
    </row>
    <row r="313" spans="1:9" ht="12" customHeight="1">
      <c r="A313" s="1869">
        <f t="shared" si="21"/>
        <v>2003</v>
      </c>
      <c r="B313" s="1877">
        <f>DataUK1!HT162</f>
        <v>715.2</v>
      </c>
      <c r="C313" s="1868">
        <f>DataUK1!HU162</f>
        <v>87.7</v>
      </c>
      <c r="D313" s="1868">
        <v>1893.7</v>
      </c>
      <c r="E313" s="1870">
        <f t="shared" si="18"/>
        <v>2.8916702632714841E-2</v>
      </c>
      <c r="F313" s="1870">
        <f t="shared" si="19"/>
        <v>2.3337222870478458E-2</v>
      </c>
      <c r="G313" s="2246">
        <f t="shared" si="20"/>
        <v>0.16565453873369607</v>
      </c>
      <c r="H313" s="1864"/>
      <c r="I313" s="1864"/>
    </row>
    <row r="314" spans="1:9" ht="12" customHeight="1">
      <c r="A314" s="1869">
        <f t="shared" si="21"/>
        <v>2004</v>
      </c>
      <c r="B314" s="1877">
        <f>DataUK1!HT163</f>
        <v>736.5</v>
      </c>
      <c r="C314" s="1868">
        <f>DataUK1!HU163</f>
        <v>89.9</v>
      </c>
      <c r="D314" s="1868">
        <v>2207.4</v>
      </c>
      <c r="E314" s="1870">
        <f t="shared" si="18"/>
        <v>2.9781879194630712E-2</v>
      </c>
      <c r="F314" s="1870">
        <f t="shared" si="19"/>
        <v>2.5085518814139229E-2</v>
      </c>
      <c r="G314" s="2246">
        <f t="shared" si="20"/>
        <v>9.2121953429373793E-2</v>
      </c>
      <c r="H314" s="1864"/>
      <c r="I314" s="1864"/>
    </row>
    <row r="315" spans="1:9" ht="12" customHeight="1">
      <c r="A315" s="1869">
        <f t="shared" si="21"/>
        <v>2005</v>
      </c>
      <c r="B315" s="1877">
        <f>DataUK1!HT164</f>
        <v>757.3</v>
      </c>
      <c r="C315" s="1868">
        <f>DataUK1!HU164</f>
        <v>91.8</v>
      </c>
      <c r="D315" s="1868">
        <v>2410.75</v>
      </c>
      <c r="E315" s="1870">
        <f t="shared" si="18"/>
        <v>2.8241683638832171E-2</v>
      </c>
      <c r="F315" s="1870">
        <f t="shared" si="19"/>
        <v>2.1134593993325845E-2</v>
      </c>
      <c r="G315" s="2246">
        <f t="shared" si="20"/>
        <v>0.18096857824328527</v>
      </c>
      <c r="H315" s="1864"/>
      <c r="I315" s="1864"/>
    </row>
    <row r="316" spans="1:9" ht="12" customHeight="1">
      <c r="A316" s="1869">
        <f t="shared" si="21"/>
        <v>2006</v>
      </c>
      <c r="B316" s="1877">
        <f>DataUK1!HT165</f>
        <v>781.5</v>
      </c>
      <c r="C316" s="1868">
        <f>DataUK1!HU165</f>
        <v>94.8</v>
      </c>
      <c r="D316" s="1868">
        <v>2847.02</v>
      </c>
      <c r="E316" s="1870">
        <f t="shared" si="18"/>
        <v>3.1955631849993393E-2</v>
      </c>
      <c r="F316" s="1870">
        <f t="shared" si="19"/>
        <v>3.2679738562091609E-2</v>
      </c>
      <c r="G316" s="2246">
        <f t="shared" si="20"/>
        <v>0.1315059254940254</v>
      </c>
      <c r="H316" s="691"/>
      <c r="I316" s="691"/>
    </row>
    <row r="317" spans="1:9" ht="12" customHeight="1">
      <c r="A317" s="1869">
        <f t="shared" si="21"/>
        <v>2007</v>
      </c>
      <c r="B317" s="1877">
        <f>DataUK1!HT166</f>
        <v>815</v>
      </c>
      <c r="C317" s="1868">
        <f>DataUK1!HU166</f>
        <v>97</v>
      </c>
      <c r="D317" s="1868">
        <v>3221.42</v>
      </c>
      <c r="E317" s="1870">
        <f t="shared" si="18"/>
        <v>4.2866282789507437E-2</v>
      </c>
      <c r="F317" s="1870">
        <f t="shared" si="19"/>
        <v>2.320675105485237E-2</v>
      </c>
      <c r="G317" s="2246">
        <f t="shared" si="20"/>
        <v>2.0255011764997999E-2</v>
      </c>
      <c r="H317" s="691"/>
      <c r="I317" s="691"/>
    </row>
    <row r="318" spans="1:9" ht="12" customHeight="1">
      <c r="A318" s="1869">
        <f t="shared" si="21"/>
        <v>2008</v>
      </c>
      <c r="B318" s="1877">
        <f>DataUK1!HT167</f>
        <v>847.5</v>
      </c>
      <c r="C318" s="1868">
        <f>DataUK1!HU167</f>
        <v>100</v>
      </c>
      <c r="D318" s="1868">
        <v>3286.6698999999999</v>
      </c>
      <c r="E318" s="1870">
        <f t="shared" si="18"/>
        <v>3.9877300613496924E-2</v>
      </c>
      <c r="F318" s="1870">
        <f t="shared" si="19"/>
        <v>3.0927835051546282E-2</v>
      </c>
      <c r="G318" s="2246"/>
      <c r="H318" s="691"/>
      <c r="I318" s="691"/>
    </row>
    <row r="319" spans="1:9" ht="12" customHeight="1">
      <c r="A319" s="1869">
        <f t="shared" si="21"/>
        <v>2009</v>
      </c>
      <c r="B319" s="1877">
        <f>DataUK1!HT168</f>
        <v>843</v>
      </c>
      <c r="C319" s="1868">
        <f>DataUK1!HU168</f>
        <v>101.7</v>
      </c>
      <c r="D319" s="1868">
        <v>2227.56</v>
      </c>
      <c r="E319" s="1870">
        <f t="shared" si="18"/>
        <v>-5.3097345132743223E-3</v>
      </c>
      <c r="F319" s="1870">
        <f t="shared" si="19"/>
        <v>1.7000000000000126E-2</v>
      </c>
      <c r="G319" s="2246"/>
      <c r="H319" s="691"/>
      <c r="I319" s="691"/>
    </row>
    <row r="320" spans="1:9" ht="12" customHeight="1" thickBot="1">
      <c r="A320" s="1880">
        <f t="shared" si="21"/>
        <v>2010</v>
      </c>
      <c r="B320" s="1881">
        <f>DataUK1!HT169</f>
        <v>881.9</v>
      </c>
      <c r="C320" s="1882">
        <f>DataUK1!HU169</f>
        <v>104.5</v>
      </c>
      <c r="D320" s="1882">
        <v>2829.13</v>
      </c>
      <c r="E320" s="1883">
        <f t="shared" si="18"/>
        <v>4.6144721233689179E-2</v>
      </c>
      <c r="F320" s="1883">
        <f t="shared" si="19"/>
        <v>2.7531956735496577E-2</v>
      </c>
      <c r="G320" s="2249"/>
      <c r="H320" s="691"/>
      <c r="I320" s="691"/>
    </row>
    <row r="321" spans="2:9" ht="16" thickTop="1">
      <c r="B321" s="1865"/>
      <c r="C321" s="1865"/>
      <c r="D321" s="691">
        <v>3104.23</v>
      </c>
      <c r="E321" s="1866"/>
      <c r="F321" s="1866"/>
      <c r="G321" s="691"/>
      <c r="H321" s="691"/>
      <c r="I321" s="691"/>
    </row>
    <row r="322" spans="2:9">
      <c r="B322" s="1867"/>
      <c r="C322" s="1867"/>
      <c r="D322" s="691">
        <v>2897.03</v>
      </c>
      <c r="E322" s="66"/>
      <c r="F322" s="66"/>
      <c r="G322" s="691"/>
      <c r="H322" s="691"/>
      <c r="I322" s="691"/>
    </row>
    <row r="323" spans="2:9">
      <c r="B323" s="691"/>
      <c r="C323" s="691"/>
      <c r="D323" s="691">
        <v>3191.1</v>
      </c>
      <c r="E323" s="66"/>
      <c r="F323" s="66"/>
      <c r="G323" s="691"/>
      <c r="H323" s="691"/>
    </row>
    <row r="324" spans="2:9">
      <c r="B324" s="691"/>
      <c r="C324" s="691"/>
      <c r="D324" s="691"/>
      <c r="E324" s="66"/>
      <c r="F324" s="66"/>
      <c r="G324" s="691"/>
      <c r="H324" s="691"/>
      <c r="I324" s="691"/>
    </row>
    <row r="325" spans="2:9">
      <c r="B325" s="691"/>
      <c r="C325" s="691"/>
      <c r="D325" s="691"/>
      <c r="E325" s="66"/>
      <c r="F325" s="66"/>
      <c r="G325" s="691"/>
      <c r="H325" s="691"/>
      <c r="I325" s="691"/>
    </row>
    <row r="326" spans="2:9">
      <c r="B326" s="691"/>
      <c r="C326" s="691"/>
      <c r="D326" s="691"/>
      <c r="E326" s="66"/>
      <c r="F326" s="66"/>
      <c r="G326" s="691"/>
      <c r="H326" s="691"/>
      <c r="I326" s="691"/>
    </row>
    <row r="327" spans="2:9">
      <c r="B327" s="691"/>
      <c r="C327" s="691"/>
      <c r="D327" s="691"/>
      <c r="E327" s="66"/>
      <c r="F327" s="66"/>
      <c r="G327" s="691"/>
      <c r="H327" s="691"/>
      <c r="I327" s="691"/>
    </row>
    <row r="328" spans="2:9">
      <c r="B328" s="691"/>
      <c r="C328" s="691"/>
      <c r="D328" s="691"/>
      <c r="E328" s="66"/>
      <c r="F328" s="66"/>
      <c r="G328" s="691"/>
      <c r="H328" s="691"/>
      <c r="I328" s="691"/>
    </row>
    <row r="329" spans="2:9">
      <c r="B329" s="691"/>
      <c r="C329" s="691"/>
      <c r="D329" s="691"/>
      <c r="E329" s="66"/>
      <c r="F329" s="66"/>
      <c r="G329" s="691"/>
      <c r="H329" s="691"/>
      <c r="I329" s="691"/>
    </row>
    <row r="330" spans="2:9">
      <c r="B330" s="691"/>
      <c r="C330" s="691"/>
      <c r="D330" s="691"/>
      <c r="E330" s="66"/>
      <c r="F330" s="66"/>
      <c r="G330" s="691"/>
      <c r="H330" s="691"/>
      <c r="I330" s="691"/>
    </row>
    <row r="331" spans="2:9">
      <c r="B331" s="691"/>
      <c r="C331" s="691"/>
      <c r="D331" s="691"/>
      <c r="E331" s="66"/>
      <c r="F331" s="66"/>
      <c r="G331" s="691"/>
      <c r="H331" s="691"/>
      <c r="I331" s="691"/>
    </row>
    <row r="332" spans="2:9">
      <c r="B332" s="691"/>
      <c r="C332" s="691"/>
      <c r="D332" s="691"/>
      <c r="E332" s="66"/>
      <c r="F332" s="66"/>
      <c r="G332" s="691"/>
      <c r="H332" s="691"/>
      <c r="I332" s="691"/>
    </row>
    <row r="333" spans="2:9">
      <c r="B333" s="691"/>
      <c r="C333" s="691"/>
      <c r="D333" s="691"/>
      <c r="E333" s="66"/>
      <c r="F333" s="66"/>
      <c r="G333" s="691"/>
      <c r="H333" s="691"/>
      <c r="I333" s="691"/>
    </row>
    <row r="334" spans="2:9">
      <c r="B334" s="691"/>
      <c r="C334" s="691"/>
      <c r="D334" s="691"/>
      <c r="E334" s="66"/>
      <c r="F334" s="66"/>
      <c r="G334" s="691"/>
      <c r="H334" s="691"/>
      <c r="I334" s="691"/>
    </row>
    <row r="335" spans="2:9">
      <c r="B335" s="691"/>
      <c r="C335" s="691"/>
      <c r="D335" s="691"/>
      <c r="E335" s="66"/>
      <c r="F335" s="66"/>
      <c r="G335" s="691"/>
      <c r="H335" s="691"/>
      <c r="I335" s="691"/>
    </row>
    <row r="336" spans="2:9">
      <c r="B336" s="691"/>
      <c r="C336" s="691"/>
      <c r="D336" s="691"/>
      <c r="E336" s="66"/>
      <c r="F336" s="66"/>
      <c r="G336" s="691"/>
      <c r="H336" s="691"/>
      <c r="I336" s="691"/>
    </row>
    <row r="337" spans="2:9">
      <c r="B337" s="691"/>
      <c r="C337" s="691"/>
      <c r="D337" s="691"/>
      <c r="E337" s="66"/>
      <c r="F337" s="66"/>
      <c r="G337" s="691"/>
      <c r="H337" s="691"/>
      <c r="I337" s="691"/>
    </row>
    <row r="338" spans="2:9">
      <c r="B338" s="691"/>
      <c r="C338" s="691"/>
      <c r="D338" s="691"/>
      <c r="E338" s="66"/>
      <c r="F338" s="66"/>
      <c r="G338" s="691"/>
      <c r="H338" s="691"/>
      <c r="I338" s="691"/>
    </row>
    <row r="339" spans="2:9">
      <c r="B339" s="691"/>
      <c r="C339" s="691"/>
      <c r="D339" s="691"/>
      <c r="E339" s="66"/>
      <c r="F339" s="66"/>
      <c r="G339" s="691"/>
      <c r="H339" s="691"/>
      <c r="I339" s="691"/>
    </row>
    <row r="340" spans="2:9">
      <c r="B340" s="691"/>
      <c r="C340" s="691"/>
      <c r="D340" s="691"/>
      <c r="E340" s="66"/>
      <c r="F340" s="66"/>
      <c r="G340" s="691"/>
      <c r="H340" s="691"/>
      <c r="I340" s="691"/>
    </row>
    <row r="341" spans="2:9">
      <c r="B341" s="691"/>
      <c r="C341" s="691"/>
      <c r="D341" s="691"/>
      <c r="E341" s="66"/>
      <c r="F341" s="66"/>
      <c r="G341" s="691"/>
      <c r="H341" s="691"/>
      <c r="I341" s="691"/>
    </row>
    <row r="342" spans="2:9">
      <c r="B342" s="691"/>
      <c r="C342" s="691"/>
      <c r="D342" s="691"/>
      <c r="E342" s="66"/>
      <c r="F342" s="66"/>
      <c r="G342" s="691"/>
      <c r="H342" s="691"/>
      <c r="I342" s="691"/>
    </row>
    <row r="343" spans="2:9">
      <c r="B343" s="691"/>
      <c r="C343" s="691"/>
      <c r="D343" s="691"/>
      <c r="E343" s="66"/>
      <c r="F343" s="66"/>
      <c r="G343" s="691"/>
      <c r="H343" s="691"/>
      <c r="I343" s="691"/>
    </row>
    <row r="344" spans="2:9">
      <c r="B344" s="691"/>
      <c r="C344" s="691"/>
      <c r="D344" s="691"/>
      <c r="E344" s="66"/>
      <c r="F344" s="66"/>
      <c r="G344" s="691"/>
      <c r="H344" s="691"/>
      <c r="I344" s="691"/>
    </row>
    <row r="345" spans="2:9">
      <c r="B345" s="691"/>
      <c r="C345" s="691"/>
      <c r="D345" s="691"/>
      <c r="E345" s="66"/>
      <c r="F345" s="66"/>
      <c r="G345" s="691"/>
      <c r="H345" s="691"/>
      <c r="I345" s="691"/>
    </row>
    <row r="346" spans="2:9">
      <c r="B346" s="691"/>
      <c r="C346" s="691"/>
      <c r="D346" s="691"/>
      <c r="E346" s="66"/>
      <c r="F346" s="66"/>
      <c r="G346" s="691"/>
      <c r="H346" s="691"/>
      <c r="I346" s="691"/>
    </row>
    <row r="347" spans="2:9">
      <c r="B347" s="691"/>
      <c r="C347" s="691"/>
      <c r="D347" s="691"/>
      <c r="E347" s="66"/>
      <c r="F347" s="66"/>
      <c r="G347" s="691"/>
      <c r="H347" s="691"/>
      <c r="I347" s="691"/>
    </row>
    <row r="348" spans="2:9">
      <c r="B348" s="691"/>
      <c r="C348" s="691"/>
      <c r="D348" s="691"/>
      <c r="E348" s="66"/>
      <c r="F348" s="66"/>
      <c r="G348" s="691"/>
      <c r="H348" s="691"/>
      <c r="I348" s="691"/>
    </row>
    <row r="349" spans="2:9">
      <c r="B349" s="691"/>
      <c r="C349" s="691"/>
      <c r="D349" s="691"/>
      <c r="E349" s="66"/>
      <c r="F349" s="66"/>
      <c r="G349" s="691"/>
      <c r="H349" s="691"/>
      <c r="I349" s="691"/>
    </row>
    <row r="350" spans="2:9">
      <c r="B350" s="691"/>
      <c r="C350" s="691"/>
      <c r="D350" s="691"/>
      <c r="E350" s="66"/>
      <c r="F350" s="66"/>
      <c r="G350" s="691"/>
      <c r="H350" s="691"/>
      <c r="I350" s="691"/>
    </row>
    <row r="351" spans="2:9">
      <c r="B351" s="691"/>
      <c r="C351" s="691"/>
      <c r="D351" s="691"/>
      <c r="E351" s="66"/>
      <c r="F351" s="66"/>
      <c r="G351" s="691"/>
      <c r="H351" s="691"/>
      <c r="I351" s="691"/>
    </row>
    <row r="352" spans="2:9">
      <c r="B352" s="691"/>
      <c r="C352" s="691"/>
      <c r="D352" s="691"/>
      <c r="E352" s="66"/>
      <c r="F352" s="66"/>
      <c r="G352" s="691"/>
      <c r="H352" s="691"/>
      <c r="I352" s="691"/>
    </row>
    <row r="353" spans="2:9">
      <c r="B353" s="691"/>
      <c r="C353" s="691"/>
      <c r="D353" s="691"/>
      <c r="E353" s="66"/>
      <c r="F353" s="66"/>
      <c r="G353" s="691"/>
      <c r="H353" s="691"/>
      <c r="I353" s="691"/>
    </row>
    <row r="354" spans="2:9">
      <c r="B354" s="691"/>
      <c r="C354" s="691"/>
      <c r="D354" s="691"/>
      <c r="E354" s="66"/>
      <c r="F354" s="66"/>
      <c r="G354" s="691"/>
      <c r="H354" s="691"/>
      <c r="I354" s="691"/>
    </row>
    <row r="355" spans="2:9">
      <c r="B355" s="691"/>
      <c r="C355" s="691"/>
      <c r="D355" s="691"/>
      <c r="E355" s="66"/>
      <c r="F355" s="66"/>
      <c r="G355" s="691"/>
      <c r="H355" s="691"/>
      <c r="I355" s="691"/>
    </row>
    <row r="356" spans="2:9">
      <c r="B356" s="691"/>
      <c r="C356" s="691"/>
      <c r="D356" s="691"/>
      <c r="E356" s="66"/>
      <c r="F356" s="66"/>
      <c r="G356" s="691"/>
      <c r="H356" s="691"/>
      <c r="I356" s="691"/>
    </row>
    <row r="357" spans="2:9">
      <c r="B357" s="691"/>
      <c r="C357" s="691"/>
      <c r="D357" s="691"/>
      <c r="E357" s="66"/>
      <c r="F357" s="66"/>
      <c r="G357" s="691"/>
      <c r="H357" s="691"/>
      <c r="I357" s="691"/>
    </row>
    <row r="358" spans="2:9">
      <c r="B358" s="691"/>
      <c r="C358" s="691"/>
      <c r="D358" s="691"/>
      <c r="E358" s="66"/>
      <c r="F358" s="66"/>
      <c r="G358" s="691"/>
      <c r="H358" s="691"/>
      <c r="I358" s="691"/>
    </row>
    <row r="359" spans="2:9">
      <c r="B359" s="691"/>
      <c r="C359" s="691"/>
      <c r="D359" s="691"/>
      <c r="E359" s="66"/>
      <c r="F359" s="66"/>
      <c r="G359" s="691"/>
      <c r="H359" s="691"/>
      <c r="I359" s="691"/>
    </row>
    <row r="360" spans="2:9">
      <c r="B360" s="691"/>
      <c r="C360" s="691"/>
      <c r="D360" s="691"/>
      <c r="E360" s="66"/>
      <c r="F360" s="66"/>
      <c r="G360" s="691"/>
      <c r="H360" s="691"/>
      <c r="I360" s="691"/>
    </row>
    <row r="361" spans="2:9">
      <c r="B361" s="691"/>
      <c r="C361" s="691"/>
      <c r="D361" s="691"/>
      <c r="E361" s="66"/>
      <c r="F361" s="66"/>
      <c r="G361" s="691"/>
      <c r="H361" s="691"/>
      <c r="I361" s="691"/>
    </row>
    <row r="362" spans="2:9">
      <c r="B362" s="691"/>
      <c r="C362" s="691"/>
      <c r="D362" s="691"/>
      <c r="E362" s="66"/>
      <c r="F362" s="66"/>
      <c r="G362" s="691"/>
      <c r="H362" s="691"/>
      <c r="I362" s="691"/>
    </row>
    <row r="363" spans="2:9">
      <c r="B363" s="691"/>
      <c r="C363" s="691"/>
      <c r="D363" s="691"/>
      <c r="E363" s="66"/>
      <c r="F363" s="66"/>
      <c r="G363" s="691"/>
      <c r="H363" s="691"/>
      <c r="I363" s="691"/>
    </row>
    <row r="364" spans="2:9">
      <c r="B364" s="691"/>
      <c r="C364" s="691"/>
      <c r="D364" s="691"/>
      <c r="E364" s="66"/>
      <c r="F364" s="66"/>
      <c r="G364" s="691"/>
      <c r="H364" s="691"/>
      <c r="I364" s="691"/>
    </row>
    <row r="365" spans="2:9">
      <c r="B365" s="691"/>
      <c r="C365" s="691"/>
      <c r="D365" s="691"/>
      <c r="E365" s="66"/>
      <c r="F365" s="66"/>
      <c r="G365" s="691"/>
      <c r="H365" s="691"/>
      <c r="I365" s="691"/>
    </row>
    <row r="366" spans="2:9">
      <c r="B366" s="691"/>
      <c r="C366" s="691"/>
      <c r="D366" s="691"/>
      <c r="E366" s="66"/>
      <c r="F366" s="66"/>
      <c r="G366" s="691"/>
      <c r="H366" s="691"/>
      <c r="I366" s="691"/>
    </row>
    <row r="367" spans="2:9">
      <c r="B367" s="691"/>
      <c r="C367" s="691"/>
      <c r="D367" s="691"/>
      <c r="E367" s="66"/>
      <c r="F367" s="66"/>
      <c r="G367" s="691"/>
      <c r="H367" s="691"/>
      <c r="I367" s="691"/>
    </row>
    <row r="368" spans="2:9">
      <c r="B368" s="691"/>
      <c r="C368" s="691"/>
      <c r="D368" s="691"/>
      <c r="E368" s="66"/>
      <c r="F368" s="66"/>
      <c r="G368" s="691"/>
      <c r="H368" s="691"/>
      <c r="I368" s="691"/>
    </row>
    <row r="369" spans="2:9">
      <c r="B369" s="691"/>
      <c r="C369" s="691"/>
      <c r="D369" s="691"/>
      <c r="E369" s="66"/>
      <c r="F369" s="66"/>
      <c r="G369" s="691"/>
      <c r="H369" s="691"/>
      <c r="I369" s="691"/>
    </row>
    <row r="370" spans="2:9">
      <c r="B370" s="691"/>
      <c r="C370" s="691"/>
      <c r="D370" s="691"/>
      <c r="E370" s="66"/>
      <c r="F370" s="66"/>
      <c r="G370" s="691"/>
      <c r="H370" s="691"/>
      <c r="I370" s="691"/>
    </row>
    <row r="371" spans="2:9">
      <c r="B371" s="691"/>
      <c r="C371" s="691"/>
      <c r="D371" s="691"/>
      <c r="E371" s="66"/>
      <c r="F371" s="66"/>
      <c r="G371" s="691"/>
      <c r="H371" s="691"/>
      <c r="I371" s="691"/>
    </row>
    <row r="372" spans="2:9">
      <c r="B372" s="691"/>
      <c r="C372" s="691"/>
      <c r="D372" s="691"/>
      <c r="E372" s="66"/>
      <c r="F372" s="66"/>
      <c r="G372" s="691"/>
      <c r="H372" s="691"/>
      <c r="I372" s="691"/>
    </row>
    <row r="373" spans="2:9">
      <c r="B373" s="691"/>
      <c r="C373" s="691"/>
      <c r="D373" s="691"/>
      <c r="E373" s="66"/>
      <c r="F373" s="66"/>
      <c r="G373" s="691"/>
      <c r="H373" s="691"/>
      <c r="I373" s="691"/>
    </row>
    <row r="374" spans="2:9">
      <c r="B374" s="691"/>
      <c r="C374" s="691"/>
      <c r="D374" s="691"/>
      <c r="E374" s="66"/>
      <c r="F374" s="66"/>
      <c r="G374" s="691"/>
      <c r="H374" s="691"/>
      <c r="I374" s="691"/>
    </row>
    <row r="375" spans="2:9">
      <c r="B375" s="691"/>
      <c r="C375" s="691"/>
      <c r="D375" s="691"/>
      <c r="E375" s="66"/>
      <c r="F375" s="66"/>
      <c r="G375" s="691"/>
      <c r="H375" s="691"/>
      <c r="I375" s="691"/>
    </row>
    <row r="376" spans="2:9">
      <c r="B376" s="691"/>
      <c r="C376" s="691"/>
      <c r="D376" s="691"/>
      <c r="E376" s="66"/>
      <c r="F376" s="66"/>
      <c r="G376" s="691"/>
      <c r="H376" s="691"/>
      <c r="I376" s="691"/>
    </row>
    <row r="377" spans="2:9">
      <c r="B377" s="691"/>
      <c r="C377" s="691"/>
      <c r="D377" s="691"/>
      <c r="E377" s="66"/>
      <c r="F377" s="66"/>
      <c r="G377" s="691"/>
      <c r="H377" s="691"/>
      <c r="I377" s="691"/>
    </row>
    <row r="378" spans="2:9">
      <c r="B378" s="691"/>
      <c r="C378" s="691"/>
      <c r="D378" s="691"/>
      <c r="E378" s="66"/>
      <c r="F378" s="66"/>
      <c r="G378" s="691"/>
      <c r="H378" s="691"/>
      <c r="I378" s="691"/>
    </row>
    <row r="379" spans="2:9">
      <c r="B379" s="691"/>
      <c r="C379" s="691"/>
      <c r="D379" s="691"/>
      <c r="E379" s="66"/>
      <c r="F379" s="66"/>
      <c r="G379" s="691"/>
      <c r="H379" s="691"/>
      <c r="I379" s="691"/>
    </row>
    <row r="380" spans="2:9">
      <c r="B380" s="691"/>
      <c r="C380" s="691"/>
      <c r="D380" s="691"/>
      <c r="E380" s="66"/>
      <c r="F380" s="66"/>
      <c r="G380" s="691"/>
      <c r="H380" s="691"/>
      <c r="I380" s="691"/>
    </row>
    <row r="381" spans="2:9">
      <c r="B381" s="691"/>
      <c r="C381" s="691"/>
      <c r="D381" s="691"/>
      <c r="E381" s="66"/>
      <c r="F381" s="66"/>
      <c r="G381" s="691"/>
      <c r="H381" s="691"/>
      <c r="I381" s="691"/>
    </row>
    <row r="382" spans="2:9">
      <c r="B382" s="691"/>
      <c r="C382" s="691"/>
      <c r="D382" s="691"/>
      <c r="E382" s="66"/>
      <c r="F382" s="66"/>
      <c r="G382" s="691"/>
      <c r="H382" s="691"/>
      <c r="I382" s="691"/>
    </row>
    <row r="383" spans="2:9">
      <c r="B383" s="691"/>
      <c r="C383" s="691"/>
      <c r="D383" s="691"/>
      <c r="E383" s="66"/>
      <c r="F383" s="66"/>
      <c r="G383" s="691"/>
      <c r="H383" s="691"/>
      <c r="I383" s="691"/>
    </row>
    <row r="384" spans="2:9">
      <c r="B384" s="691"/>
      <c r="C384" s="691"/>
      <c r="D384" s="691"/>
      <c r="E384" s="66"/>
      <c r="F384" s="66"/>
      <c r="G384" s="691"/>
      <c r="H384" s="691"/>
      <c r="I384" s="691"/>
    </row>
    <row r="385" spans="2:9">
      <c r="B385" s="691"/>
      <c r="C385" s="691"/>
      <c r="D385" s="691"/>
      <c r="E385" s="66"/>
      <c r="F385" s="66"/>
      <c r="G385" s="691"/>
      <c r="H385" s="691"/>
      <c r="I385" s="691"/>
    </row>
    <row r="386" spans="2:9">
      <c r="B386" s="691"/>
      <c r="C386" s="691"/>
      <c r="D386" s="691"/>
      <c r="E386" s="66"/>
      <c r="F386" s="66"/>
      <c r="G386" s="691"/>
      <c r="H386" s="691"/>
      <c r="I386" s="691"/>
    </row>
    <row r="387" spans="2:9">
      <c r="B387" s="691"/>
      <c r="C387" s="691"/>
      <c r="D387" s="691"/>
      <c r="E387" s="66"/>
      <c r="F387" s="66"/>
      <c r="G387" s="691"/>
      <c r="H387" s="691"/>
      <c r="I387" s="691"/>
    </row>
    <row r="388" spans="2:9">
      <c r="B388" s="691"/>
      <c r="C388" s="691"/>
      <c r="D388" s="691"/>
      <c r="E388" s="66"/>
      <c r="F388" s="66"/>
      <c r="G388" s="691"/>
      <c r="H388" s="691"/>
      <c r="I388" s="691"/>
    </row>
    <row r="389" spans="2:9">
      <c r="B389" s="691"/>
      <c r="C389" s="691"/>
      <c r="D389" s="691"/>
      <c r="E389" s="66"/>
      <c r="F389" s="66"/>
      <c r="G389" s="691"/>
      <c r="H389" s="691"/>
      <c r="I389" s="691"/>
    </row>
    <row r="390" spans="2:9">
      <c r="B390" s="691"/>
      <c r="C390" s="691"/>
      <c r="D390" s="691"/>
      <c r="E390" s="66"/>
      <c r="F390" s="66"/>
      <c r="G390" s="691"/>
      <c r="H390" s="691"/>
      <c r="I390" s="691"/>
    </row>
    <row r="391" spans="2:9">
      <c r="B391" s="691"/>
      <c r="C391" s="691"/>
      <c r="D391" s="691"/>
      <c r="E391" s="66"/>
      <c r="F391" s="66"/>
      <c r="G391" s="691"/>
      <c r="H391" s="691"/>
      <c r="I391" s="691"/>
    </row>
    <row r="392" spans="2:9">
      <c r="B392" s="691"/>
      <c r="C392" s="691"/>
      <c r="D392" s="691"/>
      <c r="E392" s="66"/>
      <c r="F392" s="66"/>
      <c r="G392" s="691"/>
      <c r="H392" s="691"/>
      <c r="I392" s="691"/>
    </row>
    <row r="393" spans="2:9">
      <c r="B393" s="691"/>
      <c r="C393" s="691"/>
      <c r="D393" s="691"/>
      <c r="E393" s="66"/>
      <c r="F393" s="66"/>
      <c r="G393" s="691"/>
      <c r="H393" s="691"/>
      <c r="I393" s="691"/>
    </row>
    <row r="394" spans="2:9">
      <c r="B394" s="691"/>
      <c r="C394" s="691"/>
      <c r="D394" s="691"/>
      <c r="E394" s="66"/>
      <c r="F394" s="66"/>
      <c r="G394" s="691"/>
      <c r="H394" s="691"/>
      <c r="I394" s="691"/>
    </row>
    <row r="395" spans="2:9">
      <c r="B395" s="691"/>
      <c r="C395" s="691"/>
      <c r="D395" s="691"/>
      <c r="E395" s="66"/>
      <c r="F395" s="66"/>
      <c r="G395" s="691"/>
      <c r="H395" s="691"/>
      <c r="I395" s="691"/>
    </row>
    <row r="396" spans="2:9">
      <c r="B396" s="691"/>
      <c r="C396" s="691"/>
      <c r="D396" s="691"/>
      <c r="E396" s="66"/>
      <c r="F396" s="66"/>
      <c r="G396" s="691"/>
      <c r="H396" s="691"/>
      <c r="I396" s="691"/>
    </row>
    <row r="397" spans="2:9">
      <c r="B397" s="691"/>
      <c r="C397" s="691"/>
      <c r="D397" s="691"/>
      <c r="E397" s="66"/>
      <c r="F397" s="66"/>
      <c r="G397" s="691"/>
      <c r="H397" s="691"/>
      <c r="I397" s="691"/>
    </row>
    <row r="398" spans="2:9">
      <c r="B398" s="691"/>
      <c r="C398" s="691"/>
      <c r="D398" s="691"/>
      <c r="E398" s="66"/>
      <c r="F398" s="66"/>
      <c r="G398" s="691"/>
      <c r="H398" s="691"/>
      <c r="I398" s="691"/>
    </row>
    <row r="399" spans="2:9">
      <c r="B399" s="691"/>
      <c r="C399" s="691"/>
      <c r="D399" s="691"/>
      <c r="E399" s="66"/>
      <c r="F399" s="66"/>
      <c r="G399" s="691"/>
      <c r="H399" s="691"/>
      <c r="I399" s="691"/>
    </row>
    <row r="400" spans="2:9">
      <c r="B400" s="691"/>
      <c r="C400" s="691"/>
      <c r="D400" s="691"/>
      <c r="E400" s="66"/>
      <c r="F400" s="66"/>
      <c r="G400" s="691"/>
      <c r="H400" s="691"/>
      <c r="I400" s="691"/>
    </row>
    <row r="401" spans="2:9">
      <c r="B401" s="691"/>
      <c r="C401" s="691"/>
      <c r="D401" s="691"/>
      <c r="E401" s="66"/>
      <c r="F401" s="66"/>
      <c r="G401" s="691"/>
      <c r="H401" s="691"/>
      <c r="I401" s="691"/>
    </row>
    <row r="402" spans="2:9">
      <c r="B402" s="691"/>
      <c r="C402" s="691"/>
      <c r="D402" s="691"/>
      <c r="E402" s="66"/>
      <c r="F402" s="66"/>
      <c r="G402" s="691"/>
      <c r="H402" s="691"/>
      <c r="I402" s="691"/>
    </row>
    <row r="403" spans="2:9">
      <c r="B403" s="691"/>
      <c r="C403" s="691"/>
      <c r="D403" s="691"/>
      <c r="E403" s="66"/>
      <c r="F403" s="66"/>
      <c r="G403" s="691"/>
      <c r="H403" s="691"/>
      <c r="I403" s="691"/>
    </row>
    <row r="404" spans="2:9">
      <c r="B404" s="691"/>
      <c r="C404" s="691"/>
      <c r="D404" s="691"/>
      <c r="E404" s="66"/>
      <c r="F404" s="66"/>
      <c r="G404" s="691"/>
      <c r="H404" s="691"/>
      <c r="I404" s="691"/>
    </row>
    <row r="405" spans="2:9">
      <c r="B405" s="691"/>
      <c r="C405" s="691"/>
      <c r="D405" s="691"/>
      <c r="E405" s="66"/>
      <c r="F405" s="66"/>
      <c r="G405" s="691"/>
      <c r="H405" s="691"/>
      <c r="I405" s="691"/>
    </row>
    <row r="406" spans="2:9">
      <c r="B406" s="691"/>
      <c r="C406" s="691"/>
      <c r="D406" s="691"/>
      <c r="E406" s="66"/>
      <c r="F406" s="66"/>
      <c r="G406" s="691"/>
      <c r="H406" s="691"/>
      <c r="I406" s="691"/>
    </row>
    <row r="407" spans="2:9">
      <c r="B407" s="691"/>
      <c r="C407" s="691"/>
      <c r="D407" s="691"/>
      <c r="E407" s="66"/>
      <c r="F407" s="66"/>
      <c r="G407" s="691"/>
      <c r="H407" s="691"/>
      <c r="I407" s="691"/>
    </row>
    <row r="408" spans="2:9">
      <c r="B408" s="691"/>
      <c r="C408" s="691"/>
      <c r="D408" s="691"/>
      <c r="E408" s="66"/>
      <c r="F408" s="66"/>
      <c r="G408" s="691"/>
      <c r="H408" s="691"/>
      <c r="I408" s="691"/>
    </row>
    <row r="409" spans="2:9">
      <c r="B409" s="691"/>
      <c r="C409" s="691"/>
      <c r="D409" s="691"/>
      <c r="E409" s="66"/>
      <c r="F409" s="66"/>
      <c r="G409" s="691"/>
      <c r="H409" s="691"/>
      <c r="I409" s="691"/>
    </row>
    <row r="410" spans="2:9">
      <c r="B410" s="691"/>
      <c r="C410" s="691"/>
      <c r="D410" s="691"/>
      <c r="E410" s="66"/>
      <c r="F410" s="66"/>
      <c r="G410" s="691"/>
      <c r="H410" s="691"/>
      <c r="I410" s="691"/>
    </row>
    <row r="411" spans="2:9">
      <c r="B411" s="691"/>
      <c r="C411" s="691"/>
      <c r="D411" s="691"/>
      <c r="E411" s="66"/>
      <c r="F411" s="66"/>
      <c r="G411" s="691"/>
      <c r="H411" s="691"/>
      <c r="I411" s="691"/>
    </row>
    <row r="412" spans="2:9">
      <c r="B412" s="691"/>
      <c r="C412" s="691"/>
      <c r="D412" s="691"/>
      <c r="E412" s="66"/>
      <c r="F412" s="66"/>
      <c r="G412" s="691"/>
      <c r="H412" s="691"/>
      <c r="I412" s="691"/>
    </row>
    <row r="413" spans="2:9">
      <c r="B413" s="691"/>
      <c r="C413" s="691"/>
      <c r="D413" s="691"/>
      <c r="E413" s="66"/>
      <c r="F413" s="66"/>
      <c r="G413" s="691"/>
      <c r="H413" s="691"/>
      <c r="I413" s="691"/>
    </row>
    <row r="414" spans="2:9">
      <c r="B414" s="691"/>
      <c r="C414" s="691"/>
      <c r="D414" s="691"/>
      <c r="E414" s="66"/>
      <c r="F414" s="66"/>
      <c r="G414" s="691"/>
      <c r="H414" s="691"/>
      <c r="I414" s="691"/>
    </row>
    <row r="415" spans="2:9">
      <c r="B415" s="691"/>
      <c r="C415" s="691"/>
      <c r="D415" s="691"/>
      <c r="E415" s="66"/>
      <c r="F415" s="66"/>
      <c r="G415" s="691"/>
      <c r="H415" s="691"/>
      <c r="I415" s="691"/>
    </row>
    <row r="416" spans="2:9">
      <c r="B416" s="691"/>
      <c r="C416" s="691"/>
      <c r="D416" s="691"/>
      <c r="E416" s="66"/>
      <c r="F416" s="66"/>
      <c r="G416" s="691"/>
      <c r="H416" s="691"/>
      <c r="I416" s="691"/>
    </row>
    <row r="417" spans="2:9">
      <c r="B417" s="691"/>
      <c r="C417" s="691"/>
      <c r="D417" s="691"/>
      <c r="E417" s="66"/>
      <c r="F417" s="66"/>
      <c r="G417" s="691"/>
      <c r="H417" s="691"/>
      <c r="I417" s="691"/>
    </row>
    <row r="418" spans="2:9">
      <c r="B418" s="691"/>
      <c r="C418" s="691"/>
      <c r="D418" s="691"/>
      <c r="E418" s="66"/>
      <c r="F418" s="66"/>
      <c r="G418" s="691"/>
      <c r="H418" s="691"/>
      <c r="I418" s="691"/>
    </row>
    <row r="419" spans="2:9">
      <c r="B419" s="691"/>
      <c r="C419" s="691"/>
      <c r="D419" s="691"/>
      <c r="E419" s="66"/>
      <c r="F419" s="66"/>
      <c r="G419" s="691"/>
      <c r="H419" s="691"/>
      <c r="I419" s="691"/>
    </row>
    <row r="420" spans="2:9">
      <c r="B420" s="691"/>
      <c r="C420" s="691"/>
      <c r="D420" s="691"/>
      <c r="E420" s="66"/>
      <c r="F420" s="66"/>
      <c r="G420" s="691"/>
      <c r="H420" s="691"/>
      <c r="I420" s="691"/>
    </row>
    <row r="421" spans="2:9">
      <c r="B421" s="691"/>
      <c r="C421" s="691"/>
      <c r="D421" s="691"/>
      <c r="E421" s="66"/>
      <c r="F421" s="66"/>
      <c r="G421" s="691"/>
      <c r="H421" s="691"/>
      <c r="I421" s="691"/>
    </row>
    <row r="422" spans="2:9">
      <c r="B422" s="691"/>
      <c r="C422" s="691"/>
      <c r="D422" s="691"/>
      <c r="E422" s="66"/>
      <c r="F422" s="66"/>
      <c r="G422" s="691"/>
      <c r="H422" s="691"/>
      <c r="I422" s="691"/>
    </row>
    <row r="423" spans="2:9">
      <c r="B423" s="691"/>
      <c r="C423" s="691"/>
      <c r="D423" s="691"/>
      <c r="E423" s="66"/>
      <c r="F423" s="66"/>
      <c r="G423" s="691"/>
      <c r="H423" s="691"/>
      <c r="I423" s="691"/>
    </row>
    <row r="424" spans="2:9">
      <c r="B424" s="691"/>
      <c r="C424" s="691"/>
      <c r="D424" s="691"/>
      <c r="E424" s="66"/>
      <c r="F424" s="66"/>
      <c r="G424" s="691"/>
      <c r="H424" s="691"/>
      <c r="I424" s="691"/>
    </row>
    <row r="425" spans="2:9">
      <c r="B425" s="691"/>
      <c r="C425" s="691"/>
      <c r="D425" s="691"/>
      <c r="E425" s="66"/>
      <c r="F425" s="66"/>
      <c r="G425" s="691"/>
      <c r="H425" s="691"/>
      <c r="I425" s="691"/>
    </row>
    <row r="426" spans="2:9">
      <c r="B426" s="691"/>
      <c r="C426" s="691"/>
      <c r="D426" s="691"/>
      <c r="E426" s="66"/>
      <c r="F426" s="66"/>
      <c r="G426" s="691"/>
      <c r="H426" s="691"/>
      <c r="I426" s="691"/>
    </row>
    <row r="427" spans="2:9">
      <c r="B427" s="691"/>
      <c r="C427" s="691"/>
      <c r="D427" s="691"/>
      <c r="E427" s="66"/>
      <c r="F427" s="66"/>
      <c r="G427" s="691"/>
      <c r="H427" s="691"/>
      <c r="I427" s="691"/>
    </row>
    <row r="428" spans="2:9">
      <c r="B428" s="691"/>
      <c r="C428" s="691"/>
      <c r="D428" s="691"/>
      <c r="E428" s="66"/>
      <c r="F428" s="66"/>
      <c r="G428" s="691"/>
      <c r="H428" s="691"/>
      <c r="I428" s="691"/>
    </row>
    <row r="429" spans="2:9">
      <c r="B429" s="691"/>
      <c r="C429" s="691"/>
      <c r="D429" s="691"/>
      <c r="E429" s="66"/>
      <c r="F429" s="66"/>
      <c r="G429" s="691"/>
      <c r="H429" s="691"/>
      <c r="I429" s="691"/>
    </row>
    <row r="430" spans="2:9">
      <c r="B430" s="691"/>
      <c r="C430" s="691"/>
      <c r="D430" s="691"/>
      <c r="E430" s="66"/>
      <c r="F430" s="66"/>
      <c r="G430" s="691"/>
      <c r="H430" s="691"/>
      <c r="I430" s="691"/>
    </row>
    <row r="431" spans="2:9">
      <c r="B431" s="691"/>
      <c r="C431" s="691"/>
      <c r="D431" s="691"/>
      <c r="E431" s="66"/>
      <c r="F431" s="66"/>
      <c r="G431" s="691"/>
      <c r="H431" s="691"/>
      <c r="I431" s="691"/>
    </row>
    <row r="432" spans="2:9">
      <c r="B432" s="691"/>
      <c r="C432" s="691"/>
      <c r="D432" s="691"/>
      <c r="E432" s="66"/>
      <c r="F432" s="66"/>
      <c r="G432" s="691"/>
      <c r="H432" s="691"/>
      <c r="I432" s="691"/>
    </row>
    <row r="433" spans="2:9">
      <c r="B433" s="691"/>
      <c r="C433" s="691"/>
      <c r="D433" s="691"/>
      <c r="E433" s="66"/>
      <c r="F433" s="66"/>
      <c r="G433" s="691"/>
      <c r="H433" s="691"/>
      <c r="I433" s="691"/>
    </row>
    <row r="434" spans="2:9">
      <c r="B434" s="691"/>
      <c r="C434" s="691"/>
      <c r="D434" s="691"/>
      <c r="E434" s="66"/>
      <c r="F434" s="66"/>
      <c r="G434" s="691"/>
      <c r="H434" s="691"/>
      <c r="I434" s="691"/>
    </row>
    <row r="435" spans="2:9">
      <c r="B435" s="691"/>
      <c r="C435" s="691"/>
      <c r="D435" s="691"/>
      <c r="E435" s="66"/>
      <c r="F435" s="66"/>
      <c r="G435" s="691"/>
      <c r="H435" s="691"/>
      <c r="I435" s="691"/>
    </row>
    <row r="436" spans="2:9">
      <c r="B436" s="691"/>
      <c r="C436" s="691"/>
      <c r="D436" s="691"/>
      <c r="E436" s="66"/>
      <c r="F436" s="66"/>
      <c r="G436" s="691"/>
      <c r="H436" s="691"/>
      <c r="I436" s="691"/>
    </row>
    <row r="437" spans="2:9">
      <c r="B437" s="691"/>
      <c r="C437" s="691"/>
      <c r="D437" s="691"/>
      <c r="E437" s="66"/>
      <c r="F437" s="66"/>
      <c r="G437" s="691"/>
      <c r="H437" s="691"/>
      <c r="I437" s="691"/>
    </row>
    <row r="438" spans="2:9">
      <c r="B438" s="691"/>
      <c r="C438" s="691"/>
      <c r="D438" s="691"/>
      <c r="E438" s="66"/>
      <c r="F438" s="66"/>
      <c r="G438" s="691"/>
      <c r="H438" s="691"/>
      <c r="I438" s="691"/>
    </row>
    <row r="439" spans="2:9">
      <c r="B439" s="691"/>
      <c r="C439" s="691"/>
      <c r="D439" s="691"/>
      <c r="E439" s="66"/>
      <c r="F439" s="66"/>
      <c r="G439" s="691"/>
      <c r="H439" s="691"/>
      <c r="I439" s="691"/>
    </row>
    <row r="440" spans="2:9">
      <c r="B440" s="691"/>
      <c r="C440" s="691"/>
      <c r="D440" s="691"/>
      <c r="E440" s="66"/>
      <c r="F440" s="66"/>
      <c r="G440" s="691"/>
      <c r="H440" s="691"/>
      <c r="I440" s="691"/>
    </row>
    <row r="441" spans="2:9">
      <c r="B441" s="691"/>
      <c r="C441" s="691"/>
      <c r="D441" s="691"/>
      <c r="E441" s="66"/>
      <c r="F441" s="66"/>
      <c r="G441" s="691"/>
      <c r="H441" s="691"/>
      <c r="I441" s="691"/>
    </row>
    <row r="442" spans="2:9">
      <c r="B442" s="691"/>
      <c r="C442" s="691"/>
      <c r="D442" s="691"/>
      <c r="E442" s="66"/>
      <c r="F442" s="66"/>
      <c r="G442" s="691"/>
      <c r="H442" s="691"/>
      <c r="I442" s="691"/>
    </row>
    <row r="443" spans="2:9">
      <c r="B443" s="691"/>
      <c r="C443" s="691"/>
      <c r="D443" s="691"/>
      <c r="E443" s="66"/>
      <c r="F443" s="66"/>
      <c r="G443" s="691"/>
      <c r="H443" s="691"/>
      <c r="I443" s="691"/>
    </row>
    <row r="444" spans="2:9">
      <c r="B444" s="691"/>
      <c r="C444" s="691"/>
      <c r="D444" s="691"/>
      <c r="E444" s="66"/>
      <c r="F444" s="66"/>
      <c r="G444" s="691"/>
      <c r="H444" s="691"/>
      <c r="I444" s="691"/>
    </row>
    <row r="445" spans="2:9">
      <c r="B445" s="691"/>
      <c r="C445" s="691"/>
      <c r="D445" s="691"/>
      <c r="E445" s="66"/>
      <c r="F445" s="66"/>
      <c r="G445" s="691"/>
      <c r="H445" s="691"/>
      <c r="I445" s="691"/>
    </row>
    <row r="446" spans="2:9">
      <c r="B446" s="691"/>
      <c r="C446" s="691"/>
      <c r="D446" s="691"/>
      <c r="E446" s="66"/>
      <c r="F446" s="66"/>
      <c r="G446" s="691"/>
      <c r="H446" s="691"/>
      <c r="I446" s="691"/>
    </row>
    <row r="447" spans="2:9">
      <c r="B447" s="691"/>
      <c r="C447" s="691"/>
      <c r="D447" s="691"/>
      <c r="E447" s="66"/>
      <c r="F447" s="66"/>
      <c r="G447" s="691"/>
      <c r="H447" s="691"/>
      <c r="I447" s="691"/>
    </row>
    <row r="448" spans="2:9">
      <c r="B448" s="691"/>
      <c r="C448" s="691"/>
      <c r="D448" s="691"/>
      <c r="E448" s="66"/>
      <c r="F448" s="66"/>
      <c r="G448" s="691"/>
      <c r="H448" s="691"/>
      <c r="I448" s="691"/>
    </row>
    <row r="449" spans="2:9">
      <c r="B449" s="691"/>
      <c r="C449" s="691"/>
      <c r="D449" s="691"/>
      <c r="E449" s="66"/>
      <c r="F449" s="66"/>
      <c r="G449" s="691"/>
      <c r="H449" s="691"/>
      <c r="I449" s="691"/>
    </row>
    <row r="450" spans="2:9">
      <c r="B450" s="691"/>
      <c r="C450" s="691"/>
      <c r="D450" s="691"/>
      <c r="E450" s="66"/>
      <c r="F450" s="66"/>
      <c r="G450" s="691"/>
      <c r="H450" s="691"/>
      <c r="I450" s="691"/>
    </row>
    <row r="451" spans="2:9">
      <c r="B451" s="691"/>
      <c r="C451" s="691"/>
      <c r="D451" s="691"/>
      <c r="E451" s="66"/>
      <c r="F451" s="66"/>
      <c r="G451" s="691"/>
      <c r="H451" s="691"/>
      <c r="I451" s="691"/>
    </row>
    <row r="452" spans="2:9">
      <c r="B452" s="691"/>
      <c r="C452" s="691"/>
      <c r="D452" s="691"/>
      <c r="E452" s="66"/>
      <c r="F452" s="66"/>
      <c r="G452" s="691"/>
      <c r="H452" s="691"/>
      <c r="I452" s="691"/>
    </row>
    <row r="453" spans="2:9">
      <c r="B453" s="691"/>
      <c r="C453" s="691"/>
      <c r="D453" s="691"/>
      <c r="E453" s="66"/>
      <c r="F453" s="66"/>
      <c r="G453" s="691"/>
      <c r="H453" s="691"/>
      <c r="I453" s="691"/>
    </row>
    <row r="454" spans="2:9">
      <c r="B454" s="691"/>
      <c r="C454" s="691"/>
      <c r="D454" s="691"/>
      <c r="E454" s="66"/>
      <c r="F454" s="66"/>
      <c r="G454" s="691"/>
      <c r="H454" s="691"/>
      <c r="I454" s="691"/>
    </row>
    <row r="455" spans="2:9">
      <c r="B455" s="691"/>
      <c r="C455" s="691"/>
      <c r="D455" s="691"/>
      <c r="E455" s="66"/>
      <c r="F455" s="66"/>
      <c r="G455" s="691"/>
      <c r="H455" s="691"/>
      <c r="I455" s="691"/>
    </row>
    <row r="456" spans="2:9">
      <c r="B456" s="691"/>
      <c r="C456" s="691"/>
      <c r="D456" s="691"/>
      <c r="E456" s="66"/>
      <c r="F456" s="66"/>
      <c r="G456" s="691"/>
      <c r="H456" s="691"/>
      <c r="I456" s="691"/>
    </row>
    <row r="457" spans="2:9">
      <c r="B457" s="691"/>
      <c r="C457" s="691"/>
      <c r="D457" s="691"/>
      <c r="E457" s="66"/>
      <c r="F457" s="66"/>
      <c r="G457" s="691"/>
      <c r="H457" s="691"/>
      <c r="I457" s="691"/>
    </row>
    <row r="458" spans="2:9">
      <c r="B458" s="691"/>
      <c r="C458" s="691"/>
      <c r="D458" s="691"/>
      <c r="E458" s="66"/>
      <c r="F458" s="66"/>
      <c r="G458" s="691"/>
      <c r="H458" s="691"/>
      <c r="I458" s="691"/>
    </row>
    <row r="459" spans="2:9">
      <c r="B459" s="691"/>
      <c r="C459" s="691"/>
      <c r="D459" s="691"/>
      <c r="E459" s="66"/>
      <c r="F459" s="66"/>
      <c r="G459" s="691"/>
      <c r="H459" s="691"/>
      <c r="I459" s="691"/>
    </row>
    <row r="460" spans="2:9">
      <c r="B460" s="691"/>
      <c r="C460" s="691"/>
      <c r="D460" s="691"/>
      <c r="E460" s="66"/>
      <c r="F460" s="66"/>
      <c r="G460" s="691"/>
      <c r="H460" s="691"/>
      <c r="I460" s="691"/>
    </row>
    <row r="461" spans="2:9">
      <c r="B461" s="691"/>
      <c r="C461" s="691"/>
      <c r="D461" s="691"/>
      <c r="E461" s="66"/>
      <c r="F461" s="66"/>
      <c r="G461" s="691"/>
      <c r="H461" s="691"/>
      <c r="I461" s="691"/>
    </row>
    <row r="462" spans="2:9">
      <c r="B462" s="691"/>
      <c r="C462" s="691"/>
      <c r="D462" s="691"/>
      <c r="E462" s="66"/>
      <c r="F462" s="66"/>
      <c r="G462" s="691"/>
      <c r="H462" s="691"/>
      <c r="I462" s="691"/>
    </row>
    <row r="463" spans="2:9">
      <c r="B463" s="691"/>
      <c r="C463" s="691"/>
      <c r="D463" s="691"/>
      <c r="E463" s="66"/>
      <c r="F463" s="66"/>
      <c r="G463" s="691"/>
      <c r="H463" s="691"/>
      <c r="I463" s="691"/>
    </row>
    <row r="464" spans="2:9">
      <c r="B464" s="691"/>
      <c r="C464" s="691"/>
      <c r="D464" s="691"/>
      <c r="E464" s="66"/>
      <c r="F464" s="66"/>
      <c r="G464" s="691"/>
      <c r="H464" s="691"/>
      <c r="I464" s="691"/>
    </row>
    <row r="465" spans="2:9">
      <c r="B465" s="691"/>
      <c r="C465" s="691"/>
      <c r="D465" s="691"/>
      <c r="E465" s="66"/>
      <c r="F465" s="66"/>
      <c r="G465" s="691"/>
      <c r="H465" s="691"/>
      <c r="I465" s="691"/>
    </row>
    <row r="466" spans="2:9">
      <c r="B466" s="691"/>
      <c r="C466" s="691"/>
      <c r="D466" s="691"/>
      <c r="E466" s="66"/>
      <c r="F466" s="66"/>
      <c r="G466" s="691"/>
      <c r="H466" s="691"/>
      <c r="I466" s="691"/>
    </row>
    <row r="467" spans="2:9">
      <c r="B467" s="691"/>
      <c r="C467" s="691"/>
      <c r="D467" s="691"/>
      <c r="E467" s="66"/>
      <c r="F467" s="66"/>
      <c r="G467" s="691"/>
      <c r="H467" s="691"/>
      <c r="I467" s="691"/>
    </row>
    <row r="468" spans="2:9">
      <c r="B468" s="691"/>
      <c r="C468" s="691"/>
      <c r="D468" s="691"/>
      <c r="E468" s="66"/>
      <c r="F468" s="66"/>
      <c r="G468" s="691"/>
      <c r="H468" s="691"/>
      <c r="I468" s="691"/>
    </row>
    <row r="469" spans="2:9">
      <c r="B469" s="691"/>
      <c r="C469" s="691"/>
      <c r="D469" s="691"/>
      <c r="E469" s="66"/>
      <c r="F469" s="66"/>
      <c r="G469" s="691"/>
      <c r="H469" s="691"/>
      <c r="I469" s="691"/>
    </row>
    <row r="470" spans="2:9">
      <c r="B470" s="691"/>
      <c r="C470" s="691"/>
      <c r="D470" s="691"/>
      <c r="E470" s="66"/>
      <c r="F470" s="66"/>
      <c r="G470" s="691"/>
      <c r="H470" s="691"/>
      <c r="I470" s="691"/>
    </row>
    <row r="471" spans="2:9">
      <c r="B471" s="691"/>
      <c r="C471" s="691"/>
      <c r="D471" s="691"/>
      <c r="E471" s="66"/>
      <c r="F471" s="66"/>
      <c r="G471" s="691"/>
      <c r="H471" s="691"/>
      <c r="I471" s="691"/>
    </row>
    <row r="472" spans="2:9">
      <c r="B472" s="691"/>
      <c r="C472" s="691"/>
      <c r="D472" s="691"/>
      <c r="E472" s="66"/>
      <c r="F472" s="66"/>
      <c r="G472" s="691"/>
      <c r="H472" s="691"/>
      <c r="I472" s="691"/>
    </row>
    <row r="473" spans="2:9">
      <c r="B473" s="691"/>
      <c r="C473" s="691"/>
      <c r="D473" s="691"/>
      <c r="E473" s="66"/>
      <c r="F473" s="66"/>
      <c r="G473" s="691"/>
      <c r="H473" s="691"/>
      <c r="I473" s="691"/>
    </row>
    <row r="474" spans="2:9">
      <c r="B474" s="691"/>
      <c r="C474" s="691"/>
      <c r="D474" s="691"/>
      <c r="E474" s="66"/>
      <c r="F474" s="66"/>
      <c r="G474" s="691"/>
      <c r="H474" s="691"/>
      <c r="I474" s="691"/>
    </row>
    <row r="475" spans="2:9">
      <c r="B475" s="691"/>
      <c r="C475" s="691"/>
      <c r="D475" s="691"/>
      <c r="E475" s="66"/>
      <c r="F475" s="66"/>
      <c r="G475" s="691"/>
      <c r="H475" s="691"/>
      <c r="I475" s="691"/>
    </row>
    <row r="476" spans="2:9">
      <c r="B476" s="691"/>
      <c r="C476" s="691"/>
      <c r="D476" s="691"/>
      <c r="E476" s="66"/>
      <c r="F476" s="66"/>
      <c r="G476" s="691"/>
      <c r="H476" s="691"/>
      <c r="I476" s="691"/>
    </row>
    <row r="477" spans="2:9">
      <c r="B477" s="691"/>
      <c r="C477" s="691"/>
      <c r="D477" s="691"/>
      <c r="E477" s="66"/>
      <c r="F477" s="66"/>
      <c r="G477" s="691"/>
      <c r="H477" s="691"/>
      <c r="I477" s="691"/>
    </row>
    <row r="478" spans="2:9">
      <c r="B478" s="691"/>
      <c r="C478" s="691"/>
      <c r="D478" s="691"/>
      <c r="E478" s="66"/>
      <c r="F478" s="66"/>
      <c r="G478" s="691"/>
      <c r="H478" s="691"/>
      <c r="I478" s="691"/>
    </row>
    <row r="479" spans="2:9">
      <c r="B479" s="691"/>
      <c r="C479" s="691"/>
      <c r="D479" s="691"/>
      <c r="E479" s="66"/>
      <c r="F479" s="66"/>
      <c r="G479" s="691"/>
      <c r="H479" s="691"/>
      <c r="I479" s="691"/>
    </row>
    <row r="480" spans="2:9">
      <c r="B480" s="691"/>
      <c r="C480" s="691"/>
      <c r="D480" s="691"/>
      <c r="E480" s="66"/>
      <c r="F480" s="66"/>
      <c r="G480" s="691"/>
      <c r="H480" s="691"/>
      <c r="I480" s="691"/>
    </row>
    <row r="481" spans="2:9">
      <c r="B481" s="691"/>
      <c r="C481" s="691"/>
      <c r="D481" s="691"/>
      <c r="E481" s="66"/>
      <c r="F481" s="66"/>
      <c r="G481" s="691"/>
      <c r="H481" s="691"/>
      <c r="I481" s="691"/>
    </row>
    <row r="482" spans="2:9">
      <c r="B482" s="691"/>
      <c r="C482" s="691"/>
      <c r="D482" s="691"/>
      <c r="E482" s="66"/>
      <c r="F482" s="66"/>
      <c r="G482" s="691"/>
      <c r="H482" s="691"/>
      <c r="I482" s="691"/>
    </row>
    <row r="483" spans="2:9">
      <c r="B483" s="691"/>
      <c r="C483" s="691"/>
      <c r="D483" s="691"/>
      <c r="E483" s="66"/>
      <c r="F483" s="66"/>
      <c r="G483" s="691"/>
      <c r="H483" s="691"/>
      <c r="I483" s="691"/>
    </row>
    <row r="484" spans="2:9">
      <c r="B484" s="691"/>
      <c r="C484" s="691"/>
      <c r="D484" s="691"/>
      <c r="E484" s="66"/>
      <c r="F484" s="66"/>
      <c r="G484" s="691"/>
      <c r="H484" s="691"/>
      <c r="I484" s="691"/>
    </row>
    <row r="485" spans="2:9">
      <c r="B485" s="691"/>
      <c r="C485" s="691"/>
      <c r="D485" s="691"/>
      <c r="E485" s="66"/>
      <c r="F485" s="66"/>
      <c r="G485" s="691"/>
      <c r="H485" s="691"/>
      <c r="I485" s="691"/>
    </row>
    <row r="486" spans="2:9">
      <c r="B486" s="691"/>
      <c r="C486" s="691"/>
      <c r="D486" s="691"/>
      <c r="E486" s="66"/>
      <c r="F486" s="66"/>
      <c r="G486" s="691"/>
      <c r="H486" s="691"/>
      <c r="I486" s="691"/>
    </row>
    <row r="487" spans="2:9">
      <c r="B487" s="691"/>
      <c r="C487" s="691"/>
      <c r="D487" s="691"/>
      <c r="E487" s="66"/>
      <c r="F487" s="66"/>
      <c r="G487" s="691"/>
      <c r="H487" s="691"/>
      <c r="I487" s="691"/>
    </row>
    <row r="488" spans="2:9">
      <c r="B488" s="691"/>
      <c r="C488" s="691"/>
      <c r="D488" s="691"/>
      <c r="E488" s="66"/>
      <c r="F488" s="66"/>
      <c r="G488" s="691"/>
      <c r="H488" s="691"/>
      <c r="I488" s="691"/>
    </row>
    <row r="489" spans="2:9">
      <c r="B489" s="691"/>
      <c r="C489" s="691"/>
      <c r="D489" s="691"/>
      <c r="E489" s="66"/>
      <c r="F489" s="66"/>
      <c r="G489" s="691"/>
      <c r="H489" s="691"/>
      <c r="I489" s="691"/>
    </row>
    <row r="490" spans="2:9">
      <c r="B490" s="691"/>
      <c r="C490" s="691"/>
      <c r="D490" s="691"/>
      <c r="E490" s="66"/>
      <c r="F490" s="66"/>
      <c r="G490" s="691"/>
      <c r="H490" s="691"/>
      <c r="I490" s="691"/>
    </row>
    <row r="491" spans="2:9">
      <c r="B491" s="691"/>
      <c r="C491" s="691"/>
      <c r="D491" s="691"/>
      <c r="E491" s="66"/>
      <c r="F491" s="66"/>
      <c r="G491" s="691"/>
      <c r="H491" s="691"/>
      <c r="I491" s="691"/>
    </row>
    <row r="492" spans="2:9">
      <c r="B492" s="691"/>
      <c r="C492" s="691"/>
      <c r="D492" s="691"/>
      <c r="E492" s="66"/>
      <c r="F492" s="66"/>
      <c r="G492" s="691"/>
      <c r="H492" s="691"/>
      <c r="I492" s="691"/>
    </row>
    <row r="493" spans="2:9">
      <c r="B493" s="691"/>
      <c r="C493" s="691"/>
      <c r="D493" s="691"/>
      <c r="E493" s="66"/>
      <c r="F493" s="66"/>
      <c r="G493" s="691"/>
      <c r="H493" s="691"/>
      <c r="I493" s="691"/>
    </row>
    <row r="494" spans="2:9">
      <c r="B494" s="691"/>
      <c r="C494" s="691"/>
      <c r="D494" s="691"/>
      <c r="E494" s="66"/>
      <c r="F494" s="66"/>
      <c r="G494" s="691"/>
      <c r="H494" s="691"/>
      <c r="I494" s="691"/>
    </row>
    <row r="495" spans="2:9">
      <c r="B495" s="691"/>
      <c r="C495" s="691"/>
      <c r="D495" s="691"/>
      <c r="E495" s="66"/>
      <c r="F495" s="66"/>
      <c r="G495" s="691"/>
      <c r="H495" s="691"/>
      <c r="I495" s="691"/>
    </row>
    <row r="496" spans="2:9">
      <c r="B496" s="691"/>
      <c r="C496" s="691"/>
      <c r="D496" s="691"/>
      <c r="E496" s="66"/>
      <c r="F496" s="66"/>
      <c r="G496" s="691"/>
      <c r="H496" s="691"/>
      <c r="I496" s="691"/>
    </row>
    <row r="497" spans="2:9">
      <c r="B497" s="691"/>
      <c r="C497" s="691"/>
      <c r="D497" s="691"/>
      <c r="E497" s="66"/>
      <c r="F497" s="66"/>
      <c r="G497" s="691"/>
      <c r="H497" s="691"/>
      <c r="I497" s="691"/>
    </row>
    <row r="498" spans="2:9">
      <c r="B498" s="691"/>
      <c r="C498" s="691"/>
      <c r="D498" s="691"/>
      <c r="E498" s="66"/>
      <c r="F498" s="66"/>
      <c r="G498" s="691"/>
      <c r="H498" s="691"/>
      <c r="I498" s="691"/>
    </row>
    <row r="499" spans="2:9">
      <c r="B499" s="691"/>
      <c r="C499" s="691"/>
      <c r="D499" s="691"/>
      <c r="E499" s="66"/>
      <c r="F499" s="66"/>
      <c r="G499" s="691"/>
      <c r="H499" s="691"/>
      <c r="I499" s="691"/>
    </row>
    <row r="500" spans="2:9">
      <c r="B500" s="691"/>
      <c r="C500" s="691"/>
      <c r="D500" s="691"/>
      <c r="E500" s="66"/>
      <c r="F500" s="66"/>
      <c r="G500" s="691"/>
      <c r="H500" s="691"/>
      <c r="I500" s="691"/>
    </row>
    <row r="501" spans="2:9">
      <c r="B501" s="691"/>
      <c r="C501" s="691"/>
      <c r="D501" s="691"/>
      <c r="E501" s="66"/>
      <c r="F501" s="66"/>
      <c r="G501" s="691"/>
      <c r="H501" s="691"/>
      <c r="I501" s="691"/>
    </row>
    <row r="502" spans="2:9">
      <c r="B502" s="691"/>
      <c r="C502" s="691"/>
      <c r="D502" s="691"/>
      <c r="E502" s="66"/>
      <c r="F502" s="66"/>
      <c r="G502" s="691"/>
      <c r="H502" s="691"/>
      <c r="I502" s="691"/>
    </row>
    <row r="503" spans="2:9">
      <c r="B503" s="691"/>
      <c r="C503" s="691"/>
      <c r="D503" s="691"/>
      <c r="E503" s="66"/>
      <c r="F503" s="66"/>
      <c r="G503" s="691"/>
      <c r="H503" s="691"/>
      <c r="I503" s="691"/>
    </row>
    <row r="504" spans="2:9">
      <c r="B504" s="691"/>
      <c r="C504" s="691"/>
      <c r="D504" s="691"/>
      <c r="E504" s="66"/>
      <c r="F504" s="66"/>
      <c r="G504" s="691"/>
      <c r="H504" s="691"/>
      <c r="I504" s="691"/>
    </row>
    <row r="505" spans="2:9">
      <c r="B505" s="691"/>
      <c r="C505" s="691"/>
      <c r="D505" s="691"/>
      <c r="E505" s="66"/>
      <c r="F505" s="66"/>
      <c r="G505" s="691"/>
      <c r="H505" s="691"/>
      <c r="I505" s="691"/>
    </row>
    <row r="506" spans="2:9">
      <c r="B506" s="691"/>
      <c r="C506" s="691"/>
      <c r="D506" s="691"/>
      <c r="E506" s="66"/>
      <c r="F506" s="66"/>
      <c r="G506" s="691"/>
      <c r="H506" s="691"/>
      <c r="I506" s="691"/>
    </row>
    <row r="507" spans="2:9">
      <c r="B507" s="691"/>
      <c r="C507" s="691"/>
      <c r="D507" s="691"/>
      <c r="E507" s="66"/>
      <c r="F507" s="66"/>
      <c r="G507" s="691"/>
      <c r="H507" s="691"/>
      <c r="I507" s="691"/>
    </row>
    <row r="508" spans="2:9">
      <c r="B508" s="691"/>
      <c r="C508" s="691"/>
      <c r="D508" s="691"/>
      <c r="E508" s="66"/>
      <c r="F508" s="66"/>
      <c r="G508" s="691"/>
      <c r="H508" s="691"/>
      <c r="I508" s="691"/>
    </row>
    <row r="509" spans="2:9">
      <c r="H509" s="691"/>
      <c r="I509" s="691"/>
    </row>
    <row r="510" spans="2:9">
      <c r="H510" s="691"/>
      <c r="I510" s="691"/>
    </row>
    <row r="511" spans="2:9">
      <c r="H511" s="691"/>
      <c r="I511" s="691"/>
    </row>
    <row r="512" spans="2:9">
      <c r="H512" s="691"/>
      <c r="I512" s="691"/>
    </row>
    <row r="513" spans="8:9">
      <c r="H513" s="691"/>
      <c r="I513" s="691"/>
    </row>
    <row r="514" spans="8:9">
      <c r="H514" s="691"/>
      <c r="I514" s="691"/>
    </row>
    <row r="515" spans="8:9">
      <c r="H515" s="691"/>
      <c r="I515" s="691"/>
    </row>
    <row r="516" spans="8:9">
      <c r="H516" s="691"/>
      <c r="I516" s="691"/>
    </row>
    <row r="517" spans="8:9">
      <c r="H517" s="691"/>
      <c r="I517" s="691"/>
    </row>
    <row r="518" spans="8:9">
      <c r="H518" s="691"/>
      <c r="I518" s="691"/>
    </row>
    <row r="519" spans="8:9">
      <c r="H519" s="691"/>
      <c r="I519" s="691"/>
    </row>
    <row r="520" spans="8:9">
      <c r="H520" s="691"/>
      <c r="I520" s="691"/>
    </row>
  </sheetData>
  <mergeCells count="7">
    <mergeCell ref="B2:C2"/>
    <mergeCell ref="A4:G4"/>
    <mergeCell ref="A7:A9"/>
    <mergeCell ref="B7:D7"/>
    <mergeCell ref="E7:G7"/>
    <mergeCell ref="D8:D9"/>
    <mergeCell ref="G8:G9"/>
  </mergeCells>
  <phoneticPr fontId="24" type="noConversion"/>
  <hyperlinks>
    <hyperlink ref="B2" location="Index!A1" display="Back to Index"/>
  </hyperlinks>
  <printOptions horizontalCentered="1" verticalCentered="1"/>
  <pageMargins left="0.79000000000000015" right="0.79000000000000015" top="0.98" bottom="0.98" header="0.51" footer="0.51"/>
  <pageSetup paperSize="9" scale="75" fitToHeight="5"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enableFormatConditionsCalculation="0"/>
  <dimension ref="A1:HV200"/>
  <sheetViews>
    <sheetView workbookViewId="0">
      <pane xSplit="1" ySplit="12" topLeftCell="B13" activePane="bottomRight" state="frozen"/>
      <selection pane="topRight" activeCell="B1" sqref="B1"/>
      <selection pane="bottomLeft" activeCell="A11" sqref="A11"/>
      <selection pane="bottomRight"/>
    </sheetView>
  </sheetViews>
  <sheetFormatPr baseColWidth="10" defaultColWidth="10.33203125" defaultRowHeight="12" x14ac:dyDescent="0"/>
  <cols>
    <col min="1" max="35" width="10.33203125" style="76" customWidth="1"/>
    <col min="36" max="37" width="11.33203125" style="76" customWidth="1"/>
    <col min="38" max="39" width="10.33203125" style="76" customWidth="1"/>
    <col min="40" max="41" width="10.6640625" style="76" customWidth="1"/>
    <col min="42" max="230" width="10.33203125" style="76" customWidth="1"/>
    <col min="231" max="16384" width="10.33203125" style="76"/>
  </cols>
  <sheetData>
    <row r="1" spans="1:230">
      <c r="A1" s="75" t="s">
        <v>1133</v>
      </c>
      <c r="B1" s="75"/>
      <c r="C1" s="75"/>
      <c r="D1" s="75"/>
      <c r="E1" s="75"/>
      <c r="F1" s="75"/>
      <c r="G1" s="75"/>
      <c r="H1" s="75"/>
      <c r="I1" s="75"/>
      <c r="J1" s="75"/>
    </row>
    <row r="2" spans="1:230">
      <c r="A2" s="87" t="s">
        <v>1452</v>
      </c>
    </row>
    <row r="3" spans="1:230">
      <c r="A3" s="87" t="s">
        <v>424</v>
      </c>
      <c r="CL3" s="2128"/>
    </row>
    <row r="4" spans="1:230">
      <c r="ED4" s="1713"/>
    </row>
    <row r="5" spans="1:230" ht="13" customHeight="1">
      <c r="AB5" s="83"/>
      <c r="AC5" s="83"/>
      <c r="HT5" s="285"/>
      <c r="HU5" s="285"/>
      <c r="HV5" s="285"/>
    </row>
    <row r="6" spans="1:230" ht="15" customHeight="1">
      <c r="B6" s="2602" t="s">
        <v>1123</v>
      </c>
      <c r="C6" s="2602"/>
      <c r="D6" s="2602"/>
      <c r="E6" s="2602"/>
      <c r="F6" s="2593"/>
      <c r="G6" s="2591" t="s">
        <v>1122</v>
      </c>
      <c r="H6" s="2602"/>
      <c r="I6" s="2602"/>
      <c r="J6" s="2593"/>
      <c r="K6" s="2591" t="s">
        <v>41</v>
      </c>
      <c r="L6" s="2592"/>
      <c r="M6" s="2592"/>
      <c r="N6" s="2592"/>
      <c r="O6" s="2592"/>
      <c r="P6" s="2592"/>
      <c r="Q6" s="2592"/>
      <c r="R6" s="2592"/>
      <c r="S6" s="2593"/>
      <c r="T6" s="2591" t="s">
        <v>42</v>
      </c>
      <c r="U6" s="2592"/>
      <c r="V6" s="2592"/>
      <c r="W6" s="2592"/>
      <c r="X6" s="2592"/>
      <c r="Y6" s="2592"/>
      <c r="Z6" s="2592"/>
      <c r="AA6" s="2592"/>
      <c r="AB6" s="1014"/>
      <c r="AC6" s="2603" t="s">
        <v>1503</v>
      </c>
      <c r="AD6" s="2592"/>
      <c r="AE6" s="2592"/>
      <c r="AF6" s="2592"/>
      <c r="AG6" s="2592"/>
      <c r="AH6" s="2592"/>
      <c r="AI6" s="2592"/>
      <c r="AJ6" s="2591" t="s">
        <v>989</v>
      </c>
      <c r="AK6" s="2592"/>
      <c r="AL6" s="2592"/>
      <c r="AM6" s="2592"/>
      <c r="AN6" s="2592"/>
      <c r="AO6" s="2604"/>
      <c r="AP6" s="2605" t="s">
        <v>1129</v>
      </c>
      <c r="AQ6" s="2598"/>
      <c r="AR6" s="2598"/>
      <c r="AS6" s="2598"/>
      <c r="AT6" s="2598"/>
      <c r="AU6" s="2598"/>
      <c r="AV6" s="2598"/>
      <c r="AW6" s="2598"/>
      <c r="AX6" s="2598"/>
      <c r="AY6" s="2598"/>
      <c r="AZ6" s="2598"/>
      <c r="BA6" s="2598"/>
      <c r="BB6" s="2598"/>
      <c r="BC6" s="2598"/>
      <c r="BD6" s="2598"/>
      <c r="BE6" s="2598"/>
      <c r="BF6" s="2598"/>
      <c r="BG6" s="2598"/>
      <c r="BH6" s="2606"/>
      <c r="BI6" s="2591" t="s">
        <v>1128</v>
      </c>
      <c r="BJ6" s="2592"/>
      <c r="BK6" s="2592"/>
      <c r="BL6" s="2592"/>
      <c r="BM6" s="2591" t="s">
        <v>988</v>
      </c>
      <c r="BN6" s="2592"/>
      <c r="BO6" s="2592"/>
      <c r="BP6" s="2592"/>
      <c r="BQ6" s="2592"/>
      <c r="BR6" s="2592"/>
      <c r="BS6" s="2592"/>
      <c r="BT6" s="2592"/>
      <c r="BU6" s="2592"/>
      <c r="BV6" s="2592"/>
      <c r="BW6" s="2593"/>
      <c r="BX6" s="2594" t="s">
        <v>466</v>
      </c>
      <c r="BY6" s="2595"/>
      <c r="BZ6" s="2596"/>
      <c r="CA6" s="2591" t="s">
        <v>1127</v>
      </c>
      <c r="CB6" s="2592"/>
      <c r="CC6" s="2592"/>
      <c r="CD6" s="2592"/>
      <c r="CE6" s="2592"/>
      <c r="CF6" s="2592"/>
      <c r="CG6" s="2592"/>
      <c r="CH6" s="2592"/>
      <c r="CI6" s="2592"/>
      <c r="CJ6" s="2592"/>
      <c r="CK6" s="2592"/>
      <c r="CL6" s="2597" t="s">
        <v>43</v>
      </c>
      <c r="CM6" s="2598"/>
      <c r="CN6" s="2598"/>
      <c r="CO6" s="2598"/>
      <c r="CP6" s="2598"/>
      <c r="CQ6" s="2598"/>
      <c r="CR6" s="2598"/>
      <c r="CS6" s="2598"/>
      <c r="CT6" s="2601" t="s">
        <v>44</v>
      </c>
      <c r="CU6" s="2601"/>
      <c r="CV6" s="2601"/>
      <c r="CW6" s="2601"/>
      <c r="CX6" s="81"/>
      <c r="CY6" s="81"/>
      <c r="CZ6" s="2599" t="s">
        <v>45</v>
      </c>
      <c r="DA6" s="2599"/>
      <c r="DB6" s="2599"/>
      <c r="DC6" s="2599"/>
      <c r="DD6" s="2599"/>
      <c r="DE6" s="2599"/>
      <c r="DF6" s="2599"/>
      <c r="DG6" s="2600"/>
      <c r="DH6" s="2591" t="s">
        <v>46</v>
      </c>
      <c r="DI6" s="2592"/>
      <c r="DJ6" s="2592"/>
      <c r="DK6" s="2592"/>
      <c r="DL6" s="2592"/>
      <c r="DM6" s="2592"/>
      <c r="DN6" s="2592"/>
      <c r="DO6" s="2592"/>
      <c r="DP6" s="2593"/>
      <c r="DQ6" s="2591" t="s">
        <v>1130</v>
      </c>
      <c r="DR6" s="2592"/>
      <c r="DS6" s="2592"/>
      <c r="DT6" s="2592"/>
      <c r="DU6" s="2592"/>
      <c r="DV6" s="2592"/>
      <c r="DW6" s="2592"/>
      <c r="DX6" s="2592"/>
      <c r="DY6" s="2592"/>
      <c r="DZ6" s="2592"/>
      <c r="EA6" s="2592"/>
      <c r="EB6" s="2592"/>
      <c r="EC6" s="2592"/>
      <c r="ED6" s="2592"/>
      <c r="EE6" s="2592"/>
      <c r="EF6" s="2592"/>
      <c r="EG6" s="2592"/>
      <c r="EH6" s="2592"/>
      <c r="EI6" s="2592"/>
      <c r="EJ6" s="2592"/>
      <c r="EK6" s="2592"/>
      <c r="EL6" s="2592"/>
      <c r="EM6" s="2592"/>
      <c r="EN6" s="2592"/>
      <c r="EO6" s="2592"/>
      <c r="EP6" s="2592"/>
      <c r="EQ6" s="2592"/>
      <c r="ER6" s="2592"/>
      <c r="ES6" s="2592"/>
      <c r="ET6" s="2592"/>
      <c r="EU6" s="2592"/>
      <c r="EV6" s="2592"/>
      <c r="EW6" s="2592"/>
      <c r="EX6" s="2592"/>
      <c r="EY6" s="2588" t="s">
        <v>1347</v>
      </c>
      <c r="EZ6" s="2589"/>
      <c r="FA6" s="2589"/>
      <c r="FB6" s="2589"/>
      <c r="FC6" s="2589"/>
      <c r="FD6" s="2589"/>
      <c r="FE6" s="2590"/>
      <c r="FF6" s="1043" t="s">
        <v>860</v>
      </c>
      <c r="FG6" s="83"/>
      <c r="FH6" s="83"/>
      <c r="FI6" s="83"/>
      <c r="FJ6" s="83"/>
      <c r="FK6" s="1043" t="s">
        <v>274</v>
      </c>
      <c r="FL6" s="83"/>
      <c r="FM6" s="83"/>
      <c r="FN6" s="83"/>
      <c r="FO6" s="83"/>
      <c r="FP6" s="83"/>
      <c r="FQ6" s="83"/>
      <c r="FR6" s="83"/>
      <c r="FS6" s="84"/>
      <c r="FT6" s="288" t="s">
        <v>1046</v>
      </c>
      <c r="FU6" s="91"/>
      <c r="FV6" s="91"/>
      <c r="FW6" s="1054" t="s">
        <v>1131</v>
      </c>
      <c r="FX6" s="91"/>
      <c r="FY6" s="83"/>
      <c r="FZ6" s="83"/>
      <c r="GA6" s="83"/>
      <c r="GB6" s="83"/>
      <c r="GC6" s="83"/>
      <c r="GD6" s="1054" t="s">
        <v>1132</v>
      </c>
      <c r="GE6" s="437"/>
      <c r="GF6" s="83"/>
      <c r="GG6" s="83"/>
      <c r="GH6" s="83"/>
      <c r="GI6" s="83"/>
      <c r="GJ6" s="83"/>
      <c r="GK6" s="1043" t="s">
        <v>800</v>
      </c>
      <c r="GL6" s="83"/>
      <c r="GM6" s="83"/>
      <c r="GN6" s="83"/>
      <c r="GO6" s="83"/>
      <c r="GP6" s="83"/>
      <c r="GQ6" s="83"/>
      <c r="GR6" s="83"/>
      <c r="GS6" s="83"/>
      <c r="GT6" s="83"/>
      <c r="GV6" s="83"/>
      <c r="GW6" s="83"/>
      <c r="GX6" s="83"/>
      <c r="GY6" s="83"/>
      <c r="GZ6" s="83"/>
      <c r="HA6" s="83"/>
      <c r="HB6" s="83"/>
      <c r="HC6" s="84"/>
      <c r="HD6" s="85" t="s">
        <v>294</v>
      </c>
      <c r="HE6" s="81"/>
      <c r="HF6" s="81"/>
      <c r="HG6" s="81"/>
      <c r="HH6" s="81"/>
      <c r="HI6" s="81"/>
      <c r="HJ6" s="81"/>
      <c r="HK6" s="81"/>
      <c r="HL6" s="81"/>
      <c r="HM6" s="81"/>
      <c r="HN6" s="81"/>
      <c r="HO6" s="81"/>
      <c r="HP6" s="81"/>
      <c r="HQ6" s="81"/>
      <c r="HR6" s="81"/>
      <c r="HS6" s="82"/>
      <c r="HT6" s="304" t="s">
        <v>886</v>
      </c>
    </row>
    <row r="7" spans="1:230" ht="19.75" customHeight="1">
      <c r="A7" s="110" t="s">
        <v>49</v>
      </c>
      <c r="B7" s="88" t="s">
        <v>96</v>
      </c>
      <c r="C7" s="79" t="s">
        <v>97</v>
      </c>
      <c r="D7" s="88" t="s">
        <v>98</v>
      </c>
      <c r="E7" s="79" t="s">
        <v>99</v>
      </c>
      <c r="F7" s="93" t="s">
        <v>100</v>
      </c>
      <c r="G7" s="263" t="s">
        <v>638</v>
      </c>
      <c r="H7" s="263" t="s">
        <v>639</v>
      </c>
      <c r="I7" s="79" t="s">
        <v>99</v>
      </c>
      <c r="J7" s="79"/>
      <c r="K7" s="89" t="s">
        <v>101</v>
      </c>
      <c r="L7" s="91"/>
      <c r="M7" s="91"/>
      <c r="N7" s="80"/>
      <c r="O7" s="80"/>
      <c r="P7" s="80"/>
      <c r="Q7" s="80"/>
      <c r="R7" s="80"/>
      <c r="S7" s="80"/>
      <c r="T7" s="89" t="s">
        <v>102</v>
      </c>
      <c r="U7" s="91"/>
      <c r="V7" s="91"/>
      <c r="W7" s="81"/>
      <c r="X7" s="270"/>
      <c r="Y7" s="81"/>
      <c r="Z7" s="81"/>
      <c r="AA7" s="81"/>
      <c r="AB7" s="1015"/>
      <c r="AD7" s="81"/>
      <c r="AE7" s="81"/>
      <c r="AF7" s="81"/>
      <c r="AG7" s="81"/>
      <c r="AH7" s="81"/>
      <c r="AI7" s="81"/>
      <c r="AJ7" s="89" t="s">
        <v>215</v>
      </c>
      <c r="AK7" s="91"/>
      <c r="AL7" s="81"/>
      <c r="AM7" s="81"/>
      <c r="AN7" s="81"/>
      <c r="AO7" s="1014"/>
      <c r="AP7" s="81"/>
      <c r="AQ7" s="81"/>
      <c r="AR7" s="81"/>
      <c r="AS7" s="81"/>
      <c r="AT7" s="81"/>
      <c r="AU7" s="81"/>
      <c r="AV7" s="81"/>
      <c r="AW7" s="81"/>
      <c r="AX7" s="81"/>
      <c r="AY7" s="81"/>
      <c r="AZ7" s="81"/>
      <c r="BA7" s="81"/>
      <c r="BB7" s="81"/>
      <c r="BC7" s="81"/>
      <c r="BD7" s="81"/>
      <c r="BE7" s="81"/>
      <c r="BF7" s="81"/>
      <c r="BG7" s="81"/>
      <c r="BH7" s="81"/>
      <c r="BI7" s="172"/>
      <c r="BJ7" s="81"/>
      <c r="BK7" s="81"/>
      <c r="BL7" s="270"/>
      <c r="BM7" s="108"/>
      <c r="BN7" s="83"/>
      <c r="BO7" s="81"/>
      <c r="BP7" s="81"/>
      <c r="BQ7" s="81"/>
      <c r="BR7" s="81"/>
      <c r="BS7" s="81"/>
      <c r="BT7" s="81"/>
      <c r="BU7" s="81"/>
      <c r="BV7" s="81"/>
      <c r="BW7" s="81"/>
      <c r="BX7" s="2594"/>
      <c r="BY7" s="2595"/>
      <c r="BZ7" s="2596"/>
      <c r="CA7" s="81"/>
      <c r="CB7" s="81"/>
      <c r="CC7" s="81"/>
      <c r="CD7" s="81"/>
      <c r="CE7" s="81"/>
      <c r="CF7" s="81"/>
      <c r="CG7" s="81"/>
      <c r="CH7" s="270"/>
      <c r="CI7" s="81"/>
      <c r="CJ7" s="81"/>
      <c r="CK7" s="81"/>
      <c r="CL7" s="89" t="s">
        <v>103</v>
      </c>
      <c r="CM7" s="81"/>
      <c r="CN7" s="81"/>
      <c r="CO7" s="81"/>
      <c r="CP7" s="81"/>
      <c r="CQ7" s="81"/>
      <c r="CR7" s="81"/>
      <c r="CS7" s="81"/>
      <c r="CT7" s="81"/>
      <c r="CU7" s="81"/>
      <c r="CV7" s="81"/>
      <c r="CW7" s="81"/>
      <c r="CX7" s="81"/>
      <c r="CY7" s="81"/>
      <c r="CZ7" s="81"/>
      <c r="DA7" s="81"/>
      <c r="DB7" s="81"/>
      <c r="DC7" s="81"/>
      <c r="DD7" s="81"/>
      <c r="DE7" s="81"/>
      <c r="DF7" s="81"/>
      <c r="DG7" s="81"/>
      <c r="DH7" s="89" t="s">
        <v>104</v>
      </c>
      <c r="DI7" s="83"/>
      <c r="DJ7" s="1133"/>
      <c r="DK7" s="83"/>
      <c r="DL7" s="83"/>
      <c r="DM7" s="83"/>
      <c r="DN7" s="83"/>
      <c r="DO7" s="83"/>
      <c r="DP7" s="83"/>
      <c r="DQ7" s="108"/>
      <c r="DR7" s="83"/>
      <c r="DS7" s="83"/>
      <c r="DT7" s="83"/>
      <c r="DU7" s="83"/>
      <c r="DV7" s="83"/>
      <c r="DW7" s="83"/>
      <c r="DX7" s="437"/>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108"/>
      <c r="EZ7" s="1711" t="s">
        <v>1348</v>
      </c>
      <c r="FA7" s="1708" t="s">
        <v>1350</v>
      </c>
      <c r="FB7" s="1708" t="s">
        <v>1351</v>
      </c>
      <c r="FC7" s="1708"/>
      <c r="FD7" s="1708" t="s">
        <v>1354</v>
      </c>
      <c r="FE7" s="1716" t="s">
        <v>1358</v>
      </c>
      <c r="FF7" s="108"/>
      <c r="FG7" s="91"/>
      <c r="FH7" s="91"/>
      <c r="FI7" s="91"/>
      <c r="FJ7" s="91"/>
      <c r="FK7" s="108"/>
      <c r="FL7" s="83"/>
      <c r="FM7" s="288"/>
      <c r="FN7" s="91"/>
      <c r="FO7" s="91"/>
      <c r="FP7" s="91"/>
      <c r="FQ7" s="91"/>
      <c r="FR7" s="91"/>
      <c r="FS7" s="168"/>
      <c r="FU7" s="83"/>
      <c r="FV7" s="83"/>
      <c r="FW7" s="83"/>
      <c r="FX7" s="83"/>
      <c r="FY7" s="91"/>
      <c r="FZ7" s="91"/>
      <c r="GA7" s="91"/>
      <c r="GB7" s="91"/>
      <c r="GC7" s="91"/>
      <c r="GD7" s="83"/>
      <c r="GE7" s="91"/>
      <c r="GF7" s="91"/>
      <c r="GG7" s="91"/>
      <c r="GH7" s="91"/>
      <c r="GI7" s="91"/>
      <c r="GJ7" s="91"/>
      <c r="GK7" s="108"/>
      <c r="GL7" s="288"/>
      <c r="GM7" s="91"/>
      <c r="GN7" s="91"/>
      <c r="GO7" s="91"/>
      <c r="GP7" s="91"/>
      <c r="GQ7" s="91"/>
      <c r="GR7" s="91"/>
      <c r="GS7" s="91"/>
      <c r="GT7" s="91"/>
      <c r="GU7" s="91"/>
      <c r="GV7" s="91"/>
      <c r="GW7" s="91"/>
      <c r="GX7" s="91"/>
      <c r="GY7" s="91"/>
      <c r="GZ7" s="91"/>
      <c r="HA7" s="91"/>
      <c r="HB7" s="91"/>
      <c r="HC7" s="168"/>
      <c r="HD7" s="90" t="s">
        <v>106</v>
      </c>
      <c r="HE7" s="81"/>
      <c r="HF7" s="81"/>
      <c r="HG7" s="90" t="s">
        <v>107</v>
      </c>
      <c r="HH7" s="81"/>
      <c r="HI7" s="81"/>
      <c r="HJ7" s="90" t="s">
        <v>849</v>
      </c>
      <c r="HK7" s="81"/>
      <c r="HL7" s="81"/>
      <c r="HM7" s="81"/>
      <c r="HN7" s="90" t="s">
        <v>259</v>
      </c>
      <c r="HP7" s="81"/>
      <c r="HQ7" s="81"/>
      <c r="HR7" s="81"/>
      <c r="HS7" s="82"/>
      <c r="HU7" s="285"/>
    </row>
    <row r="8" spans="1:230" ht="93" customHeight="1">
      <c r="A8" s="79" t="s">
        <v>871</v>
      </c>
      <c r="B8" s="88" t="s">
        <v>872</v>
      </c>
      <c r="C8" s="79" t="s">
        <v>863</v>
      </c>
      <c r="D8" s="88" t="s">
        <v>873</v>
      </c>
      <c r="E8" s="79" t="s">
        <v>50</v>
      </c>
      <c r="F8" s="93" t="s">
        <v>51</v>
      </c>
      <c r="G8" s="263" t="s">
        <v>872</v>
      </c>
      <c r="H8" s="263" t="s">
        <v>873</v>
      </c>
      <c r="I8" s="79" t="s">
        <v>50</v>
      </c>
      <c r="J8" s="93" t="s">
        <v>426</v>
      </c>
      <c r="K8" s="91" t="s">
        <v>52</v>
      </c>
      <c r="L8" s="78" t="s">
        <v>74</v>
      </c>
      <c r="M8" s="78" t="s">
        <v>173</v>
      </c>
      <c r="N8" s="78" t="s">
        <v>53</v>
      </c>
      <c r="O8" s="78" t="s">
        <v>257</v>
      </c>
      <c r="P8" s="78" t="s">
        <v>256</v>
      </c>
      <c r="Q8" s="78" t="s">
        <v>255</v>
      </c>
      <c r="R8" s="78" t="s">
        <v>254</v>
      </c>
      <c r="S8" s="79" t="s">
        <v>482</v>
      </c>
      <c r="T8" s="1006" t="s">
        <v>1125</v>
      </c>
      <c r="U8" s="91" t="s">
        <v>1124</v>
      </c>
      <c r="V8" s="174" t="s">
        <v>644</v>
      </c>
      <c r="W8" s="96" t="s">
        <v>227</v>
      </c>
      <c r="X8" s="96" t="s">
        <v>54</v>
      </c>
      <c r="Y8" s="96" t="s">
        <v>229</v>
      </c>
      <c r="Z8" s="96" t="s">
        <v>228</v>
      </c>
      <c r="AA8" s="96" t="s">
        <v>137</v>
      </c>
      <c r="AB8" s="1016" t="s">
        <v>251</v>
      </c>
      <c r="AC8" s="1022" t="s">
        <v>39</v>
      </c>
      <c r="AD8" s="1021" t="s">
        <v>40</v>
      </c>
      <c r="AE8" s="1021" t="s">
        <v>874</v>
      </c>
      <c r="AF8" s="1021" t="s">
        <v>224</v>
      </c>
      <c r="AG8" s="1021" t="s">
        <v>225</v>
      </c>
      <c r="AH8" s="1021" t="s">
        <v>226</v>
      </c>
      <c r="AI8" s="2130" t="s">
        <v>234</v>
      </c>
      <c r="AJ8" s="89" t="s">
        <v>145</v>
      </c>
      <c r="AK8" s="174" t="s">
        <v>995</v>
      </c>
      <c r="AL8" s="96" t="s">
        <v>146</v>
      </c>
      <c r="AM8" s="96" t="s">
        <v>994</v>
      </c>
      <c r="AN8" s="96" t="s">
        <v>147</v>
      </c>
      <c r="AO8" s="1016" t="s">
        <v>148</v>
      </c>
      <c r="AP8" s="96" t="s">
        <v>479</v>
      </c>
      <c r="AQ8" s="96" t="s">
        <v>509</v>
      </c>
      <c r="AR8" s="96" t="s">
        <v>520</v>
      </c>
      <c r="AS8" s="96" t="s">
        <v>645</v>
      </c>
      <c r="AT8" s="96" t="s">
        <v>511</v>
      </c>
      <c r="AU8" s="96" t="s">
        <v>508</v>
      </c>
      <c r="AV8" s="96" t="s">
        <v>642</v>
      </c>
      <c r="AW8" s="96" t="s">
        <v>527</v>
      </c>
      <c r="AX8" s="96" t="s">
        <v>528</v>
      </c>
      <c r="AY8" s="96" t="s">
        <v>475</v>
      </c>
      <c r="AZ8" s="96" t="s">
        <v>476</v>
      </c>
      <c r="BA8" s="96" t="s">
        <v>629</v>
      </c>
      <c r="BB8" s="96" t="s">
        <v>519</v>
      </c>
      <c r="BC8" s="96" t="s">
        <v>522</v>
      </c>
      <c r="BD8" s="96" t="s">
        <v>530</v>
      </c>
      <c r="BE8" s="96" t="s">
        <v>533</v>
      </c>
      <c r="BF8" s="96" t="s">
        <v>535</v>
      </c>
      <c r="BG8" s="96" t="s">
        <v>537</v>
      </c>
      <c r="BH8" s="96" t="s">
        <v>534</v>
      </c>
      <c r="BI8" s="98" t="s">
        <v>172</v>
      </c>
      <c r="BJ8" s="96" t="s">
        <v>467</v>
      </c>
      <c r="BK8" s="96" t="s">
        <v>515</v>
      </c>
      <c r="BL8" s="96" t="s">
        <v>516</v>
      </c>
      <c r="BM8" s="98" t="s">
        <v>458</v>
      </c>
      <c r="BN8" s="96" t="s">
        <v>992</v>
      </c>
      <c r="BO8" s="96" t="s">
        <v>213</v>
      </c>
      <c r="BP8" s="96" t="s">
        <v>420</v>
      </c>
      <c r="BQ8" s="96" t="s">
        <v>214</v>
      </c>
      <c r="BR8" s="96" t="s">
        <v>565</v>
      </c>
      <c r="BS8" s="96" t="s">
        <v>421</v>
      </c>
      <c r="BT8" s="96" t="s">
        <v>149</v>
      </c>
      <c r="BU8" s="96" t="s">
        <v>993</v>
      </c>
      <c r="BV8" s="96" t="s">
        <v>514</v>
      </c>
      <c r="BW8" s="96" t="s">
        <v>513</v>
      </c>
      <c r="BX8" s="98" t="s">
        <v>154</v>
      </c>
      <c r="BY8" s="78" t="s">
        <v>152</v>
      </c>
      <c r="BZ8" s="1034" t="s">
        <v>153</v>
      </c>
      <c r="CA8" s="96" t="s">
        <v>472</v>
      </c>
      <c r="CB8" s="96" t="s">
        <v>481</v>
      </c>
      <c r="CC8" s="96" t="s">
        <v>473</v>
      </c>
      <c r="CD8" s="96" t="s">
        <v>473</v>
      </c>
      <c r="CE8" s="96" t="s">
        <v>425</v>
      </c>
      <c r="CF8" s="96" t="s">
        <v>469</v>
      </c>
      <c r="CG8" s="96" t="s">
        <v>471</v>
      </c>
      <c r="CH8" s="96" t="s">
        <v>253</v>
      </c>
      <c r="CI8" s="96" t="s">
        <v>221</v>
      </c>
      <c r="CJ8" s="96" t="s">
        <v>221</v>
      </c>
      <c r="CK8" s="96" t="s">
        <v>616</v>
      </c>
      <c r="CL8" s="89" t="s">
        <v>55</v>
      </c>
      <c r="CM8" s="96" t="s">
        <v>56</v>
      </c>
      <c r="CN8" s="1351" t="s">
        <v>236</v>
      </c>
      <c r="CO8" s="96" t="s">
        <v>57</v>
      </c>
      <c r="CP8" s="96" t="s">
        <v>58</v>
      </c>
      <c r="CQ8" s="96" t="s">
        <v>59</v>
      </c>
      <c r="CR8" s="96" t="s">
        <v>1384</v>
      </c>
      <c r="CS8" s="96" t="s">
        <v>251</v>
      </c>
      <c r="CT8" s="96" t="s">
        <v>60</v>
      </c>
      <c r="CU8" s="96" t="s">
        <v>61</v>
      </c>
      <c r="CV8" s="96" t="s">
        <v>62</v>
      </c>
      <c r="CW8" s="96" t="s">
        <v>51</v>
      </c>
      <c r="CX8" s="78" t="s">
        <v>160</v>
      </c>
      <c r="CY8" s="78" t="s">
        <v>161</v>
      </c>
      <c r="CZ8" s="96" t="s">
        <v>232</v>
      </c>
      <c r="DA8" s="96" t="s">
        <v>60</v>
      </c>
      <c r="DB8" s="96" t="s">
        <v>235</v>
      </c>
      <c r="DC8" s="96" t="s">
        <v>61</v>
      </c>
      <c r="DD8" s="96" t="s">
        <v>62</v>
      </c>
      <c r="DE8" s="96" t="s">
        <v>51</v>
      </c>
      <c r="DF8" s="78" t="s">
        <v>160</v>
      </c>
      <c r="DG8" s="78" t="s">
        <v>161</v>
      </c>
      <c r="DH8" s="89" t="s">
        <v>63</v>
      </c>
      <c r="DI8" s="96" t="s">
        <v>64</v>
      </c>
      <c r="DJ8" s="96" t="s">
        <v>65</v>
      </c>
      <c r="DK8" s="96" t="s">
        <v>66</v>
      </c>
      <c r="DL8" s="96" t="s">
        <v>205</v>
      </c>
      <c r="DM8" s="96" t="s">
        <v>206</v>
      </c>
      <c r="DN8" s="96" t="s">
        <v>212</v>
      </c>
      <c r="DO8" s="78" t="s">
        <v>160</v>
      </c>
      <c r="DP8" s="78" t="s">
        <v>161</v>
      </c>
      <c r="DQ8" s="166" t="s">
        <v>207</v>
      </c>
      <c r="DR8" s="78" t="s">
        <v>210</v>
      </c>
      <c r="DS8" s="78" t="s">
        <v>211</v>
      </c>
      <c r="DT8" s="78" t="s">
        <v>207</v>
      </c>
      <c r="DU8" s="78" t="s">
        <v>246</v>
      </c>
      <c r="DV8" s="78" t="s">
        <v>246</v>
      </c>
      <c r="DW8" s="78" t="s">
        <v>247</v>
      </c>
      <c r="DX8" s="78" t="s">
        <v>655</v>
      </c>
      <c r="DY8" s="78" t="s">
        <v>495</v>
      </c>
      <c r="DZ8" s="78" t="s">
        <v>623</v>
      </c>
      <c r="EA8" s="78" t="s">
        <v>655</v>
      </c>
      <c r="EB8" s="78" t="s">
        <v>495</v>
      </c>
      <c r="EC8" s="78" t="s">
        <v>1014</v>
      </c>
      <c r="ED8" s="78" t="s">
        <v>1016</v>
      </c>
      <c r="EE8" s="78" t="s">
        <v>1017</v>
      </c>
      <c r="EF8" s="78" t="s">
        <v>1019</v>
      </c>
      <c r="EG8" s="78" t="s">
        <v>656</v>
      </c>
      <c r="EH8" s="78" t="s">
        <v>1013</v>
      </c>
      <c r="EI8" s="78" t="s">
        <v>248</v>
      </c>
      <c r="EJ8" s="78" t="s">
        <v>249</v>
      </c>
      <c r="EK8" s="78" t="s">
        <v>554</v>
      </c>
      <c r="EL8" s="78" t="s">
        <v>555</v>
      </c>
      <c r="EM8" s="78" t="s">
        <v>559</v>
      </c>
      <c r="EN8" s="78" t="s">
        <v>561</v>
      </c>
      <c r="EO8" s="78" t="s">
        <v>658</v>
      </c>
      <c r="EP8" s="78" t="s">
        <v>632</v>
      </c>
      <c r="EQ8" s="78" t="s">
        <v>484</v>
      </c>
      <c r="ER8" s="78" t="s">
        <v>485</v>
      </c>
      <c r="ES8" s="78" t="s">
        <v>486</v>
      </c>
      <c r="ET8" s="78" t="s">
        <v>488</v>
      </c>
      <c r="EU8" s="78" t="s">
        <v>489</v>
      </c>
      <c r="EV8" s="78" t="s">
        <v>487</v>
      </c>
      <c r="EW8" s="96" t="s">
        <v>469</v>
      </c>
      <c r="EX8" s="96" t="s">
        <v>470</v>
      </c>
      <c r="EY8" s="1721" t="s">
        <v>1369</v>
      </c>
      <c r="EZ8" s="1712" t="s">
        <v>1349</v>
      </c>
      <c r="FA8" s="1709" t="s">
        <v>1352</v>
      </c>
      <c r="FB8" s="1709" t="s">
        <v>1353</v>
      </c>
      <c r="FC8" s="1709" t="s">
        <v>1367</v>
      </c>
      <c r="FD8" s="1709" t="s">
        <v>1355</v>
      </c>
      <c r="FE8" s="1717" t="s">
        <v>1359</v>
      </c>
      <c r="FF8" s="1044" t="s">
        <v>857</v>
      </c>
      <c r="FG8" s="287" t="s">
        <v>875</v>
      </c>
      <c r="FH8" s="287" t="s">
        <v>297</v>
      </c>
      <c r="FI8" s="287" t="s">
        <v>853</v>
      </c>
      <c r="FJ8" s="287" t="s">
        <v>298</v>
      </c>
      <c r="FK8" s="1044" t="s">
        <v>1049</v>
      </c>
      <c r="FL8" s="287" t="s">
        <v>266</v>
      </c>
      <c r="FM8" s="287" t="s">
        <v>455</v>
      </c>
      <c r="FN8" s="287" t="s">
        <v>267</v>
      </c>
      <c r="FO8" s="287" t="s">
        <v>273</v>
      </c>
      <c r="FP8" s="287" t="s">
        <v>277</v>
      </c>
      <c r="FQ8" s="287" t="s">
        <v>278</v>
      </c>
      <c r="FR8" s="287" t="s">
        <v>284</v>
      </c>
      <c r="FS8" s="1045" t="s">
        <v>799</v>
      </c>
      <c r="FT8" s="287" t="s">
        <v>1047</v>
      </c>
      <c r="FU8" s="287" t="s">
        <v>430</v>
      </c>
      <c r="FV8" s="287" t="s">
        <v>432</v>
      </c>
      <c r="FW8" s="287" t="s">
        <v>299</v>
      </c>
      <c r="FX8" s="287" t="s">
        <v>306</v>
      </c>
      <c r="FY8" s="287" t="s">
        <v>307</v>
      </c>
      <c r="FZ8" s="287" t="s">
        <v>308</v>
      </c>
      <c r="GA8" s="287" t="s">
        <v>278</v>
      </c>
      <c r="GB8" s="287" t="s">
        <v>309</v>
      </c>
      <c r="GC8" s="287" t="s">
        <v>310</v>
      </c>
      <c r="GD8" s="287" t="s">
        <v>792</v>
      </c>
      <c r="GE8" s="287" t="s">
        <v>793</v>
      </c>
      <c r="GF8" s="287" t="s">
        <v>794</v>
      </c>
      <c r="GG8" s="287" t="s">
        <v>795</v>
      </c>
      <c r="GH8" s="287" t="s">
        <v>278</v>
      </c>
      <c r="GI8" s="287" t="s">
        <v>796</v>
      </c>
      <c r="GJ8" s="287" t="s">
        <v>797</v>
      </c>
      <c r="GK8" s="98" t="s">
        <v>1135</v>
      </c>
      <c r="GL8" s="96" t="s">
        <v>1134</v>
      </c>
      <c r="GM8" s="287" t="s">
        <v>802</v>
      </c>
      <c r="GN8" s="287" t="s">
        <v>801</v>
      </c>
      <c r="GO8" s="287" t="s">
        <v>453</v>
      </c>
      <c r="GP8" s="287" t="s">
        <v>803</v>
      </c>
      <c r="GQ8" s="287" t="s">
        <v>813</v>
      </c>
      <c r="GR8" s="287" t="s">
        <v>278</v>
      </c>
      <c r="GS8" s="287" t="s">
        <v>804</v>
      </c>
      <c r="GT8" s="287" t="s">
        <v>805</v>
      </c>
      <c r="GU8" s="287" t="s">
        <v>465</v>
      </c>
      <c r="GV8" s="287" t="s">
        <v>905</v>
      </c>
      <c r="GW8" s="96" t="s">
        <v>1237</v>
      </c>
      <c r="GX8" s="287" t="s">
        <v>906</v>
      </c>
      <c r="GY8" s="287" t="s">
        <v>902</v>
      </c>
      <c r="GZ8" s="287" t="s">
        <v>322</v>
      </c>
      <c r="HA8" s="287" t="s">
        <v>317</v>
      </c>
      <c r="HB8" s="287" t="s">
        <v>318</v>
      </c>
      <c r="HC8" s="97" t="s">
        <v>1137</v>
      </c>
      <c r="HD8" s="96" t="s">
        <v>67</v>
      </c>
      <c r="HE8" s="96" t="s">
        <v>68</v>
      </c>
      <c r="HF8" s="96" t="s">
        <v>69</v>
      </c>
      <c r="HG8" s="96" t="s">
        <v>70</v>
      </c>
      <c r="HH8" s="96" t="s">
        <v>71</v>
      </c>
      <c r="HI8" s="96" t="s">
        <v>72</v>
      </c>
      <c r="HJ8" s="96" t="s">
        <v>850</v>
      </c>
      <c r="HK8" s="96" t="s">
        <v>291</v>
      </c>
      <c r="HL8" s="96" t="s">
        <v>290</v>
      </c>
      <c r="HM8" s="96" t="s">
        <v>258</v>
      </c>
      <c r="HN8" s="96" t="s">
        <v>296</v>
      </c>
      <c r="HO8" s="96" t="s">
        <v>820</v>
      </c>
      <c r="HP8" s="96" t="s">
        <v>814</v>
      </c>
      <c r="HQ8" s="96" t="s">
        <v>816</v>
      </c>
      <c r="HR8" s="287" t="s">
        <v>861</v>
      </c>
      <c r="HS8" s="1045" t="s">
        <v>862</v>
      </c>
      <c r="HT8" s="96" t="s">
        <v>252</v>
      </c>
      <c r="HU8" s="96" t="s">
        <v>324</v>
      </c>
      <c r="HV8" s="96" t="s">
        <v>882</v>
      </c>
    </row>
    <row r="9" spans="1:230" s="996" customFormat="1" ht="26" customHeight="1">
      <c r="A9" s="79" t="s">
        <v>131</v>
      </c>
      <c r="B9" s="100"/>
      <c r="C9" s="100"/>
      <c r="D9" s="100" t="s">
        <v>943</v>
      </c>
      <c r="E9" s="100" t="s">
        <v>944</v>
      </c>
      <c r="F9" s="101" t="s">
        <v>945</v>
      </c>
      <c r="G9" s="100"/>
      <c r="H9" s="100" t="s">
        <v>943</v>
      </c>
      <c r="I9" s="102"/>
      <c r="J9" s="101"/>
      <c r="K9" s="102" t="s">
        <v>78</v>
      </c>
      <c r="L9" s="102" t="s">
        <v>174</v>
      </c>
      <c r="M9" s="102" t="s">
        <v>175</v>
      </c>
      <c r="N9" s="102" t="s">
        <v>79</v>
      </c>
      <c r="O9" s="102" t="s">
        <v>80</v>
      </c>
      <c r="P9" s="102" t="s">
        <v>80</v>
      </c>
      <c r="Q9" s="102" t="s">
        <v>80</v>
      </c>
      <c r="R9" s="102" t="s">
        <v>80</v>
      </c>
      <c r="T9" s="1007" t="s">
        <v>230</v>
      </c>
      <c r="U9" s="102" t="s">
        <v>81</v>
      </c>
      <c r="V9" s="102" t="s">
        <v>231</v>
      </c>
      <c r="W9" s="102" t="s">
        <v>133</v>
      </c>
      <c r="X9" s="102" t="s">
        <v>945</v>
      </c>
      <c r="Y9" s="102"/>
      <c r="Z9" s="102"/>
      <c r="AA9" s="102"/>
      <c r="AB9" s="1017"/>
      <c r="AC9" s="102"/>
      <c r="AD9" s="102"/>
      <c r="AE9" s="102" t="s">
        <v>223</v>
      </c>
      <c r="AF9" s="102"/>
      <c r="AG9" s="102"/>
      <c r="AH9" s="102"/>
      <c r="AI9" s="102"/>
      <c r="AJ9" s="103" t="s">
        <v>82</v>
      </c>
      <c r="AK9" s="102" t="s">
        <v>521</v>
      </c>
      <c r="AL9" s="102" t="s">
        <v>83</v>
      </c>
      <c r="AM9" s="102" t="s">
        <v>521</v>
      </c>
      <c r="AN9" s="102" t="s">
        <v>138</v>
      </c>
      <c r="AO9" s="1017" t="s">
        <v>134</v>
      </c>
      <c r="AP9" s="102"/>
      <c r="AQ9" s="102"/>
      <c r="AR9" s="102"/>
      <c r="AS9" s="102"/>
      <c r="AT9" s="102"/>
      <c r="AU9" s="102"/>
      <c r="AV9" s="102"/>
      <c r="AW9" s="102"/>
      <c r="AX9" s="102"/>
      <c r="AY9" s="102"/>
      <c r="AZ9" s="102"/>
      <c r="BA9" s="104"/>
      <c r="BB9" s="102"/>
      <c r="BC9" s="102"/>
      <c r="BD9" s="102"/>
      <c r="BE9" s="102"/>
      <c r="BF9" s="102"/>
      <c r="BG9" s="102"/>
      <c r="BH9" s="102"/>
      <c r="BI9" s="103" t="s">
        <v>84</v>
      </c>
      <c r="BJ9" s="102"/>
      <c r="BK9" s="102"/>
      <c r="BL9" s="102"/>
      <c r="BM9" s="271" t="s">
        <v>84</v>
      </c>
      <c r="BN9" s="102"/>
      <c r="BO9" s="102"/>
      <c r="BP9" s="102"/>
      <c r="BQ9" s="102"/>
      <c r="BR9" s="102"/>
      <c r="BS9" s="104"/>
      <c r="BT9" s="102" t="s">
        <v>945</v>
      </c>
      <c r="BU9" s="102"/>
      <c r="BV9" s="102"/>
      <c r="BW9" s="102"/>
      <c r="BX9" s="103" t="s">
        <v>945</v>
      </c>
      <c r="BY9" s="102" t="s">
        <v>150</v>
      </c>
      <c r="BZ9" s="1017" t="s">
        <v>151</v>
      </c>
      <c r="CA9" s="1007"/>
      <c r="CB9" s="102"/>
      <c r="CC9" s="102"/>
      <c r="CD9" s="102"/>
      <c r="CE9" s="102"/>
      <c r="CF9" s="102"/>
      <c r="CG9" s="102"/>
      <c r="CH9" s="102"/>
      <c r="CI9" s="102"/>
      <c r="CJ9" s="102"/>
      <c r="CK9" s="102"/>
      <c r="CL9" s="103" t="s">
        <v>85</v>
      </c>
      <c r="CM9" s="102" t="s">
        <v>86</v>
      </c>
      <c r="CN9" s="102" t="s">
        <v>133</v>
      </c>
      <c r="CO9" s="102"/>
      <c r="CP9" s="102" t="s">
        <v>84</v>
      </c>
      <c r="CQ9" s="102" t="s">
        <v>945</v>
      </c>
      <c r="CR9" s="102"/>
      <c r="CS9" s="102"/>
      <c r="CT9" s="102" t="s">
        <v>86</v>
      </c>
      <c r="CU9" s="102" t="s">
        <v>133</v>
      </c>
      <c r="CV9" s="102" t="s">
        <v>84</v>
      </c>
      <c r="CW9" s="102" t="s">
        <v>945</v>
      </c>
      <c r="CX9" s="102" t="s">
        <v>150</v>
      </c>
      <c r="CY9" s="102" t="s">
        <v>151</v>
      </c>
      <c r="CZ9" s="102" t="s">
        <v>233</v>
      </c>
      <c r="DA9" s="102" t="s">
        <v>86</v>
      </c>
      <c r="DB9" s="102"/>
      <c r="DC9" s="102" t="s">
        <v>133</v>
      </c>
      <c r="DD9" s="102" t="s">
        <v>84</v>
      </c>
      <c r="DE9" s="102" t="s">
        <v>945</v>
      </c>
      <c r="DF9" s="102" t="s">
        <v>150</v>
      </c>
      <c r="DG9" s="102" t="s">
        <v>151</v>
      </c>
      <c r="DH9" s="103" t="s">
        <v>84</v>
      </c>
      <c r="DI9" s="102" t="s">
        <v>87</v>
      </c>
      <c r="DJ9" s="104" t="s">
        <v>84</v>
      </c>
      <c r="DK9" s="102" t="s">
        <v>945</v>
      </c>
      <c r="DL9" s="102"/>
      <c r="DM9" s="102"/>
      <c r="DN9" s="102"/>
      <c r="DO9" s="102" t="s">
        <v>150</v>
      </c>
      <c r="DP9" s="102" t="s">
        <v>151</v>
      </c>
      <c r="DQ9" s="103"/>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3"/>
      <c r="EZ9" s="102"/>
      <c r="FA9" s="1718" t="s">
        <v>1356</v>
      </c>
      <c r="FB9" s="1718" t="s">
        <v>1365</v>
      </c>
      <c r="FC9" s="1718"/>
      <c r="FD9" s="1710" t="s">
        <v>1357</v>
      </c>
      <c r="FE9" s="1719" t="s">
        <v>1360</v>
      </c>
      <c r="FF9" s="1046" t="s">
        <v>279</v>
      </c>
      <c r="FG9" s="105"/>
      <c r="FH9" s="999"/>
      <c r="FI9" s="105"/>
      <c r="FJ9" s="105"/>
      <c r="FK9" s="1046"/>
      <c r="FL9" s="105" t="s">
        <v>279</v>
      </c>
      <c r="FM9" s="105"/>
      <c r="FN9" s="105" t="s">
        <v>280</v>
      </c>
      <c r="FO9" s="105" t="s">
        <v>280</v>
      </c>
      <c r="FP9" s="105" t="s">
        <v>281</v>
      </c>
      <c r="FQ9" s="105" t="s">
        <v>282</v>
      </c>
      <c r="FR9" s="105" t="s">
        <v>283</v>
      </c>
      <c r="FS9" s="106"/>
      <c r="FT9" s="105"/>
      <c r="FU9" s="105"/>
      <c r="FV9" s="105"/>
      <c r="FW9" s="105" t="s">
        <v>279</v>
      </c>
      <c r="FX9" s="105" t="s">
        <v>280</v>
      </c>
      <c r="FY9" s="105" t="s">
        <v>280</v>
      </c>
      <c r="FZ9" s="105" t="s">
        <v>281</v>
      </c>
      <c r="GA9" s="105" t="s">
        <v>282</v>
      </c>
      <c r="GB9" s="105" t="s">
        <v>283</v>
      </c>
      <c r="GC9" s="105"/>
      <c r="GD9" s="105" t="s">
        <v>279</v>
      </c>
      <c r="GE9" s="105" t="s">
        <v>280</v>
      </c>
      <c r="GF9" s="105" t="s">
        <v>280</v>
      </c>
      <c r="GG9" s="105" t="s">
        <v>281</v>
      </c>
      <c r="GH9" s="105" t="s">
        <v>282</v>
      </c>
      <c r="GI9" s="105" t="s">
        <v>283</v>
      </c>
      <c r="GJ9" s="105"/>
      <c r="GK9" s="1046"/>
      <c r="GL9" s="105" t="s">
        <v>279</v>
      </c>
      <c r="GM9" s="105" t="s">
        <v>280</v>
      </c>
      <c r="GN9" s="105" t="s">
        <v>280</v>
      </c>
      <c r="GO9" s="105"/>
      <c r="GP9" s="105" t="s">
        <v>281</v>
      </c>
      <c r="GQ9" s="105" t="s">
        <v>281</v>
      </c>
      <c r="GR9" s="105" t="s">
        <v>282</v>
      </c>
      <c r="GS9" s="105" t="s">
        <v>283</v>
      </c>
      <c r="GT9" s="105"/>
      <c r="GU9" s="105"/>
      <c r="GV9" s="105"/>
      <c r="GW9" s="105"/>
      <c r="GX9" s="105"/>
      <c r="GY9" s="105"/>
      <c r="GZ9" s="105"/>
      <c r="HA9" s="105"/>
      <c r="HB9" s="105"/>
      <c r="HC9" s="106"/>
      <c r="HD9" s="102" t="s">
        <v>88</v>
      </c>
      <c r="HE9" s="104" t="s">
        <v>89</v>
      </c>
      <c r="HF9" s="104" t="s">
        <v>89</v>
      </c>
      <c r="HG9" s="104" t="s">
        <v>90</v>
      </c>
      <c r="HH9" s="104" t="s">
        <v>84</v>
      </c>
      <c r="HI9" s="104" t="s">
        <v>84</v>
      </c>
      <c r="HJ9" s="104" t="s">
        <v>851</v>
      </c>
      <c r="HK9" s="104" t="s">
        <v>182</v>
      </c>
      <c r="HL9" s="104" t="s">
        <v>183</v>
      </c>
      <c r="HM9" s="104"/>
      <c r="HN9" s="102" t="s">
        <v>295</v>
      </c>
      <c r="HO9" s="102" t="s">
        <v>819</v>
      </c>
      <c r="HP9" s="102" t="s">
        <v>817</v>
      </c>
      <c r="HQ9" s="102" t="s">
        <v>818</v>
      </c>
      <c r="HR9" s="105" t="s">
        <v>280</v>
      </c>
      <c r="HS9" s="106" t="s">
        <v>280</v>
      </c>
      <c r="HT9" s="999"/>
      <c r="HU9" s="999"/>
    </row>
    <row r="10" spans="1:230" s="996" customFormat="1" ht="25" customHeight="1">
      <c r="A10" s="79" t="s">
        <v>942</v>
      </c>
      <c r="B10" s="100" t="s">
        <v>216</v>
      </c>
      <c r="C10" s="100" t="s">
        <v>216</v>
      </c>
      <c r="D10" s="100" t="s">
        <v>216</v>
      </c>
      <c r="E10" s="100" t="s">
        <v>216</v>
      </c>
      <c r="F10" s="101" t="s">
        <v>216</v>
      </c>
      <c r="G10" s="100" t="s">
        <v>216</v>
      </c>
      <c r="H10" s="100" t="s">
        <v>216</v>
      </c>
      <c r="I10" s="100" t="s">
        <v>216</v>
      </c>
      <c r="J10" s="101"/>
      <c r="K10" s="102" t="s">
        <v>216</v>
      </c>
      <c r="L10" s="102" t="s">
        <v>483</v>
      </c>
      <c r="M10" s="102" t="s">
        <v>643</v>
      </c>
      <c r="N10" s="102" t="s">
        <v>682</v>
      </c>
      <c r="O10" s="102" t="s">
        <v>216</v>
      </c>
      <c r="P10" s="102" t="s">
        <v>216</v>
      </c>
      <c r="Q10" s="102" t="s">
        <v>216</v>
      </c>
      <c r="R10" s="102" t="s">
        <v>216</v>
      </c>
      <c r="S10" s="107"/>
      <c r="T10" s="1007" t="s">
        <v>216</v>
      </c>
      <c r="U10" s="102" t="s">
        <v>683</v>
      </c>
      <c r="V10" s="102" t="s">
        <v>216</v>
      </c>
      <c r="W10" s="102" t="s">
        <v>547</v>
      </c>
      <c r="X10" s="102" t="s">
        <v>216</v>
      </c>
      <c r="Y10" s="104" t="s">
        <v>217</v>
      </c>
      <c r="Z10" s="104" t="s">
        <v>217</v>
      </c>
      <c r="AA10" s="104" t="s">
        <v>217</v>
      </c>
      <c r="AB10" s="1018" t="s">
        <v>217</v>
      </c>
      <c r="AC10" s="1023" t="s">
        <v>684</v>
      </c>
      <c r="AD10" s="1024" t="s">
        <v>685</v>
      </c>
      <c r="AE10" s="1024" t="s">
        <v>684</v>
      </c>
      <c r="AF10" s="104" t="s">
        <v>217</v>
      </c>
      <c r="AG10" s="104" t="s">
        <v>217</v>
      </c>
      <c r="AH10" s="104" t="s">
        <v>217</v>
      </c>
      <c r="AI10" s="104"/>
      <c r="AJ10" s="103" t="s">
        <v>216</v>
      </c>
      <c r="AK10" s="102"/>
      <c r="AL10" s="104" t="s">
        <v>216</v>
      </c>
      <c r="AM10" s="104"/>
      <c r="AN10" s="102" t="s">
        <v>683</v>
      </c>
      <c r="AO10" s="1017" t="s">
        <v>1498</v>
      </c>
      <c r="AP10" s="102" t="s">
        <v>646</v>
      </c>
      <c r="AQ10" s="102" t="s">
        <v>510</v>
      </c>
      <c r="AR10" s="102" t="s">
        <v>521</v>
      </c>
      <c r="AS10" s="102" t="s">
        <v>647</v>
      </c>
      <c r="AT10" s="102" t="s">
        <v>512</v>
      </c>
      <c r="AU10" s="102" t="s">
        <v>428</v>
      </c>
      <c r="AV10" s="102" t="s">
        <v>641</v>
      </c>
      <c r="AW10" s="102" t="s">
        <v>529</v>
      </c>
      <c r="AX10" s="102" t="s">
        <v>474</v>
      </c>
      <c r="AY10" s="102" t="s">
        <v>477</v>
      </c>
      <c r="AZ10" s="102" t="s">
        <v>478</v>
      </c>
      <c r="BA10" s="104" t="s">
        <v>217</v>
      </c>
      <c r="BB10" s="102" t="s">
        <v>217</v>
      </c>
      <c r="BC10" s="102" t="s">
        <v>217</v>
      </c>
      <c r="BD10" s="102" t="s">
        <v>217</v>
      </c>
      <c r="BE10" s="102" t="s">
        <v>217</v>
      </c>
      <c r="BF10" s="102" t="s">
        <v>532</v>
      </c>
      <c r="BG10" s="102" t="s">
        <v>536</v>
      </c>
      <c r="BH10" s="102" t="s">
        <v>217</v>
      </c>
      <c r="BI10" s="103" t="s">
        <v>640</v>
      </c>
      <c r="BJ10" s="102" t="s">
        <v>216</v>
      </c>
      <c r="BK10" s="102" t="s">
        <v>517</v>
      </c>
      <c r="BL10" s="102" t="s">
        <v>518</v>
      </c>
      <c r="BM10" s="271" t="s">
        <v>423</v>
      </c>
      <c r="BN10" s="102" t="s">
        <v>521</v>
      </c>
      <c r="BO10" s="102" t="s">
        <v>217</v>
      </c>
      <c r="BP10" s="102"/>
      <c r="BQ10" s="102" t="s">
        <v>217</v>
      </c>
      <c r="BR10" s="102"/>
      <c r="BS10" s="104"/>
      <c r="BT10" s="104" t="s">
        <v>216</v>
      </c>
      <c r="BU10" s="104"/>
      <c r="BV10" s="104" t="s">
        <v>217</v>
      </c>
      <c r="BW10" s="104" t="s">
        <v>217</v>
      </c>
      <c r="BX10" s="103" t="s">
        <v>683</v>
      </c>
      <c r="BY10" s="102" t="s">
        <v>686</v>
      </c>
      <c r="BZ10" s="1017" t="s">
        <v>686</v>
      </c>
      <c r="CA10" s="1007" t="s">
        <v>216</v>
      </c>
      <c r="CB10" s="102"/>
      <c r="CC10" s="102" t="s">
        <v>216</v>
      </c>
      <c r="CD10" s="102" t="s">
        <v>216</v>
      </c>
      <c r="CE10" s="102" t="s">
        <v>216</v>
      </c>
      <c r="CF10" s="102" t="s">
        <v>687</v>
      </c>
      <c r="CG10" s="102" t="s">
        <v>688</v>
      </c>
      <c r="CH10" s="102" t="s">
        <v>216</v>
      </c>
      <c r="CI10" s="102" t="s">
        <v>636</v>
      </c>
      <c r="CJ10" s="102" t="s">
        <v>615</v>
      </c>
      <c r="CK10" s="102"/>
      <c r="CL10" s="103" t="s">
        <v>216</v>
      </c>
      <c r="CM10" s="102" t="s">
        <v>216</v>
      </c>
      <c r="CN10" s="102" t="s">
        <v>216</v>
      </c>
      <c r="CO10" s="102" t="s">
        <v>1502</v>
      </c>
      <c r="CP10" s="102" t="s">
        <v>216</v>
      </c>
      <c r="CQ10" s="102" t="s">
        <v>216</v>
      </c>
      <c r="CR10" s="102"/>
      <c r="CS10" s="102"/>
      <c r="CT10" s="102" t="s">
        <v>216</v>
      </c>
      <c r="CU10" s="102" t="s">
        <v>689</v>
      </c>
      <c r="CV10" s="102" t="s">
        <v>690</v>
      </c>
      <c r="CW10" s="102" t="s">
        <v>689</v>
      </c>
      <c r="CX10" s="102" t="s">
        <v>690</v>
      </c>
      <c r="CY10" s="102" t="s">
        <v>690</v>
      </c>
      <c r="CZ10" s="104" t="s">
        <v>216</v>
      </c>
      <c r="DA10" s="104" t="s">
        <v>216</v>
      </c>
      <c r="DB10" s="104" t="s">
        <v>216</v>
      </c>
      <c r="DC10" s="102" t="s">
        <v>691</v>
      </c>
      <c r="DD10" s="102" t="s">
        <v>692</v>
      </c>
      <c r="DE10" s="102" t="s">
        <v>691</v>
      </c>
      <c r="DF10" s="102" t="s">
        <v>693</v>
      </c>
      <c r="DG10" s="102" t="s">
        <v>693</v>
      </c>
      <c r="DH10" s="103" t="s">
        <v>216</v>
      </c>
      <c r="DI10" s="102" t="s">
        <v>216</v>
      </c>
      <c r="DJ10" s="104" t="s">
        <v>1512</v>
      </c>
      <c r="DK10" s="102" t="s">
        <v>1010</v>
      </c>
      <c r="DL10" s="104"/>
      <c r="DM10" s="104"/>
      <c r="DN10" s="104"/>
      <c r="DO10" s="102" t="s">
        <v>694</v>
      </c>
      <c r="DP10" s="102" t="s">
        <v>694</v>
      </c>
      <c r="DQ10" s="103" t="s">
        <v>563</v>
      </c>
      <c r="DR10" s="102" t="s">
        <v>681</v>
      </c>
      <c r="DS10" s="102" t="s">
        <v>681</v>
      </c>
      <c r="DT10" s="102" t="s">
        <v>654</v>
      </c>
      <c r="DU10" s="102" t="s">
        <v>564</v>
      </c>
      <c r="DV10" s="102" t="s">
        <v>624</v>
      </c>
      <c r="DW10" s="102" t="s">
        <v>657</v>
      </c>
      <c r="DX10" s="102" t="s">
        <v>622</v>
      </c>
      <c r="DY10" s="102" t="s">
        <v>497</v>
      </c>
      <c r="DZ10" s="102"/>
      <c r="EA10" s="102" t="s">
        <v>496</v>
      </c>
      <c r="EB10" s="102" t="s">
        <v>497</v>
      </c>
      <c r="EC10" s="102" t="s">
        <v>1015</v>
      </c>
      <c r="ED10" s="102" t="s">
        <v>1383</v>
      </c>
      <c r="EE10" s="102" t="s">
        <v>1018</v>
      </c>
      <c r="EF10" s="102" t="s">
        <v>1020</v>
      </c>
      <c r="EG10" s="102" t="s">
        <v>499</v>
      </c>
      <c r="EH10" s="102" t="s">
        <v>498</v>
      </c>
      <c r="EI10" s="102" t="s">
        <v>557</v>
      </c>
      <c r="EJ10" s="102" t="s">
        <v>558</v>
      </c>
      <c r="EK10" s="102" t="s">
        <v>556</v>
      </c>
      <c r="EL10" s="102" t="s">
        <v>556</v>
      </c>
      <c r="EM10" s="102" t="s">
        <v>560</v>
      </c>
      <c r="EN10" s="102" t="s">
        <v>562</v>
      </c>
      <c r="EO10" s="102" t="s">
        <v>659</v>
      </c>
      <c r="EP10" s="102" t="s">
        <v>633</v>
      </c>
      <c r="EQ10" s="102"/>
      <c r="ER10" s="102"/>
      <c r="ES10" s="102"/>
      <c r="ET10" s="102"/>
      <c r="EU10" s="102"/>
      <c r="EV10" s="102"/>
      <c r="EW10" s="102" t="s">
        <v>687</v>
      </c>
      <c r="EX10" s="102" t="s">
        <v>688</v>
      </c>
      <c r="EY10" s="103"/>
      <c r="EZ10" s="102"/>
      <c r="FA10" s="102"/>
      <c r="FB10" s="102"/>
      <c r="FC10" s="102" t="s">
        <v>1366</v>
      </c>
      <c r="FD10" s="102"/>
      <c r="FE10" s="101"/>
      <c r="FF10" s="271" t="s">
        <v>695</v>
      </c>
      <c r="FG10" s="104" t="s">
        <v>696</v>
      </c>
      <c r="FH10" s="104" t="s">
        <v>216</v>
      </c>
      <c r="FI10" s="104" t="s">
        <v>697</v>
      </c>
      <c r="FJ10" s="104" t="s">
        <v>216</v>
      </c>
      <c r="FK10" s="271" t="s">
        <v>457</v>
      </c>
      <c r="FL10" s="104" t="s">
        <v>457</v>
      </c>
      <c r="FM10" s="104" t="s">
        <v>456</v>
      </c>
      <c r="FN10" s="104" t="s">
        <v>698</v>
      </c>
      <c r="FO10" s="104" t="s">
        <v>698</v>
      </c>
      <c r="FP10" s="104" t="s">
        <v>698</v>
      </c>
      <c r="FQ10" s="104" t="s">
        <v>698</v>
      </c>
      <c r="FR10" s="104" t="s">
        <v>698</v>
      </c>
      <c r="FS10" s="109" t="s">
        <v>216</v>
      </c>
      <c r="FT10" s="104" t="s">
        <v>1048</v>
      </c>
      <c r="FU10" s="104" t="s">
        <v>431</v>
      </c>
      <c r="FV10" s="104"/>
      <c r="FW10" s="104" t="s">
        <v>451</v>
      </c>
      <c r="FX10" s="104" t="s">
        <v>699</v>
      </c>
      <c r="FY10" s="104" t="s">
        <v>699</v>
      </c>
      <c r="FZ10" s="104" t="s">
        <v>699</v>
      </c>
      <c r="GA10" s="104" t="s">
        <v>699</v>
      </c>
      <c r="GB10" s="104" t="s">
        <v>699</v>
      </c>
      <c r="GC10" s="104" t="s">
        <v>216</v>
      </c>
      <c r="GD10" s="104" t="s">
        <v>700</v>
      </c>
      <c r="GE10" s="104" t="s">
        <v>700</v>
      </c>
      <c r="GF10" s="104" t="s">
        <v>700</v>
      </c>
      <c r="GG10" s="104" t="s">
        <v>700</v>
      </c>
      <c r="GH10" s="104" t="s">
        <v>700</v>
      </c>
      <c r="GI10" s="104" t="s">
        <v>700</v>
      </c>
      <c r="GJ10" s="104" t="s">
        <v>216</v>
      </c>
      <c r="GK10" s="271" t="s">
        <v>1217</v>
      </c>
      <c r="GL10" s="104" t="s">
        <v>701</v>
      </c>
      <c r="GM10" s="104" t="s">
        <v>701</v>
      </c>
      <c r="GN10" s="104" t="s">
        <v>701</v>
      </c>
      <c r="GO10" s="104" t="s">
        <v>454</v>
      </c>
      <c r="GP10" s="104" t="s">
        <v>1022</v>
      </c>
      <c r="GQ10" s="104" t="s">
        <v>702</v>
      </c>
      <c r="GR10" s="104" t="s">
        <v>703</v>
      </c>
      <c r="GS10" s="104" t="s">
        <v>703</v>
      </c>
      <c r="GT10" s="104" t="s">
        <v>216</v>
      </c>
      <c r="GU10" s="104" t="s">
        <v>1216</v>
      </c>
      <c r="GV10" s="104" t="s">
        <v>1207</v>
      </c>
      <c r="GW10" s="104" t="s">
        <v>1218</v>
      </c>
      <c r="GX10" s="104" t="s">
        <v>907</v>
      </c>
      <c r="GY10" s="104" t="s">
        <v>1208</v>
      </c>
      <c r="GZ10" s="104" t="s">
        <v>704</v>
      </c>
      <c r="HA10" s="104" t="s">
        <v>704</v>
      </c>
      <c r="HB10" s="104" t="s">
        <v>704</v>
      </c>
      <c r="HC10" s="109" t="s">
        <v>216</v>
      </c>
      <c r="HD10" s="104"/>
      <c r="HE10" s="104" t="s">
        <v>634</v>
      </c>
      <c r="HF10" s="104" t="s">
        <v>635</v>
      </c>
      <c r="HG10" s="104"/>
      <c r="HH10" s="104" t="s">
        <v>705</v>
      </c>
      <c r="HI10" s="104" t="s">
        <v>705</v>
      </c>
      <c r="HJ10" s="104" t="s">
        <v>264</v>
      </c>
      <c r="HK10" s="104" t="s">
        <v>706</v>
      </c>
      <c r="HL10" s="104" t="s">
        <v>707</v>
      </c>
      <c r="HM10" s="104"/>
      <c r="HN10" s="102" t="s">
        <v>216</v>
      </c>
      <c r="HO10" s="102" t="s">
        <v>216</v>
      </c>
      <c r="HP10" s="102" t="s">
        <v>708</v>
      </c>
      <c r="HQ10" s="102" t="s">
        <v>708</v>
      </c>
      <c r="HR10" s="104" t="s">
        <v>709</v>
      </c>
      <c r="HS10" s="109" t="s">
        <v>709</v>
      </c>
      <c r="HT10" s="104" t="s">
        <v>710</v>
      </c>
      <c r="HU10" s="104" t="s">
        <v>885</v>
      </c>
      <c r="HV10" s="104" t="s">
        <v>885</v>
      </c>
    </row>
    <row r="11" spans="1:230" s="996" customFormat="1" ht="26" customHeight="1">
      <c r="A11" s="79" t="s">
        <v>130</v>
      </c>
      <c r="B11" s="100"/>
      <c r="C11" s="100"/>
      <c r="D11" s="100"/>
      <c r="E11" s="100"/>
      <c r="F11" s="101"/>
      <c r="G11" s="100"/>
      <c r="H11" s="100"/>
      <c r="I11" s="100"/>
      <c r="J11" s="101"/>
      <c r="K11" s="102"/>
      <c r="L11" s="102" t="s">
        <v>181</v>
      </c>
      <c r="M11" s="102" t="s">
        <v>176</v>
      </c>
      <c r="N11" s="102" t="s">
        <v>132</v>
      </c>
      <c r="O11" s="102"/>
      <c r="P11" s="102"/>
      <c r="Q11" s="102"/>
      <c r="R11" s="102"/>
      <c r="T11" s="1007"/>
      <c r="U11" s="102" t="s">
        <v>135</v>
      </c>
      <c r="V11" s="102"/>
      <c r="W11" s="102" t="s">
        <v>136</v>
      </c>
      <c r="X11" s="104"/>
      <c r="Y11" s="104"/>
      <c r="Z11" s="104"/>
      <c r="AA11" s="104"/>
      <c r="AB11" s="1018"/>
      <c r="AC11" s="1025" t="s">
        <v>946</v>
      </c>
      <c r="AD11" s="998" t="s">
        <v>38</v>
      </c>
      <c r="AE11" s="998" t="s">
        <v>222</v>
      </c>
      <c r="AF11" s="998"/>
      <c r="AG11" s="998"/>
      <c r="AH11" s="998"/>
      <c r="AI11" s="998"/>
      <c r="AJ11" s="323"/>
      <c r="AK11" s="514"/>
      <c r="AL11" s="104"/>
      <c r="AM11" s="104"/>
      <c r="AN11" s="102" t="s">
        <v>139</v>
      </c>
      <c r="AO11" s="1017" t="s">
        <v>140</v>
      </c>
      <c r="AP11" s="102"/>
      <c r="AQ11" s="102"/>
      <c r="AR11" s="102"/>
      <c r="AS11" s="102"/>
      <c r="AT11" s="102"/>
      <c r="AU11" s="102"/>
      <c r="AV11" s="102"/>
      <c r="AW11" s="102"/>
      <c r="AX11" s="102"/>
      <c r="AY11" s="102"/>
      <c r="AZ11" s="102"/>
      <c r="BA11" s="104"/>
      <c r="BB11" s="102"/>
      <c r="BC11" s="102"/>
      <c r="BD11" s="102"/>
      <c r="BE11" s="102"/>
      <c r="BF11" s="102"/>
      <c r="BG11" s="102"/>
      <c r="BH11" s="102"/>
      <c r="BI11" s="271" t="s">
        <v>171</v>
      </c>
      <c r="BJ11" s="104"/>
      <c r="BK11" s="102"/>
      <c r="BL11" s="102"/>
      <c r="BM11" s="271" t="s">
        <v>142</v>
      </c>
      <c r="BN11" s="102"/>
      <c r="BO11" s="102"/>
      <c r="BP11" s="102"/>
      <c r="BQ11" s="102"/>
      <c r="BR11" s="102"/>
      <c r="BS11" s="104"/>
      <c r="BT11" s="104"/>
      <c r="BU11" s="104"/>
      <c r="BV11" s="104"/>
      <c r="BW11" s="104"/>
      <c r="BX11" s="103" t="s">
        <v>141</v>
      </c>
      <c r="BY11" s="104" t="s">
        <v>143</v>
      </c>
      <c r="BZ11" s="1018" t="s">
        <v>144</v>
      </c>
      <c r="CA11" s="1036"/>
      <c r="CB11" s="104"/>
      <c r="CC11" s="104"/>
      <c r="CD11" s="104"/>
      <c r="CE11" s="104"/>
      <c r="CF11" s="104" t="s">
        <v>219</v>
      </c>
      <c r="CG11" s="104" t="s">
        <v>218</v>
      </c>
      <c r="CH11" s="104"/>
      <c r="CI11" s="104" t="s">
        <v>220</v>
      </c>
      <c r="CJ11" s="104"/>
      <c r="CK11" s="104"/>
      <c r="CL11" s="323"/>
      <c r="CM11" s="104"/>
      <c r="CN11" s="104"/>
      <c r="CO11" s="104"/>
      <c r="CP11" s="104"/>
      <c r="CQ11" s="104"/>
      <c r="CR11" s="102" t="s">
        <v>1385</v>
      </c>
      <c r="CS11" s="104"/>
      <c r="CT11" s="104"/>
      <c r="CU11" s="102" t="s">
        <v>159</v>
      </c>
      <c r="CV11" s="102" t="s">
        <v>157</v>
      </c>
      <c r="CW11" s="102" t="s">
        <v>155</v>
      </c>
      <c r="CX11" s="104" t="s">
        <v>156</v>
      </c>
      <c r="CY11" s="104" t="s">
        <v>158</v>
      </c>
      <c r="CZ11" s="104"/>
      <c r="DA11" s="104"/>
      <c r="DB11" s="104"/>
      <c r="DC11" s="104" t="s">
        <v>166</v>
      </c>
      <c r="DD11" s="104" t="s">
        <v>164</v>
      </c>
      <c r="DE11" s="104" t="s">
        <v>163</v>
      </c>
      <c r="DF11" s="104" t="s">
        <v>165</v>
      </c>
      <c r="DG11" s="104" t="s">
        <v>162</v>
      </c>
      <c r="DH11" s="323"/>
      <c r="DI11" s="104"/>
      <c r="DJ11" s="104" t="s">
        <v>167</v>
      </c>
      <c r="DK11" s="104" t="s">
        <v>170</v>
      </c>
      <c r="DL11" s="104"/>
      <c r="DM11" s="104"/>
      <c r="DN11" s="104"/>
      <c r="DO11" s="104" t="s">
        <v>168</v>
      </c>
      <c r="DP11" s="104" t="s">
        <v>169</v>
      </c>
      <c r="DQ11" s="271"/>
      <c r="DR11" s="104" t="s">
        <v>208</v>
      </c>
      <c r="DS11" s="104" t="s">
        <v>209</v>
      </c>
      <c r="DT11" s="104" t="s">
        <v>240</v>
      </c>
      <c r="DU11" s="104" t="s">
        <v>244</v>
      </c>
      <c r="DV11" s="104"/>
      <c r="DW11" s="104" t="s">
        <v>243</v>
      </c>
      <c r="DX11" s="104"/>
      <c r="DY11" s="104"/>
      <c r="DZ11" s="104"/>
      <c r="EA11" s="104"/>
      <c r="EB11" s="104"/>
      <c r="EC11" s="104"/>
      <c r="ED11" s="104" t="s">
        <v>1382</v>
      </c>
      <c r="EE11" s="104"/>
      <c r="EF11" s="104"/>
      <c r="EG11" s="104"/>
      <c r="EH11" s="104"/>
      <c r="EI11" s="104" t="s">
        <v>241</v>
      </c>
      <c r="EJ11" s="104" t="s">
        <v>242</v>
      </c>
      <c r="EK11" s="104"/>
      <c r="EL11" s="104"/>
      <c r="EM11" s="104"/>
      <c r="EN11" s="104"/>
      <c r="EO11" s="104"/>
      <c r="EP11" s="104"/>
      <c r="EQ11" s="104"/>
      <c r="ER11" s="104"/>
      <c r="ES11" s="104"/>
      <c r="ET11" s="104"/>
      <c r="EU11" s="104"/>
      <c r="EV11" s="104"/>
      <c r="EW11" s="104" t="s">
        <v>219</v>
      </c>
      <c r="EX11" s="104" t="s">
        <v>245</v>
      </c>
      <c r="EY11" s="271"/>
      <c r="EZ11" s="104"/>
      <c r="FA11" s="104" t="s">
        <v>1363</v>
      </c>
      <c r="FB11" s="104" t="s">
        <v>1364</v>
      </c>
      <c r="FC11" s="104"/>
      <c r="FD11" s="104" t="s">
        <v>1361</v>
      </c>
      <c r="FE11" s="109" t="s">
        <v>1362</v>
      </c>
      <c r="FF11" s="1046" t="s">
        <v>854</v>
      </c>
      <c r="FG11" s="105" t="s">
        <v>856</v>
      </c>
      <c r="FH11" s="999"/>
      <c r="FI11" s="105" t="s">
        <v>852</v>
      </c>
      <c r="FJ11" s="105"/>
      <c r="FK11" s="1046"/>
      <c r="FL11" s="105" t="s">
        <v>275</v>
      </c>
      <c r="FM11" s="105"/>
      <c r="FN11" s="105" t="s">
        <v>276</v>
      </c>
      <c r="FO11" s="105" t="s">
        <v>798</v>
      </c>
      <c r="FP11" s="105" t="s">
        <v>286</v>
      </c>
      <c r="FQ11" s="105" t="s">
        <v>287</v>
      </c>
      <c r="FR11" s="105" t="s">
        <v>285</v>
      </c>
      <c r="FS11" s="106"/>
      <c r="FT11" s="105"/>
      <c r="FU11" s="105"/>
      <c r="FV11" s="105"/>
      <c r="FW11" s="105" t="s">
        <v>305</v>
      </c>
      <c r="FX11" s="105" t="s">
        <v>301</v>
      </c>
      <c r="FY11" s="105" t="s">
        <v>303</v>
      </c>
      <c r="FZ11" s="105" t="s">
        <v>304</v>
      </c>
      <c r="GA11" s="105" t="s">
        <v>302</v>
      </c>
      <c r="GB11" s="105" t="s">
        <v>300</v>
      </c>
      <c r="GC11" s="105"/>
      <c r="GD11" s="105" t="s">
        <v>316</v>
      </c>
      <c r="GE11" s="105" t="s">
        <v>314</v>
      </c>
      <c r="GF11" s="105" t="s">
        <v>315</v>
      </c>
      <c r="GG11" s="105" t="s">
        <v>312</v>
      </c>
      <c r="GH11" s="105" t="s">
        <v>313</v>
      </c>
      <c r="GI11" s="105" t="s">
        <v>311</v>
      </c>
      <c r="GJ11" s="105"/>
      <c r="GK11" s="1046"/>
      <c r="GL11" s="105" t="s">
        <v>806</v>
      </c>
      <c r="GM11" s="105" t="s">
        <v>807</v>
      </c>
      <c r="GN11" s="105" t="s">
        <v>808</v>
      </c>
      <c r="GO11" s="105"/>
      <c r="GP11" s="105" t="s">
        <v>809</v>
      </c>
      <c r="GQ11" s="105" t="s">
        <v>812</v>
      </c>
      <c r="GR11" s="105" t="s">
        <v>810</v>
      </c>
      <c r="GS11" s="105" t="s">
        <v>811</v>
      </c>
      <c r="GT11" s="105"/>
      <c r="GU11" s="105"/>
      <c r="GV11" s="105" t="s">
        <v>450</v>
      </c>
      <c r="GW11" s="105" t="s">
        <v>1206</v>
      </c>
      <c r="GX11" s="105" t="s">
        <v>449</v>
      </c>
      <c r="GY11" s="105"/>
      <c r="GZ11" s="105" t="s">
        <v>319</v>
      </c>
      <c r="HA11" s="105" t="s">
        <v>320</v>
      </c>
      <c r="HB11" s="105" t="s">
        <v>321</v>
      </c>
      <c r="HC11" s="106"/>
      <c r="HD11" s="102"/>
      <c r="HE11" s="102" t="s">
        <v>177</v>
      </c>
      <c r="HF11" s="102" t="s">
        <v>178</v>
      </c>
      <c r="HG11" s="102"/>
      <c r="HH11" s="102" t="s">
        <v>179</v>
      </c>
      <c r="HI11" s="102" t="s">
        <v>180</v>
      </c>
      <c r="HJ11" s="102"/>
      <c r="HK11" s="102" t="s">
        <v>292</v>
      </c>
      <c r="HL11" s="102" t="s">
        <v>293</v>
      </c>
      <c r="HM11" s="102"/>
      <c r="HN11" s="102"/>
      <c r="HO11" s="104"/>
      <c r="HP11" s="104" t="s">
        <v>815</v>
      </c>
      <c r="HQ11" s="104" t="s">
        <v>855</v>
      </c>
      <c r="HR11" s="105" t="s">
        <v>858</v>
      </c>
      <c r="HS11" s="106" t="s">
        <v>859</v>
      </c>
      <c r="HT11" s="999"/>
      <c r="HU11" s="105" t="s">
        <v>881</v>
      </c>
      <c r="HV11" s="105" t="s">
        <v>883</v>
      </c>
    </row>
    <row r="12" spans="1:230" s="999" customFormat="1" ht="20.25" customHeight="1">
      <c r="A12" s="78" t="s">
        <v>261</v>
      </c>
      <c r="B12" s="102"/>
      <c r="C12" s="102"/>
      <c r="D12" s="102"/>
      <c r="E12" s="102"/>
      <c r="F12" s="101"/>
      <c r="G12" s="102"/>
      <c r="H12" s="102"/>
      <c r="I12" s="102"/>
      <c r="J12" s="101" t="s">
        <v>1121</v>
      </c>
      <c r="K12" s="102"/>
      <c r="L12" s="102"/>
      <c r="M12" s="102"/>
      <c r="N12" s="102"/>
      <c r="O12" s="102"/>
      <c r="P12" s="102"/>
      <c r="Q12" s="102"/>
      <c r="R12" s="102"/>
      <c r="S12" s="102"/>
      <c r="T12" s="1007"/>
      <c r="U12" s="102" t="s">
        <v>262</v>
      </c>
      <c r="V12" s="102"/>
      <c r="W12" s="102"/>
      <c r="Y12" s="102"/>
      <c r="Z12" s="102"/>
      <c r="AA12" s="102"/>
      <c r="AB12" s="1017" t="s">
        <v>1126</v>
      </c>
      <c r="AC12" s="1007" t="s">
        <v>1453</v>
      </c>
      <c r="AD12" s="102"/>
      <c r="AE12" s="102"/>
      <c r="AF12" s="102"/>
      <c r="AG12" s="102"/>
      <c r="AH12" s="102"/>
      <c r="AI12" s="102"/>
      <c r="AJ12" s="103"/>
      <c r="AK12" s="102"/>
      <c r="AL12" s="102"/>
      <c r="AM12" s="102"/>
      <c r="AN12" s="102"/>
      <c r="AO12" s="1017"/>
      <c r="AP12" s="102"/>
      <c r="AQ12" s="102" t="s">
        <v>419</v>
      </c>
      <c r="AR12" s="102"/>
      <c r="AT12" s="102"/>
      <c r="AV12" s="102"/>
      <c r="AW12" s="102"/>
      <c r="AX12" s="102"/>
      <c r="AY12" s="102"/>
      <c r="AZ12" s="102"/>
      <c r="BA12" s="104" t="s">
        <v>1500</v>
      </c>
      <c r="BB12" s="102" t="s">
        <v>538</v>
      </c>
      <c r="BC12" s="102" t="s">
        <v>539</v>
      </c>
      <c r="BD12" s="102" t="s">
        <v>549</v>
      </c>
      <c r="BE12" s="102"/>
      <c r="BF12" s="102" t="s">
        <v>548</v>
      </c>
      <c r="BG12" s="102"/>
      <c r="BH12" s="102"/>
      <c r="BI12" s="103"/>
      <c r="BJ12" s="102"/>
      <c r="BK12" s="102" t="s">
        <v>523</v>
      </c>
      <c r="BL12" s="102"/>
      <c r="BM12" s="271" t="s">
        <v>1501</v>
      </c>
      <c r="BN12" s="102"/>
      <c r="BO12" s="102"/>
      <c r="BP12" s="102"/>
      <c r="BQ12" s="102"/>
      <c r="BR12" s="102"/>
      <c r="BS12" s="104" t="s">
        <v>1511</v>
      </c>
      <c r="BT12" s="102"/>
      <c r="BU12" s="102"/>
      <c r="BV12" s="102"/>
      <c r="BW12" s="102"/>
      <c r="BX12" s="103"/>
      <c r="BY12" s="102"/>
      <c r="BZ12" s="1017"/>
      <c r="CA12" s="1007"/>
      <c r="CB12" s="102"/>
      <c r="CC12" s="102" t="s">
        <v>480</v>
      </c>
      <c r="CD12" s="102"/>
      <c r="CE12" s="102"/>
      <c r="CF12" s="102"/>
      <c r="CG12" s="102"/>
      <c r="CH12" s="102" t="s">
        <v>468</v>
      </c>
      <c r="CI12" s="102" t="s">
        <v>637</v>
      </c>
      <c r="CJ12" s="102" t="s">
        <v>617</v>
      </c>
      <c r="CK12" s="102"/>
      <c r="CL12" s="103"/>
      <c r="CM12" s="102"/>
      <c r="CN12" s="102"/>
      <c r="CO12" s="102"/>
      <c r="CP12" s="102"/>
      <c r="CQ12" s="102"/>
      <c r="CR12" s="102"/>
      <c r="CS12" s="102"/>
      <c r="CT12" s="102"/>
      <c r="CU12" s="102"/>
      <c r="CV12" s="102" t="s">
        <v>263</v>
      </c>
      <c r="CW12" s="102"/>
      <c r="CX12" s="102"/>
      <c r="CY12" s="102"/>
      <c r="CZ12" s="102"/>
      <c r="DA12" s="102"/>
      <c r="DB12" s="102"/>
      <c r="DC12" s="102"/>
      <c r="DD12" s="102"/>
      <c r="DE12" s="102"/>
      <c r="DF12" s="102"/>
      <c r="DG12" s="102"/>
      <c r="DH12" s="103"/>
      <c r="DI12" s="102"/>
      <c r="DJ12" s="104" t="s">
        <v>1513</v>
      </c>
      <c r="DK12" s="102"/>
      <c r="DL12" s="102"/>
      <c r="DM12" s="102"/>
      <c r="DN12" s="102"/>
      <c r="DO12" s="102"/>
      <c r="DP12" s="102"/>
      <c r="DQ12" s="103"/>
      <c r="DR12" s="102"/>
      <c r="DS12" s="102"/>
      <c r="DT12" s="102"/>
      <c r="DU12" s="102"/>
      <c r="DV12" s="102"/>
      <c r="DW12" s="102"/>
      <c r="DX12" s="102"/>
      <c r="DY12" s="102" t="s">
        <v>500</v>
      </c>
      <c r="DZ12" s="102" t="s">
        <v>625</v>
      </c>
      <c r="EA12" s="102"/>
      <c r="EB12" s="102" t="s">
        <v>500</v>
      </c>
      <c r="EC12" s="102"/>
      <c r="ED12" s="102"/>
      <c r="EE12" s="102"/>
      <c r="EF12" s="102" t="s">
        <v>1021</v>
      </c>
      <c r="EG12" s="102"/>
      <c r="EH12" s="102" t="s">
        <v>494</v>
      </c>
      <c r="EI12" s="102" t="s">
        <v>507</v>
      </c>
      <c r="EJ12" s="102"/>
      <c r="EK12" s="102" t="s">
        <v>566</v>
      </c>
      <c r="EL12" s="102"/>
      <c r="EM12" s="102"/>
      <c r="EN12" s="102"/>
      <c r="EO12" s="102"/>
      <c r="EP12" s="102"/>
      <c r="EQ12" s="102"/>
      <c r="ER12" s="102"/>
      <c r="ES12" s="102" t="s">
        <v>490</v>
      </c>
      <c r="ET12" s="102"/>
      <c r="EU12" s="102"/>
      <c r="EV12" s="102"/>
      <c r="EW12" s="102"/>
      <c r="EX12" s="102"/>
      <c r="EY12" s="103"/>
      <c r="EZ12" s="102"/>
      <c r="FA12" s="1715" t="s">
        <v>1368</v>
      </c>
      <c r="FB12" s="1715" t="s">
        <v>1368</v>
      </c>
      <c r="FC12" s="102"/>
      <c r="FD12" s="102"/>
      <c r="FE12" s="101"/>
      <c r="FF12" s="103"/>
      <c r="FG12" s="102"/>
      <c r="FI12" s="102"/>
      <c r="FJ12" s="102"/>
      <c r="FK12" s="103"/>
      <c r="FL12" s="102" t="s">
        <v>631</v>
      </c>
      <c r="FM12" s="102"/>
      <c r="FN12" s="102"/>
      <c r="FO12" s="102"/>
      <c r="FP12" s="102"/>
      <c r="FQ12" s="102"/>
      <c r="FR12" s="102"/>
      <c r="FS12" s="101"/>
      <c r="FT12" s="102"/>
      <c r="FU12" s="102" t="s">
        <v>452</v>
      </c>
      <c r="FV12" s="102"/>
      <c r="FW12" s="102"/>
      <c r="FX12" s="102"/>
      <c r="FY12" s="102"/>
      <c r="FZ12" s="102"/>
      <c r="GA12" s="102"/>
      <c r="GB12" s="102"/>
      <c r="GC12" s="102"/>
      <c r="GD12" s="102"/>
      <c r="GE12" s="102"/>
      <c r="GF12" s="102"/>
      <c r="GG12" s="102"/>
      <c r="GH12" s="102"/>
      <c r="GI12" s="102"/>
      <c r="GJ12" s="102"/>
      <c r="GK12" s="103" t="s">
        <v>1045</v>
      </c>
      <c r="GL12" s="102"/>
      <c r="GM12" s="102"/>
      <c r="GN12" s="102"/>
      <c r="GO12" s="102"/>
      <c r="GP12" s="102"/>
      <c r="GQ12" s="102"/>
      <c r="GR12" s="102"/>
      <c r="GS12" s="102"/>
      <c r="GT12" s="102"/>
      <c r="GU12" s="1424"/>
      <c r="GV12" s="102"/>
      <c r="GW12" s="102" t="s">
        <v>1238</v>
      </c>
      <c r="GX12" s="104" t="s">
        <v>1209</v>
      </c>
      <c r="GY12" s="104"/>
      <c r="GZ12" s="102"/>
      <c r="HA12" s="102"/>
      <c r="HB12" s="102"/>
      <c r="HC12" s="101" t="s">
        <v>323</v>
      </c>
      <c r="HD12" s="102"/>
      <c r="HE12" s="102" t="s">
        <v>531</v>
      </c>
      <c r="HF12" s="102"/>
      <c r="HG12" s="102"/>
      <c r="HH12" s="102"/>
      <c r="HI12" s="102"/>
      <c r="HJ12" s="102" t="s">
        <v>265</v>
      </c>
      <c r="HK12" s="102"/>
      <c r="HL12" s="102"/>
      <c r="HM12" s="102"/>
      <c r="HN12" s="102"/>
      <c r="HO12" s="102"/>
      <c r="HP12" s="102"/>
      <c r="HQ12" s="102"/>
      <c r="HR12" s="102"/>
      <c r="HS12" s="101"/>
      <c r="HT12" s="102"/>
      <c r="HU12" s="103"/>
    </row>
    <row r="13" spans="1:230" ht="12" customHeight="1">
      <c r="A13" s="79">
        <f t="shared" ref="A13:A52" si="0">A14-1</f>
        <v>1855</v>
      </c>
      <c r="B13" s="176">
        <f t="shared" ref="B13:B76" si="1">C13+D13</f>
        <v>662.51561558684193</v>
      </c>
      <c r="C13" s="177">
        <f t="shared" ref="C13:C53" si="2">HD13+HG13+HJ13</f>
        <v>13</v>
      </c>
      <c r="D13" s="176">
        <f t="shared" ref="D13:D44" si="3">$K13+$T13+$AJ13+$CL13+$DH13</f>
        <v>649.51561558684193</v>
      </c>
      <c r="E13" s="154">
        <f t="shared" ref="E13:E44" si="4">CE13+F13</f>
        <v>681.34228722068565</v>
      </c>
      <c r="F13" s="995">
        <f t="shared" ref="F13:F76" si="5">CI13</f>
        <v>32.9</v>
      </c>
      <c r="G13" s="531">
        <f t="shared" ref="G13:G44" si="6">H13+C13</f>
        <v>737.14698580076185</v>
      </c>
      <c r="H13" s="531">
        <f t="shared" ref="H13:H44" si="7">I13-F13</f>
        <v>724.14698580076185</v>
      </c>
      <c r="I13" s="531">
        <f t="shared" ref="I13:I44" si="8">DT13+DU13+DW13+EI13-EJ13</f>
        <v>757.04698580076183</v>
      </c>
      <c r="J13" s="548">
        <f t="shared" ref="J13:J44" si="9">E13/I13</f>
        <v>0.9</v>
      </c>
      <c r="K13" s="515">
        <f t="shared" ref="K13:K26" si="10">L13-M13</f>
        <v>49.630380657838082</v>
      </c>
      <c r="L13" s="534">
        <f t="shared" ref="L13:L27" si="11">S13*CB13</f>
        <v>49.630380657838082</v>
      </c>
      <c r="M13" s="78">
        <v>0</v>
      </c>
      <c r="N13" s="78"/>
      <c r="O13" s="78"/>
      <c r="P13" s="78"/>
      <c r="Q13" s="78"/>
      <c r="R13" s="78"/>
      <c r="S13" s="532">
        <f t="shared" ref="S13:S26" si="12">S$28</f>
        <v>8.1120324932316204E-2</v>
      </c>
      <c r="T13" s="1008">
        <f t="shared" ref="T13:T76" si="13">V13-$X13</f>
        <v>36.386577127793146</v>
      </c>
      <c r="U13" s="1010">
        <f t="shared" ref="U13:U76" si="14">W13-$X13</f>
        <v>36.386577127793146</v>
      </c>
      <c r="V13" s="511">
        <f t="shared" ref="V13:V76" si="15">W13+AI13</f>
        <v>43.2</v>
      </c>
      <c r="W13" s="2">
        <f t="shared" ref="W13:W70" si="16">0.9*AR13</f>
        <v>43.2</v>
      </c>
      <c r="X13" s="169">
        <f t="shared" ref="X13:X44" si="17">AB13*E13</f>
        <v>6.8134228722068571</v>
      </c>
      <c r="Y13" s="113">
        <f t="shared" ref="Y13:Y76" si="18">X13/V13</f>
        <v>0.15771812204182539</v>
      </c>
      <c r="Z13" s="113">
        <f t="shared" ref="Z13:Z76" si="19">X13/W13</f>
        <v>0.15771812204182539</v>
      </c>
      <c r="AA13" s="78"/>
      <c r="AB13" s="1019">
        <v>0.01</v>
      </c>
      <c r="AC13" s="78"/>
      <c r="AD13" s="78"/>
      <c r="AE13" s="78"/>
      <c r="AF13" s="78"/>
      <c r="AG13" s="78"/>
      <c r="AH13" s="78"/>
      <c r="AI13" s="78"/>
      <c r="AJ13" s="171">
        <f t="shared" ref="AJ13:AJ44" si="20">AL13-BT13</f>
        <v>418.24503612794382</v>
      </c>
      <c r="AK13" s="1026">
        <f t="shared" ref="AK13:AK44" si="21">AM13-BU13</f>
        <v>140.16</v>
      </c>
      <c r="AL13" s="169">
        <f t="shared" ref="AL13:AL44" si="22">AO13+BM13</f>
        <v>435.67191263327481</v>
      </c>
      <c r="AM13" s="169">
        <f>AQ13+AT13+BK13</f>
        <v>146</v>
      </c>
      <c r="AN13" s="169">
        <f t="shared" ref="AN13:AN44" si="23">AO13-BT13</f>
        <v>211.87413014376099</v>
      </c>
      <c r="AO13" s="1027">
        <f t="shared" ref="AO13:AO45" si="24">AT13+AU13+AQ13</f>
        <v>229.30100664909199</v>
      </c>
      <c r="AP13" s="78">
        <v>93</v>
      </c>
      <c r="AQ13" s="78">
        <v>45</v>
      </c>
      <c r="AR13" s="78">
        <f>AP13-AQ13</f>
        <v>48</v>
      </c>
      <c r="AS13" s="1000"/>
      <c r="AT13" s="358">
        <v>40</v>
      </c>
      <c r="AU13" s="1030">
        <f t="shared" ref="AU13:AU46" si="25">BA13*(AV13-AT13+BJ13-BK13-DJ13)</f>
        <v>144.30100664909199</v>
      </c>
      <c r="AV13" s="78">
        <v>208</v>
      </c>
      <c r="AW13" s="534">
        <f>AV13-AU13-AT13</f>
        <v>23.698993350908012</v>
      </c>
      <c r="AX13" s="78"/>
      <c r="AY13" s="78"/>
      <c r="AZ13" s="534">
        <v>2.7119065628476084</v>
      </c>
      <c r="BA13" s="386">
        <v>0.35</v>
      </c>
      <c r="BB13" s="78"/>
      <c r="BC13" s="78"/>
      <c r="BD13" s="78"/>
      <c r="BE13" s="78"/>
      <c r="BF13" s="78"/>
      <c r="BG13" s="78"/>
      <c r="BH13" s="78"/>
      <c r="BI13" s="166">
        <v>328</v>
      </c>
      <c r="BJ13" s="2">
        <f t="shared" ref="BJ13:BJ44" si="26">BI13-HG13</f>
        <v>328</v>
      </c>
      <c r="BK13" s="78">
        <v>61</v>
      </c>
      <c r="BL13" s="169">
        <f t="shared" ref="BL13:BL44" si="27">BK13+AT13+AQ13</f>
        <v>146</v>
      </c>
      <c r="BM13" s="1031">
        <f t="shared" ref="BM13:BM44" si="28">BS13*AO13</f>
        <v>206.3709059841828</v>
      </c>
      <c r="BN13" s="310">
        <f t="shared" ref="BN13:BN44" si="29">BM13-BK13</f>
        <v>145.3709059841828</v>
      </c>
      <c r="BO13" s="262">
        <f t="shared" ref="BO13:BO44" si="30">AN13/$CD13</f>
        <v>0.32032141614960075</v>
      </c>
      <c r="BP13" s="262">
        <f t="shared" ref="BP13:BP44" si="31">AO13/CD13</f>
        <v>0.34666819929610471</v>
      </c>
      <c r="BQ13" s="262">
        <f t="shared" ref="BQ13:BQ44" si="32">BM13/$CD13</f>
        <v>0.31200137936649425</v>
      </c>
      <c r="BR13" s="262">
        <f t="shared" ref="BR13:BR44" si="33">BM13/BI13</f>
        <v>0.62917959141519142</v>
      </c>
      <c r="BS13" s="988">
        <v>0.9</v>
      </c>
      <c r="BT13" s="534">
        <f t="shared" ref="BT13:BT44" si="34">BV13*AL13</f>
        <v>17.426876505330991</v>
      </c>
      <c r="BU13" s="534">
        <f t="shared" ref="BU13:BU44" si="35">BV13*AM13</f>
        <v>5.84</v>
      </c>
      <c r="BV13" s="113">
        <v>0.04</v>
      </c>
      <c r="BW13" s="276">
        <f t="shared" ref="BW13:BW44" si="36">BT13/E13</f>
        <v>2.5577271266133017E-2</v>
      </c>
      <c r="BX13" s="272">
        <f t="shared" ref="BX13:BX44" si="37">X13+BT13</f>
        <v>24.240299377537848</v>
      </c>
      <c r="BY13" s="78"/>
      <c r="BZ13" s="1034"/>
      <c r="CA13" s="1037"/>
      <c r="CB13" s="2">
        <f t="shared" ref="CB13:CB44" si="38">$BJ13+$AP13+$AS13+$AV13+$AX13+$AY13+$AZ13+$C13-$CI13</f>
        <v>611.81190656284764</v>
      </c>
      <c r="CC13" s="2">
        <f>$BJ13+$AP13+$AS13+$AV13+$AX13+$AY13+$AZ13+$K13+$C13-$CI13</f>
        <v>661.44228722068567</v>
      </c>
      <c r="CD13" s="310">
        <f t="shared" ref="CD13:CD44" si="39">CC13</f>
        <v>661.44228722068567</v>
      </c>
      <c r="CE13" s="310">
        <f t="shared" ref="CE13:CE44" si="40">CD13-C13</f>
        <v>648.44228722068567</v>
      </c>
      <c r="CF13" s="78"/>
      <c r="CG13" s="78"/>
      <c r="CH13" s="78"/>
      <c r="CI13" s="534">
        <f>CK13*CJ13</f>
        <v>32.9</v>
      </c>
      <c r="CJ13" s="78">
        <v>47</v>
      </c>
      <c r="CK13" s="386">
        <v>0.7</v>
      </c>
      <c r="CL13" s="517">
        <f t="shared" ref="CL13:CL44" si="41">CM13-CQ13</f>
        <v>122.54221209924401</v>
      </c>
      <c r="CM13" s="169">
        <f t="shared" ref="CM13:CM44" si="42">CN13+CP13</f>
        <v>127.41667779270236</v>
      </c>
      <c r="CN13" s="170">
        <f t="shared" ref="CN13:CN76" si="43">CO13</f>
        <v>28.498993350908023</v>
      </c>
      <c r="CO13" s="170">
        <f t="shared" ref="CO13:CO44" si="44">AP13+AT13+AU13+AW13-W13-AO13</f>
        <v>28.498993350908023</v>
      </c>
      <c r="CP13" s="170">
        <f t="shared" ref="CP13:CP44" si="45">BJ13-DJ13-BM13</f>
        <v>98.917684441794336</v>
      </c>
      <c r="CQ13" s="170">
        <f t="shared" ref="CQ13:CQ44" si="46">F13-X13-BT13-DK13</f>
        <v>4.8744656934583404</v>
      </c>
      <c r="CR13" s="170"/>
      <c r="CS13" s="113">
        <f t="shared" ref="CS13:CS44" si="47">CQ13/E13</f>
        <v>7.1542098367945702E-3</v>
      </c>
      <c r="CT13" s="78"/>
      <c r="CU13" s="78"/>
      <c r="CV13" s="78"/>
      <c r="CW13" s="78"/>
      <c r="CX13" s="78"/>
      <c r="CY13" s="78"/>
      <c r="CZ13" s="78"/>
      <c r="DA13" s="78"/>
      <c r="DB13" s="78"/>
      <c r="DC13" s="78"/>
      <c r="DD13" s="78"/>
      <c r="DE13" s="78"/>
      <c r="DF13" s="78"/>
      <c r="DG13" s="78"/>
      <c r="DH13" s="516">
        <f t="shared" ref="DH13:DH53" si="48">DI13-DK13</f>
        <v>22.711409574022856</v>
      </c>
      <c r="DI13" s="2">
        <f t="shared" ref="DI13:DI76" si="49">DJ13+DK13</f>
        <v>26.496644503026666</v>
      </c>
      <c r="DJ13" s="169">
        <f t="shared" ref="DJ13:DJ76" si="50">DN13*DT13</f>
        <v>22.711409574022856</v>
      </c>
      <c r="DK13" s="169">
        <f t="shared" ref="DK13:DK46" si="51">0.005*I13</f>
        <v>3.7852349290038094</v>
      </c>
      <c r="DL13" s="113">
        <f t="shared" ref="DL13:DL44" si="52">DJ13/CD13</f>
        <v>3.4336192307047569E-2</v>
      </c>
      <c r="DM13" s="113">
        <f t="shared" ref="DM13:DM44" si="53">DJ13/BJ13</f>
        <v>6.924210235982578E-2</v>
      </c>
      <c r="DN13" s="113">
        <v>0.6</v>
      </c>
      <c r="DO13" s="78"/>
      <c r="DP13" s="78"/>
      <c r="DQ13" s="545">
        <f t="shared" ref="DQ13:DQ26" si="54">0.05*EQ13</f>
        <v>37.852349290038092</v>
      </c>
      <c r="DR13" s="78"/>
      <c r="DS13" s="78"/>
      <c r="DT13" s="534">
        <f t="shared" ref="DT13:DT27" si="55">DQ13</f>
        <v>37.852349290038092</v>
      </c>
      <c r="DU13" s="175">
        <f t="shared" ref="DU13:DU27" si="56">EQ13+EJ13-EI13-DQ13-DW13</f>
        <v>645.77815052911092</v>
      </c>
      <c r="DV13" s="175"/>
      <c r="DW13" s="170">
        <f t="shared" ref="DW13:DW44" si="57">DX13+EG13</f>
        <v>65.41648598161288</v>
      </c>
      <c r="DX13" s="534">
        <f>EA13*$DZ13</f>
        <v>58</v>
      </c>
      <c r="DY13" s="534">
        <f>EB13*$DZ13</f>
        <v>52.199999999999996</v>
      </c>
      <c r="DZ13" s="262">
        <v>1.45</v>
      </c>
      <c r="EA13" s="78">
        <v>40</v>
      </c>
      <c r="EB13" s="78">
        <v>36</v>
      </c>
      <c r="EC13" s="175">
        <f>DX13-DY13</f>
        <v>5.8000000000000043</v>
      </c>
      <c r="ED13" s="175">
        <v>0</v>
      </c>
      <c r="EE13" s="175">
        <f t="shared" ref="EE13:EE44" si="58">EC13-ED13</f>
        <v>5.8000000000000043</v>
      </c>
      <c r="EF13" s="175"/>
      <c r="EG13" s="534">
        <f t="shared" ref="EG13:EG27" si="59">DX13*AVERAGE(EG$28:EG$58)/AVERAGE(DX$28:DX$58)</f>
        <v>7.4164859816128823</v>
      </c>
      <c r="EH13" s="534">
        <f t="shared" ref="EH13:EH44" si="60">DX13-CI13</f>
        <v>25.1</v>
      </c>
      <c r="EI13" s="175">
        <f t="shared" ref="EI13:EI26" si="61">EK13+EL13+EM13</f>
        <v>152</v>
      </c>
      <c r="EJ13" s="78">
        <v>144</v>
      </c>
      <c r="EK13" s="78">
        <v>96</v>
      </c>
      <c r="EL13" s="78">
        <v>21</v>
      </c>
      <c r="EM13" s="175">
        <f t="shared" ref="EM13:EM27" si="62">EN13-C13</f>
        <v>35</v>
      </c>
      <c r="EN13" s="78">
        <v>48</v>
      </c>
      <c r="EO13" s="78"/>
      <c r="EP13" s="78"/>
      <c r="EQ13" s="175">
        <f t="shared" ref="EQ13:EQ25" si="63">ER13/ES13</f>
        <v>757.04698580076183</v>
      </c>
      <c r="ER13" s="2">
        <f t="shared" ref="ER13:ER44" si="64">$BJ13+$AP13+$AS13+$AV13+$AX13+$AY13+$AZ13+$K13</f>
        <v>681.34228722068565</v>
      </c>
      <c r="ES13" s="386">
        <v>0.9</v>
      </c>
      <c r="ET13" s="78"/>
      <c r="EU13" s="78"/>
      <c r="EV13" s="78"/>
      <c r="EW13" s="78"/>
      <c r="EX13" s="78"/>
      <c r="EY13" s="166"/>
      <c r="EZ13" s="78"/>
      <c r="FA13" s="78"/>
      <c r="FB13" s="78"/>
      <c r="FC13" s="78"/>
      <c r="FD13" s="78"/>
      <c r="FE13" s="93"/>
      <c r="FF13" s="166"/>
      <c r="FG13" s="78"/>
      <c r="FH13" s="598"/>
      <c r="FI13" s="310">
        <f t="shared" ref="FI13:FI76" si="65">FJ13</f>
        <v>21</v>
      </c>
      <c r="FJ13" s="2">
        <f t="shared" ref="FJ13:FJ44" si="66">EI13-EJ13+C13+HO13</f>
        <v>21</v>
      </c>
      <c r="FK13" s="166"/>
      <c r="FL13" s="78"/>
      <c r="FM13" s="78"/>
      <c r="FN13" s="78"/>
      <c r="FO13" s="78"/>
      <c r="FP13" s="78"/>
      <c r="FQ13" s="78"/>
      <c r="FR13" s="78"/>
      <c r="FS13" s="93"/>
      <c r="FT13" s="78"/>
      <c r="FU13" s="78"/>
      <c r="FV13" s="78"/>
      <c r="FW13" s="78"/>
      <c r="FX13" s="78"/>
      <c r="FY13" s="78"/>
      <c r="FZ13" s="102"/>
      <c r="GA13" s="102"/>
      <c r="GB13" s="102"/>
      <c r="GC13" s="102"/>
      <c r="GD13" s="102"/>
      <c r="GE13" s="102"/>
      <c r="GF13" s="102"/>
      <c r="GG13" s="102"/>
      <c r="GH13" s="102"/>
      <c r="GI13" s="102"/>
      <c r="GJ13" s="102"/>
      <c r="GK13" s="1162">
        <f>DataUK4!X166+DataUK4!AH166</f>
        <v>-19.499999999999986</v>
      </c>
      <c r="GL13" s="102"/>
      <c r="GM13" s="102"/>
      <c r="GN13" s="102"/>
      <c r="GO13" s="102"/>
      <c r="GP13" s="310">
        <f t="shared" ref="GP13:GP44" si="67">EE13</f>
        <v>5.8000000000000043</v>
      </c>
      <c r="GQ13" s="102"/>
      <c r="GR13" s="102"/>
      <c r="GS13" s="102"/>
      <c r="GT13" s="102"/>
      <c r="GU13" s="991">
        <f t="shared" ref="GU13:GU76" si="68">GK13-GP13-GR13</f>
        <v>-25.29999999999999</v>
      </c>
      <c r="GV13" s="175"/>
      <c r="GW13" s="1063">
        <f>DataUK4!D166+DataUK4!F166</f>
        <v>24.3</v>
      </c>
      <c r="GX13" s="102"/>
      <c r="GY13" s="615">
        <f t="shared" ref="GY13:GY76" si="69">GY14*GW13/GW14</f>
        <v>20.387925696594444</v>
      </c>
      <c r="GZ13" s="102"/>
      <c r="HA13" s="102"/>
      <c r="HB13" s="102"/>
      <c r="HC13" s="101"/>
      <c r="HD13" s="170">
        <f t="shared" ref="HD13:HD27" si="70">HE13-HF13</f>
        <v>13</v>
      </c>
      <c r="HE13" s="301">
        <v>13</v>
      </c>
      <c r="HF13" s="78">
        <v>0</v>
      </c>
      <c r="HG13" s="170">
        <f t="shared" ref="HG13:HG76" si="71">HH13-HI13</f>
        <v>0</v>
      </c>
      <c r="HH13" s="301">
        <v>0</v>
      </c>
      <c r="HI13" s="301">
        <v>0</v>
      </c>
      <c r="HJ13" s="2">
        <v>0</v>
      </c>
      <c r="HK13" s="2">
        <v>0</v>
      </c>
      <c r="HL13" s="2">
        <v>0</v>
      </c>
      <c r="HM13" s="2">
        <f t="shared" ref="HM13:HM76" si="72">HJ13-(-HK13-HL13)</f>
        <v>0</v>
      </c>
      <c r="HN13" s="2">
        <v>0</v>
      </c>
      <c r="HO13" s="2">
        <v>0</v>
      </c>
      <c r="HP13" s="2">
        <v>0</v>
      </c>
      <c r="HQ13" s="2">
        <v>0</v>
      </c>
      <c r="HR13" s="2">
        <v>0</v>
      </c>
      <c r="HS13" s="1052">
        <v>0</v>
      </c>
      <c r="HT13" s="1001">
        <v>10.5</v>
      </c>
      <c r="HU13" s="1002">
        <f t="shared" ref="HU13:HU76" si="73">$HT13*HU$107/HT$107</f>
        <v>1.282958199356913</v>
      </c>
      <c r="HV13" s="1002">
        <f t="shared" ref="HV13:HV76" si="74">$HT13*HV$107/HT$107</f>
        <v>1.4855305466237942</v>
      </c>
    </row>
    <row r="14" spans="1:230" ht="12" customHeight="1">
      <c r="A14" s="79">
        <f t="shared" si="0"/>
        <v>1856</v>
      </c>
      <c r="B14" s="176">
        <f t="shared" si="1"/>
        <v>694.69320112264984</v>
      </c>
      <c r="C14" s="177">
        <f t="shared" si="2"/>
        <v>15</v>
      </c>
      <c r="D14" s="176">
        <f t="shared" si="3"/>
        <v>679.69320112264984</v>
      </c>
      <c r="E14" s="154">
        <f t="shared" si="4"/>
        <v>711.87498146205621</v>
      </c>
      <c r="F14" s="995">
        <f t="shared" si="5"/>
        <v>33.302857142857142</v>
      </c>
      <c r="G14" s="531">
        <f t="shared" si="6"/>
        <v>772.66934448164966</v>
      </c>
      <c r="H14" s="531">
        <f t="shared" si="7"/>
        <v>757.66934448164966</v>
      </c>
      <c r="I14" s="531">
        <f t="shared" si="8"/>
        <v>790.97220162450685</v>
      </c>
      <c r="J14" s="548">
        <f t="shared" si="9"/>
        <v>0.9</v>
      </c>
      <c r="K14" s="515">
        <f t="shared" si="10"/>
        <v>52.041197257384447</v>
      </c>
      <c r="L14" s="534">
        <f t="shared" si="11"/>
        <v>52.041197257384447</v>
      </c>
      <c r="M14" s="78">
        <v>0</v>
      </c>
      <c r="N14" s="78"/>
      <c r="O14" s="78"/>
      <c r="P14" s="78"/>
      <c r="Q14" s="78"/>
      <c r="R14" s="78"/>
      <c r="S14" s="532">
        <f t="shared" si="12"/>
        <v>8.1120324932316204E-2</v>
      </c>
      <c r="T14" s="1008">
        <f t="shared" si="13"/>
        <v>35.18125018537944</v>
      </c>
      <c r="U14" s="1010">
        <f t="shared" si="14"/>
        <v>35.18125018537944</v>
      </c>
      <c r="V14" s="511">
        <f t="shared" si="15"/>
        <v>42.300000000000004</v>
      </c>
      <c r="W14" s="2">
        <f t="shared" si="16"/>
        <v>42.300000000000004</v>
      </c>
      <c r="X14" s="169">
        <f t="shared" si="17"/>
        <v>7.1187498146205623</v>
      </c>
      <c r="Y14" s="113">
        <f t="shared" si="18"/>
        <v>0.16829195779244827</v>
      </c>
      <c r="Z14" s="113">
        <f t="shared" si="19"/>
        <v>0.16829195779244827</v>
      </c>
      <c r="AA14" s="78"/>
      <c r="AB14" s="1019">
        <v>0.01</v>
      </c>
      <c r="AC14" s="78"/>
      <c r="AD14" s="78"/>
      <c r="AE14" s="78"/>
      <c r="AF14" s="78"/>
      <c r="AG14" s="78"/>
      <c r="AH14" s="78"/>
      <c r="AI14" s="78"/>
      <c r="AJ14" s="171">
        <f t="shared" si="20"/>
        <v>435.86293399807153</v>
      </c>
      <c r="AK14" s="1026">
        <f t="shared" si="21"/>
        <v>143.04</v>
      </c>
      <c r="AL14" s="169">
        <f t="shared" si="22"/>
        <v>454.02388958132451</v>
      </c>
      <c r="AM14" s="169">
        <f t="shared" ref="AM14:AM77" si="75">AQ14+AT14+BK14</f>
        <v>149</v>
      </c>
      <c r="AN14" s="169">
        <f t="shared" si="23"/>
        <v>222.98887628478033</v>
      </c>
      <c r="AO14" s="1027">
        <f t="shared" si="24"/>
        <v>241.14983186803332</v>
      </c>
      <c r="AP14" s="78">
        <v>94</v>
      </c>
      <c r="AQ14" s="78">
        <v>47</v>
      </c>
      <c r="AR14" s="78">
        <f t="shared" ref="AR14:AR77" si="76">AP14-AQ14</f>
        <v>47</v>
      </c>
      <c r="AS14" s="83"/>
      <c r="AT14" s="358">
        <v>42</v>
      </c>
      <c r="AU14" s="1030">
        <f t="shared" si="25"/>
        <v>152.14983186803332</v>
      </c>
      <c r="AV14" s="78">
        <v>227</v>
      </c>
      <c r="AW14" s="534">
        <f t="shared" ref="AW14:AW46" si="77">AV14-AU14-AT14</f>
        <v>32.850168131966683</v>
      </c>
      <c r="AX14" s="78"/>
      <c r="AY14" s="78"/>
      <c r="AZ14" s="534">
        <v>2.8337842046718573</v>
      </c>
      <c r="BA14" s="386">
        <f>BA13+(BA$47-BA$13)/34</f>
        <v>0.34795330503335353</v>
      </c>
      <c r="BB14" s="78"/>
      <c r="BC14" s="78"/>
      <c r="BD14" s="78"/>
      <c r="BE14" s="78"/>
      <c r="BF14" s="78"/>
      <c r="BG14" s="78"/>
      <c r="BH14" s="78"/>
      <c r="BI14" s="166">
        <v>336</v>
      </c>
      <c r="BJ14" s="2">
        <f t="shared" si="26"/>
        <v>336</v>
      </c>
      <c r="BK14" s="78">
        <v>60</v>
      </c>
      <c r="BL14" s="169">
        <f t="shared" si="27"/>
        <v>149</v>
      </c>
      <c r="BM14" s="1031">
        <f t="shared" si="28"/>
        <v>212.87405771329117</v>
      </c>
      <c r="BN14" s="310">
        <f t="shared" si="29"/>
        <v>152.87405771329117</v>
      </c>
      <c r="BO14" s="262">
        <f t="shared" si="30"/>
        <v>0.32150784102469976</v>
      </c>
      <c r="BP14" s="262">
        <f t="shared" si="31"/>
        <v>0.34769250869870633</v>
      </c>
      <c r="BQ14" s="262">
        <f t="shared" si="32"/>
        <v>0.30692418315145731</v>
      </c>
      <c r="BR14" s="262">
        <f t="shared" si="33"/>
        <v>0.6335537431943189</v>
      </c>
      <c r="BS14" s="2127">
        <f>BS13+(BS$33-BS$13)/20</f>
        <v>0.88274603413277197</v>
      </c>
      <c r="BT14" s="534">
        <f t="shared" si="34"/>
        <v>18.160955583252981</v>
      </c>
      <c r="BU14" s="534">
        <f t="shared" si="35"/>
        <v>5.96</v>
      </c>
      <c r="BV14" s="113">
        <v>0.04</v>
      </c>
      <c r="BW14" s="276">
        <f t="shared" si="36"/>
        <v>2.5511439587262673E-2</v>
      </c>
      <c r="BX14" s="272">
        <f t="shared" si="37"/>
        <v>25.279705397873542</v>
      </c>
      <c r="BY14" s="78"/>
      <c r="BZ14" s="1034"/>
      <c r="CA14" s="1037"/>
      <c r="CB14" s="2">
        <f t="shared" si="38"/>
        <v>641.53092706181462</v>
      </c>
      <c r="CC14" s="2">
        <f t="shared" ref="CC14:CC27" si="78">BJ14+AP14+AS14+AV14+AX14+AY14+AZ14+K14+C14-CI14</f>
        <v>693.57212431919902</v>
      </c>
      <c r="CD14" s="310">
        <f t="shared" si="39"/>
        <v>693.57212431919902</v>
      </c>
      <c r="CE14" s="310">
        <f t="shared" si="40"/>
        <v>678.57212431919902</v>
      </c>
      <c r="CF14" s="78"/>
      <c r="CG14" s="78"/>
      <c r="CH14" s="78"/>
      <c r="CI14" s="534">
        <f t="shared" ref="CI14:CI48" si="79">CK14*CJ14</f>
        <v>33.302857142857142</v>
      </c>
      <c r="CJ14" s="78">
        <v>47</v>
      </c>
      <c r="CK14" s="386">
        <f>CK13+(CK$48-CK$13)/35</f>
        <v>0.70857142857142852</v>
      </c>
      <c r="CL14" s="517">
        <f t="shared" si="41"/>
        <v>132.87865363307921</v>
      </c>
      <c r="CM14" s="169">
        <f t="shared" si="42"/>
        <v>136.94694436994027</v>
      </c>
      <c r="CN14" s="170">
        <f t="shared" si="43"/>
        <v>37.550168131966672</v>
      </c>
      <c r="CO14" s="170">
        <f t="shared" si="44"/>
        <v>37.550168131966672</v>
      </c>
      <c r="CP14" s="170">
        <f t="shared" si="45"/>
        <v>99.396776237973597</v>
      </c>
      <c r="CQ14" s="170">
        <f t="shared" si="46"/>
        <v>4.0682907368610621</v>
      </c>
      <c r="CR14" s="170"/>
      <c r="CS14" s="113">
        <f t="shared" si="47"/>
        <v>5.7148949503823899E-3</v>
      </c>
      <c r="CT14" s="78"/>
      <c r="CU14" s="78"/>
      <c r="CV14" s="78"/>
      <c r="CW14" s="78"/>
      <c r="CX14" s="78"/>
      <c r="CY14" s="78"/>
      <c r="CZ14" s="78"/>
      <c r="DA14" s="78"/>
      <c r="DB14" s="78"/>
      <c r="DC14" s="78"/>
      <c r="DD14" s="78"/>
      <c r="DE14" s="78"/>
      <c r="DF14" s="78"/>
      <c r="DG14" s="78"/>
      <c r="DH14" s="516">
        <f t="shared" si="48"/>
        <v>23.729166048735209</v>
      </c>
      <c r="DI14" s="2">
        <f t="shared" si="49"/>
        <v>27.684027056857744</v>
      </c>
      <c r="DJ14" s="169">
        <f t="shared" si="50"/>
        <v>23.729166048735209</v>
      </c>
      <c r="DK14" s="169">
        <f t="shared" si="51"/>
        <v>3.9548610081225344</v>
      </c>
      <c r="DL14" s="113">
        <f t="shared" si="52"/>
        <v>3.4212975430677001E-2</v>
      </c>
      <c r="DM14" s="113">
        <f t="shared" si="53"/>
        <v>7.062251800218812E-2</v>
      </c>
      <c r="DN14" s="113">
        <v>0.6</v>
      </c>
      <c r="DO14" s="78"/>
      <c r="DP14" s="78"/>
      <c r="DQ14" s="545">
        <f t="shared" si="54"/>
        <v>39.548610081225348</v>
      </c>
      <c r="DR14" s="78"/>
      <c r="DS14" s="78"/>
      <c r="DT14" s="534">
        <f t="shared" si="55"/>
        <v>39.548610081225348</v>
      </c>
      <c r="DU14" s="175">
        <f t="shared" si="56"/>
        <v>679.1360050414354</v>
      </c>
      <c r="DV14" s="175"/>
      <c r="DW14" s="170">
        <f t="shared" si="57"/>
        <v>65.287586501846164</v>
      </c>
      <c r="DX14" s="534">
        <f t="shared" ref="DX14:DX27" si="80">EA14*$DZ14</f>
        <v>57.885714285714286</v>
      </c>
      <c r="DY14" s="534">
        <f t="shared" ref="DY14:DY27" si="81">EB14*$DZ14</f>
        <v>52.097142857142856</v>
      </c>
      <c r="DZ14" s="262">
        <f>DZ13+(DZ$48-DZ$13)/35</f>
        <v>1.4471428571428571</v>
      </c>
      <c r="EA14" s="78">
        <v>40</v>
      </c>
      <c r="EB14" s="78">
        <v>36</v>
      </c>
      <c r="EC14" s="175">
        <f t="shared" ref="EC14:EC77" si="82">DX14-DY14</f>
        <v>5.78857142857143</v>
      </c>
      <c r="ED14" s="175">
        <v>0</v>
      </c>
      <c r="EE14" s="175">
        <f t="shared" si="58"/>
        <v>5.78857142857143</v>
      </c>
      <c r="EF14" s="175"/>
      <c r="EG14" s="534">
        <f t="shared" si="59"/>
        <v>7.4018722161318724</v>
      </c>
      <c r="EH14" s="534">
        <f t="shared" si="60"/>
        <v>24.582857142857144</v>
      </c>
      <c r="EI14" s="175">
        <f t="shared" si="61"/>
        <v>180</v>
      </c>
      <c r="EJ14" s="78">
        <v>173</v>
      </c>
      <c r="EK14" s="78">
        <v>116</v>
      </c>
      <c r="EL14" s="78">
        <v>23</v>
      </c>
      <c r="EM14" s="175">
        <f t="shared" si="62"/>
        <v>41</v>
      </c>
      <c r="EN14" s="78">
        <v>56</v>
      </c>
      <c r="EO14" s="78"/>
      <c r="EP14" s="78"/>
      <c r="EQ14" s="175">
        <f t="shared" si="63"/>
        <v>790.97220162450685</v>
      </c>
      <c r="ER14" s="2">
        <f t="shared" si="64"/>
        <v>711.87498146205621</v>
      </c>
      <c r="ES14" s="386">
        <v>0.9</v>
      </c>
      <c r="ET14" s="78"/>
      <c r="EU14" s="78"/>
      <c r="EV14" s="78"/>
      <c r="EW14" s="78"/>
      <c r="EX14" s="78"/>
      <c r="EY14" s="166"/>
      <c r="EZ14" s="78"/>
      <c r="FA14" s="78"/>
      <c r="FB14" s="78"/>
      <c r="FC14" s="78"/>
      <c r="FD14" s="78"/>
      <c r="FE14" s="93"/>
      <c r="FF14" s="166"/>
      <c r="FG14" s="78"/>
      <c r="FH14" s="598"/>
      <c r="FI14" s="310">
        <f t="shared" si="65"/>
        <v>22</v>
      </c>
      <c r="FJ14" s="2">
        <f t="shared" si="66"/>
        <v>22</v>
      </c>
      <c r="FK14" s="166"/>
      <c r="FL14" s="78"/>
      <c r="FM14" s="78"/>
      <c r="FN14" s="78"/>
      <c r="FO14" s="78"/>
      <c r="FP14" s="78"/>
      <c r="FQ14" s="78"/>
      <c r="FR14" s="78"/>
      <c r="FS14" s="93"/>
      <c r="FT14" s="78"/>
      <c r="FU14" s="78"/>
      <c r="FV14" s="78"/>
      <c r="FW14" s="78"/>
      <c r="FX14" s="78"/>
      <c r="FY14" s="78"/>
      <c r="FZ14" s="102"/>
      <c r="GA14" s="102"/>
      <c r="GB14" s="102"/>
      <c r="GC14" s="102"/>
      <c r="GD14" s="102"/>
      <c r="GE14" s="102"/>
      <c r="GF14" s="102"/>
      <c r="GG14" s="102"/>
      <c r="GH14" s="102"/>
      <c r="GI14" s="102"/>
      <c r="GJ14" s="102"/>
      <c r="GK14" s="1162">
        <f>DataUK4!X167+DataUK4!AH167</f>
        <v>0.10000000000000853</v>
      </c>
      <c r="GL14" s="102"/>
      <c r="GM14" s="102"/>
      <c r="GN14" s="102"/>
      <c r="GO14" s="102"/>
      <c r="GP14" s="310">
        <f t="shared" si="67"/>
        <v>5.78857142857143</v>
      </c>
      <c r="GQ14" s="102"/>
      <c r="GR14" s="102"/>
      <c r="GS14" s="102"/>
      <c r="GT14" s="102"/>
      <c r="GU14" s="991">
        <f t="shared" si="68"/>
        <v>-5.6885714285714215</v>
      </c>
      <c r="GV14" s="175"/>
      <c r="GW14" s="1063">
        <f>DataUK4!D167+DataUK4!F167</f>
        <v>24.8</v>
      </c>
      <c r="GX14" s="102"/>
      <c r="GY14" s="615">
        <f t="shared" si="69"/>
        <v>20.807430340557293</v>
      </c>
      <c r="GZ14" s="102"/>
      <c r="HA14" s="102"/>
      <c r="HB14" s="102"/>
      <c r="HC14" s="101"/>
      <c r="HD14" s="170">
        <f t="shared" si="70"/>
        <v>15</v>
      </c>
      <c r="HE14" s="301">
        <v>15</v>
      </c>
      <c r="HF14" s="78">
        <v>0</v>
      </c>
      <c r="HG14" s="170">
        <f t="shared" si="71"/>
        <v>0</v>
      </c>
      <c r="HH14" s="301">
        <v>0</v>
      </c>
      <c r="HI14" s="301">
        <v>0</v>
      </c>
      <c r="HJ14" s="2">
        <v>0</v>
      </c>
      <c r="HK14" s="2">
        <v>0</v>
      </c>
      <c r="HL14" s="2">
        <v>0</v>
      </c>
      <c r="HM14" s="2">
        <f t="shared" si="72"/>
        <v>0</v>
      </c>
      <c r="HN14" s="2">
        <v>0</v>
      </c>
      <c r="HO14" s="2">
        <v>0</v>
      </c>
      <c r="HP14" s="2">
        <v>0</v>
      </c>
      <c r="HQ14" s="2">
        <v>0</v>
      </c>
      <c r="HR14" s="2">
        <v>0</v>
      </c>
      <c r="HS14" s="1052">
        <v>0</v>
      </c>
      <c r="HT14" s="1001">
        <v>10.5</v>
      </c>
      <c r="HU14" s="1002">
        <f t="shared" si="73"/>
        <v>1.282958199356913</v>
      </c>
      <c r="HV14" s="1002">
        <f t="shared" si="74"/>
        <v>1.4855305466237942</v>
      </c>
    </row>
    <row r="15" spans="1:230" ht="12" customHeight="1">
      <c r="A15" s="79">
        <f t="shared" si="0"/>
        <v>1857</v>
      </c>
      <c r="B15" s="176">
        <f t="shared" si="1"/>
        <v>681.97720315613515</v>
      </c>
      <c r="C15" s="177">
        <f t="shared" si="2"/>
        <v>16</v>
      </c>
      <c r="D15" s="176">
        <f t="shared" si="3"/>
        <v>665.97720315613515</v>
      </c>
      <c r="E15" s="154">
        <f t="shared" si="4"/>
        <v>697.86689866147901</v>
      </c>
      <c r="F15" s="995">
        <f t="shared" si="5"/>
        <v>32.988571428571426</v>
      </c>
      <c r="G15" s="531">
        <f t="shared" si="6"/>
        <v>758.4190937508497</v>
      </c>
      <c r="H15" s="531">
        <f t="shared" si="7"/>
        <v>742.4190937508497</v>
      </c>
      <c r="I15" s="531">
        <f t="shared" si="8"/>
        <v>775.40766517942109</v>
      </c>
      <c r="J15" s="548">
        <f t="shared" si="9"/>
        <v>0.9</v>
      </c>
      <c r="K15" s="515">
        <f t="shared" si="10"/>
        <v>51.088736258809369</v>
      </c>
      <c r="L15" s="534">
        <f t="shared" si="11"/>
        <v>51.088736258809369</v>
      </c>
      <c r="M15" s="78">
        <v>0</v>
      </c>
      <c r="N15" s="78"/>
      <c r="O15" s="78"/>
      <c r="P15" s="78"/>
      <c r="Q15" s="78"/>
      <c r="R15" s="78"/>
      <c r="S15" s="532">
        <f t="shared" si="12"/>
        <v>8.1120324932316204E-2</v>
      </c>
      <c r="T15" s="1008">
        <f t="shared" si="13"/>
        <v>36.22133101338521</v>
      </c>
      <c r="U15" s="1010">
        <f t="shared" si="14"/>
        <v>36.22133101338521</v>
      </c>
      <c r="V15" s="511">
        <f t="shared" si="15"/>
        <v>43.2</v>
      </c>
      <c r="W15" s="2">
        <f t="shared" si="16"/>
        <v>43.2</v>
      </c>
      <c r="X15" s="169">
        <f t="shared" si="17"/>
        <v>6.9786689866147906</v>
      </c>
      <c r="Y15" s="113">
        <f t="shared" si="18"/>
        <v>0.16154326357904608</v>
      </c>
      <c r="Z15" s="113">
        <f t="shared" si="19"/>
        <v>0.16154326357904608</v>
      </c>
      <c r="AA15" s="78"/>
      <c r="AB15" s="1019">
        <v>0.01</v>
      </c>
      <c r="AC15" s="78"/>
      <c r="AD15" s="78"/>
      <c r="AE15" s="78"/>
      <c r="AF15" s="78"/>
      <c r="AG15" s="78"/>
      <c r="AH15" s="78"/>
      <c r="AI15" s="78"/>
      <c r="AJ15" s="171">
        <f t="shared" si="20"/>
        <v>434.28343009071682</v>
      </c>
      <c r="AK15" s="1026">
        <f t="shared" si="21"/>
        <v>148.80000000000001</v>
      </c>
      <c r="AL15" s="169">
        <f t="shared" si="22"/>
        <v>452.37857301116333</v>
      </c>
      <c r="AM15" s="169">
        <f t="shared" si="75"/>
        <v>155</v>
      </c>
      <c r="AN15" s="169">
        <f t="shared" si="23"/>
        <v>224.40311301251268</v>
      </c>
      <c r="AO15" s="1027">
        <f t="shared" si="24"/>
        <v>242.49825593295921</v>
      </c>
      <c r="AP15" s="78">
        <v>97</v>
      </c>
      <c r="AQ15" s="78">
        <v>49</v>
      </c>
      <c r="AR15" s="78">
        <f t="shared" si="76"/>
        <v>48</v>
      </c>
      <c r="AS15" s="1000"/>
      <c r="AT15" s="358">
        <v>49</v>
      </c>
      <c r="AU15" s="1030">
        <f t="shared" si="25"/>
        <v>144.49825593295921</v>
      </c>
      <c r="AV15" s="78">
        <v>226</v>
      </c>
      <c r="AW15" s="534">
        <f t="shared" si="77"/>
        <v>32.501744067040789</v>
      </c>
      <c r="AX15" s="78"/>
      <c r="AY15" s="78"/>
      <c r="AZ15" s="534">
        <v>2.7781624026696332</v>
      </c>
      <c r="BA15" s="386">
        <f t="shared" ref="BA15:BA46" si="83">BA14+(BA$47-BA$13)/34</f>
        <v>0.34590661006670709</v>
      </c>
      <c r="BB15" s="78"/>
      <c r="BC15" s="78"/>
      <c r="BD15" s="78"/>
      <c r="BE15" s="78"/>
      <c r="BF15" s="78"/>
      <c r="BG15" s="78"/>
      <c r="BH15" s="78"/>
      <c r="BI15" s="166">
        <v>321</v>
      </c>
      <c r="BJ15" s="2">
        <f t="shared" si="26"/>
        <v>321</v>
      </c>
      <c r="BK15" s="78">
        <v>57</v>
      </c>
      <c r="BL15" s="169">
        <f t="shared" si="27"/>
        <v>155</v>
      </c>
      <c r="BM15" s="1031">
        <f t="shared" si="28"/>
        <v>209.88031707820409</v>
      </c>
      <c r="BN15" s="310">
        <f t="shared" si="29"/>
        <v>152.88031707820409</v>
      </c>
      <c r="BO15" s="262">
        <f t="shared" si="30"/>
        <v>0.32957887486959364</v>
      </c>
      <c r="BP15" s="262">
        <f t="shared" si="31"/>
        <v>0.35615505184086726</v>
      </c>
      <c r="BQ15" s="262">
        <f t="shared" si="32"/>
        <v>0.30824937244097428</v>
      </c>
      <c r="BR15" s="262">
        <f t="shared" si="33"/>
        <v>0.65383276348350183</v>
      </c>
      <c r="BS15" s="2127">
        <f t="shared" ref="BS15:BS31" si="84">BS14+(BS$33-BS$13)/20</f>
        <v>0.86549206826554392</v>
      </c>
      <c r="BT15" s="534">
        <f t="shared" si="34"/>
        <v>18.095142920446534</v>
      </c>
      <c r="BU15" s="534">
        <f t="shared" si="35"/>
        <v>6.2</v>
      </c>
      <c r="BV15" s="113">
        <v>0.04</v>
      </c>
      <c r="BW15" s="276">
        <f t="shared" si="36"/>
        <v>2.592921795711093E-2</v>
      </c>
      <c r="BX15" s="272">
        <f t="shared" si="37"/>
        <v>25.073811907061327</v>
      </c>
      <c r="BY15" s="78"/>
      <c r="BZ15" s="1034"/>
      <c r="CA15" s="1037"/>
      <c r="CB15" s="2">
        <f t="shared" si="38"/>
        <v>629.78959097409825</v>
      </c>
      <c r="CC15" s="2">
        <f t="shared" si="78"/>
        <v>680.87832723290762</v>
      </c>
      <c r="CD15" s="310">
        <f t="shared" si="39"/>
        <v>680.87832723290762</v>
      </c>
      <c r="CE15" s="310">
        <f t="shared" si="40"/>
        <v>664.87832723290762</v>
      </c>
      <c r="CF15" s="78"/>
      <c r="CG15" s="78"/>
      <c r="CH15" s="78"/>
      <c r="CI15" s="534">
        <f t="shared" si="79"/>
        <v>32.988571428571426</v>
      </c>
      <c r="CJ15" s="78">
        <v>46</v>
      </c>
      <c r="CK15" s="386">
        <f t="shared" ref="CK15:CK47" si="85">CK14+(CK$48-CK$13)/35</f>
        <v>0.71714285714285708</v>
      </c>
      <c r="CL15" s="517">
        <f t="shared" si="41"/>
        <v>121.1214758378411</v>
      </c>
      <c r="CM15" s="169">
        <f t="shared" si="42"/>
        <v>125.15919703345409</v>
      </c>
      <c r="CN15" s="170">
        <f t="shared" si="43"/>
        <v>37.301744067040801</v>
      </c>
      <c r="CO15" s="170">
        <f t="shared" si="44"/>
        <v>37.301744067040801</v>
      </c>
      <c r="CP15" s="170">
        <f t="shared" si="45"/>
        <v>87.857452966413291</v>
      </c>
      <c r="CQ15" s="170">
        <f t="shared" si="46"/>
        <v>4.0377211956129937</v>
      </c>
      <c r="CR15" s="170"/>
      <c r="CS15" s="113">
        <f t="shared" si="47"/>
        <v>5.7858041459731271E-3</v>
      </c>
      <c r="CT15" s="78"/>
      <c r="CU15" s="78"/>
      <c r="CV15" s="78"/>
      <c r="CW15" s="78"/>
      <c r="CX15" s="78"/>
      <c r="CY15" s="78"/>
      <c r="CZ15" s="78"/>
      <c r="DA15" s="78"/>
      <c r="DB15" s="78"/>
      <c r="DC15" s="78"/>
      <c r="DD15" s="78"/>
      <c r="DE15" s="78"/>
      <c r="DF15" s="78"/>
      <c r="DG15" s="78"/>
      <c r="DH15" s="516">
        <f t="shared" si="48"/>
        <v>23.262229955382637</v>
      </c>
      <c r="DI15" s="2">
        <f t="shared" si="49"/>
        <v>27.13926828127974</v>
      </c>
      <c r="DJ15" s="169">
        <f t="shared" si="50"/>
        <v>23.262229955382633</v>
      </c>
      <c r="DK15" s="169">
        <f t="shared" si="51"/>
        <v>3.8770383258971055</v>
      </c>
      <c r="DL15" s="113">
        <f t="shared" si="52"/>
        <v>3.4165032172371289E-2</v>
      </c>
      <c r="DM15" s="113">
        <f t="shared" si="53"/>
        <v>7.2468006091534684E-2</v>
      </c>
      <c r="DN15" s="113">
        <v>0.6</v>
      </c>
      <c r="DO15" s="78"/>
      <c r="DP15" s="78"/>
      <c r="DQ15" s="545">
        <f t="shared" si="54"/>
        <v>38.770383258971059</v>
      </c>
      <c r="DR15" s="78"/>
      <c r="DS15" s="78"/>
      <c r="DT15" s="534">
        <f t="shared" si="55"/>
        <v>38.770383258971059</v>
      </c>
      <c r="DU15" s="175">
        <f t="shared" si="56"/>
        <v>676.62343077613059</v>
      </c>
      <c r="DV15" s="175"/>
      <c r="DW15" s="170">
        <f t="shared" si="57"/>
        <v>57.013851144319503</v>
      </c>
      <c r="DX15" s="534">
        <f t="shared" si="80"/>
        <v>50.55</v>
      </c>
      <c r="DY15" s="534">
        <f t="shared" si="81"/>
        <v>44.772857142857141</v>
      </c>
      <c r="DZ15" s="262">
        <f t="shared" ref="DZ15:DZ47" si="86">DZ14+(DZ$48-DZ$13)/35</f>
        <v>1.4442857142857142</v>
      </c>
      <c r="EA15" s="78">
        <v>35</v>
      </c>
      <c r="EB15" s="78">
        <v>31</v>
      </c>
      <c r="EC15" s="175">
        <f t="shared" si="82"/>
        <v>5.7771428571428558</v>
      </c>
      <c r="ED15" s="175">
        <v>0</v>
      </c>
      <c r="EE15" s="175">
        <f t="shared" si="58"/>
        <v>5.7771428571428558</v>
      </c>
      <c r="EF15" s="175"/>
      <c r="EG15" s="534">
        <f t="shared" si="59"/>
        <v>6.4638511443195039</v>
      </c>
      <c r="EH15" s="534">
        <f t="shared" si="60"/>
        <v>17.561428571428571</v>
      </c>
      <c r="EI15" s="175">
        <f t="shared" si="61"/>
        <v>191</v>
      </c>
      <c r="EJ15" s="78">
        <v>188</v>
      </c>
      <c r="EK15" s="78">
        <v>122</v>
      </c>
      <c r="EL15" s="78">
        <v>24</v>
      </c>
      <c r="EM15" s="175">
        <f t="shared" si="62"/>
        <v>45</v>
      </c>
      <c r="EN15" s="78">
        <v>61</v>
      </c>
      <c r="EO15" s="78"/>
      <c r="EP15" s="78"/>
      <c r="EQ15" s="175">
        <f t="shared" si="63"/>
        <v>775.40766517942109</v>
      </c>
      <c r="ER15" s="2">
        <f t="shared" si="64"/>
        <v>697.86689866147901</v>
      </c>
      <c r="ES15" s="386">
        <v>0.9</v>
      </c>
      <c r="ET15" s="78"/>
      <c r="EU15" s="78"/>
      <c r="EV15" s="78"/>
      <c r="EW15" s="78"/>
      <c r="EX15" s="78"/>
      <c r="EY15" s="166"/>
      <c r="EZ15" s="78"/>
      <c r="FA15" s="78"/>
      <c r="FB15" s="78"/>
      <c r="FC15" s="78"/>
      <c r="FD15" s="78"/>
      <c r="FE15" s="93"/>
      <c r="FF15" s="166"/>
      <c r="FG15" s="78"/>
      <c r="FH15" s="598"/>
      <c r="FI15" s="310">
        <f t="shared" si="65"/>
        <v>19</v>
      </c>
      <c r="FJ15" s="2">
        <f t="shared" si="66"/>
        <v>19</v>
      </c>
      <c r="FK15" s="166"/>
      <c r="FL15" s="78"/>
      <c r="FM15" s="78"/>
      <c r="FN15" s="78"/>
      <c r="FO15" s="78"/>
      <c r="FP15" s="78"/>
      <c r="FQ15" s="78"/>
      <c r="FR15" s="78"/>
      <c r="FS15" s="93"/>
      <c r="FT15" s="78"/>
      <c r="FU15" s="78"/>
      <c r="FV15" s="78"/>
      <c r="FW15" s="78"/>
      <c r="FX15" s="78"/>
      <c r="FY15" s="78"/>
      <c r="FZ15" s="102"/>
      <c r="GA15" s="102"/>
      <c r="GB15" s="102"/>
      <c r="GC15" s="102"/>
      <c r="GD15" s="102"/>
      <c r="GE15" s="102"/>
      <c r="GF15" s="102"/>
      <c r="GG15" s="102"/>
      <c r="GH15" s="102"/>
      <c r="GI15" s="102"/>
      <c r="GJ15" s="102"/>
      <c r="GK15" s="1162">
        <f>DataUK4!X168+DataUK4!AH168</f>
        <v>2.7000000000000028</v>
      </c>
      <c r="GL15" s="102"/>
      <c r="GM15" s="102"/>
      <c r="GN15" s="102"/>
      <c r="GO15" s="102"/>
      <c r="GP15" s="310">
        <f t="shared" si="67"/>
        <v>5.7771428571428558</v>
      </c>
      <c r="GQ15" s="102"/>
      <c r="GR15" s="102"/>
      <c r="GS15" s="102"/>
      <c r="GT15" s="102"/>
      <c r="GU15" s="991">
        <f t="shared" si="68"/>
        <v>-3.077142857142853</v>
      </c>
      <c r="GV15" s="175"/>
      <c r="GW15" s="1063">
        <f>DataUK4!D168+DataUK4!F168</f>
        <v>24.7</v>
      </c>
      <c r="GX15" s="102"/>
      <c r="GY15" s="615">
        <f t="shared" si="69"/>
        <v>20.723529411764723</v>
      </c>
      <c r="GZ15" s="102"/>
      <c r="HA15" s="102"/>
      <c r="HB15" s="102"/>
      <c r="HC15" s="101"/>
      <c r="HD15" s="170">
        <f t="shared" si="70"/>
        <v>16</v>
      </c>
      <c r="HE15" s="301">
        <v>16</v>
      </c>
      <c r="HF15" s="78">
        <v>0</v>
      </c>
      <c r="HG15" s="170">
        <f t="shared" si="71"/>
        <v>0</v>
      </c>
      <c r="HH15" s="301">
        <v>0</v>
      </c>
      <c r="HI15" s="301">
        <v>0</v>
      </c>
      <c r="HJ15" s="2">
        <v>0</v>
      </c>
      <c r="HK15" s="2">
        <v>0</v>
      </c>
      <c r="HL15" s="2">
        <v>0</v>
      </c>
      <c r="HM15" s="2">
        <f t="shared" si="72"/>
        <v>0</v>
      </c>
      <c r="HN15" s="2">
        <v>0</v>
      </c>
      <c r="HO15" s="2">
        <v>0</v>
      </c>
      <c r="HP15" s="2">
        <v>0</v>
      </c>
      <c r="HQ15" s="2">
        <v>0</v>
      </c>
      <c r="HR15" s="2">
        <v>0</v>
      </c>
      <c r="HS15" s="1052">
        <v>0</v>
      </c>
      <c r="HT15" s="1003">
        <v>10</v>
      </c>
      <c r="HU15" s="1002">
        <f t="shared" si="73"/>
        <v>1.2218649517684887</v>
      </c>
      <c r="HV15" s="1002">
        <f t="shared" si="74"/>
        <v>1.4147909967845658</v>
      </c>
    </row>
    <row r="16" spans="1:230" ht="12" customHeight="1">
      <c r="A16" s="79">
        <f t="shared" si="0"/>
        <v>1858</v>
      </c>
      <c r="B16" s="176">
        <f t="shared" si="1"/>
        <v>671.76322148659688</v>
      </c>
      <c r="C16" s="177">
        <f t="shared" si="2"/>
        <v>16</v>
      </c>
      <c r="D16" s="176">
        <f t="shared" si="3"/>
        <v>655.76322148659688</v>
      </c>
      <c r="E16" s="154">
        <f t="shared" si="4"/>
        <v>688.06270714433003</v>
      </c>
      <c r="F16" s="995">
        <f t="shared" si="5"/>
        <v>33.382857142857141</v>
      </c>
      <c r="G16" s="531">
        <f t="shared" si="6"/>
        <v>747.13126190639844</v>
      </c>
      <c r="H16" s="531">
        <f t="shared" si="7"/>
        <v>731.13126190639844</v>
      </c>
      <c r="I16" s="531">
        <f t="shared" si="8"/>
        <v>764.51411904925556</v>
      </c>
      <c r="J16" s="548">
        <f t="shared" si="9"/>
        <v>0.9</v>
      </c>
      <c r="K16" s="515">
        <f t="shared" si="10"/>
        <v>50.323508034207627</v>
      </c>
      <c r="L16" s="534">
        <f t="shared" si="11"/>
        <v>50.323508034207627</v>
      </c>
      <c r="M16" s="78">
        <v>0</v>
      </c>
      <c r="N16" s="78"/>
      <c r="O16" s="78"/>
      <c r="P16" s="78"/>
      <c r="Q16" s="78"/>
      <c r="R16" s="78"/>
      <c r="S16" s="532">
        <f t="shared" si="12"/>
        <v>8.1120324932316204E-2</v>
      </c>
      <c r="T16" s="1008">
        <f t="shared" si="13"/>
        <v>38.1193729285567</v>
      </c>
      <c r="U16" s="1010">
        <f t="shared" si="14"/>
        <v>38.1193729285567</v>
      </c>
      <c r="V16" s="511">
        <f t="shared" si="15"/>
        <v>45</v>
      </c>
      <c r="W16" s="2">
        <f t="shared" si="16"/>
        <v>45</v>
      </c>
      <c r="X16" s="169">
        <f t="shared" si="17"/>
        <v>6.8806270714433007</v>
      </c>
      <c r="Y16" s="113">
        <f t="shared" si="18"/>
        <v>0.15290282380985112</v>
      </c>
      <c r="Z16" s="113">
        <f t="shared" si="19"/>
        <v>0.15290282380985112</v>
      </c>
      <c r="AA16" s="78"/>
      <c r="AB16" s="1019">
        <v>0.01</v>
      </c>
      <c r="AC16" s="78"/>
      <c r="AD16" s="78"/>
      <c r="AE16" s="78"/>
      <c r="AF16" s="78"/>
      <c r="AG16" s="78"/>
      <c r="AH16" s="78"/>
      <c r="AI16" s="78"/>
      <c r="AJ16" s="171">
        <f t="shared" si="20"/>
        <v>413.53442739639655</v>
      </c>
      <c r="AK16" s="1026">
        <f t="shared" si="21"/>
        <v>140.16</v>
      </c>
      <c r="AL16" s="169">
        <f t="shared" si="22"/>
        <v>430.76502853791305</v>
      </c>
      <c r="AM16" s="169">
        <f t="shared" si="75"/>
        <v>146</v>
      </c>
      <c r="AN16" s="169">
        <f t="shared" si="23"/>
        <v>215.83732878533786</v>
      </c>
      <c r="AO16" s="1027">
        <f t="shared" si="24"/>
        <v>233.06792992685439</v>
      </c>
      <c r="AP16" s="78">
        <v>99</v>
      </c>
      <c r="AQ16" s="78">
        <v>49</v>
      </c>
      <c r="AR16" s="78">
        <f t="shared" si="76"/>
        <v>50</v>
      </c>
      <c r="AS16" s="83"/>
      <c r="AT16" s="358">
        <v>41</v>
      </c>
      <c r="AU16" s="1030">
        <f t="shared" si="25"/>
        <v>143.06792992685439</v>
      </c>
      <c r="AV16" s="78">
        <v>228</v>
      </c>
      <c r="AW16" s="534">
        <f t="shared" si="77"/>
        <v>43.93207007314561</v>
      </c>
      <c r="AX16" s="78"/>
      <c r="AY16" s="78"/>
      <c r="AZ16" s="534">
        <v>2.7391991101223581</v>
      </c>
      <c r="BA16" s="386">
        <f t="shared" si="83"/>
        <v>0.34385991510006064</v>
      </c>
      <c r="BB16" s="78"/>
      <c r="BC16" s="78"/>
      <c r="BD16" s="78"/>
      <c r="BE16" s="78"/>
      <c r="BF16" s="78"/>
      <c r="BG16" s="78"/>
      <c r="BH16" s="78"/>
      <c r="BI16" s="166">
        <v>308</v>
      </c>
      <c r="BJ16" s="2">
        <f t="shared" si="26"/>
        <v>308</v>
      </c>
      <c r="BK16" s="78">
        <v>56</v>
      </c>
      <c r="BL16" s="169">
        <f t="shared" si="27"/>
        <v>146</v>
      </c>
      <c r="BM16" s="1031">
        <f t="shared" si="28"/>
        <v>197.69709861105864</v>
      </c>
      <c r="BN16" s="310">
        <f t="shared" si="29"/>
        <v>141.69709861105864</v>
      </c>
      <c r="BO16" s="262">
        <f t="shared" si="30"/>
        <v>0.32181871691070463</v>
      </c>
      <c r="BP16" s="262">
        <f t="shared" si="31"/>
        <v>0.34750996310138516</v>
      </c>
      <c r="BQ16" s="262">
        <f t="shared" si="32"/>
        <v>0.29477119166562776</v>
      </c>
      <c r="BR16" s="262">
        <f t="shared" si="33"/>
        <v>0.6418736967891514</v>
      </c>
      <c r="BS16" s="2127">
        <f t="shared" si="84"/>
        <v>0.84823810239831587</v>
      </c>
      <c r="BT16" s="534">
        <f t="shared" si="34"/>
        <v>17.230601141516523</v>
      </c>
      <c r="BU16" s="534">
        <f t="shared" si="35"/>
        <v>5.84</v>
      </c>
      <c r="BV16" s="113">
        <v>0.04</v>
      </c>
      <c r="BW16" s="276">
        <f t="shared" si="36"/>
        <v>2.5042195954826225E-2</v>
      </c>
      <c r="BX16" s="272">
        <f t="shared" si="37"/>
        <v>24.111228212959823</v>
      </c>
      <c r="BY16" s="78"/>
      <c r="BZ16" s="1034"/>
      <c r="CA16" s="1037"/>
      <c r="CB16" s="2">
        <f t="shared" si="38"/>
        <v>620.35634196726528</v>
      </c>
      <c r="CC16" s="2">
        <f t="shared" si="78"/>
        <v>670.67985000147291</v>
      </c>
      <c r="CD16" s="310">
        <f t="shared" si="39"/>
        <v>670.67985000147291</v>
      </c>
      <c r="CE16" s="310">
        <f t="shared" si="40"/>
        <v>654.67985000147291</v>
      </c>
      <c r="CF16" s="78"/>
      <c r="CG16" s="78"/>
      <c r="CH16" s="78"/>
      <c r="CI16" s="534">
        <f t="shared" si="79"/>
        <v>33.382857142857141</v>
      </c>
      <c r="CJ16" s="78">
        <v>46</v>
      </c>
      <c r="CK16" s="386">
        <f t="shared" si="85"/>
        <v>0.72571428571428565</v>
      </c>
      <c r="CL16" s="517">
        <f t="shared" si="41"/>
        <v>130.85048955595829</v>
      </c>
      <c r="CM16" s="169">
        <f t="shared" si="42"/>
        <v>136.29954789060932</v>
      </c>
      <c r="CN16" s="170">
        <f t="shared" si="43"/>
        <v>48.93207007314561</v>
      </c>
      <c r="CO16" s="170">
        <f t="shared" si="44"/>
        <v>48.93207007314561</v>
      </c>
      <c r="CP16" s="170">
        <f t="shared" si="45"/>
        <v>87.367477817463708</v>
      </c>
      <c r="CQ16" s="170">
        <f t="shared" si="46"/>
        <v>5.4490583346510402</v>
      </c>
      <c r="CR16" s="170"/>
      <c r="CS16" s="113">
        <f t="shared" si="47"/>
        <v>7.9194211197207501E-3</v>
      </c>
      <c r="CT16" s="78"/>
      <c r="CU16" s="78"/>
      <c r="CV16" s="78"/>
      <c r="CW16" s="78"/>
      <c r="CX16" s="78"/>
      <c r="CY16" s="78"/>
      <c r="CZ16" s="78"/>
      <c r="DA16" s="78"/>
      <c r="DB16" s="78"/>
      <c r="DC16" s="78"/>
      <c r="DD16" s="78"/>
      <c r="DE16" s="78"/>
      <c r="DF16" s="78"/>
      <c r="DG16" s="78"/>
      <c r="DH16" s="516">
        <f t="shared" si="48"/>
        <v>22.935423571477671</v>
      </c>
      <c r="DI16" s="2">
        <f t="shared" si="49"/>
        <v>26.757994166723947</v>
      </c>
      <c r="DJ16" s="169">
        <f t="shared" si="50"/>
        <v>22.935423571477667</v>
      </c>
      <c r="DK16" s="169">
        <f t="shared" si="51"/>
        <v>3.8225705952462778</v>
      </c>
      <c r="DL16" s="113">
        <f t="shared" si="52"/>
        <v>3.4197275453299064E-2</v>
      </c>
      <c r="DM16" s="113">
        <f t="shared" si="53"/>
        <v>7.4465660946356066E-2</v>
      </c>
      <c r="DN16" s="113">
        <v>0.6</v>
      </c>
      <c r="DO16" s="78"/>
      <c r="DP16" s="78"/>
      <c r="DQ16" s="545">
        <f t="shared" si="54"/>
        <v>38.225705952462782</v>
      </c>
      <c r="DR16" s="78"/>
      <c r="DS16" s="78"/>
      <c r="DT16" s="534">
        <f t="shared" si="55"/>
        <v>38.225705952462782</v>
      </c>
      <c r="DU16" s="175">
        <f t="shared" si="56"/>
        <v>656.0130936858269</v>
      </c>
      <c r="DV16" s="175"/>
      <c r="DW16" s="170">
        <f t="shared" si="57"/>
        <v>55.275319410965793</v>
      </c>
      <c r="DX16" s="534">
        <f t="shared" si="80"/>
        <v>49.008571428571422</v>
      </c>
      <c r="DY16" s="534">
        <f t="shared" si="81"/>
        <v>43.24285714285714</v>
      </c>
      <c r="DZ16" s="262">
        <f t="shared" si="86"/>
        <v>1.4414285714285713</v>
      </c>
      <c r="EA16" s="78">
        <v>34</v>
      </c>
      <c r="EB16" s="78">
        <v>30</v>
      </c>
      <c r="EC16" s="175">
        <f t="shared" si="82"/>
        <v>5.7657142857142816</v>
      </c>
      <c r="ED16" s="175">
        <v>0</v>
      </c>
      <c r="EE16" s="175">
        <f t="shared" si="58"/>
        <v>5.7657142857142816</v>
      </c>
      <c r="EF16" s="175"/>
      <c r="EG16" s="534">
        <f t="shared" si="59"/>
        <v>6.2667479823943726</v>
      </c>
      <c r="EH16" s="534">
        <f t="shared" si="60"/>
        <v>15.625714285714281</v>
      </c>
      <c r="EI16" s="175">
        <f t="shared" si="61"/>
        <v>180</v>
      </c>
      <c r="EJ16" s="78">
        <v>165</v>
      </c>
      <c r="EK16" s="78">
        <v>117</v>
      </c>
      <c r="EL16" s="78">
        <v>23</v>
      </c>
      <c r="EM16" s="175">
        <f t="shared" si="62"/>
        <v>40</v>
      </c>
      <c r="EN16" s="78">
        <v>56</v>
      </c>
      <c r="EO16" s="78"/>
      <c r="EP16" s="78"/>
      <c r="EQ16" s="175">
        <f t="shared" si="63"/>
        <v>764.51411904925556</v>
      </c>
      <c r="ER16" s="2">
        <f t="shared" si="64"/>
        <v>688.06270714433003</v>
      </c>
      <c r="ES16" s="386">
        <v>0.9</v>
      </c>
      <c r="ET16" s="78"/>
      <c r="EU16" s="78"/>
      <c r="EV16" s="78"/>
      <c r="EW16" s="78"/>
      <c r="EX16" s="78"/>
      <c r="EY16" s="166"/>
      <c r="EZ16" s="78"/>
      <c r="FA16" s="78"/>
      <c r="FB16" s="78"/>
      <c r="FC16" s="78"/>
      <c r="FD16" s="78"/>
      <c r="FE16" s="93"/>
      <c r="FF16" s="166"/>
      <c r="FG16" s="78"/>
      <c r="FH16" s="598"/>
      <c r="FI16" s="310">
        <f t="shared" si="65"/>
        <v>31</v>
      </c>
      <c r="FJ16" s="2">
        <f t="shared" si="66"/>
        <v>31</v>
      </c>
      <c r="FK16" s="166"/>
      <c r="FL16" s="78"/>
      <c r="FM16" s="78"/>
      <c r="FN16" s="78"/>
      <c r="FO16" s="78"/>
      <c r="FP16" s="78"/>
      <c r="FQ16" s="78"/>
      <c r="FR16" s="78"/>
      <c r="FS16" s="93"/>
      <c r="FT16" s="78"/>
      <c r="FU16" s="78"/>
      <c r="FV16" s="78"/>
      <c r="FW16" s="78"/>
      <c r="FX16" s="78"/>
      <c r="FY16" s="78"/>
      <c r="FZ16" s="102"/>
      <c r="GA16" s="102"/>
      <c r="GB16" s="102"/>
      <c r="GC16" s="102"/>
      <c r="GD16" s="102"/>
      <c r="GE16" s="102"/>
      <c r="GF16" s="102"/>
      <c r="GG16" s="102"/>
      <c r="GH16" s="102"/>
      <c r="GI16" s="102"/>
      <c r="GJ16" s="102"/>
      <c r="GK16" s="1162">
        <f>DataUK4!X169+DataUK4!AH169</f>
        <v>3.5</v>
      </c>
      <c r="GL16" s="102"/>
      <c r="GM16" s="102"/>
      <c r="GN16" s="102"/>
      <c r="GO16" s="102"/>
      <c r="GP16" s="310">
        <f t="shared" si="67"/>
        <v>5.7657142857142816</v>
      </c>
      <c r="GQ16" s="102"/>
      <c r="GR16" s="102"/>
      <c r="GS16" s="102"/>
      <c r="GT16" s="102"/>
      <c r="GU16" s="991">
        <f t="shared" si="68"/>
        <v>-2.2657142857142816</v>
      </c>
      <c r="GV16" s="175"/>
      <c r="GW16" s="1063">
        <f>DataUK4!D169+DataUK4!F169</f>
        <v>24.7</v>
      </c>
      <c r="GX16" s="102"/>
      <c r="GY16" s="615">
        <f t="shared" si="69"/>
        <v>20.723529411764723</v>
      </c>
      <c r="GZ16" s="102"/>
      <c r="HA16" s="102"/>
      <c r="HB16" s="102"/>
      <c r="HC16" s="101"/>
      <c r="HD16" s="170">
        <f t="shared" si="70"/>
        <v>16</v>
      </c>
      <c r="HE16" s="301">
        <v>16</v>
      </c>
      <c r="HF16" s="78">
        <v>0</v>
      </c>
      <c r="HG16" s="170">
        <f t="shared" si="71"/>
        <v>0</v>
      </c>
      <c r="HH16" s="301">
        <v>0</v>
      </c>
      <c r="HI16" s="301">
        <v>0</v>
      </c>
      <c r="HJ16" s="2">
        <v>0</v>
      </c>
      <c r="HK16" s="2">
        <v>0</v>
      </c>
      <c r="HL16" s="2">
        <v>0</v>
      </c>
      <c r="HM16" s="2">
        <f t="shared" si="72"/>
        <v>0</v>
      </c>
      <c r="HN16" s="2">
        <v>0</v>
      </c>
      <c r="HO16" s="2">
        <v>0</v>
      </c>
      <c r="HP16" s="2">
        <v>0</v>
      </c>
      <c r="HQ16" s="2">
        <v>0</v>
      </c>
      <c r="HR16" s="2">
        <v>0</v>
      </c>
      <c r="HS16" s="1052">
        <v>0</v>
      </c>
      <c r="HT16" s="1001">
        <v>9.1</v>
      </c>
      <c r="HU16" s="1002">
        <f t="shared" si="73"/>
        <v>1.1118971061093246</v>
      </c>
      <c r="HV16" s="1002">
        <f t="shared" si="74"/>
        <v>1.2874598070739549</v>
      </c>
    </row>
    <row r="17" spans="1:230" ht="12" customHeight="1">
      <c r="A17" s="79">
        <f t="shared" si="0"/>
        <v>1859</v>
      </c>
      <c r="B17" s="176">
        <f t="shared" si="1"/>
        <v>700.400177541007</v>
      </c>
      <c r="C17" s="177">
        <f t="shared" si="2"/>
        <v>17</v>
      </c>
      <c r="D17" s="176">
        <f t="shared" si="3"/>
        <v>683.400177541007</v>
      </c>
      <c r="E17" s="154">
        <f t="shared" si="4"/>
        <v>715.31713956294516</v>
      </c>
      <c r="F17" s="995">
        <f t="shared" si="5"/>
        <v>33.042857142857137</v>
      </c>
      <c r="G17" s="531">
        <f t="shared" si="6"/>
        <v>778.75396459374861</v>
      </c>
      <c r="H17" s="531">
        <f t="shared" si="7"/>
        <v>761.75396459374861</v>
      </c>
      <c r="I17" s="531">
        <f t="shared" si="8"/>
        <v>794.79682173660569</v>
      </c>
      <c r="J17" s="548">
        <f t="shared" si="9"/>
        <v>0.9</v>
      </c>
      <c r="K17" s="515">
        <f t="shared" si="10"/>
        <v>52.469050575180979</v>
      </c>
      <c r="L17" s="534">
        <f t="shared" si="11"/>
        <v>52.469050575180979</v>
      </c>
      <c r="M17" s="78">
        <v>0</v>
      </c>
      <c r="N17" s="78"/>
      <c r="O17" s="78"/>
      <c r="P17" s="78"/>
      <c r="Q17" s="78"/>
      <c r="R17" s="78"/>
      <c r="S17" s="532">
        <f t="shared" si="12"/>
        <v>8.1120324932316204E-2</v>
      </c>
      <c r="T17" s="1008">
        <f t="shared" si="13"/>
        <v>40.546828604370553</v>
      </c>
      <c r="U17" s="1010">
        <f t="shared" si="14"/>
        <v>40.546828604370553</v>
      </c>
      <c r="V17" s="511">
        <f t="shared" si="15"/>
        <v>47.7</v>
      </c>
      <c r="W17" s="2">
        <f t="shared" si="16"/>
        <v>47.7</v>
      </c>
      <c r="X17" s="169">
        <f t="shared" si="17"/>
        <v>7.1531713956294514</v>
      </c>
      <c r="Y17" s="113">
        <f t="shared" si="18"/>
        <v>0.14996166447860484</v>
      </c>
      <c r="Z17" s="113">
        <f t="shared" si="19"/>
        <v>0.14996166447860484</v>
      </c>
      <c r="AA17" s="78"/>
      <c r="AB17" s="1019">
        <v>0.01</v>
      </c>
      <c r="AC17" s="78"/>
      <c r="AD17" s="78"/>
      <c r="AE17" s="78"/>
      <c r="AF17" s="78"/>
      <c r="AG17" s="78"/>
      <c r="AH17" s="78"/>
      <c r="AI17" s="78"/>
      <c r="AJ17" s="171">
        <f t="shared" si="20"/>
        <v>415.62081174513315</v>
      </c>
      <c r="AK17" s="1026">
        <f t="shared" si="21"/>
        <v>137.28</v>
      </c>
      <c r="AL17" s="169">
        <f t="shared" si="22"/>
        <v>432.93834556784702</v>
      </c>
      <c r="AM17" s="169">
        <f t="shared" si="75"/>
        <v>143</v>
      </c>
      <c r="AN17" s="169">
        <f t="shared" si="23"/>
        <v>219.13363848950254</v>
      </c>
      <c r="AO17" s="1027">
        <f t="shared" si="24"/>
        <v>236.45117231221641</v>
      </c>
      <c r="AP17" s="78">
        <v>102</v>
      </c>
      <c r="AQ17" s="78">
        <v>49</v>
      </c>
      <c r="AR17" s="78">
        <f t="shared" si="76"/>
        <v>53</v>
      </c>
      <c r="AS17" s="83"/>
      <c r="AT17" s="358">
        <v>37</v>
      </c>
      <c r="AU17" s="1030">
        <f t="shared" si="25"/>
        <v>150.45117231221641</v>
      </c>
      <c r="AV17" s="78">
        <v>221</v>
      </c>
      <c r="AW17" s="534">
        <f t="shared" si="77"/>
        <v>33.548827687783586</v>
      </c>
      <c r="AX17" s="78"/>
      <c r="AY17" s="78"/>
      <c r="AZ17" s="534">
        <v>2.8480889877641826</v>
      </c>
      <c r="BA17" s="386">
        <f t="shared" si="83"/>
        <v>0.3418132201334142</v>
      </c>
      <c r="BB17" s="78"/>
      <c r="BC17" s="78"/>
      <c r="BD17" s="78"/>
      <c r="BE17" s="78"/>
      <c r="BF17" s="78"/>
      <c r="BG17" s="78"/>
      <c r="BH17" s="78"/>
      <c r="BI17" s="166">
        <v>337</v>
      </c>
      <c r="BJ17" s="2">
        <f t="shared" si="26"/>
        <v>337</v>
      </c>
      <c r="BK17" s="78">
        <v>57</v>
      </c>
      <c r="BL17" s="169">
        <f t="shared" si="27"/>
        <v>143</v>
      </c>
      <c r="BM17" s="1031">
        <f t="shared" si="28"/>
        <v>196.48717325563061</v>
      </c>
      <c r="BN17" s="310">
        <f t="shared" si="29"/>
        <v>139.48717325563061</v>
      </c>
      <c r="BO17" s="262">
        <f t="shared" si="30"/>
        <v>0.31337294105985486</v>
      </c>
      <c r="BP17" s="262">
        <f t="shared" si="31"/>
        <v>0.33813794995276075</v>
      </c>
      <c r="BQ17" s="262">
        <f t="shared" si="32"/>
        <v>0.28098727236988708</v>
      </c>
      <c r="BR17" s="262">
        <f t="shared" si="33"/>
        <v>0.5830479918564706</v>
      </c>
      <c r="BS17" s="2127">
        <f t="shared" si="84"/>
        <v>0.83098413653108782</v>
      </c>
      <c r="BT17" s="534">
        <f t="shared" si="34"/>
        <v>17.31753382271388</v>
      </c>
      <c r="BU17" s="534">
        <f t="shared" si="35"/>
        <v>5.72</v>
      </c>
      <c r="BV17" s="113">
        <v>0.04</v>
      </c>
      <c r="BW17" s="276">
        <f t="shared" si="36"/>
        <v>2.4209588817199038E-2</v>
      </c>
      <c r="BX17" s="272">
        <f t="shared" si="37"/>
        <v>24.470705218343333</v>
      </c>
      <c r="BY17" s="78"/>
      <c r="BZ17" s="1034"/>
      <c r="CA17" s="1037"/>
      <c r="CB17" s="2">
        <f t="shared" si="38"/>
        <v>646.8052318449071</v>
      </c>
      <c r="CC17" s="2">
        <f t="shared" si="78"/>
        <v>699.27428242008807</v>
      </c>
      <c r="CD17" s="310">
        <f t="shared" si="39"/>
        <v>699.27428242008807</v>
      </c>
      <c r="CE17" s="310">
        <f t="shared" si="40"/>
        <v>682.27428242008807</v>
      </c>
      <c r="CF17" s="78"/>
      <c r="CG17" s="78"/>
      <c r="CH17" s="78"/>
      <c r="CI17" s="534">
        <f t="shared" si="79"/>
        <v>33.042857142857137</v>
      </c>
      <c r="CJ17" s="78">
        <v>45</v>
      </c>
      <c r="CK17" s="386">
        <f t="shared" si="85"/>
        <v>0.73428571428571421</v>
      </c>
      <c r="CL17" s="517">
        <f t="shared" si="41"/>
        <v>150.91958196422405</v>
      </c>
      <c r="CM17" s="169">
        <f t="shared" si="42"/>
        <v>155.51774978005483</v>
      </c>
      <c r="CN17" s="170">
        <f t="shared" si="43"/>
        <v>38.848827687783597</v>
      </c>
      <c r="CO17" s="170">
        <f t="shared" si="44"/>
        <v>38.848827687783597</v>
      </c>
      <c r="CP17" s="170">
        <f t="shared" si="45"/>
        <v>116.66892209227123</v>
      </c>
      <c r="CQ17" s="170">
        <f t="shared" si="46"/>
        <v>4.598167815830779</v>
      </c>
      <c r="CR17" s="170"/>
      <c r="CS17" s="113">
        <f t="shared" si="47"/>
        <v>6.4281527192822955E-3</v>
      </c>
      <c r="CT17" s="78"/>
      <c r="CU17" s="78"/>
      <c r="CV17" s="78"/>
      <c r="CW17" s="78"/>
      <c r="CX17" s="78"/>
      <c r="CY17" s="78"/>
      <c r="CZ17" s="78"/>
      <c r="DA17" s="78"/>
      <c r="DB17" s="78"/>
      <c r="DC17" s="78"/>
      <c r="DD17" s="78"/>
      <c r="DE17" s="78"/>
      <c r="DF17" s="78"/>
      <c r="DG17" s="78"/>
      <c r="DH17" s="516">
        <f t="shared" si="48"/>
        <v>23.843904652098175</v>
      </c>
      <c r="DI17" s="2">
        <f t="shared" si="49"/>
        <v>27.817888760781202</v>
      </c>
      <c r="DJ17" s="169">
        <f t="shared" si="50"/>
        <v>23.843904652098171</v>
      </c>
      <c r="DK17" s="169">
        <f t="shared" si="51"/>
        <v>3.9739841086830285</v>
      </c>
      <c r="DL17" s="113">
        <f t="shared" si="52"/>
        <v>3.4098071746007638E-2</v>
      </c>
      <c r="DM17" s="113">
        <f t="shared" si="53"/>
        <v>7.075342626735362E-2</v>
      </c>
      <c r="DN17" s="113">
        <v>0.6</v>
      </c>
      <c r="DO17" s="78"/>
      <c r="DP17" s="78"/>
      <c r="DQ17" s="545">
        <f t="shared" si="54"/>
        <v>39.739841086830289</v>
      </c>
      <c r="DR17" s="78"/>
      <c r="DS17" s="78"/>
      <c r="DT17" s="534">
        <f t="shared" si="55"/>
        <v>39.739841086830289</v>
      </c>
      <c r="DU17" s="175">
        <f t="shared" si="56"/>
        <v>676.02365919192039</v>
      </c>
      <c r="DV17" s="175"/>
      <c r="DW17" s="170">
        <f t="shared" si="57"/>
        <v>60.033321457855031</v>
      </c>
      <c r="DX17" s="534">
        <f t="shared" si="80"/>
        <v>53.227142857142852</v>
      </c>
      <c r="DY17" s="534">
        <f t="shared" si="81"/>
        <v>47.472857142857137</v>
      </c>
      <c r="DZ17" s="262">
        <f t="shared" si="86"/>
        <v>1.4385714285714284</v>
      </c>
      <c r="EA17" s="78">
        <v>37</v>
      </c>
      <c r="EB17" s="78">
        <v>33</v>
      </c>
      <c r="EC17" s="175">
        <f t="shared" si="82"/>
        <v>5.7542857142857144</v>
      </c>
      <c r="ED17" s="175">
        <v>0</v>
      </c>
      <c r="EE17" s="175">
        <f t="shared" si="58"/>
        <v>5.7542857142857144</v>
      </c>
      <c r="EF17" s="175"/>
      <c r="EG17" s="534">
        <f t="shared" si="59"/>
        <v>6.806178600712177</v>
      </c>
      <c r="EH17" s="534">
        <f t="shared" si="60"/>
        <v>20.184285714285714</v>
      </c>
      <c r="EI17" s="175">
        <f t="shared" si="61"/>
        <v>198</v>
      </c>
      <c r="EJ17" s="78">
        <v>179</v>
      </c>
      <c r="EK17" s="78">
        <v>130</v>
      </c>
      <c r="EL17" s="78">
        <v>25</v>
      </c>
      <c r="EM17" s="175">
        <f t="shared" si="62"/>
        <v>43</v>
      </c>
      <c r="EN17" s="78">
        <v>60</v>
      </c>
      <c r="EO17" s="78"/>
      <c r="EP17" s="78"/>
      <c r="EQ17" s="175">
        <f t="shared" si="63"/>
        <v>794.79682173660569</v>
      </c>
      <c r="ER17" s="2">
        <f t="shared" si="64"/>
        <v>715.31713956294516</v>
      </c>
      <c r="ES17" s="386">
        <v>0.9</v>
      </c>
      <c r="ET17" s="78"/>
      <c r="EU17" s="78"/>
      <c r="EV17" s="78"/>
      <c r="EW17" s="78"/>
      <c r="EX17" s="78"/>
      <c r="EY17" s="166"/>
      <c r="EZ17" s="78"/>
      <c r="FA17" s="78"/>
      <c r="FB17" s="78"/>
      <c r="FC17" s="78"/>
      <c r="FD17" s="78"/>
      <c r="FE17" s="93"/>
      <c r="FF17" s="166"/>
      <c r="FG17" s="78"/>
      <c r="FH17" s="598"/>
      <c r="FI17" s="310">
        <f t="shared" si="65"/>
        <v>36</v>
      </c>
      <c r="FJ17" s="2">
        <f t="shared" si="66"/>
        <v>36</v>
      </c>
      <c r="FK17" s="166"/>
      <c r="FL17" s="78"/>
      <c r="FM17" s="78"/>
      <c r="FN17" s="78"/>
      <c r="FO17" s="78"/>
      <c r="FP17" s="78"/>
      <c r="FQ17" s="78"/>
      <c r="FR17" s="78"/>
      <c r="FS17" s="93"/>
      <c r="FT17" s="78"/>
      <c r="FU17" s="78"/>
      <c r="FV17" s="78"/>
      <c r="FW17" s="78"/>
      <c r="FX17" s="78"/>
      <c r="FY17" s="78"/>
      <c r="FZ17" s="102"/>
      <c r="GA17" s="102"/>
      <c r="GB17" s="102"/>
      <c r="GC17" s="102"/>
      <c r="GD17" s="102"/>
      <c r="GE17" s="102"/>
      <c r="GF17" s="102"/>
      <c r="GG17" s="102"/>
      <c r="GH17" s="102"/>
      <c r="GI17" s="102"/>
      <c r="GJ17" s="102"/>
      <c r="GK17" s="1162">
        <f>DataUK4!X170+DataUK4!AH170</f>
        <v>4.7999999999999972</v>
      </c>
      <c r="GL17" s="102"/>
      <c r="GM17" s="102"/>
      <c r="GN17" s="102"/>
      <c r="GO17" s="102"/>
      <c r="GP17" s="310">
        <f t="shared" si="67"/>
        <v>5.7542857142857144</v>
      </c>
      <c r="GQ17" s="102"/>
      <c r="GR17" s="102"/>
      <c r="GS17" s="102"/>
      <c r="GT17" s="102"/>
      <c r="GU17" s="991">
        <f t="shared" si="68"/>
        <v>-0.95428571428571729</v>
      </c>
      <c r="GV17" s="175"/>
      <c r="GW17" s="1063">
        <f>DataUK4!D170+DataUK4!F170</f>
        <v>24.4</v>
      </c>
      <c r="GX17" s="102"/>
      <c r="GY17" s="615">
        <f t="shared" si="69"/>
        <v>20.471826625387013</v>
      </c>
      <c r="GZ17" s="102"/>
      <c r="HA17" s="102"/>
      <c r="HB17" s="102"/>
      <c r="HC17" s="101"/>
      <c r="HD17" s="170">
        <f t="shared" si="70"/>
        <v>17</v>
      </c>
      <c r="HE17" s="301">
        <v>17</v>
      </c>
      <c r="HF17" s="78">
        <v>0</v>
      </c>
      <c r="HG17" s="170">
        <f t="shared" si="71"/>
        <v>0</v>
      </c>
      <c r="HH17" s="301">
        <v>0</v>
      </c>
      <c r="HI17" s="301">
        <v>0</v>
      </c>
      <c r="HJ17" s="2">
        <v>0</v>
      </c>
      <c r="HK17" s="2">
        <v>0</v>
      </c>
      <c r="HL17" s="2">
        <v>0</v>
      </c>
      <c r="HM17" s="2">
        <f t="shared" si="72"/>
        <v>0</v>
      </c>
      <c r="HN17" s="2">
        <v>0</v>
      </c>
      <c r="HO17" s="2">
        <v>0</v>
      </c>
      <c r="HP17" s="2">
        <v>0</v>
      </c>
      <c r="HQ17" s="2">
        <v>0</v>
      </c>
      <c r="HR17" s="2">
        <v>0</v>
      </c>
      <c r="HS17" s="1052">
        <v>0</v>
      </c>
      <c r="HT17" s="1003">
        <v>9</v>
      </c>
      <c r="HU17" s="1002">
        <f t="shared" si="73"/>
        <v>1.0996784565916398</v>
      </c>
      <c r="HV17" s="1002">
        <f t="shared" si="74"/>
        <v>1.2733118971061093</v>
      </c>
    </row>
    <row r="18" spans="1:230" ht="12" customHeight="1">
      <c r="A18" s="79">
        <f t="shared" si="0"/>
        <v>1860</v>
      </c>
      <c r="B18" s="176">
        <f t="shared" si="1"/>
        <v>727.15878558392626</v>
      </c>
      <c r="C18" s="177">
        <f t="shared" si="2"/>
        <v>19</v>
      </c>
      <c r="D18" s="176">
        <f t="shared" si="3"/>
        <v>708.15878558392626</v>
      </c>
      <c r="E18" s="154">
        <f t="shared" si="4"/>
        <v>740.42222058740754</v>
      </c>
      <c r="F18" s="995">
        <f t="shared" si="5"/>
        <v>33.428571428571423</v>
      </c>
      <c r="G18" s="531">
        <f t="shared" si="6"/>
        <v>808.262784779659</v>
      </c>
      <c r="H18" s="531">
        <f t="shared" si="7"/>
        <v>789.262784779659</v>
      </c>
      <c r="I18" s="531">
        <f t="shared" si="8"/>
        <v>822.69135620823045</v>
      </c>
      <c r="J18" s="548">
        <f t="shared" si="9"/>
        <v>0.90000000000000013</v>
      </c>
      <c r="K18" s="515">
        <f t="shared" si="10"/>
        <v>54.473900231456433</v>
      </c>
      <c r="L18" s="534">
        <f t="shared" si="11"/>
        <v>54.473900231456433</v>
      </c>
      <c r="M18" s="78">
        <v>0</v>
      </c>
      <c r="N18" s="78"/>
      <c r="O18" s="78"/>
      <c r="P18" s="78"/>
      <c r="Q18" s="78"/>
      <c r="R18" s="78"/>
      <c r="S18" s="532">
        <f t="shared" si="12"/>
        <v>8.1120324932316204E-2</v>
      </c>
      <c r="T18" s="1008">
        <f t="shared" si="13"/>
        <v>40.295777794125925</v>
      </c>
      <c r="U18" s="1010">
        <f t="shared" si="14"/>
        <v>40.295777794125925</v>
      </c>
      <c r="V18" s="511">
        <f t="shared" si="15"/>
        <v>47.7</v>
      </c>
      <c r="W18" s="2">
        <f t="shared" si="16"/>
        <v>47.7</v>
      </c>
      <c r="X18" s="169">
        <f t="shared" si="17"/>
        <v>7.4042222058740759</v>
      </c>
      <c r="Y18" s="113">
        <f t="shared" si="18"/>
        <v>0.1552247841902322</v>
      </c>
      <c r="Z18" s="113">
        <f t="shared" si="19"/>
        <v>0.1552247841902322</v>
      </c>
      <c r="AA18" s="78"/>
      <c r="AB18" s="1019">
        <v>0.01</v>
      </c>
      <c r="AC18" s="78"/>
      <c r="AD18" s="78"/>
      <c r="AE18" s="78"/>
      <c r="AF18" s="78"/>
      <c r="AG18" s="78"/>
      <c r="AH18" s="78"/>
      <c r="AI18" s="78"/>
      <c r="AJ18" s="171">
        <f t="shared" si="20"/>
        <v>423.83892277685999</v>
      </c>
      <c r="AK18" s="1026">
        <f t="shared" si="21"/>
        <v>136.32</v>
      </c>
      <c r="AL18" s="169">
        <f t="shared" si="22"/>
        <v>441.49887789256246</v>
      </c>
      <c r="AM18" s="169">
        <f t="shared" si="75"/>
        <v>142</v>
      </c>
      <c r="AN18" s="169">
        <f t="shared" si="23"/>
        <v>225.76041966417199</v>
      </c>
      <c r="AO18" s="1027">
        <f t="shared" si="24"/>
        <v>243.42037477987449</v>
      </c>
      <c r="AP18" s="78">
        <v>102</v>
      </c>
      <c r="AQ18" s="78">
        <v>49</v>
      </c>
      <c r="AR18" s="78">
        <f t="shared" si="76"/>
        <v>53</v>
      </c>
      <c r="AS18" s="83"/>
      <c r="AT18" s="358">
        <v>37</v>
      </c>
      <c r="AU18" s="1030">
        <f t="shared" si="25"/>
        <v>157.42037477987449</v>
      </c>
      <c r="AV18" s="78">
        <v>231</v>
      </c>
      <c r="AW18" s="534">
        <f t="shared" si="77"/>
        <v>36.579625220125507</v>
      </c>
      <c r="AX18" s="78"/>
      <c r="AY18" s="78"/>
      <c r="AZ18" s="534">
        <v>2.9483203559510569</v>
      </c>
      <c r="BA18" s="386">
        <f t="shared" si="83"/>
        <v>0.33976652516676775</v>
      </c>
      <c r="BB18" s="78"/>
      <c r="BC18" s="78"/>
      <c r="BD18" s="78"/>
      <c r="BE18" s="78"/>
      <c r="BF18" s="78"/>
      <c r="BG18" s="78"/>
      <c r="BH18" s="78"/>
      <c r="BI18" s="166">
        <v>350</v>
      </c>
      <c r="BJ18" s="2">
        <f t="shared" si="26"/>
        <v>350</v>
      </c>
      <c r="BK18" s="78">
        <v>56</v>
      </c>
      <c r="BL18" s="169">
        <f t="shared" si="27"/>
        <v>142</v>
      </c>
      <c r="BM18" s="1031">
        <f t="shared" si="28"/>
        <v>198.07850311268797</v>
      </c>
      <c r="BN18" s="310">
        <f t="shared" si="29"/>
        <v>142.07850311268797</v>
      </c>
      <c r="BO18" s="262">
        <f t="shared" si="30"/>
        <v>0.31096748563261761</v>
      </c>
      <c r="BP18" s="262">
        <f t="shared" si="31"/>
        <v>0.3352927054691327</v>
      </c>
      <c r="BQ18" s="262">
        <f t="shared" si="32"/>
        <v>0.27283779044374462</v>
      </c>
      <c r="BR18" s="262">
        <f t="shared" si="33"/>
        <v>0.56593858032196565</v>
      </c>
      <c r="BS18" s="2127">
        <f t="shared" si="84"/>
        <v>0.81373017066385978</v>
      </c>
      <c r="BT18" s="534">
        <f t="shared" si="34"/>
        <v>17.659955115702498</v>
      </c>
      <c r="BU18" s="534">
        <f t="shared" si="35"/>
        <v>5.68</v>
      </c>
      <c r="BV18" s="113">
        <v>0.04</v>
      </c>
      <c r="BW18" s="276">
        <f t="shared" si="36"/>
        <v>2.3851195472891301E-2</v>
      </c>
      <c r="BX18" s="272">
        <f t="shared" si="37"/>
        <v>25.064177321576572</v>
      </c>
      <c r="BY18" s="78"/>
      <c r="BZ18" s="1034"/>
      <c r="CA18" s="1037"/>
      <c r="CB18" s="2">
        <f t="shared" si="38"/>
        <v>671.51974892737962</v>
      </c>
      <c r="CC18" s="2">
        <f t="shared" si="78"/>
        <v>725.99364915883609</v>
      </c>
      <c r="CD18" s="310">
        <f t="shared" si="39"/>
        <v>725.99364915883609</v>
      </c>
      <c r="CE18" s="310">
        <f t="shared" si="40"/>
        <v>706.99364915883609</v>
      </c>
      <c r="CF18" s="78"/>
      <c r="CG18" s="78"/>
      <c r="CH18" s="78"/>
      <c r="CI18" s="534">
        <f t="shared" si="79"/>
        <v>33.428571428571423</v>
      </c>
      <c r="CJ18" s="78">
        <v>45</v>
      </c>
      <c r="CK18" s="386">
        <f t="shared" si="85"/>
        <v>0.74285714285714277</v>
      </c>
      <c r="CL18" s="517">
        <f t="shared" si="41"/>
        <v>164.86944409523696</v>
      </c>
      <c r="CM18" s="169">
        <f t="shared" si="42"/>
        <v>169.12038142119064</v>
      </c>
      <c r="CN18" s="170">
        <f t="shared" si="43"/>
        <v>41.879625220125519</v>
      </c>
      <c r="CO18" s="170">
        <f t="shared" si="44"/>
        <v>41.879625220125519</v>
      </c>
      <c r="CP18" s="170">
        <f t="shared" si="45"/>
        <v>127.24075620106512</v>
      </c>
      <c r="CQ18" s="170">
        <f t="shared" si="46"/>
        <v>4.2509373259536956</v>
      </c>
      <c r="CR18" s="170"/>
      <c r="CS18" s="113">
        <f t="shared" si="47"/>
        <v>5.7412341333857473E-3</v>
      </c>
      <c r="CT18" s="78"/>
      <c r="CU18" s="78"/>
      <c r="CV18" s="78"/>
      <c r="CW18" s="78"/>
      <c r="CX18" s="78"/>
      <c r="CY18" s="78"/>
      <c r="CZ18" s="78"/>
      <c r="DA18" s="78"/>
      <c r="DB18" s="78"/>
      <c r="DC18" s="78"/>
      <c r="DD18" s="78"/>
      <c r="DE18" s="78"/>
      <c r="DF18" s="78"/>
      <c r="DG18" s="78"/>
      <c r="DH18" s="516">
        <f t="shared" si="48"/>
        <v>24.680740686246917</v>
      </c>
      <c r="DI18" s="2">
        <f t="shared" si="49"/>
        <v>28.794197467288068</v>
      </c>
      <c r="DJ18" s="169">
        <f t="shared" si="50"/>
        <v>24.680740686246917</v>
      </c>
      <c r="DK18" s="169">
        <f t="shared" si="51"/>
        <v>4.113456781041152</v>
      </c>
      <c r="DL18" s="113">
        <f t="shared" si="52"/>
        <v>3.3995807972759765E-2</v>
      </c>
      <c r="DM18" s="113">
        <f t="shared" si="53"/>
        <v>7.051640196070548E-2</v>
      </c>
      <c r="DN18" s="113">
        <v>0.6</v>
      </c>
      <c r="DO18" s="78"/>
      <c r="DP18" s="78"/>
      <c r="DQ18" s="545">
        <f t="shared" si="54"/>
        <v>41.134567810411532</v>
      </c>
      <c r="DR18" s="78"/>
      <c r="DS18" s="78"/>
      <c r="DT18" s="534">
        <f t="shared" si="55"/>
        <v>41.134567810411532</v>
      </c>
      <c r="DU18" s="175">
        <f t="shared" si="56"/>
        <v>714.78479981503961</v>
      </c>
      <c r="DV18" s="175"/>
      <c r="DW18" s="170">
        <f t="shared" si="57"/>
        <v>64.771988582779244</v>
      </c>
      <c r="DX18" s="534">
        <f t="shared" si="80"/>
        <v>57.428571428571416</v>
      </c>
      <c r="DY18" s="534">
        <f t="shared" si="81"/>
        <v>50.249999999999993</v>
      </c>
      <c r="DZ18" s="262">
        <f t="shared" si="86"/>
        <v>1.4357142857142855</v>
      </c>
      <c r="EA18" s="78">
        <v>40</v>
      </c>
      <c r="EB18" s="78">
        <v>35</v>
      </c>
      <c r="EC18" s="175">
        <f t="shared" si="82"/>
        <v>7.1785714285714235</v>
      </c>
      <c r="ED18" s="175">
        <v>0</v>
      </c>
      <c r="EE18" s="175">
        <f t="shared" si="58"/>
        <v>7.1785714285714235</v>
      </c>
      <c r="EF18" s="175"/>
      <c r="EG18" s="534">
        <f t="shared" si="59"/>
        <v>7.3434171542078284</v>
      </c>
      <c r="EH18" s="534">
        <f t="shared" si="60"/>
        <v>23.999999999999993</v>
      </c>
      <c r="EI18" s="175">
        <f t="shared" si="61"/>
        <v>213</v>
      </c>
      <c r="EJ18" s="78">
        <v>211</v>
      </c>
      <c r="EK18" s="78">
        <v>136</v>
      </c>
      <c r="EL18" s="78">
        <v>29</v>
      </c>
      <c r="EM18" s="175">
        <f t="shared" si="62"/>
        <v>48</v>
      </c>
      <c r="EN18" s="78">
        <v>67</v>
      </c>
      <c r="EO18" s="78"/>
      <c r="EP18" s="78"/>
      <c r="EQ18" s="175">
        <f t="shared" si="63"/>
        <v>822.69135620823056</v>
      </c>
      <c r="ER18" s="2">
        <f t="shared" si="64"/>
        <v>740.42222058740754</v>
      </c>
      <c r="ES18" s="386">
        <v>0.9</v>
      </c>
      <c r="ET18" s="78"/>
      <c r="EU18" s="78"/>
      <c r="EV18" s="78"/>
      <c r="EW18" s="78"/>
      <c r="EX18" s="78"/>
      <c r="EY18" s="166"/>
      <c r="EZ18" s="78"/>
      <c r="FA18" s="78"/>
      <c r="FB18" s="78"/>
      <c r="FC18" s="78"/>
      <c r="FD18" s="78"/>
      <c r="FE18" s="93"/>
      <c r="FF18" s="166"/>
      <c r="FG18" s="78"/>
      <c r="FH18" s="598"/>
      <c r="FI18" s="310">
        <f t="shared" si="65"/>
        <v>21</v>
      </c>
      <c r="FJ18" s="2">
        <f t="shared" si="66"/>
        <v>21</v>
      </c>
      <c r="FK18" s="166"/>
      <c r="FL18" s="78"/>
      <c r="FM18" s="78"/>
      <c r="FN18" s="78"/>
      <c r="FO18" s="78"/>
      <c r="FP18" s="78"/>
      <c r="FQ18" s="78"/>
      <c r="FR18" s="78"/>
      <c r="FS18" s="93"/>
      <c r="FT18" s="78"/>
      <c r="FU18" s="78"/>
      <c r="FV18" s="78"/>
      <c r="FW18" s="78"/>
      <c r="FX18" s="78"/>
      <c r="FY18" s="78"/>
      <c r="FZ18" s="102"/>
      <c r="GA18" s="102"/>
      <c r="GB18" s="102"/>
      <c r="GC18" s="102"/>
      <c r="GD18" s="102"/>
      <c r="GE18" s="102"/>
      <c r="GF18" s="102"/>
      <c r="GG18" s="102"/>
      <c r="GH18" s="102"/>
      <c r="GI18" s="102"/>
      <c r="GJ18" s="102"/>
      <c r="GK18" s="1162">
        <f>DataUK4!X171+DataUK4!AH171</f>
        <v>-1.2999999999999972</v>
      </c>
      <c r="GL18" s="102"/>
      <c r="GM18" s="102"/>
      <c r="GN18" s="102"/>
      <c r="GO18" s="102"/>
      <c r="GP18" s="310">
        <f t="shared" si="67"/>
        <v>7.1785714285714235</v>
      </c>
      <c r="GQ18" s="102"/>
      <c r="GR18" s="102"/>
      <c r="GS18" s="102"/>
      <c r="GT18" s="102"/>
      <c r="GU18" s="991">
        <f t="shared" si="68"/>
        <v>-8.4785714285714207</v>
      </c>
      <c r="GV18" s="175"/>
      <c r="GW18" s="1063">
        <f>DataUK4!D171+DataUK4!F171</f>
        <v>24.400000000000002</v>
      </c>
      <c r="GX18" s="102"/>
      <c r="GY18" s="615">
        <f t="shared" si="69"/>
        <v>20.471826625387017</v>
      </c>
      <c r="GZ18" s="102"/>
      <c r="HA18" s="102"/>
      <c r="HB18" s="102"/>
      <c r="HC18" s="101"/>
      <c r="HD18" s="170">
        <f t="shared" si="70"/>
        <v>19</v>
      </c>
      <c r="HE18" s="301">
        <v>19</v>
      </c>
      <c r="HF18" s="78">
        <v>0</v>
      </c>
      <c r="HG18" s="170">
        <f t="shared" si="71"/>
        <v>0</v>
      </c>
      <c r="HH18" s="301">
        <v>0</v>
      </c>
      <c r="HI18" s="301">
        <v>0</v>
      </c>
      <c r="HJ18" s="2">
        <v>0</v>
      </c>
      <c r="HK18" s="2">
        <v>0</v>
      </c>
      <c r="HL18" s="2">
        <v>0</v>
      </c>
      <c r="HM18" s="2">
        <f t="shared" si="72"/>
        <v>0</v>
      </c>
      <c r="HN18" s="2">
        <v>0</v>
      </c>
      <c r="HO18" s="2">
        <v>0</v>
      </c>
      <c r="HP18" s="2">
        <v>0</v>
      </c>
      <c r="HQ18" s="2">
        <v>0</v>
      </c>
      <c r="HR18" s="2">
        <v>0</v>
      </c>
      <c r="HS18" s="1052">
        <v>0</v>
      </c>
      <c r="HT18" s="1001">
        <v>9.3000000000000007</v>
      </c>
      <c r="HU18" s="1002">
        <f t="shared" si="73"/>
        <v>1.1363344051446946</v>
      </c>
      <c r="HV18" s="1002">
        <f t="shared" si="74"/>
        <v>1.3157556270096464</v>
      </c>
    </row>
    <row r="19" spans="1:230" ht="12" customHeight="1">
      <c r="A19" s="79">
        <f t="shared" si="0"/>
        <v>1861</v>
      </c>
      <c r="B19" s="176">
        <f t="shared" si="1"/>
        <v>763.71083136645018</v>
      </c>
      <c r="C19" s="177">
        <f t="shared" si="2"/>
        <v>20</v>
      </c>
      <c r="D19" s="176">
        <f t="shared" si="3"/>
        <v>743.71083136645018</v>
      </c>
      <c r="E19" s="154">
        <f t="shared" si="4"/>
        <v>776.30383302505959</v>
      </c>
      <c r="F19" s="995">
        <f t="shared" si="5"/>
        <v>33.81428571428571</v>
      </c>
      <c r="G19" s="531">
        <f t="shared" si="6"/>
        <v>848.74552875800282</v>
      </c>
      <c r="H19" s="531">
        <f t="shared" si="7"/>
        <v>828.74552875800282</v>
      </c>
      <c r="I19" s="531">
        <f t="shared" si="8"/>
        <v>862.55981447228851</v>
      </c>
      <c r="J19" s="548">
        <f t="shared" si="9"/>
        <v>0.89999999999999991</v>
      </c>
      <c r="K19" s="515">
        <f t="shared" si="10"/>
        <v>57.212318008374332</v>
      </c>
      <c r="L19" s="534">
        <f t="shared" si="11"/>
        <v>57.212318008374332</v>
      </c>
      <c r="M19" s="78">
        <v>0</v>
      </c>
      <c r="N19" s="78"/>
      <c r="O19" s="78"/>
      <c r="P19" s="78"/>
      <c r="Q19" s="78"/>
      <c r="R19" s="78"/>
      <c r="S19" s="532">
        <f t="shared" si="12"/>
        <v>8.1120324932316204E-2</v>
      </c>
      <c r="T19" s="1008">
        <f t="shared" si="13"/>
        <v>42.636961669749404</v>
      </c>
      <c r="U19" s="1010">
        <f t="shared" si="14"/>
        <v>42.636961669749404</v>
      </c>
      <c r="V19" s="511">
        <f t="shared" si="15"/>
        <v>50.4</v>
      </c>
      <c r="W19" s="2">
        <f t="shared" si="16"/>
        <v>50.4</v>
      </c>
      <c r="X19" s="169">
        <f t="shared" si="17"/>
        <v>7.7630383302505956</v>
      </c>
      <c r="Y19" s="113">
        <f t="shared" si="18"/>
        <v>0.15402853829862292</v>
      </c>
      <c r="Z19" s="113">
        <f t="shared" si="19"/>
        <v>0.15402853829862292</v>
      </c>
      <c r="AA19" s="78"/>
      <c r="AB19" s="1019">
        <v>0.01</v>
      </c>
      <c r="AC19" s="78"/>
      <c r="AD19" s="78"/>
      <c r="AE19" s="78"/>
      <c r="AF19" s="78"/>
      <c r="AG19" s="78"/>
      <c r="AH19" s="78"/>
      <c r="AI19" s="78"/>
      <c r="AJ19" s="171">
        <f t="shared" si="20"/>
        <v>448.65419925694601</v>
      </c>
      <c r="AK19" s="1026">
        <f t="shared" si="21"/>
        <v>147.84</v>
      </c>
      <c r="AL19" s="169">
        <f t="shared" si="22"/>
        <v>467.34812422598543</v>
      </c>
      <c r="AM19" s="169">
        <f t="shared" si="75"/>
        <v>154</v>
      </c>
      <c r="AN19" s="169">
        <f t="shared" si="23"/>
        <v>241.45320248979107</v>
      </c>
      <c r="AO19" s="1027">
        <f t="shared" si="24"/>
        <v>260.14712745883048</v>
      </c>
      <c r="AP19" s="78">
        <v>106</v>
      </c>
      <c r="AQ19" s="78">
        <v>50</v>
      </c>
      <c r="AR19" s="78">
        <f t="shared" si="76"/>
        <v>56</v>
      </c>
      <c r="AS19" s="83"/>
      <c r="AT19" s="358">
        <v>48</v>
      </c>
      <c r="AU19" s="1030">
        <f t="shared" si="25"/>
        <v>162.14712745883051</v>
      </c>
      <c r="AV19" s="78">
        <v>260</v>
      </c>
      <c r="AW19" s="534">
        <f t="shared" si="77"/>
        <v>49.852872541169489</v>
      </c>
      <c r="AX19" s="78"/>
      <c r="AY19" s="78"/>
      <c r="AZ19" s="534">
        <v>3.0915150166852059</v>
      </c>
      <c r="BA19" s="386">
        <f t="shared" si="83"/>
        <v>0.33771983020012131</v>
      </c>
      <c r="BB19" s="78"/>
      <c r="BC19" s="78"/>
      <c r="BD19" s="78"/>
      <c r="BE19" s="78"/>
      <c r="BF19" s="78"/>
      <c r="BG19" s="78"/>
      <c r="BH19" s="78"/>
      <c r="BI19" s="166">
        <v>350</v>
      </c>
      <c r="BJ19" s="2">
        <f t="shared" si="26"/>
        <v>350</v>
      </c>
      <c r="BK19" s="78">
        <v>56</v>
      </c>
      <c r="BL19" s="169">
        <f t="shared" si="27"/>
        <v>154</v>
      </c>
      <c r="BM19" s="1031">
        <f t="shared" si="28"/>
        <v>207.20099676715492</v>
      </c>
      <c r="BN19" s="310">
        <f t="shared" si="29"/>
        <v>151.20099676715492</v>
      </c>
      <c r="BO19" s="262">
        <f t="shared" si="30"/>
        <v>0.31666427866634095</v>
      </c>
      <c r="BP19" s="262">
        <f t="shared" si="31"/>
        <v>0.34118123766593783</v>
      </c>
      <c r="BQ19" s="262">
        <f t="shared" si="32"/>
        <v>0.27174273732398374</v>
      </c>
      <c r="BR19" s="262">
        <f t="shared" si="33"/>
        <v>0.59200284790615687</v>
      </c>
      <c r="BS19" s="2127">
        <f t="shared" si="84"/>
        <v>0.79647620479663173</v>
      </c>
      <c r="BT19" s="534">
        <f t="shared" si="34"/>
        <v>18.693924969039418</v>
      </c>
      <c r="BU19" s="534">
        <f t="shared" si="35"/>
        <v>6.16</v>
      </c>
      <c r="BV19" s="113">
        <v>0.04</v>
      </c>
      <c r="BW19" s="276">
        <f t="shared" si="36"/>
        <v>2.4080681008869842E-2</v>
      </c>
      <c r="BX19" s="272">
        <f t="shared" si="37"/>
        <v>26.456963299290013</v>
      </c>
      <c r="BY19" s="78"/>
      <c r="BZ19" s="1034"/>
      <c r="CA19" s="1037"/>
      <c r="CB19" s="2">
        <f t="shared" si="38"/>
        <v>705.27722930239952</v>
      </c>
      <c r="CC19" s="2">
        <f t="shared" si="78"/>
        <v>762.4895473107739</v>
      </c>
      <c r="CD19" s="310">
        <f t="shared" si="39"/>
        <v>762.4895473107739</v>
      </c>
      <c r="CE19" s="310">
        <f t="shared" si="40"/>
        <v>742.4895473107739</v>
      </c>
      <c r="CF19" s="78"/>
      <c r="CG19" s="78"/>
      <c r="CH19" s="78"/>
      <c r="CI19" s="534">
        <f t="shared" si="79"/>
        <v>33.81428571428571</v>
      </c>
      <c r="CJ19" s="78">
        <v>45</v>
      </c>
      <c r="CK19" s="386">
        <f t="shared" si="85"/>
        <v>0.75142857142857133</v>
      </c>
      <c r="CL19" s="517">
        <f t="shared" si="41"/>
        <v>169.33055799721174</v>
      </c>
      <c r="CM19" s="169">
        <f t="shared" si="42"/>
        <v>172.37508133984599</v>
      </c>
      <c r="CN19" s="170">
        <f t="shared" si="43"/>
        <v>55.45287254116954</v>
      </c>
      <c r="CO19" s="170">
        <f t="shared" si="44"/>
        <v>55.45287254116954</v>
      </c>
      <c r="CP19" s="170">
        <f t="shared" si="45"/>
        <v>116.92220879867645</v>
      </c>
      <c r="CQ19" s="170">
        <f t="shared" si="46"/>
        <v>3.0445233426342542</v>
      </c>
      <c r="CR19" s="170"/>
      <c r="CS19" s="113">
        <f t="shared" si="47"/>
        <v>3.9218192840431007E-3</v>
      </c>
      <c r="CT19" s="78"/>
      <c r="CU19" s="78"/>
      <c r="CV19" s="78"/>
      <c r="CW19" s="78"/>
      <c r="CX19" s="78"/>
      <c r="CY19" s="78"/>
      <c r="CZ19" s="78"/>
      <c r="DA19" s="78"/>
      <c r="DB19" s="78"/>
      <c r="DC19" s="78"/>
      <c r="DD19" s="78"/>
      <c r="DE19" s="78"/>
      <c r="DF19" s="78"/>
      <c r="DG19" s="78"/>
      <c r="DH19" s="516">
        <f t="shared" si="48"/>
        <v>25.876794434168655</v>
      </c>
      <c r="DI19" s="2">
        <f t="shared" si="49"/>
        <v>30.189593506530098</v>
      </c>
      <c r="DJ19" s="169">
        <f t="shared" si="50"/>
        <v>25.876794434168655</v>
      </c>
      <c r="DK19" s="169">
        <f t="shared" si="51"/>
        <v>4.3127990723614422</v>
      </c>
      <c r="DL19" s="113">
        <f t="shared" si="52"/>
        <v>3.3937244812645075E-2</v>
      </c>
      <c r="DM19" s="113">
        <f t="shared" si="53"/>
        <v>7.3933698383339019E-2</v>
      </c>
      <c r="DN19" s="113">
        <v>0.6</v>
      </c>
      <c r="DO19" s="78"/>
      <c r="DP19" s="78"/>
      <c r="DQ19" s="545">
        <f t="shared" si="54"/>
        <v>43.127990723614424</v>
      </c>
      <c r="DR19" s="78"/>
      <c r="DS19" s="78"/>
      <c r="DT19" s="534">
        <f t="shared" si="55"/>
        <v>43.127990723614424</v>
      </c>
      <c r="DU19" s="175">
        <f t="shared" si="56"/>
        <v>752.09227128020973</v>
      </c>
      <c r="DV19" s="175"/>
      <c r="DW19" s="170">
        <f t="shared" si="57"/>
        <v>74.339552468464404</v>
      </c>
      <c r="DX19" s="534">
        <f t="shared" si="80"/>
        <v>65.911428571428559</v>
      </c>
      <c r="DY19" s="534">
        <f t="shared" si="81"/>
        <v>60.179999999999993</v>
      </c>
      <c r="DZ19" s="262">
        <f t="shared" si="86"/>
        <v>1.4328571428571426</v>
      </c>
      <c r="EA19" s="78">
        <v>46</v>
      </c>
      <c r="EB19" s="78">
        <v>42</v>
      </c>
      <c r="EC19" s="175">
        <f t="shared" si="82"/>
        <v>5.731428571428566</v>
      </c>
      <c r="ED19" s="175">
        <v>0</v>
      </c>
      <c r="EE19" s="175">
        <f t="shared" si="58"/>
        <v>5.731428571428566</v>
      </c>
      <c r="EF19" s="175"/>
      <c r="EG19" s="534">
        <f t="shared" si="59"/>
        <v>8.4281238970358405</v>
      </c>
      <c r="EH19" s="534">
        <f t="shared" si="60"/>
        <v>32.097142857142849</v>
      </c>
      <c r="EI19" s="175">
        <f t="shared" si="61"/>
        <v>210</v>
      </c>
      <c r="EJ19" s="78">
        <v>217</v>
      </c>
      <c r="EK19" s="78">
        <v>125</v>
      </c>
      <c r="EL19" s="78">
        <v>35</v>
      </c>
      <c r="EM19" s="175">
        <f t="shared" si="62"/>
        <v>50</v>
      </c>
      <c r="EN19" s="78">
        <v>70</v>
      </c>
      <c r="EO19" s="78"/>
      <c r="EP19" s="78"/>
      <c r="EQ19" s="175">
        <f t="shared" si="63"/>
        <v>862.55981447228839</v>
      </c>
      <c r="ER19" s="2">
        <f t="shared" si="64"/>
        <v>776.30383302505959</v>
      </c>
      <c r="ES19" s="386">
        <v>0.9</v>
      </c>
      <c r="ET19" s="78"/>
      <c r="EU19" s="78"/>
      <c r="EV19" s="78"/>
      <c r="EW19" s="78"/>
      <c r="EX19" s="78"/>
      <c r="EY19" s="166"/>
      <c r="EZ19" s="78"/>
      <c r="FA19" s="78"/>
      <c r="FB19" s="78"/>
      <c r="FC19" s="78"/>
      <c r="FD19" s="78"/>
      <c r="FE19" s="93"/>
      <c r="FF19" s="166"/>
      <c r="FG19" s="78"/>
      <c r="FH19" s="598"/>
      <c r="FI19" s="310">
        <f t="shared" si="65"/>
        <v>13</v>
      </c>
      <c r="FJ19" s="2">
        <f t="shared" si="66"/>
        <v>13</v>
      </c>
      <c r="FK19" s="166"/>
      <c r="FL19" s="78"/>
      <c r="FM19" s="78"/>
      <c r="FN19" s="78"/>
      <c r="FO19" s="78"/>
      <c r="FP19" s="78"/>
      <c r="FQ19" s="78"/>
      <c r="FR19" s="78"/>
      <c r="FS19" s="93"/>
      <c r="FT19" s="78"/>
      <c r="FU19" s="78"/>
      <c r="FV19" s="78"/>
      <c r="FW19" s="78"/>
      <c r="FX19" s="78"/>
      <c r="FY19" s="78"/>
      <c r="FZ19" s="102"/>
      <c r="GA19" s="102"/>
      <c r="GB19" s="102"/>
      <c r="GC19" s="102"/>
      <c r="GD19" s="102"/>
      <c r="GE19" s="102"/>
      <c r="GF19" s="102"/>
      <c r="GG19" s="102"/>
      <c r="GH19" s="102"/>
      <c r="GI19" s="102"/>
      <c r="GJ19" s="102"/>
      <c r="GK19" s="1162">
        <f>DataUK4!X172+DataUK4!AH172</f>
        <v>-1.5</v>
      </c>
      <c r="GL19" s="102"/>
      <c r="GM19" s="102"/>
      <c r="GN19" s="102"/>
      <c r="GO19" s="102"/>
      <c r="GP19" s="310">
        <f t="shared" si="67"/>
        <v>5.731428571428566</v>
      </c>
      <c r="GQ19" s="102"/>
      <c r="GR19" s="102"/>
      <c r="GS19" s="102"/>
      <c r="GT19" s="102"/>
      <c r="GU19" s="991">
        <f t="shared" si="68"/>
        <v>-7.231428571428566</v>
      </c>
      <c r="GW19" s="1063">
        <f>DataUK4!D172+DataUK4!F172</f>
        <v>24.5</v>
      </c>
      <c r="GX19" s="102"/>
      <c r="GY19" s="615">
        <f t="shared" si="69"/>
        <v>20.555727554179583</v>
      </c>
      <c r="GZ19" s="102"/>
      <c r="HA19" s="102"/>
      <c r="HB19" s="102"/>
      <c r="HC19" s="101"/>
      <c r="HD19" s="170">
        <f t="shared" si="70"/>
        <v>20</v>
      </c>
      <c r="HE19" s="301">
        <v>20</v>
      </c>
      <c r="HF19" s="78">
        <v>0</v>
      </c>
      <c r="HG19" s="170">
        <f t="shared" si="71"/>
        <v>0</v>
      </c>
      <c r="HH19" s="301">
        <v>0</v>
      </c>
      <c r="HI19" s="301">
        <v>0</v>
      </c>
      <c r="HJ19" s="2">
        <v>0</v>
      </c>
      <c r="HK19" s="2">
        <v>0</v>
      </c>
      <c r="HL19" s="2">
        <v>0</v>
      </c>
      <c r="HM19" s="2">
        <f t="shared" si="72"/>
        <v>0</v>
      </c>
      <c r="HN19" s="2">
        <v>0</v>
      </c>
      <c r="HO19" s="2">
        <v>0</v>
      </c>
      <c r="HP19" s="2">
        <v>0</v>
      </c>
      <c r="HQ19" s="2">
        <v>0</v>
      </c>
      <c r="HR19" s="2">
        <v>0</v>
      </c>
      <c r="HS19" s="1052">
        <v>0</v>
      </c>
      <c r="HT19" s="1001">
        <v>9.5</v>
      </c>
      <c r="HU19" s="1002">
        <f t="shared" si="73"/>
        <v>1.1607717041800643</v>
      </c>
      <c r="HV19" s="1002">
        <f t="shared" si="74"/>
        <v>1.3440514469453377</v>
      </c>
    </row>
    <row r="20" spans="1:230" ht="12" customHeight="1">
      <c r="A20" s="79">
        <f t="shared" si="0"/>
        <v>1862</v>
      </c>
      <c r="B20" s="176">
        <f t="shared" si="1"/>
        <v>784.21580211938692</v>
      </c>
      <c r="C20" s="177">
        <f t="shared" si="2"/>
        <v>21</v>
      </c>
      <c r="D20" s="176">
        <f t="shared" si="3"/>
        <v>763.21580211938692</v>
      </c>
      <c r="E20" s="154">
        <f t="shared" si="4"/>
        <v>796.92222726884506</v>
      </c>
      <c r="F20" s="995">
        <f t="shared" si="5"/>
        <v>34.959999999999994</v>
      </c>
      <c r="G20" s="531">
        <f t="shared" si="6"/>
        <v>871.50914140982786</v>
      </c>
      <c r="H20" s="531">
        <f t="shared" si="7"/>
        <v>850.50914140982786</v>
      </c>
      <c r="I20" s="531">
        <f t="shared" si="8"/>
        <v>885.4691414098279</v>
      </c>
      <c r="J20" s="548">
        <f t="shared" si="9"/>
        <v>0.89999999999999991</v>
      </c>
      <c r="K20" s="515">
        <f t="shared" si="10"/>
        <v>58.748456412337852</v>
      </c>
      <c r="L20" s="534">
        <f t="shared" si="11"/>
        <v>58.748456412337852</v>
      </c>
      <c r="M20" s="78">
        <v>0</v>
      </c>
      <c r="N20" s="78"/>
      <c r="O20" s="78"/>
      <c r="P20" s="78"/>
      <c r="Q20" s="78"/>
      <c r="R20" s="78"/>
      <c r="S20" s="532">
        <f t="shared" si="12"/>
        <v>8.1120324932316204E-2</v>
      </c>
      <c r="T20" s="1008">
        <f t="shared" si="13"/>
        <v>44.230777727311555</v>
      </c>
      <c r="U20" s="1010">
        <f t="shared" si="14"/>
        <v>44.230777727311555</v>
      </c>
      <c r="V20" s="511">
        <f t="shared" si="15"/>
        <v>52.2</v>
      </c>
      <c r="W20" s="2">
        <f t="shared" si="16"/>
        <v>52.2</v>
      </c>
      <c r="X20" s="169">
        <f t="shared" si="17"/>
        <v>7.9692222726884507</v>
      </c>
      <c r="Y20" s="113">
        <f t="shared" si="18"/>
        <v>0.15266709334652204</v>
      </c>
      <c r="Z20" s="113">
        <f t="shared" si="19"/>
        <v>0.15266709334652204</v>
      </c>
      <c r="AA20" s="78"/>
      <c r="AB20" s="1019">
        <v>0.01</v>
      </c>
      <c r="AC20" s="78"/>
      <c r="AD20" s="78"/>
      <c r="AE20" s="78"/>
      <c r="AF20" s="78"/>
      <c r="AG20" s="78"/>
      <c r="AH20" s="78"/>
      <c r="AI20" s="78"/>
      <c r="AJ20" s="171">
        <f t="shared" si="20"/>
        <v>453.1542919350623</v>
      </c>
      <c r="AK20" s="1026">
        <f t="shared" si="21"/>
        <v>148.80000000000001</v>
      </c>
      <c r="AL20" s="169">
        <f t="shared" si="22"/>
        <v>472.03572076568992</v>
      </c>
      <c r="AM20" s="169">
        <f t="shared" si="75"/>
        <v>155</v>
      </c>
      <c r="AN20" s="169">
        <f t="shared" si="23"/>
        <v>246.42310167576039</v>
      </c>
      <c r="AO20" s="1027">
        <f t="shared" si="24"/>
        <v>265.30453050638801</v>
      </c>
      <c r="AP20" s="78">
        <v>108</v>
      </c>
      <c r="AQ20" s="78">
        <v>50</v>
      </c>
      <c r="AR20" s="78">
        <f t="shared" si="76"/>
        <v>58</v>
      </c>
      <c r="AS20" s="83"/>
      <c r="AT20" s="358">
        <v>49</v>
      </c>
      <c r="AU20" s="1030">
        <f t="shared" si="25"/>
        <v>166.30453050638798</v>
      </c>
      <c r="AV20" s="78">
        <v>275</v>
      </c>
      <c r="AW20" s="534">
        <f t="shared" si="77"/>
        <v>59.695469493612023</v>
      </c>
      <c r="AX20" s="78"/>
      <c r="AY20" s="78"/>
      <c r="AZ20" s="534">
        <v>3.1737708565072302</v>
      </c>
      <c r="BA20" s="386">
        <f t="shared" si="83"/>
        <v>0.33567313523347486</v>
      </c>
      <c r="BB20" s="78"/>
      <c r="BC20" s="78"/>
      <c r="BD20" s="78"/>
      <c r="BE20" s="78"/>
      <c r="BF20" s="78"/>
      <c r="BG20" s="78"/>
      <c r="BH20" s="78"/>
      <c r="BI20" s="166">
        <v>352</v>
      </c>
      <c r="BJ20" s="2">
        <f t="shared" si="26"/>
        <v>352</v>
      </c>
      <c r="BK20" s="78">
        <v>56</v>
      </c>
      <c r="BL20" s="169">
        <f t="shared" si="27"/>
        <v>155</v>
      </c>
      <c r="BM20" s="1031">
        <f t="shared" si="28"/>
        <v>206.73119025930194</v>
      </c>
      <c r="BN20" s="310">
        <f t="shared" si="29"/>
        <v>150.73119025930194</v>
      </c>
      <c r="BO20" s="262">
        <f t="shared" si="30"/>
        <v>0.31473178793738449</v>
      </c>
      <c r="BP20" s="262">
        <f t="shared" si="31"/>
        <v>0.33884716435406104</v>
      </c>
      <c r="BQ20" s="262">
        <f t="shared" si="32"/>
        <v>0.26403724606285106</v>
      </c>
      <c r="BR20" s="262">
        <f t="shared" si="33"/>
        <v>0.58730451778210779</v>
      </c>
      <c r="BS20" s="2127">
        <f t="shared" si="84"/>
        <v>0.77922223892940368</v>
      </c>
      <c r="BT20" s="534">
        <f t="shared" si="34"/>
        <v>18.881428830627598</v>
      </c>
      <c r="BU20" s="534">
        <f t="shared" si="35"/>
        <v>6.2</v>
      </c>
      <c r="BV20" s="113">
        <v>0.04</v>
      </c>
      <c r="BW20" s="276">
        <f t="shared" si="36"/>
        <v>2.369293788596747E-2</v>
      </c>
      <c r="BX20" s="272">
        <f t="shared" si="37"/>
        <v>26.85065110331605</v>
      </c>
      <c r="BY20" s="78"/>
      <c r="BZ20" s="1034"/>
      <c r="CA20" s="1037"/>
      <c r="CB20" s="2">
        <f t="shared" si="38"/>
        <v>724.21377085650715</v>
      </c>
      <c r="CC20" s="2">
        <f t="shared" si="78"/>
        <v>782.96222726884503</v>
      </c>
      <c r="CD20" s="310">
        <f t="shared" si="39"/>
        <v>782.96222726884503</v>
      </c>
      <c r="CE20" s="310">
        <f t="shared" si="40"/>
        <v>761.96222726884503</v>
      </c>
      <c r="CF20" s="78"/>
      <c r="CG20" s="78"/>
      <c r="CH20" s="78"/>
      <c r="CI20" s="534">
        <f t="shared" si="79"/>
        <v>34.959999999999994</v>
      </c>
      <c r="CJ20" s="78">
        <v>46</v>
      </c>
      <c r="CK20" s="386">
        <f t="shared" si="85"/>
        <v>0.7599999999999999</v>
      </c>
      <c r="CL20" s="517">
        <f t="shared" si="41"/>
        <v>180.51820180238042</v>
      </c>
      <c r="CM20" s="169">
        <f t="shared" si="42"/>
        <v>184.20020499201522</v>
      </c>
      <c r="CN20" s="170">
        <f t="shared" si="43"/>
        <v>65.495469493612006</v>
      </c>
      <c r="CO20" s="170">
        <f t="shared" si="44"/>
        <v>65.495469493612006</v>
      </c>
      <c r="CP20" s="170">
        <f t="shared" si="45"/>
        <v>118.70473549840321</v>
      </c>
      <c r="CQ20" s="170">
        <f t="shared" si="46"/>
        <v>3.6820031896348038</v>
      </c>
      <c r="CR20" s="170"/>
      <c r="CS20" s="113">
        <f t="shared" si="47"/>
        <v>4.6202791987036201E-3</v>
      </c>
      <c r="CT20" s="78"/>
      <c r="CU20" s="78"/>
      <c r="CV20" s="78"/>
      <c r="CW20" s="78"/>
      <c r="CX20" s="78"/>
      <c r="CY20" s="78"/>
      <c r="CZ20" s="78"/>
      <c r="DA20" s="78"/>
      <c r="DB20" s="78"/>
      <c r="DC20" s="78"/>
      <c r="DD20" s="78"/>
      <c r="DE20" s="78"/>
      <c r="DF20" s="78"/>
      <c r="DG20" s="78"/>
      <c r="DH20" s="516">
        <f t="shared" si="48"/>
        <v>26.564074242294829</v>
      </c>
      <c r="DI20" s="2">
        <f t="shared" si="49"/>
        <v>30.991419949343971</v>
      </c>
      <c r="DJ20" s="169">
        <f t="shared" si="50"/>
        <v>26.564074242294833</v>
      </c>
      <c r="DK20" s="169">
        <f t="shared" si="51"/>
        <v>4.42734570704914</v>
      </c>
      <c r="DL20" s="113">
        <f t="shared" si="52"/>
        <v>3.3927657449014527E-2</v>
      </c>
      <c r="DM20" s="113">
        <f t="shared" si="53"/>
        <v>7.5466120006519408E-2</v>
      </c>
      <c r="DN20" s="113">
        <v>0.6</v>
      </c>
      <c r="DO20" s="78"/>
      <c r="DP20" s="78"/>
      <c r="DQ20" s="545">
        <f t="shared" si="54"/>
        <v>44.273457070491389</v>
      </c>
      <c r="DR20" s="78"/>
      <c r="DS20" s="78"/>
      <c r="DT20" s="534">
        <f t="shared" si="55"/>
        <v>44.273457070491389</v>
      </c>
      <c r="DU20" s="175">
        <f t="shared" si="56"/>
        <v>767.55294731027925</v>
      </c>
      <c r="DV20" s="175"/>
      <c r="DW20" s="170">
        <f t="shared" si="57"/>
        <v>80.642737029057244</v>
      </c>
      <c r="DX20" s="534">
        <f t="shared" si="80"/>
        <v>71.499999999999986</v>
      </c>
      <c r="DY20" s="534">
        <f t="shared" si="81"/>
        <v>64.349999999999994</v>
      </c>
      <c r="DZ20" s="262">
        <f t="shared" si="86"/>
        <v>1.4299999999999997</v>
      </c>
      <c r="EA20" s="78">
        <v>50</v>
      </c>
      <c r="EB20" s="78">
        <v>45</v>
      </c>
      <c r="EC20" s="175">
        <f t="shared" si="82"/>
        <v>7.1499999999999915</v>
      </c>
      <c r="ED20" s="175">
        <v>0</v>
      </c>
      <c r="EE20" s="175">
        <f t="shared" si="58"/>
        <v>7.1499999999999915</v>
      </c>
      <c r="EF20" s="175"/>
      <c r="EG20" s="534">
        <f t="shared" si="59"/>
        <v>9.14273702905726</v>
      </c>
      <c r="EH20" s="534">
        <f t="shared" si="60"/>
        <v>36.539999999999992</v>
      </c>
      <c r="EI20" s="175">
        <f t="shared" si="61"/>
        <v>218</v>
      </c>
      <c r="EJ20" s="78">
        <v>225</v>
      </c>
      <c r="EK20" s="78">
        <v>124</v>
      </c>
      <c r="EL20" s="78">
        <v>42</v>
      </c>
      <c r="EM20" s="175">
        <f t="shared" si="62"/>
        <v>52</v>
      </c>
      <c r="EN20" s="78">
        <v>73</v>
      </c>
      <c r="EO20" s="78"/>
      <c r="EP20" s="78"/>
      <c r="EQ20" s="175">
        <f t="shared" si="63"/>
        <v>885.46914140982778</v>
      </c>
      <c r="ER20" s="2">
        <f t="shared" si="64"/>
        <v>796.92222726884506</v>
      </c>
      <c r="ES20" s="386">
        <v>0.9</v>
      </c>
      <c r="ET20" s="78"/>
      <c r="EU20" s="78"/>
      <c r="EV20" s="78"/>
      <c r="EW20" s="78"/>
      <c r="EX20" s="78"/>
      <c r="EY20" s="166"/>
      <c r="EZ20" s="78"/>
      <c r="FA20" s="78"/>
      <c r="FB20" s="78"/>
      <c r="FC20" s="78"/>
      <c r="FD20" s="78"/>
      <c r="FE20" s="93"/>
      <c r="FF20" s="166"/>
      <c r="FG20" s="78"/>
      <c r="FH20" s="598"/>
      <c r="FI20" s="310">
        <f t="shared" si="65"/>
        <v>14</v>
      </c>
      <c r="FJ20" s="2">
        <f t="shared" si="66"/>
        <v>14</v>
      </c>
      <c r="FK20" s="166"/>
      <c r="FL20" s="78"/>
      <c r="FM20" s="78"/>
      <c r="FN20" s="78"/>
      <c r="FO20" s="78"/>
      <c r="FP20" s="78"/>
      <c r="FQ20" s="78"/>
      <c r="FR20" s="78"/>
      <c r="FS20" s="93"/>
      <c r="FT20" s="78"/>
      <c r="FU20" s="78"/>
      <c r="FV20" s="78"/>
      <c r="FW20" s="78"/>
      <c r="FX20" s="78"/>
      <c r="FY20" s="78"/>
      <c r="FZ20" s="102"/>
      <c r="GA20" s="102"/>
      <c r="GB20" s="102"/>
      <c r="GC20" s="102"/>
      <c r="GD20" s="102"/>
      <c r="GE20" s="102"/>
      <c r="GF20" s="102"/>
      <c r="GG20" s="102"/>
      <c r="GH20" s="102"/>
      <c r="GI20" s="102"/>
      <c r="GJ20" s="102"/>
      <c r="GK20" s="1162">
        <f>DataUK4!X173+DataUK4!AH173</f>
        <v>0.40000000000000568</v>
      </c>
      <c r="GL20" s="102"/>
      <c r="GM20" s="102"/>
      <c r="GN20" s="102"/>
      <c r="GO20" s="102"/>
      <c r="GP20" s="310">
        <f t="shared" si="67"/>
        <v>7.1499999999999915</v>
      </c>
      <c r="GQ20" s="102"/>
      <c r="GR20" s="102"/>
      <c r="GS20" s="102"/>
      <c r="GT20" s="102"/>
      <c r="GU20" s="991">
        <f t="shared" si="68"/>
        <v>-6.7499999999999858</v>
      </c>
      <c r="GW20" s="1063">
        <f>DataUK4!D173+DataUK4!F173</f>
        <v>24.3</v>
      </c>
      <c r="GX20" s="102"/>
      <c r="GY20" s="615">
        <f t="shared" si="69"/>
        <v>20.387925696594444</v>
      </c>
      <c r="GZ20" s="102"/>
      <c r="HA20" s="102"/>
      <c r="HB20" s="102"/>
      <c r="HC20" s="101"/>
      <c r="HD20" s="170">
        <f t="shared" si="70"/>
        <v>21</v>
      </c>
      <c r="HE20" s="301">
        <v>21</v>
      </c>
      <c r="HF20" s="78">
        <v>0</v>
      </c>
      <c r="HG20" s="170">
        <f t="shared" si="71"/>
        <v>0</v>
      </c>
      <c r="HH20" s="301">
        <v>0</v>
      </c>
      <c r="HI20" s="301">
        <v>0</v>
      </c>
      <c r="HJ20" s="2">
        <v>0</v>
      </c>
      <c r="HK20" s="2">
        <v>0</v>
      </c>
      <c r="HL20" s="2">
        <v>0</v>
      </c>
      <c r="HM20" s="2">
        <f t="shared" si="72"/>
        <v>0</v>
      </c>
      <c r="HN20" s="2">
        <v>0</v>
      </c>
      <c r="HO20" s="2">
        <v>0</v>
      </c>
      <c r="HP20" s="2">
        <v>0</v>
      </c>
      <c r="HQ20" s="2">
        <v>0</v>
      </c>
      <c r="HR20" s="2">
        <v>0</v>
      </c>
      <c r="HS20" s="1052">
        <v>0</v>
      </c>
      <c r="HT20" s="1001">
        <v>9.3000000000000007</v>
      </c>
      <c r="HU20" s="1002">
        <f t="shared" si="73"/>
        <v>1.1363344051446946</v>
      </c>
      <c r="HV20" s="1002">
        <f t="shared" si="74"/>
        <v>1.3157556270096464</v>
      </c>
    </row>
    <row r="21" spans="1:230" ht="12" customHeight="1">
      <c r="A21" s="79">
        <f t="shared" si="0"/>
        <v>1863</v>
      </c>
      <c r="B21" s="176">
        <f t="shared" si="1"/>
        <v>815.83938362853598</v>
      </c>
      <c r="C21" s="177">
        <f t="shared" si="2"/>
        <v>21</v>
      </c>
      <c r="D21" s="176">
        <f t="shared" si="3"/>
        <v>794.83938362853598</v>
      </c>
      <c r="E21" s="154">
        <f t="shared" si="4"/>
        <v>830.42466110410123</v>
      </c>
      <c r="F21" s="995">
        <f t="shared" si="5"/>
        <v>36.891428571428563</v>
      </c>
      <c r="G21" s="531">
        <f t="shared" si="6"/>
        <v>906.80263932201706</v>
      </c>
      <c r="H21" s="531">
        <f t="shared" si="7"/>
        <v>885.80263932201706</v>
      </c>
      <c r="I21" s="531">
        <f t="shared" si="8"/>
        <v>922.69406789344566</v>
      </c>
      <c r="J21" s="548">
        <f t="shared" si="9"/>
        <v>0.90000000000000013</v>
      </c>
      <c r="K21" s="515">
        <f t="shared" si="10"/>
        <v>61.117341860497284</v>
      </c>
      <c r="L21" s="534">
        <f t="shared" si="11"/>
        <v>61.117341860497284</v>
      </c>
      <c r="M21" s="78">
        <v>0</v>
      </c>
      <c r="N21" s="78"/>
      <c r="O21" s="78"/>
      <c r="P21" s="78"/>
      <c r="Q21" s="78"/>
      <c r="R21" s="78"/>
      <c r="S21" s="532">
        <f t="shared" si="12"/>
        <v>8.1120324932316204E-2</v>
      </c>
      <c r="T21" s="1008">
        <f t="shared" si="13"/>
        <v>44.795753388958985</v>
      </c>
      <c r="U21" s="1010">
        <f t="shared" si="14"/>
        <v>44.795753388958985</v>
      </c>
      <c r="V21" s="511">
        <f t="shared" si="15"/>
        <v>53.1</v>
      </c>
      <c r="W21" s="2">
        <f t="shared" si="16"/>
        <v>53.1</v>
      </c>
      <c r="X21" s="169">
        <f t="shared" si="17"/>
        <v>8.3042466110410125</v>
      </c>
      <c r="Y21" s="113">
        <f t="shared" si="18"/>
        <v>0.15638882506668572</v>
      </c>
      <c r="Z21" s="113">
        <f t="shared" si="19"/>
        <v>0.15638882506668572</v>
      </c>
      <c r="AA21" s="78"/>
      <c r="AB21" s="1019">
        <v>0.01</v>
      </c>
      <c r="AC21" s="78"/>
      <c r="AD21" s="78"/>
      <c r="AE21" s="78"/>
      <c r="AF21" s="78"/>
      <c r="AG21" s="78"/>
      <c r="AH21" s="78"/>
      <c r="AI21" s="78"/>
      <c r="AJ21" s="171">
        <f t="shared" si="20"/>
        <v>468.41719882190995</v>
      </c>
      <c r="AK21" s="1026">
        <f t="shared" si="21"/>
        <v>151.68</v>
      </c>
      <c r="AL21" s="169">
        <f t="shared" si="22"/>
        <v>487.9345821061562</v>
      </c>
      <c r="AM21" s="169">
        <f t="shared" si="75"/>
        <v>158</v>
      </c>
      <c r="AN21" s="169">
        <f t="shared" si="23"/>
        <v>257.40847830244428</v>
      </c>
      <c r="AO21" s="1027">
        <f t="shared" si="24"/>
        <v>276.92586158669053</v>
      </c>
      <c r="AP21" s="78">
        <v>109</v>
      </c>
      <c r="AQ21" s="78">
        <v>50</v>
      </c>
      <c r="AR21" s="78">
        <f t="shared" si="76"/>
        <v>59</v>
      </c>
      <c r="AS21" s="83"/>
      <c r="AT21" s="358">
        <v>53</v>
      </c>
      <c r="AU21" s="1030">
        <f t="shared" si="25"/>
        <v>173.9258615866905</v>
      </c>
      <c r="AV21" s="78">
        <v>293</v>
      </c>
      <c r="AW21" s="534">
        <f t="shared" si="77"/>
        <v>66.074138413309498</v>
      </c>
      <c r="AX21" s="78"/>
      <c r="AY21" s="78"/>
      <c r="AZ21" s="534">
        <v>3.3073192436040046</v>
      </c>
      <c r="BA21" s="386">
        <f t="shared" si="83"/>
        <v>0.33362644026682842</v>
      </c>
      <c r="BB21" s="78"/>
      <c r="BC21" s="78"/>
      <c r="BD21" s="78"/>
      <c r="BE21" s="78"/>
      <c r="BF21" s="78"/>
      <c r="BG21" s="78"/>
      <c r="BH21" s="78"/>
      <c r="BI21" s="166">
        <v>364</v>
      </c>
      <c r="BJ21" s="2">
        <f t="shared" si="26"/>
        <v>364</v>
      </c>
      <c r="BK21" s="78">
        <v>55</v>
      </c>
      <c r="BL21" s="169">
        <f t="shared" si="27"/>
        <v>158</v>
      </c>
      <c r="BM21" s="1031">
        <f t="shared" si="28"/>
        <v>211.00872051946567</v>
      </c>
      <c r="BN21" s="310">
        <f t="shared" si="29"/>
        <v>156.00872051946567</v>
      </c>
      <c r="BO21" s="262">
        <f t="shared" si="30"/>
        <v>0.31601961469646861</v>
      </c>
      <c r="BP21" s="262">
        <f t="shared" si="31"/>
        <v>0.33998104745908259</v>
      </c>
      <c r="BQ21" s="262">
        <f t="shared" si="32"/>
        <v>0.25905477160626672</v>
      </c>
      <c r="BR21" s="262">
        <f t="shared" si="33"/>
        <v>0.57969428714138915</v>
      </c>
      <c r="BS21" s="2127">
        <f t="shared" si="84"/>
        <v>0.76196827306217563</v>
      </c>
      <c r="BT21" s="534">
        <f t="shared" si="34"/>
        <v>19.517383284246247</v>
      </c>
      <c r="BU21" s="534">
        <f t="shared" si="35"/>
        <v>6.32</v>
      </c>
      <c r="BV21" s="113">
        <v>0.04</v>
      </c>
      <c r="BW21" s="276">
        <f t="shared" si="36"/>
        <v>2.3502894601295524E-2</v>
      </c>
      <c r="BX21" s="272">
        <f t="shared" si="37"/>
        <v>27.821629895287259</v>
      </c>
      <c r="BY21" s="78"/>
      <c r="BZ21" s="1034"/>
      <c r="CA21" s="1037"/>
      <c r="CB21" s="2">
        <f t="shared" si="38"/>
        <v>753.41589067217535</v>
      </c>
      <c r="CC21" s="2">
        <f t="shared" si="78"/>
        <v>814.53323253267263</v>
      </c>
      <c r="CD21" s="310">
        <f t="shared" si="39"/>
        <v>814.53323253267263</v>
      </c>
      <c r="CE21" s="310">
        <f t="shared" si="40"/>
        <v>793.53323253267263</v>
      </c>
      <c r="CF21" s="78"/>
      <c r="CG21" s="78"/>
      <c r="CH21" s="78"/>
      <c r="CI21" s="534">
        <f t="shared" si="79"/>
        <v>36.891428571428563</v>
      </c>
      <c r="CJ21" s="78">
        <v>48</v>
      </c>
      <c r="CK21" s="386">
        <f t="shared" si="85"/>
        <v>0.76857142857142846</v>
      </c>
      <c r="CL21" s="517">
        <f t="shared" si="41"/>
        <v>192.82826752036635</v>
      </c>
      <c r="CM21" s="169">
        <f t="shared" si="42"/>
        <v>197.28459585704042</v>
      </c>
      <c r="CN21" s="170">
        <f t="shared" si="43"/>
        <v>71.974138413309447</v>
      </c>
      <c r="CO21" s="170">
        <f t="shared" si="44"/>
        <v>71.974138413309447</v>
      </c>
      <c r="CP21" s="170">
        <f t="shared" si="45"/>
        <v>125.31045744373097</v>
      </c>
      <c r="CQ21" s="170">
        <f t="shared" si="46"/>
        <v>4.4563283366740754</v>
      </c>
      <c r="CR21" s="170"/>
      <c r="CS21" s="113">
        <f t="shared" si="47"/>
        <v>5.366324659420771E-3</v>
      </c>
      <c r="CT21" s="78"/>
      <c r="CU21" s="78"/>
      <c r="CV21" s="78"/>
      <c r="CW21" s="78"/>
      <c r="CX21" s="78"/>
      <c r="CY21" s="78"/>
      <c r="CZ21" s="78"/>
      <c r="DA21" s="78"/>
      <c r="DB21" s="78"/>
      <c r="DC21" s="78"/>
      <c r="DD21" s="78"/>
      <c r="DE21" s="78"/>
      <c r="DF21" s="78"/>
      <c r="DG21" s="78"/>
      <c r="DH21" s="516">
        <f t="shared" si="48"/>
        <v>27.680822036803377</v>
      </c>
      <c r="DI21" s="2">
        <f t="shared" si="49"/>
        <v>32.294292376270604</v>
      </c>
      <c r="DJ21" s="169">
        <f t="shared" si="50"/>
        <v>27.680822036803374</v>
      </c>
      <c r="DK21" s="169">
        <f t="shared" si="51"/>
        <v>4.6134703394672281</v>
      </c>
      <c r="DL21" s="113">
        <f t="shared" si="52"/>
        <v>3.3983661968872508E-2</v>
      </c>
      <c r="DM21" s="113">
        <f t="shared" si="53"/>
        <v>7.604621438682245E-2</v>
      </c>
      <c r="DN21" s="113">
        <v>0.6</v>
      </c>
      <c r="DO21" s="78"/>
      <c r="DP21" s="78"/>
      <c r="DQ21" s="545">
        <f t="shared" si="54"/>
        <v>46.134703394672293</v>
      </c>
      <c r="DR21" s="78"/>
      <c r="DS21" s="78"/>
      <c r="DT21" s="534">
        <f t="shared" si="55"/>
        <v>46.134703394672293</v>
      </c>
      <c r="DU21" s="175">
        <f t="shared" si="56"/>
        <v>767.15253252279376</v>
      </c>
      <c r="DV21" s="175"/>
      <c r="DW21" s="170">
        <f t="shared" si="57"/>
        <v>101.40683197597954</v>
      </c>
      <c r="DX21" s="534">
        <f t="shared" si="80"/>
        <v>89.909999999999982</v>
      </c>
      <c r="DY21" s="534">
        <f t="shared" si="81"/>
        <v>82.774285714285696</v>
      </c>
      <c r="DZ21" s="262">
        <f t="shared" si="86"/>
        <v>1.4271428571428568</v>
      </c>
      <c r="EA21" s="78">
        <v>63</v>
      </c>
      <c r="EB21" s="78">
        <v>58</v>
      </c>
      <c r="EC21" s="175">
        <f t="shared" si="82"/>
        <v>7.1357142857142861</v>
      </c>
      <c r="ED21" s="175">
        <v>0</v>
      </c>
      <c r="EE21" s="175">
        <f t="shared" si="58"/>
        <v>7.1357142857142861</v>
      </c>
      <c r="EF21" s="175"/>
      <c r="EG21" s="534">
        <f t="shared" si="59"/>
        <v>11.496831975979555</v>
      </c>
      <c r="EH21" s="534">
        <f t="shared" si="60"/>
        <v>53.01857142857142</v>
      </c>
      <c r="EI21" s="175">
        <f t="shared" si="61"/>
        <v>257</v>
      </c>
      <c r="EJ21" s="78">
        <v>249</v>
      </c>
      <c r="EK21" s="78">
        <v>147</v>
      </c>
      <c r="EL21" s="78">
        <v>50</v>
      </c>
      <c r="EM21" s="175">
        <f t="shared" si="62"/>
        <v>60</v>
      </c>
      <c r="EN21" s="78">
        <v>81</v>
      </c>
      <c r="EO21" s="78"/>
      <c r="EP21" s="78"/>
      <c r="EQ21" s="175">
        <f t="shared" si="63"/>
        <v>922.69406789344578</v>
      </c>
      <c r="ER21" s="2">
        <f t="shared" si="64"/>
        <v>830.42466110410123</v>
      </c>
      <c r="ES21" s="386">
        <v>0.9</v>
      </c>
      <c r="ET21" s="78"/>
      <c r="EU21" s="78"/>
      <c r="EV21" s="78"/>
      <c r="EW21" s="78"/>
      <c r="EX21" s="78"/>
      <c r="EY21" s="166"/>
      <c r="EZ21" s="78"/>
      <c r="FA21" s="78"/>
      <c r="FB21" s="78"/>
      <c r="FC21" s="78"/>
      <c r="FD21" s="78"/>
      <c r="FE21" s="93"/>
      <c r="FF21" s="166"/>
      <c r="FG21" s="78"/>
      <c r="FH21" s="598"/>
      <c r="FI21" s="310">
        <f t="shared" si="65"/>
        <v>29</v>
      </c>
      <c r="FJ21" s="2">
        <f t="shared" si="66"/>
        <v>29</v>
      </c>
      <c r="FK21" s="166"/>
      <c r="FL21" s="78"/>
      <c r="FM21" s="78"/>
      <c r="FN21" s="78"/>
      <c r="FO21" s="78"/>
      <c r="FP21" s="78"/>
      <c r="FQ21" s="78"/>
      <c r="FR21" s="78"/>
      <c r="FS21" s="93"/>
      <c r="FT21" s="78"/>
      <c r="FU21" s="78"/>
      <c r="FV21" s="78"/>
      <c r="FW21" s="78"/>
      <c r="FX21" s="78"/>
      <c r="FY21" s="78"/>
      <c r="FZ21" s="102"/>
      <c r="GA21" s="102"/>
      <c r="GB21" s="102"/>
      <c r="GC21" s="102"/>
      <c r="GD21" s="102"/>
      <c r="GE21" s="102"/>
      <c r="GF21" s="102"/>
      <c r="GG21" s="102"/>
      <c r="GH21" s="102"/>
      <c r="GI21" s="102"/>
      <c r="GJ21" s="102"/>
      <c r="GK21" s="1162">
        <f>DataUK4!X174+DataUK4!AH174</f>
        <v>2.6000000000000085</v>
      </c>
      <c r="GL21" s="102"/>
      <c r="GM21" s="102"/>
      <c r="GN21" s="102"/>
      <c r="GO21" s="102"/>
      <c r="GP21" s="310">
        <f t="shared" si="67"/>
        <v>7.1357142857142861</v>
      </c>
      <c r="GQ21" s="102"/>
      <c r="GR21" s="102"/>
      <c r="GS21" s="102"/>
      <c r="GT21" s="102"/>
      <c r="GU21" s="991">
        <f t="shared" si="68"/>
        <v>-4.5357142857142776</v>
      </c>
      <c r="GW21" s="1063">
        <f>DataUK4!D174+DataUK4!F174</f>
        <v>24.2</v>
      </c>
      <c r="GX21" s="102"/>
      <c r="GY21" s="615">
        <f t="shared" si="69"/>
        <v>20.304024767801874</v>
      </c>
      <c r="GZ21" s="102"/>
      <c r="HA21" s="102"/>
      <c r="HB21" s="102"/>
      <c r="HC21" s="101"/>
      <c r="HD21" s="170">
        <f t="shared" si="70"/>
        <v>21</v>
      </c>
      <c r="HE21" s="301">
        <v>21</v>
      </c>
      <c r="HF21" s="78">
        <v>0</v>
      </c>
      <c r="HG21" s="170">
        <f t="shared" si="71"/>
        <v>0</v>
      </c>
      <c r="HH21" s="301">
        <v>0</v>
      </c>
      <c r="HI21" s="301">
        <v>0</v>
      </c>
      <c r="HJ21" s="2">
        <v>0</v>
      </c>
      <c r="HK21" s="2">
        <v>0</v>
      </c>
      <c r="HL21" s="2">
        <v>0</v>
      </c>
      <c r="HM21" s="2">
        <f t="shared" si="72"/>
        <v>0</v>
      </c>
      <c r="HN21" s="2">
        <v>0</v>
      </c>
      <c r="HO21" s="2">
        <v>0</v>
      </c>
      <c r="HP21" s="2">
        <v>0</v>
      </c>
      <c r="HQ21" s="2">
        <v>0</v>
      </c>
      <c r="HR21" s="2">
        <v>0</v>
      </c>
      <c r="HS21" s="1052">
        <v>0</v>
      </c>
      <c r="HT21" s="1003">
        <v>9</v>
      </c>
      <c r="HU21" s="1002">
        <f t="shared" si="73"/>
        <v>1.0996784565916398</v>
      </c>
      <c r="HV21" s="1002">
        <f t="shared" si="74"/>
        <v>1.2733118971061093</v>
      </c>
    </row>
    <row r="22" spans="1:230" ht="12" customHeight="1">
      <c r="A22" s="79">
        <f t="shared" si="0"/>
        <v>1864</v>
      </c>
      <c r="B22" s="176">
        <f t="shared" si="1"/>
        <v>845.23906709615505</v>
      </c>
      <c r="C22" s="177">
        <f t="shared" si="2"/>
        <v>23</v>
      </c>
      <c r="D22" s="176">
        <f t="shared" si="3"/>
        <v>822.23906709615505</v>
      </c>
      <c r="E22" s="154">
        <f t="shared" si="4"/>
        <v>859.74406316805459</v>
      </c>
      <c r="F22" s="995">
        <f t="shared" si="5"/>
        <v>38.857142857142854</v>
      </c>
      <c r="G22" s="531">
        <f t="shared" si="6"/>
        <v>939.41403844069555</v>
      </c>
      <c r="H22" s="531">
        <f t="shared" si="7"/>
        <v>916.41403844069555</v>
      </c>
      <c r="I22" s="531">
        <f t="shared" si="8"/>
        <v>955.27118129783844</v>
      </c>
      <c r="J22" s="548">
        <f t="shared" si="9"/>
        <v>0.9</v>
      </c>
      <c r="K22" s="515">
        <f t="shared" si="10"/>
        <v>63.319854046808821</v>
      </c>
      <c r="L22" s="534">
        <f t="shared" si="11"/>
        <v>63.319854046808821</v>
      </c>
      <c r="M22" s="78">
        <v>0</v>
      </c>
      <c r="N22" s="78"/>
      <c r="O22" s="78"/>
      <c r="P22" s="78"/>
      <c r="Q22" s="78"/>
      <c r="R22" s="78"/>
      <c r="S22" s="532">
        <f t="shared" si="12"/>
        <v>8.1120324932316204E-2</v>
      </c>
      <c r="T22" s="1008">
        <f t="shared" si="13"/>
        <v>47.202559368319456</v>
      </c>
      <c r="U22" s="1010">
        <f t="shared" si="14"/>
        <v>47.202559368319456</v>
      </c>
      <c r="V22" s="511">
        <f t="shared" si="15"/>
        <v>55.800000000000004</v>
      </c>
      <c r="W22" s="2">
        <f t="shared" si="16"/>
        <v>55.800000000000004</v>
      </c>
      <c r="X22" s="169">
        <f t="shared" si="17"/>
        <v>8.5974406316805467</v>
      </c>
      <c r="Y22" s="113">
        <f t="shared" si="18"/>
        <v>0.15407599698352234</v>
      </c>
      <c r="Z22" s="113">
        <f t="shared" si="19"/>
        <v>0.15407599698352234</v>
      </c>
      <c r="AA22" s="78"/>
      <c r="AB22" s="1019">
        <v>0.01</v>
      </c>
      <c r="AC22" s="78"/>
      <c r="AD22" s="78"/>
      <c r="AE22" s="78"/>
      <c r="AF22" s="78"/>
      <c r="AG22" s="78"/>
      <c r="AH22" s="78"/>
      <c r="AI22" s="78"/>
      <c r="AJ22" s="171">
        <f t="shared" si="20"/>
        <v>463.63373767464765</v>
      </c>
      <c r="AK22" s="1026">
        <f t="shared" si="21"/>
        <v>142.08000000000001</v>
      </c>
      <c r="AL22" s="169">
        <f t="shared" si="22"/>
        <v>482.95181007775795</v>
      </c>
      <c r="AM22" s="169">
        <f t="shared" si="75"/>
        <v>148</v>
      </c>
      <c r="AN22" s="169">
        <f t="shared" si="23"/>
        <v>257.49046185727553</v>
      </c>
      <c r="AO22" s="1027">
        <f t="shared" si="24"/>
        <v>276.80853426038584</v>
      </c>
      <c r="AP22" s="78">
        <v>112</v>
      </c>
      <c r="AQ22" s="78">
        <v>50</v>
      </c>
      <c r="AR22" s="78">
        <f t="shared" si="76"/>
        <v>62</v>
      </c>
      <c r="AS22" s="83"/>
      <c r="AT22" s="358">
        <v>43</v>
      </c>
      <c r="AU22" s="1030">
        <f t="shared" si="25"/>
        <v>183.80853426038587</v>
      </c>
      <c r="AV22" s="78">
        <v>305</v>
      </c>
      <c r="AW22" s="534">
        <f t="shared" si="77"/>
        <v>78.191465739614131</v>
      </c>
      <c r="AX22" s="78"/>
      <c r="AY22" s="78"/>
      <c r="AZ22" s="534">
        <v>3.4242091212458288</v>
      </c>
      <c r="BA22" s="386">
        <f t="shared" si="83"/>
        <v>0.33157974530018197</v>
      </c>
      <c r="BB22" s="78"/>
      <c r="BC22" s="78"/>
      <c r="BD22" s="78"/>
      <c r="BE22" s="78"/>
      <c r="BF22" s="78"/>
      <c r="BG22" s="78"/>
      <c r="BH22" s="78"/>
      <c r="BI22" s="166">
        <v>376</v>
      </c>
      <c r="BJ22" s="2">
        <f t="shared" si="26"/>
        <v>376</v>
      </c>
      <c r="BK22" s="78">
        <v>55</v>
      </c>
      <c r="BL22" s="169">
        <f t="shared" si="27"/>
        <v>148</v>
      </c>
      <c r="BM22" s="1031">
        <f t="shared" si="28"/>
        <v>206.14327581737214</v>
      </c>
      <c r="BN22" s="310">
        <f t="shared" si="29"/>
        <v>151.14327581737214</v>
      </c>
      <c r="BO22" s="262">
        <f t="shared" si="30"/>
        <v>0.30512436638123125</v>
      </c>
      <c r="BP22" s="262">
        <f t="shared" si="31"/>
        <v>0.328016144815234</v>
      </c>
      <c r="BQ22" s="262">
        <f t="shared" si="32"/>
        <v>0.24427831603483458</v>
      </c>
      <c r="BR22" s="262">
        <f t="shared" si="33"/>
        <v>0.54825339313130894</v>
      </c>
      <c r="BS22" s="2127">
        <f t="shared" si="84"/>
        <v>0.74471430719494758</v>
      </c>
      <c r="BT22" s="534">
        <f t="shared" si="34"/>
        <v>19.318072403110317</v>
      </c>
      <c r="BU22" s="534">
        <f t="shared" si="35"/>
        <v>5.92</v>
      </c>
      <c r="BV22" s="113">
        <v>0.04</v>
      </c>
      <c r="BW22" s="276">
        <f t="shared" si="36"/>
        <v>2.246956185068091E-2</v>
      </c>
      <c r="BX22" s="272">
        <f t="shared" si="37"/>
        <v>27.915513034790862</v>
      </c>
      <c r="BY22" s="78"/>
      <c r="BZ22" s="1034"/>
      <c r="CA22" s="1037"/>
      <c r="CB22" s="2">
        <f t="shared" si="38"/>
        <v>780.56706626410289</v>
      </c>
      <c r="CC22" s="2">
        <f t="shared" si="78"/>
        <v>843.88692031091171</v>
      </c>
      <c r="CD22" s="310">
        <f t="shared" si="39"/>
        <v>843.88692031091171</v>
      </c>
      <c r="CE22" s="310">
        <f t="shared" si="40"/>
        <v>820.88692031091171</v>
      </c>
      <c r="CF22" s="78"/>
      <c r="CG22" s="78"/>
      <c r="CH22" s="78"/>
      <c r="CI22" s="534">
        <f t="shared" si="79"/>
        <v>38.857142857142854</v>
      </c>
      <c r="CJ22" s="78">
        <v>50</v>
      </c>
      <c r="CK22" s="386">
        <f t="shared" si="85"/>
        <v>0.77714285714285702</v>
      </c>
      <c r="CL22" s="517">
        <f t="shared" si="41"/>
        <v>219.42478056744403</v>
      </c>
      <c r="CM22" s="169">
        <f t="shared" si="42"/>
        <v>225.59005448330683</v>
      </c>
      <c r="CN22" s="170">
        <f t="shared" si="43"/>
        <v>84.391465739614148</v>
      </c>
      <c r="CO22" s="170">
        <f t="shared" si="44"/>
        <v>84.391465739614148</v>
      </c>
      <c r="CP22" s="170">
        <f t="shared" si="45"/>
        <v>141.19858874369268</v>
      </c>
      <c r="CQ22" s="170">
        <f t="shared" si="46"/>
        <v>6.1652739158627954</v>
      </c>
      <c r="CR22" s="170"/>
      <c r="CS22" s="113">
        <f t="shared" si="47"/>
        <v>7.1710572715611371E-3</v>
      </c>
      <c r="CT22" s="78"/>
      <c r="CU22" s="78"/>
      <c r="CV22" s="78"/>
      <c r="CW22" s="78"/>
      <c r="CX22" s="78"/>
      <c r="CY22" s="78"/>
      <c r="CZ22" s="78"/>
      <c r="DA22" s="78"/>
      <c r="DB22" s="78"/>
      <c r="DC22" s="78"/>
      <c r="DD22" s="78"/>
      <c r="DE22" s="78"/>
      <c r="DF22" s="78"/>
      <c r="DG22" s="78"/>
      <c r="DH22" s="516">
        <f t="shared" si="48"/>
        <v>28.658135438935147</v>
      </c>
      <c r="DI22" s="2">
        <f t="shared" si="49"/>
        <v>33.434491345424341</v>
      </c>
      <c r="DJ22" s="169">
        <f t="shared" si="50"/>
        <v>28.658135438935151</v>
      </c>
      <c r="DK22" s="169">
        <f t="shared" si="51"/>
        <v>4.7763559064891927</v>
      </c>
      <c r="DL22" s="113">
        <f t="shared" si="52"/>
        <v>3.3959686717714127E-2</v>
      </c>
      <c r="DM22" s="113">
        <f t="shared" si="53"/>
        <v>7.6218445316316885E-2</v>
      </c>
      <c r="DN22" s="113">
        <v>0.6</v>
      </c>
      <c r="DO22" s="78"/>
      <c r="DP22" s="78"/>
      <c r="DQ22" s="545">
        <f t="shared" si="54"/>
        <v>47.763559064891922</v>
      </c>
      <c r="DR22" s="78"/>
      <c r="DS22" s="78"/>
      <c r="DT22" s="534">
        <f t="shared" si="55"/>
        <v>47.763559064891922</v>
      </c>
      <c r="DU22" s="175">
        <f t="shared" si="56"/>
        <v>780.81407020530014</v>
      </c>
      <c r="DV22" s="175"/>
      <c r="DW22" s="170">
        <f t="shared" si="57"/>
        <v>123.69355202764626</v>
      </c>
      <c r="DX22" s="534">
        <f t="shared" si="80"/>
        <v>109.66999999999997</v>
      </c>
      <c r="DY22" s="534">
        <f t="shared" si="81"/>
        <v>102.54857142857141</v>
      </c>
      <c r="DZ22" s="262">
        <f t="shared" si="86"/>
        <v>1.4242857142857139</v>
      </c>
      <c r="EA22" s="78">
        <v>77</v>
      </c>
      <c r="EB22" s="78">
        <v>72</v>
      </c>
      <c r="EC22" s="175">
        <f t="shared" si="82"/>
        <v>7.1214285714285666</v>
      </c>
      <c r="ED22" s="175">
        <v>0</v>
      </c>
      <c r="EE22" s="175">
        <f t="shared" si="58"/>
        <v>7.1214285714285666</v>
      </c>
      <c r="EF22" s="175"/>
      <c r="EG22" s="534">
        <f t="shared" si="59"/>
        <v>14.023552027646287</v>
      </c>
      <c r="EH22" s="534">
        <f t="shared" si="60"/>
        <v>70.812857142857126</v>
      </c>
      <c r="EI22" s="175">
        <f t="shared" si="61"/>
        <v>278</v>
      </c>
      <c r="EJ22" s="78">
        <v>275</v>
      </c>
      <c r="EK22" s="78">
        <v>160</v>
      </c>
      <c r="EL22" s="78">
        <v>52</v>
      </c>
      <c r="EM22" s="175">
        <f t="shared" si="62"/>
        <v>66</v>
      </c>
      <c r="EN22" s="78">
        <v>89</v>
      </c>
      <c r="EO22" s="78"/>
      <c r="EP22" s="78"/>
      <c r="EQ22" s="175">
        <f t="shared" si="63"/>
        <v>955.27118129783844</v>
      </c>
      <c r="ER22" s="2">
        <f t="shared" si="64"/>
        <v>859.74406316805459</v>
      </c>
      <c r="ES22" s="386">
        <v>0.9</v>
      </c>
      <c r="ET22" s="78"/>
      <c r="EU22" s="78"/>
      <c r="EV22" s="78"/>
      <c r="EW22" s="78"/>
      <c r="EX22" s="78"/>
      <c r="EY22" s="166"/>
      <c r="EZ22" s="78"/>
      <c r="FA22" s="78"/>
      <c r="FB22" s="78"/>
      <c r="FC22" s="78"/>
      <c r="FD22" s="78"/>
      <c r="FE22" s="93"/>
      <c r="FF22" s="166"/>
      <c r="FG22" s="78"/>
      <c r="FH22" s="598"/>
      <c r="FI22" s="310">
        <f t="shared" si="65"/>
        <v>26</v>
      </c>
      <c r="FJ22" s="2">
        <f t="shared" si="66"/>
        <v>26</v>
      </c>
      <c r="FK22" s="166"/>
      <c r="FL22" s="78"/>
      <c r="FM22" s="78"/>
      <c r="FN22" s="78"/>
      <c r="FO22" s="78"/>
      <c r="FP22" s="78"/>
      <c r="FQ22" s="78"/>
      <c r="FR22" s="78"/>
      <c r="FS22" s="93"/>
      <c r="FT22" s="78"/>
      <c r="FU22" s="78"/>
      <c r="FV22" s="78"/>
      <c r="FW22" s="78"/>
      <c r="FX22" s="78"/>
      <c r="FY22" s="78"/>
      <c r="FZ22" s="102"/>
      <c r="GA22" s="102"/>
      <c r="GB22" s="102"/>
      <c r="GC22" s="102"/>
      <c r="GD22" s="102"/>
      <c r="GE22" s="102"/>
      <c r="GF22" s="102"/>
      <c r="GG22" s="102"/>
      <c r="GH22" s="102"/>
      <c r="GI22" s="102"/>
      <c r="GJ22" s="102"/>
      <c r="GK22" s="1162">
        <f>DataUK4!X175+DataUK4!AH175</f>
        <v>3.9000000000000057</v>
      </c>
      <c r="GL22" s="102"/>
      <c r="GM22" s="102"/>
      <c r="GN22" s="102"/>
      <c r="GO22" s="102"/>
      <c r="GP22" s="310">
        <f t="shared" si="67"/>
        <v>7.1214285714285666</v>
      </c>
      <c r="GQ22" s="102"/>
      <c r="GR22" s="102"/>
      <c r="GS22" s="102"/>
      <c r="GT22" s="102"/>
      <c r="GU22" s="991">
        <f t="shared" si="68"/>
        <v>-3.2214285714285609</v>
      </c>
      <c r="GW22" s="1063">
        <f>DataUK4!D175+DataUK4!F175</f>
        <v>24.099999999999998</v>
      </c>
      <c r="GX22" s="102"/>
      <c r="GY22" s="615">
        <f t="shared" si="69"/>
        <v>20.220123839009304</v>
      </c>
      <c r="GZ22" s="102"/>
      <c r="HA22" s="102"/>
      <c r="HB22" s="102"/>
      <c r="HC22" s="101"/>
      <c r="HD22" s="170">
        <f t="shared" si="70"/>
        <v>23</v>
      </c>
      <c r="HE22" s="301">
        <v>23</v>
      </c>
      <c r="HF22" s="78">
        <v>0</v>
      </c>
      <c r="HG22" s="170">
        <f t="shared" si="71"/>
        <v>0</v>
      </c>
      <c r="HH22" s="301">
        <v>0</v>
      </c>
      <c r="HI22" s="301">
        <v>0</v>
      </c>
      <c r="HJ22" s="2">
        <v>0</v>
      </c>
      <c r="HK22" s="2">
        <v>0</v>
      </c>
      <c r="HL22" s="2">
        <v>0</v>
      </c>
      <c r="HM22" s="2">
        <f t="shared" si="72"/>
        <v>0</v>
      </c>
      <c r="HN22" s="2">
        <v>0</v>
      </c>
      <c r="HO22" s="2">
        <v>0</v>
      </c>
      <c r="HP22" s="2">
        <v>0</v>
      </c>
      <c r="HQ22" s="2">
        <v>0</v>
      </c>
      <c r="HR22" s="2">
        <v>0</v>
      </c>
      <c r="HS22" s="1052">
        <v>0</v>
      </c>
      <c r="HT22" s="1001">
        <v>8.9</v>
      </c>
      <c r="HU22" s="1002">
        <f t="shared" si="73"/>
        <v>1.087459807073955</v>
      </c>
      <c r="HV22" s="1002">
        <f t="shared" si="74"/>
        <v>1.2591639871382638</v>
      </c>
    </row>
    <row r="23" spans="1:230" ht="12" customHeight="1">
      <c r="A23" s="79">
        <f t="shared" si="0"/>
        <v>1865</v>
      </c>
      <c r="B23" s="176">
        <f t="shared" si="1"/>
        <v>876.54491040080984</v>
      </c>
      <c r="C23" s="177">
        <f t="shared" si="2"/>
        <v>24</v>
      </c>
      <c r="D23" s="176">
        <f t="shared" si="3"/>
        <v>852.54491040080984</v>
      </c>
      <c r="E23" s="154">
        <f t="shared" si="4"/>
        <v>891.21490257737344</v>
      </c>
      <c r="F23" s="995">
        <f t="shared" si="5"/>
        <v>40.071428571428562</v>
      </c>
      <c r="G23" s="531">
        <f t="shared" si="6"/>
        <v>974.16735207009731</v>
      </c>
      <c r="H23" s="531">
        <f t="shared" si="7"/>
        <v>950.16735207009731</v>
      </c>
      <c r="I23" s="531">
        <f t="shared" si="8"/>
        <v>990.23878064152586</v>
      </c>
      <c r="J23" s="548">
        <f t="shared" si="9"/>
        <v>0.90000000000000013</v>
      </c>
      <c r="K23" s="515">
        <f t="shared" si="10"/>
        <v>65.665145069030814</v>
      </c>
      <c r="L23" s="534">
        <f t="shared" si="11"/>
        <v>65.665145069030814</v>
      </c>
      <c r="M23" s="78">
        <v>0</v>
      </c>
      <c r="N23" s="78"/>
      <c r="O23" s="78"/>
      <c r="P23" s="78"/>
      <c r="Q23" s="78"/>
      <c r="R23" s="78"/>
      <c r="S23" s="532">
        <f t="shared" si="12"/>
        <v>8.1120324932316204E-2</v>
      </c>
      <c r="T23" s="1008">
        <f t="shared" si="13"/>
        <v>50.487850974226262</v>
      </c>
      <c r="U23" s="1010">
        <f t="shared" si="14"/>
        <v>50.487850974226262</v>
      </c>
      <c r="V23" s="511">
        <f t="shared" si="15"/>
        <v>59.4</v>
      </c>
      <c r="W23" s="2">
        <f t="shared" si="16"/>
        <v>59.4</v>
      </c>
      <c r="X23" s="169">
        <f t="shared" si="17"/>
        <v>8.9121490257737346</v>
      </c>
      <c r="Y23" s="113">
        <f t="shared" si="18"/>
        <v>0.15003617888507972</v>
      </c>
      <c r="Z23" s="113">
        <f t="shared" si="19"/>
        <v>0.15003617888507972</v>
      </c>
      <c r="AA23" s="78"/>
      <c r="AB23" s="1019">
        <v>0.01</v>
      </c>
      <c r="AC23" s="78"/>
      <c r="AD23" s="78"/>
      <c r="AE23" s="78"/>
      <c r="AF23" s="78"/>
      <c r="AG23" s="78"/>
      <c r="AH23" s="78"/>
      <c r="AI23" s="78"/>
      <c r="AJ23" s="171">
        <f t="shared" si="20"/>
        <v>471.93332608241343</v>
      </c>
      <c r="AK23" s="1026">
        <f t="shared" si="21"/>
        <v>144.96</v>
      </c>
      <c r="AL23" s="169">
        <f t="shared" si="22"/>
        <v>491.59721466918063</v>
      </c>
      <c r="AM23" s="169">
        <f t="shared" si="75"/>
        <v>151</v>
      </c>
      <c r="AN23" s="169">
        <f t="shared" si="23"/>
        <v>264.91411468672089</v>
      </c>
      <c r="AO23" s="1027">
        <f t="shared" si="24"/>
        <v>284.57800327348809</v>
      </c>
      <c r="AP23" s="78">
        <v>115</v>
      </c>
      <c r="AQ23" s="78">
        <v>49</v>
      </c>
      <c r="AR23" s="78">
        <f t="shared" si="76"/>
        <v>66</v>
      </c>
      <c r="AS23" s="83"/>
      <c r="AT23" s="358">
        <v>46</v>
      </c>
      <c r="AU23" s="1030">
        <f t="shared" si="25"/>
        <v>189.57800327348809</v>
      </c>
      <c r="AV23" s="78">
        <v>309</v>
      </c>
      <c r="AW23" s="534">
        <f t="shared" si="77"/>
        <v>73.421996726511907</v>
      </c>
      <c r="AX23" s="78"/>
      <c r="AY23" s="78"/>
      <c r="AZ23" s="534">
        <v>3.5497575083426027</v>
      </c>
      <c r="BA23" s="386">
        <f t="shared" si="83"/>
        <v>0.32953305033353553</v>
      </c>
      <c r="BB23" s="78"/>
      <c r="BC23" s="78"/>
      <c r="BD23" s="78"/>
      <c r="BE23" s="78"/>
      <c r="BF23" s="78"/>
      <c r="BG23" s="78"/>
      <c r="BH23" s="78"/>
      <c r="BI23" s="166">
        <v>398</v>
      </c>
      <c r="BJ23" s="2">
        <f t="shared" si="26"/>
        <v>398</v>
      </c>
      <c r="BK23" s="78">
        <v>56</v>
      </c>
      <c r="BL23" s="169">
        <f t="shared" si="27"/>
        <v>151</v>
      </c>
      <c r="BM23" s="1031">
        <f t="shared" si="28"/>
        <v>207.01921139569254</v>
      </c>
      <c r="BN23" s="310">
        <f t="shared" si="29"/>
        <v>151.01921139569254</v>
      </c>
      <c r="BO23" s="262">
        <f t="shared" si="30"/>
        <v>0.30270935287225981</v>
      </c>
      <c r="BP23" s="262">
        <f t="shared" si="31"/>
        <v>0.32517868409718031</v>
      </c>
      <c r="BQ23" s="262">
        <f t="shared" si="32"/>
        <v>0.23655459652583349</v>
      </c>
      <c r="BR23" s="262">
        <f t="shared" si="33"/>
        <v>0.52014877235098622</v>
      </c>
      <c r="BS23" s="2127">
        <f t="shared" si="84"/>
        <v>0.72746034132771953</v>
      </c>
      <c r="BT23" s="534">
        <f t="shared" si="34"/>
        <v>19.663888586767225</v>
      </c>
      <c r="BU23" s="534">
        <f t="shared" si="35"/>
        <v>6.04</v>
      </c>
      <c r="BV23" s="113">
        <v>0.04</v>
      </c>
      <c r="BW23" s="276">
        <f t="shared" si="36"/>
        <v>2.2064137987257284E-2</v>
      </c>
      <c r="BX23" s="272">
        <f t="shared" si="37"/>
        <v>28.576037612540958</v>
      </c>
      <c r="BY23" s="78"/>
      <c r="BZ23" s="1034"/>
      <c r="CA23" s="1037"/>
      <c r="CB23" s="2">
        <f t="shared" si="38"/>
        <v>809.47832893691407</v>
      </c>
      <c r="CC23" s="2">
        <f t="shared" si="78"/>
        <v>875.14347400594488</v>
      </c>
      <c r="CD23" s="310">
        <f t="shared" si="39"/>
        <v>875.14347400594488</v>
      </c>
      <c r="CE23" s="310">
        <f t="shared" si="40"/>
        <v>851.14347400594488</v>
      </c>
      <c r="CF23" s="78"/>
      <c r="CG23" s="78"/>
      <c r="CH23" s="78"/>
      <c r="CI23" s="534">
        <f t="shared" si="79"/>
        <v>40.071428571428562</v>
      </c>
      <c r="CJ23" s="78">
        <v>51</v>
      </c>
      <c r="CK23" s="386">
        <f t="shared" si="85"/>
        <v>0.78571428571428559</v>
      </c>
      <c r="CL23" s="517">
        <f t="shared" si="41"/>
        <v>234.75142485589365</v>
      </c>
      <c r="CM23" s="169">
        <f t="shared" si="42"/>
        <v>241.29562191157362</v>
      </c>
      <c r="CN23" s="170">
        <f t="shared" si="43"/>
        <v>80.021996726511929</v>
      </c>
      <c r="CO23" s="170">
        <f t="shared" si="44"/>
        <v>80.021996726511929</v>
      </c>
      <c r="CP23" s="170">
        <f t="shared" si="45"/>
        <v>161.27362518506169</v>
      </c>
      <c r="CQ23" s="170">
        <f t="shared" si="46"/>
        <v>6.5441970556799713</v>
      </c>
      <c r="CR23" s="170"/>
      <c r="CS23" s="113">
        <f t="shared" si="47"/>
        <v>7.3430067616175407E-3</v>
      </c>
      <c r="CT23" s="78"/>
      <c r="CU23" s="78"/>
      <c r="CV23" s="78"/>
      <c r="CW23" s="78"/>
      <c r="CX23" s="78"/>
      <c r="CY23" s="78"/>
      <c r="CZ23" s="78"/>
      <c r="DA23" s="78"/>
      <c r="DB23" s="78"/>
      <c r="DC23" s="78"/>
      <c r="DD23" s="78"/>
      <c r="DE23" s="78"/>
      <c r="DF23" s="78"/>
      <c r="DG23" s="78"/>
      <c r="DH23" s="516">
        <f t="shared" si="48"/>
        <v>29.707163419245774</v>
      </c>
      <c r="DI23" s="2">
        <f t="shared" si="49"/>
        <v>34.658357322453405</v>
      </c>
      <c r="DJ23" s="169">
        <f t="shared" si="50"/>
        <v>29.707163419245777</v>
      </c>
      <c r="DK23" s="169">
        <f t="shared" si="51"/>
        <v>4.9511939032076295</v>
      </c>
      <c r="DL23" s="113">
        <f t="shared" si="52"/>
        <v>3.3945477857775783E-2</v>
      </c>
      <c r="DM23" s="113">
        <f t="shared" si="53"/>
        <v>7.4641114118707982E-2</v>
      </c>
      <c r="DN23" s="113">
        <v>0.6</v>
      </c>
      <c r="DO23" s="78"/>
      <c r="DP23" s="78"/>
      <c r="DQ23" s="545">
        <f t="shared" si="54"/>
        <v>49.511939032076299</v>
      </c>
      <c r="DR23" s="78"/>
      <c r="DS23" s="78"/>
      <c r="DT23" s="534">
        <f t="shared" si="55"/>
        <v>49.511939032076299</v>
      </c>
      <c r="DU23" s="175">
        <f t="shared" si="56"/>
        <v>795.47185924155838</v>
      </c>
      <c r="DV23" s="175"/>
      <c r="DW23" s="170">
        <f t="shared" si="57"/>
        <v>128.25498236789122</v>
      </c>
      <c r="DX23" s="534">
        <f t="shared" si="80"/>
        <v>113.71428571428568</v>
      </c>
      <c r="DY23" s="534">
        <f t="shared" si="81"/>
        <v>105.18571428571425</v>
      </c>
      <c r="DZ23" s="262">
        <f t="shared" si="86"/>
        <v>1.421428571428571</v>
      </c>
      <c r="EA23" s="78">
        <v>80</v>
      </c>
      <c r="EB23" s="78">
        <v>74</v>
      </c>
      <c r="EC23" s="175">
        <f t="shared" si="82"/>
        <v>8.5285714285714249</v>
      </c>
      <c r="ED23" s="175">
        <v>0</v>
      </c>
      <c r="EE23" s="175">
        <f t="shared" si="58"/>
        <v>8.5285714285714249</v>
      </c>
      <c r="EF23" s="175"/>
      <c r="EG23" s="534">
        <f t="shared" si="59"/>
        <v>14.540696653605549</v>
      </c>
      <c r="EH23" s="534">
        <f t="shared" si="60"/>
        <v>73.64285714285711</v>
      </c>
      <c r="EI23" s="175">
        <f t="shared" si="61"/>
        <v>288</v>
      </c>
      <c r="EJ23" s="78">
        <v>271</v>
      </c>
      <c r="EK23" s="78">
        <v>166</v>
      </c>
      <c r="EL23" s="78">
        <v>53</v>
      </c>
      <c r="EM23" s="175">
        <f t="shared" si="62"/>
        <v>69</v>
      </c>
      <c r="EN23" s="78">
        <v>93</v>
      </c>
      <c r="EO23" s="78"/>
      <c r="EP23" s="78"/>
      <c r="EQ23" s="175">
        <f t="shared" si="63"/>
        <v>990.23878064152598</v>
      </c>
      <c r="ER23" s="2">
        <f t="shared" si="64"/>
        <v>891.21490257737344</v>
      </c>
      <c r="ES23" s="386">
        <v>0.9</v>
      </c>
      <c r="ET23" s="78"/>
      <c r="EU23" s="78"/>
      <c r="EV23" s="78"/>
      <c r="EW23" s="78"/>
      <c r="EX23" s="78"/>
      <c r="EY23" s="166"/>
      <c r="EZ23" s="78"/>
      <c r="FA23" s="78"/>
      <c r="FB23" s="78"/>
      <c r="FC23" s="78"/>
      <c r="FD23" s="78"/>
      <c r="FE23" s="93"/>
      <c r="FF23" s="166"/>
      <c r="FG23" s="78"/>
      <c r="FH23" s="598"/>
      <c r="FI23" s="310">
        <f t="shared" si="65"/>
        <v>41</v>
      </c>
      <c r="FJ23" s="2">
        <f t="shared" si="66"/>
        <v>41</v>
      </c>
      <c r="FK23" s="166"/>
      <c r="FL23" s="78"/>
      <c r="FM23" s="78"/>
      <c r="FN23" s="78"/>
      <c r="FO23" s="78"/>
      <c r="FP23" s="78"/>
      <c r="FQ23" s="78"/>
      <c r="FR23" s="78"/>
      <c r="FS23" s="93"/>
      <c r="FT23" s="78"/>
      <c r="FU23" s="78"/>
      <c r="FV23" s="78"/>
      <c r="FW23" s="78"/>
      <c r="FX23" s="78"/>
      <c r="FY23" s="78"/>
      <c r="FZ23" s="102"/>
      <c r="GA23" s="102"/>
      <c r="GB23" s="102"/>
      <c r="GC23" s="102"/>
      <c r="GD23" s="102"/>
      <c r="GE23" s="102"/>
      <c r="GF23" s="102"/>
      <c r="GG23" s="102"/>
      <c r="GH23" s="102"/>
      <c r="GI23" s="102"/>
      <c r="GJ23" s="102"/>
      <c r="GK23" s="1162">
        <f>DataUK4!X176+DataUK4!AH176</f>
        <v>2</v>
      </c>
      <c r="GL23" s="102"/>
      <c r="GM23" s="102"/>
      <c r="GN23" s="102"/>
      <c r="GO23" s="102"/>
      <c r="GP23" s="310">
        <f t="shared" si="67"/>
        <v>8.5285714285714249</v>
      </c>
      <c r="GQ23" s="102"/>
      <c r="GR23" s="102"/>
      <c r="GS23" s="102"/>
      <c r="GT23" s="102"/>
      <c r="GU23" s="991">
        <f t="shared" si="68"/>
        <v>-6.5285714285714249</v>
      </c>
      <c r="GW23" s="1063">
        <f>DataUK4!D176+DataUK4!F176</f>
        <v>23.8</v>
      </c>
      <c r="GX23" s="102"/>
      <c r="GY23" s="615">
        <f t="shared" si="69"/>
        <v>19.968421052631598</v>
      </c>
      <c r="GZ23" s="102"/>
      <c r="HA23" s="102"/>
      <c r="HB23" s="102"/>
      <c r="HC23" s="101"/>
      <c r="HD23" s="170">
        <f t="shared" si="70"/>
        <v>24</v>
      </c>
      <c r="HE23" s="301">
        <v>24</v>
      </c>
      <c r="HF23" s="78">
        <v>0</v>
      </c>
      <c r="HG23" s="170">
        <f t="shared" si="71"/>
        <v>0</v>
      </c>
      <c r="HH23" s="301">
        <v>0</v>
      </c>
      <c r="HI23" s="301">
        <v>0</v>
      </c>
      <c r="HJ23" s="2">
        <v>0</v>
      </c>
      <c r="HK23" s="2">
        <v>0</v>
      </c>
      <c r="HL23" s="2">
        <v>0</v>
      </c>
      <c r="HM23" s="2">
        <f t="shared" si="72"/>
        <v>0</v>
      </c>
      <c r="HN23" s="2">
        <v>0</v>
      </c>
      <c r="HO23" s="2">
        <v>0</v>
      </c>
      <c r="HP23" s="2">
        <v>0</v>
      </c>
      <c r="HQ23" s="2">
        <v>0</v>
      </c>
      <c r="HR23" s="2">
        <v>0</v>
      </c>
      <c r="HS23" s="1052">
        <v>0</v>
      </c>
      <c r="HT23" s="1003">
        <v>9</v>
      </c>
      <c r="HU23" s="1002">
        <f t="shared" si="73"/>
        <v>1.0996784565916398</v>
      </c>
      <c r="HV23" s="1002">
        <f t="shared" si="74"/>
        <v>1.2733118971061093</v>
      </c>
    </row>
    <row r="24" spans="1:230" ht="12" customHeight="1">
      <c r="A24" s="79">
        <f t="shared" si="0"/>
        <v>1866</v>
      </c>
      <c r="B24" s="176">
        <f t="shared" si="1"/>
        <v>898.03877474883018</v>
      </c>
      <c r="C24" s="177">
        <f t="shared" si="2"/>
        <v>26</v>
      </c>
      <c r="D24" s="176">
        <f t="shared" si="3"/>
        <v>872.03877474883018</v>
      </c>
      <c r="E24" s="154">
        <f t="shared" si="4"/>
        <v>911.90781993936071</v>
      </c>
      <c r="F24" s="995">
        <f t="shared" si="5"/>
        <v>41.302857142857135</v>
      </c>
      <c r="G24" s="531">
        <f t="shared" si="6"/>
        <v>997.92805390087688</v>
      </c>
      <c r="H24" s="531">
        <f t="shared" si="7"/>
        <v>971.92805390087688</v>
      </c>
      <c r="I24" s="531">
        <f t="shared" si="8"/>
        <v>1013.2309110437341</v>
      </c>
      <c r="J24" s="548">
        <f t="shared" si="9"/>
        <v>0.9</v>
      </c>
      <c r="K24" s="515">
        <f t="shared" si="10"/>
        <v>67.27547733646864</v>
      </c>
      <c r="L24" s="534">
        <f t="shared" si="11"/>
        <v>67.27547733646864</v>
      </c>
      <c r="M24" s="78">
        <v>0</v>
      </c>
      <c r="N24" s="78"/>
      <c r="O24" s="78"/>
      <c r="P24" s="78"/>
      <c r="Q24" s="78"/>
      <c r="R24" s="78"/>
      <c r="S24" s="532">
        <f t="shared" si="12"/>
        <v>8.1120324932316204E-2</v>
      </c>
      <c r="T24" s="1008">
        <f t="shared" si="13"/>
        <v>50.280921800606393</v>
      </c>
      <c r="U24" s="1010">
        <f t="shared" si="14"/>
        <v>50.280921800606393</v>
      </c>
      <c r="V24" s="511">
        <f t="shared" si="15"/>
        <v>59.4</v>
      </c>
      <c r="W24" s="2">
        <f t="shared" si="16"/>
        <v>59.4</v>
      </c>
      <c r="X24" s="169">
        <f t="shared" si="17"/>
        <v>9.1190781993936074</v>
      </c>
      <c r="Y24" s="113">
        <f t="shared" si="18"/>
        <v>0.15351983500662639</v>
      </c>
      <c r="Z24" s="113">
        <f t="shared" si="19"/>
        <v>0.15351983500662639</v>
      </c>
      <c r="AA24" s="78"/>
      <c r="AB24" s="1019">
        <v>0.01</v>
      </c>
      <c r="AC24" s="78"/>
      <c r="AD24" s="78"/>
      <c r="AE24" s="78"/>
      <c r="AF24" s="78"/>
      <c r="AG24" s="78"/>
      <c r="AH24" s="78"/>
      <c r="AI24" s="78"/>
      <c r="AJ24" s="171">
        <f t="shared" si="20"/>
        <v>480.65195583932865</v>
      </c>
      <c r="AK24" s="1026">
        <f t="shared" si="21"/>
        <v>149.76</v>
      </c>
      <c r="AL24" s="169">
        <f t="shared" si="22"/>
        <v>500.67912066596733</v>
      </c>
      <c r="AM24" s="169">
        <f t="shared" si="75"/>
        <v>156</v>
      </c>
      <c r="AN24" s="169">
        <f t="shared" si="23"/>
        <v>272.73231019938214</v>
      </c>
      <c r="AO24" s="1027">
        <f t="shared" si="24"/>
        <v>292.75947502602082</v>
      </c>
      <c r="AP24" s="78">
        <v>116</v>
      </c>
      <c r="AQ24" s="78">
        <v>50</v>
      </c>
      <c r="AR24" s="78">
        <f t="shared" si="76"/>
        <v>66</v>
      </c>
      <c r="AS24" s="83"/>
      <c r="AT24" s="358">
        <v>50</v>
      </c>
      <c r="AU24" s="1030">
        <f t="shared" si="25"/>
        <v>192.75947502602079</v>
      </c>
      <c r="AV24" s="78">
        <v>316</v>
      </c>
      <c r="AW24" s="534">
        <f t="shared" si="77"/>
        <v>73.240524973979205</v>
      </c>
      <c r="AX24" s="78"/>
      <c r="AY24" s="78"/>
      <c r="AZ24" s="534">
        <v>3.6323426028921024</v>
      </c>
      <c r="BA24" s="386">
        <f t="shared" si="83"/>
        <v>0.32748635536688908</v>
      </c>
      <c r="BB24" s="78"/>
      <c r="BC24" s="78"/>
      <c r="BD24" s="78"/>
      <c r="BE24" s="78"/>
      <c r="BF24" s="78"/>
      <c r="BG24" s="78"/>
      <c r="BH24" s="78"/>
      <c r="BI24" s="166">
        <v>409</v>
      </c>
      <c r="BJ24" s="2">
        <f t="shared" si="26"/>
        <v>409</v>
      </c>
      <c r="BK24" s="78">
        <v>56</v>
      </c>
      <c r="BL24" s="169">
        <f t="shared" si="27"/>
        <v>156</v>
      </c>
      <c r="BM24" s="1031">
        <f t="shared" si="28"/>
        <v>207.91964563994651</v>
      </c>
      <c r="BN24" s="310">
        <f t="shared" si="29"/>
        <v>151.91964563994651</v>
      </c>
      <c r="BO24" s="262">
        <f t="shared" si="30"/>
        <v>0.30418336002594981</v>
      </c>
      <c r="BP24" s="262">
        <f t="shared" si="31"/>
        <v>0.3265200251768699</v>
      </c>
      <c r="BQ24" s="262">
        <f t="shared" si="32"/>
        <v>0.23189660359613318</v>
      </c>
      <c r="BR24" s="262">
        <f t="shared" si="33"/>
        <v>0.50836099178471028</v>
      </c>
      <c r="BS24" s="2127">
        <f t="shared" si="84"/>
        <v>0.71020637546049148</v>
      </c>
      <c r="BT24" s="534">
        <f t="shared" si="34"/>
        <v>20.027164826638693</v>
      </c>
      <c r="BU24" s="534">
        <f t="shared" si="35"/>
        <v>6.24</v>
      </c>
      <c r="BV24" s="113">
        <v>0.04</v>
      </c>
      <c r="BW24" s="276">
        <f t="shared" si="36"/>
        <v>2.1961830339354303E-2</v>
      </c>
      <c r="BX24" s="272">
        <f t="shared" si="37"/>
        <v>29.146243026032302</v>
      </c>
      <c r="BY24" s="78"/>
      <c r="BZ24" s="1034"/>
      <c r="CA24" s="1037"/>
      <c r="CB24" s="2">
        <f t="shared" si="38"/>
        <v>829.3294854600349</v>
      </c>
      <c r="CC24" s="2">
        <f t="shared" si="78"/>
        <v>896.60496279650351</v>
      </c>
      <c r="CD24" s="310">
        <f t="shared" si="39"/>
        <v>896.60496279650351</v>
      </c>
      <c r="CE24" s="310">
        <f t="shared" si="40"/>
        <v>870.60496279650351</v>
      </c>
      <c r="CF24" s="78"/>
      <c r="CG24" s="78"/>
      <c r="CH24" s="78"/>
      <c r="CI24" s="534">
        <f t="shared" si="79"/>
        <v>41.302857142857135</v>
      </c>
      <c r="CJ24" s="78">
        <v>52</v>
      </c>
      <c r="CK24" s="386">
        <f t="shared" si="85"/>
        <v>0.79428571428571415</v>
      </c>
      <c r="CL24" s="517">
        <f t="shared" si="41"/>
        <v>243.43349244111448</v>
      </c>
      <c r="CM24" s="169">
        <f t="shared" si="42"/>
        <v>250.52395200272065</v>
      </c>
      <c r="CN24" s="170">
        <f t="shared" si="43"/>
        <v>79.8405249739792</v>
      </c>
      <c r="CO24" s="170">
        <f t="shared" si="44"/>
        <v>79.8405249739792</v>
      </c>
      <c r="CP24" s="170">
        <f t="shared" si="45"/>
        <v>170.68342702874145</v>
      </c>
      <c r="CQ24" s="170">
        <f t="shared" si="46"/>
        <v>7.090459561606167</v>
      </c>
      <c r="CR24" s="170"/>
      <c r="CS24" s="113">
        <f t="shared" si="47"/>
        <v>7.7754126092236635E-3</v>
      </c>
      <c r="CT24" s="78"/>
      <c r="CU24" s="78"/>
      <c r="CV24" s="78"/>
      <c r="CW24" s="78"/>
      <c r="CX24" s="78"/>
      <c r="CY24" s="78"/>
      <c r="CZ24" s="78"/>
      <c r="DA24" s="78"/>
      <c r="DB24" s="78"/>
      <c r="DC24" s="78"/>
      <c r="DD24" s="78"/>
      <c r="DE24" s="78"/>
      <c r="DF24" s="78"/>
      <c r="DG24" s="78"/>
      <c r="DH24" s="516">
        <f t="shared" si="48"/>
        <v>30.396927331312025</v>
      </c>
      <c r="DI24" s="2">
        <f t="shared" si="49"/>
        <v>35.463081886530695</v>
      </c>
      <c r="DJ24" s="169">
        <f t="shared" si="50"/>
        <v>30.396927331312025</v>
      </c>
      <c r="DK24" s="169">
        <f t="shared" si="51"/>
        <v>5.0661545552186702</v>
      </c>
      <c r="DL24" s="113">
        <f t="shared" si="52"/>
        <v>3.3902251931000091E-2</v>
      </c>
      <c r="DM24" s="113">
        <f t="shared" si="53"/>
        <v>7.4320115724479274E-2</v>
      </c>
      <c r="DN24" s="113">
        <v>0.6</v>
      </c>
      <c r="DO24" s="78"/>
      <c r="DP24" s="78"/>
      <c r="DQ24" s="545">
        <f t="shared" si="54"/>
        <v>50.661545552186709</v>
      </c>
      <c r="DR24" s="78"/>
      <c r="DS24" s="78"/>
      <c r="DT24" s="534">
        <f t="shared" si="55"/>
        <v>50.661545552186709</v>
      </c>
      <c r="DU24" s="175">
        <f t="shared" si="56"/>
        <v>829.97186521662991</v>
      </c>
      <c r="DV24" s="175"/>
      <c r="DW24" s="170">
        <f t="shared" si="57"/>
        <v>113.59750027491752</v>
      </c>
      <c r="DX24" s="534">
        <f t="shared" si="80"/>
        <v>100.71857142857139</v>
      </c>
      <c r="DY24" s="534">
        <f t="shared" si="81"/>
        <v>90.788571428571402</v>
      </c>
      <c r="DZ24" s="262">
        <f t="shared" si="86"/>
        <v>1.4185714285714282</v>
      </c>
      <c r="EA24" s="78">
        <v>71</v>
      </c>
      <c r="EB24" s="78">
        <v>64</v>
      </c>
      <c r="EC24" s="175">
        <f t="shared" si="82"/>
        <v>9.9299999999999926</v>
      </c>
      <c r="ED24" s="175">
        <v>0</v>
      </c>
      <c r="EE24" s="175">
        <f t="shared" si="58"/>
        <v>9.9299999999999926</v>
      </c>
      <c r="EF24" s="175"/>
      <c r="EG24" s="534">
        <f t="shared" si="59"/>
        <v>12.878928846346131</v>
      </c>
      <c r="EH24" s="534">
        <f t="shared" si="60"/>
        <v>59.415714285714259</v>
      </c>
      <c r="EI24" s="175">
        <f t="shared" si="61"/>
        <v>314</v>
      </c>
      <c r="EJ24" s="78">
        <v>295</v>
      </c>
      <c r="EK24" s="78">
        <v>189</v>
      </c>
      <c r="EL24" s="78">
        <v>50</v>
      </c>
      <c r="EM24" s="175">
        <f t="shared" si="62"/>
        <v>75</v>
      </c>
      <c r="EN24" s="78">
        <v>101</v>
      </c>
      <c r="EO24" s="78"/>
      <c r="EP24" s="78"/>
      <c r="EQ24" s="175">
        <f t="shared" si="63"/>
        <v>1013.2309110437341</v>
      </c>
      <c r="ER24" s="2">
        <f t="shared" si="64"/>
        <v>911.90781993936071</v>
      </c>
      <c r="ES24" s="386">
        <v>0.9</v>
      </c>
      <c r="ET24" s="78"/>
      <c r="EU24" s="78"/>
      <c r="EV24" s="78"/>
      <c r="EW24" s="78"/>
      <c r="EX24" s="78"/>
      <c r="EY24" s="166"/>
      <c r="EZ24" s="78"/>
      <c r="FA24" s="78"/>
      <c r="FB24" s="78"/>
      <c r="FC24" s="78"/>
      <c r="FD24" s="78"/>
      <c r="FE24" s="93"/>
      <c r="FF24" s="166"/>
      <c r="FG24" s="78"/>
      <c r="FH24" s="598"/>
      <c r="FI24" s="310">
        <f t="shared" si="65"/>
        <v>45</v>
      </c>
      <c r="FJ24" s="2">
        <f t="shared" si="66"/>
        <v>45</v>
      </c>
      <c r="FK24" s="166"/>
      <c r="FL24" s="78"/>
      <c r="FM24" s="78"/>
      <c r="FN24" s="78"/>
      <c r="FO24" s="78"/>
      <c r="FP24" s="78"/>
      <c r="FQ24" s="78"/>
      <c r="FR24" s="78"/>
      <c r="FS24" s="93"/>
      <c r="FT24" s="78"/>
      <c r="FU24" s="78"/>
      <c r="FV24" s="78"/>
      <c r="FW24" s="78"/>
      <c r="FX24" s="78"/>
      <c r="FY24" s="78"/>
      <c r="FZ24" s="102"/>
      <c r="GA24" s="102"/>
      <c r="GB24" s="102"/>
      <c r="GC24" s="102"/>
      <c r="GD24" s="102"/>
      <c r="GE24" s="102"/>
      <c r="GF24" s="102"/>
      <c r="GG24" s="102"/>
      <c r="GH24" s="102"/>
      <c r="GI24" s="102"/>
      <c r="GJ24" s="102"/>
      <c r="GK24" s="1162">
        <f>DataUK4!X177+DataUK4!AH177</f>
        <v>3</v>
      </c>
      <c r="GL24" s="102"/>
      <c r="GM24" s="102"/>
      <c r="GN24" s="102"/>
      <c r="GO24" s="102"/>
      <c r="GP24" s="310">
        <f t="shared" si="67"/>
        <v>9.9299999999999926</v>
      </c>
      <c r="GQ24" s="102"/>
      <c r="GR24" s="102"/>
      <c r="GS24" s="102"/>
      <c r="GT24" s="102"/>
      <c r="GU24" s="991">
        <f t="shared" si="68"/>
        <v>-6.9299999999999926</v>
      </c>
      <c r="GW24" s="1063">
        <f>DataUK4!D177+DataUK4!F177</f>
        <v>23.700000000000003</v>
      </c>
      <c r="GX24" s="102"/>
      <c r="GY24" s="615">
        <f t="shared" si="69"/>
        <v>19.884520123839032</v>
      </c>
      <c r="GZ24" s="102"/>
      <c r="HA24" s="102"/>
      <c r="HB24" s="102"/>
      <c r="HC24" s="101"/>
      <c r="HD24" s="170">
        <f t="shared" si="70"/>
        <v>26</v>
      </c>
      <c r="HE24" s="301">
        <v>26</v>
      </c>
      <c r="HF24" s="78">
        <v>0</v>
      </c>
      <c r="HG24" s="170">
        <f t="shared" si="71"/>
        <v>0</v>
      </c>
      <c r="HH24" s="301">
        <v>0</v>
      </c>
      <c r="HI24" s="301">
        <v>0</v>
      </c>
      <c r="HJ24" s="2">
        <v>0</v>
      </c>
      <c r="HK24" s="2">
        <v>0</v>
      </c>
      <c r="HL24" s="2">
        <v>0</v>
      </c>
      <c r="HM24" s="2">
        <f t="shared" si="72"/>
        <v>0</v>
      </c>
      <c r="HN24" s="2">
        <v>0</v>
      </c>
      <c r="HO24" s="2">
        <v>0</v>
      </c>
      <c r="HP24" s="2">
        <v>0</v>
      </c>
      <c r="HQ24" s="2">
        <v>0</v>
      </c>
      <c r="HR24" s="2">
        <v>0</v>
      </c>
      <c r="HS24" s="1052">
        <v>0</v>
      </c>
      <c r="HT24" s="1001">
        <v>9.5</v>
      </c>
      <c r="HU24" s="1002">
        <f t="shared" si="73"/>
        <v>1.1607717041800643</v>
      </c>
      <c r="HV24" s="1002">
        <f t="shared" si="74"/>
        <v>1.3440514469453377</v>
      </c>
    </row>
    <row r="25" spans="1:230" ht="12" customHeight="1">
      <c r="A25" s="79">
        <f t="shared" si="0"/>
        <v>1867</v>
      </c>
      <c r="B25" s="176">
        <f t="shared" si="1"/>
        <v>885.36322576313853</v>
      </c>
      <c r="C25" s="177">
        <f t="shared" si="2"/>
        <v>28</v>
      </c>
      <c r="D25" s="176">
        <f t="shared" si="3"/>
        <v>857.36322576313853</v>
      </c>
      <c r="E25" s="154">
        <f t="shared" si="4"/>
        <v>896.89888924283798</v>
      </c>
      <c r="F25" s="995">
        <f t="shared" si="5"/>
        <v>40.945714285714281</v>
      </c>
      <c r="G25" s="531">
        <f t="shared" si="6"/>
        <v>983.60860709521671</v>
      </c>
      <c r="H25" s="531">
        <f t="shared" si="7"/>
        <v>955.60860709521671</v>
      </c>
      <c r="I25" s="531">
        <f t="shared" si="8"/>
        <v>996.55432138093101</v>
      </c>
      <c r="J25" s="548">
        <f t="shared" si="9"/>
        <v>0.9</v>
      </c>
      <c r="K25" s="515">
        <f t="shared" si="10"/>
        <v>66.326168441948056</v>
      </c>
      <c r="L25" s="534">
        <f t="shared" si="11"/>
        <v>66.326168441948056</v>
      </c>
      <c r="M25" s="78">
        <v>0</v>
      </c>
      <c r="N25" s="78"/>
      <c r="O25" s="78"/>
      <c r="P25" s="78"/>
      <c r="Q25" s="78"/>
      <c r="R25" s="78"/>
      <c r="S25" s="532">
        <f t="shared" si="12"/>
        <v>8.1120324932316204E-2</v>
      </c>
      <c r="T25" s="1008">
        <f t="shared" si="13"/>
        <v>50.431011107571621</v>
      </c>
      <c r="U25" s="1010">
        <f t="shared" si="14"/>
        <v>50.431011107571621</v>
      </c>
      <c r="V25" s="511">
        <f t="shared" si="15"/>
        <v>59.4</v>
      </c>
      <c r="W25" s="2">
        <f t="shared" si="16"/>
        <v>59.4</v>
      </c>
      <c r="X25" s="169">
        <f t="shared" si="17"/>
        <v>8.9689888924283796</v>
      </c>
      <c r="Y25" s="113">
        <f t="shared" si="18"/>
        <v>0.15099307899711076</v>
      </c>
      <c r="Z25" s="113">
        <f t="shared" si="19"/>
        <v>0.15099307899711076</v>
      </c>
      <c r="AA25" s="78"/>
      <c r="AB25" s="1019">
        <v>0.01</v>
      </c>
      <c r="AC25" s="78"/>
      <c r="AD25" s="78"/>
      <c r="AE25" s="78"/>
      <c r="AF25" s="78"/>
      <c r="AG25" s="78"/>
      <c r="AH25" s="78"/>
      <c r="AI25" s="78"/>
      <c r="AJ25" s="171">
        <f t="shared" si="20"/>
        <v>472.71514348401951</v>
      </c>
      <c r="AK25" s="1026">
        <f t="shared" si="21"/>
        <v>153.6</v>
      </c>
      <c r="AL25" s="169">
        <f t="shared" si="22"/>
        <v>492.41160779585363</v>
      </c>
      <c r="AM25" s="169">
        <f t="shared" si="75"/>
        <v>160</v>
      </c>
      <c r="AN25" s="169">
        <f t="shared" si="23"/>
        <v>271.16322259109359</v>
      </c>
      <c r="AO25" s="1027">
        <f t="shared" si="24"/>
        <v>290.85968690292771</v>
      </c>
      <c r="AP25" s="78">
        <v>117</v>
      </c>
      <c r="AQ25" s="78">
        <v>51</v>
      </c>
      <c r="AR25" s="78">
        <f t="shared" si="76"/>
        <v>66</v>
      </c>
      <c r="AS25" s="83"/>
      <c r="AT25" s="358">
        <v>54</v>
      </c>
      <c r="AU25" s="1030">
        <f t="shared" si="25"/>
        <v>185.85968690292771</v>
      </c>
      <c r="AV25" s="78">
        <v>301</v>
      </c>
      <c r="AW25" s="534">
        <f t="shared" si="77"/>
        <v>61.140313097072294</v>
      </c>
      <c r="AX25" s="78"/>
      <c r="AY25" s="78"/>
      <c r="AZ25" s="534">
        <v>3.5727208008898779</v>
      </c>
      <c r="BA25" s="386">
        <f t="shared" si="83"/>
        <v>0.32543966040024264</v>
      </c>
      <c r="BB25" s="78"/>
      <c r="BC25" s="78"/>
      <c r="BD25" s="78"/>
      <c r="BE25" s="78"/>
      <c r="BF25" s="78"/>
      <c r="BG25" s="78"/>
      <c r="BH25" s="78"/>
      <c r="BI25" s="166">
        <v>409</v>
      </c>
      <c r="BJ25" s="2">
        <f t="shared" si="26"/>
        <v>409</v>
      </c>
      <c r="BK25" s="78">
        <v>55</v>
      </c>
      <c r="BL25" s="169">
        <f t="shared" si="27"/>
        <v>160</v>
      </c>
      <c r="BM25" s="1031">
        <f t="shared" si="28"/>
        <v>201.55192089292592</v>
      </c>
      <c r="BN25" s="310">
        <f t="shared" si="29"/>
        <v>146.55192089292592</v>
      </c>
      <c r="BO25" s="262">
        <f t="shared" si="30"/>
        <v>0.30676197594317867</v>
      </c>
      <c r="BP25" s="262">
        <f t="shared" si="31"/>
        <v>0.32904422444892051</v>
      </c>
      <c r="BQ25" s="262">
        <f t="shared" si="32"/>
        <v>0.22801198819462606</v>
      </c>
      <c r="BR25" s="262">
        <f t="shared" si="33"/>
        <v>0.49279198262329077</v>
      </c>
      <c r="BS25" s="2127">
        <f t="shared" si="84"/>
        <v>0.69295240959326343</v>
      </c>
      <c r="BT25" s="534">
        <f t="shared" si="34"/>
        <v>19.696464311834145</v>
      </c>
      <c r="BU25" s="534">
        <f t="shared" si="35"/>
        <v>6.4</v>
      </c>
      <c r="BV25" s="113">
        <v>0.04</v>
      </c>
      <c r="BW25" s="276">
        <f t="shared" si="36"/>
        <v>2.1960629618419863E-2</v>
      </c>
      <c r="BX25" s="272">
        <f t="shared" si="37"/>
        <v>28.665453204262526</v>
      </c>
      <c r="BY25" s="78"/>
      <c r="BZ25" s="1034"/>
      <c r="CA25" s="1037"/>
      <c r="CB25" s="2">
        <f t="shared" si="38"/>
        <v>817.62700651517559</v>
      </c>
      <c r="CC25" s="2">
        <f t="shared" si="78"/>
        <v>883.95317495712368</v>
      </c>
      <c r="CD25" s="310">
        <f t="shared" si="39"/>
        <v>883.95317495712368</v>
      </c>
      <c r="CE25" s="310">
        <f t="shared" si="40"/>
        <v>855.95317495712368</v>
      </c>
      <c r="CF25" s="78"/>
      <c r="CG25" s="78"/>
      <c r="CH25" s="78"/>
      <c r="CI25" s="534">
        <f t="shared" si="79"/>
        <v>40.945714285714281</v>
      </c>
      <c r="CJ25" s="78">
        <v>51</v>
      </c>
      <c r="CK25" s="386">
        <f t="shared" si="85"/>
        <v>0.80285714285714271</v>
      </c>
      <c r="CL25" s="517">
        <f t="shared" si="41"/>
        <v>237.99427308817138</v>
      </c>
      <c r="CM25" s="169">
        <f t="shared" si="42"/>
        <v>245.29176256271847</v>
      </c>
      <c r="CN25" s="170">
        <f t="shared" si="43"/>
        <v>67.740313097072317</v>
      </c>
      <c r="CO25" s="170">
        <f t="shared" si="44"/>
        <v>67.740313097072317</v>
      </c>
      <c r="CP25" s="170">
        <f t="shared" si="45"/>
        <v>177.55144946564616</v>
      </c>
      <c r="CQ25" s="170">
        <f t="shared" si="46"/>
        <v>7.2974894745471035</v>
      </c>
      <c r="CR25" s="170"/>
      <c r="CS25" s="113">
        <f t="shared" si="47"/>
        <v>8.1363569094255912E-3</v>
      </c>
      <c r="CT25" s="78"/>
      <c r="CU25" s="78"/>
      <c r="CV25" s="78"/>
      <c r="CW25" s="78"/>
      <c r="CX25" s="78"/>
      <c r="CY25" s="78"/>
      <c r="CZ25" s="78"/>
      <c r="DA25" s="78"/>
      <c r="DB25" s="78"/>
      <c r="DC25" s="78"/>
      <c r="DD25" s="78"/>
      <c r="DE25" s="78"/>
      <c r="DF25" s="78"/>
      <c r="DG25" s="78"/>
      <c r="DH25" s="516">
        <f t="shared" si="48"/>
        <v>29.896629641427928</v>
      </c>
      <c r="DI25" s="2">
        <f t="shared" si="49"/>
        <v>34.879401248332584</v>
      </c>
      <c r="DJ25" s="169">
        <f t="shared" si="50"/>
        <v>29.896629641427928</v>
      </c>
      <c r="DK25" s="169">
        <f t="shared" si="51"/>
        <v>4.982771606904655</v>
      </c>
      <c r="DL25" s="113">
        <f t="shared" si="52"/>
        <v>3.382150829751595E-2</v>
      </c>
      <c r="DM25" s="113">
        <f t="shared" si="53"/>
        <v>7.309689398882134E-2</v>
      </c>
      <c r="DN25" s="113">
        <v>0.6</v>
      </c>
      <c r="DO25" s="78"/>
      <c r="DP25" s="78"/>
      <c r="DQ25" s="545">
        <f t="shared" si="54"/>
        <v>49.827716069046552</v>
      </c>
      <c r="DR25" s="78"/>
      <c r="DS25" s="78"/>
      <c r="DT25" s="534">
        <f t="shared" si="55"/>
        <v>49.827716069046552</v>
      </c>
      <c r="DU25" s="175">
        <f t="shared" si="56"/>
        <v>826.32532466965586</v>
      </c>
      <c r="DV25" s="175"/>
      <c r="DW25" s="170">
        <f t="shared" si="57"/>
        <v>97.401280642228542</v>
      </c>
      <c r="DX25" s="534">
        <f t="shared" si="80"/>
        <v>86.358571428571395</v>
      </c>
      <c r="DY25" s="534">
        <f t="shared" si="81"/>
        <v>76.448571428571398</v>
      </c>
      <c r="DZ25" s="262">
        <f t="shared" si="86"/>
        <v>1.4157142857142853</v>
      </c>
      <c r="EA25" s="78">
        <v>61</v>
      </c>
      <c r="EB25" s="78">
        <v>54</v>
      </c>
      <c r="EC25" s="175">
        <f t="shared" si="82"/>
        <v>9.9099999999999966</v>
      </c>
      <c r="ED25" s="175">
        <v>0</v>
      </c>
      <c r="EE25" s="175">
        <f t="shared" si="58"/>
        <v>9.9099999999999966</v>
      </c>
      <c r="EF25" s="175"/>
      <c r="EG25" s="534">
        <f t="shared" si="59"/>
        <v>11.042709213657149</v>
      </c>
      <c r="EH25" s="534">
        <f t="shared" si="60"/>
        <v>45.412857142857114</v>
      </c>
      <c r="EI25" s="175">
        <f t="shared" si="61"/>
        <v>298</v>
      </c>
      <c r="EJ25" s="78">
        <v>275</v>
      </c>
      <c r="EK25" s="78">
        <v>181</v>
      </c>
      <c r="EL25" s="78">
        <v>45</v>
      </c>
      <c r="EM25" s="175">
        <f t="shared" si="62"/>
        <v>72</v>
      </c>
      <c r="EN25" s="78">
        <v>100</v>
      </c>
      <c r="EO25" s="78"/>
      <c r="EP25" s="78"/>
      <c r="EQ25" s="175">
        <f t="shared" si="63"/>
        <v>996.55432138093101</v>
      </c>
      <c r="ER25" s="2">
        <f t="shared" si="64"/>
        <v>896.89888924283798</v>
      </c>
      <c r="ES25" s="386">
        <v>0.9</v>
      </c>
      <c r="ET25" s="78"/>
      <c r="EU25" s="78"/>
      <c r="EV25" s="78"/>
      <c r="EW25" s="78"/>
      <c r="EX25" s="78"/>
      <c r="EY25" s="166"/>
      <c r="EZ25" s="78"/>
      <c r="FA25" s="78"/>
      <c r="FB25" s="78"/>
      <c r="FC25" s="78"/>
      <c r="FD25" s="78"/>
      <c r="FE25" s="93"/>
      <c r="FF25" s="166"/>
      <c r="FG25" s="78"/>
      <c r="FH25" s="598"/>
      <c r="FI25" s="310">
        <f t="shared" si="65"/>
        <v>51</v>
      </c>
      <c r="FJ25" s="2">
        <f t="shared" si="66"/>
        <v>51</v>
      </c>
      <c r="FK25" s="166"/>
      <c r="FL25" s="78"/>
      <c r="FM25" s="78"/>
      <c r="FN25" s="78"/>
      <c r="FO25" s="78"/>
      <c r="FP25" s="78"/>
      <c r="FQ25" s="78"/>
      <c r="FR25" s="78"/>
      <c r="FS25" s="93"/>
      <c r="FT25" s="78"/>
      <c r="FU25" s="78"/>
      <c r="FV25" s="78"/>
      <c r="FW25" s="78"/>
      <c r="FX25" s="78"/>
      <c r="FY25" s="78"/>
      <c r="FZ25" s="102"/>
      <c r="GA25" s="102"/>
      <c r="GB25" s="102"/>
      <c r="GC25" s="102"/>
      <c r="GD25" s="102"/>
      <c r="GE25" s="102"/>
      <c r="GF25" s="102"/>
      <c r="GG25" s="102"/>
      <c r="GH25" s="102"/>
      <c r="GI25" s="102"/>
      <c r="GJ25" s="102"/>
      <c r="GK25" s="1162">
        <f>DataUK4!X178+DataUK4!AH178</f>
        <v>-0.59999999999999432</v>
      </c>
      <c r="GL25" s="102"/>
      <c r="GM25" s="102"/>
      <c r="GN25" s="102"/>
      <c r="GO25" s="102"/>
      <c r="GP25" s="310">
        <f t="shared" si="67"/>
        <v>9.9099999999999966</v>
      </c>
      <c r="GQ25" s="102"/>
      <c r="GR25" s="102"/>
      <c r="GS25" s="102"/>
      <c r="GT25" s="102"/>
      <c r="GU25" s="991">
        <f t="shared" si="68"/>
        <v>-10.509999999999991</v>
      </c>
      <c r="GW25" s="1063">
        <f>DataUK4!D178+DataUK4!F178</f>
        <v>23.200000000000003</v>
      </c>
      <c r="GX25" s="102"/>
      <c r="GY25" s="615">
        <f t="shared" si="69"/>
        <v>19.465015479876183</v>
      </c>
      <c r="GZ25" s="102"/>
      <c r="HA25" s="102"/>
      <c r="HB25" s="102"/>
      <c r="HC25" s="101"/>
      <c r="HD25" s="170">
        <f t="shared" si="70"/>
        <v>28</v>
      </c>
      <c r="HE25" s="301">
        <v>28</v>
      </c>
      <c r="HF25" s="78">
        <v>0</v>
      </c>
      <c r="HG25" s="170">
        <f t="shared" si="71"/>
        <v>0</v>
      </c>
      <c r="HH25" s="301">
        <v>0</v>
      </c>
      <c r="HI25" s="301">
        <v>0</v>
      </c>
      <c r="HJ25" s="2">
        <v>0</v>
      </c>
      <c r="HK25" s="2">
        <v>0</v>
      </c>
      <c r="HL25" s="2">
        <v>0</v>
      </c>
      <c r="HM25" s="2">
        <f t="shared" si="72"/>
        <v>0</v>
      </c>
      <c r="HN25" s="2">
        <v>0</v>
      </c>
      <c r="HO25" s="2">
        <v>0</v>
      </c>
      <c r="HP25" s="2">
        <v>0</v>
      </c>
      <c r="HQ25" s="2">
        <v>0</v>
      </c>
      <c r="HR25" s="2">
        <v>0</v>
      </c>
      <c r="HS25" s="1052">
        <v>0</v>
      </c>
      <c r="HT25" s="1001">
        <v>10.1</v>
      </c>
      <c r="HU25" s="1002">
        <f t="shared" si="73"/>
        <v>1.2340836012861733</v>
      </c>
      <c r="HV25" s="1002">
        <f t="shared" si="74"/>
        <v>1.4289389067524116</v>
      </c>
    </row>
    <row r="26" spans="1:230" ht="12" customHeight="1">
      <c r="A26" s="79">
        <f t="shared" si="0"/>
        <v>1868</v>
      </c>
      <c r="B26" s="176">
        <f t="shared" si="1"/>
        <v>885.96021628560834</v>
      </c>
      <c r="C26" s="177">
        <f t="shared" si="2"/>
        <v>31</v>
      </c>
      <c r="D26" s="176">
        <f t="shared" si="3"/>
        <v>854.96021628560834</v>
      </c>
      <c r="E26" s="154">
        <f t="shared" si="4"/>
        <v>894.93625539853542</v>
      </c>
      <c r="F26" s="995">
        <f t="shared" si="5"/>
        <v>41.382857142857134</v>
      </c>
      <c r="G26" s="531">
        <f t="shared" si="6"/>
        <v>983.99075996662668</v>
      </c>
      <c r="H26" s="531">
        <f t="shared" si="7"/>
        <v>952.99075996662668</v>
      </c>
      <c r="I26" s="531">
        <f t="shared" si="8"/>
        <v>994.3736171094838</v>
      </c>
      <c r="J26" s="548">
        <f t="shared" si="9"/>
        <v>0.9</v>
      </c>
      <c r="K26" s="515">
        <f t="shared" si="10"/>
        <v>66.371205342918131</v>
      </c>
      <c r="L26" s="534">
        <f t="shared" si="11"/>
        <v>66.371205342918131</v>
      </c>
      <c r="M26" s="78">
        <v>0</v>
      </c>
      <c r="N26" s="78"/>
      <c r="O26" s="78"/>
      <c r="P26" s="78"/>
      <c r="Q26" s="78"/>
      <c r="R26" s="78"/>
      <c r="S26" s="532">
        <f t="shared" si="12"/>
        <v>8.1120324932316204E-2</v>
      </c>
      <c r="T26" s="1008">
        <f t="shared" si="13"/>
        <v>51.350637446014652</v>
      </c>
      <c r="U26" s="1010">
        <f t="shared" si="14"/>
        <v>51.350637446014652</v>
      </c>
      <c r="V26" s="511">
        <f t="shared" si="15"/>
        <v>60.300000000000004</v>
      </c>
      <c r="W26" s="2">
        <f t="shared" si="16"/>
        <v>60.300000000000004</v>
      </c>
      <c r="X26" s="169">
        <f t="shared" si="17"/>
        <v>8.9493625539853543</v>
      </c>
      <c r="Y26" s="113">
        <f t="shared" si="18"/>
        <v>0.14841397270290801</v>
      </c>
      <c r="Z26" s="113">
        <f t="shared" si="19"/>
        <v>0.14841397270290801</v>
      </c>
      <c r="AA26" s="78"/>
      <c r="AB26" s="1019">
        <v>0.01</v>
      </c>
      <c r="AC26" s="78"/>
      <c r="AD26" s="78"/>
      <c r="AE26" s="78"/>
      <c r="AF26" s="78"/>
      <c r="AG26" s="78"/>
      <c r="AH26" s="78"/>
      <c r="AI26" s="78"/>
      <c r="AJ26" s="171">
        <f t="shared" si="20"/>
        <v>460.13665084956466</v>
      </c>
      <c r="AK26" s="1026">
        <f t="shared" si="21"/>
        <v>149.76</v>
      </c>
      <c r="AL26" s="169">
        <f t="shared" si="22"/>
        <v>479.30901130162988</v>
      </c>
      <c r="AM26" s="169">
        <f t="shared" si="75"/>
        <v>156</v>
      </c>
      <c r="AN26" s="169">
        <f t="shared" si="23"/>
        <v>266.86300175538065</v>
      </c>
      <c r="AO26" s="1027">
        <f t="shared" si="24"/>
        <v>286.03536220744587</v>
      </c>
      <c r="AP26" s="78">
        <v>119</v>
      </c>
      <c r="AQ26" s="78">
        <v>52</v>
      </c>
      <c r="AR26" s="78">
        <f t="shared" si="76"/>
        <v>67</v>
      </c>
      <c r="AS26" s="83"/>
      <c r="AT26" s="358">
        <v>49</v>
      </c>
      <c r="AU26" s="1030">
        <f t="shared" si="25"/>
        <v>185.03536220744587</v>
      </c>
      <c r="AV26" s="78">
        <v>306</v>
      </c>
      <c r="AW26" s="534">
        <f t="shared" si="77"/>
        <v>71.964637792554129</v>
      </c>
      <c r="AX26" s="78"/>
      <c r="AY26" s="78"/>
      <c r="AZ26" s="534">
        <v>3.5650500556173523</v>
      </c>
      <c r="BA26" s="386">
        <f t="shared" si="83"/>
        <v>0.32339296543359619</v>
      </c>
      <c r="BB26" s="78"/>
      <c r="BC26" s="78"/>
      <c r="BD26" s="78"/>
      <c r="BE26" s="78"/>
      <c r="BF26" s="78"/>
      <c r="BG26" s="78"/>
      <c r="BH26" s="78"/>
      <c r="BI26" s="166">
        <v>400</v>
      </c>
      <c r="BJ26" s="2">
        <f t="shared" si="26"/>
        <v>400</v>
      </c>
      <c r="BK26" s="78">
        <v>55</v>
      </c>
      <c r="BL26" s="169">
        <f t="shared" si="27"/>
        <v>156</v>
      </c>
      <c r="BM26" s="1031">
        <f t="shared" si="28"/>
        <v>193.27364909418401</v>
      </c>
      <c r="BN26" s="310">
        <f t="shared" si="29"/>
        <v>138.27364909418401</v>
      </c>
      <c r="BO26" s="262">
        <f t="shared" si="30"/>
        <v>0.3016923594229915</v>
      </c>
      <c r="BP26" s="262">
        <f t="shared" si="31"/>
        <v>0.3233669813167887</v>
      </c>
      <c r="BQ26" s="262">
        <f t="shared" si="32"/>
        <v>0.21849856602814008</v>
      </c>
      <c r="BR26" s="262">
        <f t="shared" si="33"/>
        <v>0.48318412273546002</v>
      </c>
      <c r="BS26" s="2127">
        <f t="shared" si="84"/>
        <v>0.67569844372603538</v>
      </c>
      <c r="BT26" s="534">
        <f t="shared" si="34"/>
        <v>19.172360452065195</v>
      </c>
      <c r="BU26" s="534">
        <f t="shared" si="35"/>
        <v>6.24</v>
      </c>
      <c r="BV26" s="113">
        <v>0.04</v>
      </c>
      <c r="BW26" s="276">
        <f t="shared" si="36"/>
        <v>2.1423157611965678E-2</v>
      </c>
      <c r="BX26" s="272">
        <f t="shared" si="37"/>
        <v>28.121723006050551</v>
      </c>
      <c r="BY26" s="78"/>
      <c r="BZ26" s="1034"/>
      <c r="CA26" s="1037"/>
      <c r="CB26" s="2">
        <f t="shared" si="38"/>
        <v>818.18219291276023</v>
      </c>
      <c r="CC26" s="2">
        <f t="shared" si="78"/>
        <v>884.5533982556783</v>
      </c>
      <c r="CD26" s="310">
        <f t="shared" si="39"/>
        <v>884.5533982556783</v>
      </c>
      <c r="CE26" s="310">
        <f t="shared" si="40"/>
        <v>853.5533982556783</v>
      </c>
      <c r="CF26" s="78"/>
      <c r="CG26" s="78"/>
      <c r="CH26" s="78"/>
      <c r="CI26" s="534">
        <f t="shared" si="79"/>
        <v>41.382857142857134</v>
      </c>
      <c r="CJ26" s="78">
        <v>51</v>
      </c>
      <c r="CK26" s="386">
        <f t="shared" si="85"/>
        <v>0.81142857142857128</v>
      </c>
      <c r="CL26" s="517">
        <f t="shared" si="41"/>
        <v>247.2705141338264</v>
      </c>
      <c r="CM26" s="169">
        <f t="shared" si="42"/>
        <v>255.55978018508557</v>
      </c>
      <c r="CN26" s="170">
        <f t="shared" si="43"/>
        <v>78.664637792554117</v>
      </c>
      <c r="CO26" s="170">
        <f t="shared" si="44"/>
        <v>78.664637792554117</v>
      </c>
      <c r="CP26" s="170">
        <f t="shared" si="45"/>
        <v>176.89514239253145</v>
      </c>
      <c r="CQ26" s="170">
        <f t="shared" si="46"/>
        <v>8.2892660512591654</v>
      </c>
      <c r="CR26" s="170"/>
      <c r="CS26" s="113">
        <f t="shared" si="47"/>
        <v>9.2624094747036107E-3</v>
      </c>
      <c r="CT26" s="78"/>
      <c r="CU26" s="78"/>
      <c r="CV26" s="78"/>
      <c r="CW26" s="78"/>
      <c r="CX26" s="78"/>
      <c r="CY26" s="78"/>
      <c r="CZ26" s="78"/>
      <c r="DA26" s="78"/>
      <c r="DB26" s="78"/>
      <c r="DC26" s="78"/>
      <c r="DD26" s="78"/>
      <c r="DE26" s="78"/>
      <c r="DF26" s="78"/>
      <c r="DG26" s="78"/>
      <c r="DH26" s="516">
        <f t="shared" si="48"/>
        <v>29.831208513284508</v>
      </c>
      <c r="DI26" s="2">
        <f t="shared" si="49"/>
        <v>34.803076598831929</v>
      </c>
      <c r="DJ26" s="169">
        <f t="shared" si="50"/>
        <v>29.831208513284512</v>
      </c>
      <c r="DK26" s="169">
        <f t="shared" si="51"/>
        <v>4.9718680855474195</v>
      </c>
      <c r="DL26" s="113">
        <f t="shared" si="52"/>
        <v>3.3724598845147238E-2</v>
      </c>
      <c r="DM26" s="113">
        <f t="shared" si="53"/>
        <v>7.4578021283211282E-2</v>
      </c>
      <c r="DN26" s="113">
        <v>0.6</v>
      </c>
      <c r="DO26" s="78"/>
      <c r="DP26" s="78"/>
      <c r="DQ26" s="545">
        <f t="shared" si="54"/>
        <v>49.71868085547419</v>
      </c>
      <c r="DR26" s="78"/>
      <c r="DS26" s="78"/>
      <c r="DT26" s="534">
        <f t="shared" si="55"/>
        <v>49.71868085547419</v>
      </c>
      <c r="DU26" s="175">
        <f t="shared" si="56"/>
        <v>840.04374713704146</v>
      </c>
      <c r="DV26" s="175"/>
      <c r="DW26" s="170">
        <f t="shared" si="57"/>
        <v>95.611189116968163</v>
      </c>
      <c r="DX26" s="534">
        <f t="shared" si="80"/>
        <v>84.771428571428544</v>
      </c>
      <c r="DY26" s="534">
        <f t="shared" si="81"/>
        <v>76.294285714285692</v>
      </c>
      <c r="DZ26" s="262">
        <f t="shared" si="86"/>
        <v>1.4128571428571424</v>
      </c>
      <c r="EA26" s="78">
        <v>60</v>
      </c>
      <c r="EB26" s="78">
        <v>54</v>
      </c>
      <c r="EC26" s="175">
        <f t="shared" si="82"/>
        <v>8.4771428571428515</v>
      </c>
      <c r="ED26" s="175">
        <v>0</v>
      </c>
      <c r="EE26" s="175">
        <f t="shared" si="58"/>
        <v>8.4771428571428515</v>
      </c>
      <c r="EF26" s="175"/>
      <c r="EG26" s="534">
        <f t="shared" si="59"/>
        <v>10.839760545539615</v>
      </c>
      <c r="EH26" s="534">
        <f t="shared" si="60"/>
        <v>43.38857142857141</v>
      </c>
      <c r="EI26" s="175">
        <f t="shared" si="61"/>
        <v>304</v>
      </c>
      <c r="EJ26" s="78">
        <v>295</v>
      </c>
      <c r="EK26" s="78">
        <v>180</v>
      </c>
      <c r="EL26" s="78">
        <v>48</v>
      </c>
      <c r="EM26" s="175">
        <f t="shared" si="62"/>
        <v>76</v>
      </c>
      <c r="EN26" s="78">
        <v>107</v>
      </c>
      <c r="EO26" s="78"/>
      <c r="EP26" s="78"/>
      <c r="EQ26" s="175">
        <f>ER26/ES26</f>
        <v>994.3736171094838</v>
      </c>
      <c r="ER26" s="2">
        <f t="shared" si="64"/>
        <v>894.93625539853542</v>
      </c>
      <c r="ES26" s="386">
        <v>0.9</v>
      </c>
      <c r="ET26" s="78"/>
      <c r="EU26" s="78"/>
      <c r="EV26" s="78"/>
      <c r="EW26" s="78"/>
      <c r="EX26" s="78"/>
      <c r="EY26" s="166"/>
      <c r="EZ26" s="78"/>
      <c r="FA26" s="78"/>
      <c r="FB26" s="78"/>
      <c r="FC26" s="78"/>
      <c r="FD26" s="78"/>
      <c r="FE26" s="93"/>
      <c r="FF26" s="166"/>
      <c r="FG26" s="78"/>
      <c r="FH26" s="598"/>
      <c r="FI26" s="310">
        <f t="shared" si="65"/>
        <v>40</v>
      </c>
      <c r="FJ26" s="2">
        <f t="shared" si="66"/>
        <v>40</v>
      </c>
      <c r="FK26" s="166"/>
      <c r="FL26" s="78"/>
      <c r="FM26" s="78"/>
      <c r="FN26" s="78"/>
      <c r="FO26" s="78"/>
      <c r="FP26" s="78"/>
      <c r="FQ26" s="78"/>
      <c r="FR26" s="78"/>
      <c r="FS26" s="93"/>
      <c r="FT26" s="78"/>
      <c r="FU26" s="78"/>
      <c r="FV26" s="78"/>
      <c r="FW26" s="78"/>
      <c r="FX26" s="78"/>
      <c r="FY26" s="78"/>
      <c r="FZ26" s="102"/>
      <c r="GA26" s="102"/>
      <c r="GB26" s="102"/>
      <c r="GC26" s="102"/>
      <c r="GD26" s="102"/>
      <c r="GE26" s="102"/>
      <c r="GF26" s="102"/>
      <c r="GG26" s="102"/>
      <c r="GH26" s="102"/>
      <c r="GI26" s="102"/>
      <c r="GJ26" s="102"/>
      <c r="GK26" s="1162">
        <f>DataUK4!X179+DataUK4!AH179</f>
        <v>-0.70000000000000284</v>
      </c>
      <c r="GL26" s="102"/>
      <c r="GM26" s="102"/>
      <c r="GN26" s="102"/>
      <c r="GO26" s="102"/>
      <c r="GP26" s="310">
        <f t="shared" si="67"/>
        <v>8.4771428571428515</v>
      </c>
      <c r="GQ26" s="102"/>
      <c r="GR26" s="102"/>
      <c r="GS26" s="102"/>
      <c r="GT26" s="102"/>
      <c r="GU26" s="991">
        <f t="shared" si="68"/>
        <v>-9.1771428571428544</v>
      </c>
      <c r="GW26" s="1063">
        <f>DataUK4!D179+DataUK4!F179</f>
        <v>22.6</v>
      </c>
      <c r="GX26" s="102"/>
      <c r="GY26" s="615">
        <f t="shared" si="69"/>
        <v>18.961609907120764</v>
      </c>
      <c r="GZ26" s="102"/>
      <c r="HA26" s="102"/>
      <c r="HB26" s="102"/>
      <c r="HC26" s="101"/>
      <c r="HD26" s="170">
        <f t="shared" si="70"/>
        <v>31</v>
      </c>
      <c r="HE26" s="301">
        <v>31</v>
      </c>
      <c r="HF26" s="78">
        <v>0</v>
      </c>
      <c r="HG26" s="170">
        <f t="shared" si="71"/>
        <v>0</v>
      </c>
      <c r="HH26" s="301">
        <v>0</v>
      </c>
      <c r="HI26" s="301">
        <v>0</v>
      </c>
      <c r="HJ26" s="2">
        <v>0</v>
      </c>
      <c r="HK26" s="2">
        <v>0</v>
      </c>
      <c r="HL26" s="2">
        <v>0</v>
      </c>
      <c r="HM26" s="2">
        <f t="shared" si="72"/>
        <v>0</v>
      </c>
      <c r="HN26" s="2">
        <v>0</v>
      </c>
      <c r="HO26" s="2">
        <v>0</v>
      </c>
      <c r="HP26" s="2">
        <v>0</v>
      </c>
      <c r="HQ26" s="2">
        <v>0</v>
      </c>
      <c r="HR26" s="2">
        <v>0</v>
      </c>
      <c r="HS26" s="1052">
        <v>0</v>
      </c>
      <c r="HT26" s="1003">
        <v>10</v>
      </c>
      <c r="HU26" s="1002">
        <f t="shared" si="73"/>
        <v>1.2218649517684887</v>
      </c>
      <c r="HV26" s="1002">
        <f t="shared" si="74"/>
        <v>1.4147909967845658</v>
      </c>
    </row>
    <row r="27" spans="1:230" ht="12" customHeight="1">
      <c r="A27" s="79">
        <f t="shared" si="0"/>
        <v>1869</v>
      </c>
      <c r="B27" s="176">
        <f t="shared" si="1"/>
        <v>916.1262987439535</v>
      </c>
      <c r="C27" s="177">
        <f t="shared" si="2"/>
        <v>33</v>
      </c>
      <c r="D27" s="176">
        <f t="shared" si="3"/>
        <v>883.1262987439535</v>
      </c>
      <c r="E27" s="154">
        <f t="shared" si="4"/>
        <v>924.3134929709903</v>
      </c>
      <c r="F27" s="995">
        <f t="shared" si="5"/>
        <v>42.639999999999993</v>
      </c>
      <c r="G27" s="531">
        <f t="shared" si="6"/>
        <v>1017.3749921899893</v>
      </c>
      <c r="H27" s="531">
        <f t="shared" si="7"/>
        <v>984.37499218998926</v>
      </c>
      <c r="I27" s="531">
        <f t="shared" si="8"/>
        <v>1027.0149921899892</v>
      </c>
      <c r="J27" s="548">
        <f t="shared" si="9"/>
        <v>0.9</v>
      </c>
      <c r="K27" s="515">
        <f t="shared" ref="K27:K77" si="87">L27-M27</f>
        <v>68.63122378300362</v>
      </c>
      <c r="L27" s="534">
        <f t="shared" si="11"/>
        <v>68.63122378300362</v>
      </c>
      <c r="M27" s="78">
        <v>0</v>
      </c>
      <c r="N27" s="78"/>
      <c r="O27" s="78"/>
      <c r="P27" s="78"/>
      <c r="Q27" s="78"/>
      <c r="R27" s="78"/>
      <c r="S27" s="532">
        <f>S$28</f>
        <v>8.1120324932316204E-2</v>
      </c>
      <c r="T27" s="1008">
        <f t="shared" si="13"/>
        <v>51.9568650702901</v>
      </c>
      <c r="U27" s="1010">
        <f t="shared" si="14"/>
        <v>51.9568650702901</v>
      </c>
      <c r="V27" s="511">
        <f t="shared" si="15"/>
        <v>61.2</v>
      </c>
      <c r="W27" s="2">
        <f t="shared" si="16"/>
        <v>61.2</v>
      </c>
      <c r="X27" s="169">
        <f t="shared" si="17"/>
        <v>9.2431349297099032</v>
      </c>
      <c r="Y27" s="113">
        <f t="shared" si="18"/>
        <v>0.15103161649852784</v>
      </c>
      <c r="Z27" s="113">
        <f t="shared" si="19"/>
        <v>0.15103161649852784</v>
      </c>
      <c r="AA27" s="78"/>
      <c r="AB27" s="1019">
        <v>0.01</v>
      </c>
      <c r="AC27" s="78"/>
      <c r="AD27" s="78"/>
      <c r="AE27" s="78"/>
      <c r="AF27" s="78"/>
      <c r="AG27" s="78"/>
      <c r="AH27" s="78"/>
      <c r="AI27" s="78"/>
      <c r="AJ27" s="171">
        <f t="shared" si="20"/>
        <v>452.23181806114695</v>
      </c>
      <c r="AK27" s="1026">
        <f t="shared" si="21"/>
        <v>134.4</v>
      </c>
      <c r="AL27" s="169">
        <f t="shared" si="22"/>
        <v>471.07481048036141</v>
      </c>
      <c r="AM27" s="169">
        <f t="shared" si="75"/>
        <v>140</v>
      </c>
      <c r="AN27" s="169">
        <f t="shared" si="23"/>
        <v>265.20318263788425</v>
      </c>
      <c r="AO27" s="1027">
        <f t="shared" si="24"/>
        <v>284.04617505709871</v>
      </c>
      <c r="AP27" s="78">
        <v>121</v>
      </c>
      <c r="AQ27" s="78">
        <v>53</v>
      </c>
      <c r="AR27" s="78">
        <f t="shared" si="76"/>
        <v>68</v>
      </c>
      <c r="AS27" s="1000"/>
      <c r="AT27" s="358">
        <v>34</v>
      </c>
      <c r="AU27" s="1030">
        <f t="shared" si="25"/>
        <v>197.04617505709874</v>
      </c>
      <c r="AV27" s="78">
        <v>317</v>
      </c>
      <c r="AW27" s="534">
        <f t="shared" si="77"/>
        <v>85.953824942901264</v>
      </c>
      <c r="AX27" s="78"/>
      <c r="AY27" s="78"/>
      <c r="AZ27" s="534">
        <v>3.6822691879866523</v>
      </c>
      <c r="BA27" s="386">
        <f t="shared" si="83"/>
        <v>0.32134627046694975</v>
      </c>
      <c r="BB27" s="78"/>
      <c r="BC27" s="78"/>
      <c r="BD27" s="78"/>
      <c r="BE27" s="78"/>
      <c r="BF27" s="78"/>
      <c r="BG27" s="78"/>
      <c r="BH27" s="78"/>
      <c r="BI27" s="166">
        <v>414</v>
      </c>
      <c r="BJ27" s="2">
        <f t="shared" si="26"/>
        <v>414</v>
      </c>
      <c r="BK27" s="78">
        <v>53</v>
      </c>
      <c r="BL27" s="169">
        <f t="shared" si="27"/>
        <v>140</v>
      </c>
      <c r="BM27" s="1031">
        <f t="shared" si="28"/>
        <v>187.02863542326273</v>
      </c>
      <c r="BN27" s="310">
        <f t="shared" si="29"/>
        <v>134.02863542326273</v>
      </c>
      <c r="BO27" s="262">
        <f t="shared" si="30"/>
        <v>0.28994300663121481</v>
      </c>
      <c r="BP27" s="262">
        <f t="shared" si="31"/>
        <v>0.31054379211807714</v>
      </c>
      <c r="BQ27" s="262">
        <f t="shared" si="32"/>
        <v>0.20447584505348129</v>
      </c>
      <c r="BR27" s="262">
        <f t="shared" si="33"/>
        <v>0.45175998894507907</v>
      </c>
      <c r="BS27" s="2127">
        <f t="shared" si="84"/>
        <v>0.65844447785880733</v>
      </c>
      <c r="BT27" s="534">
        <f t="shared" si="34"/>
        <v>18.842992419214458</v>
      </c>
      <c r="BU27" s="534">
        <f t="shared" si="35"/>
        <v>5.6000000000000005</v>
      </c>
      <c r="BV27" s="113">
        <v>0.04</v>
      </c>
      <c r="BW27" s="276">
        <f t="shared" si="36"/>
        <v>2.03859324379741E-2</v>
      </c>
      <c r="BX27" s="272">
        <f t="shared" si="37"/>
        <v>28.086127348924361</v>
      </c>
      <c r="BY27" s="78"/>
      <c r="BZ27" s="1034"/>
      <c r="CA27" s="1037"/>
      <c r="CB27" s="2">
        <f t="shared" si="38"/>
        <v>846.04226918798668</v>
      </c>
      <c r="CC27" s="2">
        <f t="shared" si="78"/>
        <v>914.67349297099031</v>
      </c>
      <c r="CD27" s="310">
        <f t="shared" si="39"/>
        <v>914.67349297099031</v>
      </c>
      <c r="CE27" s="310">
        <f t="shared" si="40"/>
        <v>881.67349297099031</v>
      </c>
      <c r="CF27" s="78"/>
      <c r="CG27" s="78"/>
      <c r="CH27" s="78"/>
      <c r="CI27" s="534">
        <f t="shared" si="79"/>
        <v>42.639999999999993</v>
      </c>
      <c r="CJ27" s="78">
        <v>52</v>
      </c>
      <c r="CK27" s="386">
        <f t="shared" si="85"/>
        <v>0.81999999999999984</v>
      </c>
      <c r="CL27" s="517">
        <f t="shared" si="41"/>
        <v>279.49594206381317</v>
      </c>
      <c r="CM27" s="169">
        <f t="shared" si="42"/>
        <v>288.91473975393887</v>
      </c>
      <c r="CN27" s="170">
        <f t="shared" si="43"/>
        <v>92.753824942901304</v>
      </c>
      <c r="CO27" s="170">
        <f t="shared" si="44"/>
        <v>92.753824942901304</v>
      </c>
      <c r="CP27" s="170">
        <f t="shared" si="45"/>
        <v>196.1609148110376</v>
      </c>
      <c r="CQ27" s="170">
        <f t="shared" si="46"/>
        <v>9.418797690125686</v>
      </c>
      <c r="CR27" s="170"/>
      <c r="CS27" s="113">
        <f t="shared" si="47"/>
        <v>1.0190046733875057E-2</v>
      </c>
      <c r="CT27" s="78"/>
      <c r="CU27" s="78"/>
      <c r="CV27" s="78"/>
      <c r="CW27" s="78"/>
      <c r="CX27" s="78"/>
      <c r="CY27" s="78"/>
      <c r="CZ27" s="78"/>
      <c r="DA27" s="78"/>
      <c r="DB27" s="78"/>
      <c r="DC27" s="78"/>
      <c r="DD27" s="78"/>
      <c r="DE27" s="78"/>
      <c r="DF27" s="78"/>
      <c r="DG27" s="78"/>
      <c r="DH27" s="516">
        <f t="shared" si="48"/>
        <v>30.810449765699676</v>
      </c>
      <c r="DI27" s="2">
        <f t="shared" si="49"/>
        <v>35.945524726649623</v>
      </c>
      <c r="DJ27" s="169">
        <f t="shared" si="50"/>
        <v>30.81044976569968</v>
      </c>
      <c r="DK27" s="169">
        <f t="shared" si="51"/>
        <v>5.1350749609499466</v>
      </c>
      <c r="DL27" s="113">
        <f t="shared" si="52"/>
        <v>3.3684642664808112E-2</v>
      </c>
      <c r="DM27" s="113">
        <f t="shared" si="53"/>
        <v>7.4421376245651399E-2</v>
      </c>
      <c r="DN27" s="113">
        <v>0.6</v>
      </c>
      <c r="DO27" s="78"/>
      <c r="DP27" s="78"/>
      <c r="DQ27" s="545">
        <f>0.05*EQ27</f>
        <v>51.350749609499466</v>
      </c>
      <c r="DR27" s="78"/>
      <c r="DS27" s="78"/>
      <c r="DT27" s="534">
        <f t="shared" si="55"/>
        <v>51.350749609499466</v>
      </c>
      <c r="DU27" s="175">
        <f t="shared" si="56"/>
        <v>864.83670001479368</v>
      </c>
      <c r="DV27" s="175"/>
      <c r="DW27" s="170">
        <f t="shared" si="57"/>
        <v>93.827542565696092</v>
      </c>
      <c r="DX27" s="534">
        <f t="shared" si="80"/>
        <v>83.189999999999969</v>
      </c>
      <c r="DY27" s="534">
        <f t="shared" si="81"/>
        <v>74.729999999999976</v>
      </c>
      <c r="DZ27" s="262">
        <f t="shared" si="86"/>
        <v>1.4099999999999995</v>
      </c>
      <c r="EA27" s="78">
        <v>59</v>
      </c>
      <c r="EB27" s="78">
        <v>53</v>
      </c>
      <c r="EC27" s="175">
        <f t="shared" si="82"/>
        <v>8.4599999999999937</v>
      </c>
      <c r="ED27" s="175">
        <v>0</v>
      </c>
      <c r="EE27" s="175">
        <f t="shared" si="58"/>
        <v>8.4599999999999937</v>
      </c>
      <c r="EF27" s="175"/>
      <c r="EG27" s="534">
        <f t="shared" si="59"/>
        <v>10.63754256569613</v>
      </c>
      <c r="EH27" s="534">
        <f t="shared" si="60"/>
        <v>40.549999999999976</v>
      </c>
      <c r="EI27" s="175">
        <f>EK27+EL27+EM27</f>
        <v>312</v>
      </c>
      <c r="EJ27" s="78">
        <v>295</v>
      </c>
      <c r="EK27" s="78">
        <v>190</v>
      </c>
      <c r="EL27" s="78">
        <v>47</v>
      </c>
      <c r="EM27" s="175">
        <f t="shared" si="62"/>
        <v>75</v>
      </c>
      <c r="EN27" s="78">
        <v>108</v>
      </c>
      <c r="EO27" s="78"/>
      <c r="EP27" s="78"/>
      <c r="EQ27" s="175">
        <f>ER27/ES27</f>
        <v>1027.0149921899892</v>
      </c>
      <c r="ER27" s="2">
        <f t="shared" si="64"/>
        <v>924.3134929709903</v>
      </c>
      <c r="ES27" s="386">
        <v>0.9</v>
      </c>
      <c r="ET27" s="78"/>
      <c r="EU27" s="78"/>
      <c r="EV27" s="78"/>
      <c r="EW27" s="78"/>
      <c r="EX27" s="78"/>
      <c r="EY27" s="166"/>
      <c r="EZ27" s="78"/>
      <c r="FA27" s="78"/>
      <c r="FB27" s="78"/>
      <c r="FC27" s="78"/>
      <c r="FD27" s="78"/>
      <c r="FE27" s="93"/>
      <c r="FF27" s="166"/>
      <c r="FG27" s="78"/>
      <c r="FH27" s="598"/>
      <c r="FI27" s="310">
        <f t="shared" si="65"/>
        <v>50</v>
      </c>
      <c r="FJ27" s="2">
        <f t="shared" si="66"/>
        <v>50</v>
      </c>
      <c r="FK27" s="166"/>
      <c r="FL27" s="78"/>
      <c r="FM27" s="78"/>
      <c r="FN27" s="78"/>
      <c r="FO27" s="78"/>
      <c r="FP27" s="78"/>
      <c r="FQ27" s="78"/>
      <c r="FR27" s="78"/>
      <c r="FS27" s="93"/>
      <c r="FT27" s="78"/>
      <c r="FU27" s="78"/>
      <c r="FV27" s="78"/>
      <c r="FW27" s="78"/>
      <c r="FX27" s="78"/>
      <c r="FY27" s="78"/>
      <c r="FZ27" s="102"/>
      <c r="GA27" s="102"/>
      <c r="GB27" s="102"/>
      <c r="GC27" s="102"/>
      <c r="GD27" s="102"/>
      <c r="GE27" s="102"/>
      <c r="GF27" s="102"/>
      <c r="GG27" s="102"/>
      <c r="GH27" s="102"/>
      <c r="GI27" s="102"/>
      <c r="GJ27" s="102"/>
      <c r="GK27" s="1162">
        <f>DataUK4!X180+DataUK4!AH180</f>
        <v>11.000000000000007</v>
      </c>
      <c r="GL27" s="102"/>
      <c r="GM27" s="102"/>
      <c r="GN27" s="102"/>
      <c r="GO27" s="102"/>
      <c r="GP27" s="310">
        <f t="shared" si="67"/>
        <v>8.4599999999999937</v>
      </c>
      <c r="GQ27" s="102"/>
      <c r="GR27" s="102"/>
      <c r="GS27" s="102"/>
      <c r="GT27" s="102"/>
      <c r="GU27" s="991">
        <f t="shared" si="68"/>
        <v>2.5400000000000134</v>
      </c>
      <c r="GW27" s="1063">
        <f>DataUK4!D180+DataUK4!F180</f>
        <v>22.700000000000003</v>
      </c>
      <c r="GX27" s="102"/>
      <c r="GY27" s="615">
        <f t="shared" si="69"/>
        <v>19.045510835913337</v>
      </c>
      <c r="GZ27" s="102"/>
      <c r="HA27" s="102"/>
      <c r="HB27" s="102"/>
      <c r="HC27" s="101"/>
      <c r="HD27" s="170">
        <f t="shared" si="70"/>
        <v>33</v>
      </c>
      <c r="HE27" s="301">
        <v>33</v>
      </c>
      <c r="HF27" s="78">
        <v>0</v>
      </c>
      <c r="HG27" s="170">
        <f t="shared" si="71"/>
        <v>0</v>
      </c>
      <c r="HH27" s="301">
        <v>0</v>
      </c>
      <c r="HI27" s="301">
        <v>0</v>
      </c>
      <c r="HJ27" s="2">
        <v>0</v>
      </c>
      <c r="HK27" s="2">
        <v>0</v>
      </c>
      <c r="HL27" s="2">
        <v>0</v>
      </c>
      <c r="HM27" s="2">
        <f t="shared" si="72"/>
        <v>0</v>
      </c>
      <c r="HN27" s="2">
        <v>0</v>
      </c>
      <c r="HO27" s="2">
        <v>0</v>
      </c>
      <c r="HP27" s="2">
        <v>0</v>
      </c>
      <c r="HQ27" s="2">
        <v>0</v>
      </c>
      <c r="HR27" s="2">
        <v>0</v>
      </c>
      <c r="HS27" s="1052">
        <v>0</v>
      </c>
      <c r="HT27" s="1001">
        <v>9.5</v>
      </c>
      <c r="HU27" s="1002">
        <f t="shared" si="73"/>
        <v>1.1607717041800643</v>
      </c>
      <c r="HV27" s="1002">
        <f t="shared" si="74"/>
        <v>1.3440514469453377</v>
      </c>
    </row>
    <row r="28" spans="1:230" ht="12" customHeight="1">
      <c r="A28" s="79">
        <f t="shared" si="0"/>
        <v>1870</v>
      </c>
      <c r="B28" s="176">
        <f t="shared" si="1"/>
        <v>987.85714285714289</v>
      </c>
      <c r="C28" s="177">
        <f t="shared" si="2"/>
        <v>35</v>
      </c>
      <c r="D28" s="176">
        <f t="shared" si="3"/>
        <v>952.85714285714289</v>
      </c>
      <c r="E28" s="154">
        <f t="shared" si="4"/>
        <v>995.96799999999985</v>
      </c>
      <c r="F28" s="995">
        <f t="shared" si="5"/>
        <v>44.742857142857133</v>
      </c>
      <c r="G28" s="531">
        <f t="shared" si="6"/>
        <v>1110.2571428571428</v>
      </c>
      <c r="H28" s="531">
        <f t="shared" si="7"/>
        <v>1075.2571428571428</v>
      </c>
      <c r="I28" s="531">
        <f t="shared" si="8"/>
        <v>1120</v>
      </c>
      <c r="J28" s="548">
        <f t="shared" si="9"/>
        <v>0.88925714285714275</v>
      </c>
      <c r="K28" s="515">
        <f t="shared" si="87"/>
        <v>74</v>
      </c>
      <c r="L28" s="175">
        <v>74</v>
      </c>
      <c r="M28" s="175">
        <v>0</v>
      </c>
      <c r="N28" s="78"/>
      <c r="O28" s="78"/>
      <c r="P28" s="78"/>
      <c r="Q28" s="78"/>
      <c r="R28" s="78"/>
      <c r="S28" s="532">
        <f t="shared" ref="S28:S59" si="88">K28/CB28</f>
        <v>8.1120324932316204E-2</v>
      </c>
      <c r="T28" s="1008">
        <f t="shared" si="13"/>
        <v>56.64032000000001</v>
      </c>
      <c r="U28" s="1010">
        <f t="shared" si="14"/>
        <v>56.64032000000001</v>
      </c>
      <c r="V28" s="511">
        <f t="shared" si="15"/>
        <v>66.600000000000009</v>
      </c>
      <c r="W28" s="2">
        <f t="shared" si="16"/>
        <v>66.600000000000009</v>
      </c>
      <c r="X28" s="169">
        <f t="shared" si="17"/>
        <v>9.9596799999999988</v>
      </c>
      <c r="Y28" s="113">
        <f t="shared" si="18"/>
        <v>0.14954474474474472</v>
      </c>
      <c r="Z28" s="113">
        <f t="shared" si="19"/>
        <v>0.14954474474474472</v>
      </c>
      <c r="AA28" s="78"/>
      <c r="AB28" s="1019">
        <v>0.01</v>
      </c>
      <c r="AC28" s="78"/>
      <c r="AD28" s="78"/>
      <c r="AE28" s="78"/>
      <c r="AF28" s="78"/>
      <c r="AG28" s="78"/>
      <c r="AH28" s="78"/>
      <c r="AI28" s="78"/>
      <c r="AJ28" s="171">
        <f t="shared" si="20"/>
        <v>485.48971182936998</v>
      </c>
      <c r="AK28" s="1026">
        <f t="shared" si="21"/>
        <v>149.76</v>
      </c>
      <c r="AL28" s="169">
        <f t="shared" si="22"/>
        <v>505.71844982226037</v>
      </c>
      <c r="AM28" s="169">
        <f t="shared" si="75"/>
        <v>156</v>
      </c>
      <c r="AN28" s="169">
        <f t="shared" si="23"/>
        <v>287.91248395980824</v>
      </c>
      <c r="AO28" s="1027">
        <f t="shared" si="24"/>
        <v>308.14122195269863</v>
      </c>
      <c r="AP28" s="78">
        <v>127</v>
      </c>
      <c r="AQ28" s="78">
        <v>53</v>
      </c>
      <c r="AR28" s="78">
        <f t="shared" si="76"/>
        <v>74</v>
      </c>
      <c r="AS28" s="1000"/>
      <c r="AT28" s="358">
        <v>46</v>
      </c>
      <c r="AU28" s="1030">
        <f t="shared" si="25"/>
        <v>209.14122195269866</v>
      </c>
      <c r="AV28" s="78">
        <v>360</v>
      </c>
      <c r="AW28" s="534">
        <f t="shared" si="77"/>
        <v>104.85877804730134</v>
      </c>
      <c r="AX28" s="78"/>
      <c r="AY28" s="78"/>
      <c r="AZ28" s="534">
        <v>3.968</v>
      </c>
      <c r="BA28" s="386">
        <f t="shared" si="83"/>
        <v>0.3192995755003033</v>
      </c>
      <c r="BB28" s="78"/>
      <c r="BC28" s="78"/>
      <c r="BD28" s="78"/>
      <c r="BE28" s="78"/>
      <c r="BF28" s="78"/>
      <c r="BG28" s="78"/>
      <c r="BH28" s="78"/>
      <c r="BI28" s="166">
        <v>431</v>
      </c>
      <c r="BJ28" s="2">
        <f t="shared" si="26"/>
        <v>431</v>
      </c>
      <c r="BK28" s="78">
        <v>57</v>
      </c>
      <c r="BL28" s="169">
        <f t="shared" si="27"/>
        <v>156</v>
      </c>
      <c r="BM28" s="1031">
        <f t="shared" si="28"/>
        <v>197.57722786956171</v>
      </c>
      <c r="BN28" s="310">
        <f t="shared" si="29"/>
        <v>140.57722786956171</v>
      </c>
      <c r="BO28" s="262">
        <f t="shared" si="30"/>
        <v>0.29193383077388557</v>
      </c>
      <c r="BP28" s="262">
        <f t="shared" si="31"/>
        <v>0.31244510868988634</v>
      </c>
      <c r="BQ28" s="262">
        <f t="shared" si="32"/>
        <v>0.20033683921013287</v>
      </c>
      <c r="BR28" s="262">
        <f t="shared" si="33"/>
        <v>0.45841584192473717</v>
      </c>
      <c r="BS28" s="2127">
        <f t="shared" si="84"/>
        <v>0.64119051199157928</v>
      </c>
      <c r="BT28" s="534">
        <f t="shared" si="34"/>
        <v>20.228737992890416</v>
      </c>
      <c r="BU28" s="534">
        <f t="shared" si="35"/>
        <v>6.24</v>
      </c>
      <c r="BV28" s="113">
        <v>0.04</v>
      </c>
      <c r="BW28" s="276">
        <f t="shared" si="36"/>
        <v>2.0310630454884512E-2</v>
      </c>
      <c r="BX28" s="272">
        <f t="shared" si="37"/>
        <v>30.188417992890415</v>
      </c>
      <c r="BY28" s="78"/>
      <c r="BZ28" s="1034"/>
      <c r="CA28" s="1037"/>
      <c r="CB28" s="2">
        <f t="shared" si="38"/>
        <v>912.22514285714283</v>
      </c>
      <c r="CC28" s="2">
        <f>$BJ28+$AP28+$AS28+$AV28+$AX28+$AY28+$AZ28+$K28+$C28-$CI28</f>
        <v>986.22514285714271</v>
      </c>
      <c r="CD28" s="310">
        <f t="shared" si="39"/>
        <v>986.22514285714271</v>
      </c>
      <c r="CE28" s="310">
        <f t="shared" si="40"/>
        <v>951.22514285714271</v>
      </c>
      <c r="CF28" s="78"/>
      <c r="CG28" s="78"/>
      <c r="CH28" s="78"/>
      <c r="CI28" s="534">
        <f t="shared" si="79"/>
        <v>44.742857142857133</v>
      </c>
      <c r="CJ28" s="78">
        <v>54</v>
      </c>
      <c r="CK28" s="386">
        <f t="shared" si="85"/>
        <v>0.8285714285714284</v>
      </c>
      <c r="CL28" s="517">
        <f t="shared" si="41"/>
        <v>303.72711102777288</v>
      </c>
      <c r="CM28" s="169">
        <f t="shared" si="42"/>
        <v>312.68155017773961</v>
      </c>
      <c r="CN28" s="170">
        <f t="shared" si="43"/>
        <v>112.25877804730135</v>
      </c>
      <c r="CO28" s="170">
        <f t="shared" si="44"/>
        <v>112.25877804730135</v>
      </c>
      <c r="CP28" s="170">
        <f t="shared" si="45"/>
        <v>200.42277213043829</v>
      </c>
      <c r="CQ28" s="170">
        <f t="shared" si="46"/>
        <v>8.9544391499667171</v>
      </c>
      <c r="CR28" s="170"/>
      <c r="CS28" s="113">
        <f t="shared" si="47"/>
        <v>8.9906896104761588E-3</v>
      </c>
      <c r="CT28" s="78"/>
      <c r="CU28" s="78"/>
      <c r="CV28" s="78"/>
      <c r="CW28" s="78"/>
      <c r="CX28" s="78"/>
      <c r="CY28" s="78"/>
      <c r="CZ28" s="78"/>
      <c r="DA28" s="78"/>
      <c r="DB28" s="78"/>
      <c r="DC28" s="78"/>
      <c r="DD28" s="78"/>
      <c r="DE28" s="78"/>
      <c r="DF28" s="78"/>
      <c r="DG28" s="78"/>
      <c r="DH28" s="516">
        <f t="shared" si="48"/>
        <v>33</v>
      </c>
      <c r="DI28" s="2">
        <f t="shared" si="49"/>
        <v>38.6</v>
      </c>
      <c r="DJ28" s="169">
        <f t="shared" si="50"/>
        <v>33</v>
      </c>
      <c r="DK28" s="169">
        <f t="shared" si="51"/>
        <v>5.6000000000000005</v>
      </c>
      <c r="DL28" s="113">
        <f t="shared" si="52"/>
        <v>3.3460919384388617E-2</v>
      </c>
      <c r="DM28" s="113">
        <f t="shared" si="53"/>
        <v>7.6566125290023199E-2</v>
      </c>
      <c r="DN28" s="113">
        <v>0.6</v>
      </c>
      <c r="DO28" s="78"/>
      <c r="DP28" s="78"/>
      <c r="DQ28" s="166">
        <v>55</v>
      </c>
      <c r="DR28" s="78"/>
      <c r="DS28" s="78"/>
      <c r="DT28" s="534">
        <f>DQ28</f>
        <v>55</v>
      </c>
      <c r="DU28" s="175">
        <f>DV28-(DX28-EA28)</f>
        <v>927.94285714285718</v>
      </c>
      <c r="DV28" s="175">
        <v>954</v>
      </c>
      <c r="DW28" s="170">
        <f t="shared" si="57"/>
        <v>115.05714285714282</v>
      </c>
      <c r="DX28" s="534">
        <f t="shared" ref="DX28:DX91" si="89">EA28*$DZ28</f>
        <v>90.057142857142821</v>
      </c>
      <c r="DY28" s="534">
        <f t="shared" ref="DY28:DY91" si="90">EB28*$DZ28</f>
        <v>81.614285714285685</v>
      </c>
      <c r="DZ28" s="262">
        <f t="shared" si="86"/>
        <v>1.4071428571428566</v>
      </c>
      <c r="EA28" s="78">
        <v>64</v>
      </c>
      <c r="EB28" s="78">
        <v>58</v>
      </c>
      <c r="EC28" s="175">
        <f t="shared" si="82"/>
        <v>8.442857142857136</v>
      </c>
      <c r="ED28" s="175">
        <v>0</v>
      </c>
      <c r="EE28" s="175">
        <f t="shared" si="58"/>
        <v>8.442857142857136</v>
      </c>
      <c r="EF28" s="175"/>
      <c r="EG28" s="78">
        <v>25</v>
      </c>
      <c r="EH28" s="534">
        <f t="shared" si="60"/>
        <v>45.314285714285688</v>
      </c>
      <c r="EI28" s="78">
        <v>326</v>
      </c>
      <c r="EJ28" s="78">
        <v>304</v>
      </c>
      <c r="EK28" s="78"/>
      <c r="EL28" s="78"/>
      <c r="EM28" s="175"/>
      <c r="EN28" s="78"/>
      <c r="EO28" s="78">
        <v>363</v>
      </c>
      <c r="EP28" s="78">
        <v>306</v>
      </c>
      <c r="EQ28" s="175">
        <f t="shared" ref="EQ28:EQ59" si="91">DT28+DU28+DW28+EI28-EJ28</f>
        <v>1120</v>
      </c>
      <c r="ER28" s="2">
        <f t="shared" si="64"/>
        <v>995.96799999999996</v>
      </c>
      <c r="ES28" s="262">
        <f>ER28/EQ28</f>
        <v>0.88925714285714286</v>
      </c>
      <c r="ET28" s="262"/>
      <c r="EU28" s="262"/>
      <c r="EV28" s="262"/>
      <c r="EW28" s="78"/>
      <c r="EX28" s="78"/>
      <c r="EY28" s="166"/>
      <c r="EZ28" s="78"/>
      <c r="FA28" s="78"/>
      <c r="FB28" s="78"/>
      <c r="FC28" s="78"/>
      <c r="FD28" s="78"/>
      <c r="FE28" s="93"/>
      <c r="FF28" s="166"/>
      <c r="FG28" s="78"/>
      <c r="FH28" s="598"/>
      <c r="FI28" s="310">
        <f t="shared" si="65"/>
        <v>57</v>
      </c>
      <c r="FJ28" s="2">
        <f t="shared" si="66"/>
        <v>57</v>
      </c>
      <c r="FK28" s="166"/>
      <c r="FL28" s="78"/>
      <c r="FM28" s="78"/>
      <c r="FN28" s="78"/>
      <c r="FO28" s="78"/>
      <c r="FP28" s="78"/>
      <c r="FQ28" s="78"/>
      <c r="FR28" s="78"/>
      <c r="FS28" s="93"/>
      <c r="FT28" s="78"/>
      <c r="FU28" s="78"/>
      <c r="FV28" s="78"/>
      <c r="FW28" s="78"/>
      <c r="FX28" s="78"/>
      <c r="FY28" s="78"/>
      <c r="FZ28" s="102"/>
      <c r="GA28" s="102"/>
      <c r="GB28" s="102"/>
      <c r="GC28" s="102"/>
      <c r="GD28" s="102"/>
      <c r="GE28" s="102"/>
      <c r="GF28" s="102"/>
      <c r="GG28" s="102"/>
      <c r="GH28" s="102"/>
      <c r="GI28" s="102"/>
      <c r="GJ28" s="102"/>
      <c r="GK28" s="1162">
        <f>DataUK4!X181+DataUK4!AH181</f>
        <v>4.8000000000000043</v>
      </c>
      <c r="GL28" s="102"/>
      <c r="GM28" s="102"/>
      <c r="GN28" s="102"/>
      <c r="GO28" s="102"/>
      <c r="GP28" s="310">
        <f t="shared" si="67"/>
        <v>8.442857142857136</v>
      </c>
      <c r="GQ28" s="102"/>
      <c r="GR28" s="102"/>
      <c r="GS28" s="102"/>
      <c r="GT28" s="102"/>
      <c r="GU28" s="991">
        <f t="shared" si="68"/>
        <v>-3.6428571428571317</v>
      </c>
      <c r="GW28" s="1063">
        <f>DataUK4!D181+DataUK4!F181</f>
        <v>22.4</v>
      </c>
      <c r="GX28" s="102"/>
      <c r="GY28" s="615">
        <f t="shared" si="69"/>
        <v>18.793808049535624</v>
      </c>
      <c r="GZ28" s="102"/>
      <c r="HA28" s="102"/>
      <c r="HB28" s="102"/>
      <c r="HC28" s="101"/>
      <c r="HD28" s="170">
        <f t="shared" ref="HD28:HD53" si="92">HE28-HF28</f>
        <v>35</v>
      </c>
      <c r="HE28" s="301">
        <f t="shared" ref="HE28:HE59" si="93">EO28-EI28</f>
        <v>37</v>
      </c>
      <c r="HF28" s="301">
        <f t="shared" ref="HF28:HF59" si="94">EP28-EJ28</f>
        <v>2</v>
      </c>
      <c r="HG28" s="170">
        <f t="shared" si="71"/>
        <v>0</v>
      </c>
      <c r="HH28" s="301">
        <v>0</v>
      </c>
      <c r="HI28" s="301">
        <v>0</v>
      </c>
      <c r="HJ28" s="2">
        <v>0</v>
      </c>
      <c r="HK28" s="2">
        <v>0</v>
      </c>
      <c r="HL28" s="2">
        <v>0</v>
      </c>
      <c r="HM28" s="2">
        <f t="shared" si="72"/>
        <v>0</v>
      </c>
      <c r="HN28" s="2">
        <v>0</v>
      </c>
      <c r="HO28" s="2">
        <v>0</v>
      </c>
      <c r="HP28" s="2">
        <v>0</v>
      </c>
      <c r="HQ28" s="2">
        <v>0</v>
      </c>
      <c r="HR28" s="2">
        <v>0</v>
      </c>
      <c r="HS28" s="1052">
        <v>0</v>
      </c>
      <c r="HT28" s="1001">
        <v>9.5</v>
      </c>
      <c r="HU28" s="1002">
        <f t="shared" si="73"/>
        <v>1.1607717041800643</v>
      </c>
      <c r="HV28" s="1002">
        <f t="shared" si="74"/>
        <v>1.3440514469453377</v>
      </c>
    </row>
    <row r="29" spans="1:230" ht="12" customHeight="1">
      <c r="A29" s="79">
        <f t="shared" si="0"/>
        <v>1871</v>
      </c>
      <c r="B29" s="176">
        <f t="shared" si="1"/>
        <v>1062.2200000000003</v>
      </c>
      <c r="C29" s="177">
        <f t="shared" si="2"/>
        <v>39</v>
      </c>
      <c r="D29" s="176">
        <f t="shared" si="3"/>
        <v>1023.2200000000001</v>
      </c>
      <c r="E29" s="154">
        <f t="shared" si="4"/>
        <v>1068.2559999999999</v>
      </c>
      <c r="F29" s="995">
        <f t="shared" si="5"/>
        <v>46.879999999999988</v>
      </c>
      <c r="G29" s="531">
        <f t="shared" si="6"/>
        <v>1212.1200000000001</v>
      </c>
      <c r="H29" s="531">
        <f t="shared" si="7"/>
        <v>1173.1200000000001</v>
      </c>
      <c r="I29" s="531">
        <f t="shared" si="8"/>
        <v>1220</v>
      </c>
      <c r="J29" s="548">
        <f t="shared" si="9"/>
        <v>0.87561967213114744</v>
      </c>
      <c r="K29" s="515">
        <f t="shared" si="87"/>
        <v>75</v>
      </c>
      <c r="L29" s="175">
        <v>75</v>
      </c>
      <c r="M29" s="175">
        <v>0</v>
      </c>
      <c r="N29" s="78"/>
      <c r="O29" s="78"/>
      <c r="P29" s="78"/>
      <c r="Q29" s="78"/>
      <c r="R29" s="78"/>
      <c r="S29" s="532">
        <f t="shared" si="88"/>
        <v>7.6113077647517305E-2</v>
      </c>
      <c r="T29" s="1008">
        <f t="shared" si="13"/>
        <v>57.717440000000011</v>
      </c>
      <c r="U29" s="1010">
        <f t="shared" si="14"/>
        <v>57.717440000000011</v>
      </c>
      <c r="V29" s="511">
        <f t="shared" si="15"/>
        <v>68.400000000000006</v>
      </c>
      <c r="W29" s="2">
        <f t="shared" si="16"/>
        <v>68.400000000000006</v>
      </c>
      <c r="X29" s="169">
        <f t="shared" si="17"/>
        <v>10.682559999999999</v>
      </c>
      <c r="Y29" s="113">
        <f t="shared" si="18"/>
        <v>0.15617777777777775</v>
      </c>
      <c r="Z29" s="113">
        <f t="shared" si="19"/>
        <v>0.15617777777777775</v>
      </c>
      <c r="AA29" s="78"/>
      <c r="AB29" s="1019">
        <v>0.01</v>
      </c>
      <c r="AC29" s="78"/>
      <c r="AD29" s="78"/>
      <c r="AE29" s="78"/>
      <c r="AF29" s="78"/>
      <c r="AG29" s="78"/>
      <c r="AH29" s="78"/>
      <c r="AI29" s="78"/>
      <c r="AJ29" s="171">
        <f t="shared" si="20"/>
        <v>516.87791765198324</v>
      </c>
      <c r="AK29" s="1026">
        <f t="shared" si="21"/>
        <v>152.63999999999999</v>
      </c>
      <c r="AL29" s="169">
        <f t="shared" si="22"/>
        <v>538.41449755414919</v>
      </c>
      <c r="AM29" s="169">
        <f t="shared" si="75"/>
        <v>159</v>
      </c>
      <c r="AN29" s="169">
        <f t="shared" si="23"/>
        <v>310.01239523428046</v>
      </c>
      <c r="AO29" s="1027">
        <f t="shared" si="24"/>
        <v>331.54897513644642</v>
      </c>
      <c r="AP29" s="78">
        <v>130</v>
      </c>
      <c r="AQ29" s="78">
        <v>54</v>
      </c>
      <c r="AR29" s="78">
        <f t="shared" si="76"/>
        <v>76</v>
      </c>
      <c r="AS29" s="83"/>
      <c r="AT29" s="358">
        <v>49</v>
      </c>
      <c r="AU29" s="1030">
        <f t="shared" si="25"/>
        <v>228.54897513644639</v>
      </c>
      <c r="AV29" s="78">
        <v>402</v>
      </c>
      <c r="AW29" s="534">
        <f t="shared" si="77"/>
        <v>124.45102486355361</v>
      </c>
      <c r="AX29" s="78"/>
      <c r="AY29" s="78"/>
      <c r="AZ29" s="534">
        <v>4.2560000000000002</v>
      </c>
      <c r="BA29" s="386">
        <f t="shared" si="83"/>
        <v>0.31725288053365686</v>
      </c>
      <c r="BB29" s="78"/>
      <c r="BC29" s="78"/>
      <c r="BD29" s="78"/>
      <c r="BE29" s="78"/>
      <c r="BF29" s="78"/>
      <c r="BG29" s="78"/>
      <c r="BH29" s="78"/>
      <c r="BI29" s="166">
        <v>457</v>
      </c>
      <c r="BJ29" s="2">
        <f t="shared" si="26"/>
        <v>457</v>
      </c>
      <c r="BK29" s="78">
        <v>56</v>
      </c>
      <c r="BL29" s="169">
        <f t="shared" si="27"/>
        <v>159</v>
      </c>
      <c r="BM29" s="1031">
        <f t="shared" si="28"/>
        <v>206.86552241770278</v>
      </c>
      <c r="BN29" s="310">
        <f t="shared" si="29"/>
        <v>150.86552241770278</v>
      </c>
      <c r="BO29" s="262">
        <f t="shared" si="30"/>
        <v>0.29236081845899992</v>
      </c>
      <c r="BP29" s="262">
        <f t="shared" si="31"/>
        <v>0.31267114225184878</v>
      </c>
      <c r="BQ29" s="262">
        <f t="shared" si="32"/>
        <v>0.19508695256937425</v>
      </c>
      <c r="BR29" s="262">
        <f t="shared" si="33"/>
        <v>0.45265978647199734</v>
      </c>
      <c r="BS29" s="2127">
        <f t="shared" si="84"/>
        <v>0.62393654612435123</v>
      </c>
      <c r="BT29" s="534">
        <f t="shared" si="34"/>
        <v>21.536579902165968</v>
      </c>
      <c r="BU29" s="534">
        <f t="shared" si="35"/>
        <v>6.36</v>
      </c>
      <c r="BV29" s="113">
        <v>0.04</v>
      </c>
      <c r="BW29" s="276">
        <f t="shared" si="36"/>
        <v>2.0160504506565816E-2</v>
      </c>
      <c r="BX29" s="272">
        <f t="shared" si="37"/>
        <v>32.219139902165963</v>
      </c>
      <c r="BY29" s="78"/>
      <c r="BZ29" s="1034"/>
      <c r="CA29" s="1037"/>
      <c r="CB29" s="2">
        <f t="shared" si="38"/>
        <v>985.37599999999986</v>
      </c>
      <c r="CC29" s="2">
        <f t="shared" ref="CC29:CC71" si="95">BJ29+AP29+AS29+AV29+AX29+AY29+AZ29+K29+C29-CI29</f>
        <v>1060.376</v>
      </c>
      <c r="CD29" s="310">
        <f t="shared" si="39"/>
        <v>1060.376</v>
      </c>
      <c r="CE29" s="310">
        <f t="shared" si="40"/>
        <v>1021.376</v>
      </c>
      <c r="CF29" s="78"/>
      <c r="CG29" s="78"/>
      <c r="CH29" s="78"/>
      <c r="CI29" s="534">
        <f t="shared" si="79"/>
        <v>46.879999999999988</v>
      </c>
      <c r="CJ29" s="78">
        <v>56</v>
      </c>
      <c r="CK29" s="386">
        <f t="shared" si="85"/>
        <v>0.83714285714285697</v>
      </c>
      <c r="CL29" s="517">
        <f t="shared" si="41"/>
        <v>340.02464234801681</v>
      </c>
      <c r="CM29" s="169">
        <f t="shared" si="42"/>
        <v>348.58550244585081</v>
      </c>
      <c r="CN29" s="170">
        <f t="shared" si="43"/>
        <v>132.05102486355361</v>
      </c>
      <c r="CO29" s="170">
        <f t="shared" si="44"/>
        <v>132.05102486355361</v>
      </c>
      <c r="CP29" s="170">
        <f t="shared" si="45"/>
        <v>216.5344775822972</v>
      </c>
      <c r="CQ29" s="170">
        <f t="shared" si="46"/>
        <v>8.5608600978340164</v>
      </c>
      <c r="CR29" s="170"/>
      <c r="CS29" s="113">
        <f t="shared" si="47"/>
        <v>8.0138656818534298E-3</v>
      </c>
      <c r="CT29" s="78"/>
      <c r="CU29" s="78"/>
      <c r="CV29" s="78"/>
      <c r="CW29" s="78"/>
      <c r="CX29" s="78"/>
      <c r="CY29" s="78"/>
      <c r="CZ29" s="78"/>
      <c r="DA29" s="78"/>
      <c r="DB29" s="78"/>
      <c r="DC29" s="78"/>
      <c r="DD29" s="78"/>
      <c r="DE29" s="78"/>
      <c r="DF29" s="78"/>
      <c r="DG29" s="78"/>
      <c r="DH29" s="516">
        <f t="shared" si="48"/>
        <v>33.6</v>
      </c>
      <c r="DI29" s="2">
        <f t="shared" si="49"/>
        <v>39.700000000000003</v>
      </c>
      <c r="DJ29" s="169">
        <f t="shared" si="50"/>
        <v>33.6</v>
      </c>
      <c r="DK29" s="169">
        <f t="shared" si="51"/>
        <v>6.1000000000000005</v>
      </c>
      <c r="DL29" s="113">
        <f t="shared" si="52"/>
        <v>3.1686873335496094E-2</v>
      </c>
      <c r="DM29" s="113">
        <f t="shared" si="53"/>
        <v>7.3522975929978127E-2</v>
      </c>
      <c r="DN29" s="113">
        <v>0.6</v>
      </c>
      <c r="DO29" s="78"/>
      <c r="DP29" s="78"/>
      <c r="DQ29" s="166">
        <v>56</v>
      </c>
      <c r="DR29" s="78"/>
      <c r="DS29" s="78"/>
      <c r="DT29" s="78">
        <f t="shared" ref="DT29:DT92" si="96">DQ29</f>
        <v>56</v>
      </c>
      <c r="DU29" s="175">
        <f t="shared" ref="DU29:DU92" si="97">DV29-(DX29-EA29)</f>
        <v>971.25285714285724</v>
      </c>
      <c r="DV29" s="175">
        <v>1004</v>
      </c>
      <c r="DW29" s="170">
        <f t="shared" si="57"/>
        <v>153.74714285714282</v>
      </c>
      <c r="DX29" s="534">
        <f t="shared" si="89"/>
        <v>113.7471428571428</v>
      </c>
      <c r="DY29" s="534">
        <f t="shared" si="90"/>
        <v>103.91714285714281</v>
      </c>
      <c r="DZ29" s="262">
        <f t="shared" si="86"/>
        <v>1.4042857142857137</v>
      </c>
      <c r="EA29" s="78">
        <v>81</v>
      </c>
      <c r="EB29" s="78">
        <v>74</v>
      </c>
      <c r="EC29" s="175">
        <f t="shared" si="82"/>
        <v>9.8299999999999983</v>
      </c>
      <c r="ED29" s="175">
        <v>0</v>
      </c>
      <c r="EE29" s="175">
        <f t="shared" si="58"/>
        <v>9.8299999999999983</v>
      </c>
      <c r="EF29" s="175"/>
      <c r="EG29" s="78">
        <v>40</v>
      </c>
      <c r="EH29" s="534">
        <f t="shared" si="60"/>
        <v>66.867142857142824</v>
      </c>
      <c r="EI29" s="78">
        <v>370</v>
      </c>
      <c r="EJ29" s="78">
        <v>331</v>
      </c>
      <c r="EK29" s="78"/>
      <c r="EL29" s="78"/>
      <c r="EM29" s="78"/>
      <c r="EN29" s="78"/>
      <c r="EO29" s="78">
        <v>412</v>
      </c>
      <c r="EP29" s="78">
        <v>334</v>
      </c>
      <c r="EQ29" s="175">
        <f t="shared" si="91"/>
        <v>1220</v>
      </c>
      <c r="ER29" s="2">
        <f t="shared" si="64"/>
        <v>1068.2559999999999</v>
      </c>
      <c r="ES29" s="262">
        <f t="shared" ref="ES29:ES92" si="98">ER29/EQ29</f>
        <v>0.87561967213114744</v>
      </c>
      <c r="ET29" s="262"/>
      <c r="EU29" s="262"/>
      <c r="EV29" s="262"/>
      <c r="EW29" s="78"/>
      <c r="EX29" s="78"/>
      <c r="EY29" s="166"/>
      <c r="EZ29" s="78"/>
      <c r="FA29" s="78"/>
      <c r="FB29" s="78"/>
      <c r="FC29" s="78"/>
      <c r="FD29" s="78"/>
      <c r="FE29" s="93"/>
      <c r="FF29" s="166"/>
      <c r="FG29" s="78"/>
      <c r="FH29" s="598"/>
      <c r="FI29" s="310">
        <f t="shared" si="65"/>
        <v>78</v>
      </c>
      <c r="FJ29" s="2">
        <f t="shared" si="66"/>
        <v>78</v>
      </c>
      <c r="FK29" s="166"/>
      <c r="FL29" s="78"/>
      <c r="FM29" s="78"/>
      <c r="FN29" s="78"/>
      <c r="FO29" s="78"/>
      <c r="FP29" s="78"/>
      <c r="FQ29" s="78"/>
      <c r="FR29" s="78"/>
      <c r="FS29" s="93"/>
      <c r="FT29" s="78"/>
      <c r="FU29" s="78"/>
      <c r="FV29" s="78"/>
      <c r="FW29" s="78"/>
      <c r="FX29" s="78"/>
      <c r="FY29" s="78"/>
      <c r="FZ29" s="102"/>
      <c r="GA29" s="102"/>
      <c r="GB29" s="102"/>
      <c r="GC29" s="102"/>
      <c r="GD29" s="102"/>
      <c r="GE29" s="102"/>
      <c r="GF29" s="102"/>
      <c r="GG29" s="102"/>
      <c r="GH29" s="102"/>
      <c r="GI29" s="102"/>
      <c r="GJ29" s="102"/>
      <c r="GK29" s="1162">
        <f>DataUK4!X182+DataUK4!AH182</f>
        <v>7.6999999999999886</v>
      </c>
      <c r="GL29" s="102"/>
      <c r="GM29" s="102"/>
      <c r="GN29" s="102"/>
      <c r="GO29" s="102"/>
      <c r="GP29" s="310">
        <f t="shared" si="67"/>
        <v>9.8299999999999983</v>
      </c>
      <c r="GQ29" s="102"/>
      <c r="GR29" s="102"/>
      <c r="GS29" s="102"/>
      <c r="GT29" s="102"/>
      <c r="GU29" s="991">
        <f t="shared" si="68"/>
        <v>-2.1300000000000097</v>
      </c>
      <c r="GW29" s="1063">
        <f>DataUK4!D182+DataUK4!F182</f>
        <v>22.3</v>
      </c>
      <c r="GX29" s="102"/>
      <c r="GY29" s="615">
        <f t="shared" si="69"/>
        <v>18.709907120743058</v>
      </c>
      <c r="GZ29" s="102"/>
      <c r="HA29" s="102"/>
      <c r="HB29" s="102"/>
      <c r="HC29" s="101"/>
      <c r="HD29" s="170">
        <f t="shared" si="92"/>
        <v>39</v>
      </c>
      <c r="HE29" s="301">
        <f t="shared" si="93"/>
        <v>42</v>
      </c>
      <c r="HF29" s="301">
        <f t="shared" si="94"/>
        <v>3</v>
      </c>
      <c r="HG29" s="170">
        <f t="shared" si="71"/>
        <v>0</v>
      </c>
      <c r="HH29" s="301">
        <v>0</v>
      </c>
      <c r="HI29" s="301">
        <v>0</v>
      </c>
      <c r="HJ29" s="2">
        <v>0</v>
      </c>
      <c r="HK29" s="2">
        <v>0</v>
      </c>
      <c r="HL29" s="2">
        <v>0</v>
      </c>
      <c r="HM29" s="2">
        <f t="shared" si="72"/>
        <v>0</v>
      </c>
      <c r="HN29" s="2">
        <v>0</v>
      </c>
      <c r="HO29" s="2">
        <v>0</v>
      </c>
      <c r="HP29" s="2">
        <v>0</v>
      </c>
      <c r="HQ29" s="2">
        <v>0</v>
      </c>
      <c r="HR29" s="2">
        <v>0</v>
      </c>
      <c r="HS29" s="1052">
        <v>0</v>
      </c>
      <c r="HT29" s="1001">
        <v>9.6</v>
      </c>
      <c r="HU29" s="1002">
        <f t="shared" si="73"/>
        <v>1.1729903536977491</v>
      </c>
      <c r="HV29" s="1002">
        <f t="shared" si="74"/>
        <v>1.3581993569131834</v>
      </c>
    </row>
    <row r="30" spans="1:230" ht="12" customHeight="1">
      <c r="A30" s="79">
        <f t="shared" si="0"/>
        <v>1872</v>
      </c>
      <c r="B30" s="176">
        <f t="shared" si="1"/>
        <v>1130.8014285714287</v>
      </c>
      <c r="C30" s="177">
        <f t="shared" si="2"/>
        <v>44</v>
      </c>
      <c r="D30" s="176">
        <f t="shared" si="3"/>
        <v>1086.8014285714287</v>
      </c>
      <c r="E30" s="154">
        <f t="shared" si="4"/>
        <v>1136.528</v>
      </c>
      <c r="F30" s="995">
        <f t="shared" si="5"/>
        <v>51.58857142857142</v>
      </c>
      <c r="G30" s="531">
        <f t="shared" si="6"/>
        <v>1270.4114285714286</v>
      </c>
      <c r="H30" s="531">
        <f t="shared" si="7"/>
        <v>1226.4114285714286</v>
      </c>
      <c r="I30" s="531">
        <f t="shared" si="8"/>
        <v>1278</v>
      </c>
      <c r="J30" s="548">
        <f t="shared" si="9"/>
        <v>0.88930203442879496</v>
      </c>
      <c r="K30" s="515">
        <f t="shared" si="87"/>
        <v>78</v>
      </c>
      <c r="L30" s="175">
        <v>78</v>
      </c>
      <c r="M30" s="175">
        <v>0</v>
      </c>
      <c r="N30" s="78"/>
      <c r="O30" s="78"/>
      <c r="P30" s="78"/>
      <c r="Q30" s="78"/>
      <c r="R30" s="78"/>
      <c r="S30" s="532">
        <f t="shared" si="88"/>
        <v>7.4219310722814527E-2</v>
      </c>
      <c r="T30" s="1008">
        <f t="shared" si="13"/>
        <v>58.834720000000004</v>
      </c>
      <c r="U30" s="1010">
        <f t="shared" si="14"/>
        <v>58.834720000000004</v>
      </c>
      <c r="V30" s="511">
        <f t="shared" si="15"/>
        <v>70.2</v>
      </c>
      <c r="W30" s="2">
        <f t="shared" si="16"/>
        <v>70.2</v>
      </c>
      <c r="X30" s="169">
        <f t="shared" si="17"/>
        <v>11.36528</v>
      </c>
      <c r="Y30" s="113">
        <f t="shared" si="18"/>
        <v>0.1618985754985755</v>
      </c>
      <c r="Z30" s="113">
        <f t="shared" si="19"/>
        <v>0.1618985754985755</v>
      </c>
      <c r="AA30" s="78"/>
      <c r="AB30" s="1019">
        <v>0.01</v>
      </c>
      <c r="AC30" s="78"/>
      <c r="AD30" s="78"/>
      <c r="AE30" s="78"/>
      <c r="AF30" s="78"/>
      <c r="AG30" s="78"/>
      <c r="AH30" s="78"/>
      <c r="AI30" s="78"/>
      <c r="AJ30" s="171">
        <f t="shared" si="20"/>
        <v>532.30754760627724</v>
      </c>
      <c r="AK30" s="1026">
        <f t="shared" si="21"/>
        <v>154.56</v>
      </c>
      <c r="AL30" s="169">
        <f t="shared" si="22"/>
        <v>554.48702875653873</v>
      </c>
      <c r="AM30" s="169">
        <f t="shared" si="75"/>
        <v>161</v>
      </c>
      <c r="AN30" s="169">
        <f t="shared" si="23"/>
        <v>322.9335085404602</v>
      </c>
      <c r="AO30" s="1027">
        <f t="shared" si="24"/>
        <v>345.11298969072175</v>
      </c>
      <c r="AP30" s="78">
        <v>133</v>
      </c>
      <c r="AQ30" s="78">
        <v>55</v>
      </c>
      <c r="AR30" s="78">
        <f t="shared" si="76"/>
        <v>78</v>
      </c>
      <c r="AS30" s="83"/>
      <c r="AT30" s="358">
        <v>44</v>
      </c>
      <c r="AU30" s="1030">
        <f t="shared" si="25"/>
        <v>246.11298969072172</v>
      </c>
      <c r="AV30" s="78">
        <v>409</v>
      </c>
      <c r="AW30" s="534">
        <f t="shared" si="77"/>
        <v>118.88701030927828</v>
      </c>
      <c r="AX30" s="78"/>
      <c r="AY30" s="78"/>
      <c r="AZ30" s="534">
        <v>4.5280000000000005</v>
      </c>
      <c r="BA30" s="386">
        <f t="shared" si="83"/>
        <v>0.31520618556701041</v>
      </c>
      <c r="BB30" s="78"/>
      <c r="BC30" s="78"/>
      <c r="BD30" s="78"/>
      <c r="BE30" s="78"/>
      <c r="BF30" s="78"/>
      <c r="BG30" s="78"/>
      <c r="BH30" s="78"/>
      <c r="BI30" s="166">
        <v>512</v>
      </c>
      <c r="BJ30" s="2">
        <f t="shared" si="26"/>
        <v>512</v>
      </c>
      <c r="BK30" s="78">
        <v>62</v>
      </c>
      <c r="BL30" s="169">
        <f t="shared" si="27"/>
        <v>161</v>
      </c>
      <c r="BM30" s="1031">
        <f t="shared" si="28"/>
        <v>209.37403906581702</v>
      </c>
      <c r="BN30" s="310">
        <f t="shared" si="29"/>
        <v>147.37403906581702</v>
      </c>
      <c r="BO30" s="262">
        <f t="shared" si="30"/>
        <v>0.28605034102591625</v>
      </c>
      <c r="BP30" s="262">
        <f t="shared" si="31"/>
        <v>0.30569663965712601</v>
      </c>
      <c r="BQ30" s="262">
        <f t="shared" si="32"/>
        <v>0.18546082612311721</v>
      </c>
      <c r="BR30" s="262">
        <f t="shared" si="33"/>
        <v>0.40893367005042386</v>
      </c>
      <c r="BS30" s="2127">
        <f t="shared" si="84"/>
        <v>0.60668258025712318</v>
      </c>
      <c r="BT30" s="534">
        <f t="shared" si="34"/>
        <v>22.179481150261548</v>
      </c>
      <c r="BU30" s="534">
        <f t="shared" si="35"/>
        <v>6.44</v>
      </c>
      <c r="BV30" s="113">
        <v>0.04</v>
      </c>
      <c r="BW30" s="276">
        <f t="shared" si="36"/>
        <v>1.9515120745165582E-2</v>
      </c>
      <c r="BX30" s="272">
        <f t="shared" si="37"/>
        <v>33.54476115026155</v>
      </c>
      <c r="BY30" s="78"/>
      <c r="BZ30" s="1034"/>
      <c r="CA30" s="1037"/>
      <c r="CB30" s="2">
        <f t="shared" si="38"/>
        <v>1050.9394285714286</v>
      </c>
      <c r="CC30" s="2">
        <f t="shared" si="95"/>
        <v>1128.9394285714286</v>
      </c>
      <c r="CD30" s="310">
        <f t="shared" si="39"/>
        <v>1128.9394285714286</v>
      </c>
      <c r="CE30" s="310">
        <f t="shared" si="40"/>
        <v>1084.9394285714286</v>
      </c>
      <c r="CF30" s="78"/>
      <c r="CG30" s="78"/>
      <c r="CH30" s="78"/>
      <c r="CI30" s="534">
        <f t="shared" si="79"/>
        <v>51.58857142857142</v>
      </c>
      <c r="CJ30" s="78">
        <v>61</v>
      </c>
      <c r="CK30" s="386">
        <f t="shared" si="85"/>
        <v>0.84571428571428553</v>
      </c>
      <c r="CL30" s="517">
        <f t="shared" si="41"/>
        <v>383.45916096515134</v>
      </c>
      <c r="CM30" s="169">
        <f t="shared" si="42"/>
        <v>395.11297124346123</v>
      </c>
      <c r="CN30" s="170">
        <f t="shared" si="43"/>
        <v>126.68701030927826</v>
      </c>
      <c r="CO30" s="170">
        <f t="shared" si="44"/>
        <v>126.68701030927826</v>
      </c>
      <c r="CP30" s="170">
        <f t="shared" si="45"/>
        <v>268.42596093418297</v>
      </c>
      <c r="CQ30" s="170">
        <f t="shared" si="46"/>
        <v>11.653810278309873</v>
      </c>
      <c r="CR30" s="170"/>
      <c r="CS30" s="113">
        <f t="shared" si="47"/>
        <v>1.0253869925166711E-2</v>
      </c>
      <c r="CT30" s="78"/>
      <c r="CU30" s="78"/>
      <c r="CV30" s="78"/>
      <c r="CW30" s="78"/>
      <c r="CX30" s="78"/>
      <c r="CY30" s="78"/>
      <c r="CZ30" s="78"/>
      <c r="DA30" s="78"/>
      <c r="DB30" s="78"/>
      <c r="DC30" s="78"/>
      <c r="DD30" s="78"/>
      <c r="DE30" s="78"/>
      <c r="DF30" s="78"/>
      <c r="DG30" s="78"/>
      <c r="DH30" s="516">
        <f t="shared" si="48"/>
        <v>34.199999999999996</v>
      </c>
      <c r="DI30" s="2">
        <f t="shared" si="49"/>
        <v>40.589999999999996</v>
      </c>
      <c r="DJ30" s="169">
        <f t="shared" si="50"/>
        <v>34.199999999999996</v>
      </c>
      <c r="DK30" s="169">
        <f t="shared" si="51"/>
        <v>6.3900000000000006</v>
      </c>
      <c r="DL30" s="113">
        <f t="shared" si="52"/>
        <v>3.0293919349842376E-2</v>
      </c>
      <c r="DM30" s="113">
        <f t="shared" si="53"/>
        <v>6.6796874999999992E-2</v>
      </c>
      <c r="DN30" s="113">
        <v>0.6</v>
      </c>
      <c r="DO30" s="78"/>
      <c r="DP30" s="78"/>
      <c r="DQ30" s="166">
        <v>57</v>
      </c>
      <c r="DR30" s="78"/>
      <c r="DS30" s="78"/>
      <c r="DT30" s="78">
        <f t="shared" si="96"/>
        <v>57</v>
      </c>
      <c r="DU30" s="175">
        <f t="shared" si="97"/>
        <v>1028.47</v>
      </c>
      <c r="DV30" s="175">
        <v>1065</v>
      </c>
      <c r="DW30" s="170">
        <f t="shared" si="57"/>
        <v>137.52999999999994</v>
      </c>
      <c r="DX30" s="534">
        <f t="shared" si="89"/>
        <v>127.52999999999994</v>
      </c>
      <c r="DY30" s="534">
        <f t="shared" si="90"/>
        <v>116.31857142857137</v>
      </c>
      <c r="DZ30" s="262">
        <f t="shared" si="86"/>
        <v>1.4014285714285708</v>
      </c>
      <c r="EA30" s="78">
        <v>91</v>
      </c>
      <c r="EB30" s="78">
        <v>83</v>
      </c>
      <c r="EC30" s="175">
        <f t="shared" si="82"/>
        <v>11.21142857142857</v>
      </c>
      <c r="ED30" s="175">
        <v>0</v>
      </c>
      <c r="EE30" s="175">
        <f t="shared" si="58"/>
        <v>11.21142857142857</v>
      </c>
      <c r="EF30" s="175"/>
      <c r="EG30" s="78">
        <v>10</v>
      </c>
      <c r="EH30" s="534">
        <f t="shared" si="60"/>
        <v>75.941428571428531</v>
      </c>
      <c r="EI30" s="78">
        <v>411</v>
      </c>
      <c r="EJ30" s="78">
        <v>356</v>
      </c>
      <c r="EK30" s="78"/>
      <c r="EL30" s="78"/>
      <c r="EM30" s="78"/>
      <c r="EN30" s="78"/>
      <c r="EO30" s="78">
        <v>458</v>
      </c>
      <c r="EP30" s="78">
        <v>359</v>
      </c>
      <c r="EQ30" s="175">
        <f t="shared" si="91"/>
        <v>1278</v>
      </c>
      <c r="ER30" s="2">
        <f t="shared" si="64"/>
        <v>1136.528</v>
      </c>
      <c r="ES30" s="262">
        <f t="shared" si="98"/>
        <v>0.88930203442879496</v>
      </c>
      <c r="ET30" s="262"/>
      <c r="EU30" s="262"/>
      <c r="EV30" s="262"/>
      <c r="EW30" s="78"/>
      <c r="EX30" s="78"/>
      <c r="EY30" s="166"/>
      <c r="EZ30" s="78"/>
      <c r="FA30" s="78"/>
      <c r="FB30" s="78"/>
      <c r="FC30" s="78"/>
      <c r="FD30" s="78"/>
      <c r="FE30" s="93"/>
      <c r="FF30" s="166"/>
      <c r="FG30" s="78"/>
      <c r="FH30" s="598"/>
      <c r="FI30" s="310">
        <f t="shared" si="65"/>
        <v>99</v>
      </c>
      <c r="FJ30" s="2">
        <f t="shared" si="66"/>
        <v>99</v>
      </c>
      <c r="FK30" s="166"/>
      <c r="FL30" s="78"/>
      <c r="FM30" s="78"/>
      <c r="FN30" s="78"/>
      <c r="FO30" s="78"/>
      <c r="FP30" s="78"/>
      <c r="FQ30" s="78"/>
      <c r="FR30" s="78"/>
      <c r="FS30" s="93"/>
      <c r="FT30" s="78"/>
      <c r="FU30" s="78"/>
      <c r="FV30" s="78"/>
      <c r="FW30" s="78"/>
      <c r="FX30" s="78"/>
      <c r="FY30" s="78"/>
      <c r="FZ30" s="102"/>
      <c r="GA30" s="102"/>
      <c r="GB30" s="102"/>
      <c r="GC30" s="102"/>
      <c r="GD30" s="102"/>
      <c r="GE30" s="102"/>
      <c r="GF30" s="102"/>
      <c r="GG30" s="102"/>
      <c r="GH30" s="102"/>
      <c r="GI30" s="102"/>
      <c r="GJ30" s="102"/>
      <c r="GK30" s="1162">
        <f>DataUK4!X183+DataUK4!AH183</f>
        <v>10.400000000000006</v>
      </c>
      <c r="GL30" s="102"/>
      <c r="GM30" s="102"/>
      <c r="GN30" s="102"/>
      <c r="GO30" s="102"/>
      <c r="GP30" s="310">
        <f t="shared" si="67"/>
        <v>11.21142857142857</v>
      </c>
      <c r="GQ30" s="102"/>
      <c r="GR30" s="102"/>
      <c r="GS30" s="102"/>
      <c r="GT30" s="102"/>
      <c r="GU30" s="991">
        <f t="shared" si="68"/>
        <v>-0.81142857142856428</v>
      </c>
      <c r="GW30" s="1063">
        <f>DataUK4!D183+DataUK4!F183</f>
        <v>22.3</v>
      </c>
      <c r="GX30" s="102"/>
      <c r="GY30" s="615">
        <f t="shared" si="69"/>
        <v>18.709907120743058</v>
      </c>
      <c r="GZ30" s="102"/>
      <c r="HA30" s="102"/>
      <c r="HB30" s="102"/>
      <c r="HC30" s="101"/>
      <c r="HD30" s="170">
        <f t="shared" si="92"/>
        <v>44</v>
      </c>
      <c r="HE30" s="301">
        <f t="shared" si="93"/>
        <v>47</v>
      </c>
      <c r="HF30" s="301">
        <f t="shared" si="94"/>
        <v>3</v>
      </c>
      <c r="HG30" s="170">
        <f t="shared" si="71"/>
        <v>0</v>
      </c>
      <c r="HH30" s="301">
        <v>0</v>
      </c>
      <c r="HI30" s="301">
        <v>0</v>
      </c>
      <c r="HJ30" s="2">
        <v>0</v>
      </c>
      <c r="HK30" s="2">
        <v>0</v>
      </c>
      <c r="HL30" s="2">
        <v>0</v>
      </c>
      <c r="HM30" s="2">
        <f t="shared" si="72"/>
        <v>0</v>
      </c>
      <c r="HN30" s="2">
        <v>0</v>
      </c>
      <c r="HO30" s="2">
        <v>0</v>
      </c>
      <c r="HP30" s="2">
        <v>0</v>
      </c>
      <c r="HQ30" s="2">
        <v>0</v>
      </c>
      <c r="HR30" s="2">
        <v>0</v>
      </c>
      <c r="HS30" s="1052">
        <v>0</v>
      </c>
      <c r="HT30" s="1003">
        <v>10</v>
      </c>
      <c r="HU30" s="1002">
        <f t="shared" si="73"/>
        <v>1.2218649517684887</v>
      </c>
      <c r="HV30" s="1002">
        <f t="shared" si="74"/>
        <v>1.4147909967845658</v>
      </c>
    </row>
    <row r="31" spans="1:230" ht="12" customHeight="1">
      <c r="A31" s="79">
        <f t="shared" si="0"/>
        <v>1873</v>
      </c>
      <c r="B31" s="176">
        <f t="shared" si="1"/>
        <v>1207.1821428571429</v>
      </c>
      <c r="C31" s="177">
        <f t="shared" si="2"/>
        <v>52</v>
      </c>
      <c r="D31" s="176">
        <f t="shared" si="3"/>
        <v>1155.1821428571429</v>
      </c>
      <c r="E31" s="154">
        <f t="shared" si="4"/>
        <v>1209.82</v>
      </c>
      <c r="F31" s="995">
        <f t="shared" si="5"/>
        <v>56.382857142857134</v>
      </c>
      <c r="G31" s="531">
        <f t="shared" si="6"/>
        <v>1308.6171428571429</v>
      </c>
      <c r="H31" s="531">
        <f t="shared" si="7"/>
        <v>1256.6171428571429</v>
      </c>
      <c r="I31" s="531">
        <f t="shared" si="8"/>
        <v>1313</v>
      </c>
      <c r="J31" s="548">
        <f t="shared" si="9"/>
        <v>0.92141660319878138</v>
      </c>
      <c r="K31" s="515">
        <f t="shared" si="87"/>
        <v>80</v>
      </c>
      <c r="L31" s="175">
        <v>80</v>
      </c>
      <c r="M31" s="175">
        <v>0</v>
      </c>
      <c r="N31" s="78"/>
      <c r="O31" s="78"/>
      <c r="P31" s="78"/>
      <c r="Q31" s="78"/>
      <c r="R31" s="78"/>
      <c r="S31" s="532">
        <f t="shared" si="88"/>
        <v>7.1083490097815963E-2</v>
      </c>
      <c r="T31" s="1008">
        <f t="shared" si="13"/>
        <v>60.801800000000007</v>
      </c>
      <c r="U31" s="1010">
        <f t="shared" si="14"/>
        <v>60.801800000000007</v>
      </c>
      <c r="V31" s="511">
        <f t="shared" si="15"/>
        <v>72.900000000000006</v>
      </c>
      <c r="W31" s="2">
        <f t="shared" si="16"/>
        <v>72.900000000000006</v>
      </c>
      <c r="X31" s="169">
        <f t="shared" si="17"/>
        <v>12.0982</v>
      </c>
      <c r="Y31" s="113">
        <f t="shared" si="18"/>
        <v>0.16595610425240054</v>
      </c>
      <c r="Z31" s="113">
        <f t="shared" si="19"/>
        <v>0.16595610425240054</v>
      </c>
      <c r="AA31" s="78"/>
      <c r="AB31" s="1019">
        <v>0.01</v>
      </c>
      <c r="AC31" s="78"/>
      <c r="AD31" s="78"/>
      <c r="AE31" s="78"/>
      <c r="AF31" s="78"/>
      <c r="AG31" s="78"/>
      <c r="AH31" s="78"/>
      <c r="AI31" s="78"/>
      <c r="AJ31" s="171">
        <f t="shared" si="20"/>
        <v>570.27296825621295</v>
      </c>
      <c r="AK31" s="1026">
        <f t="shared" si="21"/>
        <v>165.12</v>
      </c>
      <c r="AL31" s="169">
        <f t="shared" si="22"/>
        <v>594.0343419335552</v>
      </c>
      <c r="AM31" s="169">
        <f t="shared" si="75"/>
        <v>172</v>
      </c>
      <c r="AN31" s="169">
        <f t="shared" si="23"/>
        <v>349.97943893636318</v>
      </c>
      <c r="AO31" s="1027">
        <f t="shared" si="24"/>
        <v>373.74081261370537</v>
      </c>
      <c r="AP31" s="78">
        <v>137</v>
      </c>
      <c r="AQ31" s="78">
        <v>56</v>
      </c>
      <c r="AR31" s="78">
        <f t="shared" si="76"/>
        <v>81</v>
      </c>
      <c r="AS31" s="83"/>
      <c r="AT31" s="358">
        <v>55</v>
      </c>
      <c r="AU31" s="1030">
        <f t="shared" si="25"/>
        <v>262.74081261370537</v>
      </c>
      <c r="AV31" s="78">
        <v>429</v>
      </c>
      <c r="AW31" s="534">
        <f t="shared" si="77"/>
        <v>111.25918738629463</v>
      </c>
      <c r="AX31" s="78"/>
      <c r="AY31" s="78"/>
      <c r="AZ31" s="534">
        <v>4.82</v>
      </c>
      <c r="BA31" s="386">
        <f t="shared" si="83"/>
        <v>0.31315949060036397</v>
      </c>
      <c r="BB31" s="78"/>
      <c r="BC31" s="78"/>
      <c r="BD31" s="78"/>
      <c r="BE31" s="78"/>
      <c r="BF31" s="78"/>
      <c r="BG31" s="78"/>
      <c r="BH31" s="78"/>
      <c r="BI31" s="166">
        <v>559</v>
      </c>
      <c r="BJ31" s="2">
        <f t="shared" si="26"/>
        <v>559</v>
      </c>
      <c r="BK31" s="78">
        <v>61</v>
      </c>
      <c r="BL31" s="169">
        <f t="shared" si="27"/>
        <v>172</v>
      </c>
      <c r="BM31" s="1031">
        <f t="shared" si="28"/>
        <v>220.2935293198498</v>
      </c>
      <c r="BN31" s="310">
        <f t="shared" si="29"/>
        <v>159.2935293198498</v>
      </c>
      <c r="BO31" s="262">
        <f t="shared" si="30"/>
        <v>0.29033404272481378</v>
      </c>
      <c r="BP31" s="262">
        <f t="shared" si="31"/>
        <v>0.31004587408669027</v>
      </c>
      <c r="BQ31" s="262">
        <f t="shared" si="32"/>
        <v>0.18274990996022172</v>
      </c>
      <c r="BR31" s="262">
        <f t="shared" si="33"/>
        <v>0.39408502561690484</v>
      </c>
      <c r="BS31" s="2127">
        <f t="shared" si="84"/>
        <v>0.58942861438989513</v>
      </c>
      <c r="BT31" s="534">
        <f t="shared" si="34"/>
        <v>23.76137367734221</v>
      </c>
      <c r="BU31" s="534">
        <f t="shared" si="35"/>
        <v>6.88</v>
      </c>
      <c r="BV31" s="113">
        <v>0.04</v>
      </c>
      <c r="BW31" s="276">
        <f t="shared" si="36"/>
        <v>1.9640420622358871E-2</v>
      </c>
      <c r="BX31" s="272">
        <f t="shared" si="37"/>
        <v>35.859573677342212</v>
      </c>
      <c r="BY31" s="78"/>
      <c r="BZ31" s="1034"/>
      <c r="CA31" s="1037"/>
      <c r="CB31" s="2">
        <f t="shared" si="38"/>
        <v>1125.4371428571428</v>
      </c>
      <c r="CC31" s="2">
        <f t="shared" si="95"/>
        <v>1205.4371428571428</v>
      </c>
      <c r="CD31" s="310">
        <f t="shared" si="39"/>
        <v>1205.4371428571428</v>
      </c>
      <c r="CE31" s="310">
        <f t="shared" si="40"/>
        <v>1153.4371428571428</v>
      </c>
      <c r="CF31" s="78"/>
      <c r="CG31" s="78"/>
      <c r="CH31" s="78"/>
      <c r="CI31" s="534">
        <f t="shared" si="79"/>
        <v>56.382857142857134</v>
      </c>
      <c r="CJ31" s="78">
        <v>66</v>
      </c>
      <c r="CK31" s="386">
        <f t="shared" si="85"/>
        <v>0.85428571428571409</v>
      </c>
      <c r="CL31" s="517">
        <f t="shared" si="41"/>
        <v>411.10737460092997</v>
      </c>
      <c r="CM31" s="169">
        <f t="shared" si="42"/>
        <v>425.06565806644488</v>
      </c>
      <c r="CN31" s="170">
        <f t="shared" si="43"/>
        <v>119.35918738629465</v>
      </c>
      <c r="CO31" s="170">
        <f t="shared" si="44"/>
        <v>119.35918738629465</v>
      </c>
      <c r="CP31" s="170">
        <f t="shared" si="45"/>
        <v>305.70647068015023</v>
      </c>
      <c r="CQ31" s="170">
        <f t="shared" si="46"/>
        <v>13.958283465514924</v>
      </c>
      <c r="CR31" s="170"/>
      <c r="CS31" s="113">
        <f t="shared" si="47"/>
        <v>1.1537487779599382E-2</v>
      </c>
      <c r="CT31" s="78"/>
      <c r="CU31" s="78"/>
      <c r="CV31" s="78"/>
      <c r="CW31" s="78"/>
      <c r="CX31" s="78"/>
      <c r="CY31" s="78"/>
      <c r="CZ31" s="78"/>
      <c r="DA31" s="78"/>
      <c r="DB31" s="78"/>
      <c r="DC31" s="78"/>
      <c r="DD31" s="78"/>
      <c r="DE31" s="78"/>
      <c r="DF31" s="78"/>
      <c r="DG31" s="78"/>
      <c r="DH31" s="516">
        <f t="shared" si="48"/>
        <v>33</v>
      </c>
      <c r="DI31" s="2">
        <f t="shared" si="49"/>
        <v>39.564999999999998</v>
      </c>
      <c r="DJ31" s="169">
        <f t="shared" si="50"/>
        <v>33</v>
      </c>
      <c r="DK31" s="169">
        <f t="shared" si="51"/>
        <v>6.5650000000000004</v>
      </c>
      <c r="DL31" s="113">
        <f t="shared" si="52"/>
        <v>2.7375960825118572E-2</v>
      </c>
      <c r="DM31" s="113">
        <f t="shared" si="53"/>
        <v>5.9033989266547404E-2</v>
      </c>
      <c r="DN31" s="113">
        <v>0.6</v>
      </c>
      <c r="DO31" s="78"/>
      <c r="DP31" s="78"/>
      <c r="DQ31" s="166">
        <v>55</v>
      </c>
      <c r="DR31" s="78"/>
      <c r="DS31" s="78"/>
      <c r="DT31" s="78">
        <f t="shared" si="96"/>
        <v>55</v>
      </c>
      <c r="DU31" s="175">
        <f t="shared" si="97"/>
        <v>1085.5342857142857</v>
      </c>
      <c r="DV31" s="175">
        <v>1123</v>
      </c>
      <c r="DW31" s="170">
        <f t="shared" si="57"/>
        <v>136.46571428571423</v>
      </c>
      <c r="DX31" s="534">
        <f t="shared" si="89"/>
        <v>131.46571428571423</v>
      </c>
      <c r="DY31" s="534">
        <f t="shared" si="90"/>
        <v>118.87857142857138</v>
      </c>
      <c r="DZ31" s="262">
        <f t="shared" si="86"/>
        <v>1.3985714285714279</v>
      </c>
      <c r="EA31" s="78">
        <v>94</v>
      </c>
      <c r="EB31" s="78">
        <v>85</v>
      </c>
      <c r="EC31" s="175">
        <f t="shared" si="82"/>
        <v>12.587142857142851</v>
      </c>
      <c r="ED31" s="175">
        <v>0</v>
      </c>
      <c r="EE31" s="175">
        <f t="shared" si="58"/>
        <v>12.587142857142851</v>
      </c>
      <c r="EF31" s="175"/>
      <c r="EG31" s="78">
        <v>5</v>
      </c>
      <c r="EH31" s="534">
        <f t="shared" si="60"/>
        <v>75.082857142857094</v>
      </c>
      <c r="EI31" s="78">
        <v>408</v>
      </c>
      <c r="EJ31" s="78">
        <v>372</v>
      </c>
      <c r="EK31" s="78"/>
      <c r="EL31" s="78"/>
      <c r="EM31" s="78"/>
      <c r="EN31" s="78"/>
      <c r="EO31" s="78">
        <v>464</v>
      </c>
      <c r="EP31" s="78">
        <v>376</v>
      </c>
      <c r="EQ31" s="175">
        <f t="shared" si="91"/>
        <v>1313</v>
      </c>
      <c r="ER31" s="2">
        <f t="shared" si="64"/>
        <v>1209.82</v>
      </c>
      <c r="ES31" s="262">
        <f t="shared" si="98"/>
        <v>0.92141660319878138</v>
      </c>
      <c r="ET31" s="262"/>
      <c r="EU31" s="262"/>
      <c r="EV31" s="262"/>
      <c r="EW31" s="78"/>
      <c r="EX31" s="78"/>
      <c r="EY31" s="166"/>
      <c r="EZ31" s="78"/>
      <c r="FA31" s="78"/>
      <c r="FB31" s="78"/>
      <c r="FC31" s="78"/>
      <c r="FD31" s="78"/>
      <c r="FE31" s="93"/>
      <c r="FF31" s="166"/>
      <c r="FG31" s="78"/>
      <c r="FH31" s="598"/>
      <c r="FI31" s="310">
        <f t="shared" si="65"/>
        <v>88</v>
      </c>
      <c r="FJ31" s="2">
        <f t="shared" si="66"/>
        <v>88</v>
      </c>
      <c r="FK31" s="166"/>
      <c r="FL31" s="78"/>
      <c r="FM31" s="78"/>
      <c r="FN31" s="78"/>
      <c r="FO31" s="78"/>
      <c r="FP31" s="78"/>
      <c r="FQ31" s="78"/>
      <c r="FR31" s="78"/>
      <c r="FS31" s="93"/>
      <c r="FT31" s="78"/>
      <c r="FU31" s="78"/>
      <c r="FV31" s="78"/>
      <c r="FW31" s="78"/>
      <c r="FX31" s="78"/>
      <c r="FY31" s="78"/>
      <c r="FZ31" s="102"/>
      <c r="GA31" s="102"/>
      <c r="GB31" s="102"/>
      <c r="GC31" s="102"/>
      <c r="GD31" s="102"/>
      <c r="GE31" s="102"/>
      <c r="GF31" s="102"/>
      <c r="GG31" s="102"/>
      <c r="GH31" s="102"/>
      <c r="GI31" s="102"/>
      <c r="GJ31" s="102"/>
      <c r="GK31" s="1162">
        <f>DataUK4!X184+DataUK4!AH184</f>
        <v>5.5</v>
      </c>
      <c r="GL31" s="102"/>
      <c r="GM31" s="102"/>
      <c r="GN31" s="102"/>
      <c r="GO31" s="102"/>
      <c r="GP31" s="310">
        <f t="shared" si="67"/>
        <v>12.587142857142851</v>
      </c>
      <c r="GQ31" s="102"/>
      <c r="GR31" s="102"/>
      <c r="GS31" s="102"/>
      <c r="GT31" s="102"/>
      <c r="GU31" s="991">
        <f t="shared" si="68"/>
        <v>-7.087142857142851</v>
      </c>
      <c r="GW31" s="1063">
        <f>DataUK4!D184+DataUK4!F184</f>
        <v>22.1</v>
      </c>
      <c r="GX31" s="102"/>
      <c r="GY31" s="615">
        <f t="shared" si="69"/>
        <v>18.542105263157918</v>
      </c>
      <c r="GZ31" s="102"/>
      <c r="HA31" s="102"/>
      <c r="HB31" s="102"/>
      <c r="HC31" s="101"/>
      <c r="HD31" s="170">
        <f t="shared" si="92"/>
        <v>52</v>
      </c>
      <c r="HE31" s="301">
        <f t="shared" si="93"/>
        <v>56</v>
      </c>
      <c r="HF31" s="301">
        <f t="shared" si="94"/>
        <v>4</v>
      </c>
      <c r="HG31" s="170">
        <f t="shared" si="71"/>
        <v>0</v>
      </c>
      <c r="HH31" s="301">
        <v>0</v>
      </c>
      <c r="HI31" s="301">
        <v>0</v>
      </c>
      <c r="HJ31" s="2">
        <v>0</v>
      </c>
      <c r="HK31" s="2">
        <v>0</v>
      </c>
      <c r="HL31" s="2">
        <v>0</v>
      </c>
      <c r="HM31" s="2">
        <f t="shared" si="72"/>
        <v>0</v>
      </c>
      <c r="HN31" s="2">
        <v>0</v>
      </c>
      <c r="HO31" s="2">
        <v>0</v>
      </c>
      <c r="HP31" s="2">
        <v>0</v>
      </c>
      <c r="HQ31" s="2">
        <v>0</v>
      </c>
      <c r="HR31" s="2">
        <v>0</v>
      </c>
      <c r="HS31" s="1052">
        <v>0</v>
      </c>
      <c r="HT31" s="1001">
        <v>10.4</v>
      </c>
      <c r="HU31" s="1002">
        <f t="shared" si="73"/>
        <v>1.2707395498392282</v>
      </c>
      <c r="HV31" s="1002">
        <f t="shared" si="74"/>
        <v>1.4713826366559486</v>
      </c>
    </row>
    <row r="32" spans="1:230" ht="12" customHeight="1">
      <c r="A32" s="79">
        <f t="shared" si="0"/>
        <v>1874</v>
      </c>
      <c r="B32" s="176">
        <f t="shared" si="1"/>
        <v>1179.9285714285713</v>
      </c>
      <c r="C32" s="177">
        <f t="shared" si="2"/>
        <v>57</v>
      </c>
      <c r="D32" s="176">
        <f t="shared" si="3"/>
        <v>1122.9285714285713</v>
      </c>
      <c r="E32" s="154">
        <f t="shared" si="4"/>
        <v>1178.6959999999999</v>
      </c>
      <c r="F32" s="995">
        <f t="shared" si="5"/>
        <v>57.811428571428557</v>
      </c>
      <c r="G32" s="531">
        <f t="shared" si="6"/>
        <v>1347.1885714285715</v>
      </c>
      <c r="H32" s="531">
        <f t="shared" si="7"/>
        <v>1290.1885714285715</v>
      </c>
      <c r="I32" s="531">
        <f t="shared" si="8"/>
        <v>1348</v>
      </c>
      <c r="J32" s="548">
        <f t="shared" si="9"/>
        <v>0.87440356083086046</v>
      </c>
      <c r="K32" s="515">
        <f t="shared" si="87"/>
        <v>80</v>
      </c>
      <c r="L32" s="175">
        <v>80</v>
      </c>
      <c r="M32" s="175">
        <v>0</v>
      </c>
      <c r="N32" s="78"/>
      <c r="O32" s="78"/>
      <c r="P32" s="78"/>
      <c r="Q32" s="78"/>
      <c r="R32" s="78"/>
      <c r="S32" s="532">
        <f t="shared" si="88"/>
        <v>7.2867405264565935E-2</v>
      </c>
      <c r="T32" s="1008">
        <f t="shared" si="13"/>
        <v>63.813040000000008</v>
      </c>
      <c r="U32" s="1010">
        <f t="shared" si="14"/>
        <v>63.813040000000008</v>
      </c>
      <c r="V32" s="511">
        <f t="shared" si="15"/>
        <v>75.600000000000009</v>
      </c>
      <c r="W32" s="2">
        <f t="shared" si="16"/>
        <v>75.600000000000009</v>
      </c>
      <c r="X32" s="169">
        <f t="shared" si="17"/>
        <v>11.786959999999999</v>
      </c>
      <c r="Y32" s="113">
        <f t="shared" si="18"/>
        <v>0.15591216931216928</v>
      </c>
      <c r="Z32" s="113">
        <f t="shared" si="19"/>
        <v>0.15591216931216928</v>
      </c>
      <c r="AA32" s="78"/>
      <c r="AB32" s="1019">
        <v>0.01</v>
      </c>
      <c r="AC32" s="78"/>
      <c r="AD32" s="78"/>
      <c r="AE32" s="78"/>
      <c r="AF32" s="78"/>
      <c r="AG32" s="78"/>
      <c r="AH32" s="78"/>
      <c r="AI32" s="78"/>
      <c r="AJ32" s="171">
        <f t="shared" si="20"/>
        <v>536.36265002911216</v>
      </c>
      <c r="AK32" s="1026">
        <f t="shared" si="21"/>
        <v>157.44</v>
      </c>
      <c r="AL32" s="169">
        <f t="shared" si="22"/>
        <v>558.7110937803252</v>
      </c>
      <c r="AM32" s="169">
        <f t="shared" si="75"/>
        <v>164</v>
      </c>
      <c r="AN32" s="169">
        <f t="shared" si="23"/>
        <v>333.02625606685871</v>
      </c>
      <c r="AO32" s="1027">
        <f t="shared" si="24"/>
        <v>355.37469981807169</v>
      </c>
      <c r="AP32" s="78">
        <v>140</v>
      </c>
      <c r="AQ32" s="78">
        <v>56</v>
      </c>
      <c r="AR32" s="78">
        <f t="shared" si="76"/>
        <v>84</v>
      </c>
      <c r="AS32" s="83"/>
      <c r="AT32" s="358">
        <v>47</v>
      </c>
      <c r="AU32" s="1030">
        <f t="shared" si="25"/>
        <v>252.37469981807166</v>
      </c>
      <c r="AV32" s="78">
        <v>407</v>
      </c>
      <c r="AW32" s="534">
        <f t="shared" si="77"/>
        <v>107.62530018192834</v>
      </c>
      <c r="AX32" s="78"/>
      <c r="AY32" s="78"/>
      <c r="AZ32" s="534">
        <v>4.6959999999999997</v>
      </c>
      <c r="BA32" s="386">
        <f t="shared" si="83"/>
        <v>0.31111279563371752</v>
      </c>
      <c r="BB32" s="78"/>
      <c r="BC32" s="78"/>
      <c r="BD32" s="78"/>
      <c r="BE32" s="78"/>
      <c r="BF32" s="78"/>
      <c r="BG32" s="78"/>
      <c r="BH32" s="78"/>
      <c r="BI32" s="166">
        <v>547</v>
      </c>
      <c r="BJ32" s="2">
        <f t="shared" si="26"/>
        <v>547</v>
      </c>
      <c r="BK32" s="78">
        <v>61</v>
      </c>
      <c r="BL32" s="169">
        <f t="shared" si="27"/>
        <v>164</v>
      </c>
      <c r="BM32" s="1031">
        <f t="shared" si="28"/>
        <v>203.33639396225348</v>
      </c>
      <c r="BN32" s="310">
        <f t="shared" si="29"/>
        <v>142.33639396225348</v>
      </c>
      <c r="BO32" s="262">
        <f t="shared" si="30"/>
        <v>0.28273250549750822</v>
      </c>
      <c r="BP32" s="262">
        <f t="shared" si="31"/>
        <v>0.30170587885964351</v>
      </c>
      <c r="BQ32" s="262">
        <f t="shared" si="32"/>
        <v>0.1726284551937389</v>
      </c>
      <c r="BR32" s="262">
        <f t="shared" si="33"/>
        <v>0.371730153495893</v>
      </c>
      <c r="BS32" s="2127">
        <f>BS31+(BS$33-BS$13)/20</f>
        <v>0.57217464852266708</v>
      </c>
      <c r="BT32" s="534">
        <f t="shared" si="34"/>
        <v>22.348443751213008</v>
      </c>
      <c r="BU32" s="534">
        <f t="shared" si="35"/>
        <v>6.5600000000000005</v>
      </c>
      <c r="BV32" s="113">
        <v>0.04</v>
      </c>
      <c r="BW32" s="276">
        <f t="shared" si="36"/>
        <v>1.8960311862611743E-2</v>
      </c>
      <c r="BX32" s="272">
        <f t="shared" si="37"/>
        <v>34.135403751213005</v>
      </c>
      <c r="BY32" s="78"/>
      <c r="BZ32" s="1034"/>
      <c r="CA32" s="1037"/>
      <c r="CB32" s="2">
        <f t="shared" si="38"/>
        <v>1097.8845714285715</v>
      </c>
      <c r="CC32" s="2">
        <f t="shared" si="95"/>
        <v>1177.8845714285715</v>
      </c>
      <c r="CD32" s="310">
        <f t="shared" si="39"/>
        <v>1177.8845714285715</v>
      </c>
      <c r="CE32" s="310">
        <f t="shared" si="40"/>
        <v>1120.8845714285715</v>
      </c>
      <c r="CF32" s="78"/>
      <c r="CG32" s="78"/>
      <c r="CH32" s="78"/>
      <c r="CI32" s="534">
        <f t="shared" si="79"/>
        <v>57.811428571428557</v>
      </c>
      <c r="CJ32" s="78">
        <v>67</v>
      </c>
      <c r="CK32" s="386">
        <f t="shared" si="85"/>
        <v>0.86285714285714266</v>
      </c>
      <c r="CL32" s="517">
        <f t="shared" si="41"/>
        <v>407.95288139945927</v>
      </c>
      <c r="CM32" s="169">
        <f t="shared" si="42"/>
        <v>424.88890621967482</v>
      </c>
      <c r="CN32" s="170">
        <f t="shared" si="43"/>
        <v>116.02530018192829</v>
      </c>
      <c r="CO32" s="170">
        <f t="shared" si="44"/>
        <v>116.02530018192829</v>
      </c>
      <c r="CP32" s="170">
        <f t="shared" si="45"/>
        <v>308.86360603774654</v>
      </c>
      <c r="CQ32" s="170">
        <f t="shared" si="46"/>
        <v>16.93602482021555</v>
      </c>
      <c r="CR32" s="170"/>
      <c r="CS32" s="113">
        <f t="shared" si="47"/>
        <v>1.4368441752763691E-2</v>
      </c>
      <c r="CT32" s="78"/>
      <c r="CU32" s="78"/>
      <c r="CV32" s="78"/>
      <c r="CW32" s="78"/>
      <c r="CX32" s="78"/>
      <c r="CY32" s="78"/>
      <c r="CZ32" s="78"/>
      <c r="DA32" s="78"/>
      <c r="DB32" s="78"/>
      <c r="DC32" s="78"/>
      <c r="DD32" s="78"/>
      <c r="DE32" s="78"/>
      <c r="DF32" s="78"/>
      <c r="DG32" s="78"/>
      <c r="DH32" s="516">
        <f t="shared" si="48"/>
        <v>34.799999999999997</v>
      </c>
      <c r="DI32" s="2">
        <f t="shared" si="49"/>
        <v>41.54</v>
      </c>
      <c r="DJ32" s="169">
        <f t="shared" si="50"/>
        <v>34.799999999999997</v>
      </c>
      <c r="DK32" s="169">
        <f t="shared" si="51"/>
        <v>6.74</v>
      </c>
      <c r="DL32" s="113">
        <f t="shared" si="52"/>
        <v>2.9544490898453301E-2</v>
      </c>
      <c r="DM32" s="113">
        <f t="shared" si="53"/>
        <v>6.3619744058500904E-2</v>
      </c>
      <c r="DN32" s="113">
        <v>0.6</v>
      </c>
      <c r="DO32" s="78"/>
      <c r="DP32" s="78"/>
      <c r="DQ32" s="166">
        <v>58</v>
      </c>
      <c r="DR32" s="78"/>
      <c r="DS32" s="78"/>
      <c r="DT32" s="78">
        <f t="shared" si="96"/>
        <v>58</v>
      </c>
      <c r="DU32" s="175">
        <f t="shared" si="97"/>
        <v>1079.8671428571429</v>
      </c>
      <c r="DV32" s="175">
        <v>1123</v>
      </c>
      <c r="DW32" s="170">
        <f t="shared" si="57"/>
        <v>187.13285714285706</v>
      </c>
      <c r="DX32" s="534">
        <f t="shared" si="89"/>
        <v>152.13285714285706</v>
      </c>
      <c r="DY32" s="534">
        <f t="shared" si="90"/>
        <v>133.98857142857136</v>
      </c>
      <c r="DZ32" s="262">
        <f t="shared" si="86"/>
        <v>1.395714285714285</v>
      </c>
      <c r="EA32" s="78">
        <v>109</v>
      </c>
      <c r="EB32" s="78">
        <v>96</v>
      </c>
      <c r="EC32" s="175">
        <f t="shared" si="82"/>
        <v>18.144285714285701</v>
      </c>
      <c r="ED32" s="175">
        <v>0</v>
      </c>
      <c r="EE32" s="175">
        <f t="shared" si="58"/>
        <v>18.144285714285701</v>
      </c>
      <c r="EF32" s="175"/>
      <c r="EG32" s="78">
        <v>35</v>
      </c>
      <c r="EH32" s="534">
        <f t="shared" si="60"/>
        <v>94.321428571428498</v>
      </c>
      <c r="EI32" s="78">
        <v>393</v>
      </c>
      <c r="EJ32" s="78">
        <v>370</v>
      </c>
      <c r="EK32" s="78"/>
      <c r="EL32" s="78"/>
      <c r="EM32" s="78"/>
      <c r="EN32" s="78"/>
      <c r="EO32" s="78">
        <v>454</v>
      </c>
      <c r="EP32" s="78">
        <v>374</v>
      </c>
      <c r="EQ32" s="175">
        <f t="shared" si="91"/>
        <v>1348</v>
      </c>
      <c r="ER32" s="2">
        <f t="shared" si="64"/>
        <v>1178.6959999999999</v>
      </c>
      <c r="ES32" s="262">
        <f t="shared" si="98"/>
        <v>0.87440356083086046</v>
      </c>
      <c r="ET32" s="262"/>
      <c r="EU32" s="262"/>
      <c r="EV32" s="262"/>
      <c r="EW32" s="78"/>
      <c r="EX32" s="78"/>
      <c r="EY32" s="166"/>
      <c r="EZ32" s="78"/>
      <c r="FA32" s="78"/>
      <c r="FB32" s="78"/>
      <c r="FC32" s="78"/>
      <c r="FD32" s="78"/>
      <c r="FE32" s="93"/>
      <c r="FF32" s="166"/>
      <c r="FG32" s="78"/>
      <c r="FH32" s="598"/>
      <c r="FI32" s="310">
        <f t="shared" si="65"/>
        <v>80</v>
      </c>
      <c r="FJ32" s="2">
        <f t="shared" si="66"/>
        <v>80</v>
      </c>
      <c r="FK32" s="166"/>
      <c r="FL32" s="78"/>
      <c r="FM32" s="78"/>
      <c r="FN32" s="78"/>
      <c r="FO32" s="78"/>
      <c r="FP32" s="78"/>
      <c r="FQ32" s="78"/>
      <c r="FR32" s="78"/>
      <c r="FS32" s="93"/>
      <c r="FT32" s="78"/>
      <c r="FU32" s="78"/>
      <c r="FV32" s="78"/>
      <c r="FW32" s="78"/>
      <c r="FX32" s="78"/>
      <c r="FY32" s="78"/>
      <c r="FZ32" s="102"/>
      <c r="GA32" s="102"/>
      <c r="GB32" s="102"/>
      <c r="GC32" s="102"/>
      <c r="GD32" s="102"/>
      <c r="GE32" s="102"/>
      <c r="GF32" s="102"/>
      <c r="GG32" s="102"/>
      <c r="GH32" s="102"/>
      <c r="GI32" s="102"/>
      <c r="GJ32" s="102"/>
      <c r="GK32" s="1162">
        <f>DataUK4!X185+DataUK4!AH185</f>
        <v>5.7999999999999972</v>
      </c>
      <c r="GL32" s="102"/>
      <c r="GM32" s="102"/>
      <c r="GN32" s="102"/>
      <c r="GO32" s="102"/>
      <c r="GP32" s="310">
        <f t="shared" si="67"/>
        <v>18.144285714285701</v>
      </c>
      <c r="GQ32" s="102"/>
      <c r="GR32" s="102"/>
      <c r="GS32" s="102"/>
      <c r="GT32" s="102"/>
      <c r="GU32" s="991">
        <f t="shared" si="68"/>
        <v>-12.344285714285704</v>
      </c>
      <c r="GW32" s="1063">
        <f>DataUK4!D185+DataUK4!F185</f>
        <v>21.900000000000002</v>
      </c>
      <c r="GX32" s="102"/>
      <c r="GY32" s="615">
        <f t="shared" si="69"/>
        <v>18.374303405572778</v>
      </c>
      <c r="GZ32" s="102"/>
      <c r="HA32" s="102"/>
      <c r="HB32" s="102"/>
      <c r="HC32" s="101"/>
      <c r="HD32" s="170">
        <f t="shared" si="92"/>
        <v>57</v>
      </c>
      <c r="HE32" s="301">
        <f t="shared" si="93"/>
        <v>61</v>
      </c>
      <c r="HF32" s="301">
        <f t="shared" si="94"/>
        <v>4</v>
      </c>
      <c r="HG32" s="170">
        <f t="shared" si="71"/>
        <v>0</v>
      </c>
      <c r="HH32" s="301">
        <v>0</v>
      </c>
      <c r="HI32" s="301">
        <v>0</v>
      </c>
      <c r="HJ32" s="2">
        <v>0</v>
      </c>
      <c r="HK32" s="2">
        <v>0</v>
      </c>
      <c r="HL32" s="2">
        <v>0</v>
      </c>
      <c r="HM32" s="2">
        <f t="shared" si="72"/>
        <v>0</v>
      </c>
      <c r="HN32" s="2">
        <v>0</v>
      </c>
      <c r="HO32" s="2">
        <v>0</v>
      </c>
      <c r="HP32" s="2">
        <v>0</v>
      </c>
      <c r="HQ32" s="2">
        <v>0</v>
      </c>
      <c r="HR32" s="2">
        <v>0</v>
      </c>
      <c r="HS32" s="1052">
        <v>0</v>
      </c>
      <c r="HT32" s="1003">
        <v>10</v>
      </c>
      <c r="HU32" s="1002">
        <f t="shared" si="73"/>
        <v>1.2218649517684887</v>
      </c>
      <c r="HV32" s="1002">
        <f t="shared" si="74"/>
        <v>1.4147909967845658</v>
      </c>
    </row>
    <row r="33" spans="1:230" ht="12" customHeight="1">
      <c r="A33" s="79">
        <f t="shared" si="0"/>
        <v>1875</v>
      </c>
      <c r="B33" s="176">
        <f t="shared" si="1"/>
        <v>1167.7935714285713</v>
      </c>
      <c r="C33" s="177">
        <f t="shared" si="2"/>
        <v>58</v>
      </c>
      <c r="D33" s="176">
        <f t="shared" si="3"/>
        <v>1109.7935714285713</v>
      </c>
      <c r="E33" s="154">
        <f t="shared" si="4"/>
        <v>1163.636</v>
      </c>
      <c r="F33" s="995">
        <f t="shared" si="5"/>
        <v>55.771428571428558</v>
      </c>
      <c r="G33" s="531">
        <f t="shared" si="6"/>
        <v>1315.2285714285715</v>
      </c>
      <c r="H33" s="531">
        <f t="shared" si="7"/>
        <v>1257.2285714285715</v>
      </c>
      <c r="I33" s="531">
        <f t="shared" si="8"/>
        <v>1313</v>
      </c>
      <c r="J33" s="548">
        <f t="shared" si="9"/>
        <v>0.88624219345011424</v>
      </c>
      <c r="K33" s="515">
        <f t="shared" si="87"/>
        <v>81</v>
      </c>
      <c r="L33" s="175">
        <v>81</v>
      </c>
      <c r="M33" s="175">
        <v>0</v>
      </c>
      <c r="N33" s="78"/>
      <c r="O33" s="78"/>
      <c r="P33" s="78"/>
      <c r="Q33" s="78"/>
      <c r="R33" s="78"/>
      <c r="S33" s="532">
        <f t="shared" si="88"/>
        <v>7.466369732522242E-2</v>
      </c>
      <c r="T33" s="1008">
        <f t="shared" si="13"/>
        <v>65.763640000000009</v>
      </c>
      <c r="U33" s="1010">
        <f t="shared" si="14"/>
        <v>65.763640000000009</v>
      </c>
      <c r="V33" s="511">
        <f t="shared" si="15"/>
        <v>77.400000000000006</v>
      </c>
      <c r="W33" s="2">
        <f t="shared" si="16"/>
        <v>77.400000000000006</v>
      </c>
      <c r="X33" s="169">
        <f t="shared" si="17"/>
        <v>11.63636</v>
      </c>
      <c r="Y33" s="113">
        <f t="shared" si="18"/>
        <v>0.15034056847545219</v>
      </c>
      <c r="Z33" s="113">
        <f t="shared" si="19"/>
        <v>0.15034056847545219</v>
      </c>
      <c r="AA33" s="78"/>
      <c r="AB33" s="1019">
        <v>0.01</v>
      </c>
      <c r="AC33" s="78"/>
      <c r="AD33" s="78"/>
      <c r="AE33" s="78"/>
      <c r="AF33" s="78"/>
      <c r="AG33" s="78"/>
      <c r="AH33" s="78"/>
      <c r="AI33" s="78"/>
      <c r="AJ33" s="171">
        <f t="shared" si="20"/>
        <v>516.61593007725378</v>
      </c>
      <c r="AK33" s="1026">
        <f t="shared" si="21"/>
        <v>156.47999999999999</v>
      </c>
      <c r="AL33" s="169">
        <f t="shared" si="22"/>
        <v>538.14159383047274</v>
      </c>
      <c r="AM33" s="169">
        <f t="shared" si="75"/>
        <v>163</v>
      </c>
      <c r="AN33" s="169">
        <f t="shared" si="23"/>
        <v>324.56375407576849</v>
      </c>
      <c r="AO33" s="1027">
        <f t="shared" si="24"/>
        <v>346.08941782898739</v>
      </c>
      <c r="AP33" s="78">
        <v>143</v>
      </c>
      <c r="AQ33" s="78">
        <v>57</v>
      </c>
      <c r="AR33" s="78">
        <f t="shared" si="76"/>
        <v>86</v>
      </c>
      <c r="AS33" s="83"/>
      <c r="AT33" s="358">
        <v>44</v>
      </c>
      <c r="AU33" s="1030">
        <f t="shared" si="25"/>
        <v>245.08941782898737</v>
      </c>
      <c r="AV33" s="78">
        <v>391</v>
      </c>
      <c r="AW33" s="534">
        <f t="shared" si="77"/>
        <v>101.91058217101263</v>
      </c>
      <c r="AX33" s="78"/>
      <c r="AY33" s="78"/>
      <c r="AZ33" s="534">
        <v>4.6360000000000001</v>
      </c>
      <c r="BA33" s="386">
        <f t="shared" si="83"/>
        <v>0.30906610066707108</v>
      </c>
      <c r="BB33" s="78"/>
      <c r="BC33" s="78"/>
      <c r="BD33" s="78"/>
      <c r="BE33" s="78"/>
      <c r="BF33" s="78"/>
      <c r="BG33" s="78"/>
      <c r="BH33" s="78"/>
      <c r="BI33" s="166">
        <v>544</v>
      </c>
      <c r="BJ33" s="2">
        <f t="shared" si="26"/>
        <v>544</v>
      </c>
      <c r="BK33" s="78">
        <v>62</v>
      </c>
      <c r="BL33" s="169">
        <f t="shared" si="27"/>
        <v>163</v>
      </c>
      <c r="BM33" s="1031">
        <f t="shared" si="28"/>
        <v>192.05217600148532</v>
      </c>
      <c r="BN33" s="310">
        <f t="shared" si="29"/>
        <v>130.05217600148532</v>
      </c>
      <c r="BO33" s="262">
        <f t="shared" si="30"/>
        <v>0.27838889870207656</v>
      </c>
      <c r="BP33" s="262">
        <f t="shared" si="31"/>
        <v>0.29685216131485398</v>
      </c>
      <c r="BQ33" s="262">
        <f t="shared" si="32"/>
        <v>0.16472940400458141</v>
      </c>
      <c r="BR33" s="262">
        <f t="shared" si="33"/>
        <v>0.35303708823802449</v>
      </c>
      <c r="BS33" s="988">
        <f t="shared" ref="BS33:BS76" si="99">BS$146</f>
        <v>0.55492068265543948</v>
      </c>
      <c r="BT33" s="534">
        <f t="shared" si="34"/>
        <v>21.525663753218911</v>
      </c>
      <c r="BU33" s="534">
        <f t="shared" si="35"/>
        <v>6.5200000000000005</v>
      </c>
      <c r="BV33" s="113">
        <v>0.04</v>
      </c>
      <c r="BW33" s="276">
        <f t="shared" si="36"/>
        <v>1.8498623068742212E-2</v>
      </c>
      <c r="BX33" s="272">
        <f t="shared" si="37"/>
        <v>33.162023753218911</v>
      </c>
      <c r="BY33" s="78"/>
      <c r="BZ33" s="1034"/>
      <c r="CA33" s="1037"/>
      <c r="CB33" s="2">
        <f t="shared" si="38"/>
        <v>1084.8645714285715</v>
      </c>
      <c r="CC33" s="2">
        <f t="shared" si="95"/>
        <v>1165.8645714285715</v>
      </c>
      <c r="CD33" s="310">
        <f t="shared" si="39"/>
        <v>1165.8645714285715</v>
      </c>
      <c r="CE33" s="310">
        <f t="shared" si="40"/>
        <v>1107.8645714285715</v>
      </c>
      <c r="CF33" s="78"/>
      <c r="CG33" s="78"/>
      <c r="CH33" s="78"/>
      <c r="CI33" s="534">
        <f t="shared" si="79"/>
        <v>55.771428571428558</v>
      </c>
      <c r="CJ33" s="78">
        <v>64</v>
      </c>
      <c r="CK33" s="386">
        <f t="shared" si="85"/>
        <v>0.87142857142857122</v>
      </c>
      <c r="CL33" s="517">
        <f t="shared" si="41"/>
        <v>410.41400135131761</v>
      </c>
      <c r="CM33" s="169">
        <f t="shared" si="42"/>
        <v>426.45840616952728</v>
      </c>
      <c r="CN33" s="170">
        <f t="shared" si="43"/>
        <v>110.51058217101263</v>
      </c>
      <c r="CO33" s="170">
        <f t="shared" si="44"/>
        <v>110.51058217101263</v>
      </c>
      <c r="CP33" s="170">
        <f t="shared" si="45"/>
        <v>315.94782399851465</v>
      </c>
      <c r="CQ33" s="170">
        <f t="shared" si="46"/>
        <v>16.044404818209649</v>
      </c>
      <c r="CR33" s="170"/>
      <c r="CS33" s="113">
        <f t="shared" si="47"/>
        <v>1.3788164699450387E-2</v>
      </c>
      <c r="CT33" s="78"/>
      <c r="CU33" s="78"/>
      <c r="CV33" s="78"/>
      <c r="CW33" s="78"/>
      <c r="CX33" s="78"/>
      <c r="CY33" s="78"/>
      <c r="CZ33" s="78"/>
      <c r="DA33" s="78"/>
      <c r="DB33" s="78"/>
      <c r="DC33" s="78"/>
      <c r="DD33" s="78"/>
      <c r="DE33" s="78"/>
      <c r="DF33" s="78"/>
      <c r="DG33" s="78"/>
      <c r="DH33" s="516">
        <f t="shared" si="48"/>
        <v>36</v>
      </c>
      <c r="DI33" s="2">
        <f t="shared" si="49"/>
        <v>42.564999999999998</v>
      </c>
      <c r="DJ33" s="169">
        <f t="shared" si="50"/>
        <v>36</v>
      </c>
      <c r="DK33" s="169">
        <f t="shared" si="51"/>
        <v>6.5650000000000004</v>
      </c>
      <c r="DL33" s="113">
        <f t="shared" si="52"/>
        <v>3.0878372053014733E-2</v>
      </c>
      <c r="DM33" s="113">
        <f t="shared" si="53"/>
        <v>6.6176470588235295E-2</v>
      </c>
      <c r="DN33" s="113">
        <v>0.6</v>
      </c>
      <c r="DO33" s="78"/>
      <c r="DP33" s="78"/>
      <c r="DQ33" s="166">
        <v>60</v>
      </c>
      <c r="DR33" s="78"/>
      <c r="DS33" s="78"/>
      <c r="DT33" s="78">
        <f t="shared" si="96"/>
        <v>60</v>
      </c>
      <c r="DU33" s="175">
        <f t="shared" si="97"/>
        <v>1072.8214285714287</v>
      </c>
      <c r="DV33" s="175">
        <v>1118</v>
      </c>
      <c r="DW33" s="170">
        <f t="shared" si="57"/>
        <v>180.17857142857133</v>
      </c>
      <c r="DX33" s="534">
        <f t="shared" si="89"/>
        <v>160.17857142857133</v>
      </c>
      <c r="DY33" s="534">
        <f t="shared" si="90"/>
        <v>144.85714285714278</v>
      </c>
      <c r="DZ33" s="262">
        <f t="shared" si="86"/>
        <v>1.3928571428571421</v>
      </c>
      <c r="EA33" s="78">
        <v>115</v>
      </c>
      <c r="EB33" s="78">
        <v>104</v>
      </c>
      <c r="EC33" s="175">
        <f t="shared" si="82"/>
        <v>15.321428571428555</v>
      </c>
      <c r="ED33" s="175">
        <v>0</v>
      </c>
      <c r="EE33" s="175">
        <f t="shared" si="58"/>
        <v>15.321428571428555</v>
      </c>
      <c r="EF33" s="175"/>
      <c r="EG33" s="78">
        <v>20</v>
      </c>
      <c r="EH33" s="534">
        <f t="shared" si="60"/>
        <v>104.40714285714277</v>
      </c>
      <c r="EI33" s="78">
        <v>372</v>
      </c>
      <c r="EJ33" s="78">
        <v>372</v>
      </c>
      <c r="EK33" s="78"/>
      <c r="EL33" s="78"/>
      <c r="EM33" s="78"/>
      <c r="EN33" s="78"/>
      <c r="EO33" s="78">
        <v>434</v>
      </c>
      <c r="EP33" s="78">
        <v>376</v>
      </c>
      <c r="EQ33" s="175">
        <f t="shared" si="91"/>
        <v>1313</v>
      </c>
      <c r="ER33" s="2">
        <f t="shared" si="64"/>
        <v>1163.636</v>
      </c>
      <c r="ES33" s="262">
        <f t="shared" si="98"/>
        <v>0.88624219345011424</v>
      </c>
      <c r="ET33" s="262"/>
      <c r="EU33" s="262"/>
      <c r="EV33" s="262"/>
      <c r="EW33" s="78"/>
      <c r="EX33" s="78"/>
      <c r="EY33" s="166"/>
      <c r="EZ33" s="78"/>
      <c r="FA33" s="78"/>
      <c r="FB33" s="78"/>
      <c r="FC33" s="78"/>
      <c r="FD33" s="78"/>
      <c r="FE33" s="93"/>
      <c r="FF33" s="166"/>
      <c r="FG33" s="78"/>
      <c r="FH33" s="598"/>
      <c r="FI33" s="310">
        <f t="shared" si="65"/>
        <v>58</v>
      </c>
      <c r="FJ33" s="2">
        <f t="shared" si="66"/>
        <v>58</v>
      </c>
      <c r="FK33" s="166"/>
      <c r="FL33" s="78"/>
      <c r="FM33" s="78"/>
      <c r="FN33" s="78"/>
      <c r="FO33" s="78"/>
      <c r="FP33" s="78"/>
      <c r="FQ33" s="78"/>
      <c r="FR33" s="78"/>
      <c r="FS33" s="93"/>
      <c r="FT33" s="78"/>
      <c r="FU33" s="78"/>
      <c r="FV33" s="78"/>
      <c r="FW33" s="78"/>
      <c r="FX33" s="78"/>
      <c r="FY33" s="78"/>
      <c r="FZ33" s="102"/>
      <c r="GA33" s="102"/>
      <c r="GB33" s="102"/>
      <c r="GC33" s="102"/>
      <c r="GD33" s="102"/>
      <c r="GE33" s="102"/>
      <c r="GF33" s="102"/>
      <c r="GG33" s="102"/>
      <c r="GH33" s="102"/>
      <c r="GI33" s="102"/>
      <c r="GJ33" s="102"/>
      <c r="GK33" s="1162">
        <f>DataUK4!X186+DataUK4!AH186</f>
        <v>6.2000000000000028</v>
      </c>
      <c r="GL33" s="102"/>
      <c r="GM33" s="102"/>
      <c r="GN33" s="102"/>
      <c r="GO33" s="102"/>
      <c r="GP33" s="310">
        <f t="shared" si="67"/>
        <v>15.321428571428555</v>
      </c>
      <c r="GQ33" s="102"/>
      <c r="GR33" s="102"/>
      <c r="GS33" s="102"/>
      <c r="GT33" s="102"/>
      <c r="GU33" s="991">
        <f t="shared" si="68"/>
        <v>-9.1214285714285523</v>
      </c>
      <c r="GW33" s="1063">
        <f>DataUK4!D186+DataUK4!F186</f>
        <v>21.799999999999997</v>
      </c>
      <c r="GX33" s="102"/>
      <c r="GY33" s="615">
        <f t="shared" si="69"/>
        <v>18.290402476780205</v>
      </c>
      <c r="GZ33" s="102"/>
      <c r="HA33" s="102"/>
      <c r="HB33" s="102"/>
      <c r="HC33" s="101"/>
      <c r="HD33" s="170">
        <f t="shared" si="92"/>
        <v>58</v>
      </c>
      <c r="HE33" s="301">
        <f t="shared" si="93"/>
        <v>62</v>
      </c>
      <c r="HF33" s="301">
        <f t="shared" si="94"/>
        <v>4</v>
      </c>
      <c r="HG33" s="170">
        <f t="shared" si="71"/>
        <v>0</v>
      </c>
      <c r="HH33" s="301">
        <v>0</v>
      </c>
      <c r="HI33" s="301">
        <v>0</v>
      </c>
      <c r="HJ33" s="2">
        <v>0</v>
      </c>
      <c r="HK33" s="2">
        <v>0</v>
      </c>
      <c r="HL33" s="2">
        <v>0</v>
      </c>
      <c r="HM33" s="2">
        <f t="shared" si="72"/>
        <v>0</v>
      </c>
      <c r="HN33" s="2">
        <v>0</v>
      </c>
      <c r="HO33" s="2">
        <v>0</v>
      </c>
      <c r="HP33" s="2">
        <v>0</v>
      </c>
      <c r="HQ33" s="2">
        <v>0</v>
      </c>
      <c r="HR33" s="2">
        <v>0</v>
      </c>
      <c r="HS33" s="1052">
        <v>0</v>
      </c>
      <c r="HT33" s="1001">
        <v>9.8000000000000007</v>
      </c>
      <c r="HU33" s="1002">
        <f t="shared" si="73"/>
        <v>1.1974276527331189</v>
      </c>
      <c r="HV33" s="1002">
        <f t="shared" si="74"/>
        <v>1.3864951768488747</v>
      </c>
    </row>
    <row r="34" spans="1:230" ht="12" customHeight="1">
      <c r="A34" s="79">
        <f t="shared" si="0"/>
        <v>1876</v>
      </c>
      <c r="B34" s="176">
        <f t="shared" si="1"/>
        <v>1153.1799999999998</v>
      </c>
      <c r="C34" s="177">
        <f t="shared" si="2"/>
        <v>57</v>
      </c>
      <c r="D34" s="176">
        <f t="shared" si="3"/>
        <v>1096.1799999999998</v>
      </c>
      <c r="E34" s="154">
        <f t="shared" si="4"/>
        <v>1150.5840000000001</v>
      </c>
      <c r="F34" s="995">
        <f t="shared" si="5"/>
        <v>56.319999999999986</v>
      </c>
      <c r="G34" s="531">
        <f t="shared" si="6"/>
        <v>1300.68</v>
      </c>
      <c r="H34" s="531">
        <f t="shared" si="7"/>
        <v>1243.68</v>
      </c>
      <c r="I34" s="531">
        <f t="shared" si="8"/>
        <v>1300</v>
      </c>
      <c r="J34" s="548">
        <f t="shared" si="9"/>
        <v>0.88506461538461545</v>
      </c>
      <c r="K34" s="515">
        <f t="shared" si="87"/>
        <v>83</v>
      </c>
      <c r="L34" s="175">
        <v>83</v>
      </c>
      <c r="M34" s="175">
        <v>0</v>
      </c>
      <c r="N34" s="78"/>
      <c r="O34" s="78"/>
      <c r="P34" s="78"/>
      <c r="Q34" s="78"/>
      <c r="R34" s="78"/>
      <c r="S34" s="532">
        <f t="shared" si="88"/>
        <v>7.7696150015352003E-2</v>
      </c>
      <c r="T34" s="1008">
        <f t="shared" si="13"/>
        <v>71.294159999999991</v>
      </c>
      <c r="U34" s="1010">
        <f t="shared" si="14"/>
        <v>71.294159999999991</v>
      </c>
      <c r="V34" s="511">
        <f t="shared" si="15"/>
        <v>82.8</v>
      </c>
      <c r="W34" s="2">
        <f t="shared" si="16"/>
        <v>82.8</v>
      </c>
      <c r="X34" s="169">
        <f t="shared" si="17"/>
        <v>11.505840000000001</v>
      </c>
      <c r="Y34" s="113">
        <f t="shared" si="18"/>
        <v>0.13895942028985508</v>
      </c>
      <c r="Z34" s="113">
        <f t="shared" si="19"/>
        <v>0.13895942028985508</v>
      </c>
      <c r="AA34" s="78"/>
      <c r="AB34" s="1019">
        <v>0.01</v>
      </c>
      <c r="AC34" s="78"/>
      <c r="AD34" s="78"/>
      <c r="AE34" s="78"/>
      <c r="AF34" s="78"/>
      <c r="AG34" s="78"/>
      <c r="AH34" s="78"/>
      <c r="AI34" s="78"/>
      <c r="AJ34" s="171">
        <f t="shared" si="20"/>
        <v>503.71788621113916</v>
      </c>
      <c r="AK34" s="1026">
        <f t="shared" si="21"/>
        <v>154.56</v>
      </c>
      <c r="AL34" s="169">
        <f t="shared" si="22"/>
        <v>524.70613146993662</v>
      </c>
      <c r="AM34" s="169">
        <f t="shared" si="75"/>
        <v>161</v>
      </c>
      <c r="AN34" s="169">
        <f t="shared" si="23"/>
        <v>316.46056310991094</v>
      </c>
      <c r="AO34" s="1027">
        <f t="shared" si="24"/>
        <v>337.4488083687084</v>
      </c>
      <c r="AP34" s="78">
        <v>149</v>
      </c>
      <c r="AQ34" s="78">
        <v>57</v>
      </c>
      <c r="AR34" s="78">
        <f t="shared" si="76"/>
        <v>92</v>
      </c>
      <c r="AS34" s="83"/>
      <c r="AT34" s="358">
        <v>43</v>
      </c>
      <c r="AU34" s="1030">
        <f t="shared" si="25"/>
        <v>237.4488083687084</v>
      </c>
      <c r="AV34" s="78">
        <v>372</v>
      </c>
      <c r="AW34" s="534">
        <f t="shared" si="77"/>
        <v>91.551191631291601</v>
      </c>
      <c r="AX34" s="78"/>
      <c r="AY34" s="78"/>
      <c r="AZ34" s="534">
        <v>4.5840000000000005</v>
      </c>
      <c r="BA34" s="386">
        <f t="shared" si="83"/>
        <v>0.30701940570042463</v>
      </c>
      <c r="BB34" s="78"/>
      <c r="BC34" s="78"/>
      <c r="BD34" s="78"/>
      <c r="BE34" s="78"/>
      <c r="BF34" s="78"/>
      <c r="BG34" s="78"/>
      <c r="BH34" s="78"/>
      <c r="BI34" s="166">
        <v>542</v>
      </c>
      <c r="BJ34" s="2">
        <f t="shared" si="26"/>
        <v>542</v>
      </c>
      <c r="BK34" s="78">
        <v>61</v>
      </c>
      <c r="BL34" s="169">
        <f t="shared" si="27"/>
        <v>161</v>
      </c>
      <c r="BM34" s="1031">
        <f t="shared" si="28"/>
        <v>187.25732310122825</v>
      </c>
      <c r="BN34" s="310">
        <f t="shared" si="29"/>
        <v>126.25732310122825</v>
      </c>
      <c r="BO34" s="262">
        <f t="shared" si="30"/>
        <v>0.27488096831822317</v>
      </c>
      <c r="BP34" s="262">
        <f t="shared" si="31"/>
        <v>0.29311157855080011</v>
      </c>
      <c r="BQ34" s="262">
        <f t="shared" si="32"/>
        <v>0.16265367726362348</v>
      </c>
      <c r="BR34" s="262">
        <f t="shared" si="33"/>
        <v>0.34549321605392669</v>
      </c>
      <c r="BS34" s="988">
        <f t="shared" si="99"/>
        <v>0.55492068265543948</v>
      </c>
      <c r="BT34" s="534">
        <f t="shared" si="34"/>
        <v>20.988245258797466</v>
      </c>
      <c r="BU34" s="534">
        <f t="shared" si="35"/>
        <v>6.44</v>
      </c>
      <c r="BV34" s="113">
        <v>0.04</v>
      </c>
      <c r="BW34" s="276">
        <f t="shared" si="36"/>
        <v>1.8241384600166059E-2</v>
      </c>
      <c r="BX34" s="272">
        <f t="shared" si="37"/>
        <v>32.494085258797469</v>
      </c>
      <c r="BY34" s="78"/>
      <c r="BZ34" s="1034"/>
      <c r="CA34" s="1037"/>
      <c r="CB34" s="2">
        <f t="shared" si="38"/>
        <v>1068.2640000000001</v>
      </c>
      <c r="CC34" s="2">
        <f t="shared" si="95"/>
        <v>1151.2640000000001</v>
      </c>
      <c r="CD34" s="310">
        <f t="shared" si="39"/>
        <v>1151.2640000000001</v>
      </c>
      <c r="CE34" s="310">
        <f t="shared" si="40"/>
        <v>1094.2640000000001</v>
      </c>
      <c r="CF34" s="78"/>
      <c r="CG34" s="78"/>
      <c r="CH34" s="78"/>
      <c r="CI34" s="534">
        <f t="shared" si="79"/>
        <v>56.319999999999986</v>
      </c>
      <c r="CJ34" s="78">
        <v>64</v>
      </c>
      <c r="CK34" s="386">
        <f t="shared" si="85"/>
        <v>0.87999999999999978</v>
      </c>
      <c r="CL34" s="517">
        <f t="shared" si="41"/>
        <v>401.56795378886079</v>
      </c>
      <c r="CM34" s="169">
        <f t="shared" si="42"/>
        <v>418.89386853006329</v>
      </c>
      <c r="CN34" s="170">
        <f t="shared" si="43"/>
        <v>100.75119163129159</v>
      </c>
      <c r="CO34" s="170">
        <f t="shared" si="44"/>
        <v>100.75119163129159</v>
      </c>
      <c r="CP34" s="170">
        <f t="shared" si="45"/>
        <v>318.1426768987717</v>
      </c>
      <c r="CQ34" s="170">
        <f t="shared" si="46"/>
        <v>17.325914741202521</v>
      </c>
      <c r="CR34" s="170"/>
      <c r="CS34" s="113">
        <f t="shared" si="47"/>
        <v>1.5058365787463166E-2</v>
      </c>
      <c r="CT34" s="78"/>
      <c r="CU34" s="78"/>
      <c r="CV34" s="78"/>
      <c r="CW34" s="78"/>
      <c r="CX34" s="78"/>
      <c r="CY34" s="78"/>
      <c r="CZ34" s="78"/>
      <c r="DA34" s="78"/>
      <c r="DB34" s="78"/>
      <c r="DC34" s="78"/>
      <c r="DD34" s="78"/>
      <c r="DE34" s="78"/>
      <c r="DF34" s="78"/>
      <c r="DG34" s="78"/>
      <c r="DH34" s="516">
        <f t="shared" si="48"/>
        <v>36.6</v>
      </c>
      <c r="DI34" s="2">
        <f t="shared" si="49"/>
        <v>43.1</v>
      </c>
      <c r="DJ34" s="169">
        <f t="shared" si="50"/>
        <v>36.6</v>
      </c>
      <c r="DK34" s="169">
        <f t="shared" si="51"/>
        <v>6.5</v>
      </c>
      <c r="DL34" s="113">
        <f t="shared" si="52"/>
        <v>3.1791144342218636E-2</v>
      </c>
      <c r="DM34" s="113">
        <f t="shared" si="53"/>
        <v>6.7527675276752769E-2</v>
      </c>
      <c r="DN34" s="113">
        <v>0.6</v>
      </c>
      <c r="DO34" s="78"/>
      <c r="DP34" s="78"/>
      <c r="DQ34" s="166">
        <v>61</v>
      </c>
      <c r="DR34" s="78"/>
      <c r="DS34" s="78"/>
      <c r="DT34" s="78">
        <f t="shared" si="96"/>
        <v>61</v>
      </c>
      <c r="DU34" s="175">
        <f t="shared" si="97"/>
        <v>1077.6400000000001</v>
      </c>
      <c r="DV34" s="175">
        <v>1126</v>
      </c>
      <c r="DW34" s="170">
        <f t="shared" si="57"/>
        <v>187.3599999999999</v>
      </c>
      <c r="DX34" s="534">
        <f t="shared" si="89"/>
        <v>172.3599999999999</v>
      </c>
      <c r="DY34" s="534">
        <f t="shared" si="90"/>
        <v>152.89999999999992</v>
      </c>
      <c r="DZ34" s="262">
        <f t="shared" si="86"/>
        <v>1.3899999999999992</v>
      </c>
      <c r="EA34" s="78">
        <v>124</v>
      </c>
      <c r="EB34" s="78">
        <v>110</v>
      </c>
      <c r="EC34" s="175">
        <f t="shared" si="82"/>
        <v>19.45999999999998</v>
      </c>
      <c r="ED34" s="175">
        <v>0</v>
      </c>
      <c r="EE34" s="175">
        <f t="shared" si="58"/>
        <v>19.45999999999998</v>
      </c>
      <c r="EF34" s="175"/>
      <c r="EG34" s="78">
        <v>15</v>
      </c>
      <c r="EH34" s="534">
        <f t="shared" si="60"/>
        <v>116.03999999999991</v>
      </c>
      <c r="EI34" s="78">
        <v>346</v>
      </c>
      <c r="EJ34" s="78">
        <v>372</v>
      </c>
      <c r="EK34" s="78"/>
      <c r="EL34" s="78"/>
      <c r="EM34" s="78"/>
      <c r="EN34" s="78"/>
      <c r="EO34" s="78">
        <v>407</v>
      </c>
      <c r="EP34" s="78">
        <v>376</v>
      </c>
      <c r="EQ34" s="175">
        <f t="shared" si="91"/>
        <v>1300</v>
      </c>
      <c r="ER34" s="2">
        <f t="shared" si="64"/>
        <v>1150.5840000000001</v>
      </c>
      <c r="ES34" s="262">
        <f t="shared" si="98"/>
        <v>0.88506461538461545</v>
      </c>
      <c r="ET34" s="262"/>
      <c r="EU34" s="262"/>
      <c r="EV34" s="262"/>
      <c r="EW34" s="78"/>
      <c r="EX34" s="78"/>
      <c r="EY34" s="166"/>
      <c r="EZ34" s="78"/>
      <c r="FA34" s="78"/>
      <c r="FB34" s="78"/>
      <c r="FC34" s="78"/>
      <c r="FD34" s="78"/>
      <c r="FE34" s="93"/>
      <c r="FF34" s="166"/>
      <c r="FG34" s="78"/>
      <c r="FH34" s="598"/>
      <c r="FI34" s="310">
        <f t="shared" si="65"/>
        <v>31</v>
      </c>
      <c r="FJ34" s="2">
        <f t="shared" si="66"/>
        <v>31</v>
      </c>
      <c r="FK34" s="166"/>
      <c r="FL34" s="78"/>
      <c r="FM34" s="78"/>
      <c r="FN34" s="78"/>
      <c r="FO34" s="78"/>
      <c r="FP34" s="78"/>
      <c r="FQ34" s="78"/>
      <c r="FR34" s="78"/>
      <c r="FS34" s="93"/>
      <c r="FT34" s="78"/>
      <c r="FU34" s="78"/>
      <c r="FV34" s="78"/>
      <c r="FW34" s="78"/>
      <c r="FX34" s="78"/>
      <c r="FY34" s="78"/>
      <c r="FZ34" s="102"/>
      <c r="GA34" s="102"/>
      <c r="GB34" s="102"/>
      <c r="GC34" s="102"/>
      <c r="GD34" s="102"/>
      <c r="GE34" s="102"/>
      <c r="GF34" s="102"/>
      <c r="GG34" s="102"/>
      <c r="GH34" s="102"/>
      <c r="GI34" s="102"/>
      <c r="GJ34" s="102"/>
      <c r="GK34" s="1162">
        <f>DataUK4!X187+DataUK4!AH187</f>
        <v>6.5</v>
      </c>
      <c r="GL34" s="102"/>
      <c r="GM34" s="102"/>
      <c r="GN34" s="102"/>
      <c r="GO34" s="102"/>
      <c r="GP34" s="310">
        <f t="shared" si="67"/>
        <v>19.45999999999998</v>
      </c>
      <c r="GQ34" s="102"/>
      <c r="GR34" s="102"/>
      <c r="GS34" s="102"/>
      <c r="GT34" s="102"/>
      <c r="GU34" s="991">
        <f t="shared" si="68"/>
        <v>-12.95999999999998</v>
      </c>
      <c r="GW34" s="1063">
        <f>DataUK4!D187+DataUK4!F187</f>
        <v>22</v>
      </c>
      <c r="GX34" s="102"/>
      <c r="GY34" s="615">
        <f t="shared" si="69"/>
        <v>18.458204334365348</v>
      </c>
      <c r="GZ34" s="102"/>
      <c r="HA34" s="102"/>
      <c r="HB34" s="102"/>
      <c r="HC34" s="101"/>
      <c r="HD34" s="170">
        <f t="shared" si="92"/>
        <v>57</v>
      </c>
      <c r="HE34" s="301">
        <f t="shared" si="93"/>
        <v>61</v>
      </c>
      <c r="HF34" s="301">
        <f t="shared" si="94"/>
        <v>4</v>
      </c>
      <c r="HG34" s="170">
        <f t="shared" si="71"/>
        <v>0</v>
      </c>
      <c r="HH34" s="301">
        <v>0</v>
      </c>
      <c r="HI34" s="301">
        <v>0</v>
      </c>
      <c r="HJ34" s="2">
        <v>0</v>
      </c>
      <c r="HK34" s="2">
        <v>0</v>
      </c>
      <c r="HL34" s="2">
        <v>0</v>
      </c>
      <c r="HM34" s="2">
        <f t="shared" si="72"/>
        <v>0</v>
      </c>
      <c r="HN34" s="2">
        <v>0</v>
      </c>
      <c r="HO34" s="2">
        <v>0</v>
      </c>
      <c r="HP34" s="2">
        <v>0</v>
      </c>
      <c r="HQ34" s="2">
        <v>0</v>
      </c>
      <c r="HR34" s="2">
        <v>0</v>
      </c>
      <c r="HS34" s="1052">
        <v>0</v>
      </c>
      <c r="HT34" s="1001">
        <v>9.8000000000000007</v>
      </c>
      <c r="HU34" s="1002">
        <f t="shared" si="73"/>
        <v>1.1974276527331189</v>
      </c>
      <c r="HV34" s="1002">
        <f t="shared" si="74"/>
        <v>1.3864951768488747</v>
      </c>
    </row>
    <row r="35" spans="1:230" ht="12" customHeight="1">
      <c r="A35" s="79">
        <f t="shared" si="0"/>
        <v>1877</v>
      </c>
      <c r="B35" s="176">
        <f t="shared" si="1"/>
        <v>1144.5314285714287</v>
      </c>
      <c r="C35" s="177">
        <f t="shared" si="2"/>
        <v>55</v>
      </c>
      <c r="D35" s="176">
        <f t="shared" si="3"/>
        <v>1089.5314285714287</v>
      </c>
      <c r="E35" s="154">
        <f t="shared" si="4"/>
        <v>1144.56</v>
      </c>
      <c r="F35" s="995">
        <f t="shared" si="5"/>
        <v>56.868571428571414</v>
      </c>
      <c r="G35" s="531">
        <f t="shared" si="6"/>
        <v>1278.1314285714286</v>
      </c>
      <c r="H35" s="531">
        <f t="shared" si="7"/>
        <v>1223.1314285714286</v>
      </c>
      <c r="I35" s="531">
        <f t="shared" si="8"/>
        <v>1280</v>
      </c>
      <c r="J35" s="548">
        <f t="shared" si="9"/>
        <v>0.89418749999999991</v>
      </c>
      <c r="K35" s="515">
        <f t="shared" si="87"/>
        <v>84</v>
      </c>
      <c r="L35" s="175">
        <v>84</v>
      </c>
      <c r="M35" s="175">
        <v>0</v>
      </c>
      <c r="N35" s="78"/>
      <c r="O35" s="78"/>
      <c r="P35" s="78"/>
      <c r="Q35" s="78"/>
      <c r="R35" s="78"/>
      <c r="S35" s="532">
        <f t="shared" si="88"/>
        <v>7.9343232346130804E-2</v>
      </c>
      <c r="T35" s="1008">
        <f t="shared" si="13"/>
        <v>73.15440000000001</v>
      </c>
      <c r="U35" s="1010">
        <f t="shared" si="14"/>
        <v>73.15440000000001</v>
      </c>
      <c r="V35" s="511">
        <f t="shared" si="15"/>
        <v>84.600000000000009</v>
      </c>
      <c r="W35" s="2">
        <f t="shared" si="16"/>
        <v>84.600000000000009</v>
      </c>
      <c r="X35" s="169">
        <f t="shared" si="17"/>
        <v>11.445599999999999</v>
      </c>
      <c r="Y35" s="113">
        <f t="shared" si="18"/>
        <v>0.13529078014184395</v>
      </c>
      <c r="Z35" s="113">
        <f t="shared" si="19"/>
        <v>0.13529078014184395</v>
      </c>
      <c r="AA35" s="78"/>
      <c r="AB35" s="1019">
        <v>0.01</v>
      </c>
      <c r="AC35" s="78"/>
      <c r="AD35" s="78"/>
      <c r="AE35" s="78"/>
      <c r="AF35" s="78"/>
      <c r="AG35" s="78"/>
      <c r="AH35" s="78"/>
      <c r="AI35" s="78"/>
      <c r="AJ35" s="171">
        <f t="shared" si="20"/>
        <v>489.72234179788978</v>
      </c>
      <c r="AK35" s="1026">
        <f t="shared" si="21"/>
        <v>147.84</v>
      </c>
      <c r="AL35" s="169">
        <f t="shared" si="22"/>
        <v>510.12743937280186</v>
      </c>
      <c r="AM35" s="169">
        <f t="shared" si="75"/>
        <v>154</v>
      </c>
      <c r="AN35" s="169">
        <f t="shared" si="23"/>
        <v>307.66786785868413</v>
      </c>
      <c r="AO35" s="1027">
        <f t="shared" si="24"/>
        <v>328.07296543359621</v>
      </c>
      <c r="AP35" s="78">
        <v>152</v>
      </c>
      <c r="AQ35" s="78">
        <v>58</v>
      </c>
      <c r="AR35" s="78">
        <f t="shared" si="76"/>
        <v>94</v>
      </c>
      <c r="AS35" s="83"/>
      <c r="AT35" s="358">
        <v>35</v>
      </c>
      <c r="AU35" s="1030">
        <f t="shared" si="25"/>
        <v>235.07296543359621</v>
      </c>
      <c r="AV35" s="78">
        <v>359</v>
      </c>
      <c r="AW35" s="534">
        <f t="shared" si="77"/>
        <v>88.92703456640379</v>
      </c>
      <c r="AX35" s="78"/>
      <c r="AY35" s="78"/>
      <c r="AZ35" s="534">
        <v>4.5599999999999996</v>
      </c>
      <c r="BA35" s="386">
        <f t="shared" si="83"/>
        <v>0.30497271073377819</v>
      </c>
      <c r="BB35" s="78"/>
      <c r="BC35" s="78"/>
      <c r="BD35" s="78"/>
      <c r="BE35" s="78"/>
      <c r="BF35" s="78"/>
      <c r="BG35" s="78"/>
      <c r="BH35" s="78"/>
      <c r="BI35" s="166">
        <v>545</v>
      </c>
      <c r="BJ35" s="2">
        <f t="shared" si="26"/>
        <v>545</v>
      </c>
      <c r="BK35" s="78">
        <v>61</v>
      </c>
      <c r="BL35" s="169">
        <f t="shared" si="27"/>
        <v>154</v>
      </c>
      <c r="BM35" s="1031">
        <f t="shared" si="28"/>
        <v>182.05447393920562</v>
      </c>
      <c r="BN35" s="310">
        <f t="shared" si="29"/>
        <v>121.05447393920562</v>
      </c>
      <c r="BO35" s="262">
        <f t="shared" si="30"/>
        <v>0.26924842539803134</v>
      </c>
      <c r="BP35" s="262">
        <f t="shared" si="31"/>
        <v>0.28710547504827871</v>
      </c>
      <c r="BQ35" s="262">
        <f t="shared" si="32"/>
        <v>0.15932076620790506</v>
      </c>
      <c r="BR35" s="262">
        <f t="shared" si="33"/>
        <v>0.33404490631046901</v>
      </c>
      <c r="BS35" s="988">
        <f t="shared" si="99"/>
        <v>0.55492068265543948</v>
      </c>
      <c r="BT35" s="534">
        <f t="shared" si="34"/>
        <v>20.405097574912073</v>
      </c>
      <c r="BU35" s="534">
        <f t="shared" si="35"/>
        <v>6.16</v>
      </c>
      <c r="BV35" s="113">
        <v>0.04</v>
      </c>
      <c r="BW35" s="276">
        <f t="shared" si="36"/>
        <v>1.7827896811798485E-2</v>
      </c>
      <c r="BX35" s="272">
        <f t="shared" si="37"/>
        <v>31.850697574912072</v>
      </c>
      <c r="BY35" s="78"/>
      <c r="BZ35" s="1034"/>
      <c r="CA35" s="1037"/>
      <c r="CB35" s="2">
        <f t="shared" si="38"/>
        <v>1058.6914285714286</v>
      </c>
      <c r="CC35" s="2">
        <f t="shared" si="95"/>
        <v>1142.6914285714286</v>
      </c>
      <c r="CD35" s="310">
        <f t="shared" si="39"/>
        <v>1142.6914285714286</v>
      </c>
      <c r="CE35" s="310">
        <f t="shared" si="40"/>
        <v>1087.6914285714286</v>
      </c>
      <c r="CF35" s="78"/>
      <c r="CG35" s="78"/>
      <c r="CH35" s="78"/>
      <c r="CI35" s="534">
        <f t="shared" si="79"/>
        <v>56.868571428571414</v>
      </c>
      <c r="CJ35" s="78">
        <v>64</v>
      </c>
      <c r="CK35" s="386">
        <f t="shared" si="85"/>
        <v>0.88857142857142835</v>
      </c>
      <c r="CL35" s="517">
        <f t="shared" si="41"/>
        <v>405.45468677353887</v>
      </c>
      <c r="CM35" s="169">
        <f t="shared" si="42"/>
        <v>424.07256062719819</v>
      </c>
      <c r="CN35" s="170">
        <f t="shared" si="43"/>
        <v>98.327034566403768</v>
      </c>
      <c r="CO35" s="170">
        <f t="shared" si="44"/>
        <v>98.327034566403768</v>
      </c>
      <c r="CP35" s="170">
        <f t="shared" si="45"/>
        <v>325.74552606079442</v>
      </c>
      <c r="CQ35" s="170">
        <f t="shared" si="46"/>
        <v>18.61787385365934</v>
      </c>
      <c r="CR35" s="170"/>
      <c r="CS35" s="113">
        <f t="shared" si="47"/>
        <v>1.6266402681955811E-2</v>
      </c>
      <c r="CT35" s="78"/>
      <c r="CU35" s="78"/>
      <c r="CV35" s="78"/>
      <c r="CW35" s="78"/>
      <c r="CX35" s="78"/>
      <c r="CY35" s="78"/>
      <c r="CZ35" s="78"/>
      <c r="DA35" s="78"/>
      <c r="DB35" s="78"/>
      <c r="DC35" s="78"/>
      <c r="DD35" s="78"/>
      <c r="DE35" s="78"/>
      <c r="DF35" s="78"/>
      <c r="DG35" s="78"/>
      <c r="DH35" s="516">
        <f t="shared" si="48"/>
        <v>37.199999999999996</v>
      </c>
      <c r="DI35" s="2">
        <f t="shared" si="49"/>
        <v>43.599999999999994</v>
      </c>
      <c r="DJ35" s="169">
        <f t="shared" si="50"/>
        <v>37.199999999999996</v>
      </c>
      <c r="DK35" s="169">
        <f t="shared" si="51"/>
        <v>6.4</v>
      </c>
      <c r="DL35" s="113">
        <f t="shared" si="52"/>
        <v>3.2554720434462996E-2</v>
      </c>
      <c r="DM35" s="113">
        <f t="shared" si="53"/>
        <v>6.8256880733944952E-2</v>
      </c>
      <c r="DN35" s="113">
        <v>0.6</v>
      </c>
      <c r="DO35" s="78"/>
      <c r="DP35" s="78"/>
      <c r="DQ35" s="166">
        <v>62</v>
      </c>
      <c r="DR35" s="78"/>
      <c r="DS35" s="78"/>
      <c r="DT35" s="78">
        <f t="shared" si="96"/>
        <v>62</v>
      </c>
      <c r="DU35" s="175">
        <f t="shared" si="97"/>
        <v>1086.5428571428572</v>
      </c>
      <c r="DV35" s="175">
        <v>1133</v>
      </c>
      <c r="DW35" s="170">
        <f t="shared" si="57"/>
        <v>176.45714285714277</v>
      </c>
      <c r="DX35" s="534">
        <f t="shared" si="89"/>
        <v>166.45714285714277</v>
      </c>
      <c r="DY35" s="534">
        <f t="shared" si="90"/>
        <v>142.8757142857142</v>
      </c>
      <c r="DZ35" s="262">
        <f t="shared" si="86"/>
        <v>1.3871428571428563</v>
      </c>
      <c r="EA35" s="78">
        <v>120</v>
      </c>
      <c r="EB35" s="78">
        <v>103</v>
      </c>
      <c r="EC35" s="175">
        <f t="shared" si="82"/>
        <v>23.581428571428575</v>
      </c>
      <c r="ED35" s="175">
        <v>0</v>
      </c>
      <c r="EE35" s="175">
        <f t="shared" si="58"/>
        <v>23.581428571428575</v>
      </c>
      <c r="EF35" s="175"/>
      <c r="EG35" s="78">
        <v>10</v>
      </c>
      <c r="EH35" s="534">
        <f t="shared" si="60"/>
        <v>109.58857142857136</v>
      </c>
      <c r="EI35" s="78">
        <v>347</v>
      </c>
      <c r="EJ35" s="78">
        <v>392</v>
      </c>
      <c r="EK35" s="78"/>
      <c r="EL35" s="78"/>
      <c r="EM35" s="78"/>
      <c r="EN35" s="78"/>
      <c r="EO35" s="78">
        <v>406</v>
      </c>
      <c r="EP35" s="78">
        <v>396</v>
      </c>
      <c r="EQ35" s="175">
        <f t="shared" si="91"/>
        <v>1280</v>
      </c>
      <c r="ER35" s="2">
        <f t="shared" si="64"/>
        <v>1144.56</v>
      </c>
      <c r="ES35" s="262">
        <f t="shared" si="98"/>
        <v>0.89418749999999991</v>
      </c>
      <c r="ET35" s="262"/>
      <c r="EU35" s="262"/>
      <c r="EV35" s="262"/>
      <c r="EW35" s="78"/>
      <c r="EX35" s="78"/>
      <c r="EY35" s="166"/>
      <c r="EZ35" s="78"/>
      <c r="FA35" s="78"/>
      <c r="FB35" s="78"/>
      <c r="FC35" s="78"/>
      <c r="FD35" s="78"/>
      <c r="FE35" s="93"/>
      <c r="FF35" s="166"/>
      <c r="FG35" s="78"/>
      <c r="FH35" s="598"/>
      <c r="FI35" s="310">
        <f t="shared" si="65"/>
        <v>10</v>
      </c>
      <c r="FJ35" s="2">
        <f t="shared" si="66"/>
        <v>10</v>
      </c>
      <c r="FK35" s="166"/>
      <c r="FL35" s="78"/>
      <c r="FM35" s="78"/>
      <c r="FN35" s="78"/>
      <c r="FO35" s="78"/>
      <c r="FP35" s="78"/>
      <c r="FQ35" s="78"/>
      <c r="FR35" s="78"/>
      <c r="FS35" s="93"/>
      <c r="FT35" s="78"/>
      <c r="FU35" s="78"/>
      <c r="FV35" s="78"/>
      <c r="FW35" s="78"/>
      <c r="FX35" s="78"/>
      <c r="FY35" s="78"/>
      <c r="FZ35" s="102"/>
      <c r="GA35" s="102"/>
      <c r="GB35" s="102"/>
      <c r="GC35" s="102"/>
      <c r="GD35" s="102"/>
      <c r="GE35" s="102"/>
      <c r="GF35" s="102"/>
      <c r="GG35" s="102"/>
      <c r="GH35" s="102"/>
      <c r="GI35" s="102"/>
      <c r="GJ35" s="102"/>
      <c r="GK35" s="1162">
        <f>DataUK4!X188+DataUK4!AH188</f>
        <v>3.6000000000000085</v>
      </c>
      <c r="GL35" s="102"/>
      <c r="GM35" s="102"/>
      <c r="GN35" s="102"/>
      <c r="GO35" s="102"/>
      <c r="GP35" s="310">
        <f t="shared" si="67"/>
        <v>23.581428571428575</v>
      </c>
      <c r="GQ35" s="102"/>
      <c r="GR35" s="102"/>
      <c r="GS35" s="102"/>
      <c r="GT35" s="102"/>
      <c r="GU35" s="991">
        <f t="shared" si="68"/>
        <v>-19.981428571428566</v>
      </c>
      <c r="GW35" s="1063">
        <f>DataUK4!D188+DataUK4!F188</f>
        <v>22.1</v>
      </c>
      <c r="GX35" s="102"/>
      <c r="GY35" s="615">
        <f t="shared" si="69"/>
        <v>18.542105263157918</v>
      </c>
      <c r="GZ35" s="102"/>
      <c r="HA35" s="102"/>
      <c r="HB35" s="102"/>
      <c r="HC35" s="101"/>
      <c r="HD35" s="170">
        <f t="shared" si="92"/>
        <v>55</v>
      </c>
      <c r="HE35" s="301">
        <f t="shared" si="93"/>
        <v>59</v>
      </c>
      <c r="HF35" s="301">
        <f t="shared" si="94"/>
        <v>4</v>
      </c>
      <c r="HG35" s="170">
        <f t="shared" si="71"/>
        <v>0</v>
      </c>
      <c r="HH35" s="301">
        <v>0</v>
      </c>
      <c r="HI35" s="301">
        <v>0</v>
      </c>
      <c r="HJ35" s="2">
        <v>0</v>
      </c>
      <c r="HK35" s="2">
        <v>0</v>
      </c>
      <c r="HL35" s="2">
        <v>0</v>
      </c>
      <c r="HM35" s="2">
        <f t="shared" si="72"/>
        <v>0</v>
      </c>
      <c r="HN35" s="2">
        <v>0</v>
      </c>
      <c r="HO35" s="2">
        <v>0</v>
      </c>
      <c r="HP35" s="2">
        <v>0</v>
      </c>
      <c r="HQ35" s="2">
        <v>0</v>
      </c>
      <c r="HR35" s="2">
        <v>0</v>
      </c>
      <c r="HS35" s="1052">
        <v>0</v>
      </c>
      <c r="HT35" s="1001">
        <v>9.6999999999999993</v>
      </c>
      <c r="HU35" s="1002">
        <f t="shared" si="73"/>
        <v>1.1852090032154339</v>
      </c>
      <c r="HV35" s="1002">
        <f t="shared" si="74"/>
        <v>1.3723472668810288</v>
      </c>
    </row>
    <row r="36" spans="1:230" ht="12" customHeight="1">
      <c r="A36" s="79">
        <f t="shared" si="0"/>
        <v>1878</v>
      </c>
      <c r="B36" s="176">
        <f t="shared" si="1"/>
        <v>1112.82</v>
      </c>
      <c r="C36" s="177">
        <f t="shared" si="2"/>
        <v>55</v>
      </c>
      <c r="D36" s="176">
        <f t="shared" si="3"/>
        <v>1057.82</v>
      </c>
      <c r="E36" s="154">
        <f t="shared" si="4"/>
        <v>1112.432</v>
      </c>
      <c r="F36" s="995">
        <f t="shared" si="5"/>
        <v>56.519999999999982</v>
      </c>
      <c r="G36" s="531">
        <f t="shared" si="6"/>
        <v>1266.48</v>
      </c>
      <c r="H36" s="531">
        <f t="shared" si="7"/>
        <v>1211.48</v>
      </c>
      <c r="I36" s="531">
        <f t="shared" si="8"/>
        <v>1268</v>
      </c>
      <c r="J36" s="548">
        <f t="shared" si="9"/>
        <v>0.87731230283911676</v>
      </c>
      <c r="K36" s="515">
        <f t="shared" si="87"/>
        <v>85</v>
      </c>
      <c r="L36" s="175">
        <v>85</v>
      </c>
      <c r="M36" s="175">
        <v>0</v>
      </c>
      <c r="N36" s="78"/>
      <c r="O36" s="78"/>
      <c r="P36" s="78"/>
      <c r="Q36" s="78"/>
      <c r="R36" s="78"/>
      <c r="S36" s="532">
        <f t="shared" si="88"/>
        <v>8.2853110208282968E-2</v>
      </c>
      <c r="T36" s="1008">
        <f t="shared" si="13"/>
        <v>77.975680000000011</v>
      </c>
      <c r="U36" s="1010">
        <f t="shared" si="14"/>
        <v>77.975680000000011</v>
      </c>
      <c r="V36" s="511">
        <f t="shared" si="15"/>
        <v>89.100000000000009</v>
      </c>
      <c r="W36" s="2">
        <f t="shared" si="16"/>
        <v>89.100000000000009</v>
      </c>
      <c r="X36" s="169">
        <f t="shared" si="17"/>
        <v>11.124320000000001</v>
      </c>
      <c r="Y36" s="113">
        <f t="shared" si="18"/>
        <v>0.12485207631874298</v>
      </c>
      <c r="Z36" s="113">
        <f t="shared" si="19"/>
        <v>0.12485207631874298</v>
      </c>
      <c r="AA36" s="78"/>
      <c r="AB36" s="1019">
        <v>0.01</v>
      </c>
      <c r="AC36" s="78"/>
      <c r="AD36" s="78"/>
      <c r="AE36" s="78"/>
      <c r="AF36" s="78"/>
      <c r="AG36" s="78"/>
      <c r="AH36" s="78"/>
      <c r="AI36" s="78"/>
      <c r="AJ36" s="171">
        <f t="shared" si="20"/>
        <v>462.81019630868059</v>
      </c>
      <c r="AK36" s="1026">
        <f t="shared" si="21"/>
        <v>140.16</v>
      </c>
      <c r="AL36" s="169">
        <f t="shared" si="22"/>
        <v>482.09395448820896</v>
      </c>
      <c r="AM36" s="169">
        <f t="shared" si="75"/>
        <v>146</v>
      </c>
      <c r="AN36" s="169">
        <f t="shared" si="23"/>
        <v>290.76032308184227</v>
      </c>
      <c r="AO36" s="1027">
        <f t="shared" si="24"/>
        <v>310.04408126137065</v>
      </c>
      <c r="AP36" s="175">
        <v>155</v>
      </c>
      <c r="AQ36" s="175">
        <v>56</v>
      </c>
      <c r="AR36" s="78">
        <f t="shared" si="76"/>
        <v>99</v>
      </c>
      <c r="AS36" s="83"/>
      <c r="AT36" s="358">
        <v>30</v>
      </c>
      <c r="AU36" s="1030">
        <f t="shared" si="25"/>
        <v>224.04408126137065</v>
      </c>
      <c r="AV36" s="78">
        <v>342</v>
      </c>
      <c r="AW36" s="534">
        <f t="shared" si="77"/>
        <v>87.95591873862935</v>
      </c>
      <c r="AX36" s="78"/>
      <c r="AY36" s="78"/>
      <c r="AZ36" s="534">
        <v>4.4320000000000004</v>
      </c>
      <c r="BA36" s="386">
        <f t="shared" si="83"/>
        <v>0.30292601576713174</v>
      </c>
      <c r="BB36" s="78"/>
      <c r="BC36" s="78"/>
      <c r="BD36" s="78"/>
      <c r="BE36" s="78"/>
      <c r="BF36" s="78"/>
      <c r="BG36" s="78"/>
      <c r="BH36" s="78"/>
      <c r="BI36" s="166">
        <v>526</v>
      </c>
      <c r="BJ36" s="2">
        <f t="shared" si="26"/>
        <v>526</v>
      </c>
      <c r="BK36" s="175">
        <v>60</v>
      </c>
      <c r="BL36" s="169">
        <f t="shared" si="27"/>
        <v>146</v>
      </c>
      <c r="BM36" s="1031">
        <f t="shared" si="28"/>
        <v>172.04987322683834</v>
      </c>
      <c r="BN36" s="310">
        <f t="shared" si="29"/>
        <v>112.04987322683834</v>
      </c>
      <c r="BO36" s="262">
        <f t="shared" si="30"/>
        <v>0.26173119300344427</v>
      </c>
      <c r="BP36" s="262">
        <f t="shared" si="31"/>
        <v>0.27908968600696604</v>
      </c>
      <c r="BQ36" s="262">
        <f t="shared" si="32"/>
        <v>0.15487263908107785</v>
      </c>
      <c r="BR36" s="262">
        <f t="shared" si="33"/>
        <v>0.32709101373923638</v>
      </c>
      <c r="BS36" s="988">
        <f t="shared" si="99"/>
        <v>0.55492068265543948</v>
      </c>
      <c r="BT36" s="534">
        <f t="shared" si="34"/>
        <v>19.283758179528359</v>
      </c>
      <c r="BU36" s="534">
        <f t="shared" si="35"/>
        <v>5.84</v>
      </c>
      <c r="BV36" s="113">
        <v>0.04</v>
      </c>
      <c r="BW36" s="276">
        <f t="shared" si="36"/>
        <v>1.7334774781315496E-2</v>
      </c>
      <c r="BX36" s="272">
        <f t="shared" si="37"/>
        <v>30.40807817952836</v>
      </c>
      <c r="BY36" s="78"/>
      <c r="BZ36" s="1034"/>
      <c r="CA36" s="1037"/>
      <c r="CB36" s="2">
        <f t="shared" si="38"/>
        <v>1025.912</v>
      </c>
      <c r="CC36" s="2">
        <f t="shared" si="95"/>
        <v>1110.912</v>
      </c>
      <c r="CD36" s="310">
        <f t="shared" si="39"/>
        <v>1110.912</v>
      </c>
      <c r="CE36" s="310">
        <f t="shared" si="40"/>
        <v>1055.912</v>
      </c>
      <c r="CF36" s="78"/>
      <c r="CG36" s="78"/>
      <c r="CH36" s="78"/>
      <c r="CI36" s="534">
        <f t="shared" si="79"/>
        <v>56.519999999999982</v>
      </c>
      <c r="CJ36" s="78">
        <v>63</v>
      </c>
      <c r="CK36" s="386">
        <f t="shared" si="85"/>
        <v>0.89714285714285691</v>
      </c>
      <c r="CL36" s="517">
        <f t="shared" si="41"/>
        <v>393.63412369131936</v>
      </c>
      <c r="CM36" s="169">
        <f t="shared" si="42"/>
        <v>413.40604551179098</v>
      </c>
      <c r="CN36" s="170">
        <f t="shared" si="43"/>
        <v>97.855918738629327</v>
      </c>
      <c r="CO36" s="170">
        <f t="shared" si="44"/>
        <v>97.855918738629327</v>
      </c>
      <c r="CP36" s="170">
        <f t="shared" si="45"/>
        <v>315.55012677316165</v>
      </c>
      <c r="CQ36" s="170">
        <f t="shared" si="46"/>
        <v>19.771921820471626</v>
      </c>
      <c r="CR36" s="170"/>
      <c r="CS36" s="113">
        <f t="shared" si="47"/>
        <v>1.7773600382289995E-2</v>
      </c>
      <c r="CT36" s="78"/>
      <c r="CU36" s="78"/>
      <c r="CV36" s="78"/>
      <c r="CW36" s="78"/>
      <c r="CX36" s="78"/>
      <c r="CY36" s="78"/>
      <c r="CZ36" s="78"/>
      <c r="DA36" s="78"/>
      <c r="DB36" s="78"/>
      <c r="DC36" s="78"/>
      <c r="DD36" s="78"/>
      <c r="DE36" s="78"/>
      <c r="DF36" s="78"/>
      <c r="DG36" s="78"/>
      <c r="DH36" s="516">
        <f t="shared" si="48"/>
        <v>38.399999999999991</v>
      </c>
      <c r="DI36" s="2">
        <f t="shared" si="49"/>
        <v>44.739999999999995</v>
      </c>
      <c r="DJ36" s="169">
        <f t="shared" si="50"/>
        <v>38.4</v>
      </c>
      <c r="DK36" s="169">
        <f t="shared" si="51"/>
        <v>6.34</v>
      </c>
      <c r="DL36" s="113">
        <f t="shared" si="52"/>
        <v>3.4566194262011747E-2</v>
      </c>
      <c r="DM36" s="113">
        <f t="shared" si="53"/>
        <v>7.3003802281368824E-2</v>
      </c>
      <c r="DN36" s="113">
        <v>0.6</v>
      </c>
      <c r="DO36" s="78"/>
      <c r="DP36" s="78"/>
      <c r="DQ36" s="166">
        <v>64</v>
      </c>
      <c r="DR36" s="78"/>
      <c r="DS36" s="78"/>
      <c r="DT36" s="78">
        <f t="shared" si="96"/>
        <v>64</v>
      </c>
      <c r="DU36" s="175">
        <f t="shared" si="97"/>
        <v>1077.7285714285715</v>
      </c>
      <c r="DV36" s="175">
        <v>1120</v>
      </c>
      <c r="DW36" s="170">
        <f t="shared" si="57"/>
        <v>157.27142857142849</v>
      </c>
      <c r="DX36" s="534">
        <f t="shared" si="89"/>
        <v>152.27142857142849</v>
      </c>
      <c r="DY36" s="534">
        <f t="shared" si="90"/>
        <v>127.35428571428564</v>
      </c>
      <c r="DZ36" s="262">
        <f t="shared" si="86"/>
        <v>1.3842857142857135</v>
      </c>
      <c r="EA36" s="78">
        <v>110</v>
      </c>
      <c r="EB36" s="78">
        <v>92</v>
      </c>
      <c r="EC36" s="175">
        <f t="shared" si="82"/>
        <v>24.917142857142849</v>
      </c>
      <c r="ED36" s="175">
        <v>0</v>
      </c>
      <c r="EE36" s="175">
        <f t="shared" si="58"/>
        <v>24.917142857142849</v>
      </c>
      <c r="EF36" s="175"/>
      <c r="EG36" s="78">
        <v>5</v>
      </c>
      <c r="EH36" s="534">
        <f t="shared" si="60"/>
        <v>95.751428571428505</v>
      </c>
      <c r="EI36" s="78">
        <v>335</v>
      </c>
      <c r="EJ36" s="78">
        <v>366</v>
      </c>
      <c r="EK36" s="78"/>
      <c r="EL36" s="78"/>
      <c r="EM36" s="78"/>
      <c r="EN36" s="78"/>
      <c r="EO36" s="78">
        <v>394</v>
      </c>
      <c r="EP36" s="78">
        <v>370</v>
      </c>
      <c r="EQ36" s="175">
        <f t="shared" si="91"/>
        <v>1268</v>
      </c>
      <c r="ER36" s="2">
        <f t="shared" si="64"/>
        <v>1112.432</v>
      </c>
      <c r="ES36" s="262">
        <f t="shared" si="98"/>
        <v>0.87731230283911676</v>
      </c>
      <c r="ET36" s="262"/>
      <c r="EU36" s="262"/>
      <c r="EV36" s="262"/>
      <c r="EW36" s="78"/>
      <c r="EX36" s="78"/>
      <c r="EY36" s="166"/>
      <c r="EZ36" s="78"/>
      <c r="FA36" s="78"/>
      <c r="FB36" s="78"/>
      <c r="FC36" s="78"/>
      <c r="FD36" s="78"/>
      <c r="FE36" s="93"/>
      <c r="FF36" s="166"/>
      <c r="FG36" s="78"/>
      <c r="FH36" s="598"/>
      <c r="FI36" s="310">
        <f t="shared" si="65"/>
        <v>24</v>
      </c>
      <c r="FJ36" s="2">
        <f t="shared" si="66"/>
        <v>24</v>
      </c>
      <c r="FK36" s="166"/>
      <c r="FL36" s="78"/>
      <c r="FM36" s="78"/>
      <c r="FN36" s="78"/>
      <c r="FO36" s="78"/>
      <c r="FP36" s="78"/>
      <c r="FQ36" s="78"/>
      <c r="FR36" s="78"/>
      <c r="FS36" s="93"/>
      <c r="FT36" s="78"/>
      <c r="FU36" s="78"/>
      <c r="FV36" s="78"/>
      <c r="FW36" s="78"/>
      <c r="FX36" s="78"/>
      <c r="FY36" s="78"/>
      <c r="FZ36" s="102"/>
      <c r="GA36" s="102"/>
      <c r="GB36" s="102"/>
      <c r="GC36" s="102"/>
      <c r="GD36" s="102"/>
      <c r="GE36" s="102"/>
      <c r="GF36" s="102"/>
      <c r="GG36" s="102"/>
      <c r="GH36" s="102"/>
      <c r="GI36" s="102"/>
      <c r="GJ36" s="102"/>
      <c r="GK36" s="1162">
        <f>DataUK4!X189+DataUK4!AH189</f>
        <v>4.1000000000000085</v>
      </c>
      <c r="GL36" s="102"/>
      <c r="GM36" s="102"/>
      <c r="GN36" s="102"/>
      <c r="GO36" s="102"/>
      <c r="GP36" s="310">
        <f t="shared" si="67"/>
        <v>24.917142857142849</v>
      </c>
      <c r="GQ36" s="102"/>
      <c r="GR36" s="102"/>
      <c r="GS36" s="102"/>
      <c r="GT36" s="102"/>
      <c r="GU36" s="991">
        <f t="shared" si="68"/>
        <v>-20.817142857142841</v>
      </c>
      <c r="GW36" s="1063">
        <f>DataUK4!D189+DataUK4!F189</f>
        <v>22.3</v>
      </c>
      <c r="GX36" s="102"/>
      <c r="GY36" s="615">
        <f t="shared" si="69"/>
        <v>18.709907120743058</v>
      </c>
      <c r="GZ36" s="102"/>
      <c r="HA36" s="102"/>
      <c r="HB36" s="102"/>
      <c r="HC36" s="101"/>
      <c r="HD36" s="170">
        <f t="shared" si="92"/>
        <v>55</v>
      </c>
      <c r="HE36" s="301">
        <f t="shared" si="93"/>
        <v>59</v>
      </c>
      <c r="HF36" s="301">
        <f t="shared" si="94"/>
        <v>4</v>
      </c>
      <c r="HG36" s="170">
        <f t="shared" si="71"/>
        <v>0</v>
      </c>
      <c r="HH36" s="301">
        <v>0</v>
      </c>
      <c r="HI36" s="301">
        <v>0</v>
      </c>
      <c r="HJ36" s="2">
        <v>0</v>
      </c>
      <c r="HK36" s="2">
        <v>0</v>
      </c>
      <c r="HL36" s="2">
        <v>0</v>
      </c>
      <c r="HM36" s="2">
        <f t="shared" si="72"/>
        <v>0</v>
      </c>
      <c r="HN36" s="2">
        <v>0</v>
      </c>
      <c r="HO36" s="2">
        <v>0</v>
      </c>
      <c r="HP36" s="2">
        <v>0</v>
      </c>
      <c r="HQ36" s="2">
        <v>0</v>
      </c>
      <c r="HR36" s="2">
        <v>0</v>
      </c>
      <c r="HS36" s="1052">
        <v>0</v>
      </c>
      <c r="HT36" s="1001">
        <v>9.5</v>
      </c>
      <c r="HU36" s="1002">
        <f t="shared" si="73"/>
        <v>1.1607717041800643</v>
      </c>
      <c r="HV36" s="1002">
        <f t="shared" si="74"/>
        <v>1.3440514469453377</v>
      </c>
    </row>
    <row r="37" spans="1:230" ht="12" customHeight="1">
      <c r="A37" s="79">
        <f t="shared" si="0"/>
        <v>1879</v>
      </c>
      <c r="B37" s="176">
        <f t="shared" si="1"/>
        <v>1087.6864285714287</v>
      </c>
      <c r="C37" s="177">
        <f t="shared" si="2"/>
        <v>56</v>
      </c>
      <c r="D37" s="176">
        <f t="shared" si="3"/>
        <v>1031.6864285714287</v>
      </c>
      <c r="E37" s="154">
        <f t="shared" si="4"/>
        <v>1085.3240000000001</v>
      </c>
      <c r="F37" s="995">
        <f t="shared" si="5"/>
        <v>55.248571428571417</v>
      </c>
      <c r="G37" s="531">
        <f t="shared" si="6"/>
        <v>1187.7514285714287</v>
      </c>
      <c r="H37" s="531">
        <f t="shared" si="7"/>
        <v>1131.7514285714287</v>
      </c>
      <c r="I37" s="531">
        <f t="shared" si="8"/>
        <v>1187.0000000000002</v>
      </c>
      <c r="J37" s="548">
        <f t="shared" si="9"/>
        <v>0.91434203875315911</v>
      </c>
      <c r="K37" s="515">
        <f t="shared" si="87"/>
        <v>82</v>
      </c>
      <c r="L37" s="175">
        <v>82</v>
      </c>
      <c r="M37" s="175">
        <v>0</v>
      </c>
      <c r="N37" s="78"/>
      <c r="O37" s="78"/>
      <c r="P37" s="78"/>
      <c r="Q37" s="78"/>
      <c r="R37" s="78"/>
      <c r="S37" s="532">
        <f t="shared" si="88"/>
        <v>8.1667171276830638E-2</v>
      </c>
      <c r="T37" s="1008">
        <f t="shared" si="13"/>
        <v>80.046760000000006</v>
      </c>
      <c r="U37" s="1010">
        <f t="shared" si="14"/>
        <v>80.046760000000006</v>
      </c>
      <c r="V37" s="511">
        <f t="shared" si="15"/>
        <v>90.9</v>
      </c>
      <c r="W37" s="2">
        <f t="shared" si="16"/>
        <v>90.9</v>
      </c>
      <c r="X37" s="169">
        <f t="shared" si="17"/>
        <v>10.853240000000001</v>
      </c>
      <c r="Y37" s="113">
        <f t="shared" si="18"/>
        <v>0.11939757975797581</v>
      </c>
      <c r="Z37" s="113">
        <f t="shared" si="19"/>
        <v>0.11939757975797581</v>
      </c>
      <c r="AA37" s="78"/>
      <c r="AB37" s="1019">
        <v>0.01</v>
      </c>
      <c r="AC37" s="78"/>
      <c r="AD37" s="78"/>
      <c r="AE37" s="78"/>
      <c r="AF37" s="78"/>
      <c r="AG37" s="78"/>
      <c r="AH37" s="78"/>
      <c r="AI37" s="78"/>
      <c r="AJ37" s="171">
        <f t="shared" si="20"/>
        <v>429.63941001790494</v>
      </c>
      <c r="AK37" s="1026">
        <f t="shared" si="21"/>
        <v>120.96</v>
      </c>
      <c r="AL37" s="169">
        <f t="shared" si="22"/>
        <v>447.54105210198429</v>
      </c>
      <c r="AM37" s="169">
        <f t="shared" si="75"/>
        <v>126</v>
      </c>
      <c r="AN37" s="169">
        <f t="shared" si="23"/>
        <v>269.92078969275525</v>
      </c>
      <c r="AO37" s="1027">
        <f t="shared" si="24"/>
        <v>287.82243177683461</v>
      </c>
      <c r="AP37" s="175">
        <v>156</v>
      </c>
      <c r="AQ37" s="175">
        <v>55</v>
      </c>
      <c r="AR37" s="78">
        <f t="shared" si="76"/>
        <v>101</v>
      </c>
      <c r="AS37" s="83"/>
      <c r="AT37" s="358">
        <v>13</v>
      </c>
      <c r="AU37" s="1030">
        <f t="shared" si="25"/>
        <v>219.82243177683458</v>
      </c>
      <c r="AV37" s="78">
        <v>325</v>
      </c>
      <c r="AW37" s="534">
        <f t="shared" si="77"/>
        <v>92.177568223165423</v>
      </c>
      <c r="AX37" s="78"/>
      <c r="AY37" s="78"/>
      <c r="AZ37" s="534">
        <v>4.3239999999999998</v>
      </c>
      <c r="BA37" s="386">
        <f t="shared" si="83"/>
        <v>0.30087932080048529</v>
      </c>
      <c r="BB37" s="78"/>
      <c r="BC37" s="78"/>
      <c r="BD37" s="78"/>
      <c r="BE37" s="78"/>
      <c r="BF37" s="78"/>
      <c r="BG37" s="78"/>
      <c r="BH37" s="78"/>
      <c r="BI37" s="166">
        <v>518</v>
      </c>
      <c r="BJ37" s="2">
        <f t="shared" si="26"/>
        <v>518</v>
      </c>
      <c r="BK37" s="175">
        <v>58</v>
      </c>
      <c r="BL37" s="169">
        <f t="shared" si="27"/>
        <v>126</v>
      </c>
      <c r="BM37" s="1031">
        <f t="shared" si="28"/>
        <v>159.71862032514971</v>
      </c>
      <c r="BN37" s="310">
        <f t="shared" si="29"/>
        <v>101.71862032514971</v>
      </c>
      <c r="BO37" s="262">
        <f t="shared" si="30"/>
        <v>0.24852858520866833</v>
      </c>
      <c r="BP37" s="262">
        <f t="shared" si="31"/>
        <v>0.26501145703611251</v>
      </c>
      <c r="BQ37" s="262">
        <f t="shared" si="32"/>
        <v>0.14706033864999221</v>
      </c>
      <c r="BR37" s="262">
        <f t="shared" si="33"/>
        <v>0.30833710487480642</v>
      </c>
      <c r="BS37" s="988">
        <f t="shared" si="99"/>
        <v>0.55492068265543948</v>
      </c>
      <c r="BT37" s="534">
        <f t="shared" si="34"/>
        <v>17.901642084079374</v>
      </c>
      <c r="BU37" s="534">
        <f t="shared" si="35"/>
        <v>5.04</v>
      </c>
      <c r="BV37" s="113">
        <v>0.04</v>
      </c>
      <c r="BW37" s="276">
        <f t="shared" si="36"/>
        <v>1.6494283812096087E-2</v>
      </c>
      <c r="BX37" s="272">
        <f t="shared" si="37"/>
        <v>28.754882084079377</v>
      </c>
      <c r="BY37" s="78"/>
      <c r="BZ37" s="1034"/>
      <c r="CA37" s="1037"/>
      <c r="CB37" s="2">
        <f t="shared" si="38"/>
        <v>1004.0754285714287</v>
      </c>
      <c r="CC37" s="2">
        <f t="shared" si="95"/>
        <v>1086.0754285714286</v>
      </c>
      <c r="CD37" s="310">
        <f t="shared" si="39"/>
        <v>1086.0754285714286</v>
      </c>
      <c r="CE37" s="310">
        <f t="shared" si="40"/>
        <v>1030.0754285714286</v>
      </c>
      <c r="CF37" s="78"/>
      <c r="CG37" s="78"/>
      <c r="CH37" s="78"/>
      <c r="CI37" s="534">
        <f t="shared" si="79"/>
        <v>55.248571428571417</v>
      </c>
      <c r="CJ37" s="78">
        <v>61</v>
      </c>
      <c r="CK37" s="386">
        <f t="shared" si="85"/>
        <v>0.90571428571428547</v>
      </c>
      <c r="CL37" s="517">
        <f t="shared" si="41"/>
        <v>398.6002585535237</v>
      </c>
      <c r="CM37" s="169">
        <f t="shared" si="42"/>
        <v>419.15894789801575</v>
      </c>
      <c r="CN37" s="170">
        <f t="shared" si="43"/>
        <v>102.27756822316542</v>
      </c>
      <c r="CO37" s="170">
        <f t="shared" si="44"/>
        <v>102.27756822316542</v>
      </c>
      <c r="CP37" s="170">
        <f t="shared" si="45"/>
        <v>316.88137967485034</v>
      </c>
      <c r="CQ37" s="170">
        <f t="shared" si="46"/>
        <v>20.558689344492041</v>
      </c>
      <c r="CR37" s="170"/>
      <c r="CS37" s="113">
        <f t="shared" si="47"/>
        <v>1.8942444232774767E-2</v>
      </c>
      <c r="CT37" s="78"/>
      <c r="CU37" s="78"/>
      <c r="CV37" s="78"/>
      <c r="CW37" s="78"/>
      <c r="CX37" s="78"/>
      <c r="CY37" s="78"/>
      <c r="CZ37" s="78"/>
      <c r="DA37" s="78"/>
      <c r="DB37" s="78"/>
      <c r="DC37" s="78"/>
      <c r="DD37" s="78"/>
      <c r="DE37" s="78"/>
      <c r="DF37" s="78"/>
      <c r="DG37" s="78"/>
      <c r="DH37" s="516">
        <f t="shared" si="48"/>
        <v>41.4</v>
      </c>
      <c r="DI37" s="2">
        <f t="shared" si="49"/>
        <v>47.335000000000001</v>
      </c>
      <c r="DJ37" s="169">
        <f t="shared" si="50"/>
        <v>41.4</v>
      </c>
      <c r="DK37" s="169">
        <f t="shared" si="51"/>
        <v>5.9350000000000014</v>
      </c>
      <c r="DL37" s="113">
        <f t="shared" si="52"/>
        <v>3.8118899397674037E-2</v>
      </c>
      <c r="DM37" s="113">
        <f t="shared" si="53"/>
        <v>7.9922779922779921E-2</v>
      </c>
      <c r="DN37" s="113">
        <v>0.6</v>
      </c>
      <c r="DO37" s="78"/>
      <c r="DP37" s="78"/>
      <c r="DQ37" s="166">
        <v>69</v>
      </c>
      <c r="DR37" s="78"/>
      <c r="DS37" s="78"/>
      <c r="DT37" s="78">
        <f t="shared" si="96"/>
        <v>69</v>
      </c>
      <c r="DU37" s="175">
        <f t="shared" si="97"/>
        <v>1022.6714285714287</v>
      </c>
      <c r="DV37" s="175">
        <v>1057</v>
      </c>
      <c r="DW37" s="170">
        <f t="shared" si="57"/>
        <v>119.32857142857135</v>
      </c>
      <c r="DX37" s="534">
        <f t="shared" si="89"/>
        <v>124.32857142857135</v>
      </c>
      <c r="DY37" s="534">
        <f t="shared" si="90"/>
        <v>102.22571428571422</v>
      </c>
      <c r="DZ37" s="262">
        <f t="shared" si="86"/>
        <v>1.3814285714285706</v>
      </c>
      <c r="EA37" s="78">
        <v>90</v>
      </c>
      <c r="EB37" s="78">
        <v>74</v>
      </c>
      <c r="EC37" s="175">
        <f t="shared" si="82"/>
        <v>22.102857142857133</v>
      </c>
      <c r="ED37" s="175">
        <v>0</v>
      </c>
      <c r="EE37" s="175">
        <f t="shared" si="58"/>
        <v>22.102857142857133</v>
      </c>
      <c r="EF37" s="175"/>
      <c r="EG37" s="78">
        <v>-5</v>
      </c>
      <c r="EH37" s="534">
        <f t="shared" si="60"/>
        <v>69.079999999999927</v>
      </c>
      <c r="EI37" s="78">
        <v>337</v>
      </c>
      <c r="EJ37" s="78">
        <v>361</v>
      </c>
      <c r="EK37" s="78"/>
      <c r="EL37" s="78"/>
      <c r="EM37" s="78"/>
      <c r="EN37" s="78"/>
      <c r="EO37" s="78">
        <v>397</v>
      </c>
      <c r="EP37" s="78">
        <v>365</v>
      </c>
      <c r="EQ37" s="175">
        <f t="shared" si="91"/>
        <v>1187.0000000000002</v>
      </c>
      <c r="ER37" s="2">
        <f t="shared" si="64"/>
        <v>1085.3240000000001</v>
      </c>
      <c r="ES37" s="262">
        <f t="shared" si="98"/>
        <v>0.91434203875315911</v>
      </c>
      <c r="ET37" s="262"/>
      <c r="EU37" s="262"/>
      <c r="EV37" s="262"/>
      <c r="EW37" s="78"/>
      <c r="EX37" s="78"/>
      <c r="EY37" s="166"/>
      <c r="EZ37" s="78"/>
      <c r="FA37" s="78"/>
      <c r="FB37" s="78"/>
      <c r="FC37" s="78"/>
      <c r="FD37" s="78"/>
      <c r="FE37" s="93"/>
      <c r="FF37" s="166"/>
      <c r="FG37" s="78"/>
      <c r="FH37" s="598"/>
      <c r="FI37" s="310">
        <f t="shared" si="65"/>
        <v>32</v>
      </c>
      <c r="FJ37" s="2">
        <f t="shared" si="66"/>
        <v>32</v>
      </c>
      <c r="FK37" s="166"/>
      <c r="FL37" s="78"/>
      <c r="FM37" s="78"/>
      <c r="FN37" s="78"/>
      <c r="FO37" s="78"/>
      <c r="FP37" s="78"/>
      <c r="FQ37" s="78"/>
      <c r="FR37" s="78"/>
      <c r="FS37" s="93"/>
      <c r="FT37" s="78"/>
      <c r="FU37" s="78"/>
      <c r="FV37" s="78"/>
      <c r="FW37" s="78"/>
      <c r="FX37" s="78"/>
      <c r="FY37" s="78"/>
      <c r="FZ37" s="102"/>
      <c r="GA37" s="102"/>
      <c r="GB37" s="102"/>
      <c r="GC37" s="102"/>
      <c r="GD37" s="102"/>
      <c r="GE37" s="102"/>
      <c r="GF37" s="102"/>
      <c r="GG37" s="102"/>
      <c r="GH37" s="102"/>
      <c r="GI37" s="102"/>
      <c r="GJ37" s="102"/>
      <c r="GK37" s="1162">
        <f>DataUK4!X190+DataUK4!AH190</f>
        <v>-2.5</v>
      </c>
      <c r="GL37" s="102"/>
      <c r="GM37" s="102"/>
      <c r="GN37" s="102"/>
      <c r="GO37" s="102"/>
      <c r="GP37" s="310">
        <f t="shared" si="67"/>
        <v>22.102857142857133</v>
      </c>
      <c r="GQ37" s="102"/>
      <c r="GR37" s="102"/>
      <c r="GS37" s="102"/>
      <c r="GT37" s="102"/>
      <c r="GU37" s="991">
        <f t="shared" si="68"/>
        <v>-24.602857142857133</v>
      </c>
      <c r="GW37" s="1063">
        <f>DataUK4!D190+DataUK4!F190</f>
        <v>22.400000000000002</v>
      </c>
      <c r="GX37" s="102"/>
      <c r="GY37" s="615">
        <f t="shared" si="69"/>
        <v>18.793808049535627</v>
      </c>
      <c r="GZ37" s="102"/>
      <c r="HA37" s="102"/>
      <c r="HB37" s="102"/>
      <c r="HC37" s="101"/>
      <c r="HD37" s="170">
        <f t="shared" si="92"/>
        <v>56</v>
      </c>
      <c r="HE37" s="301">
        <f t="shared" si="93"/>
        <v>60</v>
      </c>
      <c r="HF37" s="301">
        <f t="shared" si="94"/>
        <v>4</v>
      </c>
      <c r="HG37" s="170">
        <f t="shared" si="71"/>
        <v>0</v>
      </c>
      <c r="HH37" s="301">
        <v>0</v>
      </c>
      <c r="HI37" s="301">
        <v>0</v>
      </c>
      <c r="HJ37" s="2">
        <v>0</v>
      </c>
      <c r="HK37" s="2">
        <v>0</v>
      </c>
      <c r="HL37" s="2">
        <v>0</v>
      </c>
      <c r="HM37" s="2">
        <f t="shared" si="72"/>
        <v>0</v>
      </c>
      <c r="HN37" s="2">
        <v>0</v>
      </c>
      <c r="HO37" s="2">
        <v>0</v>
      </c>
      <c r="HP37" s="2">
        <v>0</v>
      </c>
      <c r="HQ37" s="2">
        <v>0</v>
      </c>
      <c r="HR37" s="2">
        <v>0</v>
      </c>
      <c r="HS37" s="1052">
        <v>0</v>
      </c>
      <c r="HT37" s="1001">
        <v>9.1</v>
      </c>
      <c r="HU37" s="1002">
        <f t="shared" si="73"/>
        <v>1.1118971061093246</v>
      </c>
      <c r="HV37" s="1002">
        <f t="shared" si="74"/>
        <v>1.2874598070739549</v>
      </c>
    </row>
    <row r="38" spans="1:230" ht="12" customHeight="1">
      <c r="A38" s="79">
        <f t="shared" si="0"/>
        <v>1880</v>
      </c>
      <c r="B38" s="176">
        <f t="shared" si="1"/>
        <v>1131.1357142857144</v>
      </c>
      <c r="C38" s="177">
        <f t="shared" si="2"/>
        <v>58</v>
      </c>
      <c r="D38" s="176">
        <f t="shared" si="3"/>
        <v>1073.1357142857144</v>
      </c>
      <c r="E38" s="154">
        <f t="shared" si="4"/>
        <v>1129.5</v>
      </c>
      <c r="F38" s="995">
        <f t="shared" si="5"/>
        <v>58.514285714285698</v>
      </c>
      <c r="G38" s="531">
        <f t="shared" si="6"/>
        <v>1329.4857142857143</v>
      </c>
      <c r="H38" s="531">
        <f t="shared" si="7"/>
        <v>1271.4857142857143</v>
      </c>
      <c r="I38" s="531">
        <f t="shared" si="8"/>
        <v>1330</v>
      </c>
      <c r="J38" s="548">
        <f t="shared" si="9"/>
        <v>0.84924812030075192</v>
      </c>
      <c r="K38" s="515">
        <f t="shared" si="87"/>
        <v>82</v>
      </c>
      <c r="L38" s="175">
        <v>82</v>
      </c>
      <c r="M38" s="175">
        <v>0</v>
      </c>
      <c r="N38" s="78"/>
      <c r="O38" s="78"/>
      <c r="P38" s="78"/>
      <c r="Q38" s="78"/>
      <c r="R38" s="78"/>
      <c r="S38" s="532">
        <f t="shared" si="88"/>
        <v>7.8320075318260587E-2</v>
      </c>
      <c r="T38" s="1008">
        <f t="shared" si="13"/>
        <v>82.305000000000007</v>
      </c>
      <c r="U38" s="1010">
        <f t="shared" si="14"/>
        <v>82.305000000000007</v>
      </c>
      <c r="V38" s="511">
        <f t="shared" si="15"/>
        <v>93.600000000000009</v>
      </c>
      <c r="W38" s="2">
        <f t="shared" si="16"/>
        <v>93.600000000000009</v>
      </c>
      <c r="X38" s="169">
        <f t="shared" si="17"/>
        <v>11.295</v>
      </c>
      <c r="Y38" s="113">
        <f t="shared" si="18"/>
        <v>0.12067307692307691</v>
      </c>
      <c r="Z38" s="113">
        <f t="shared" si="19"/>
        <v>0.12067307692307691</v>
      </c>
      <c r="AA38" s="78"/>
      <c r="AB38" s="1019">
        <v>0.01</v>
      </c>
      <c r="AC38" s="78"/>
      <c r="AD38" s="78"/>
      <c r="AE38" s="78"/>
      <c r="AF38" s="78"/>
      <c r="AG38" s="78"/>
      <c r="AH38" s="78"/>
      <c r="AI38" s="78"/>
      <c r="AJ38" s="171">
        <f t="shared" si="20"/>
        <v>451.70862614003931</v>
      </c>
      <c r="AK38" s="1026">
        <f t="shared" si="21"/>
        <v>126.72</v>
      </c>
      <c r="AL38" s="169">
        <f t="shared" si="22"/>
        <v>470.52981889587426</v>
      </c>
      <c r="AM38" s="169">
        <f t="shared" si="75"/>
        <v>132</v>
      </c>
      <c r="AN38" s="169">
        <f t="shared" si="23"/>
        <v>283.78576600705173</v>
      </c>
      <c r="AO38" s="1027">
        <f t="shared" si="24"/>
        <v>302.60695876288673</v>
      </c>
      <c r="AP38" s="175">
        <v>157</v>
      </c>
      <c r="AQ38" s="175">
        <v>53</v>
      </c>
      <c r="AR38" s="78">
        <f t="shared" si="76"/>
        <v>104</v>
      </c>
      <c r="AS38" s="83"/>
      <c r="AT38" s="358">
        <v>21</v>
      </c>
      <c r="AU38" s="1030">
        <f t="shared" si="25"/>
        <v>228.60695876288673</v>
      </c>
      <c r="AV38" s="78">
        <v>357</v>
      </c>
      <c r="AW38" s="534">
        <f t="shared" si="77"/>
        <v>107.39304123711327</v>
      </c>
      <c r="AX38" s="78"/>
      <c r="AY38" s="78"/>
      <c r="AZ38" s="534">
        <v>4.5</v>
      </c>
      <c r="BA38" s="386">
        <f t="shared" si="83"/>
        <v>0.29883262583383885</v>
      </c>
      <c r="BB38" s="78"/>
      <c r="BC38" s="78"/>
      <c r="BD38" s="78"/>
      <c r="BE38" s="78"/>
      <c r="BF38" s="78"/>
      <c r="BG38" s="78"/>
      <c r="BH38" s="78"/>
      <c r="BI38" s="166">
        <v>529</v>
      </c>
      <c r="BJ38" s="2">
        <f t="shared" si="26"/>
        <v>529</v>
      </c>
      <c r="BK38" s="175">
        <v>58</v>
      </c>
      <c r="BL38" s="169">
        <f t="shared" si="27"/>
        <v>132</v>
      </c>
      <c r="BM38" s="1031">
        <f t="shared" si="28"/>
        <v>167.92286013298752</v>
      </c>
      <c r="BN38" s="310">
        <f t="shared" si="29"/>
        <v>109.92286013298752</v>
      </c>
      <c r="BO38" s="262">
        <f t="shared" si="30"/>
        <v>0.25136346936559517</v>
      </c>
      <c r="BP38" s="262">
        <f t="shared" si="31"/>
        <v>0.26803435591241281</v>
      </c>
      <c r="BQ38" s="262">
        <f t="shared" si="32"/>
        <v>0.14873780775802714</v>
      </c>
      <c r="BR38" s="262">
        <f t="shared" si="33"/>
        <v>0.31743451820980628</v>
      </c>
      <c r="BS38" s="988">
        <f t="shared" si="99"/>
        <v>0.55492068265543948</v>
      </c>
      <c r="BT38" s="534">
        <f t="shared" si="34"/>
        <v>18.821192755834971</v>
      </c>
      <c r="BU38" s="534">
        <f t="shared" si="35"/>
        <v>5.28</v>
      </c>
      <c r="BV38" s="113">
        <v>0.04</v>
      </c>
      <c r="BW38" s="276">
        <f t="shared" si="36"/>
        <v>1.6663295932567483E-2</v>
      </c>
      <c r="BX38" s="272">
        <f t="shared" si="37"/>
        <v>30.116192755834973</v>
      </c>
      <c r="BY38" s="78"/>
      <c r="BZ38" s="1034"/>
      <c r="CA38" s="1037"/>
      <c r="CB38" s="2">
        <f t="shared" si="38"/>
        <v>1046.9857142857143</v>
      </c>
      <c r="CC38" s="2">
        <f t="shared" si="95"/>
        <v>1128.9857142857143</v>
      </c>
      <c r="CD38" s="310">
        <f t="shared" si="39"/>
        <v>1128.9857142857143</v>
      </c>
      <c r="CE38" s="310">
        <f t="shared" si="40"/>
        <v>1070.9857142857143</v>
      </c>
      <c r="CF38" s="78"/>
      <c r="CG38" s="78"/>
      <c r="CH38" s="78"/>
      <c r="CI38" s="534">
        <f t="shared" si="79"/>
        <v>58.514285714285698</v>
      </c>
      <c r="CJ38" s="78">
        <v>64</v>
      </c>
      <c r="CK38" s="386">
        <f t="shared" si="85"/>
        <v>0.91428571428571404</v>
      </c>
      <c r="CL38" s="517">
        <f t="shared" si="41"/>
        <v>415.12208814567498</v>
      </c>
      <c r="CM38" s="169">
        <f t="shared" si="42"/>
        <v>436.87018110412572</v>
      </c>
      <c r="CN38" s="170">
        <f t="shared" si="43"/>
        <v>117.79304123711324</v>
      </c>
      <c r="CO38" s="170">
        <f t="shared" si="44"/>
        <v>117.79304123711324</v>
      </c>
      <c r="CP38" s="170">
        <f t="shared" si="45"/>
        <v>319.07713986701248</v>
      </c>
      <c r="CQ38" s="170">
        <f t="shared" si="46"/>
        <v>21.748092958450727</v>
      </c>
      <c r="CR38" s="170"/>
      <c r="CS38" s="113">
        <f t="shared" si="47"/>
        <v>1.925461970646368E-2</v>
      </c>
      <c r="CT38" s="78"/>
      <c r="CU38" s="78"/>
      <c r="CV38" s="78"/>
      <c r="CW38" s="78"/>
      <c r="CX38" s="78"/>
      <c r="CY38" s="78"/>
      <c r="CZ38" s="78"/>
      <c r="DA38" s="78"/>
      <c r="DB38" s="78"/>
      <c r="DC38" s="78"/>
      <c r="DD38" s="78"/>
      <c r="DE38" s="78"/>
      <c r="DF38" s="78"/>
      <c r="DG38" s="78"/>
      <c r="DH38" s="516">
        <f t="shared" si="48"/>
        <v>42</v>
      </c>
      <c r="DI38" s="2">
        <f t="shared" si="49"/>
        <v>48.65</v>
      </c>
      <c r="DJ38" s="169">
        <f t="shared" si="50"/>
        <v>42</v>
      </c>
      <c r="DK38" s="169">
        <f t="shared" si="51"/>
        <v>6.65</v>
      </c>
      <c r="DL38" s="113">
        <f t="shared" si="52"/>
        <v>3.7201533614242874E-2</v>
      </c>
      <c r="DM38" s="113">
        <f t="shared" si="53"/>
        <v>7.9395085066162566E-2</v>
      </c>
      <c r="DN38" s="113">
        <v>0.6</v>
      </c>
      <c r="DO38" s="78"/>
      <c r="DP38" s="78"/>
      <c r="DQ38" s="166">
        <v>70</v>
      </c>
      <c r="DR38" s="78"/>
      <c r="DS38" s="78"/>
      <c r="DT38" s="78">
        <f t="shared" si="96"/>
        <v>70</v>
      </c>
      <c r="DU38" s="175">
        <f t="shared" si="97"/>
        <v>1109.2785714285715</v>
      </c>
      <c r="DV38" s="175">
        <v>1146</v>
      </c>
      <c r="DW38" s="170">
        <f t="shared" si="57"/>
        <v>173.72142857142848</v>
      </c>
      <c r="DX38" s="534">
        <f t="shared" si="89"/>
        <v>133.72142857142848</v>
      </c>
      <c r="DY38" s="534">
        <f t="shared" si="90"/>
        <v>113.04285714285707</v>
      </c>
      <c r="DZ38" s="262">
        <f t="shared" si="86"/>
        <v>1.3785714285714277</v>
      </c>
      <c r="EA38" s="78">
        <v>97</v>
      </c>
      <c r="EB38" s="78">
        <v>82</v>
      </c>
      <c r="EC38" s="175">
        <f t="shared" si="82"/>
        <v>20.678571428571402</v>
      </c>
      <c r="ED38" s="175">
        <v>0</v>
      </c>
      <c r="EE38" s="175">
        <f t="shared" si="58"/>
        <v>20.678571428571402</v>
      </c>
      <c r="EF38" s="175"/>
      <c r="EG38" s="78">
        <v>40</v>
      </c>
      <c r="EH38" s="534">
        <f t="shared" si="60"/>
        <v>75.20714285714277</v>
      </c>
      <c r="EI38" s="78">
        <v>386</v>
      </c>
      <c r="EJ38" s="78">
        <v>409</v>
      </c>
      <c r="EK38" s="78"/>
      <c r="EL38" s="78"/>
      <c r="EM38" s="78"/>
      <c r="EN38" s="78"/>
      <c r="EO38" s="78">
        <v>448</v>
      </c>
      <c r="EP38" s="78">
        <v>413</v>
      </c>
      <c r="EQ38" s="175">
        <f t="shared" si="91"/>
        <v>1330</v>
      </c>
      <c r="ER38" s="2">
        <f t="shared" si="64"/>
        <v>1129.5</v>
      </c>
      <c r="ES38" s="262">
        <f t="shared" si="98"/>
        <v>0.84924812030075192</v>
      </c>
      <c r="ET38" s="262"/>
      <c r="EU38" s="262"/>
      <c r="EV38" s="262"/>
      <c r="EW38" s="78"/>
      <c r="EX38" s="78"/>
      <c r="EY38" s="166"/>
      <c r="EZ38" s="78"/>
      <c r="FA38" s="78"/>
      <c r="FB38" s="78"/>
      <c r="FC38" s="78"/>
      <c r="FD38" s="78"/>
      <c r="FE38" s="93"/>
      <c r="FF38" s="166"/>
      <c r="FG38" s="78"/>
      <c r="FH38" s="598"/>
      <c r="FI38" s="310">
        <f t="shared" si="65"/>
        <v>35</v>
      </c>
      <c r="FJ38" s="2">
        <f t="shared" si="66"/>
        <v>35</v>
      </c>
      <c r="FK38" s="166"/>
      <c r="FL38" s="78"/>
      <c r="FM38" s="78"/>
      <c r="FN38" s="78"/>
      <c r="FO38" s="78"/>
      <c r="FP38" s="78"/>
      <c r="FQ38" s="78"/>
      <c r="FR38" s="78"/>
      <c r="FS38" s="93"/>
      <c r="FT38" s="78"/>
      <c r="FU38" s="78"/>
      <c r="FV38" s="78"/>
      <c r="FW38" s="78"/>
      <c r="FX38" s="78"/>
      <c r="FY38" s="78"/>
      <c r="FZ38" s="102"/>
      <c r="GA38" s="102"/>
      <c r="GB38" s="102"/>
      <c r="GC38" s="102"/>
      <c r="GD38" s="102"/>
      <c r="GE38" s="102"/>
      <c r="GF38" s="102"/>
      <c r="GG38" s="102"/>
      <c r="GH38" s="102"/>
      <c r="GI38" s="102"/>
      <c r="GJ38" s="102"/>
      <c r="GK38" s="1162">
        <f>DataUK4!X191+DataUK4!AH191</f>
        <v>8.2000000000000171</v>
      </c>
      <c r="GL38" s="102"/>
      <c r="GM38" s="102"/>
      <c r="GN38" s="102"/>
      <c r="GO38" s="102"/>
      <c r="GP38" s="310">
        <f t="shared" si="67"/>
        <v>20.678571428571402</v>
      </c>
      <c r="GQ38" s="102"/>
      <c r="GR38" s="102"/>
      <c r="GS38" s="102"/>
      <c r="GT38" s="102"/>
      <c r="GU38" s="991">
        <f t="shared" si="68"/>
        <v>-12.478571428571385</v>
      </c>
      <c r="GW38" s="1063">
        <f>DataUK4!D191+DataUK4!F191</f>
        <v>22.299999999999997</v>
      </c>
      <c r="GX38" s="102"/>
      <c r="GY38" s="615">
        <f t="shared" si="69"/>
        <v>18.709907120743051</v>
      </c>
      <c r="GZ38" s="102"/>
      <c r="HA38" s="102"/>
      <c r="HB38" s="102"/>
      <c r="HC38" s="101"/>
      <c r="HD38" s="170">
        <f t="shared" si="92"/>
        <v>58</v>
      </c>
      <c r="HE38" s="301">
        <f t="shared" si="93"/>
        <v>62</v>
      </c>
      <c r="HF38" s="301">
        <f t="shared" si="94"/>
        <v>4</v>
      </c>
      <c r="HG38" s="170">
        <f t="shared" si="71"/>
        <v>0</v>
      </c>
      <c r="HH38" s="301">
        <v>0</v>
      </c>
      <c r="HI38" s="301">
        <v>0</v>
      </c>
      <c r="HJ38" s="2">
        <v>0</v>
      </c>
      <c r="HK38" s="2">
        <v>0</v>
      </c>
      <c r="HL38" s="2">
        <v>0</v>
      </c>
      <c r="HM38" s="2">
        <f t="shared" si="72"/>
        <v>0</v>
      </c>
      <c r="HN38" s="2">
        <v>0</v>
      </c>
      <c r="HO38" s="2">
        <v>0</v>
      </c>
      <c r="HP38" s="2">
        <v>0</v>
      </c>
      <c r="HQ38" s="2">
        <v>0</v>
      </c>
      <c r="HR38" s="2">
        <v>0</v>
      </c>
      <c r="HS38" s="1052">
        <v>0</v>
      </c>
      <c r="HT38" s="1001">
        <v>9.4</v>
      </c>
      <c r="HU38" s="1002">
        <f t="shared" si="73"/>
        <v>1.1485530546623792</v>
      </c>
      <c r="HV38" s="1002">
        <f t="shared" si="74"/>
        <v>1.3299035369774921</v>
      </c>
    </row>
    <row r="39" spans="1:230" ht="12" customHeight="1">
      <c r="A39" s="79">
        <f t="shared" si="0"/>
        <v>1881</v>
      </c>
      <c r="B39" s="176">
        <f t="shared" si="1"/>
        <v>1172.4521428571429</v>
      </c>
      <c r="C39" s="177">
        <f t="shared" si="2"/>
        <v>59</v>
      </c>
      <c r="D39" s="176">
        <f t="shared" si="3"/>
        <v>1113.4521428571429</v>
      </c>
      <c r="E39" s="154">
        <f t="shared" si="4"/>
        <v>1170.664</v>
      </c>
      <c r="F39" s="995">
        <f t="shared" si="5"/>
        <v>59.062857142857126</v>
      </c>
      <c r="G39" s="531">
        <f t="shared" si="6"/>
        <v>1302.9371428571428</v>
      </c>
      <c r="H39" s="531">
        <f t="shared" si="7"/>
        <v>1243.9371428571428</v>
      </c>
      <c r="I39" s="531">
        <f t="shared" si="8"/>
        <v>1303</v>
      </c>
      <c r="J39" s="548">
        <f t="shared" si="9"/>
        <v>0.89843745203376824</v>
      </c>
      <c r="K39" s="515">
        <f t="shared" si="87"/>
        <v>85</v>
      </c>
      <c r="L39" s="175">
        <v>85</v>
      </c>
      <c r="M39" s="175">
        <v>0</v>
      </c>
      <c r="N39" s="78"/>
      <c r="O39" s="78"/>
      <c r="P39" s="78"/>
      <c r="Q39" s="78"/>
      <c r="R39" s="78"/>
      <c r="S39" s="532">
        <f t="shared" si="88"/>
        <v>7.8297633121767435E-2</v>
      </c>
      <c r="T39" s="1008">
        <f t="shared" si="13"/>
        <v>83.693360000000013</v>
      </c>
      <c r="U39" s="1010">
        <f t="shared" si="14"/>
        <v>83.693360000000013</v>
      </c>
      <c r="V39" s="511">
        <f t="shared" si="15"/>
        <v>95.4</v>
      </c>
      <c r="W39" s="2">
        <f t="shared" si="16"/>
        <v>95.4</v>
      </c>
      <c r="X39" s="169">
        <f t="shared" si="17"/>
        <v>11.70664</v>
      </c>
      <c r="Y39" s="113">
        <f t="shared" si="18"/>
        <v>0.1227111111111111</v>
      </c>
      <c r="Z39" s="113">
        <f t="shared" si="19"/>
        <v>0.1227111111111111</v>
      </c>
      <c r="AA39" s="78"/>
      <c r="AB39" s="1019">
        <v>0.01</v>
      </c>
      <c r="AC39" s="78"/>
      <c r="AD39" s="78"/>
      <c r="AE39" s="78"/>
      <c r="AF39" s="78"/>
      <c r="AG39" s="78"/>
      <c r="AH39" s="78"/>
      <c r="AI39" s="78"/>
      <c r="AJ39" s="171">
        <f t="shared" si="20"/>
        <v>468.20343747063913</v>
      </c>
      <c r="AK39" s="1026">
        <f t="shared" si="21"/>
        <v>129.6</v>
      </c>
      <c r="AL39" s="169">
        <f t="shared" si="22"/>
        <v>487.71191403191574</v>
      </c>
      <c r="AM39" s="169">
        <f t="shared" si="75"/>
        <v>135</v>
      </c>
      <c r="AN39" s="169">
        <f t="shared" si="23"/>
        <v>294.14862471222261</v>
      </c>
      <c r="AO39" s="1027">
        <f t="shared" si="24"/>
        <v>313.65710127349922</v>
      </c>
      <c r="AP39" s="175">
        <v>159</v>
      </c>
      <c r="AQ39" s="175">
        <v>53</v>
      </c>
      <c r="AR39" s="78">
        <f t="shared" si="76"/>
        <v>106</v>
      </c>
      <c r="AS39" s="83"/>
      <c r="AT39" s="358">
        <v>24</v>
      </c>
      <c r="AU39" s="1030">
        <f t="shared" si="25"/>
        <v>236.65710127349922</v>
      </c>
      <c r="AV39" s="78">
        <v>375</v>
      </c>
      <c r="AW39" s="534">
        <f t="shared" si="77"/>
        <v>114.34289872650078</v>
      </c>
      <c r="AX39" s="78"/>
      <c r="AY39" s="78"/>
      <c r="AZ39" s="534">
        <v>4.6639999999999997</v>
      </c>
      <c r="BA39" s="386">
        <f t="shared" si="83"/>
        <v>0.2967859308671924</v>
      </c>
      <c r="BB39" s="78"/>
      <c r="BC39" s="78"/>
      <c r="BD39" s="78"/>
      <c r="BE39" s="78"/>
      <c r="BF39" s="78"/>
      <c r="BG39" s="78"/>
      <c r="BH39" s="78"/>
      <c r="BI39" s="166">
        <v>547</v>
      </c>
      <c r="BJ39" s="2">
        <f t="shared" si="26"/>
        <v>547</v>
      </c>
      <c r="BK39" s="175">
        <v>58</v>
      </c>
      <c r="BL39" s="169">
        <f t="shared" si="27"/>
        <v>135</v>
      </c>
      <c r="BM39" s="1031">
        <f t="shared" si="28"/>
        <v>174.05481275841652</v>
      </c>
      <c r="BN39" s="310">
        <f t="shared" si="29"/>
        <v>116.05481275841652</v>
      </c>
      <c r="BO39" s="262">
        <f t="shared" si="30"/>
        <v>0.2512799739749782</v>
      </c>
      <c r="BP39" s="262">
        <f t="shared" si="31"/>
        <v>0.26794532295427387</v>
      </c>
      <c r="BQ39" s="262">
        <f t="shared" si="32"/>
        <v>0.14868840152811788</v>
      </c>
      <c r="BR39" s="262">
        <f t="shared" si="33"/>
        <v>0.31819892643220571</v>
      </c>
      <c r="BS39" s="988">
        <f t="shared" si="99"/>
        <v>0.55492068265543948</v>
      </c>
      <c r="BT39" s="534">
        <f t="shared" si="34"/>
        <v>19.50847656127663</v>
      </c>
      <c r="BU39" s="534">
        <f t="shared" si="35"/>
        <v>5.4</v>
      </c>
      <c r="BV39" s="113">
        <v>0.04</v>
      </c>
      <c r="BW39" s="276">
        <f t="shared" si="36"/>
        <v>1.6664454157022536E-2</v>
      </c>
      <c r="BX39" s="272">
        <f t="shared" si="37"/>
        <v>31.215116561276631</v>
      </c>
      <c r="BY39" s="78"/>
      <c r="BZ39" s="1034"/>
      <c r="CA39" s="1037"/>
      <c r="CB39" s="2">
        <f t="shared" si="38"/>
        <v>1085.6011428571428</v>
      </c>
      <c r="CC39" s="2">
        <f t="shared" si="95"/>
        <v>1170.6011428571428</v>
      </c>
      <c r="CD39" s="310">
        <f t="shared" si="39"/>
        <v>1170.6011428571428</v>
      </c>
      <c r="CE39" s="310">
        <f t="shared" si="40"/>
        <v>1111.6011428571428</v>
      </c>
      <c r="CF39" s="78"/>
      <c r="CG39" s="78"/>
      <c r="CH39" s="78"/>
      <c r="CI39" s="534">
        <f t="shared" si="79"/>
        <v>59.062857142857126</v>
      </c>
      <c r="CJ39" s="78">
        <v>64</v>
      </c>
      <c r="CK39" s="386">
        <f t="shared" si="85"/>
        <v>0.9228571428571426</v>
      </c>
      <c r="CL39" s="517">
        <f t="shared" si="41"/>
        <v>433.95534538650378</v>
      </c>
      <c r="CM39" s="169">
        <f t="shared" si="42"/>
        <v>455.28808596808426</v>
      </c>
      <c r="CN39" s="170">
        <f t="shared" si="43"/>
        <v>124.9428987265008</v>
      </c>
      <c r="CO39" s="170">
        <f t="shared" si="44"/>
        <v>124.9428987265008</v>
      </c>
      <c r="CP39" s="170">
        <f t="shared" si="45"/>
        <v>330.34518724158346</v>
      </c>
      <c r="CQ39" s="170">
        <f t="shared" si="46"/>
        <v>21.332740581580495</v>
      </c>
      <c r="CR39" s="170"/>
      <c r="CS39" s="113">
        <f t="shared" si="47"/>
        <v>1.8222769796953264E-2</v>
      </c>
      <c r="CT39" s="78"/>
      <c r="CU39" s="78"/>
      <c r="CV39" s="78"/>
      <c r="CW39" s="78"/>
      <c r="CX39" s="78"/>
      <c r="CY39" s="78"/>
      <c r="CZ39" s="78"/>
      <c r="DA39" s="78"/>
      <c r="DB39" s="78"/>
      <c r="DC39" s="78"/>
      <c r="DD39" s="78"/>
      <c r="DE39" s="78"/>
      <c r="DF39" s="78"/>
      <c r="DG39" s="78"/>
      <c r="DH39" s="516">
        <f t="shared" si="48"/>
        <v>42.6</v>
      </c>
      <c r="DI39" s="2">
        <f t="shared" si="49"/>
        <v>49.115000000000002</v>
      </c>
      <c r="DJ39" s="169">
        <f t="shared" si="50"/>
        <v>42.6</v>
      </c>
      <c r="DK39" s="169">
        <f t="shared" si="51"/>
        <v>6.5150000000000006</v>
      </c>
      <c r="DL39" s="113">
        <f t="shared" si="52"/>
        <v>3.6391558525241244E-2</v>
      </c>
      <c r="DM39" s="113">
        <f t="shared" si="53"/>
        <v>7.7879341864716636E-2</v>
      </c>
      <c r="DN39" s="113">
        <v>0.6</v>
      </c>
      <c r="DO39" s="78"/>
      <c r="DP39" s="78"/>
      <c r="DQ39" s="166">
        <v>71</v>
      </c>
      <c r="DR39" s="78"/>
      <c r="DS39" s="78"/>
      <c r="DT39" s="78">
        <f t="shared" si="96"/>
        <v>71</v>
      </c>
      <c r="DU39" s="175">
        <f t="shared" si="97"/>
        <v>1089.6828571428573</v>
      </c>
      <c r="DV39" s="175">
        <v>1125</v>
      </c>
      <c r="DW39" s="170">
        <f t="shared" si="57"/>
        <v>139.31714285714276</v>
      </c>
      <c r="DX39" s="534">
        <f t="shared" si="89"/>
        <v>129.31714285714276</v>
      </c>
      <c r="DY39" s="534">
        <f t="shared" si="90"/>
        <v>111.43285714285707</v>
      </c>
      <c r="DZ39" s="262">
        <f t="shared" si="86"/>
        <v>1.3757142857142848</v>
      </c>
      <c r="EA39" s="78">
        <v>94</v>
      </c>
      <c r="EB39" s="78">
        <v>81</v>
      </c>
      <c r="EC39" s="175">
        <f t="shared" si="82"/>
        <v>17.884285714285681</v>
      </c>
      <c r="ED39" s="175">
        <v>0</v>
      </c>
      <c r="EE39" s="175">
        <f t="shared" si="58"/>
        <v>17.884285714285681</v>
      </c>
      <c r="EF39" s="175"/>
      <c r="EG39" s="78">
        <v>10</v>
      </c>
      <c r="EH39" s="534">
        <f t="shared" si="60"/>
        <v>70.254285714285629</v>
      </c>
      <c r="EI39" s="78">
        <v>399</v>
      </c>
      <c r="EJ39" s="78">
        <v>396</v>
      </c>
      <c r="EK39" s="78"/>
      <c r="EL39" s="78"/>
      <c r="EM39" s="78"/>
      <c r="EN39" s="78"/>
      <c r="EO39" s="78">
        <v>462</v>
      </c>
      <c r="EP39" s="78">
        <v>400</v>
      </c>
      <c r="EQ39" s="175">
        <f t="shared" si="91"/>
        <v>1303</v>
      </c>
      <c r="ER39" s="2">
        <f t="shared" si="64"/>
        <v>1170.664</v>
      </c>
      <c r="ES39" s="262">
        <f t="shared" si="98"/>
        <v>0.89843745203376824</v>
      </c>
      <c r="ET39" s="262"/>
      <c r="EU39" s="262"/>
      <c r="EV39" s="262"/>
      <c r="EW39" s="78"/>
      <c r="EX39" s="78"/>
      <c r="EY39" s="166"/>
      <c r="EZ39" s="78"/>
      <c r="FA39" s="78"/>
      <c r="FB39" s="78"/>
      <c r="FC39" s="78"/>
      <c r="FD39" s="78"/>
      <c r="FE39" s="93"/>
      <c r="FF39" s="166"/>
      <c r="FG39" s="78"/>
      <c r="FH39" s="598"/>
      <c r="FI39" s="310">
        <f t="shared" si="65"/>
        <v>62</v>
      </c>
      <c r="FJ39" s="2">
        <f t="shared" si="66"/>
        <v>62</v>
      </c>
      <c r="FK39" s="166"/>
      <c r="FL39" s="78"/>
      <c r="FM39" s="78"/>
      <c r="FN39" s="78"/>
      <c r="FO39" s="78"/>
      <c r="FP39" s="78"/>
      <c r="FQ39" s="78"/>
      <c r="FR39" s="78"/>
      <c r="FS39" s="93"/>
      <c r="FT39" s="78"/>
      <c r="FU39" s="78"/>
      <c r="FV39" s="78"/>
      <c r="FW39" s="78"/>
      <c r="FX39" s="78"/>
      <c r="FY39" s="78"/>
      <c r="FZ39" s="102"/>
      <c r="GA39" s="102"/>
      <c r="GB39" s="102"/>
      <c r="GC39" s="102"/>
      <c r="GD39" s="102"/>
      <c r="GE39" s="102"/>
      <c r="GF39" s="102"/>
      <c r="GG39" s="102"/>
      <c r="GH39" s="102"/>
      <c r="GI39" s="102"/>
      <c r="GJ39" s="102"/>
      <c r="GK39" s="1162">
        <f>DataUK4!X192+DataUK4!AH192</f>
        <v>7.9000000000000057</v>
      </c>
      <c r="GL39" s="102"/>
      <c r="GM39" s="102"/>
      <c r="GN39" s="102"/>
      <c r="GO39" s="102"/>
      <c r="GP39" s="310">
        <f t="shared" si="67"/>
        <v>17.884285714285681</v>
      </c>
      <c r="GQ39" s="102"/>
      <c r="GR39" s="102"/>
      <c r="GS39" s="102"/>
      <c r="GT39" s="102"/>
      <c r="GU39" s="991">
        <f t="shared" si="68"/>
        <v>-9.9842857142856758</v>
      </c>
      <c r="GW39" s="1063">
        <f>DataUK4!D192+DataUK4!F192</f>
        <v>22.2</v>
      </c>
      <c r="GX39" s="102"/>
      <c r="GY39" s="615">
        <f t="shared" si="69"/>
        <v>18.626006191950484</v>
      </c>
      <c r="GZ39" s="102"/>
      <c r="HA39" s="102"/>
      <c r="HB39" s="102"/>
      <c r="HC39" s="101"/>
      <c r="HD39" s="170">
        <f t="shared" si="92"/>
        <v>59</v>
      </c>
      <c r="HE39" s="301">
        <f t="shared" si="93"/>
        <v>63</v>
      </c>
      <c r="HF39" s="301">
        <f t="shared" si="94"/>
        <v>4</v>
      </c>
      <c r="HG39" s="170">
        <f t="shared" si="71"/>
        <v>0</v>
      </c>
      <c r="HH39" s="301">
        <v>0</v>
      </c>
      <c r="HI39" s="301">
        <v>0</v>
      </c>
      <c r="HJ39" s="2">
        <v>0</v>
      </c>
      <c r="HK39" s="2">
        <v>0</v>
      </c>
      <c r="HL39" s="2">
        <v>0</v>
      </c>
      <c r="HM39" s="2">
        <f t="shared" si="72"/>
        <v>0</v>
      </c>
      <c r="HN39" s="2">
        <v>0</v>
      </c>
      <c r="HO39" s="2">
        <v>0</v>
      </c>
      <c r="HP39" s="2">
        <v>0</v>
      </c>
      <c r="HQ39" s="2">
        <v>0</v>
      </c>
      <c r="HR39" s="2">
        <v>0</v>
      </c>
      <c r="HS39" s="1052">
        <v>0</v>
      </c>
      <c r="HT39" s="1001">
        <v>9.3000000000000007</v>
      </c>
      <c r="HU39" s="1002">
        <f t="shared" si="73"/>
        <v>1.1363344051446946</v>
      </c>
      <c r="HV39" s="1002">
        <f t="shared" si="74"/>
        <v>1.3157556270096464</v>
      </c>
    </row>
    <row r="40" spans="1:230" ht="12" customHeight="1">
      <c r="A40" s="79">
        <f t="shared" si="0"/>
        <v>1882</v>
      </c>
      <c r="B40" s="176">
        <f t="shared" si="1"/>
        <v>1214.1671428571431</v>
      </c>
      <c r="C40" s="177">
        <f t="shared" si="2"/>
        <v>63</v>
      </c>
      <c r="D40" s="176">
        <f t="shared" si="3"/>
        <v>1151.1671428571431</v>
      </c>
      <c r="E40" s="154">
        <f t="shared" si="4"/>
        <v>1209.82</v>
      </c>
      <c r="F40" s="995">
        <f t="shared" si="5"/>
        <v>60.542857142857123</v>
      </c>
      <c r="G40" s="531">
        <f t="shared" si="6"/>
        <v>1344.4571428571428</v>
      </c>
      <c r="H40" s="531">
        <f t="shared" si="7"/>
        <v>1281.4571428571428</v>
      </c>
      <c r="I40" s="531">
        <f t="shared" si="8"/>
        <v>1342</v>
      </c>
      <c r="J40" s="548">
        <f t="shared" si="9"/>
        <v>0.90150521609538004</v>
      </c>
      <c r="K40" s="515">
        <f t="shared" si="87"/>
        <v>87</v>
      </c>
      <c r="L40" s="175">
        <v>87</v>
      </c>
      <c r="M40" s="175">
        <v>0</v>
      </c>
      <c r="N40" s="78"/>
      <c r="O40" s="78"/>
      <c r="P40" s="78"/>
      <c r="Q40" s="78"/>
      <c r="R40" s="78"/>
      <c r="S40" s="532">
        <f t="shared" si="88"/>
        <v>7.7314287020086483E-2</v>
      </c>
      <c r="T40" s="1008">
        <f t="shared" si="13"/>
        <v>83.3018</v>
      </c>
      <c r="U40" s="1010">
        <f t="shared" si="14"/>
        <v>83.3018</v>
      </c>
      <c r="V40" s="511">
        <f t="shared" si="15"/>
        <v>95.4</v>
      </c>
      <c r="W40" s="2">
        <f t="shared" si="16"/>
        <v>95.4</v>
      </c>
      <c r="X40" s="169">
        <f t="shared" si="17"/>
        <v>12.0982</v>
      </c>
      <c r="Y40" s="113">
        <f t="shared" si="18"/>
        <v>0.12681551362683438</v>
      </c>
      <c r="Z40" s="113">
        <f t="shared" si="19"/>
        <v>0.12681551362683438</v>
      </c>
      <c r="AA40" s="78"/>
      <c r="AB40" s="1019">
        <v>0.01</v>
      </c>
      <c r="AC40" s="78"/>
      <c r="AD40" s="78"/>
      <c r="AE40" s="78"/>
      <c r="AF40" s="78"/>
      <c r="AG40" s="78"/>
      <c r="AH40" s="78"/>
      <c r="AI40" s="78"/>
      <c r="AJ40" s="171">
        <f t="shared" si="20"/>
        <v>489.06328475331355</v>
      </c>
      <c r="AK40" s="1026">
        <f t="shared" si="21"/>
        <v>135.36000000000001</v>
      </c>
      <c r="AL40" s="169">
        <f t="shared" si="22"/>
        <v>509.44092161803496</v>
      </c>
      <c r="AM40" s="169">
        <f t="shared" si="75"/>
        <v>141</v>
      </c>
      <c r="AN40" s="169">
        <f t="shared" si="23"/>
        <v>307.2538155306699</v>
      </c>
      <c r="AO40" s="1027">
        <f t="shared" si="24"/>
        <v>327.63145239539131</v>
      </c>
      <c r="AP40" s="175">
        <v>161</v>
      </c>
      <c r="AQ40" s="175">
        <v>55</v>
      </c>
      <c r="AR40" s="78">
        <f t="shared" si="76"/>
        <v>106</v>
      </c>
      <c r="AS40" s="83"/>
      <c r="AT40" s="358">
        <v>29</v>
      </c>
      <c r="AU40" s="1030">
        <f t="shared" si="25"/>
        <v>243.63145239539131</v>
      </c>
      <c r="AV40" s="78">
        <v>377</v>
      </c>
      <c r="AW40" s="534">
        <f t="shared" si="77"/>
        <v>104.36854760460869</v>
      </c>
      <c r="AX40" s="78"/>
      <c r="AY40" s="78"/>
      <c r="AZ40" s="534">
        <v>4.82</v>
      </c>
      <c r="BA40" s="386">
        <f t="shared" si="83"/>
        <v>0.29473923590054596</v>
      </c>
      <c r="BB40" s="78"/>
      <c r="BC40" s="78"/>
      <c r="BD40" s="78"/>
      <c r="BE40" s="78"/>
      <c r="BF40" s="78"/>
      <c r="BG40" s="78"/>
      <c r="BH40" s="78"/>
      <c r="BI40" s="166">
        <v>580</v>
      </c>
      <c r="BJ40" s="2">
        <f t="shared" si="26"/>
        <v>580</v>
      </c>
      <c r="BK40" s="175">
        <v>57</v>
      </c>
      <c r="BL40" s="169">
        <f t="shared" si="27"/>
        <v>141</v>
      </c>
      <c r="BM40" s="1031">
        <f t="shared" si="28"/>
        <v>181.80946922264366</v>
      </c>
      <c r="BN40" s="310">
        <f t="shared" si="29"/>
        <v>124.80946922264366</v>
      </c>
      <c r="BO40" s="262">
        <f t="shared" si="30"/>
        <v>0.25345179304999677</v>
      </c>
      <c r="BP40" s="262">
        <f t="shared" si="31"/>
        <v>0.27026118105569202</v>
      </c>
      <c r="BQ40" s="262">
        <f t="shared" si="32"/>
        <v>0.14997351908668996</v>
      </c>
      <c r="BR40" s="262">
        <f t="shared" si="33"/>
        <v>0.31346460210800631</v>
      </c>
      <c r="BS40" s="988">
        <f t="shared" si="99"/>
        <v>0.55492068265543948</v>
      </c>
      <c r="BT40" s="534">
        <f t="shared" si="34"/>
        <v>20.377636864721399</v>
      </c>
      <c r="BU40" s="534">
        <f t="shared" si="35"/>
        <v>5.64</v>
      </c>
      <c r="BV40" s="113">
        <v>0.04</v>
      </c>
      <c r="BW40" s="276">
        <f t="shared" si="36"/>
        <v>1.6843527851020317E-2</v>
      </c>
      <c r="BX40" s="272">
        <f t="shared" si="37"/>
        <v>32.475836864721401</v>
      </c>
      <c r="BY40" s="78"/>
      <c r="BZ40" s="1034"/>
      <c r="CA40" s="1037"/>
      <c r="CB40" s="2">
        <f t="shared" si="38"/>
        <v>1125.2771428571427</v>
      </c>
      <c r="CC40" s="2">
        <f t="shared" si="95"/>
        <v>1212.2771428571427</v>
      </c>
      <c r="CD40" s="310">
        <f t="shared" si="39"/>
        <v>1212.2771428571427</v>
      </c>
      <c r="CE40" s="310">
        <f t="shared" si="40"/>
        <v>1149.2771428571427</v>
      </c>
      <c r="CF40" s="78"/>
      <c r="CG40" s="78"/>
      <c r="CH40" s="78"/>
      <c r="CI40" s="534">
        <f t="shared" si="79"/>
        <v>60.542857142857123</v>
      </c>
      <c r="CJ40" s="78">
        <v>65</v>
      </c>
      <c r="CK40" s="386">
        <f t="shared" si="85"/>
        <v>0.93142857142857116</v>
      </c>
      <c r="CL40" s="517">
        <f t="shared" si="41"/>
        <v>447.40205810382935</v>
      </c>
      <c r="CM40" s="169">
        <f t="shared" si="42"/>
        <v>468.75907838196508</v>
      </c>
      <c r="CN40" s="170">
        <f t="shared" si="43"/>
        <v>114.96854760460872</v>
      </c>
      <c r="CO40" s="170">
        <f t="shared" si="44"/>
        <v>114.96854760460872</v>
      </c>
      <c r="CP40" s="170">
        <f t="shared" si="45"/>
        <v>353.79053077735637</v>
      </c>
      <c r="CQ40" s="170">
        <f t="shared" si="46"/>
        <v>21.357020278135725</v>
      </c>
      <c r="CR40" s="170"/>
      <c r="CS40" s="113">
        <f t="shared" si="47"/>
        <v>1.7653056056385022E-2</v>
      </c>
      <c r="CT40" s="78"/>
      <c r="CU40" s="78"/>
      <c r="CV40" s="78"/>
      <c r="CW40" s="78"/>
      <c r="CX40" s="78"/>
      <c r="CY40" s="78"/>
      <c r="CZ40" s="78"/>
      <c r="DA40" s="78"/>
      <c r="DB40" s="78"/>
      <c r="DC40" s="78"/>
      <c r="DD40" s="78"/>
      <c r="DE40" s="78"/>
      <c r="DF40" s="78"/>
      <c r="DG40" s="78"/>
      <c r="DH40" s="516">
        <f t="shared" si="48"/>
        <v>44.4</v>
      </c>
      <c r="DI40" s="2">
        <f t="shared" si="49"/>
        <v>51.11</v>
      </c>
      <c r="DJ40" s="169">
        <f t="shared" si="50"/>
        <v>44.4</v>
      </c>
      <c r="DK40" s="169">
        <f t="shared" si="51"/>
        <v>6.71</v>
      </c>
      <c r="DL40" s="113">
        <f t="shared" si="52"/>
        <v>3.6625288418254194E-2</v>
      </c>
      <c r="DM40" s="113">
        <f t="shared" si="53"/>
        <v>7.6551724137931029E-2</v>
      </c>
      <c r="DN40" s="113">
        <v>0.6</v>
      </c>
      <c r="DO40" s="78"/>
      <c r="DP40" s="78"/>
      <c r="DQ40" s="166">
        <v>74</v>
      </c>
      <c r="DR40" s="78"/>
      <c r="DS40" s="78"/>
      <c r="DT40" s="78">
        <f t="shared" si="96"/>
        <v>74</v>
      </c>
      <c r="DU40" s="175">
        <f t="shared" si="97"/>
        <v>1121.2057142857143</v>
      </c>
      <c r="DV40" s="175">
        <v>1157</v>
      </c>
      <c r="DW40" s="170">
        <f t="shared" si="57"/>
        <v>146.79428571428562</v>
      </c>
      <c r="DX40" s="534">
        <f t="shared" si="89"/>
        <v>131.79428571428562</v>
      </c>
      <c r="DY40" s="534">
        <f t="shared" si="90"/>
        <v>116.69285714285706</v>
      </c>
      <c r="DZ40" s="262">
        <f t="shared" si="86"/>
        <v>1.3728571428571419</v>
      </c>
      <c r="EA40" s="78">
        <v>96</v>
      </c>
      <c r="EB40" s="78">
        <v>85</v>
      </c>
      <c r="EC40" s="175">
        <f t="shared" si="82"/>
        <v>15.101428571428556</v>
      </c>
      <c r="ED40" s="175">
        <v>0</v>
      </c>
      <c r="EE40" s="175">
        <f t="shared" si="58"/>
        <v>15.101428571428556</v>
      </c>
      <c r="EF40" s="175"/>
      <c r="EG40" s="78">
        <v>15</v>
      </c>
      <c r="EH40" s="534">
        <f t="shared" si="60"/>
        <v>71.251428571428505</v>
      </c>
      <c r="EI40" s="78">
        <v>412</v>
      </c>
      <c r="EJ40" s="78">
        <v>412</v>
      </c>
      <c r="EK40" s="78"/>
      <c r="EL40" s="78"/>
      <c r="EM40" s="78"/>
      <c r="EN40" s="78"/>
      <c r="EO40" s="78">
        <v>480</v>
      </c>
      <c r="EP40" s="78">
        <v>417</v>
      </c>
      <c r="EQ40" s="175">
        <f t="shared" si="91"/>
        <v>1342</v>
      </c>
      <c r="ER40" s="2">
        <f t="shared" si="64"/>
        <v>1209.82</v>
      </c>
      <c r="ES40" s="262">
        <f t="shared" si="98"/>
        <v>0.90150521609538004</v>
      </c>
      <c r="ET40" s="262"/>
      <c r="EU40" s="262"/>
      <c r="EV40" s="262"/>
      <c r="EW40" s="78"/>
      <c r="EX40" s="78"/>
      <c r="EY40" s="166"/>
      <c r="EZ40" s="78"/>
      <c r="FA40" s="78"/>
      <c r="FB40" s="78"/>
      <c r="FC40" s="78"/>
      <c r="FD40" s="78"/>
      <c r="FE40" s="93"/>
      <c r="FF40" s="166"/>
      <c r="FG40" s="78"/>
      <c r="FH40" s="598"/>
      <c r="FI40" s="310">
        <f t="shared" si="65"/>
        <v>63</v>
      </c>
      <c r="FJ40" s="2">
        <f t="shared" si="66"/>
        <v>63</v>
      </c>
      <c r="FK40" s="166"/>
      <c r="FL40" s="78"/>
      <c r="FM40" s="78"/>
      <c r="FN40" s="78"/>
      <c r="FO40" s="78"/>
      <c r="FP40" s="78"/>
      <c r="FQ40" s="78"/>
      <c r="FR40" s="78"/>
      <c r="FS40" s="93"/>
      <c r="FT40" s="78"/>
      <c r="FU40" s="78"/>
      <c r="FV40" s="78"/>
      <c r="FW40" s="78"/>
      <c r="FX40" s="78"/>
      <c r="FY40" s="78"/>
      <c r="FZ40" s="102"/>
      <c r="GA40" s="102"/>
      <c r="GB40" s="102"/>
      <c r="GC40" s="102"/>
      <c r="GD40" s="102"/>
      <c r="GE40" s="102"/>
      <c r="GF40" s="102"/>
      <c r="GG40" s="102"/>
      <c r="GH40" s="102"/>
      <c r="GI40" s="102"/>
      <c r="GJ40" s="102"/>
      <c r="GK40" s="1162">
        <f>DataUK4!X193+DataUK4!AH193</f>
        <v>7.6000000000000085</v>
      </c>
      <c r="GL40" s="102"/>
      <c r="GM40" s="102"/>
      <c r="GN40" s="102"/>
      <c r="GO40" s="102"/>
      <c r="GP40" s="310">
        <f t="shared" si="67"/>
        <v>15.101428571428556</v>
      </c>
      <c r="GQ40" s="102"/>
      <c r="GR40" s="102"/>
      <c r="GS40" s="102"/>
      <c r="GT40" s="102"/>
      <c r="GU40" s="991">
        <f t="shared" si="68"/>
        <v>-7.5014285714285478</v>
      </c>
      <c r="GW40" s="1063">
        <f>DataUK4!D193+DataUK4!F193</f>
        <v>22.2</v>
      </c>
      <c r="GX40" s="102"/>
      <c r="GY40" s="615">
        <f t="shared" si="69"/>
        <v>18.626006191950484</v>
      </c>
      <c r="GZ40" s="102"/>
      <c r="HA40" s="102"/>
      <c r="HB40" s="102"/>
      <c r="HC40" s="101"/>
      <c r="HD40" s="170">
        <f t="shared" si="92"/>
        <v>63</v>
      </c>
      <c r="HE40" s="301">
        <f t="shared" si="93"/>
        <v>68</v>
      </c>
      <c r="HF40" s="301">
        <f t="shared" si="94"/>
        <v>5</v>
      </c>
      <c r="HG40" s="170">
        <f t="shared" si="71"/>
        <v>0</v>
      </c>
      <c r="HH40" s="301">
        <v>0</v>
      </c>
      <c r="HI40" s="301">
        <v>0</v>
      </c>
      <c r="HJ40" s="2">
        <v>0</v>
      </c>
      <c r="HK40" s="2">
        <v>0</v>
      </c>
      <c r="HL40" s="2">
        <v>0</v>
      </c>
      <c r="HM40" s="2">
        <f t="shared" si="72"/>
        <v>0</v>
      </c>
      <c r="HN40" s="2">
        <v>0</v>
      </c>
      <c r="HO40" s="2">
        <v>0</v>
      </c>
      <c r="HP40" s="2">
        <v>0</v>
      </c>
      <c r="HQ40" s="2">
        <v>0</v>
      </c>
      <c r="HR40" s="2">
        <v>0</v>
      </c>
      <c r="HS40" s="1052">
        <v>0</v>
      </c>
      <c r="HT40" s="1001">
        <v>9.4</v>
      </c>
      <c r="HU40" s="1002">
        <f t="shared" si="73"/>
        <v>1.1485530546623792</v>
      </c>
      <c r="HV40" s="1002">
        <f t="shared" si="74"/>
        <v>1.3299035369774921</v>
      </c>
    </row>
    <row r="41" spans="1:230" ht="12" customHeight="1">
      <c r="A41" s="79">
        <f t="shared" si="0"/>
        <v>1883</v>
      </c>
      <c r="B41" s="176">
        <f t="shared" si="1"/>
        <v>1199.83</v>
      </c>
      <c r="C41" s="177">
        <f t="shared" si="2"/>
        <v>64</v>
      </c>
      <c r="D41" s="176">
        <f t="shared" si="3"/>
        <v>1135.83</v>
      </c>
      <c r="E41" s="154">
        <f t="shared" si="4"/>
        <v>1194.76</v>
      </c>
      <c r="F41" s="995">
        <f t="shared" si="5"/>
        <v>61.09999999999998</v>
      </c>
      <c r="G41" s="531">
        <f t="shared" si="6"/>
        <v>1388.9</v>
      </c>
      <c r="H41" s="531">
        <f t="shared" si="7"/>
        <v>1324.9</v>
      </c>
      <c r="I41" s="531">
        <f t="shared" si="8"/>
        <v>1386</v>
      </c>
      <c r="J41" s="548">
        <f t="shared" si="9"/>
        <v>0.86202020202020202</v>
      </c>
      <c r="K41" s="515">
        <f t="shared" si="87"/>
        <v>87</v>
      </c>
      <c r="L41" s="175">
        <v>87</v>
      </c>
      <c r="M41" s="175">
        <v>0</v>
      </c>
      <c r="N41" s="78"/>
      <c r="O41" s="78"/>
      <c r="P41" s="78"/>
      <c r="Q41" s="78"/>
      <c r="R41" s="78"/>
      <c r="S41" s="532">
        <f t="shared" si="88"/>
        <v>7.833180271190103E-2</v>
      </c>
      <c r="T41" s="1008">
        <f t="shared" si="13"/>
        <v>83.452400000000011</v>
      </c>
      <c r="U41" s="1010">
        <f t="shared" si="14"/>
        <v>83.452400000000011</v>
      </c>
      <c r="V41" s="511">
        <f t="shared" si="15"/>
        <v>95.4</v>
      </c>
      <c r="W41" s="2">
        <f t="shared" si="16"/>
        <v>95.4</v>
      </c>
      <c r="X41" s="169">
        <f t="shared" si="17"/>
        <v>11.9476</v>
      </c>
      <c r="Y41" s="113">
        <f t="shared" si="18"/>
        <v>0.12523689727463311</v>
      </c>
      <c r="Z41" s="113">
        <f t="shared" si="19"/>
        <v>0.12523689727463311</v>
      </c>
      <c r="AA41" s="78"/>
      <c r="AB41" s="1019">
        <v>0.01</v>
      </c>
      <c r="AC41" s="78"/>
      <c r="AD41" s="78"/>
      <c r="AE41" s="78"/>
      <c r="AF41" s="78"/>
      <c r="AG41" s="78"/>
      <c r="AH41" s="78"/>
      <c r="AI41" s="78"/>
      <c r="AJ41" s="171">
        <f t="shared" si="20"/>
        <v>474.18089580771294</v>
      </c>
      <c r="AK41" s="1026">
        <f t="shared" si="21"/>
        <v>130.56</v>
      </c>
      <c r="AL41" s="169">
        <f t="shared" si="22"/>
        <v>493.93843313303432</v>
      </c>
      <c r="AM41" s="169">
        <f t="shared" si="75"/>
        <v>136</v>
      </c>
      <c r="AN41" s="169">
        <f t="shared" si="23"/>
        <v>297.90396055218031</v>
      </c>
      <c r="AO41" s="1027">
        <f t="shared" si="24"/>
        <v>317.66149787750169</v>
      </c>
      <c r="AP41" s="175">
        <v>161</v>
      </c>
      <c r="AQ41" s="175">
        <v>55</v>
      </c>
      <c r="AR41" s="78">
        <f t="shared" si="76"/>
        <v>106</v>
      </c>
      <c r="AS41" s="83"/>
      <c r="AT41" s="358">
        <v>24</v>
      </c>
      <c r="AU41" s="1030">
        <f t="shared" si="25"/>
        <v>238.66149787750166</v>
      </c>
      <c r="AV41" s="78">
        <v>355</v>
      </c>
      <c r="AW41" s="534">
        <f t="shared" si="77"/>
        <v>92.33850212249834</v>
      </c>
      <c r="AX41" s="78"/>
      <c r="AY41" s="78"/>
      <c r="AZ41" s="534">
        <v>4.76</v>
      </c>
      <c r="BA41" s="386">
        <f t="shared" si="83"/>
        <v>0.29269254093389951</v>
      </c>
      <c r="BB41" s="78"/>
      <c r="BC41" s="78"/>
      <c r="BD41" s="78"/>
      <c r="BE41" s="78"/>
      <c r="BF41" s="78"/>
      <c r="BG41" s="78"/>
      <c r="BH41" s="78"/>
      <c r="BI41" s="166">
        <v>587</v>
      </c>
      <c r="BJ41" s="2">
        <f t="shared" si="26"/>
        <v>587</v>
      </c>
      <c r="BK41" s="175">
        <v>57</v>
      </c>
      <c r="BL41" s="169">
        <f t="shared" si="27"/>
        <v>136</v>
      </c>
      <c r="BM41" s="1031">
        <f t="shared" si="28"/>
        <v>176.27693525553266</v>
      </c>
      <c r="BN41" s="310">
        <f t="shared" si="29"/>
        <v>119.27693525553266</v>
      </c>
      <c r="BO41" s="262">
        <f t="shared" si="30"/>
        <v>0.24873834022358624</v>
      </c>
      <c r="BP41" s="262">
        <f t="shared" si="31"/>
        <v>0.26523512338852567</v>
      </c>
      <c r="BQ41" s="262">
        <f t="shared" si="32"/>
        <v>0.14718445573496039</v>
      </c>
      <c r="BR41" s="262">
        <f t="shared" si="33"/>
        <v>0.30030142292254286</v>
      </c>
      <c r="BS41" s="988">
        <f t="shared" si="99"/>
        <v>0.55492068265543948</v>
      </c>
      <c r="BT41" s="534">
        <f t="shared" si="34"/>
        <v>19.757537325321373</v>
      </c>
      <c r="BU41" s="534">
        <f t="shared" si="35"/>
        <v>5.44</v>
      </c>
      <c r="BV41" s="113">
        <v>0.04</v>
      </c>
      <c r="BW41" s="276">
        <f t="shared" si="36"/>
        <v>1.6536825241321582E-2</v>
      </c>
      <c r="BX41" s="272">
        <f t="shared" si="37"/>
        <v>31.705137325321374</v>
      </c>
      <c r="BY41" s="78"/>
      <c r="BZ41" s="1034"/>
      <c r="CA41" s="1037"/>
      <c r="CB41" s="2">
        <f t="shared" si="38"/>
        <v>1110.6600000000001</v>
      </c>
      <c r="CC41" s="2">
        <f t="shared" si="95"/>
        <v>1197.6600000000001</v>
      </c>
      <c r="CD41" s="310">
        <f t="shared" si="39"/>
        <v>1197.6600000000001</v>
      </c>
      <c r="CE41" s="310">
        <f t="shared" si="40"/>
        <v>1133.6600000000001</v>
      </c>
      <c r="CF41" s="78"/>
      <c r="CG41" s="78"/>
      <c r="CH41" s="78"/>
      <c r="CI41" s="534">
        <f t="shared" si="79"/>
        <v>61.09999999999998</v>
      </c>
      <c r="CJ41" s="78">
        <v>65</v>
      </c>
      <c r="CK41" s="386">
        <f t="shared" si="85"/>
        <v>0.93999999999999972</v>
      </c>
      <c r="CL41" s="517">
        <f t="shared" si="41"/>
        <v>445.59670419228706</v>
      </c>
      <c r="CM41" s="169">
        <f t="shared" si="42"/>
        <v>468.06156686696568</v>
      </c>
      <c r="CN41" s="170">
        <f t="shared" si="43"/>
        <v>102.93850212249833</v>
      </c>
      <c r="CO41" s="170">
        <f t="shared" si="44"/>
        <v>102.93850212249833</v>
      </c>
      <c r="CP41" s="170">
        <f t="shared" si="45"/>
        <v>365.12306474446734</v>
      </c>
      <c r="CQ41" s="170">
        <f t="shared" si="46"/>
        <v>22.464862674678606</v>
      </c>
      <c r="CR41" s="170"/>
      <c r="CS41" s="113">
        <f t="shared" si="47"/>
        <v>1.8802824562823166E-2</v>
      </c>
      <c r="CT41" s="78"/>
      <c r="CU41" s="78"/>
      <c r="CV41" s="78"/>
      <c r="CW41" s="78"/>
      <c r="CX41" s="78"/>
      <c r="CY41" s="78"/>
      <c r="CZ41" s="78"/>
      <c r="DA41" s="78"/>
      <c r="DB41" s="78"/>
      <c r="DC41" s="78"/>
      <c r="DD41" s="78"/>
      <c r="DE41" s="78"/>
      <c r="DF41" s="78"/>
      <c r="DG41" s="78"/>
      <c r="DH41" s="516">
        <f t="shared" si="48"/>
        <v>45.6</v>
      </c>
      <c r="DI41" s="2">
        <f t="shared" si="49"/>
        <v>52.53</v>
      </c>
      <c r="DJ41" s="169">
        <f t="shared" si="50"/>
        <v>45.6</v>
      </c>
      <c r="DK41" s="169">
        <f t="shared" si="51"/>
        <v>6.93</v>
      </c>
      <c r="DL41" s="113">
        <f t="shared" si="52"/>
        <v>3.8074244777315767E-2</v>
      </c>
      <c r="DM41" s="113">
        <f t="shared" si="53"/>
        <v>7.7683134582623506E-2</v>
      </c>
      <c r="DN41" s="113">
        <v>0.6</v>
      </c>
      <c r="DO41" s="78"/>
      <c r="DP41" s="78"/>
      <c r="DQ41" s="166">
        <v>76</v>
      </c>
      <c r="DR41" s="78"/>
      <c r="DS41" s="78"/>
      <c r="DT41" s="78">
        <f t="shared" si="96"/>
        <v>76</v>
      </c>
      <c r="DU41" s="175">
        <f t="shared" si="97"/>
        <v>1152.2600000000002</v>
      </c>
      <c r="DV41" s="175">
        <v>1190</v>
      </c>
      <c r="DW41" s="170">
        <f t="shared" si="57"/>
        <v>169.7399999999999</v>
      </c>
      <c r="DX41" s="534">
        <f t="shared" si="89"/>
        <v>139.7399999999999</v>
      </c>
      <c r="DY41" s="534">
        <f t="shared" si="90"/>
        <v>123.29999999999991</v>
      </c>
      <c r="DZ41" s="262">
        <f t="shared" si="86"/>
        <v>1.369999999999999</v>
      </c>
      <c r="EA41" s="78">
        <v>102</v>
      </c>
      <c r="EB41" s="78">
        <v>90</v>
      </c>
      <c r="EC41" s="175">
        <f t="shared" si="82"/>
        <v>16.439999999999984</v>
      </c>
      <c r="ED41" s="175">
        <v>0</v>
      </c>
      <c r="EE41" s="175">
        <f t="shared" si="58"/>
        <v>16.439999999999984</v>
      </c>
      <c r="EF41" s="175"/>
      <c r="EG41" s="78">
        <v>30</v>
      </c>
      <c r="EH41" s="534">
        <f t="shared" si="60"/>
        <v>78.639999999999915</v>
      </c>
      <c r="EI41" s="78">
        <v>414</v>
      </c>
      <c r="EJ41" s="78">
        <v>426</v>
      </c>
      <c r="EK41" s="78"/>
      <c r="EL41" s="78"/>
      <c r="EM41" s="78"/>
      <c r="EN41" s="78"/>
      <c r="EO41" s="78">
        <v>483</v>
      </c>
      <c r="EP41" s="78">
        <v>431</v>
      </c>
      <c r="EQ41" s="175">
        <f t="shared" si="91"/>
        <v>1386</v>
      </c>
      <c r="ER41" s="2">
        <f t="shared" si="64"/>
        <v>1194.76</v>
      </c>
      <c r="ES41" s="262">
        <f t="shared" si="98"/>
        <v>0.86202020202020202</v>
      </c>
      <c r="ET41" s="262"/>
      <c r="EU41" s="262"/>
      <c r="EV41" s="262"/>
      <c r="EW41" s="78"/>
      <c r="EX41" s="78"/>
      <c r="EY41" s="166"/>
      <c r="EZ41" s="78"/>
      <c r="FA41" s="78"/>
      <c r="FB41" s="78"/>
      <c r="FC41" s="78"/>
      <c r="FD41" s="78"/>
      <c r="FE41" s="93"/>
      <c r="FF41" s="166"/>
      <c r="FG41" s="78"/>
      <c r="FH41" s="598"/>
      <c r="FI41" s="310">
        <f t="shared" si="65"/>
        <v>52</v>
      </c>
      <c r="FJ41" s="2">
        <f t="shared" si="66"/>
        <v>52</v>
      </c>
      <c r="FK41" s="166"/>
      <c r="FL41" s="78"/>
      <c r="FM41" s="78"/>
      <c r="FN41" s="78"/>
      <c r="FO41" s="78"/>
      <c r="FP41" s="78"/>
      <c r="FQ41" s="78"/>
      <c r="FR41" s="78"/>
      <c r="FS41" s="93"/>
      <c r="FT41" s="78"/>
      <c r="FU41" s="78"/>
      <c r="FV41" s="78"/>
      <c r="FW41" s="78"/>
      <c r="FX41" s="78"/>
      <c r="FY41" s="78"/>
      <c r="FZ41" s="102"/>
      <c r="GA41" s="102"/>
      <c r="GB41" s="102"/>
      <c r="GC41" s="102"/>
      <c r="GD41" s="102"/>
      <c r="GE41" s="102"/>
      <c r="GF41" s="102"/>
      <c r="GG41" s="102"/>
      <c r="GH41" s="102"/>
      <c r="GI41" s="102"/>
      <c r="GJ41" s="102"/>
      <c r="GK41" s="1162">
        <f>DataUK4!X194+DataUK4!AH194</f>
        <v>7.8999999999999915</v>
      </c>
      <c r="GL41" s="102"/>
      <c r="GM41" s="102"/>
      <c r="GN41" s="102"/>
      <c r="GO41" s="102"/>
      <c r="GP41" s="310">
        <f t="shared" si="67"/>
        <v>16.439999999999984</v>
      </c>
      <c r="GQ41" s="102"/>
      <c r="GR41" s="102"/>
      <c r="GS41" s="102"/>
      <c r="GT41" s="102"/>
      <c r="GU41" s="991">
        <f t="shared" si="68"/>
        <v>-8.539999999999992</v>
      </c>
      <c r="GW41" s="1063">
        <f>DataUK4!D194+DataUK4!F194</f>
        <v>22</v>
      </c>
      <c r="GX41" s="102"/>
      <c r="GY41" s="615">
        <f t="shared" si="69"/>
        <v>18.458204334365345</v>
      </c>
      <c r="GZ41" s="102"/>
      <c r="HA41" s="102"/>
      <c r="HB41" s="102"/>
      <c r="HC41" s="101"/>
      <c r="HD41" s="170">
        <f t="shared" si="92"/>
        <v>64</v>
      </c>
      <c r="HE41" s="301">
        <f t="shared" si="93"/>
        <v>69</v>
      </c>
      <c r="HF41" s="301">
        <f t="shared" si="94"/>
        <v>5</v>
      </c>
      <c r="HG41" s="170">
        <f t="shared" si="71"/>
        <v>0</v>
      </c>
      <c r="HH41" s="301">
        <v>0</v>
      </c>
      <c r="HI41" s="301">
        <v>0</v>
      </c>
      <c r="HJ41" s="2">
        <v>0</v>
      </c>
      <c r="HK41" s="2">
        <v>0</v>
      </c>
      <c r="HL41" s="2">
        <v>0</v>
      </c>
      <c r="HM41" s="2">
        <f t="shared" si="72"/>
        <v>0</v>
      </c>
      <c r="HN41" s="2">
        <v>0</v>
      </c>
      <c r="HO41" s="2">
        <v>0</v>
      </c>
      <c r="HP41" s="2">
        <v>0</v>
      </c>
      <c r="HQ41" s="2">
        <v>0</v>
      </c>
      <c r="HR41" s="2">
        <v>0</v>
      </c>
      <c r="HS41" s="1052">
        <v>0</v>
      </c>
      <c r="HT41" s="1001">
        <v>9.3000000000000007</v>
      </c>
      <c r="HU41" s="1002">
        <f t="shared" si="73"/>
        <v>1.1363344051446946</v>
      </c>
      <c r="HV41" s="1002">
        <f t="shared" si="74"/>
        <v>1.3157556270096464</v>
      </c>
    </row>
    <row r="42" spans="1:230" ht="12" customHeight="1">
      <c r="A42" s="79">
        <f t="shared" si="0"/>
        <v>1884</v>
      </c>
      <c r="B42" s="176">
        <f t="shared" si="1"/>
        <v>1170.9199999999998</v>
      </c>
      <c r="C42" s="177">
        <f t="shared" si="2"/>
        <v>67</v>
      </c>
      <c r="D42" s="176">
        <f t="shared" si="3"/>
        <v>1103.9199999999998</v>
      </c>
      <c r="E42" s="154">
        <f t="shared" si="4"/>
        <v>1161.6279999999999</v>
      </c>
      <c r="F42" s="995">
        <f t="shared" si="5"/>
        <v>59.759999999999984</v>
      </c>
      <c r="G42" s="531">
        <f t="shared" si="6"/>
        <v>1343.24</v>
      </c>
      <c r="H42" s="531">
        <f t="shared" si="7"/>
        <v>1276.24</v>
      </c>
      <c r="I42" s="531">
        <f t="shared" si="8"/>
        <v>1336</v>
      </c>
      <c r="J42" s="548">
        <f t="shared" si="9"/>
        <v>0.86948203592814366</v>
      </c>
      <c r="K42" s="515">
        <f t="shared" si="87"/>
        <v>88</v>
      </c>
      <c r="L42" s="175">
        <v>88</v>
      </c>
      <c r="M42" s="175">
        <v>0</v>
      </c>
      <c r="N42" s="78"/>
      <c r="O42" s="78"/>
      <c r="P42" s="78"/>
      <c r="Q42" s="78"/>
      <c r="R42" s="78"/>
      <c r="S42" s="532">
        <f t="shared" si="88"/>
        <v>8.1416047102883984E-2</v>
      </c>
      <c r="T42" s="1008">
        <f t="shared" si="13"/>
        <v>86.483720000000005</v>
      </c>
      <c r="U42" s="1010">
        <f t="shared" si="14"/>
        <v>86.483720000000005</v>
      </c>
      <c r="V42" s="511">
        <f t="shared" si="15"/>
        <v>98.100000000000009</v>
      </c>
      <c r="W42" s="2">
        <f t="shared" si="16"/>
        <v>98.100000000000009</v>
      </c>
      <c r="X42" s="169">
        <f t="shared" si="17"/>
        <v>11.61628</v>
      </c>
      <c r="Y42" s="113">
        <f t="shared" si="18"/>
        <v>0.11841264016309887</v>
      </c>
      <c r="Z42" s="113">
        <f t="shared" si="19"/>
        <v>0.11841264016309887</v>
      </c>
      <c r="AA42" s="78"/>
      <c r="AB42" s="1019">
        <v>0.01</v>
      </c>
      <c r="AC42" s="78"/>
      <c r="AD42" s="78"/>
      <c r="AE42" s="78"/>
      <c r="AF42" s="78"/>
      <c r="AG42" s="78"/>
      <c r="AH42" s="78"/>
      <c r="AI42" s="78"/>
      <c r="AJ42" s="171">
        <f t="shared" si="20"/>
        <v>453.95324287682672</v>
      </c>
      <c r="AK42" s="1026">
        <f t="shared" si="21"/>
        <v>127.68</v>
      </c>
      <c r="AL42" s="169">
        <f t="shared" si="22"/>
        <v>472.86796133002781</v>
      </c>
      <c r="AM42" s="169">
        <f t="shared" si="75"/>
        <v>133</v>
      </c>
      <c r="AN42" s="169">
        <f t="shared" si="23"/>
        <v>285.19594558561045</v>
      </c>
      <c r="AO42" s="1027">
        <f t="shared" si="24"/>
        <v>304.11066403881154</v>
      </c>
      <c r="AP42" s="175">
        <v>162</v>
      </c>
      <c r="AQ42" s="175">
        <v>53</v>
      </c>
      <c r="AR42" s="78">
        <f t="shared" si="76"/>
        <v>109</v>
      </c>
      <c r="AS42" s="83"/>
      <c r="AT42" s="358">
        <v>24</v>
      </c>
      <c r="AU42" s="1030">
        <f t="shared" si="25"/>
        <v>227.11066403881154</v>
      </c>
      <c r="AV42" s="78">
        <v>339</v>
      </c>
      <c r="AW42" s="534">
        <f t="shared" si="77"/>
        <v>87.889335961188465</v>
      </c>
      <c r="AX42" s="78"/>
      <c r="AY42" s="78"/>
      <c r="AZ42" s="534">
        <v>4.6280000000000001</v>
      </c>
      <c r="BA42" s="386">
        <f t="shared" si="83"/>
        <v>0.29064584596725307</v>
      </c>
      <c r="BB42" s="78"/>
      <c r="BC42" s="78"/>
      <c r="BD42" s="78"/>
      <c r="BE42" s="78"/>
      <c r="BF42" s="78"/>
      <c r="BG42" s="78"/>
      <c r="BH42" s="78"/>
      <c r="BI42" s="166">
        <v>568</v>
      </c>
      <c r="BJ42" s="2">
        <f t="shared" si="26"/>
        <v>568</v>
      </c>
      <c r="BK42" s="175">
        <v>56</v>
      </c>
      <c r="BL42" s="169">
        <f t="shared" si="27"/>
        <v>133</v>
      </c>
      <c r="BM42" s="1031">
        <f t="shared" si="28"/>
        <v>168.7572972912163</v>
      </c>
      <c r="BN42" s="310">
        <f t="shared" si="29"/>
        <v>112.7572972912163</v>
      </c>
      <c r="BO42" s="262">
        <f t="shared" si="30"/>
        <v>0.24399328716810664</v>
      </c>
      <c r="BP42" s="262">
        <f t="shared" si="31"/>
        <v>0.26017536970711114</v>
      </c>
      <c r="BQ42" s="262">
        <f t="shared" si="32"/>
        <v>0.14437669376800144</v>
      </c>
      <c r="BR42" s="262">
        <f t="shared" si="33"/>
        <v>0.29710791776622586</v>
      </c>
      <c r="BS42" s="988">
        <f t="shared" si="99"/>
        <v>0.55492068265543948</v>
      </c>
      <c r="BT42" s="534">
        <f t="shared" si="34"/>
        <v>18.914718453201115</v>
      </c>
      <c r="BU42" s="534">
        <f t="shared" si="35"/>
        <v>5.32</v>
      </c>
      <c r="BV42" s="113">
        <v>0.04</v>
      </c>
      <c r="BW42" s="276">
        <f t="shared" si="36"/>
        <v>1.6282939506624423E-2</v>
      </c>
      <c r="BX42" s="272">
        <f t="shared" si="37"/>
        <v>30.530998453201114</v>
      </c>
      <c r="BY42" s="78"/>
      <c r="BZ42" s="1034"/>
      <c r="CA42" s="1037"/>
      <c r="CB42" s="2">
        <f t="shared" si="38"/>
        <v>1080.8679999999999</v>
      </c>
      <c r="CC42" s="2">
        <f t="shared" si="95"/>
        <v>1168.8679999999999</v>
      </c>
      <c r="CD42" s="310">
        <f t="shared" si="39"/>
        <v>1168.8679999999999</v>
      </c>
      <c r="CE42" s="310">
        <f t="shared" si="40"/>
        <v>1101.8679999999999</v>
      </c>
      <c r="CF42" s="78"/>
      <c r="CG42" s="78"/>
      <c r="CH42" s="78"/>
      <c r="CI42" s="534">
        <f t="shared" si="79"/>
        <v>59.759999999999984</v>
      </c>
      <c r="CJ42" s="78">
        <v>63</v>
      </c>
      <c r="CK42" s="386">
        <f t="shared" si="85"/>
        <v>0.94857142857142829</v>
      </c>
      <c r="CL42" s="517">
        <f t="shared" si="41"/>
        <v>429.88303712317321</v>
      </c>
      <c r="CM42" s="169">
        <f t="shared" si="42"/>
        <v>452.43203866997209</v>
      </c>
      <c r="CN42" s="170">
        <f t="shared" si="43"/>
        <v>98.789335961188442</v>
      </c>
      <c r="CO42" s="170">
        <f t="shared" si="44"/>
        <v>98.789335961188442</v>
      </c>
      <c r="CP42" s="170">
        <f t="shared" si="45"/>
        <v>353.64270270878364</v>
      </c>
      <c r="CQ42" s="170">
        <f t="shared" si="46"/>
        <v>22.549001546798873</v>
      </c>
      <c r="CR42" s="170"/>
      <c r="CS42" s="113">
        <f t="shared" si="47"/>
        <v>1.9411551328651577E-2</v>
      </c>
      <c r="CT42" s="78"/>
      <c r="CU42" s="78"/>
      <c r="CV42" s="78"/>
      <c r="CW42" s="78"/>
      <c r="CX42" s="78"/>
      <c r="CY42" s="78"/>
      <c r="CZ42" s="78"/>
      <c r="DA42" s="78"/>
      <c r="DB42" s="78"/>
      <c r="DC42" s="78"/>
      <c r="DD42" s="78"/>
      <c r="DE42" s="78"/>
      <c r="DF42" s="78"/>
      <c r="DG42" s="78"/>
      <c r="DH42" s="516">
        <f t="shared" si="48"/>
        <v>45.6</v>
      </c>
      <c r="DI42" s="2">
        <f t="shared" si="49"/>
        <v>52.28</v>
      </c>
      <c r="DJ42" s="169">
        <f t="shared" si="50"/>
        <v>45.6</v>
      </c>
      <c r="DK42" s="169">
        <f t="shared" si="51"/>
        <v>6.68</v>
      </c>
      <c r="DL42" s="113">
        <f t="shared" si="52"/>
        <v>3.9012104018588928E-2</v>
      </c>
      <c r="DM42" s="113">
        <f t="shared" si="53"/>
        <v>8.0281690140845074E-2</v>
      </c>
      <c r="DN42" s="113">
        <v>0.6</v>
      </c>
      <c r="DO42" s="78"/>
      <c r="DP42" s="78"/>
      <c r="DQ42" s="166">
        <v>76</v>
      </c>
      <c r="DR42" s="78"/>
      <c r="DS42" s="78"/>
      <c r="DT42" s="78">
        <f t="shared" si="96"/>
        <v>76</v>
      </c>
      <c r="DU42" s="175">
        <f t="shared" si="97"/>
        <v>1127.8557142857144</v>
      </c>
      <c r="DV42" s="175">
        <v>1162</v>
      </c>
      <c r="DW42" s="170">
        <f t="shared" si="57"/>
        <v>127.14428571428562</v>
      </c>
      <c r="DX42" s="534">
        <f t="shared" si="89"/>
        <v>127.14428571428562</v>
      </c>
      <c r="DY42" s="534">
        <f t="shared" si="90"/>
        <v>109.37142857142848</v>
      </c>
      <c r="DZ42" s="262">
        <f t="shared" si="86"/>
        <v>1.3671428571428561</v>
      </c>
      <c r="EA42" s="78">
        <v>93</v>
      </c>
      <c r="EB42" s="78">
        <v>80</v>
      </c>
      <c r="EC42" s="175">
        <f t="shared" si="82"/>
        <v>17.772857142857134</v>
      </c>
      <c r="ED42" s="175">
        <v>0</v>
      </c>
      <c r="EE42" s="175">
        <f t="shared" si="58"/>
        <v>17.772857142857134</v>
      </c>
      <c r="EF42" s="175"/>
      <c r="EG42" s="78">
        <v>0</v>
      </c>
      <c r="EH42" s="534">
        <f t="shared" si="60"/>
        <v>67.384285714285625</v>
      </c>
      <c r="EI42" s="78">
        <v>395</v>
      </c>
      <c r="EJ42" s="78">
        <v>390</v>
      </c>
      <c r="EK42" s="78"/>
      <c r="EL42" s="78"/>
      <c r="EM42" s="78"/>
      <c r="EN42" s="78"/>
      <c r="EO42" s="78">
        <v>467</v>
      </c>
      <c r="EP42" s="78">
        <v>395</v>
      </c>
      <c r="EQ42" s="175">
        <f t="shared" si="91"/>
        <v>1336</v>
      </c>
      <c r="ER42" s="2">
        <f t="shared" si="64"/>
        <v>1161.6279999999999</v>
      </c>
      <c r="ES42" s="262">
        <f t="shared" si="98"/>
        <v>0.86948203592814366</v>
      </c>
      <c r="ET42" s="262"/>
      <c r="EU42" s="262"/>
      <c r="EV42" s="262"/>
      <c r="EW42" s="78"/>
      <c r="EX42" s="78"/>
      <c r="EY42" s="166"/>
      <c r="EZ42" s="78"/>
      <c r="FA42" s="78"/>
      <c r="FB42" s="78"/>
      <c r="FC42" s="78"/>
      <c r="FD42" s="78"/>
      <c r="FE42" s="93"/>
      <c r="FF42" s="166"/>
      <c r="FG42" s="78"/>
      <c r="FH42" s="598"/>
      <c r="FI42" s="310">
        <f t="shared" si="65"/>
        <v>72</v>
      </c>
      <c r="FJ42" s="2">
        <f t="shared" si="66"/>
        <v>72</v>
      </c>
      <c r="FK42" s="166"/>
      <c r="FL42" s="78"/>
      <c r="FM42" s="78"/>
      <c r="FN42" s="78"/>
      <c r="FO42" s="78"/>
      <c r="FP42" s="78"/>
      <c r="FQ42" s="78"/>
      <c r="FR42" s="78"/>
      <c r="FS42" s="93"/>
      <c r="FT42" s="78"/>
      <c r="FU42" s="78"/>
      <c r="FV42" s="78"/>
      <c r="FW42" s="78"/>
      <c r="FX42" s="78"/>
      <c r="FY42" s="78"/>
      <c r="FZ42" s="102"/>
      <c r="GA42" s="102"/>
      <c r="GB42" s="102"/>
      <c r="GC42" s="102"/>
      <c r="GD42" s="102"/>
      <c r="GE42" s="102"/>
      <c r="GF42" s="102"/>
      <c r="GG42" s="102"/>
      <c r="GH42" s="102"/>
      <c r="GI42" s="102"/>
      <c r="GJ42" s="102"/>
      <c r="GK42" s="1162">
        <f>DataUK4!X195+DataUK4!AH195</f>
        <v>8.5999999999999943</v>
      </c>
      <c r="GL42" s="102"/>
      <c r="GM42" s="102"/>
      <c r="GN42" s="102"/>
      <c r="GO42" s="102"/>
      <c r="GP42" s="310">
        <f t="shared" si="67"/>
        <v>17.772857142857134</v>
      </c>
      <c r="GQ42" s="102"/>
      <c r="GR42" s="102"/>
      <c r="GS42" s="102"/>
      <c r="GT42" s="102"/>
      <c r="GU42" s="991">
        <f t="shared" si="68"/>
        <v>-9.1728571428571399</v>
      </c>
      <c r="GW42" s="1063">
        <f>DataUK4!D195+DataUK4!F195</f>
        <v>19.899999999999999</v>
      </c>
      <c r="GX42" s="102"/>
      <c r="GY42" s="615">
        <f t="shared" si="69"/>
        <v>16.696284829721378</v>
      </c>
      <c r="GZ42" s="102"/>
      <c r="HA42" s="102"/>
      <c r="HB42" s="102"/>
      <c r="HC42" s="101"/>
      <c r="HD42" s="170">
        <f t="shared" si="92"/>
        <v>67</v>
      </c>
      <c r="HE42" s="301">
        <f t="shared" si="93"/>
        <v>72</v>
      </c>
      <c r="HF42" s="301">
        <f t="shared" si="94"/>
        <v>5</v>
      </c>
      <c r="HG42" s="170">
        <f t="shared" si="71"/>
        <v>0</v>
      </c>
      <c r="HH42" s="301">
        <v>0</v>
      </c>
      <c r="HI42" s="301">
        <v>0</v>
      </c>
      <c r="HJ42" s="2">
        <v>0</v>
      </c>
      <c r="HK42" s="2">
        <v>0</v>
      </c>
      <c r="HL42" s="2">
        <v>0</v>
      </c>
      <c r="HM42" s="2">
        <f t="shared" si="72"/>
        <v>0</v>
      </c>
      <c r="HN42" s="2">
        <v>0</v>
      </c>
      <c r="HO42" s="2">
        <v>0</v>
      </c>
      <c r="HP42" s="2">
        <v>0</v>
      </c>
      <c r="HQ42" s="2">
        <v>0</v>
      </c>
      <c r="HR42" s="2">
        <v>0</v>
      </c>
      <c r="HS42" s="1052">
        <v>0</v>
      </c>
      <c r="HT42" s="1001">
        <v>9.1</v>
      </c>
      <c r="HU42" s="1002">
        <f t="shared" si="73"/>
        <v>1.1118971061093246</v>
      </c>
      <c r="HV42" s="1002">
        <f t="shared" si="74"/>
        <v>1.2874598070739549</v>
      </c>
    </row>
    <row r="43" spans="1:230" ht="12" customHeight="1">
      <c r="A43" s="79">
        <f t="shared" si="0"/>
        <v>1885</v>
      </c>
      <c r="B43" s="176">
        <f t="shared" si="1"/>
        <v>1154.1271428571429</v>
      </c>
      <c r="C43" s="177">
        <f t="shared" si="2"/>
        <v>70</v>
      </c>
      <c r="D43" s="176">
        <f t="shared" si="3"/>
        <v>1084.1271428571429</v>
      </c>
      <c r="E43" s="154">
        <f t="shared" si="4"/>
        <v>1141.548</v>
      </c>
      <c r="F43" s="995">
        <f t="shared" si="5"/>
        <v>59.342857142857127</v>
      </c>
      <c r="G43" s="531">
        <f t="shared" si="6"/>
        <v>1304.6571428571428</v>
      </c>
      <c r="H43" s="531">
        <f t="shared" si="7"/>
        <v>1234.6571428571428</v>
      </c>
      <c r="I43" s="531">
        <f t="shared" si="8"/>
        <v>1294</v>
      </c>
      <c r="J43" s="548">
        <f t="shared" si="9"/>
        <v>0.88218547140649151</v>
      </c>
      <c r="K43" s="515">
        <f t="shared" si="87"/>
        <v>87</v>
      </c>
      <c r="L43" s="175">
        <v>87</v>
      </c>
      <c r="M43" s="175">
        <v>0</v>
      </c>
      <c r="N43" s="78"/>
      <c r="O43" s="78"/>
      <c r="P43" s="78"/>
      <c r="Q43" s="78"/>
      <c r="R43" s="78"/>
      <c r="S43" s="532">
        <f t="shared" si="88"/>
        <v>8.1674408524394226E-2</v>
      </c>
      <c r="T43" s="1008">
        <f t="shared" si="13"/>
        <v>91.184520000000006</v>
      </c>
      <c r="U43" s="1010">
        <f t="shared" si="14"/>
        <v>91.184520000000006</v>
      </c>
      <c r="V43" s="511">
        <f t="shared" si="15"/>
        <v>102.60000000000001</v>
      </c>
      <c r="W43" s="2">
        <f t="shared" si="16"/>
        <v>102.60000000000001</v>
      </c>
      <c r="X43" s="169">
        <f t="shared" si="17"/>
        <v>11.415480000000001</v>
      </c>
      <c r="Y43" s="113">
        <f t="shared" si="18"/>
        <v>0.11126198830409356</v>
      </c>
      <c r="Z43" s="113">
        <f t="shared" si="19"/>
        <v>0.11126198830409356</v>
      </c>
      <c r="AA43" s="78"/>
      <c r="AB43" s="1019">
        <v>0.01</v>
      </c>
      <c r="AC43" s="78"/>
      <c r="AD43" s="78"/>
      <c r="AE43" s="78"/>
      <c r="AF43" s="78"/>
      <c r="AG43" s="78"/>
      <c r="AH43" s="78"/>
      <c r="AI43" s="78"/>
      <c r="AJ43" s="171">
        <f t="shared" si="20"/>
        <v>434.53859488770303</v>
      </c>
      <c r="AK43" s="1026">
        <f t="shared" si="21"/>
        <v>121.92</v>
      </c>
      <c r="AL43" s="169">
        <f t="shared" si="22"/>
        <v>452.64436967469067</v>
      </c>
      <c r="AM43" s="169">
        <f t="shared" si="75"/>
        <v>127</v>
      </c>
      <c r="AN43" s="169">
        <f t="shared" si="23"/>
        <v>272.99870065267294</v>
      </c>
      <c r="AO43" s="1027">
        <f t="shared" si="24"/>
        <v>291.10447543966058</v>
      </c>
      <c r="AP43" s="175">
        <v>165</v>
      </c>
      <c r="AQ43" s="175">
        <v>51</v>
      </c>
      <c r="AR43" s="78">
        <f t="shared" si="76"/>
        <v>114</v>
      </c>
      <c r="AS43" s="83"/>
      <c r="AT43" s="358">
        <v>21</v>
      </c>
      <c r="AU43" s="1030">
        <f t="shared" si="25"/>
        <v>219.10447543966058</v>
      </c>
      <c r="AV43" s="78">
        <v>330</v>
      </c>
      <c r="AW43" s="534">
        <f t="shared" si="77"/>
        <v>89.895524560339425</v>
      </c>
      <c r="AX43" s="78"/>
      <c r="AY43" s="78"/>
      <c r="AZ43" s="534">
        <v>4.548</v>
      </c>
      <c r="BA43" s="386">
        <f t="shared" si="83"/>
        <v>0.28859915100060662</v>
      </c>
      <c r="BB43" s="78"/>
      <c r="BC43" s="78"/>
      <c r="BD43" s="78"/>
      <c r="BE43" s="78"/>
      <c r="BF43" s="78"/>
      <c r="BG43" s="78"/>
      <c r="BH43" s="78"/>
      <c r="BI43" s="166">
        <v>555</v>
      </c>
      <c r="BJ43" s="2">
        <f t="shared" si="26"/>
        <v>555</v>
      </c>
      <c r="BK43" s="175">
        <v>55</v>
      </c>
      <c r="BL43" s="169">
        <f t="shared" si="27"/>
        <v>127</v>
      </c>
      <c r="BM43" s="1031">
        <f t="shared" si="28"/>
        <v>161.53989423503006</v>
      </c>
      <c r="BN43" s="310">
        <f t="shared" si="29"/>
        <v>106.53989423503006</v>
      </c>
      <c r="BO43" s="262">
        <f t="shared" si="30"/>
        <v>0.23693584631614592</v>
      </c>
      <c r="BP43" s="262">
        <f t="shared" si="31"/>
        <v>0.25264986642726123</v>
      </c>
      <c r="BQ43" s="262">
        <f t="shared" si="32"/>
        <v>0.14020063635062141</v>
      </c>
      <c r="BR43" s="262">
        <f t="shared" si="33"/>
        <v>0.29106287249554968</v>
      </c>
      <c r="BS43" s="988">
        <f t="shared" si="99"/>
        <v>0.55492068265543948</v>
      </c>
      <c r="BT43" s="534">
        <f t="shared" si="34"/>
        <v>18.105774786987627</v>
      </c>
      <c r="BU43" s="534">
        <f t="shared" si="35"/>
        <v>5.08</v>
      </c>
      <c r="BV43" s="113">
        <v>0.04</v>
      </c>
      <c r="BW43" s="276">
        <f t="shared" si="36"/>
        <v>1.5860721394972115E-2</v>
      </c>
      <c r="BX43" s="272">
        <f t="shared" si="37"/>
        <v>29.521254786987626</v>
      </c>
      <c r="BY43" s="78"/>
      <c r="BZ43" s="1034"/>
      <c r="CA43" s="1037"/>
      <c r="CB43" s="2">
        <f t="shared" si="38"/>
        <v>1065.2051428571428</v>
      </c>
      <c r="CC43" s="2">
        <f t="shared" si="95"/>
        <v>1152.2051428571428</v>
      </c>
      <c r="CD43" s="310">
        <f t="shared" si="39"/>
        <v>1152.2051428571428</v>
      </c>
      <c r="CE43" s="310">
        <f t="shared" si="40"/>
        <v>1082.2051428571428</v>
      </c>
      <c r="CF43" s="78"/>
      <c r="CG43" s="78"/>
      <c r="CH43" s="78"/>
      <c r="CI43" s="534">
        <f t="shared" si="79"/>
        <v>59.342857142857127</v>
      </c>
      <c r="CJ43" s="78">
        <v>62</v>
      </c>
      <c r="CK43" s="386">
        <f t="shared" si="85"/>
        <v>0.95714285714285685</v>
      </c>
      <c r="CL43" s="517">
        <f t="shared" si="41"/>
        <v>421.60402796943981</v>
      </c>
      <c r="CM43" s="169">
        <f t="shared" si="42"/>
        <v>444.9556303253093</v>
      </c>
      <c r="CN43" s="170">
        <f t="shared" si="43"/>
        <v>101.2955245603394</v>
      </c>
      <c r="CO43" s="170">
        <f t="shared" si="44"/>
        <v>101.2955245603394</v>
      </c>
      <c r="CP43" s="170">
        <f t="shared" si="45"/>
        <v>343.6601057649699</v>
      </c>
      <c r="CQ43" s="170">
        <f t="shared" si="46"/>
        <v>23.351602355869499</v>
      </c>
      <c r="CR43" s="170"/>
      <c r="CS43" s="113">
        <f t="shared" si="47"/>
        <v>2.045608450618765E-2</v>
      </c>
      <c r="CT43" s="78"/>
      <c r="CU43" s="78"/>
      <c r="CV43" s="78"/>
      <c r="CW43" s="78"/>
      <c r="CX43" s="78"/>
      <c r="CY43" s="78"/>
      <c r="CZ43" s="78"/>
      <c r="DA43" s="78"/>
      <c r="DB43" s="78"/>
      <c r="DC43" s="78"/>
      <c r="DD43" s="78"/>
      <c r="DE43" s="78"/>
      <c r="DF43" s="78"/>
      <c r="DG43" s="78"/>
      <c r="DH43" s="516">
        <f t="shared" si="48"/>
        <v>49.8</v>
      </c>
      <c r="DI43" s="2">
        <f t="shared" si="49"/>
        <v>56.269999999999996</v>
      </c>
      <c r="DJ43" s="169">
        <f t="shared" si="50"/>
        <v>49.8</v>
      </c>
      <c r="DK43" s="169">
        <f t="shared" si="51"/>
        <v>6.47</v>
      </c>
      <c r="DL43" s="113">
        <f t="shared" si="52"/>
        <v>4.3221469986247485E-2</v>
      </c>
      <c r="DM43" s="113">
        <f t="shared" si="53"/>
        <v>8.9729729729729729E-2</v>
      </c>
      <c r="DN43" s="113">
        <v>0.6</v>
      </c>
      <c r="DO43" s="78"/>
      <c r="DP43" s="78"/>
      <c r="DQ43" s="166">
        <v>83</v>
      </c>
      <c r="DR43" s="78"/>
      <c r="DS43" s="78"/>
      <c r="DT43" s="78">
        <f t="shared" si="96"/>
        <v>83</v>
      </c>
      <c r="DU43" s="175">
        <f t="shared" si="97"/>
        <v>1108.8571428571429</v>
      </c>
      <c r="DV43" s="175">
        <v>1138</v>
      </c>
      <c r="DW43" s="170">
        <f t="shared" si="57"/>
        <v>109.14285714285705</v>
      </c>
      <c r="DX43" s="534">
        <f t="shared" si="89"/>
        <v>109.14285714285705</v>
      </c>
      <c r="DY43" s="534">
        <f t="shared" si="90"/>
        <v>91.407142857142787</v>
      </c>
      <c r="DZ43" s="262">
        <f t="shared" si="86"/>
        <v>1.3642857142857132</v>
      </c>
      <c r="EA43" s="78">
        <v>80</v>
      </c>
      <c r="EB43" s="78">
        <v>67</v>
      </c>
      <c r="EC43" s="175">
        <f t="shared" si="82"/>
        <v>17.735714285714266</v>
      </c>
      <c r="ED43" s="175">
        <v>0</v>
      </c>
      <c r="EE43" s="175">
        <f t="shared" si="58"/>
        <v>17.735714285714266</v>
      </c>
      <c r="EF43" s="175"/>
      <c r="EG43" s="78">
        <v>0</v>
      </c>
      <c r="EH43" s="534">
        <f t="shared" si="60"/>
        <v>49.799999999999926</v>
      </c>
      <c r="EI43" s="78">
        <v>363</v>
      </c>
      <c r="EJ43" s="78">
        <v>370</v>
      </c>
      <c r="EK43" s="78"/>
      <c r="EL43" s="78"/>
      <c r="EM43" s="78"/>
      <c r="EN43" s="78"/>
      <c r="EO43" s="78">
        <v>438</v>
      </c>
      <c r="EP43" s="78">
        <v>375</v>
      </c>
      <c r="EQ43" s="175">
        <f t="shared" si="91"/>
        <v>1294</v>
      </c>
      <c r="ER43" s="2">
        <f t="shared" si="64"/>
        <v>1141.548</v>
      </c>
      <c r="ES43" s="262">
        <f t="shared" si="98"/>
        <v>0.88218547140649151</v>
      </c>
      <c r="ET43" s="262"/>
      <c r="EU43" s="262"/>
      <c r="EV43" s="262"/>
      <c r="EW43" s="78"/>
      <c r="EX43" s="78"/>
      <c r="EY43" s="166"/>
      <c r="EZ43" s="78"/>
      <c r="FA43" s="78"/>
      <c r="FB43" s="78"/>
      <c r="FC43" s="78"/>
      <c r="FD43" s="78"/>
      <c r="FE43" s="93"/>
      <c r="FF43" s="166"/>
      <c r="FG43" s="78"/>
      <c r="FH43" s="598"/>
      <c r="FI43" s="310">
        <f t="shared" si="65"/>
        <v>63</v>
      </c>
      <c r="FJ43" s="2">
        <f t="shared" si="66"/>
        <v>63</v>
      </c>
      <c r="FK43" s="166"/>
      <c r="FL43" s="78"/>
      <c r="FM43" s="78"/>
      <c r="FN43" s="78"/>
      <c r="FO43" s="78"/>
      <c r="FP43" s="78"/>
      <c r="FQ43" s="78"/>
      <c r="FR43" s="78"/>
      <c r="FS43" s="93"/>
      <c r="FT43" s="78"/>
      <c r="FU43" s="78"/>
      <c r="FV43" s="78"/>
      <c r="FW43" s="78"/>
      <c r="FX43" s="78"/>
      <c r="FY43" s="78"/>
      <c r="FZ43" s="102"/>
      <c r="GA43" s="102"/>
      <c r="GB43" s="102"/>
      <c r="GC43" s="102"/>
      <c r="GD43" s="102"/>
      <c r="GE43" s="102"/>
      <c r="GF43" s="102"/>
      <c r="GG43" s="102"/>
      <c r="GH43" s="102"/>
      <c r="GI43" s="102"/>
      <c r="GJ43" s="102"/>
      <c r="GK43" s="1162">
        <f>DataUK4!X196+DataUK4!AH196</f>
        <v>0.99999999999998579</v>
      </c>
      <c r="GL43" s="102"/>
      <c r="GM43" s="102"/>
      <c r="GN43" s="102"/>
      <c r="GO43" s="102"/>
      <c r="GP43" s="310">
        <f t="shared" si="67"/>
        <v>17.735714285714266</v>
      </c>
      <c r="GQ43" s="102"/>
      <c r="GR43" s="102"/>
      <c r="GS43" s="102"/>
      <c r="GT43" s="102"/>
      <c r="GU43" s="991">
        <f t="shared" si="68"/>
        <v>-16.73571428571428</v>
      </c>
      <c r="GW43" s="1063">
        <f>DataUK4!D196+DataUK4!F196</f>
        <v>19.899999999999999</v>
      </c>
      <c r="GX43" s="102"/>
      <c r="GY43" s="615">
        <f t="shared" si="69"/>
        <v>16.696284829721378</v>
      </c>
      <c r="GZ43" s="102"/>
      <c r="HA43" s="102"/>
      <c r="HB43" s="102"/>
      <c r="HC43" s="101"/>
      <c r="HD43" s="170">
        <f t="shared" si="92"/>
        <v>70</v>
      </c>
      <c r="HE43" s="301">
        <f t="shared" si="93"/>
        <v>75</v>
      </c>
      <c r="HF43" s="301">
        <f t="shared" si="94"/>
        <v>5</v>
      </c>
      <c r="HG43" s="170">
        <f t="shared" si="71"/>
        <v>0</v>
      </c>
      <c r="HH43" s="301">
        <v>0</v>
      </c>
      <c r="HI43" s="301">
        <v>0</v>
      </c>
      <c r="HJ43" s="2">
        <v>0</v>
      </c>
      <c r="HK43" s="2">
        <v>0</v>
      </c>
      <c r="HL43" s="2">
        <v>0</v>
      </c>
      <c r="HM43" s="2">
        <f t="shared" si="72"/>
        <v>0</v>
      </c>
      <c r="HN43" s="2">
        <v>0</v>
      </c>
      <c r="HO43" s="2">
        <v>0</v>
      </c>
      <c r="HP43" s="2">
        <v>0</v>
      </c>
      <c r="HQ43" s="2">
        <v>0</v>
      </c>
      <c r="HR43" s="2">
        <v>0</v>
      </c>
      <c r="HS43" s="1052">
        <v>0</v>
      </c>
      <c r="HT43" s="1001">
        <v>8.8000000000000007</v>
      </c>
      <c r="HU43" s="1002">
        <f t="shared" si="73"/>
        <v>1.0752411575562699</v>
      </c>
      <c r="HV43" s="1002">
        <f t="shared" si="74"/>
        <v>1.2450160771704182</v>
      </c>
    </row>
    <row r="44" spans="1:230" ht="12" customHeight="1">
      <c r="A44" s="79">
        <f t="shared" si="0"/>
        <v>1886</v>
      </c>
      <c r="B44" s="176">
        <f t="shared" si="1"/>
        <v>1177.4821428571429</v>
      </c>
      <c r="C44" s="177">
        <f t="shared" si="2"/>
        <v>74</v>
      </c>
      <c r="D44" s="176">
        <f t="shared" si="3"/>
        <v>1103.4821428571429</v>
      </c>
      <c r="E44" s="154">
        <f t="shared" si="4"/>
        <v>1159.6199999999999</v>
      </c>
      <c r="F44" s="995">
        <f t="shared" si="5"/>
        <v>57.942857142857122</v>
      </c>
      <c r="G44" s="531">
        <f t="shared" si="6"/>
        <v>1301.0571428571429</v>
      </c>
      <c r="H44" s="531">
        <f t="shared" si="7"/>
        <v>1227.0571428571429</v>
      </c>
      <c r="I44" s="531">
        <f t="shared" si="8"/>
        <v>1285</v>
      </c>
      <c r="J44" s="548">
        <f t="shared" si="9"/>
        <v>0.90242801556420227</v>
      </c>
      <c r="K44" s="515">
        <f t="shared" si="87"/>
        <v>87</v>
      </c>
      <c r="L44" s="175">
        <v>87</v>
      </c>
      <c r="M44" s="175">
        <v>0</v>
      </c>
      <c r="N44" s="78"/>
      <c r="O44" s="78"/>
      <c r="P44" s="78"/>
      <c r="Q44" s="78"/>
      <c r="R44" s="78"/>
      <c r="S44" s="532">
        <f t="shared" si="88"/>
        <v>7.9913499213987091E-2</v>
      </c>
      <c r="T44" s="1008">
        <f t="shared" si="13"/>
        <v>93.703800000000001</v>
      </c>
      <c r="U44" s="1010">
        <f t="shared" si="14"/>
        <v>93.703800000000001</v>
      </c>
      <c r="V44" s="511">
        <f t="shared" si="15"/>
        <v>105.3</v>
      </c>
      <c r="W44" s="2">
        <f t="shared" si="16"/>
        <v>105.3</v>
      </c>
      <c r="X44" s="169">
        <f t="shared" si="17"/>
        <v>11.5962</v>
      </c>
      <c r="Y44" s="113">
        <f t="shared" si="18"/>
        <v>0.11012535612535612</v>
      </c>
      <c r="Z44" s="113">
        <f t="shared" si="19"/>
        <v>0.11012535612535612</v>
      </c>
      <c r="AA44" s="78"/>
      <c r="AB44" s="1019">
        <v>0.01</v>
      </c>
      <c r="AC44" s="78"/>
      <c r="AD44" s="78"/>
      <c r="AE44" s="78"/>
      <c r="AF44" s="78"/>
      <c r="AG44" s="78"/>
      <c r="AH44" s="78"/>
      <c r="AI44" s="78"/>
      <c r="AJ44" s="171">
        <f t="shared" si="20"/>
        <v>440.89794249879509</v>
      </c>
      <c r="AK44" s="1026">
        <f t="shared" si="21"/>
        <v>121.92</v>
      </c>
      <c r="AL44" s="169">
        <f t="shared" si="22"/>
        <v>459.26869010291153</v>
      </c>
      <c r="AM44" s="169">
        <f t="shared" si="75"/>
        <v>127</v>
      </c>
      <c r="AN44" s="169">
        <f t="shared" si="23"/>
        <v>276.99395827823662</v>
      </c>
      <c r="AO44" s="1027">
        <f t="shared" si="24"/>
        <v>295.36470588235306</v>
      </c>
      <c r="AP44" s="175">
        <v>166</v>
      </c>
      <c r="AQ44" s="175">
        <v>49</v>
      </c>
      <c r="AR44" s="78">
        <f t="shared" si="76"/>
        <v>117</v>
      </c>
      <c r="AS44" s="83"/>
      <c r="AT44" s="358">
        <v>24</v>
      </c>
      <c r="AU44" s="1030">
        <f t="shared" si="25"/>
        <v>222.36470588235309</v>
      </c>
      <c r="AV44" s="78">
        <v>351</v>
      </c>
      <c r="AW44" s="534">
        <f t="shared" si="77"/>
        <v>104.63529411764691</v>
      </c>
      <c r="AX44" s="78"/>
      <c r="AY44" s="78"/>
      <c r="AZ44" s="534">
        <v>4.62</v>
      </c>
      <c r="BA44" s="386">
        <f t="shared" si="83"/>
        <v>0.28655245603396018</v>
      </c>
      <c r="BB44" s="78"/>
      <c r="BC44" s="78"/>
      <c r="BD44" s="78"/>
      <c r="BE44" s="78"/>
      <c r="BF44" s="78"/>
      <c r="BG44" s="78"/>
      <c r="BH44" s="78"/>
      <c r="BI44" s="166">
        <v>551</v>
      </c>
      <c r="BJ44" s="2">
        <f t="shared" si="26"/>
        <v>551</v>
      </c>
      <c r="BK44" s="175">
        <v>54</v>
      </c>
      <c r="BL44" s="169">
        <f t="shared" si="27"/>
        <v>127</v>
      </c>
      <c r="BM44" s="1031">
        <f t="shared" si="28"/>
        <v>163.90398422055847</v>
      </c>
      <c r="BN44" s="310">
        <f t="shared" si="29"/>
        <v>109.90398422055847</v>
      </c>
      <c r="BO44" s="262">
        <f t="shared" si="30"/>
        <v>0.23560376244543041</v>
      </c>
      <c r="BP44" s="262">
        <f t="shared" si="31"/>
        <v>0.25122943630983136</v>
      </c>
      <c r="BQ44" s="262">
        <f t="shared" si="32"/>
        <v>0.13941241030019288</v>
      </c>
      <c r="BR44" s="262">
        <f t="shared" si="33"/>
        <v>0.2974663960445707</v>
      </c>
      <c r="BS44" s="988">
        <f t="shared" si="99"/>
        <v>0.55492068265543948</v>
      </c>
      <c r="BT44" s="534">
        <f t="shared" si="34"/>
        <v>18.370747604116463</v>
      </c>
      <c r="BU44" s="534">
        <f t="shared" si="35"/>
        <v>5.08</v>
      </c>
      <c r="BV44" s="113">
        <v>0.04</v>
      </c>
      <c r="BW44" s="276">
        <f t="shared" si="36"/>
        <v>1.5842041016985275E-2</v>
      </c>
      <c r="BX44" s="272">
        <f t="shared" si="37"/>
        <v>29.966947604116463</v>
      </c>
      <c r="BY44" s="78"/>
      <c r="BZ44" s="1034"/>
      <c r="CA44" s="1037"/>
      <c r="CB44" s="2">
        <f t="shared" si="38"/>
        <v>1088.6771428571428</v>
      </c>
      <c r="CC44" s="2">
        <f t="shared" si="95"/>
        <v>1175.6771428571428</v>
      </c>
      <c r="CD44" s="310">
        <f t="shared" si="39"/>
        <v>1175.6771428571428</v>
      </c>
      <c r="CE44" s="310">
        <f t="shared" si="40"/>
        <v>1101.6771428571428</v>
      </c>
      <c r="CF44" s="78"/>
      <c r="CG44" s="78"/>
      <c r="CH44" s="78"/>
      <c r="CI44" s="534">
        <f t="shared" si="79"/>
        <v>57.942857142857122</v>
      </c>
      <c r="CJ44" s="78">
        <v>60</v>
      </c>
      <c r="CK44" s="386">
        <f t="shared" si="85"/>
        <v>0.96571428571428541</v>
      </c>
      <c r="CL44" s="517">
        <f t="shared" si="41"/>
        <v>433.8804003583478</v>
      </c>
      <c r="CM44" s="169">
        <f t="shared" si="42"/>
        <v>455.43130989708845</v>
      </c>
      <c r="CN44" s="170">
        <f t="shared" si="43"/>
        <v>116.33529411764692</v>
      </c>
      <c r="CO44" s="170">
        <f t="shared" si="44"/>
        <v>116.33529411764692</v>
      </c>
      <c r="CP44" s="170">
        <f t="shared" si="45"/>
        <v>339.09601577944153</v>
      </c>
      <c r="CQ44" s="170">
        <f t="shared" si="46"/>
        <v>21.550909538740662</v>
      </c>
      <c r="CR44" s="170"/>
      <c r="CS44" s="113">
        <f t="shared" si="47"/>
        <v>1.8584458304220921E-2</v>
      </c>
      <c r="CT44" s="78"/>
      <c r="CU44" s="78"/>
      <c r="CV44" s="78"/>
      <c r="CW44" s="78"/>
      <c r="CX44" s="78"/>
      <c r="CY44" s="78"/>
      <c r="CZ44" s="78"/>
      <c r="DA44" s="78"/>
      <c r="DB44" s="78"/>
      <c r="DC44" s="78"/>
      <c r="DD44" s="78"/>
      <c r="DE44" s="78"/>
      <c r="DF44" s="78"/>
      <c r="DG44" s="78"/>
      <c r="DH44" s="516">
        <f t="shared" si="48"/>
        <v>48</v>
      </c>
      <c r="DI44" s="2">
        <f t="shared" si="49"/>
        <v>54.424999999999997</v>
      </c>
      <c r="DJ44" s="169">
        <f t="shared" si="50"/>
        <v>48</v>
      </c>
      <c r="DK44" s="169">
        <f t="shared" si="51"/>
        <v>6.4249999999999998</v>
      </c>
      <c r="DL44" s="113">
        <f t="shared" si="52"/>
        <v>4.0827535256277844E-2</v>
      </c>
      <c r="DM44" s="113">
        <f t="shared" si="53"/>
        <v>8.7114337568058073E-2</v>
      </c>
      <c r="DN44" s="113">
        <v>0.6</v>
      </c>
      <c r="DO44" s="78"/>
      <c r="DP44" s="78"/>
      <c r="DQ44" s="166">
        <v>80</v>
      </c>
      <c r="DR44" s="78"/>
      <c r="DS44" s="78"/>
      <c r="DT44" s="78">
        <f t="shared" si="96"/>
        <v>80</v>
      </c>
      <c r="DU44" s="175">
        <f t="shared" si="97"/>
        <v>1101.0614285714287</v>
      </c>
      <c r="DV44" s="175">
        <v>1126</v>
      </c>
      <c r="DW44" s="170">
        <f t="shared" si="57"/>
        <v>98.93857142857135</v>
      </c>
      <c r="DX44" s="534">
        <f t="shared" si="89"/>
        <v>93.93857142857135</v>
      </c>
      <c r="DY44" s="534">
        <f t="shared" si="90"/>
        <v>78.962857142857075</v>
      </c>
      <c r="DZ44" s="262">
        <f t="shared" si="86"/>
        <v>1.3614285714285703</v>
      </c>
      <c r="EA44" s="78">
        <v>69</v>
      </c>
      <c r="EB44" s="78">
        <v>58</v>
      </c>
      <c r="EC44" s="175">
        <f t="shared" si="82"/>
        <v>14.975714285714275</v>
      </c>
      <c r="ED44" s="175">
        <v>0</v>
      </c>
      <c r="EE44" s="175">
        <f t="shared" si="58"/>
        <v>14.975714285714275</v>
      </c>
      <c r="EF44" s="175"/>
      <c r="EG44" s="78">
        <v>5</v>
      </c>
      <c r="EH44" s="534">
        <f t="shared" si="60"/>
        <v>35.995714285714229</v>
      </c>
      <c r="EI44" s="78">
        <v>355</v>
      </c>
      <c r="EJ44" s="78">
        <v>350</v>
      </c>
      <c r="EK44" s="78"/>
      <c r="EL44" s="78"/>
      <c r="EM44" s="78"/>
      <c r="EN44" s="78"/>
      <c r="EO44" s="78">
        <v>435</v>
      </c>
      <c r="EP44" s="78">
        <v>356</v>
      </c>
      <c r="EQ44" s="175">
        <f t="shared" si="91"/>
        <v>1285</v>
      </c>
      <c r="ER44" s="2">
        <f t="shared" si="64"/>
        <v>1159.6199999999999</v>
      </c>
      <c r="ES44" s="262">
        <f t="shared" si="98"/>
        <v>0.90242801556420227</v>
      </c>
      <c r="ET44" s="262"/>
      <c r="EU44" s="262"/>
      <c r="EV44" s="262"/>
      <c r="EW44" s="78"/>
      <c r="EX44" s="78"/>
      <c r="EY44" s="166"/>
      <c r="EZ44" s="78"/>
      <c r="FA44" s="78"/>
      <c r="FB44" s="78"/>
      <c r="FC44" s="78"/>
      <c r="FD44" s="78"/>
      <c r="FE44" s="93"/>
      <c r="FF44" s="166"/>
      <c r="FG44" s="78"/>
      <c r="FH44" s="598"/>
      <c r="FI44" s="310">
        <f t="shared" si="65"/>
        <v>79</v>
      </c>
      <c r="FJ44" s="2">
        <f t="shared" si="66"/>
        <v>79</v>
      </c>
      <c r="FK44" s="166"/>
      <c r="FL44" s="78"/>
      <c r="FM44" s="78"/>
      <c r="FN44" s="78"/>
      <c r="FO44" s="78"/>
      <c r="FP44" s="78"/>
      <c r="FQ44" s="78"/>
      <c r="FR44" s="78"/>
      <c r="FS44" s="93"/>
      <c r="FT44" s="78"/>
      <c r="FU44" s="78"/>
      <c r="FV44" s="78"/>
      <c r="FW44" s="78"/>
      <c r="FX44" s="78"/>
      <c r="FY44" s="78"/>
      <c r="FZ44" s="102"/>
      <c r="GA44" s="102"/>
      <c r="GB44" s="102"/>
      <c r="GC44" s="102"/>
      <c r="GD44" s="102"/>
      <c r="GE44" s="102"/>
      <c r="GF44" s="102"/>
      <c r="GG44" s="102"/>
      <c r="GH44" s="102"/>
      <c r="GI44" s="102"/>
      <c r="GJ44" s="102"/>
      <c r="GK44" s="1162">
        <f>DataUK4!X197+DataUK4!AH197</f>
        <v>9</v>
      </c>
      <c r="GL44" s="102"/>
      <c r="GM44" s="102"/>
      <c r="GN44" s="102"/>
      <c r="GO44" s="102"/>
      <c r="GP44" s="310">
        <f t="shared" si="67"/>
        <v>14.975714285714275</v>
      </c>
      <c r="GQ44" s="102"/>
      <c r="GR44" s="102"/>
      <c r="GS44" s="102"/>
      <c r="GT44" s="102"/>
      <c r="GU44" s="991">
        <f t="shared" si="68"/>
        <v>-5.9757142857142753</v>
      </c>
      <c r="GW44" s="1063">
        <f>DataUK4!D197+DataUK4!F197</f>
        <v>19.8</v>
      </c>
      <c r="GX44" s="102"/>
      <c r="GY44" s="615">
        <f t="shared" si="69"/>
        <v>16.612383900928812</v>
      </c>
      <c r="GZ44" s="102"/>
      <c r="HA44" s="102"/>
      <c r="HB44" s="102"/>
      <c r="HC44" s="101"/>
      <c r="HD44" s="170">
        <f t="shared" si="92"/>
        <v>74</v>
      </c>
      <c r="HE44" s="301">
        <f t="shared" si="93"/>
        <v>80</v>
      </c>
      <c r="HF44" s="301">
        <f t="shared" si="94"/>
        <v>6</v>
      </c>
      <c r="HG44" s="170">
        <f t="shared" si="71"/>
        <v>0</v>
      </c>
      <c r="HH44" s="301">
        <v>0</v>
      </c>
      <c r="HI44" s="301">
        <v>0</v>
      </c>
      <c r="HJ44" s="2">
        <v>0</v>
      </c>
      <c r="HK44" s="2">
        <v>0</v>
      </c>
      <c r="HL44" s="2">
        <v>0</v>
      </c>
      <c r="HM44" s="2">
        <f t="shared" si="72"/>
        <v>0</v>
      </c>
      <c r="HN44" s="2">
        <v>0</v>
      </c>
      <c r="HO44" s="2">
        <v>0</v>
      </c>
      <c r="HP44" s="2">
        <v>0</v>
      </c>
      <c r="HQ44" s="2">
        <v>0</v>
      </c>
      <c r="HR44" s="2">
        <v>0</v>
      </c>
      <c r="HS44" s="1052">
        <v>0</v>
      </c>
      <c r="HT44" s="1001">
        <v>8.6999999999999993</v>
      </c>
      <c r="HU44" s="1002">
        <f t="shared" si="73"/>
        <v>1.0630225080385851</v>
      </c>
      <c r="HV44" s="1002">
        <f t="shared" si="74"/>
        <v>1.2308681672025723</v>
      </c>
    </row>
    <row r="45" spans="1:230" ht="12" customHeight="1">
      <c r="A45" s="79">
        <f t="shared" si="0"/>
        <v>1887</v>
      </c>
      <c r="B45" s="176">
        <f t="shared" si="1"/>
        <v>1223.2878571428571</v>
      </c>
      <c r="C45" s="177">
        <f t="shared" si="2"/>
        <v>79</v>
      </c>
      <c r="D45" s="176">
        <f t="shared" ref="D45:D76" si="100">$K45+$T45+$AJ45+$CL45+$DH45</f>
        <v>1144.2878571428571</v>
      </c>
      <c r="E45" s="154">
        <f t="shared" ref="E45:E76" si="101">CE45+F45</f>
        <v>1200.7840000000001</v>
      </c>
      <c r="F45" s="995">
        <f t="shared" si="5"/>
        <v>58.457142857142841</v>
      </c>
      <c r="G45" s="531">
        <f t="shared" ref="G45:G76" si="102">H45+C45</f>
        <v>1369.5428571428572</v>
      </c>
      <c r="H45" s="531">
        <f t="shared" ref="H45:H76" si="103">I45-F45</f>
        <v>1290.5428571428572</v>
      </c>
      <c r="I45" s="531">
        <f t="shared" ref="I45:I76" si="104">DT45+DU45+DW45+EI45-EJ45</f>
        <v>1349</v>
      </c>
      <c r="J45" s="548">
        <f t="shared" ref="J45:J76" si="105">E45/I45</f>
        <v>0.89012898443291333</v>
      </c>
      <c r="K45" s="515">
        <f t="shared" si="87"/>
        <v>88</v>
      </c>
      <c r="L45" s="175">
        <v>88</v>
      </c>
      <c r="M45" s="175">
        <v>0</v>
      </c>
      <c r="N45" s="78"/>
      <c r="O45" s="78"/>
      <c r="P45" s="78"/>
      <c r="Q45" s="78"/>
      <c r="R45" s="78"/>
      <c r="S45" s="532">
        <f t="shared" si="88"/>
        <v>7.7647502523543827E-2</v>
      </c>
      <c r="T45" s="1008">
        <f t="shared" si="13"/>
        <v>94.192160000000001</v>
      </c>
      <c r="U45" s="1010">
        <f t="shared" si="14"/>
        <v>94.192160000000001</v>
      </c>
      <c r="V45" s="511">
        <f t="shared" si="15"/>
        <v>106.2</v>
      </c>
      <c r="W45" s="2">
        <f t="shared" si="16"/>
        <v>106.2</v>
      </c>
      <c r="X45" s="169">
        <f t="shared" ref="X45:X76" si="106">AB45*E45</f>
        <v>12.007840000000002</v>
      </c>
      <c r="Y45" s="113">
        <f t="shared" si="18"/>
        <v>0.11306817325800378</v>
      </c>
      <c r="Z45" s="113">
        <f t="shared" si="19"/>
        <v>0.11306817325800378</v>
      </c>
      <c r="AA45" s="78"/>
      <c r="AB45" s="1019">
        <v>0.01</v>
      </c>
      <c r="AC45" s="78"/>
      <c r="AD45" s="78"/>
      <c r="AE45" s="78"/>
      <c r="AF45" s="78"/>
      <c r="AG45" s="78"/>
      <c r="AH45" s="78"/>
      <c r="AI45" s="78"/>
      <c r="AJ45" s="171">
        <f t="shared" ref="AJ45:AJ76" si="107">AL45-BT45</f>
        <v>452.3955189993834</v>
      </c>
      <c r="AK45" s="1026">
        <f t="shared" ref="AK45:AK76" si="108">AM45-BU45</f>
        <v>119.04</v>
      </c>
      <c r="AL45" s="169">
        <f t="shared" ref="AL45:AL76" si="109">AO45+BM45</f>
        <v>471.2453322910244</v>
      </c>
      <c r="AM45" s="169">
        <f t="shared" si="75"/>
        <v>124</v>
      </c>
      <c r="AN45" s="169">
        <f t="shared" ref="AN45:AN76" si="110">AO45-BT45</f>
        <v>284.21730617470246</v>
      </c>
      <c r="AO45" s="1027">
        <f t="shared" si="24"/>
        <v>303.06711946634346</v>
      </c>
      <c r="AP45" s="175">
        <v>166</v>
      </c>
      <c r="AQ45" s="175">
        <v>48</v>
      </c>
      <c r="AR45" s="78">
        <f t="shared" si="76"/>
        <v>118</v>
      </c>
      <c r="AS45" s="83"/>
      <c r="AT45" s="358">
        <v>22</v>
      </c>
      <c r="AU45" s="1030">
        <f t="shared" si="25"/>
        <v>233.06711946634343</v>
      </c>
      <c r="AV45" s="78">
        <v>363</v>
      </c>
      <c r="AW45" s="534">
        <f t="shared" si="77"/>
        <v>107.93288053365657</v>
      </c>
      <c r="AX45" s="78"/>
      <c r="AY45" s="78"/>
      <c r="AZ45" s="534">
        <v>4.7839999999999998</v>
      </c>
      <c r="BA45" s="386">
        <f t="shared" si="83"/>
        <v>0.28450576106731373</v>
      </c>
      <c r="BB45" s="78"/>
      <c r="BC45" s="78"/>
      <c r="BD45" s="78"/>
      <c r="BE45" s="78"/>
      <c r="BF45" s="78"/>
      <c r="BG45" s="78"/>
      <c r="BH45" s="78"/>
      <c r="BI45" s="166">
        <v>579</v>
      </c>
      <c r="BJ45" s="2">
        <f t="shared" ref="BJ45:BJ76" si="111">BI45-HG45</f>
        <v>579</v>
      </c>
      <c r="BK45" s="175">
        <v>54</v>
      </c>
      <c r="BL45" s="169">
        <f t="shared" ref="BL45:BL76" si="112">BK45+AT45+AQ45</f>
        <v>124</v>
      </c>
      <c r="BM45" s="1031">
        <f t="shared" ref="BM45:BM76" si="113">BS45*AO45</f>
        <v>168.17821282468094</v>
      </c>
      <c r="BN45" s="310">
        <f t="shared" ref="BN45:BN76" si="114">BM45-BK45</f>
        <v>114.17821282468094</v>
      </c>
      <c r="BO45" s="262">
        <f t="shared" ref="BO45:BO76" si="115">AN45/$CD45</f>
        <v>0.23271191042141953</v>
      </c>
      <c r="BP45" s="262">
        <f t="shared" ref="BP45:BP76" si="116">AO45/CD45</f>
        <v>0.24814579135296458</v>
      </c>
      <c r="BQ45" s="262">
        <f t="shared" ref="BQ45:BQ76" si="117">BM45/$CD45</f>
        <v>0.13770123193566136</v>
      </c>
      <c r="BR45" s="262">
        <f t="shared" ref="BR45:BR76" si="118">BM45/BI45</f>
        <v>0.29046323458494117</v>
      </c>
      <c r="BS45" s="988">
        <f t="shared" si="99"/>
        <v>0.55492068265543948</v>
      </c>
      <c r="BT45" s="534">
        <f t="shared" ref="BT45:BT76" si="119">BV45*AL45</f>
        <v>18.849813291640977</v>
      </c>
      <c r="BU45" s="534">
        <f t="shared" ref="BU45:BU76" si="120">BV45*AM45</f>
        <v>4.96</v>
      </c>
      <c r="BV45" s="113">
        <v>0.04</v>
      </c>
      <c r="BW45" s="276">
        <f t="shared" ref="BW45:BW76" si="121">BT45/E45</f>
        <v>1.5697921767479393E-2</v>
      </c>
      <c r="BX45" s="272">
        <f t="shared" ref="BX45:BX76" si="122">X45+BT45</f>
        <v>30.857653291640979</v>
      </c>
      <c r="BY45" s="78"/>
      <c r="BZ45" s="1034"/>
      <c r="CA45" s="1037"/>
      <c r="CB45" s="2">
        <f t="shared" ref="CB45:CB71" si="123">$BJ45+$AP45+$AS45+$AV45+$AX45+$AY45+$AZ45+$C45-$CI45</f>
        <v>1133.3268571428573</v>
      </c>
      <c r="CC45" s="2">
        <f t="shared" si="95"/>
        <v>1221.3268571428573</v>
      </c>
      <c r="CD45" s="310">
        <f t="shared" ref="CD45:CD76" si="124">CC45</f>
        <v>1221.3268571428573</v>
      </c>
      <c r="CE45" s="310">
        <f t="shared" ref="CE45:CE76" si="125">CD45-C45</f>
        <v>1142.3268571428573</v>
      </c>
      <c r="CF45" s="78"/>
      <c r="CG45" s="78"/>
      <c r="CH45" s="78"/>
      <c r="CI45" s="534">
        <f t="shared" si="79"/>
        <v>58.457142857142841</v>
      </c>
      <c r="CJ45" s="78">
        <v>60</v>
      </c>
      <c r="CK45" s="386">
        <f t="shared" si="85"/>
        <v>0.97428571428571398</v>
      </c>
      <c r="CL45" s="517">
        <f t="shared" ref="CL45:CL76" si="126">CM45-CQ45</f>
        <v>462.90017814347379</v>
      </c>
      <c r="CM45" s="169">
        <f t="shared" ref="CM45:CM76" si="127">CN45+CP45</f>
        <v>483.75466770897566</v>
      </c>
      <c r="CN45" s="170">
        <f t="shared" si="43"/>
        <v>119.73288053365656</v>
      </c>
      <c r="CO45" s="170">
        <f t="shared" ref="CO45:CO76" si="128">AP45+AT45+AU45+AW45-W45-AO45</f>
        <v>119.73288053365656</v>
      </c>
      <c r="CP45" s="170">
        <f t="shared" ref="CP45:CP76" si="129">BJ45-DJ45-BM45</f>
        <v>364.0217871753191</v>
      </c>
      <c r="CQ45" s="170">
        <f t="shared" ref="CQ45:CQ76" si="130">F45-X45-BT45-DK45</f>
        <v>20.854489565501861</v>
      </c>
      <c r="CR45" s="170"/>
      <c r="CS45" s="113">
        <f t="shared" ref="CS45:CS76" si="131">CQ45/E45</f>
        <v>1.7367394606775124E-2</v>
      </c>
      <c r="CT45" s="78"/>
      <c r="CU45" s="78"/>
      <c r="CV45" s="78"/>
      <c r="CW45" s="78"/>
      <c r="CX45" s="78"/>
      <c r="CY45" s="78"/>
      <c r="CZ45" s="78"/>
      <c r="DA45" s="78"/>
      <c r="DB45" s="78"/>
      <c r="DC45" s="78"/>
      <c r="DD45" s="78"/>
      <c r="DE45" s="78"/>
      <c r="DF45" s="78"/>
      <c r="DG45" s="78"/>
      <c r="DH45" s="516">
        <f t="shared" si="48"/>
        <v>46.8</v>
      </c>
      <c r="DI45" s="2">
        <f t="shared" si="49"/>
        <v>53.544999999999995</v>
      </c>
      <c r="DJ45" s="169">
        <f t="shared" si="50"/>
        <v>46.8</v>
      </c>
      <c r="DK45" s="169">
        <f t="shared" si="51"/>
        <v>6.7450000000000001</v>
      </c>
      <c r="DL45" s="113">
        <f t="shared" ref="DL45:DL76" si="132">DJ45/CD45</f>
        <v>3.8318980481181583E-2</v>
      </c>
      <c r="DM45" s="113">
        <f t="shared" ref="DM45:DM76" si="133">DJ45/BJ45</f>
        <v>8.0829015544041441E-2</v>
      </c>
      <c r="DN45" s="113">
        <v>0.6</v>
      </c>
      <c r="DO45" s="78"/>
      <c r="DP45" s="78"/>
      <c r="DQ45" s="166">
        <v>78</v>
      </c>
      <c r="DR45" s="78"/>
      <c r="DS45" s="78"/>
      <c r="DT45" s="78">
        <f t="shared" si="96"/>
        <v>78</v>
      </c>
      <c r="DU45" s="175">
        <f t="shared" si="97"/>
        <v>1137.6171428571429</v>
      </c>
      <c r="DV45" s="175">
        <v>1162</v>
      </c>
      <c r="DW45" s="170">
        <f t="shared" ref="DW45:DW76" si="134">DX45+EG45</f>
        <v>122.38285714285706</v>
      </c>
      <c r="DX45" s="534">
        <f t="shared" si="89"/>
        <v>92.382857142857063</v>
      </c>
      <c r="DY45" s="534">
        <f t="shared" si="90"/>
        <v>76.079999999999941</v>
      </c>
      <c r="DZ45" s="262">
        <f t="shared" si="86"/>
        <v>1.3585714285714274</v>
      </c>
      <c r="EA45" s="78">
        <v>68</v>
      </c>
      <c r="EB45" s="78">
        <v>56</v>
      </c>
      <c r="EC45" s="175">
        <f t="shared" si="82"/>
        <v>16.302857142857121</v>
      </c>
      <c r="ED45" s="175">
        <v>0</v>
      </c>
      <c r="EE45" s="175">
        <f t="shared" ref="EE45:EE76" si="135">EC45-ED45</f>
        <v>16.302857142857121</v>
      </c>
      <c r="EF45" s="175"/>
      <c r="EG45" s="78">
        <v>30</v>
      </c>
      <c r="EH45" s="534">
        <f t="shared" ref="EH45:EH76" si="136">DX45-CI45</f>
        <v>33.925714285714221</v>
      </c>
      <c r="EI45" s="78">
        <v>373</v>
      </c>
      <c r="EJ45" s="78">
        <v>362</v>
      </c>
      <c r="EK45" s="78"/>
      <c r="EL45" s="78"/>
      <c r="EM45" s="78"/>
      <c r="EN45" s="78"/>
      <c r="EO45" s="78">
        <v>458</v>
      </c>
      <c r="EP45" s="78">
        <v>368</v>
      </c>
      <c r="EQ45" s="175">
        <f t="shared" si="91"/>
        <v>1349</v>
      </c>
      <c r="ER45" s="2">
        <f t="shared" ref="ER45:ER76" si="137">$BJ45+$AP45+$AS45+$AV45+$AX45+$AY45+$AZ45+$K45</f>
        <v>1200.7840000000001</v>
      </c>
      <c r="ES45" s="262">
        <f t="shared" si="98"/>
        <v>0.89012898443291333</v>
      </c>
      <c r="ET45" s="262"/>
      <c r="EU45" s="262"/>
      <c r="EV45" s="262"/>
      <c r="EW45" s="78"/>
      <c r="EX45" s="78"/>
      <c r="EY45" s="166"/>
      <c r="EZ45" s="78"/>
      <c r="FA45" s="78"/>
      <c r="FB45" s="78"/>
      <c r="FC45" s="78"/>
      <c r="FD45" s="78"/>
      <c r="FE45" s="93"/>
      <c r="FF45" s="166"/>
      <c r="FG45" s="78"/>
      <c r="FH45" s="598"/>
      <c r="FI45" s="310">
        <f t="shared" si="65"/>
        <v>90</v>
      </c>
      <c r="FJ45" s="2">
        <f t="shared" ref="FJ45:FJ76" si="138">EI45-EJ45+C45+HO45</f>
        <v>90</v>
      </c>
      <c r="FK45" s="166"/>
      <c r="FL45" s="78"/>
      <c r="FM45" s="78"/>
      <c r="FN45" s="78"/>
      <c r="FO45" s="78"/>
      <c r="FP45" s="78"/>
      <c r="FQ45" s="78"/>
      <c r="FR45" s="78"/>
      <c r="FS45" s="93"/>
      <c r="FT45" s="78"/>
      <c r="FU45" s="78"/>
      <c r="FV45" s="78"/>
      <c r="FW45" s="78"/>
      <c r="FX45" s="78"/>
      <c r="FY45" s="78"/>
      <c r="FZ45" s="102"/>
      <c r="GA45" s="102"/>
      <c r="GB45" s="102"/>
      <c r="GC45" s="102"/>
      <c r="GD45" s="102"/>
      <c r="GE45" s="102"/>
      <c r="GF45" s="102"/>
      <c r="GG45" s="102"/>
      <c r="GH45" s="102"/>
      <c r="GI45" s="102"/>
      <c r="GJ45" s="102"/>
      <c r="GK45" s="1162">
        <f>DataUK4!X198+DataUK4!AH198</f>
        <v>9.6999999999999886</v>
      </c>
      <c r="GL45" s="102"/>
      <c r="GM45" s="102"/>
      <c r="GN45" s="102"/>
      <c r="GO45" s="102"/>
      <c r="GP45" s="310">
        <f t="shared" ref="GP45:GP76" si="139">EE45</f>
        <v>16.302857142857121</v>
      </c>
      <c r="GQ45" s="102"/>
      <c r="GR45" s="102"/>
      <c r="GS45" s="102"/>
      <c r="GT45" s="102"/>
      <c r="GU45" s="991">
        <f t="shared" si="68"/>
        <v>-6.6028571428571325</v>
      </c>
      <c r="GW45" s="1063">
        <f>DataUK4!D198+DataUK4!F198</f>
        <v>18.899999999999999</v>
      </c>
      <c r="GX45" s="102"/>
      <c r="GY45" s="615">
        <f t="shared" si="69"/>
        <v>15.857275541795682</v>
      </c>
      <c r="GZ45" s="102"/>
      <c r="HA45" s="102"/>
      <c r="HB45" s="102"/>
      <c r="HC45" s="101"/>
      <c r="HD45" s="170">
        <f t="shared" si="92"/>
        <v>79</v>
      </c>
      <c r="HE45" s="301">
        <f t="shared" si="93"/>
        <v>85</v>
      </c>
      <c r="HF45" s="301">
        <f t="shared" si="94"/>
        <v>6</v>
      </c>
      <c r="HG45" s="170">
        <f t="shared" si="71"/>
        <v>0</v>
      </c>
      <c r="HH45" s="301">
        <v>0</v>
      </c>
      <c r="HI45" s="301">
        <v>0</v>
      </c>
      <c r="HJ45" s="2">
        <v>0</v>
      </c>
      <c r="HK45" s="2">
        <v>0</v>
      </c>
      <c r="HL45" s="2">
        <v>0</v>
      </c>
      <c r="HM45" s="2">
        <f t="shared" si="72"/>
        <v>0</v>
      </c>
      <c r="HN45" s="2">
        <v>0</v>
      </c>
      <c r="HO45" s="2">
        <v>0</v>
      </c>
      <c r="HP45" s="2">
        <v>0</v>
      </c>
      <c r="HQ45" s="2">
        <v>0</v>
      </c>
      <c r="HR45" s="2">
        <v>0</v>
      </c>
      <c r="HS45" s="1052">
        <v>0</v>
      </c>
      <c r="HT45" s="1001">
        <v>8.6</v>
      </c>
      <c r="HU45" s="1002">
        <f t="shared" si="73"/>
        <v>1.0508038585209003</v>
      </c>
      <c r="HV45" s="1002">
        <f t="shared" si="74"/>
        <v>1.2167202572347267</v>
      </c>
    </row>
    <row r="46" spans="1:230" ht="12" customHeight="1">
      <c r="A46" s="79">
        <f t="shared" si="0"/>
        <v>1888</v>
      </c>
      <c r="B46" s="176">
        <f t="shared" si="1"/>
        <v>1301.8635714285715</v>
      </c>
      <c r="C46" s="177">
        <f t="shared" si="2"/>
        <v>84</v>
      </c>
      <c r="D46" s="176">
        <f t="shared" si="100"/>
        <v>1217.8635714285715</v>
      </c>
      <c r="E46" s="154">
        <f t="shared" si="101"/>
        <v>1275.08</v>
      </c>
      <c r="F46" s="995">
        <f t="shared" si="5"/>
        <v>58.971428571428554</v>
      </c>
      <c r="G46" s="531">
        <f t="shared" si="102"/>
        <v>1392.0285714285715</v>
      </c>
      <c r="H46" s="531">
        <f t="shared" si="103"/>
        <v>1308.0285714285715</v>
      </c>
      <c r="I46" s="531">
        <f t="shared" si="104"/>
        <v>1367</v>
      </c>
      <c r="J46" s="548">
        <f t="shared" si="105"/>
        <v>0.93275786393562543</v>
      </c>
      <c r="K46" s="515">
        <f t="shared" si="87"/>
        <v>90</v>
      </c>
      <c r="L46" s="175">
        <v>90</v>
      </c>
      <c r="M46" s="175">
        <v>0</v>
      </c>
      <c r="N46" s="78"/>
      <c r="O46" s="78"/>
      <c r="P46" s="78"/>
      <c r="Q46" s="78"/>
      <c r="R46" s="78"/>
      <c r="S46" s="532">
        <f t="shared" si="88"/>
        <v>7.4373491870859287E-2</v>
      </c>
      <c r="T46" s="1008">
        <f t="shared" si="13"/>
        <v>95.249200000000002</v>
      </c>
      <c r="U46" s="1010">
        <f t="shared" si="14"/>
        <v>95.249200000000002</v>
      </c>
      <c r="V46" s="511">
        <f t="shared" si="15"/>
        <v>108</v>
      </c>
      <c r="W46" s="2">
        <f t="shared" si="16"/>
        <v>108</v>
      </c>
      <c r="X46" s="169">
        <f t="shared" si="106"/>
        <v>12.7508</v>
      </c>
      <c r="Y46" s="113">
        <f t="shared" si="18"/>
        <v>0.11806296296296297</v>
      </c>
      <c r="Z46" s="113">
        <f t="shared" si="19"/>
        <v>0.11806296296296297</v>
      </c>
      <c r="AA46" s="78"/>
      <c r="AB46" s="1019">
        <v>0.01</v>
      </c>
      <c r="AC46" s="78"/>
      <c r="AD46" s="78"/>
      <c r="AE46" s="78"/>
      <c r="AF46" s="78"/>
      <c r="AG46" s="78"/>
      <c r="AH46" s="78"/>
      <c r="AI46" s="78"/>
      <c r="AJ46" s="171">
        <f t="shared" si="107"/>
        <v>480.47816728879872</v>
      </c>
      <c r="AK46" s="1026">
        <f t="shared" si="108"/>
        <v>120</v>
      </c>
      <c r="AL46" s="169">
        <f t="shared" si="109"/>
        <v>500.498090925832</v>
      </c>
      <c r="AM46" s="169">
        <f t="shared" si="75"/>
        <v>125</v>
      </c>
      <c r="AN46" s="169">
        <f t="shared" si="110"/>
        <v>301.86021887357941</v>
      </c>
      <c r="AO46" s="1027">
        <f>AT46+AU46+AQ46</f>
        <v>321.8801425106127</v>
      </c>
      <c r="AP46" s="175">
        <v>168</v>
      </c>
      <c r="AQ46" s="175">
        <v>48</v>
      </c>
      <c r="AR46" s="78">
        <f t="shared" si="76"/>
        <v>120</v>
      </c>
      <c r="AS46" s="83"/>
      <c r="AT46" s="358">
        <v>23</v>
      </c>
      <c r="AU46" s="1030">
        <f t="shared" si="25"/>
        <v>250.8801425106127</v>
      </c>
      <c r="AV46" s="78">
        <v>398</v>
      </c>
      <c r="AW46" s="534">
        <f t="shared" si="77"/>
        <v>124.1198574893873</v>
      </c>
      <c r="AX46" s="78"/>
      <c r="AY46" s="78"/>
      <c r="AZ46" s="534">
        <v>5.08</v>
      </c>
      <c r="BA46" s="386">
        <f t="shared" si="83"/>
        <v>0.28245906610066729</v>
      </c>
      <c r="BB46" s="78"/>
      <c r="BC46" s="78"/>
      <c r="BD46" s="78"/>
      <c r="BE46" s="78"/>
      <c r="BF46" s="78"/>
      <c r="BG46" s="78"/>
      <c r="BH46" s="78"/>
      <c r="BI46" s="166">
        <v>614</v>
      </c>
      <c r="BJ46" s="2">
        <f t="shared" si="111"/>
        <v>614</v>
      </c>
      <c r="BK46" s="175">
        <v>54</v>
      </c>
      <c r="BL46" s="169">
        <f t="shared" si="112"/>
        <v>125</v>
      </c>
      <c r="BM46" s="1031">
        <f t="shared" si="113"/>
        <v>178.61794841521933</v>
      </c>
      <c r="BN46" s="310">
        <f t="shared" si="114"/>
        <v>124.61794841521933</v>
      </c>
      <c r="BO46" s="262">
        <f t="shared" si="115"/>
        <v>0.23218077744221977</v>
      </c>
      <c r="BP46" s="262">
        <f t="shared" si="116"/>
        <v>0.24757943265994148</v>
      </c>
      <c r="BQ46" s="262">
        <f t="shared" si="117"/>
        <v>0.13738694778310112</v>
      </c>
      <c r="BR46" s="262">
        <f t="shared" si="118"/>
        <v>0.29090871077397285</v>
      </c>
      <c r="BS46" s="988">
        <f t="shared" si="99"/>
        <v>0.55492068265543948</v>
      </c>
      <c r="BT46" s="534">
        <f t="shared" si="119"/>
        <v>20.01992363703328</v>
      </c>
      <c r="BU46" s="534">
        <f t="shared" si="120"/>
        <v>5</v>
      </c>
      <c r="BV46" s="113">
        <v>0.04</v>
      </c>
      <c r="BW46" s="276">
        <f t="shared" si="121"/>
        <v>1.570091573629363E-2</v>
      </c>
      <c r="BX46" s="272">
        <f t="shared" si="122"/>
        <v>32.770723637033278</v>
      </c>
      <c r="BY46" s="78"/>
      <c r="BZ46" s="1034"/>
      <c r="CA46" s="1037"/>
      <c r="CB46" s="2">
        <f t="shared" si="123"/>
        <v>1210.1085714285714</v>
      </c>
      <c r="CC46" s="2">
        <f t="shared" si="95"/>
        <v>1300.1085714285714</v>
      </c>
      <c r="CD46" s="310">
        <f t="shared" si="124"/>
        <v>1300.1085714285714</v>
      </c>
      <c r="CE46" s="310">
        <f t="shared" si="125"/>
        <v>1216.1085714285714</v>
      </c>
      <c r="CF46" s="78"/>
      <c r="CG46" s="78"/>
      <c r="CH46" s="78"/>
      <c r="CI46" s="534">
        <f t="shared" si="79"/>
        <v>58.971428571428554</v>
      </c>
      <c r="CJ46" s="78">
        <v>60</v>
      </c>
      <c r="CK46" s="386">
        <f t="shared" si="85"/>
        <v>0.98285714285714254</v>
      </c>
      <c r="CL46" s="517">
        <f t="shared" si="126"/>
        <v>505.33620413977275</v>
      </c>
      <c r="CM46" s="169">
        <f t="shared" si="127"/>
        <v>524.70190907416804</v>
      </c>
      <c r="CN46" s="170">
        <f t="shared" si="43"/>
        <v>136.1198574893873</v>
      </c>
      <c r="CO46" s="170">
        <f t="shared" si="128"/>
        <v>136.1198574893873</v>
      </c>
      <c r="CP46" s="170">
        <f t="shared" si="129"/>
        <v>388.58205158478074</v>
      </c>
      <c r="CQ46" s="170">
        <f t="shared" si="130"/>
        <v>19.365704934395275</v>
      </c>
      <c r="CR46" s="170"/>
      <c r="CS46" s="113">
        <f t="shared" si="131"/>
        <v>1.5187835221629448E-2</v>
      </c>
      <c r="CT46" s="78"/>
      <c r="CU46" s="78"/>
      <c r="CV46" s="78"/>
      <c r="CW46" s="78"/>
      <c r="CX46" s="78"/>
      <c r="CY46" s="78"/>
      <c r="CZ46" s="78"/>
      <c r="DA46" s="78"/>
      <c r="DB46" s="78"/>
      <c r="DC46" s="78"/>
      <c r="DD46" s="78"/>
      <c r="DE46" s="78"/>
      <c r="DF46" s="78"/>
      <c r="DG46" s="78"/>
      <c r="DH46" s="516">
        <f t="shared" si="48"/>
        <v>46.8</v>
      </c>
      <c r="DI46" s="2">
        <f t="shared" si="49"/>
        <v>53.634999999999998</v>
      </c>
      <c r="DJ46" s="169">
        <f t="shared" si="50"/>
        <v>46.8</v>
      </c>
      <c r="DK46" s="169">
        <f t="shared" si="51"/>
        <v>6.835</v>
      </c>
      <c r="DL46" s="113">
        <f t="shared" si="132"/>
        <v>3.5996993657672546E-2</v>
      </c>
      <c r="DM46" s="113">
        <f t="shared" si="133"/>
        <v>7.6221498371335503E-2</v>
      </c>
      <c r="DN46" s="113">
        <v>0.6</v>
      </c>
      <c r="DO46" s="78"/>
      <c r="DP46" s="78"/>
      <c r="DQ46" s="166">
        <v>78</v>
      </c>
      <c r="DR46" s="78"/>
      <c r="DS46" s="78"/>
      <c r="DT46" s="78">
        <f t="shared" si="96"/>
        <v>78</v>
      </c>
      <c r="DU46" s="175">
        <f t="shared" si="97"/>
        <v>1159.6771428571428</v>
      </c>
      <c r="DV46" s="175">
        <v>1186</v>
      </c>
      <c r="DW46" s="170">
        <f t="shared" si="134"/>
        <v>120.32285714285706</v>
      </c>
      <c r="DX46" s="534">
        <f t="shared" si="89"/>
        <v>100.32285714285706</v>
      </c>
      <c r="DY46" s="534">
        <f t="shared" si="90"/>
        <v>86.765714285714211</v>
      </c>
      <c r="DZ46" s="262">
        <f t="shared" si="86"/>
        <v>1.3557142857142845</v>
      </c>
      <c r="EA46" s="78">
        <v>74</v>
      </c>
      <c r="EB46" s="78">
        <v>64</v>
      </c>
      <c r="EC46" s="175">
        <f t="shared" si="82"/>
        <v>13.55714285714285</v>
      </c>
      <c r="ED46" s="175">
        <v>0</v>
      </c>
      <c r="EE46" s="175">
        <f t="shared" si="135"/>
        <v>13.55714285714285</v>
      </c>
      <c r="EF46" s="175"/>
      <c r="EG46" s="78">
        <v>20</v>
      </c>
      <c r="EH46" s="534">
        <f t="shared" si="136"/>
        <v>41.351428571428507</v>
      </c>
      <c r="EI46" s="78">
        <v>396</v>
      </c>
      <c r="EJ46" s="78">
        <v>387</v>
      </c>
      <c r="EK46" s="78"/>
      <c r="EL46" s="78"/>
      <c r="EM46" s="78"/>
      <c r="EN46" s="78"/>
      <c r="EO46" s="78">
        <v>486</v>
      </c>
      <c r="EP46" s="78">
        <v>393</v>
      </c>
      <c r="EQ46" s="175">
        <f t="shared" si="91"/>
        <v>1367</v>
      </c>
      <c r="ER46" s="2">
        <f t="shared" si="137"/>
        <v>1275.08</v>
      </c>
      <c r="ES46" s="262">
        <f t="shared" si="98"/>
        <v>0.93275786393562543</v>
      </c>
      <c r="ET46" s="262"/>
      <c r="EU46" s="262"/>
      <c r="EV46" s="262"/>
      <c r="EW46" s="78"/>
      <c r="EX46" s="78"/>
      <c r="EY46" s="166"/>
      <c r="EZ46" s="78"/>
      <c r="FA46" s="78"/>
      <c r="FB46" s="78"/>
      <c r="FC46" s="78"/>
      <c r="FD46" s="78"/>
      <c r="FE46" s="93"/>
      <c r="FF46" s="166"/>
      <c r="FG46" s="78"/>
      <c r="FH46" s="598"/>
      <c r="FI46" s="310">
        <f t="shared" si="65"/>
        <v>93</v>
      </c>
      <c r="FJ46" s="2">
        <f t="shared" si="138"/>
        <v>93</v>
      </c>
      <c r="FK46" s="166"/>
      <c r="FL46" s="78"/>
      <c r="FM46" s="78"/>
      <c r="FN46" s="78"/>
      <c r="FO46" s="78"/>
      <c r="FP46" s="78"/>
      <c r="FQ46" s="78"/>
      <c r="FR46" s="78"/>
      <c r="FS46" s="93"/>
      <c r="FT46" s="78"/>
      <c r="FU46" s="78"/>
      <c r="FV46" s="78"/>
      <c r="FW46" s="78"/>
      <c r="FX46" s="78"/>
      <c r="FY46" s="78"/>
      <c r="FZ46" s="102"/>
      <c r="GA46" s="102"/>
      <c r="GB46" s="102"/>
      <c r="GC46" s="102"/>
      <c r="GD46" s="102"/>
      <c r="GE46" s="102"/>
      <c r="GF46" s="102"/>
      <c r="GG46" s="102"/>
      <c r="GH46" s="102"/>
      <c r="GI46" s="102"/>
      <c r="GJ46" s="102"/>
      <c r="GK46" s="1162">
        <f>DataUK4!X199+DataUK4!AH199</f>
        <v>9.3000000000000114</v>
      </c>
      <c r="GL46" s="102"/>
      <c r="GM46" s="102"/>
      <c r="GN46" s="102"/>
      <c r="GO46" s="102"/>
      <c r="GP46" s="310">
        <f t="shared" si="139"/>
        <v>13.55714285714285</v>
      </c>
      <c r="GQ46" s="102"/>
      <c r="GR46" s="102"/>
      <c r="GS46" s="102"/>
      <c r="GT46" s="102"/>
      <c r="GU46" s="991">
        <f t="shared" si="68"/>
        <v>-4.2571428571428385</v>
      </c>
      <c r="GW46" s="1063">
        <f>DataUK4!D199+DataUK4!F199</f>
        <v>19.200000000000003</v>
      </c>
      <c r="GX46" s="102"/>
      <c r="GY46" s="615">
        <f t="shared" si="69"/>
        <v>16.108978328173393</v>
      </c>
      <c r="GZ46" s="102"/>
      <c r="HA46" s="102"/>
      <c r="HB46" s="102"/>
      <c r="HC46" s="101"/>
      <c r="HD46" s="170">
        <f t="shared" si="92"/>
        <v>84</v>
      </c>
      <c r="HE46" s="301">
        <f t="shared" si="93"/>
        <v>90</v>
      </c>
      <c r="HF46" s="301">
        <f t="shared" si="94"/>
        <v>6</v>
      </c>
      <c r="HG46" s="170">
        <f t="shared" si="71"/>
        <v>0</v>
      </c>
      <c r="HH46" s="301">
        <v>0</v>
      </c>
      <c r="HI46" s="301">
        <v>0</v>
      </c>
      <c r="HJ46" s="2">
        <v>0</v>
      </c>
      <c r="HK46" s="2">
        <v>0</v>
      </c>
      <c r="HL46" s="2">
        <v>0</v>
      </c>
      <c r="HM46" s="2">
        <f t="shared" si="72"/>
        <v>0</v>
      </c>
      <c r="HN46" s="2">
        <v>0</v>
      </c>
      <c r="HO46" s="2">
        <v>0</v>
      </c>
      <c r="HP46" s="2">
        <v>0</v>
      </c>
      <c r="HQ46" s="2">
        <v>0</v>
      </c>
      <c r="HR46" s="2">
        <v>0</v>
      </c>
      <c r="HS46" s="1052">
        <v>0</v>
      </c>
      <c r="HT46" s="1001">
        <v>8.6999999999999993</v>
      </c>
      <c r="HU46" s="1002">
        <f t="shared" si="73"/>
        <v>1.0630225080385851</v>
      </c>
      <c r="HV46" s="1002">
        <f t="shared" si="74"/>
        <v>1.2308681672025723</v>
      </c>
    </row>
    <row r="47" spans="1:230" ht="12" customHeight="1">
      <c r="A47" s="79">
        <f t="shared" si="0"/>
        <v>1889</v>
      </c>
      <c r="B47" s="176">
        <f t="shared" si="1"/>
        <v>1389.54</v>
      </c>
      <c r="C47" s="177">
        <f t="shared" si="2"/>
        <v>89</v>
      </c>
      <c r="D47" s="176">
        <f t="shared" si="100"/>
        <v>1300.54</v>
      </c>
      <c r="E47" s="154">
        <f t="shared" si="101"/>
        <v>1363</v>
      </c>
      <c r="F47" s="995">
        <f t="shared" si="5"/>
        <v>62.45999999999998</v>
      </c>
      <c r="G47" s="531">
        <f t="shared" si="102"/>
        <v>1438.54</v>
      </c>
      <c r="H47" s="531">
        <f t="shared" si="103"/>
        <v>1349.54</v>
      </c>
      <c r="I47" s="531">
        <f t="shared" si="104"/>
        <v>1412</v>
      </c>
      <c r="J47" s="548">
        <f t="shared" si="105"/>
        <v>0.9652974504249292</v>
      </c>
      <c r="K47" s="515">
        <f t="shared" si="87"/>
        <v>93</v>
      </c>
      <c r="L47" s="175">
        <v>93</v>
      </c>
      <c r="M47" s="175">
        <v>0</v>
      </c>
      <c r="N47" s="78"/>
      <c r="O47" s="78"/>
      <c r="P47" s="78"/>
      <c r="Q47" s="78"/>
      <c r="R47" s="78"/>
      <c r="S47" s="532">
        <f t="shared" si="88"/>
        <v>7.1729372020917212E-2</v>
      </c>
      <c r="T47" s="1008">
        <f t="shared" si="13"/>
        <v>96.17</v>
      </c>
      <c r="U47" s="1010">
        <f t="shared" si="14"/>
        <v>96.17</v>
      </c>
      <c r="V47" s="511">
        <f t="shared" si="15"/>
        <v>109.8</v>
      </c>
      <c r="W47" s="2">
        <f t="shared" si="16"/>
        <v>109.8</v>
      </c>
      <c r="X47" s="169">
        <f t="shared" si="106"/>
        <v>13.63</v>
      </c>
      <c r="Y47" s="113">
        <f t="shared" si="18"/>
        <v>0.12413479052823316</v>
      </c>
      <c r="Z47" s="113">
        <f t="shared" si="19"/>
        <v>0.12413479052823316</v>
      </c>
      <c r="AA47" s="78"/>
      <c r="AB47" s="1019">
        <v>0.01</v>
      </c>
      <c r="AC47" s="78"/>
      <c r="AD47" s="78"/>
      <c r="AE47" s="78"/>
      <c r="AF47" s="78"/>
      <c r="AG47" s="78"/>
      <c r="AH47" s="78"/>
      <c r="AI47" s="78"/>
      <c r="AJ47" s="171">
        <f t="shared" si="107"/>
        <v>513.49700624013235</v>
      </c>
      <c r="AK47" s="1026">
        <f t="shared" si="108"/>
        <v>120.96</v>
      </c>
      <c r="AL47" s="169">
        <f t="shared" si="109"/>
        <v>534.89271483347125</v>
      </c>
      <c r="AM47" s="169">
        <f t="shared" si="75"/>
        <v>126</v>
      </c>
      <c r="AN47" s="169">
        <f t="shared" si="110"/>
        <v>322.60429140666116</v>
      </c>
      <c r="AO47" s="1027">
        <f t="shared" ref="AO47:AO97" si="140">AT47+AU47+AQ47</f>
        <v>344</v>
      </c>
      <c r="AP47" s="175">
        <v>170</v>
      </c>
      <c r="AQ47" s="175">
        <v>48</v>
      </c>
      <c r="AR47" s="78">
        <f t="shared" si="76"/>
        <v>122</v>
      </c>
      <c r="AS47" s="78">
        <v>296</v>
      </c>
      <c r="AT47" s="78">
        <v>24</v>
      </c>
      <c r="AU47" s="78">
        <v>272</v>
      </c>
      <c r="AV47" s="78"/>
      <c r="AW47" s="175">
        <f>AX47+AY47</f>
        <v>126</v>
      </c>
      <c r="AX47" s="78">
        <v>126</v>
      </c>
      <c r="AY47" s="78"/>
      <c r="AZ47" s="169">
        <v>4</v>
      </c>
      <c r="BA47" s="113">
        <f t="shared" ref="BA47:BA71" si="141">AU47/(AU47+AW47+BJ47-BK47-DJ47)</f>
        <v>0.28041237113402062</v>
      </c>
      <c r="BB47" s="169"/>
      <c r="BC47" s="78"/>
      <c r="BD47" s="78"/>
      <c r="BE47" s="78"/>
      <c r="BF47" s="169"/>
      <c r="BG47" s="78"/>
      <c r="BH47" s="78"/>
      <c r="BI47" s="166">
        <v>674</v>
      </c>
      <c r="BJ47" s="2">
        <f t="shared" si="111"/>
        <v>674</v>
      </c>
      <c r="BK47" s="175">
        <v>54</v>
      </c>
      <c r="BL47" s="169">
        <f t="shared" si="112"/>
        <v>126</v>
      </c>
      <c r="BM47" s="1031">
        <f t="shared" si="113"/>
        <v>190.89271483347119</v>
      </c>
      <c r="BN47" s="310">
        <f t="shared" si="114"/>
        <v>136.89271483347119</v>
      </c>
      <c r="BO47" s="262">
        <f t="shared" si="115"/>
        <v>0.23216625027466728</v>
      </c>
      <c r="BP47" s="262">
        <f t="shared" si="116"/>
        <v>0.24756394202397916</v>
      </c>
      <c r="BQ47" s="262">
        <f t="shared" si="117"/>
        <v>0.13737835170881815</v>
      </c>
      <c r="BR47" s="262">
        <f t="shared" si="118"/>
        <v>0.28322361251256856</v>
      </c>
      <c r="BS47" s="988">
        <f t="shared" si="99"/>
        <v>0.55492068265543948</v>
      </c>
      <c r="BT47" s="534">
        <f t="shared" si="119"/>
        <v>21.395708593338849</v>
      </c>
      <c r="BU47" s="534">
        <f t="shared" si="120"/>
        <v>5.04</v>
      </c>
      <c r="BV47" s="113">
        <v>0.04</v>
      </c>
      <c r="BW47" s="276">
        <f t="shared" si="121"/>
        <v>1.5697511807291894E-2</v>
      </c>
      <c r="BX47" s="272">
        <f t="shared" si="122"/>
        <v>35.025708593338848</v>
      </c>
      <c r="BY47" s="78"/>
      <c r="BZ47" s="1034"/>
      <c r="CA47" s="1037"/>
      <c r="CB47" s="2">
        <f t="shared" si="123"/>
        <v>1296.54</v>
      </c>
      <c r="CC47" s="2">
        <f t="shared" si="95"/>
        <v>1389.54</v>
      </c>
      <c r="CD47" s="310">
        <f t="shared" si="124"/>
        <v>1389.54</v>
      </c>
      <c r="CE47" s="310">
        <f t="shared" si="125"/>
        <v>1300.54</v>
      </c>
      <c r="CF47" s="78"/>
      <c r="CG47" s="78"/>
      <c r="CH47" s="78"/>
      <c r="CI47" s="534">
        <f t="shared" si="79"/>
        <v>62.45999999999998</v>
      </c>
      <c r="CJ47" s="78">
        <v>63</v>
      </c>
      <c r="CK47" s="386">
        <f t="shared" si="85"/>
        <v>0.9914285714285711</v>
      </c>
      <c r="CL47" s="517">
        <f t="shared" si="126"/>
        <v>549.87299375986765</v>
      </c>
      <c r="CM47" s="169">
        <f t="shared" si="127"/>
        <v>573.3072851665288</v>
      </c>
      <c r="CN47" s="170">
        <f t="shared" si="43"/>
        <v>138.19999999999999</v>
      </c>
      <c r="CO47" s="170">
        <f t="shared" si="128"/>
        <v>138.19999999999999</v>
      </c>
      <c r="CP47" s="170">
        <f t="shared" si="129"/>
        <v>435.10728516652881</v>
      </c>
      <c r="CQ47" s="170">
        <f t="shared" si="130"/>
        <v>23.434291406661128</v>
      </c>
      <c r="CR47" s="170"/>
      <c r="CS47" s="113">
        <f t="shared" si="131"/>
        <v>1.7193170511123353E-2</v>
      </c>
      <c r="CT47" s="78"/>
      <c r="CU47" s="78"/>
      <c r="CV47" s="78"/>
      <c r="CW47" s="78"/>
      <c r="CX47" s="78"/>
      <c r="CY47" s="78"/>
      <c r="CZ47" s="78"/>
      <c r="DA47" s="78"/>
      <c r="DB47" s="78"/>
      <c r="DC47" s="78"/>
      <c r="DD47" s="78"/>
      <c r="DE47" s="78"/>
      <c r="DF47" s="78"/>
      <c r="DG47" s="78"/>
      <c r="DH47" s="516">
        <f t="shared" si="48"/>
        <v>48</v>
      </c>
      <c r="DI47" s="2">
        <f t="shared" si="49"/>
        <v>52</v>
      </c>
      <c r="DJ47" s="169">
        <f t="shared" si="50"/>
        <v>48</v>
      </c>
      <c r="DK47" s="169">
        <f t="shared" ref="DK47:DK78" si="142">AZ47</f>
        <v>4</v>
      </c>
      <c r="DL47" s="113">
        <f t="shared" si="132"/>
        <v>3.4543805863811047E-2</v>
      </c>
      <c r="DM47" s="113">
        <f t="shared" si="133"/>
        <v>7.1216617210682495E-2</v>
      </c>
      <c r="DN47" s="113">
        <v>0.6</v>
      </c>
      <c r="DO47" s="78"/>
      <c r="DP47" s="78"/>
      <c r="DQ47" s="166">
        <v>80</v>
      </c>
      <c r="DR47" s="78"/>
      <c r="DS47" s="78"/>
      <c r="DT47" s="78">
        <f t="shared" si="96"/>
        <v>80</v>
      </c>
      <c r="DU47" s="175">
        <f t="shared" si="97"/>
        <v>1197.3600000000001</v>
      </c>
      <c r="DV47" s="175">
        <v>1227</v>
      </c>
      <c r="DW47" s="170">
        <f t="shared" si="134"/>
        <v>138.6399999999999</v>
      </c>
      <c r="DX47" s="534">
        <f t="shared" si="89"/>
        <v>113.6399999999999</v>
      </c>
      <c r="DY47" s="534">
        <f t="shared" si="90"/>
        <v>100.11142857142848</v>
      </c>
      <c r="DZ47" s="262">
        <f t="shared" si="86"/>
        <v>1.3528571428571416</v>
      </c>
      <c r="EA47" s="78">
        <v>84</v>
      </c>
      <c r="EB47" s="78">
        <v>74</v>
      </c>
      <c r="EC47" s="175">
        <f t="shared" si="82"/>
        <v>13.528571428571425</v>
      </c>
      <c r="ED47" s="175">
        <v>0</v>
      </c>
      <c r="EE47" s="175">
        <f t="shared" si="135"/>
        <v>13.528571428571425</v>
      </c>
      <c r="EF47" s="175"/>
      <c r="EG47" s="78">
        <v>25</v>
      </c>
      <c r="EH47" s="534">
        <f t="shared" si="136"/>
        <v>51.179999999999922</v>
      </c>
      <c r="EI47" s="78">
        <v>422</v>
      </c>
      <c r="EJ47" s="78">
        <v>426</v>
      </c>
      <c r="EK47" s="78"/>
      <c r="EL47" s="78"/>
      <c r="EM47" s="78"/>
      <c r="EN47" s="78"/>
      <c r="EO47" s="78">
        <v>518</v>
      </c>
      <c r="EP47" s="78">
        <v>433</v>
      </c>
      <c r="EQ47" s="175">
        <f t="shared" si="91"/>
        <v>1412</v>
      </c>
      <c r="ER47" s="2">
        <f t="shared" si="137"/>
        <v>1363</v>
      </c>
      <c r="ES47" s="262">
        <f t="shared" si="98"/>
        <v>0.9652974504249292</v>
      </c>
      <c r="ET47" s="262"/>
      <c r="EU47" s="262"/>
      <c r="EV47" s="262"/>
      <c r="EW47" s="78"/>
      <c r="EX47" s="78"/>
      <c r="EY47" s="166"/>
      <c r="EZ47" s="78"/>
      <c r="FA47" s="78"/>
      <c r="FB47" s="78"/>
      <c r="FC47" s="78"/>
      <c r="FD47" s="78"/>
      <c r="FE47" s="93"/>
      <c r="FF47" s="166"/>
      <c r="FG47" s="78"/>
      <c r="FH47" s="598"/>
      <c r="FI47" s="310">
        <f t="shared" si="65"/>
        <v>85</v>
      </c>
      <c r="FJ47" s="2">
        <f t="shared" si="138"/>
        <v>85</v>
      </c>
      <c r="FK47" s="166"/>
      <c r="FL47" s="78"/>
      <c r="FM47" s="78"/>
      <c r="FN47" s="78"/>
      <c r="FO47" s="78"/>
      <c r="FP47" s="78"/>
      <c r="FQ47" s="78"/>
      <c r="FR47" s="78"/>
      <c r="FS47" s="93"/>
      <c r="FT47" s="78"/>
      <c r="FU47" s="78"/>
      <c r="FV47" s="78"/>
      <c r="FW47" s="78"/>
      <c r="FX47" s="78"/>
      <c r="FY47" s="78"/>
      <c r="FZ47" s="102"/>
      <c r="GA47" s="102"/>
      <c r="GB47" s="102"/>
      <c r="GC47" s="102"/>
      <c r="GD47" s="102"/>
      <c r="GE47" s="102"/>
      <c r="GF47" s="102"/>
      <c r="GG47" s="102"/>
      <c r="GH47" s="102"/>
      <c r="GI47" s="102"/>
      <c r="GJ47" s="102"/>
      <c r="GK47" s="1162">
        <f>DataUK4!X200+DataUK4!AH200</f>
        <v>10.599999999999994</v>
      </c>
      <c r="GL47" s="102"/>
      <c r="GM47" s="102"/>
      <c r="GN47" s="102"/>
      <c r="GO47" s="102"/>
      <c r="GP47" s="310">
        <f t="shared" si="139"/>
        <v>13.528571428571425</v>
      </c>
      <c r="GQ47" s="102"/>
      <c r="GR47" s="102"/>
      <c r="GS47" s="102"/>
      <c r="GT47" s="102"/>
      <c r="GU47" s="991">
        <f t="shared" si="68"/>
        <v>-2.9285714285714306</v>
      </c>
      <c r="GW47" s="1063">
        <f>DataUK4!D200+DataUK4!F200</f>
        <v>17.899999999999999</v>
      </c>
      <c r="GX47" s="102"/>
      <c r="GY47" s="615">
        <f t="shared" si="69"/>
        <v>15.018266253869982</v>
      </c>
      <c r="GZ47" s="102"/>
      <c r="HA47" s="102"/>
      <c r="HB47" s="102"/>
      <c r="HC47" s="101"/>
      <c r="HD47" s="170">
        <f t="shared" si="92"/>
        <v>89</v>
      </c>
      <c r="HE47" s="301">
        <f t="shared" si="93"/>
        <v>96</v>
      </c>
      <c r="HF47" s="301">
        <f t="shared" si="94"/>
        <v>7</v>
      </c>
      <c r="HG47" s="170">
        <f t="shared" si="71"/>
        <v>0</v>
      </c>
      <c r="HH47" s="301">
        <v>0</v>
      </c>
      <c r="HI47" s="301">
        <v>0</v>
      </c>
      <c r="HJ47" s="2">
        <v>0</v>
      </c>
      <c r="HK47" s="2">
        <v>0</v>
      </c>
      <c r="HL47" s="2">
        <v>0</v>
      </c>
      <c r="HM47" s="2">
        <f t="shared" si="72"/>
        <v>0</v>
      </c>
      <c r="HN47" s="2">
        <v>0</v>
      </c>
      <c r="HO47" s="2">
        <v>0</v>
      </c>
      <c r="HP47" s="2">
        <v>0</v>
      </c>
      <c r="HQ47" s="2">
        <v>0</v>
      </c>
      <c r="HR47" s="2">
        <v>0</v>
      </c>
      <c r="HS47" s="1052">
        <v>0</v>
      </c>
      <c r="HT47" s="1001">
        <v>8.8000000000000007</v>
      </c>
      <c r="HU47" s="1002">
        <f t="shared" si="73"/>
        <v>1.0752411575562699</v>
      </c>
      <c r="HV47" s="1002">
        <f t="shared" si="74"/>
        <v>1.2450160771704182</v>
      </c>
    </row>
    <row r="48" spans="1:230" ht="12" customHeight="1">
      <c r="A48" s="79">
        <f t="shared" si="0"/>
        <v>1890</v>
      </c>
      <c r="B48" s="176">
        <f t="shared" si="1"/>
        <v>1421</v>
      </c>
      <c r="C48" s="177">
        <f t="shared" si="2"/>
        <v>94</v>
      </c>
      <c r="D48" s="176">
        <f t="shared" si="100"/>
        <v>1327</v>
      </c>
      <c r="E48" s="154">
        <f t="shared" si="101"/>
        <v>1394</v>
      </c>
      <c r="F48" s="995">
        <f t="shared" si="5"/>
        <v>67</v>
      </c>
      <c r="G48" s="531">
        <f t="shared" si="102"/>
        <v>1483</v>
      </c>
      <c r="H48" s="531">
        <f t="shared" si="103"/>
        <v>1389</v>
      </c>
      <c r="I48" s="531">
        <f t="shared" si="104"/>
        <v>1456</v>
      </c>
      <c r="J48" s="548">
        <f t="shared" si="105"/>
        <v>0.95741758241758246</v>
      </c>
      <c r="K48" s="515">
        <f t="shared" si="87"/>
        <v>95</v>
      </c>
      <c r="L48" s="175">
        <v>95</v>
      </c>
      <c r="M48" s="175">
        <v>0</v>
      </c>
      <c r="N48" s="78"/>
      <c r="O48" s="78"/>
      <c r="P48" s="78"/>
      <c r="Q48" s="78"/>
      <c r="R48" s="78"/>
      <c r="S48" s="532">
        <f t="shared" si="88"/>
        <v>7.1644042232277522E-2</v>
      </c>
      <c r="T48" s="1008">
        <f t="shared" si="13"/>
        <v>97.660000000000011</v>
      </c>
      <c r="U48" s="1010">
        <f t="shared" si="14"/>
        <v>97.660000000000011</v>
      </c>
      <c r="V48" s="511">
        <f t="shared" si="15"/>
        <v>111.60000000000001</v>
      </c>
      <c r="W48" s="2">
        <f t="shared" si="16"/>
        <v>111.60000000000001</v>
      </c>
      <c r="X48" s="169">
        <f t="shared" si="106"/>
        <v>13.94</v>
      </c>
      <c r="Y48" s="113">
        <f t="shared" si="18"/>
        <v>0.12491039426523295</v>
      </c>
      <c r="Z48" s="113">
        <f t="shared" si="19"/>
        <v>0.12491039426523295</v>
      </c>
      <c r="AA48" s="78"/>
      <c r="AB48" s="1019">
        <v>0.01</v>
      </c>
      <c r="AC48" s="78"/>
      <c r="AD48" s="78"/>
      <c r="AE48" s="78"/>
      <c r="AF48" s="78"/>
      <c r="AG48" s="78"/>
      <c r="AH48" s="78"/>
      <c r="AI48" s="78"/>
      <c r="AJ48" s="171">
        <f t="shared" si="107"/>
        <v>510.51155852943384</v>
      </c>
      <c r="AK48" s="1026">
        <f t="shared" si="108"/>
        <v>127.68</v>
      </c>
      <c r="AL48" s="169">
        <f t="shared" si="109"/>
        <v>531.78287346816023</v>
      </c>
      <c r="AM48" s="169">
        <f t="shared" si="75"/>
        <v>133</v>
      </c>
      <c r="AN48" s="169">
        <f t="shared" si="110"/>
        <v>320.72868506127361</v>
      </c>
      <c r="AO48" s="1027">
        <f t="shared" si="140"/>
        <v>342</v>
      </c>
      <c r="AP48" s="175">
        <v>172</v>
      </c>
      <c r="AQ48" s="175">
        <v>48</v>
      </c>
      <c r="AR48" s="78">
        <f t="shared" si="76"/>
        <v>124</v>
      </c>
      <c r="AS48" s="78">
        <v>294</v>
      </c>
      <c r="AT48" s="78">
        <v>30</v>
      </c>
      <c r="AU48" s="78">
        <v>264</v>
      </c>
      <c r="AV48" s="78"/>
      <c r="AW48" s="175">
        <f t="shared" ref="AW48:AW111" si="143">AX48+AY48</f>
        <v>124</v>
      </c>
      <c r="AX48" s="78">
        <v>124</v>
      </c>
      <c r="AY48" s="78"/>
      <c r="AZ48" s="169">
        <v>5</v>
      </c>
      <c r="BA48" s="113">
        <f t="shared" si="141"/>
        <v>0.26774847870182555</v>
      </c>
      <c r="BB48" s="169"/>
      <c r="BC48" s="78"/>
      <c r="BD48" s="78"/>
      <c r="BE48" s="78"/>
      <c r="BF48" s="169"/>
      <c r="BG48" s="78"/>
      <c r="BH48" s="78"/>
      <c r="BI48" s="166">
        <v>704</v>
      </c>
      <c r="BJ48" s="2">
        <f t="shared" si="111"/>
        <v>704</v>
      </c>
      <c r="BK48" s="175">
        <v>55</v>
      </c>
      <c r="BL48" s="169">
        <f t="shared" si="112"/>
        <v>133</v>
      </c>
      <c r="BM48" s="1031">
        <f t="shared" si="113"/>
        <v>189.78287346816029</v>
      </c>
      <c r="BN48" s="310">
        <f t="shared" si="114"/>
        <v>134.78287346816029</v>
      </c>
      <c r="BO48" s="262">
        <f t="shared" si="115"/>
        <v>0.22570632305508348</v>
      </c>
      <c r="BP48" s="262">
        <f t="shared" si="116"/>
        <v>0.2406755805770584</v>
      </c>
      <c r="BQ48" s="262">
        <f t="shared" si="117"/>
        <v>0.13355585747231546</v>
      </c>
      <c r="BR48" s="262">
        <f t="shared" si="118"/>
        <v>0.26957794526727313</v>
      </c>
      <c r="BS48" s="988">
        <f t="shared" si="99"/>
        <v>0.55492068265543948</v>
      </c>
      <c r="BT48" s="534">
        <f t="shared" si="119"/>
        <v>21.271314938726409</v>
      </c>
      <c r="BU48" s="534">
        <f t="shared" si="120"/>
        <v>5.32</v>
      </c>
      <c r="BV48" s="113">
        <v>0.04</v>
      </c>
      <c r="BW48" s="276">
        <f t="shared" si="121"/>
        <v>1.5259192925915644E-2</v>
      </c>
      <c r="BX48" s="272">
        <f t="shared" si="122"/>
        <v>35.21131493872641</v>
      </c>
      <c r="BY48" s="78"/>
      <c r="BZ48" s="1034"/>
      <c r="CA48" s="1037"/>
      <c r="CB48" s="2">
        <f t="shared" si="123"/>
        <v>1326</v>
      </c>
      <c r="CC48" s="2">
        <f t="shared" si="95"/>
        <v>1421</v>
      </c>
      <c r="CD48" s="310">
        <f t="shared" si="124"/>
        <v>1421</v>
      </c>
      <c r="CE48" s="310">
        <f t="shared" si="125"/>
        <v>1327</v>
      </c>
      <c r="CF48" s="78"/>
      <c r="CG48" s="78"/>
      <c r="CH48" s="78"/>
      <c r="CI48" s="534">
        <f t="shared" si="79"/>
        <v>67</v>
      </c>
      <c r="CJ48" s="78">
        <v>67</v>
      </c>
      <c r="CK48" s="386">
        <v>1</v>
      </c>
      <c r="CL48" s="517">
        <f t="shared" si="126"/>
        <v>572.82844147056608</v>
      </c>
      <c r="CM48" s="169">
        <f t="shared" si="127"/>
        <v>599.61712653183963</v>
      </c>
      <c r="CN48" s="170">
        <f t="shared" si="43"/>
        <v>136.39999999999998</v>
      </c>
      <c r="CO48" s="170">
        <f t="shared" si="128"/>
        <v>136.39999999999998</v>
      </c>
      <c r="CP48" s="170">
        <f t="shared" si="129"/>
        <v>463.21712653183971</v>
      </c>
      <c r="CQ48" s="170">
        <f t="shared" si="130"/>
        <v>26.788685061273593</v>
      </c>
      <c r="CR48" s="170"/>
      <c r="CS48" s="113">
        <f t="shared" si="131"/>
        <v>1.9217134190296695E-2</v>
      </c>
      <c r="CT48" s="78"/>
      <c r="CU48" s="78"/>
      <c r="CV48" s="78"/>
      <c r="CW48" s="78"/>
      <c r="CX48" s="78"/>
      <c r="CY48" s="78"/>
      <c r="CZ48" s="78"/>
      <c r="DA48" s="78"/>
      <c r="DB48" s="78"/>
      <c r="DC48" s="78"/>
      <c r="DD48" s="78"/>
      <c r="DE48" s="78"/>
      <c r="DF48" s="78"/>
      <c r="DG48" s="78"/>
      <c r="DH48" s="516">
        <f t="shared" si="48"/>
        <v>51</v>
      </c>
      <c r="DI48" s="2">
        <f t="shared" si="49"/>
        <v>56</v>
      </c>
      <c r="DJ48" s="169">
        <f t="shared" si="50"/>
        <v>51</v>
      </c>
      <c r="DK48" s="169">
        <f t="shared" si="142"/>
        <v>5</v>
      </c>
      <c r="DL48" s="113">
        <f t="shared" si="132"/>
        <v>3.5890218156228011E-2</v>
      </c>
      <c r="DM48" s="113">
        <f t="shared" si="133"/>
        <v>7.2443181818181823E-2</v>
      </c>
      <c r="DN48" s="113">
        <v>0.6</v>
      </c>
      <c r="DO48" s="78"/>
      <c r="DP48" s="78"/>
      <c r="DQ48" s="166">
        <v>85</v>
      </c>
      <c r="DR48" s="78"/>
      <c r="DS48" s="78"/>
      <c r="DT48" s="78">
        <f t="shared" si="96"/>
        <v>85</v>
      </c>
      <c r="DU48" s="175">
        <f t="shared" si="97"/>
        <v>1221.8499999999999</v>
      </c>
      <c r="DV48" s="175">
        <v>1253</v>
      </c>
      <c r="DW48" s="170">
        <f t="shared" si="134"/>
        <v>135.15</v>
      </c>
      <c r="DX48" s="534">
        <f t="shared" si="89"/>
        <v>120.15</v>
      </c>
      <c r="DY48" s="534">
        <f t="shared" si="90"/>
        <v>106.65</v>
      </c>
      <c r="DZ48" s="262">
        <v>1.35</v>
      </c>
      <c r="EA48" s="78">
        <v>89</v>
      </c>
      <c r="EB48" s="78">
        <v>79</v>
      </c>
      <c r="EC48" s="175">
        <f t="shared" si="82"/>
        <v>13.5</v>
      </c>
      <c r="ED48" s="175">
        <v>0</v>
      </c>
      <c r="EE48" s="175">
        <f t="shared" si="135"/>
        <v>13.5</v>
      </c>
      <c r="EF48" s="175"/>
      <c r="EG48" s="78">
        <v>15</v>
      </c>
      <c r="EH48" s="78">
        <f t="shared" si="136"/>
        <v>53.150000000000006</v>
      </c>
      <c r="EI48" s="78">
        <v>434</v>
      </c>
      <c r="EJ48" s="78">
        <v>420</v>
      </c>
      <c r="EK48" s="78"/>
      <c r="EL48" s="78"/>
      <c r="EM48" s="78"/>
      <c r="EN48" s="78"/>
      <c r="EO48" s="78">
        <v>535</v>
      </c>
      <c r="EP48" s="78">
        <v>427</v>
      </c>
      <c r="EQ48" s="175">
        <f t="shared" si="91"/>
        <v>1456</v>
      </c>
      <c r="ER48" s="2">
        <f t="shared" si="137"/>
        <v>1394</v>
      </c>
      <c r="ES48" s="262">
        <f t="shared" si="98"/>
        <v>0.95741758241758246</v>
      </c>
      <c r="ET48" s="262"/>
      <c r="EU48" s="262"/>
      <c r="EV48" s="262"/>
      <c r="EW48" s="78"/>
      <c r="EX48" s="78"/>
      <c r="EY48" s="166"/>
      <c r="EZ48" s="78"/>
      <c r="FA48" s="78"/>
      <c r="FB48" s="78"/>
      <c r="FC48" s="78"/>
      <c r="FD48" s="78"/>
      <c r="FE48" s="93"/>
      <c r="FF48" s="166"/>
      <c r="FG48" s="78"/>
      <c r="FH48" s="598"/>
      <c r="FI48" s="310">
        <f t="shared" si="65"/>
        <v>108</v>
      </c>
      <c r="FJ48" s="2">
        <f t="shared" si="138"/>
        <v>108</v>
      </c>
      <c r="FK48" s="166"/>
      <c r="FL48" s="78"/>
      <c r="FM48" s="78"/>
      <c r="FN48" s="78"/>
      <c r="FO48" s="78"/>
      <c r="FP48" s="78"/>
      <c r="FQ48" s="78"/>
      <c r="FR48" s="78"/>
      <c r="FS48" s="93"/>
      <c r="FT48" s="78"/>
      <c r="FU48" s="78"/>
      <c r="FV48" s="78"/>
      <c r="FW48" s="78"/>
      <c r="FX48" s="78"/>
      <c r="FY48" s="78"/>
      <c r="FZ48" s="102"/>
      <c r="GA48" s="102"/>
      <c r="GB48" s="102"/>
      <c r="GC48" s="102"/>
      <c r="GD48" s="102"/>
      <c r="GE48" s="102"/>
      <c r="GF48" s="102"/>
      <c r="GG48" s="102"/>
      <c r="GH48" s="102"/>
      <c r="GI48" s="102"/>
      <c r="GJ48" s="102"/>
      <c r="GK48" s="1162">
        <f>DataUK4!X201+DataUK4!AH201</f>
        <v>9.6999999999999886</v>
      </c>
      <c r="GL48" s="102"/>
      <c r="GM48" s="102"/>
      <c r="GN48" s="102"/>
      <c r="GO48" s="102"/>
      <c r="GP48" s="310">
        <f t="shared" si="139"/>
        <v>13.5</v>
      </c>
      <c r="GQ48" s="102"/>
      <c r="GR48" s="102"/>
      <c r="GS48" s="102"/>
      <c r="GT48" s="102"/>
      <c r="GU48" s="991">
        <f t="shared" si="68"/>
        <v>-3.8000000000000114</v>
      </c>
      <c r="GW48" s="1063">
        <f>DataUK4!D201+DataUK4!F201</f>
        <v>17.299999999999997</v>
      </c>
      <c r="GX48" s="102"/>
      <c r="GY48" s="615">
        <f t="shared" si="69"/>
        <v>14.514860681114561</v>
      </c>
      <c r="GZ48" s="102"/>
      <c r="HA48" s="102"/>
      <c r="HB48" s="102"/>
      <c r="HC48" s="101"/>
      <c r="HD48" s="170">
        <f t="shared" si="92"/>
        <v>94</v>
      </c>
      <c r="HE48" s="301">
        <f t="shared" si="93"/>
        <v>101</v>
      </c>
      <c r="HF48" s="301">
        <f t="shared" si="94"/>
        <v>7</v>
      </c>
      <c r="HG48" s="170">
        <f t="shared" si="71"/>
        <v>0</v>
      </c>
      <c r="HH48" s="301">
        <v>0</v>
      </c>
      <c r="HI48" s="301">
        <v>0</v>
      </c>
      <c r="HJ48" s="2">
        <v>0</v>
      </c>
      <c r="HK48" s="2">
        <v>0</v>
      </c>
      <c r="HL48" s="2">
        <v>0</v>
      </c>
      <c r="HM48" s="2">
        <f t="shared" si="72"/>
        <v>0</v>
      </c>
      <c r="HN48" s="2">
        <v>0</v>
      </c>
      <c r="HO48" s="2">
        <v>0</v>
      </c>
      <c r="HP48" s="2">
        <v>0</v>
      </c>
      <c r="HQ48" s="2">
        <v>0</v>
      </c>
      <c r="HR48" s="2">
        <v>0</v>
      </c>
      <c r="HS48" s="1052">
        <v>0</v>
      </c>
      <c r="HT48" s="1001">
        <v>8.8000000000000007</v>
      </c>
      <c r="HU48" s="1002">
        <f t="shared" si="73"/>
        <v>1.0752411575562699</v>
      </c>
      <c r="HV48" s="1002">
        <f t="shared" si="74"/>
        <v>1.2450160771704182</v>
      </c>
    </row>
    <row r="49" spans="1:230" ht="12" customHeight="1">
      <c r="A49" s="79">
        <f t="shared" si="0"/>
        <v>1891</v>
      </c>
      <c r="B49" s="176">
        <f t="shared" si="1"/>
        <v>1393</v>
      </c>
      <c r="C49" s="177">
        <f t="shared" si="2"/>
        <v>94</v>
      </c>
      <c r="D49" s="176">
        <f t="shared" si="100"/>
        <v>1299</v>
      </c>
      <c r="E49" s="154">
        <f t="shared" si="101"/>
        <v>1375</v>
      </c>
      <c r="F49" s="995">
        <f t="shared" si="5"/>
        <v>66</v>
      </c>
      <c r="G49" s="531">
        <f t="shared" si="102"/>
        <v>1528</v>
      </c>
      <c r="H49" s="531">
        <f t="shared" si="103"/>
        <v>1434</v>
      </c>
      <c r="I49" s="531">
        <f t="shared" si="104"/>
        <v>1500</v>
      </c>
      <c r="J49" s="548">
        <f t="shared" si="105"/>
        <v>0.91666666666666663</v>
      </c>
      <c r="K49" s="515">
        <f t="shared" si="87"/>
        <v>96</v>
      </c>
      <c r="L49" s="175">
        <v>96</v>
      </c>
      <c r="M49" s="175">
        <v>0</v>
      </c>
      <c r="N49" s="78"/>
      <c r="O49" s="78"/>
      <c r="P49" s="78"/>
      <c r="Q49" s="78"/>
      <c r="R49" s="78"/>
      <c r="S49" s="532">
        <f t="shared" si="88"/>
        <v>7.3450650344299928E-2</v>
      </c>
      <c r="T49" s="1008">
        <f t="shared" si="13"/>
        <v>97.850000000000009</v>
      </c>
      <c r="U49" s="1010">
        <f t="shared" si="14"/>
        <v>97.850000000000009</v>
      </c>
      <c r="V49" s="511">
        <f t="shared" si="15"/>
        <v>111.60000000000001</v>
      </c>
      <c r="W49" s="2">
        <f t="shared" si="16"/>
        <v>111.60000000000001</v>
      </c>
      <c r="X49" s="169">
        <f t="shared" si="106"/>
        <v>13.75</v>
      </c>
      <c r="Y49" s="113">
        <f t="shared" si="18"/>
        <v>0.1232078853046595</v>
      </c>
      <c r="Z49" s="113">
        <f t="shared" si="19"/>
        <v>0.1232078853046595</v>
      </c>
      <c r="AA49" s="78"/>
      <c r="AB49" s="1019">
        <v>0.01</v>
      </c>
      <c r="AC49" s="78"/>
      <c r="AD49" s="78"/>
      <c r="AE49" s="78"/>
      <c r="AF49" s="78"/>
      <c r="AG49" s="78"/>
      <c r="AH49" s="78"/>
      <c r="AI49" s="78"/>
      <c r="AJ49" s="171">
        <f t="shared" si="107"/>
        <v>471.21871287873091</v>
      </c>
      <c r="AK49" s="1026">
        <f t="shared" si="108"/>
        <v>122.55</v>
      </c>
      <c r="AL49" s="169">
        <f t="shared" si="109"/>
        <v>496.01969776708518</v>
      </c>
      <c r="AM49" s="169">
        <f t="shared" si="75"/>
        <v>129</v>
      </c>
      <c r="AN49" s="169">
        <f t="shared" si="110"/>
        <v>294.19901511164574</v>
      </c>
      <c r="AO49" s="1027">
        <f t="shared" si="140"/>
        <v>319</v>
      </c>
      <c r="AP49" s="175">
        <v>172</v>
      </c>
      <c r="AQ49" s="175">
        <v>48</v>
      </c>
      <c r="AR49" s="78">
        <f t="shared" si="76"/>
        <v>124</v>
      </c>
      <c r="AS49" s="78">
        <v>281</v>
      </c>
      <c r="AT49" s="78">
        <v>27</v>
      </c>
      <c r="AU49" s="78">
        <v>244</v>
      </c>
      <c r="AV49" s="78"/>
      <c r="AW49" s="175">
        <f t="shared" si="143"/>
        <v>116</v>
      </c>
      <c r="AX49" s="78">
        <v>116</v>
      </c>
      <c r="AY49" s="78"/>
      <c r="AZ49" s="169">
        <v>5</v>
      </c>
      <c r="BA49" s="113">
        <f t="shared" si="141"/>
        <v>0.25448477263245722</v>
      </c>
      <c r="BB49" s="169"/>
      <c r="BC49" s="78"/>
      <c r="BD49" s="78"/>
      <c r="BE49" s="78"/>
      <c r="BF49" s="169"/>
      <c r="BG49" s="78"/>
      <c r="BH49" s="78"/>
      <c r="BI49" s="166">
        <v>705</v>
      </c>
      <c r="BJ49" s="2">
        <f t="shared" si="111"/>
        <v>705</v>
      </c>
      <c r="BK49" s="175">
        <v>54</v>
      </c>
      <c r="BL49" s="169">
        <f t="shared" si="112"/>
        <v>129</v>
      </c>
      <c r="BM49" s="1031">
        <f t="shared" si="113"/>
        <v>177.0196977670852</v>
      </c>
      <c r="BN49" s="310">
        <f t="shared" si="114"/>
        <v>123.0196977670852</v>
      </c>
      <c r="BO49" s="262">
        <f t="shared" si="115"/>
        <v>0.20969281191136546</v>
      </c>
      <c r="BP49" s="262">
        <f t="shared" si="116"/>
        <v>0.22736992159657876</v>
      </c>
      <c r="BQ49" s="262">
        <f t="shared" si="117"/>
        <v>0.12617227210768725</v>
      </c>
      <c r="BR49" s="262">
        <f t="shared" si="118"/>
        <v>0.25109176988239035</v>
      </c>
      <c r="BS49" s="988">
        <f t="shared" si="99"/>
        <v>0.55492068265543948</v>
      </c>
      <c r="BT49" s="534">
        <f t="shared" si="119"/>
        <v>24.800984888354261</v>
      </c>
      <c r="BU49" s="534">
        <f t="shared" si="120"/>
        <v>6.45</v>
      </c>
      <c r="BV49" s="113">
        <v>0.05</v>
      </c>
      <c r="BW49" s="276">
        <f t="shared" si="121"/>
        <v>1.8037079918803101E-2</v>
      </c>
      <c r="BX49" s="272">
        <f t="shared" si="122"/>
        <v>38.550984888354265</v>
      </c>
      <c r="BY49" s="78"/>
      <c r="BZ49" s="1034"/>
      <c r="CA49" s="1037"/>
      <c r="CB49" s="2">
        <f t="shared" si="123"/>
        <v>1307</v>
      </c>
      <c r="CC49" s="2">
        <f t="shared" si="95"/>
        <v>1403</v>
      </c>
      <c r="CD49" s="310">
        <f t="shared" si="124"/>
        <v>1403</v>
      </c>
      <c r="CE49" s="310">
        <f t="shared" si="125"/>
        <v>1309</v>
      </c>
      <c r="CF49" s="78"/>
      <c r="CG49" s="78"/>
      <c r="CH49" s="78"/>
      <c r="CI49" s="78">
        <v>66</v>
      </c>
      <c r="CJ49" s="78"/>
      <c r="CK49" s="78"/>
      <c r="CL49" s="517">
        <f t="shared" si="126"/>
        <v>581.73128712126902</v>
      </c>
      <c r="CM49" s="169">
        <f t="shared" si="127"/>
        <v>604.18030223291476</v>
      </c>
      <c r="CN49" s="170">
        <f t="shared" si="43"/>
        <v>128.39999999999998</v>
      </c>
      <c r="CO49" s="170">
        <f t="shared" si="128"/>
        <v>128.39999999999998</v>
      </c>
      <c r="CP49" s="170">
        <f t="shared" si="129"/>
        <v>475.78030223291478</v>
      </c>
      <c r="CQ49" s="170">
        <f t="shared" si="130"/>
        <v>22.449015111645739</v>
      </c>
      <c r="CR49" s="170"/>
      <c r="CS49" s="113">
        <f t="shared" si="131"/>
        <v>1.6326556444833266E-2</v>
      </c>
      <c r="CT49" s="78"/>
      <c r="CU49" s="78"/>
      <c r="CV49" s="78"/>
      <c r="CW49" s="78"/>
      <c r="CX49" s="78"/>
      <c r="CY49" s="78"/>
      <c r="CZ49" s="78"/>
      <c r="DA49" s="78"/>
      <c r="DB49" s="78"/>
      <c r="DC49" s="78"/>
      <c r="DD49" s="78"/>
      <c r="DE49" s="78"/>
      <c r="DF49" s="78"/>
      <c r="DG49" s="78"/>
      <c r="DH49" s="516">
        <f t="shared" si="48"/>
        <v>52.199999999999996</v>
      </c>
      <c r="DI49" s="2">
        <f t="shared" si="49"/>
        <v>57.199999999999996</v>
      </c>
      <c r="DJ49" s="169">
        <f t="shared" si="50"/>
        <v>52.199999999999996</v>
      </c>
      <c r="DK49" s="169">
        <f t="shared" si="142"/>
        <v>5</v>
      </c>
      <c r="DL49" s="113">
        <f t="shared" si="132"/>
        <v>3.7205987170349251E-2</v>
      </c>
      <c r="DM49" s="113">
        <f t="shared" si="133"/>
        <v>7.4042553191489349E-2</v>
      </c>
      <c r="DN49" s="113">
        <v>0.6</v>
      </c>
      <c r="DO49" s="78"/>
      <c r="DP49" s="78"/>
      <c r="DQ49" s="166">
        <v>87</v>
      </c>
      <c r="DR49" s="78"/>
      <c r="DS49" s="78"/>
      <c r="DT49" s="78">
        <f t="shared" si="96"/>
        <v>87</v>
      </c>
      <c r="DU49" s="175">
        <f t="shared" si="97"/>
        <v>1282.2516129032258</v>
      </c>
      <c r="DV49" s="175">
        <v>1315</v>
      </c>
      <c r="DW49" s="170">
        <f t="shared" si="134"/>
        <v>151.7483870967742</v>
      </c>
      <c r="DX49" s="534">
        <f t="shared" si="89"/>
        <v>126.7483870967742</v>
      </c>
      <c r="DY49" s="534">
        <f t="shared" si="90"/>
        <v>107.87096774193549</v>
      </c>
      <c r="DZ49" s="386">
        <f>DZ48+(DZ$79-DZ$48)/31</f>
        <v>1.3483870967741935</v>
      </c>
      <c r="EA49" s="78">
        <v>94</v>
      </c>
      <c r="EB49" s="78">
        <v>80</v>
      </c>
      <c r="EC49" s="175">
        <f t="shared" si="82"/>
        <v>18.877419354838707</v>
      </c>
      <c r="ED49" s="175">
        <v>0</v>
      </c>
      <c r="EE49" s="175">
        <f t="shared" si="135"/>
        <v>18.877419354838707</v>
      </c>
      <c r="EF49" s="175"/>
      <c r="EG49" s="78">
        <v>25</v>
      </c>
      <c r="EH49" s="78">
        <f t="shared" si="136"/>
        <v>60.748387096774195</v>
      </c>
      <c r="EI49" s="78">
        <v>411</v>
      </c>
      <c r="EJ49" s="78">
        <v>432</v>
      </c>
      <c r="EK49" s="78"/>
      <c r="EL49" s="78"/>
      <c r="EM49" s="78"/>
      <c r="EN49" s="78"/>
      <c r="EO49" s="78">
        <v>512</v>
      </c>
      <c r="EP49" s="78">
        <v>439</v>
      </c>
      <c r="EQ49" s="175">
        <f t="shared" si="91"/>
        <v>1500</v>
      </c>
      <c r="ER49" s="2">
        <f t="shared" si="137"/>
        <v>1375</v>
      </c>
      <c r="ES49" s="262">
        <f t="shared" si="98"/>
        <v>0.91666666666666663</v>
      </c>
      <c r="ET49" s="262"/>
      <c r="EU49" s="262"/>
      <c r="EV49" s="262"/>
      <c r="EW49" s="78"/>
      <c r="EX49" s="78"/>
      <c r="EY49" s="166"/>
      <c r="EZ49" s="78"/>
      <c r="FA49" s="78"/>
      <c r="FB49" s="78"/>
      <c r="FC49" s="78"/>
      <c r="FD49" s="78"/>
      <c r="FE49" s="93"/>
      <c r="FF49" s="166"/>
      <c r="FG49" s="78"/>
      <c r="FH49" s="598"/>
      <c r="FI49" s="310">
        <f t="shared" si="65"/>
        <v>73</v>
      </c>
      <c r="FJ49" s="2">
        <f t="shared" si="138"/>
        <v>73</v>
      </c>
      <c r="FK49" s="166"/>
      <c r="FL49" s="78"/>
      <c r="FM49" s="78"/>
      <c r="FN49" s="78"/>
      <c r="FO49" s="78"/>
      <c r="FP49" s="78"/>
      <c r="FQ49" s="78"/>
      <c r="FR49" s="78"/>
      <c r="FS49" s="93"/>
      <c r="FT49" s="78"/>
      <c r="FU49" s="78"/>
      <c r="FV49" s="78"/>
      <c r="FW49" s="78"/>
      <c r="FX49" s="78"/>
      <c r="FY49" s="78"/>
      <c r="FZ49" s="102"/>
      <c r="GA49" s="102"/>
      <c r="GB49" s="102"/>
      <c r="GC49" s="102"/>
      <c r="GD49" s="102"/>
      <c r="GE49" s="102"/>
      <c r="GF49" s="102"/>
      <c r="GG49" s="102"/>
      <c r="GH49" s="102"/>
      <c r="GI49" s="102"/>
      <c r="GJ49" s="102"/>
      <c r="GK49" s="1162">
        <f>DataUK4!X202+DataUK4!AH202</f>
        <v>9.1999999999999886</v>
      </c>
      <c r="GL49" s="102"/>
      <c r="GM49" s="102"/>
      <c r="GN49" s="102"/>
      <c r="GO49" s="102"/>
      <c r="GP49" s="310">
        <f t="shared" si="139"/>
        <v>18.877419354838707</v>
      </c>
      <c r="GQ49" s="102"/>
      <c r="GR49" s="102"/>
      <c r="GS49" s="102"/>
      <c r="GT49" s="102"/>
      <c r="GU49" s="991">
        <f t="shared" si="68"/>
        <v>-9.6774193548387188</v>
      </c>
      <c r="GW49" s="1063">
        <f>DataUK4!D202+DataUK4!F202</f>
        <v>17.100000000000001</v>
      </c>
      <c r="GX49" s="102"/>
      <c r="GY49" s="615">
        <f t="shared" si="69"/>
        <v>14.347058823529425</v>
      </c>
      <c r="GZ49" s="102"/>
      <c r="HA49" s="102"/>
      <c r="HB49" s="102"/>
      <c r="HC49" s="101"/>
      <c r="HD49" s="170">
        <f t="shared" si="92"/>
        <v>94</v>
      </c>
      <c r="HE49" s="301">
        <f t="shared" si="93"/>
        <v>101</v>
      </c>
      <c r="HF49" s="301">
        <f t="shared" si="94"/>
        <v>7</v>
      </c>
      <c r="HG49" s="170">
        <f t="shared" si="71"/>
        <v>0</v>
      </c>
      <c r="HH49" s="301">
        <v>0</v>
      </c>
      <c r="HI49" s="301">
        <v>0</v>
      </c>
      <c r="HJ49" s="2">
        <v>0</v>
      </c>
      <c r="HK49" s="2">
        <v>0</v>
      </c>
      <c r="HL49" s="2">
        <v>0</v>
      </c>
      <c r="HM49" s="2">
        <f t="shared" si="72"/>
        <v>0</v>
      </c>
      <c r="HN49" s="2">
        <v>0</v>
      </c>
      <c r="HO49" s="2">
        <v>0</v>
      </c>
      <c r="HP49" s="2">
        <v>0</v>
      </c>
      <c r="HQ49" s="2">
        <v>0</v>
      </c>
      <c r="HR49" s="2">
        <v>0</v>
      </c>
      <c r="HS49" s="1052">
        <v>0</v>
      </c>
      <c r="HT49" s="1001">
        <v>8.9</v>
      </c>
      <c r="HU49" s="1002">
        <f t="shared" si="73"/>
        <v>1.087459807073955</v>
      </c>
      <c r="HV49" s="1002">
        <f t="shared" si="74"/>
        <v>1.2591639871382638</v>
      </c>
    </row>
    <row r="50" spans="1:230" ht="12" customHeight="1">
      <c r="A50" s="79">
        <f t="shared" si="0"/>
        <v>1892</v>
      </c>
      <c r="B50" s="176">
        <f t="shared" si="1"/>
        <v>1365</v>
      </c>
      <c r="C50" s="177">
        <f t="shared" si="2"/>
        <v>95</v>
      </c>
      <c r="D50" s="176">
        <f t="shared" si="100"/>
        <v>1270</v>
      </c>
      <c r="E50" s="154">
        <f t="shared" si="101"/>
        <v>1335</v>
      </c>
      <c r="F50" s="995">
        <f t="shared" si="5"/>
        <v>65</v>
      </c>
      <c r="G50" s="531">
        <f t="shared" si="102"/>
        <v>1502</v>
      </c>
      <c r="H50" s="531">
        <f t="shared" si="103"/>
        <v>1407</v>
      </c>
      <c r="I50" s="531">
        <f t="shared" si="104"/>
        <v>1472</v>
      </c>
      <c r="J50" s="548">
        <f t="shared" si="105"/>
        <v>0.90692934782608692</v>
      </c>
      <c r="K50" s="515">
        <f t="shared" si="87"/>
        <v>97</v>
      </c>
      <c r="L50" s="175">
        <v>97</v>
      </c>
      <c r="M50" s="175">
        <v>0</v>
      </c>
      <c r="N50" s="78"/>
      <c r="O50" s="78"/>
      <c r="P50" s="78"/>
      <c r="Q50" s="78"/>
      <c r="R50" s="78"/>
      <c r="S50" s="532">
        <f t="shared" si="88"/>
        <v>7.649842271293375E-2</v>
      </c>
      <c r="T50" s="1008">
        <f t="shared" si="13"/>
        <v>100.95</v>
      </c>
      <c r="U50" s="1010">
        <f t="shared" si="14"/>
        <v>100.95</v>
      </c>
      <c r="V50" s="511">
        <f t="shared" si="15"/>
        <v>114.3</v>
      </c>
      <c r="W50" s="2">
        <f t="shared" si="16"/>
        <v>114.3</v>
      </c>
      <c r="X50" s="169">
        <f t="shared" si="106"/>
        <v>13.35</v>
      </c>
      <c r="Y50" s="113">
        <f t="shared" si="18"/>
        <v>0.1167979002624672</v>
      </c>
      <c r="Z50" s="113">
        <f t="shared" si="19"/>
        <v>0.1167979002624672</v>
      </c>
      <c r="AA50" s="78"/>
      <c r="AB50" s="1019">
        <v>0.01</v>
      </c>
      <c r="AC50" s="78"/>
      <c r="AD50" s="78"/>
      <c r="AE50" s="78"/>
      <c r="AF50" s="78"/>
      <c r="AG50" s="78"/>
      <c r="AH50" s="78"/>
      <c r="AI50" s="78"/>
      <c r="AJ50" s="171">
        <f t="shared" si="107"/>
        <v>438.72087061123221</v>
      </c>
      <c r="AK50" s="1026">
        <f t="shared" si="108"/>
        <v>123.5</v>
      </c>
      <c r="AL50" s="169">
        <f t="shared" si="109"/>
        <v>461.81144274866551</v>
      </c>
      <c r="AM50" s="169">
        <f t="shared" si="75"/>
        <v>130</v>
      </c>
      <c r="AN50" s="169">
        <f t="shared" si="110"/>
        <v>273.9094278625667</v>
      </c>
      <c r="AO50" s="1027">
        <f t="shared" si="140"/>
        <v>297</v>
      </c>
      <c r="AP50" s="175">
        <v>174</v>
      </c>
      <c r="AQ50" s="175">
        <v>47</v>
      </c>
      <c r="AR50" s="78">
        <f t="shared" si="76"/>
        <v>127</v>
      </c>
      <c r="AS50" s="78">
        <v>250</v>
      </c>
      <c r="AT50" s="78">
        <v>29</v>
      </c>
      <c r="AU50" s="78">
        <v>221</v>
      </c>
      <c r="AV50" s="78"/>
      <c r="AW50" s="175">
        <f t="shared" si="143"/>
        <v>108</v>
      </c>
      <c r="AX50" s="78">
        <v>108</v>
      </c>
      <c r="AY50" s="78"/>
      <c r="AZ50" s="169">
        <v>5</v>
      </c>
      <c r="BA50" s="113">
        <f t="shared" si="141"/>
        <v>0.23922927040484954</v>
      </c>
      <c r="BB50" s="169"/>
      <c r="BC50" s="78"/>
      <c r="BD50" s="78"/>
      <c r="BE50" s="78"/>
      <c r="BF50" s="169"/>
      <c r="BG50" s="78"/>
      <c r="BH50" s="78"/>
      <c r="BI50" s="166">
        <v>701</v>
      </c>
      <c r="BJ50" s="2">
        <f t="shared" si="111"/>
        <v>701</v>
      </c>
      <c r="BK50" s="175">
        <v>54</v>
      </c>
      <c r="BL50" s="169">
        <f t="shared" si="112"/>
        <v>130</v>
      </c>
      <c r="BM50" s="1031">
        <f t="shared" si="113"/>
        <v>164.81144274866551</v>
      </c>
      <c r="BN50" s="310">
        <f t="shared" si="114"/>
        <v>110.81144274866551</v>
      </c>
      <c r="BO50" s="262">
        <f t="shared" si="115"/>
        <v>0.20066624751836387</v>
      </c>
      <c r="BP50" s="262">
        <f t="shared" si="116"/>
        <v>0.21758241758241759</v>
      </c>
      <c r="BQ50" s="262">
        <f t="shared" si="117"/>
        <v>0.12074098369865606</v>
      </c>
      <c r="BR50" s="262">
        <f t="shared" si="118"/>
        <v>0.23510904814360273</v>
      </c>
      <c r="BS50" s="988">
        <f t="shared" si="99"/>
        <v>0.55492068265543948</v>
      </c>
      <c r="BT50" s="534">
        <f t="shared" si="119"/>
        <v>23.090572137433277</v>
      </c>
      <c r="BU50" s="534">
        <f t="shared" si="120"/>
        <v>6.5</v>
      </c>
      <c r="BV50" s="113">
        <v>0.05</v>
      </c>
      <c r="BW50" s="276">
        <f t="shared" si="121"/>
        <v>1.7296308717178483E-2</v>
      </c>
      <c r="BX50" s="272">
        <f t="shared" si="122"/>
        <v>36.440572137433278</v>
      </c>
      <c r="BY50" s="78"/>
      <c r="BZ50" s="1034"/>
      <c r="CA50" s="1037"/>
      <c r="CB50" s="2">
        <f t="shared" si="123"/>
        <v>1268</v>
      </c>
      <c r="CC50" s="2">
        <f t="shared" si="95"/>
        <v>1365</v>
      </c>
      <c r="CD50" s="310">
        <f t="shared" si="124"/>
        <v>1365</v>
      </c>
      <c r="CE50" s="310">
        <f t="shared" si="125"/>
        <v>1270</v>
      </c>
      <c r="CF50" s="78"/>
      <c r="CG50" s="78"/>
      <c r="CH50" s="78"/>
      <c r="CI50" s="78">
        <v>65</v>
      </c>
      <c r="CJ50" s="78"/>
      <c r="CK50" s="78"/>
      <c r="CL50" s="517">
        <f t="shared" si="126"/>
        <v>581.12912938876775</v>
      </c>
      <c r="CM50" s="169">
        <f t="shared" si="127"/>
        <v>604.68855725133449</v>
      </c>
      <c r="CN50" s="170">
        <f t="shared" si="43"/>
        <v>120.69999999999999</v>
      </c>
      <c r="CO50" s="170">
        <f t="shared" si="128"/>
        <v>120.69999999999999</v>
      </c>
      <c r="CP50" s="170">
        <f t="shared" si="129"/>
        <v>483.98855725133444</v>
      </c>
      <c r="CQ50" s="170">
        <f t="shared" si="130"/>
        <v>23.559427862566722</v>
      </c>
      <c r="CR50" s="170"/>
      <c r="CS50" s="113">
        <f t="shared" si="131"/>
        <v>1.7647511507540615E-2</v>
      </c>
      <c r="CT50" s="78"/>
      <c r="CU50" s="78"/>
      <c r="CV50" s="78"/>
      <c r="CW50" s="78"/>
      <c r="CX50" s="78"/>
      <c r="CY50" s="78"/>
      <c r="CZ50" s="78"/>
      <c r="DA50" s="78"/>
      <c r="DB50" s="78"/>
      <c r="DC50" s="78"/>
      <c r="DD50" s="78"/>
      <c r="DE50" s="78"/>
      <c r="DF50" s="78"/>
      <c r="DG50" s="78"/>
      <c r="DH50" s="516">
        <f t="shared" si="48"/>
        <v>52.199999999999996</v>
      </c>
      <c r="DI50" s="2">
        <f t="shared" si="49"/>
        <v>57.199999999999996</v>
      </c>
      <c r="DJ50" s="169">
        <f t="shared" si="50"/>
        <v>52.199999999999996</v>
      </c>
      <c r="DK50" s="169">
        <f t="shared" si="142"/>
        <v>5</v>
      </c>
      <c r="DL50" s="113">
        <f t="shared" si="132"/>
        <v>3.8241758241758239E-2</v>
      </c>
      <c r="DM50" s="113">
        <f t="shared" si="133"/>
        <v>7.4465049928673324E-2</v>
      </c>
      <c r="DN50" s="113">
        <v>0.6</v>
      </c>
      <c r="DO50" s="78"/>
      <c r="DP50" s="78"/>
      <c r="DQ50" s="166">
        <v>87</v>
      </c>
      <c r="DR50" s="78"/>
      <c r="DS50" s="78"/>
      <c r="DT50" s="78">
        <f t="shared" si="96"/>
        <v>87</v>
      </c>
      <c r="DU50" s="175">
        <f t="shared" si="97"/>
        <v>1280.3629032258063</v>
      </c>
      <c r="DV50" s="175">
        <v>1314</v>
      </c>
      <c r="DW50" s="170">
        <f t="shared" si="134"/>
        <v>135.63709677419354</v>
      </c>
      <c r="DX50" s="534">
        <f t="shared" si="89"/>
        <v>130.63709677419354</v>
      </c>
      <c r="DY50" s="534">
        <f t="shared" si="90"/>
        <v>111.78225806451613</v>
      </c>
      <c r="DZ50" s="386">
        <f t="shared" ref="DZ50:DZ78" si="144">DZ49+(DZ$79-DZ$48)/31</f>
        <v>1.346774193548387</v>
      </c>
      <c r="EA50" s="78">
        <v>97</v>
      </c>
      <c r="EB50" s="78">
        <v>83</v>
      </c>
      <c r="EC50" s="175">
        <f t="shared" si="82"/>
        <v>18.854838709677409</v>
      </c>
      <c r="ED50" s="175">
        <v>0</v>
      </c>
      <c r="EE50" s="175">
        <f t="shared" si="135"/>
        <v>18.854838709677409</v>
      </c>
      <c r="EF50" s="175"/>
      <c r="EG50" s="78">
        <v>5</v>
      </c>
      <c r="EH50" s="78">
        <f t="shared" si="136"/>
        <v>65.637096774193537</v>
      </c>
      <c r="EI50" s="78">
        <v>390</v>
      </c>
      <c r="EJ50" s="78">
        <v>421</v>
      </c>
      <c r="EK50" s="78"/>
      <c r="EL50" s="78"/>
      <c r="EM50" s="78"/>
      <c r="EN50" s="78"/>
      <c r="EO50" s="78">
        <v>492</v>
      </c>
      <c r="EP50" s="78">
        <v>428</v>
      </c>
      <c r="EQ50" s="175">
        <f t="shared" si="91"/>
        <v>1472</v>
      </c>
      <c r="ER50" s="2">
        <f t="shared" si="137"/>
        <v>1335</v>
      </c>
      <c r="ES50" s="262">
        <f t="shared" si="98"/>
        <v>0.90692934782608692</v>
      </c>
      <c r="ET50" s="262"/>
      <c r="EU50" s="262"/>
      <c r="EV50" s="262"/>
      <c r="EW50" s="78"/>
      <c r="EX50" s="78"/>
      <c r="EY50" s="166"/>
      <c r="EZ50" s="78"/>
      <c r="FA50" s="78"/>
      <c r="FB50" s="78"/>
      <c r="FC50" s="78"/>
      <c r="FD50" s="78"/>
      <c r="FE50" s="93"/>
      <c r="FF50" s="166"/>
      <c r="FG50" s="78"/>
      <c r="FH50" s="598"/>
      <c r="FI50" s="310">
        <f t="shared" si="65"/>
        <v>64</v>
      </c>
      <c r="FJ50" s="2">
        <f t="shared" si="138"/>
        <v>64</v>
      </c>
      <c r="FK50" s="166"/>
      <c r="FL50" s="78"/>
      <c r="FM50" s="78"/>
      <c r="FN50" s="78"/>
      <c r="FO50" s="78"/>
      <c r="FP50" s="78"/>
      <c r="FQ50" s="78"/>
      <c r="FR50" s="78"/>
      <c r="FS50" s="93"/>
      <c r="FT50" s="78"/>
      <c r="FU50" s="78"/>
      <c r="FV50" s="78"/>
      <c r="FW50" s="78"/>
      <c r="FX50" s="78"/>
      <c r="FY50" s="78"/>
      <c r="FZ50" s="102"/>
      <c r="GA50" s="102"/>
      <c r="GB50" s="102"/>
      <c r="GC50" s="102"/>
      <c r="GD50" s="102"/>
      <c r="GE50" s="102"/>
      <c r="GF50" s="102"/>
      <c r="GG50" s="102"/>
      <c r="GH50" s="102"/>
      <c r="GI50" s="102"/>
      <c r="GJ50" s="102"/>
      <c r="GK50" s="1162">
        <f>DataUK4!X203+DataUK4!AH203</f>
        <v>8.3000000000000114</v>
      </c>
      <c r="GL50" s="102"/>
      <c r="GM50" s="102"/>
      <c r="GN50" s="102"/>
      <c r="GO50" s="102"/>
      <c r="GP50" s="310">
        <f t="shared" si="139"/>
        <v>18.854838709677409</v>
      </c>
      <c r="GQ50" s="102"/>
      <c r="GR50" s="102"/>
      <c r="GS50" s="102"/>
      <c r="GT50" s="102"/>
      <c r="GU50" s="991">
        <f t="shared" si="68"/>
        <v>-10.554838709677398</v>
      </c>
      <c r="GW50" s="1063">
        <f>DataUK4!D203+DataUK4!F203</f>
        <v>17.100000000000001</v>
      </c>
      <c r="GX50" s="102"/>
      <c r="GY50" s="615">
        <f t="shared" si="69"/>
        <v>14.347058823529425</v>
      </c>
      <c r="GZ50" s="102"/>
      <c r="HA50" s="102"/>
      <c r="HB50" s="102"/>
      <c r="HC50" s="101"/>
      <c r="HD50" s="170">
        <f t="shared" si="92"/>
        <v>95</v>
      </c>
      <c r="HE50" s="301">
        <f t="shared" si="93"/>
        <v>102</v>
      </c>
      <c r="HF50" s="301">
        <f t="shared" si="94"/>
        <v>7</v>
      </c>
      <c r="HG50" s="170">
        <f t="shared" si="71"/>
        <v>0</v>
      </c>
      <c r="HH50" s="301">
        <v>0</v>
      </c>
      <c r="HI50" s="301">
        <v>0</v>
      </c>
      <c r="HJ50" s="2">
        <v>0</v>
      </c>
      <c r="HK50" s="2">
        <v>0</v>
      </c>
      <c r="HL50" s="2">
        <v>0</v>
      </c>
      <c r="HM50" s="2">
        <f t="shared" si="72"/>
        <v>0</v>
      </c>
      <c r="HN50" s="2">
        <v>0</v>
      </c>
      <c r="HO50" s="2">
        <v>0</v>
      </c>
      <c r="HP50" s="2">
        <v>0</v>
      </c>
      <c r="HQ50" s="2">
        <v>0</v>
      </c>
      <c r="HR50" s="2">
        <v>0</v>
      </c>
      <c r="HS50" s="1052">
        <v>0</v>
      </c>
      <c r="HT50" s="1001">
        <v>8.9</v>
      </c>
      <c r="HU50" s="1002">
        <f t="shared" si="73"/>
        <v>1.087459807073955</v>
      </c>
      <c r="HV50" s="1002">
        <f t="shared" si="74"/>
        <v>1.2591639871382638</v>
      </c>
    </row>
    <row r="51" spans="1:230" ht="12" customHeight="1">
      <c r="A51" s="79">
        <f t="shared" si="0"/>
        <v>1893</v>
      </c>
      <c r="B51" s="176">
        <f t="shared" si="1"/>
        <v>1372</v>
      </c>
      <c r="C51" s="177">
        <f t="shared" si="2"/>
        <v>95</v>
      </c>
      <c r="D51" s="176">
        <f t="shared" si="100"/>
        <v>1277</v>
      </c>
      <c r="E51" s="154">
        <f t="shared" si="101"/>
        <v>1341</v>
      </c>
      <c r="F51" s="995">
        <f t="shared" si="5"/>
        <v>64</v>
      </c>
      <c r="G51" s="531">
        <f t="shared" si="102"/>
        <v>1486</v>
      </c>
      <c r="H51" s="531">
        <f t="shared" si="103"/>
        <v>1391</v>
      </c>
      <c r="I51" s="531">
        <f t="shared" si="104"/>
        <v>1455</v>
      </c>
      <c r="J51" s="548">
        <f t="shared" si="105"/>
        <v>0.92164948453608242</v>
      </c>
      <c r="K51" s="515">
        <f t="shared" si="87"/>
        <v>98</v>
      </c>
      <c r="L51" s="175">
        <v>98</v>
      </c>
      <c r="M51" s="175">
        <v>0</v>
      </c>
      <c r="N51" s="78"/>
      <c r="O51" s="78"/>
      <c r="P51" s="78"/>
      <c r="Q51" s="78"/>
      <c r="R51" s="78"/>
      <c r="S51" s="532">
        <f t="shared" si="88"/>
        <v>7.6923076923076927E-2</v>
      </c>
      <c r="T51" s="1008">
        <f t="shared" si="13"/>
        <v>104.49000000000001</v>
      </c>
      <c r="U51" s="1010">
        <f t="shared" si="14"/>
        <v>104.49000000000001</v>
      </c>
      <c r="V51" s="511">
        <f t="shared" si="15"/>
        <v>117.9</v>
      </c>
      <c r="W51" s="2">
        <f t="shared" si="16"/>
        <v>117.9</v>
      </c>
      <c r="X51" s="169">
        <f t="shared" si="106"/>
        <v>13.41</v>
      </c>
      <c r="Y51" s="113">
        <f t="shared" si="18"/>
        <v>0.11374045801526717</v>
      </c>
      <c r="Z51" s="113">
        <f t="shared" si="19"/>
        <v>0.11374045801526717</v>
      </c>
      <c r="AA51" s="78"/>
      <c r="AB51" s="1019">
        <v>0.01</v>
      </c>
      <c r="AC51" s="78"/>
      <c r="AD51" s="78"/>
      <c r="AE51" s="78"/>
      <c r="AF51" s="78"/>
      <c r="AG51" s="78"/>
      <c r="AH51" s="78"/>
      <c r="AI51" s="78"/>
      <c r="AJ51" s="171">
        <f t="shared" si="107"/>
        <v>423.94912412600559</v>
      </c>
      <c r="AK51" s="1026">
        <f t="shared" si="108"/>
        <v>118.75</v>
      </c>
      <c r="AL51" s="169">
        <f t="shared" si="109"/>
        <v>446.26223592211113</v>
      </c>
      <c r="AM51" s="169">
        <f t="shared" si="75"/>
        <v>125</v>
      </c>
      <c r="AN51" s="169">
        <f t="shared" si="110"/>
        <v>264.68688820389445</v>
      </c>
      <c r="AO51" s="1027">
        <f t="shared" si="140"/>
        <v>287</v>
      </c>
      <c r="AP51" s="175">
        <v>177</v>
      </c>
      <c r="AQ51" s="175">
        <v>46</v>
      </c>
      <c r="AR51" s="78">
        <f t="shared" si="76"/>
        <v>131</v>
      </c>
      <c r="AS51" s="78">
        <v>241</v>
      </c>
      <c r="AT51" s="78">
        <v>25</v>
      </c>
      <c r="AU51" s="78">
        <v>216</v>
      </c>
      <c r="AV51" s="78"/>
      <c r="AW51" s="175">
        <f t="shared" si="143"/>
        <v>115</v>
      </c>
      <c r="AX51" s="78">
        <v>115</v>
      </c>
      <c r="AY51" s="78"/>
      <c r="AZ51" s="169">
        <v>6</v>
      </c>
      <c r="BA51" s="113">
        <f t="shared" si="141"/>
        <v>0.23285899094437257</v>
      </c>
      <c r="BB51" s="169"/>
      <c r="BC51" s="78"/>
      <c r="BD51" s="78"/>
      <c r="BE51" s="78"/>
      <c r="BF51" s="169"/>
      <c r="BG51" s="78"/>
      <c r="BH51" s="78"/>
      <c r="BI51" s="166">
        <v>704</v>
      </c>
      <c r="BJ51" s="2">
        <f t="shared" si="111"/>
        <v>704</v>
      </c>
      <c r="BK51" s="175">
        <v>54</v>
      </c>
      <c r="BL51" s="169">
        <f t="shared" si="112"/>
        <v>125</v>
      </c>
      <c r="BM51" s="1031">
        <f t="shared" si="113"/>
        <v>159.26223592211113</v>
      </c>
      <c r="BN51" s="310">
        <f t="shared" si="114"/>
        <v>105.26223592211113</v>
      </c>
      <c r="BO51" s="262">
        <f t="shared" si="115"/>
        <v>0.19292047245181812</v>
      </c>
      <c r="BP51" s="262">
        <f t="shared" si="116"/>
        <v>0.20918367346938777</v>
      </c>
      <c r="BQ51" s="262">
        <f t="shared" si="117"/>
        <v>0.11608034688200519</v>
      </c>
      <c r="BR51" s="262">
        <f t="shared" si="118"/>
        <v>0.22622476693481694</v>
      </c>
      <c r="BS51" s="988">
        <f t="shared" si="99"/>
        <v>0.55492068265543948</v>
      </c>
      <c r="BT51" s="534">
        <f t="shared" si="119"/>
        <v>22.313111796105559</v>
      </c>
      <c r="BU51" s="534">
        <f t="shared" si="120"/>
        <v>6.25</v>
      </c>
      <c r="BV51" s="113">
        <v>0.05</v>
      </c>
      <c r="BW51" s="276">
        <f t="shared" si="121"/>
        <v>1.6639158684642476E-2</v>
      </c>
      <c r="BX51" s="272">
        <f t="shared" si="122"/>
        <v>35.723111796105556</v>
      </c>
      <c r="BY51" s="78"/>
      <c r="BZ51" s="1034"/>
      <c r="CA51" s="1037"/>
      <c r="CB51" s="2">
        <f t="shared" si="123"/>
        <v>1274</v>
      </c>
      <c r="CC51" s="2">
        <f t="shared" si="95"/>
        <v>1372</v>
      </c>
      <c r="CD51" s="310">
        <f t="shared" si="124"/>
        <v>1372</v>
      </c>
      <c r="CE51" s="310">
        <f t="shared" si="125"/>
        <v>1277</v>
      </c>
      <c r="CF51" s="78"/>
      <c r="CG51" s="78"/>
      <c r="CH51" s="78"/>
      <c r="CI51" s="78">
        <v>64</v>
      </c>
      <c r="CJ51" s="78"/>
      <c r="CK51" s="78"/>
      <c r="CL51" s="517">
        <f t="shared" si="126"/>
        <v>597.16087587399443</v>
      </c>
      <c r="CM51" s="169">
        <f t="shared" si="127"/>
        <v>619.43776407788891</v>
      </c>
      <c r="CN51" s="170">
        <f t="shared" si="43"/>
        <v>128.10000000000002</v>
      </c>
      <c r="CO51" s="170">
        <f t="shared" si="128"/>
        <v>128.10000000000002</v>
      </c>
      <c r="CP51" s="170">
        <f t="shared" si="129"/>
        <v>491.33776407788889</v>
      </c>
      <c r="CQ51" s="170">
        <f t="shared" si="130"/>
        <v>22.276888203894444</v>
      </c>
      <c r="CR51" s="170"/>
      <c r="CS51" s="113">
        <f t="shared" si="131"/>
        <v>1.6612146311628967E-2</v>
      </c>
      <c r="CT51" s="78"/>
      <c r="CU51" s="78"/>
      <c r="CV51" s="78"/>
      <c r="CW51" s="78"/>
      <c r="CX51" s="78"/>
      <c r="CY51" s="78"/>
      <c r="CZ51" s="78"/>
      <c r="DA51" s="78"/>
      <c r="DB51" s="78"/>
      <c r="DC51" s="78"/>
      <c r="DD51" s="78"/>
      <c r="DE51" s="78"/>
      <c r="DF51" s="78"/>
      <c r="DG51" s="78"/>
      <c r="DH51" s="516">
        <f t="shared" si="48"/>
        <v>53.4</v>
      </c>
      <c r="DI51" s="2">
        <f t="shared" si="49"/>
        <v>59.4</v>
      </c>
      <c r="DJ51" s="169">
        <f t="shared" si="50"/>
        <v>53.4</v>
      </c>
      <c r="DK51" s="169">
        <f t="shared" si="142"/>
        <v>6</v>
      </c>
      <c r="DL51" s="113">
        <f t="shared" si="132"/>
        <v>3.892128279883382E-2</v>
      </c>
      <c r="DM51" s="113">
        <f t="shared" si="133"/>
        <v>7.5852272727272727E-2</v>
      </c>
      <c r="DN51" s="113">
        <v>0.6</v>
      </c>
      <c r="DO51" s="78"/>
      <c r="DP51" s="78"/>
      <c r="DQ51" s="166">
        <v>89</v>
      </c>
      <c r="DR51" s="78"/>
      <c r="DS51" s="78"/>
      <c r="DT51" s="78">
        <f t="shared" si="96"/>
        <v>89</v>
      </c>
      <c r="DU51" s="175">
        <f t="shared" si="97"/>
        <v>1277.9000000000001</v>
      </c>
      <c r="DV51" s="175">
        <v>1310</v>
      </c>
      <c r="DW51" s="170">
        <f t="shared" si="134"/>
        <v>125.09999999999998</v>
      </c>
      <c r="DX51" s="534">
        <f t="shared" si="89"/>
        <v>125.09999999999998</v>
      </c>
      <c r="DY51" s="534">
        <f t="shared" si="90"/>
        <v>100.88709677419354</v>
      </c>
      <c r="DZ51" s="386">
        <f t="shared" si="144"/>
        <v>1.3451612903225805</v>
      </c>
      <c r="EA51" s="78">
        <v>93</v>
      </c>
      <c r="EB51" s="78">
        <v>75</v>
      </c>
      <c r="EC51" s="175">
        <f t="shared" si="82"/>
        <v>24.212903225806443</v>
      </c>
      <c r="ED51" s="175">
        <v>0</v>
      </c>
      <c r="EE51" s="175">
        <f t="shared" si="135"/>
        <v>24.212903225806443</v>
      </c>
      <c r="EF51" s="175"/>
      <c r="EG51" s="78">
        <v>0</v>
      </c>
      <c r="EH51" s="78">
        <f t="shared" si="136"/>
        <v>61.09999999999998</v>
      </c>
      <c r="EI51" s="78">
        <v>365</v>
      </c>
      <c r="EJ51" s="78">
        <v>402</v>
      </c>
      <c r="EK51" s="78"/>
      <c r="EL51" s="78"/>
      <c r="EM51" s="78"/>
      <c r="EN51" s="78"/>
      <c r="EO51" s="78">
        <v>467</v>
      </c>
      <c r="EP51" s="78">
        <v>409</v>
      </c>
      <c r="EQ51" s="175">
        <f t="shared" si="91"/>
        <v>1455</v>
      </c>
      <c r="ER51" s="2">
        <f t="shared" si="137"/>
        <v>1341</v>
      </c>
      <c r="ES51" s="262">
        <f t="shared" si="98"/>
        <v>0.92164948453608242</v>
      </c>
      <c r="ET51" s="262"/>
      <c r="EU51" s="262"/>
      <c r="EV51" s="262"/>
      <c r="EW51" s="78"/>
      <c r="EX51" s="78"/>
      <c r="EY51" s="166"/>
      <c r="EZ51" s="78"/>
      <c r="FA51" s="78"/>
      <c r="FB51" s="78"/>
      <c r="FC51" s="78"/>
      <c r="FD51" s="78"/>
      <c r="FE51" s="93"/>
      <c r="FF51" s="166"/>
      <c r="FG51" s="78"/>
      <c r="FH51" s="598"/>
      <c r="FI51" s="310">
        <f t="shared" si="65"/>
        <v>58</v>
      </c>
      <c r="FJ51" s="2">
        <f t="shared" si="138"/>
        <v>58</v>
      </c>
      <c r="FK51" s="166"/>
      <c r="FL51" s="78"/>
      <c r="FM51" s="78"/>
      <c r="FN51" s="78"/>
      <c r="FO51" s="78"/>
      <c r="FP51" s="78"/>
      <c r="FQ51" s="78"/>
      <c r="FR51" s="78"/>
      <c r="FS51" s="93"/>
      <c r="FT51" s="78"/>
      <c r="FU51" s="78"/>
      <c r="FV51" s="78"/>
      <c r="FW51" s="78"/>
      <c r="FX51" s="78"/>
      <c r="FY51" s="78"/>
      <c r="FZ51" s="102"/>
      <c r="GA51" s="102"/>
      <c r="GB51" s="102"/>
      <c r="GC51" s="102"/>
      <c r="GD51" s="102"/>
      <c r="GE51" s="102"/>
      <c r="GF51" s="102"/>
      <c r="GG51" s="102"/>
      <c r="GH51" s="102"/>
      <c r="GI51" s="102"/>
      <c r="GJ51" s="102"/>
      <c r="GK51" s="1162">
        <f>DataUK4!X204+DataUK4!AH204</f>
        <v>6.3000000000000114</v>
      </c>
      <c r="GL51" s="102"/>
      <c r="GM51" s="102"/>
      <c r="GN51" s="102"/>
      <c r="GO51" s="102"/>
      <c r="GP51" s="310">
        <f t="shared" si="139"/>
        <v>24.212903225806443</v>
      </c>
      <c r="GQ51" s="102"/>
      <c r="GR51" s="102"/>
      <c r="GS51" s="102"/>
      <c r="GT51" s="102"/>
      <c r="GU51" s="991">
        <f t="shared" si="68"/>
        <v>-17.912903225806431</v>
      </c>
      <c r="GW51" s="1063">
        <f>DataUK4!D204+DataUK4!F204</f>
        <v>17</v>
      </c>
      <c r="GX51" s="102"/>
      <c r="GY51" s="615">
        <f t="shared" si="69"/>
        <v>14.263157894736855</v>
      </c>
      <c r="GZ51" s="102"/>
      <c r="HA51" s="102"/>
      <c r="HB51" s="102"/>
      <c r="HC51" s="101"/>
      <c r="HD51" s="170">
        <f t="shared" si="92"/>
        <v>95</v>
      </c>
      <c r="HE51" s="301">
        <f t="shared" si="93"/>
        <v>102</v>
      </c>
      <c r="HF51" s="301">
        <f t="shared" si="94"/>
        <v>7</v>
      </c>
      <c r="HG51" s="170">
        <f t="shared" si="71"/>
        <v>0</v>
      </c>
      <c r="HH51" s="301">
        <v>0</v>
      </c>
      <c r="HI51" s="301">
        <v>0</v>
      </c>
      <c r="HJ51" s="2">
        <v>0</v>
      </c>
      <c r="HK51" s="2">
        <v>0</v>
      </c>
      <c r="HL51" s="2">
        <v>0</v>
      </c>
      <c r="HM51" s="2">
        <f t="shared" si="72"/>
        <v>0</v>
      </c>
      <c r="HN51" s="2">
        <v>0</v>
      </c>
      <c r="HO51" s="2">
        <v>0</v>
      </c>
      <c r="HP51" s="2">
        <v>0</v>
      </c>
      <c r="HQ51" s="2">
        <v>0</v>
      </c>
      <c r="HR51" s="2">
        <v>0</v>
      </c>
      <c r="HS51" s="1052">
        <v>0</v>
      </c>
      <c r="HT51" s="1001">
        <v>8.8000000000000007</v>
      </c>
      <c r="HU51" s="1002">
        <f t="shared" si="73"/>
        <v>1.0752411575562699</v>
      </c>
      <c r="HV51" s="1002">
        <f t="shared" si="74"/>
        <v>1.2450160771704182</v>
      </c>
    </row>
    <row r="52" spans="1:230" ht="12" customHeight="1">
      <c r="A52" s="79">
        <f t="shared" si="0"/>
        <v>1894</v>
      </c>
      <c r="B52" s="176">
        <f t="shared" si="1"/>
        <v>1464</v>
      </c>
      <c r="C52" s="177">
        <f t="shared" si="2"/>
        <v>93</v>
      </c>
      <c r="D52" s="176">
        <f t="shared" si="100"/>
        <v>1371</v>
      </c>
      <c r="E52" s="154">
        <f t="shared" si="101"/>
        <v>1435</v>
      </c>
      <c r="F52" s="995">
        <f t="shared" si="5"/>
        <v>64</v>
      </c>
      <c r="G52" s="531">
        <f t="shared" si="102"/>
        <v>1542</v>
      </c>
      <c r="H52" s="531">
        <f t="shared" si="103"/>
        <v>1449</v>
      </c>
      <c r="I52" s="531">
        <f t="shared" si="104"/>
        <v>1513</v>
      </c>
      <c r="J52" s="548">
        <f t="shared" si="105"/>
        <v>0.9484467944481163</v>
      </c>
      <c r="K52" s="515">
        <f t="shared" si="87"/>
        <v>102</v>
      </c>
      <c r="L52" s="175">
        <v>102</v>
      </c>
      <c r="M52" s="175">
        <v>0</v>
      </c>
      <c r="N52" s="78"/>
      <c r="O52" s="78"/>
      <c r="P52" s="78"/>
      <c r="Q52" s="78"/>
      <c r="R52" s="78"/>
      <c r="S52" s="532">
        <f t="shared" si="88"/>
        <v>7.4889867841409691E-2</v>
      </c>
      <c r="T52" s="1008">
        <f t="shared" si="13"/>
        <v>110.75000000000001</v>
      </c>
      <c r="U52" s="1010">
        <f t="shared" si="14"/>
        <v>110.75000000000001</v>
      </c>
      <c r="V52" s="511">
        <f t="shared" si="15"/>
        <v>125.10000000000001</v>
      </c>
      <c r="W52" s="2">
        <f t="shared" si="16"/>
        <v>125.10000000000001</v>
      </c>
      <c r="X52" s="169">
        <f t="shared" si="106"/>
        <v>14.35</v>
      </c>
      <c r="Y52" s="113">
        <f t="shared" si="18"/>
        <v>0.11470823341326937</v>
      </c>
      <c r="Z52" s="113">
        <f t="shared" si="19"/>
        <v>0.11470823341326937</v>
      </c>
      <c r="AA52" s="78"/>
      <c r="AB52" s="1019">
        <v>0.01</v>
      </c>
      <c r="AC52" s="78"/>
      <c r="AD52" s="78"/>
      <c r="AE52" s="78"/>
      <c r="AF52" s="78"/>
      <c r="AG52" s="78"/>
      <c r="AH52" s="78"/>
      <c r="AI52" s="78"/>
      <c r="AJ52" s="171">
        <f t="shared" si="107"/>
        <v>477.12741147282162</v>
      </c>
      <c r="AK52" s="1026">
        <f t="shared" si="108"/>
        <v>114.95</v>
      </c>
      <c r="AL52" s="169">
        <f t="shared" si="109"/>
        <v>502.23938049770697</v>
      </c>
      <c r="AM52" s="169">
        <f t="shared" si="75"/>
        <v>121</v>
      </c>
      <c r="AN52" s="169">
        <f t="shared" si="110"/>
        <v>297.88803097511465</v>
      </c>
      <c r="AO52" s="1027">
        <f t="shared" si="140"/>
        <v>323</v>
      </c>
      <c r="AP52" s="175">
        <v>184</v>
      </c>
      <c r="AQ52" s="175">
        <v>45</v>
      </c>
      <c r="AR52" s="78">
        <f t="shared" si="76"/>
        <v>139</v>
      </c>
      <c r="AS52" s="78">
        <v>278</v>
      </c>
      <c r="AT52" s="78">
        <v>22</v>
      </c>
      <c r="AU52" s="78">
        <v>256</v>
      </c>
      <c r="AV52" s="78"/>
      <c r="AW52" s="175">
        <f t="shared" si="143"/>
        <v>143</v>
      </c>
      <c r="AX52" s="78">
        <v>143</v>
      </c>
      <c r="AY52" s="78"/>
      <c r="AZ52" s="169">
        <v>6</v>
      </c>
      <c r="BA52" s="113">
        <f t="shared" si="141"/>
        <v>0.25286448044251286</v>
      </c>
      <c r="BB52" s="169"/>
      <c r="BC52" s="78"/>
      <c r="BD52" s="78"/>
      <c r="BE52" s="78"/>
      <c r="BF52" s="169"/>
      <c r="BG52" s="78"/>
      <c r="BH52" s="78"/>
      <c r="BI52" s="166">
        <v>722</v>
      </c>
      <c r="BJ52" s="2">
        <f t="shared" si="111"/>
        <v>722</v>
      </c>
      <c r="BK52" s="175">
        <v>54</v>
      </c>
      <c r="BL52" s="169">
        <f t="shared" si="112"/>
        <v>121</v>
      </c>
      <c r="BM52" s="1031">
        <f t="shared" si="113"/>
        <v>179.23938049770695</v>
      </c>
      <c r="BN52" s="310">
        <f t="shared" si="114"/>
        <v>125.23938049770695</v>
      </c>
      <c r="BO52" s="262">
        <f t="shared" si="115"/>
        <v>0.20347543099393076</v>
      </c>
      <c r="BP52" s="262">
        <f t="shared" si="116"/>
        <v>0.22062841530054644</v>
      </c>
      <c r="BQ52" s="262">
        <f t="shared" si="117"/>
        <v>0.12243127083176704</v>
      </c>
      <c r="BR52" s="262">
        <f t="shared" si="118"/>
        <v>0.2482539896090124</v>
      </c>
      <c r="BS52" s="988">
        <f t="shared" si="99"/>
        <v>0.55492068265543948</v>
      </c>
      <c r="BT52" s="534">
        <f t="shared" si="119"/>
        <v>25.111969024885351</v>
      </c>
      <c r="BU52" s="534">
        <f t="shared" si="120"/>
        <v>6.0500000000000007</v>
      </c>
      <c r="BV52" s="113">
        <v>0.05</v>
      </c>
      <c r="BW52" s="276">
        <f t="shared" si="121"/>
        <v>1.7499629982498502E-2</v>
      </c>
      <c r="BX52" s="272">
        <f t="shared" si="122"/>
        <v>39.461969024885349</v>
      </c>
      <c r="BY52" s="78"/>
      <c r="BZ52" s="1034"/>
      <c r="CA52" s="1037"/>
      <c r="CB52" s="2">
        <f t="shared" si="123"/>
        <v>1362</v>
      </c>
      <c r="CC52" s="2">
        <f t="shared" si="95"/>
        <v>1464</v>
      </c>
      <c r="CD52" s="310">
        <f t="shared" si="124"/>
        <v>1464</v>
      </c>
      <c r="CE52" s="310">
        <f t="shared" si="125"/>
        <v>1371</v>
      </c>
      <c r="CF52" s="78"/>
      <c r="CG52" s="78"/>
      <c r="CH52" s="78"/>
      <c r="CI52" s="78">
        <v>64</v>
      </c>
      <c r="CJ52" s="78"/>
      <c r="CK52" s="78"/>
      <c r="CL52" s="517">
        <f t="shared" si="126"/>
        <v>626.5225885271783</v>
      </c>
      <c r="CM52" s="169">
        <f t="shared" si="127"/>
        <v>645.06061950229298</v>
      </c>
      <c r="CN52" s="170">
        <f t="shared" si="43"/>
        <v>156.89999999999998</v>
      </c>
      <c r="CO52" s="170">
        <f t="shared" si="128"/>
        <v>156.89999999999998</v>
      </c>
      <c r="CP52" s="170">
        <f t="shared" si="129"/>
        <v>488.160619502293</v>
      </c>
      <c r="CQ52" s="170">
        <f t="shared" si="130"/>
        <v>18.538030975114648</v>
      </c>
      <c r="CR52" s="170"/>
      <c r="CS52" s="113">
        <f t="shared" si="131"/>
        <v>1.2918488484400451E-2</v>
      </c>
      <c r="CT52" s="78"/>
      <c r="CU52" s="78"/>
      <c r="CV52" s="78"/>
      <c r="CW52" s="78"/>
      <c r="CX52" s="78"/>
      <c r="CY52" s="78"/>
      <c r="CZ52" s="78"/>
      <c r="DA52" s="78"/>
      <c r="DB52" s="78"/>
      <c r="DC52" s="78"/>
      <c r="DD52" s="78"/>
      <c r="DE52" s="78"/>
      <c r="DF52" s="78"/>
      <c r="DG52" s="78"/>
      <c r="DH52" s="516">
        <f t="shared" si="48"/>
        <v>54.6</v>
      </c>
      <c r="DI52" s="2">
        <f t="shared" si="49"/>
        <v>60.6</v>
      </c>
      <c r="DJ52" s="169">
        <f t="shared" si="50"/>
        <v>54.6</v>
      </c>
      <c r="DK52" s="169">
        <f t="shared" si="142"/>
        <v>6</v>
      </c>
      <c r="DL52" s="113">
        <f t="shared" si="132"/>
        <v>3.7295081967213116E-2</v>
      </c>
      <c r="DM52" s="113">
        <f t="shared" si="133"/>
        <v>7.562326869806095E-2</v>
      </c>
      <c r="DN52" s="113">
        <v>0.6</v>
      </c>
      <c r="DO52" s="78"/>
      <c r="DP52" s="78"/>
      <c r="DQ52" s="166">
        <v>91</v>
      </c>
      <c r="DR52" s="78"/>
      <c r="DS52" s="78"/>
      <c r="DT52" s="78">
        <f t="shared" si="96"/>
        <v>91</v>
      </c>
      <c r="DU52" s="175">
        <f t="shared" si="97"/>
        <v>1301.9887096774194</v>
      </c>
      <c r="DV52" s="175">
        <v>1336</v>
      </c>
      <c r="DW52" s="170">
        <f t="shared" si="134"/>
        <v>163.01129032258061</v>
      </c>
      <c r="DX52" s="534">
        <f t="shared" si="89"/>
        <v>133.01129032258061</v>
      </c>
      <c r="DY52" s="534">
        <f t="shared" si="90"/>
        <v>110.17096774193546</v>
      </c>
      <c r="DZ52" s="386">
        <f t="shared" si="144"/>
        <v>1.3435483870967739</v>
      </c>
      <c r="EA52" s="78">
        <v>99</v>
      </c>
      <c r="EB52" s="78">
        <v>82</v>
      </c>
      <c r="EC52" s="175">
        <f t="shared" si="82"/>
        <v>22.84032258064515</v>
      </c>
      <c r="ED52" s="175">
        <v>0</v>
      </c>
      <c r="EE52" s="175">
        <f t="shared" si="135"/>
        <v>22.84032258064515</v>
      </c>
      <c r="EF52" s="175"/>
      <c r="EG52" s="78">
        <v>30</v>
      </c>
      <c r="EH52" s="78">
        <f t="shared" si="136"/>
        <v>69.011290322580606</v>
      </c>
      <c r="EI52" s="78">
        <v>363</v>
      </c>
      <c r="EJ52" s="78">
        <v>406</v>
      </c>
      <c r="EK52" s="78"/>
      <c r="EL52" s="78"/>
      <c r="EM52" s="78"/>
      <c r="EN52" s="78"/>
      <c r="EO52" s="78">
        <v>463</v>
      </c>
      <c r="EP52" s="78">
        <v>413</v>
      </c>
      <c r="EQ52" s="175">
        <f t="shared" si="91"/>
        <v>1513</v>
      </c>
      <c r="ER52" s="2">
        <f t="shared" si="137"/>
        <v>1435</v>
      </c>
      <c r="ES52" s="262">
        <f t="shared" si="98"/>
        <v>0.9484467944481163</v>
      </c>
      <c r="ET52" s="262"/>
      <c r="EU52" s="262"/>
      <c r="EV52" s="262"/>
      <c r="EW52" s="78"/>
      <c r="EX52" s="78"/>
      <c r="EY52" s="166"/>
      <c r="EZ52" s="78"/>
      <c r="FA52" s="78"/>
      <c r="FB52" s="78"/>
      <c r="FC52" s="78"/>
      <c r="FD52" s="78"/>
      <c r="FE52" s="93"/>
      <c r="FF52" s="166"/>
      <c r="FG52" s="78"/>
      <c r="FH52" s="598"/>
      <c r="FI52" s="310">
        <f t="shared" si="65"/>
        <v>50</v>
      </c>
      <c r="FJ52" s="2">
        <f t="shared" si="138"/>
        <v>50</v>
      </c>
      <c r="FK52" s="166"/>
      <c r="FL52" s="78"/>
      <c r="FM52" s="78"/>
      <c r="FN52" s="78"/>
      <c r="FO52" s="78"/>
      <c r="FP52" s="78"/>
      <c r="FQ52" s="78"/>
      <c r="FR52" s="78"/>
      <c r="FS52" s="93"/>
      <c r="FT52" s="78"/>
      <c r="FU52" s="78"/>
      <c r="FV52" s="78"/>
      <c r="FW52" s="78"/>
      <c r="FX52" s="78"/>
      <c r="FY52" s="78"/>
      <c r="FZ52" s="102"/>
      <c r="GA52" s="102"/>
      <c r="GB52" s="102"/>
      <c r="GC52" s="102"/>
      <c r="GD52" s="102"/>
      <c r="GE52" s="102"/>
      <c r="GF52" s="102"/>
      <c r="GG52" s="102"/>
      <c r="GH52" s="102"/>
      <c r="GI52" s="102"/>
      <c r="GJ52" s="102"/>
      <c r="GK52" s="1162">
        <f>DataUK4!X205+DataUK4!AH205</f>
        <v>7.2999999999999972</v>
      </c>
      <c r="GL52" s="102"/>
      <c r="GM52" s="102"/>
      <c r="GN52" s="102"/>
      <c r="GO52" s="102"/>
      <c r="GP52" s="310">
        <f t="shared" si="139"/>
        <v>22.84032258064515</v>
      </c>
      <c r="GQ52" s="102"/>
      <c r="GR52" s="102"/>
      <c r="GS52" s="102"/>
      <c r="GT52" s="102"/>
      <c r="GU52" s="991">
        <f t="shared" si="68"/>
        <v>-15.540322580645153</v>
      </c>
      <c r="GW52" s="1063">
        <f>DataUK4!D205+DataUK4!F205</f>
        <v>16.899999999999999</v>
      </c>
      <c r="GX52" s="102"/>
      <c r="GY52" s="615">
        <f t="shared" si="69"/>
        <v>14.179256965944283</v>
      </c>
      <c r="GZ52" s="102"/>
      <c r="HA52" s="102"/>
      <c r="HB52" s="102"/>
      <c r="HC52" s="101"/>
      <c r="HD52" s="170">
        <f t="shared" si="92"/>
        <v>93</v>
      </c>
      <c r="HE52" s="301">
        <f t="shared" si="93"/>
        <v>100</v>
      </c>
      <c r="HF52" s="301">
        <f t="shared" si="94"/>
        <v>7</v>
      </c>
      <c r="HG52" s="170">
        <f t="shared" si="71"/>
        <v>0</v>
      </c>
      <c r="HH52" s="301">
        <v>0</v>
      </c>
      <c r="HI52" s="301">
        <v>0</v>
      </c>
      <c r="HJ52" s="2">
        <v>0</v>
      </c>
      <c r="HK52" s="2">
        <v>0</v>
      </c>
      <c r="HL52" s="2">
        <v>0</v>
      </c>
      <c r="HM52" s="2">
        <f t="shared" si="72"/>
        <v>0</v>
      </c>
      <c r="HN52" s="2">
        <v>0</v>
      </c>
      <c r="HO52" s="2">
        <v>0</v>
      </c>
      <c r="HP52" s="2">
        <v>0</v>
      </c>
      <c r="HQ52" s="2">
        <v>0</v>
      </c>
      <c r="HR52" s="2">
        <v>0</v>
      </c>
      <c r="HS52" s="1052">
        <v>0</v>
      </c>
      <c r="HT52" s="1001">
        <v>8.6999999999999993</v>
      </c>
      <c r="HU52" s="1002">
        <f t="shared" si="73"/>
        <v>1.0630225080385851</v>
      </c>
      <c r="HV52" s="1002">
        <f t="shared" si="74"/>
        <v>1.2308681672025723</v>
      </c>
    </row>
    <row r="53" spans="1:230" ht="12" customHeight="1">
      <c r="A53" s="79">
        <f>A54-1</f>
        <v>1895</v>
      </c>
      <c r="B53" s="176">
        <f t="shared" si="1"/>
        <v>1501.9999999999998</v>
      </c>
      <c r="C53" s="177">
        <f t="shared" si="2"/>
        <v>94</v>
      </c>
      <c r="D53" s="176">
        <f t="shared" si="100"/>
        <v>1407.9999999999998</v>
      </c>
      <c r="E53" s="154">
        <f t="shared" si="101"/>
        <v>1472</v>
      </c>
      <c r="F53" s="995">
        <f t="shared" si="5"/>
        <v>64</v>
      </c>
      <c r="G53" s="531">
        <f t="shared" si="102"/>
        <v>1573</v>
      </c>
      <c r="H53" s="531">
        <f t="shared" si="103"/>
        <v>1479</v>
      </c>
      <c r="I53" s="531">
        <f t="shared" si="104"/>
        <v>1543</v>
      </c>
      <c r="J53" s="548">
        <f t="shared" si="105"/>
        <v>0.95398574206092024</v>
      </c>
      <c r="K53" s="515">
        <f t="shared" si="87"/>
        <v>107</v>
      </c>
      <c r="L53" s="175">
        <v>107</v>
      </c>
      <c r="M53" s="175">
        <v>0</v>
      </c>
      <c r="N53" s="78"/>
      <c r="O53" s="78"/>
      <c r="P53" s="78"/>
      <c r="Q53" s="78"/>
      <c r="R53" s="78"/>
      <c r="S53" s="532">
        <f t="shared" si="88"/>
        <v>7.6702508960573471E-2</v>
      </c>
      <c r="T53" s="1008">
        <f t="shared" si="13"/>
        <v>115.78</v>
      </c>
      <c r="U53" s="1010">
        <f t="shared" si="14"/>
        <v>115.78</v>
      </c>
      <c r="V53" s="511">
        <f t="shared" si="15"/>
        <v>130.5</v>
      </c>
      <c r="W53" s="2">
        <f t="shared" si="16"/>
        <v>130.5</v>
      </c>
      <c r="X53" s="169">
        <f t="shared" si="106"/>
        <v>14.72</v>
      </c>
      <c r="Y53" s="113">
        <f t="shared" si="18"/>
        <v>0.11279693486590039</v>
      </c>
      <c r="Z53" s="113">
        <f t="shared" si="19"/>
        <v>0.11279693486590039</v>
      </c>
      <c r="AA53" s="78"/>
      <c r="AB53" s="1019">
        <v>0.01</v>
      </c>
      <c r="AC53" s="78"/>
      <c r="AD53" s="78"/>
      <c r="AE53" s="78"/>
      <c r="AF53" s="78"/>
      <c r="AG53" s="78"/>
      <c r="AH53" s="78"/>
      <c r="AI53" s="78"/>
      <c r="AJ53" s="171">
        <f t="shared" si="107"/>
        <v>480.08176076986695</v>
      </c>
      <c r="AK53" s="1026">
        <f t="shared" si="108"/>
        <v>115.9</v>
      </c>
      <c r="AL53" s="169">
        <f t="shared" si="109"/>
        <v>505.34922186301782</v>
      </c>
      <c r="AM53" s="169">
        <f t="shared" si="75"/>
        <v>122</v>
      </c>
      <c r="AN53" s="169">
        <f t="shared" si="110"/>
        <v>299.73253890684913</v>
      </c>
      <c r="AO53" s="1027">
        <f t="shared" si="140"/>
        <v>325</v>
      </c>
      <c r="AP53" s="175">
        <v>189</v>
      </c>
      <c r="AQ53" s="175">
        <v>44</v>
      </c>
      <c r="AR53" s="78">
        <f t="shared" si="76"/>
        <v>145</v>
      </c>
      <c r="AS53" s="78">
        <v>281</v>
      </c>
      <c r="AT53" s="78">
        <v>24</v>
      </c>
      <c r="AU53" s="78">
        <v>257</v>
      </c>
      <c r="AV53" s="78"/>
      <c r="AW53" s="175">
        <f t="shared" si="143"/>
        <v>152</v>
      </c>
      <c r="AX53" s="78">
        <v>152</v>
      </c>
      <c r="AY53" s="78"/>
      <c r="AZ53" s="169">
        <v>6</v>
      </c>
      <c r="BA53" s="113">
        <f t="shared" si="141"/>
        <v>0.2485974076223641</v>
      </c>
      <c r="BB53" s="169"/>
      <c r="BC53" s="78"/>
      <c r="BD53" s="78"/>
      <c r="BE53" s="78"/>
      <c r="BF53" s="169"/>
      <c r="BG53" s="78"/>
      <c r="BH53" s="78"/>
      <c r="BI53" s="166">
        <v>737</v>
      </c>
      <c r="BJ53" s="2">
        <f t="shared" si="111"/>
        <v>737</v>
      </c>
      <c r="BK53" s="175">
        <v>54</v>
      </c>
      <c r="BL53" s="169">
        <f t="shared" si="112"/>
        <v>122</v>
      </c>
      <c r="BM53" s="1031">
        <f t="shared" si="113"/>
        <v>180.34922186301782</v>
      </c>
      <c r="BN53" s="310">
        <f t="shared" si="114"/>
        <v>126.34922186301782</v>
      </c>
      <c r="BO53" s="262">
        <f t="shared" si="115"/>
        <v>0.19955561844663725</v>
      </c>
      <c r="BP53" s="262">
        <f t="shared" si="116"/>
        <v>0.21637816245006658</v>
      </c>
      <c r="BQ53" s="262">
        <f t="shared" si="117"/>
        <v>0.12007271761852052</v>
      </c>
      <c r="BR53" s="262">
        <f t="shared" si="118"/>
        <v>0.24470722098102823</v>
      </c>
      <c r="BS53" s="988">
        <f t="shared" si="99"/>
        <v>0.55492068265543948</v>
      </c>
      <c r="BT53" s="534">
        <f t="shared" si="119"/>
        <v>25.267461093150892</v>
      </c>
      <c r="BU53" s="534">
        <f t="shared" si="120"/>
        <v>6.1000000000000005</v>
      </c>
      <c r="BV53" s="113">
        <v>0.05</v>
      </c>
      <c r="BW53" s="276">
        <f t="shared" si="121"/>
        <v>1.7165394764368812E-2</v>
      </c>
      <c r="BX53" s="272">
        <f t="shared" si="122"/>
        <v>39.987461093150891</v>
      </c>
      <c r="BY53" s="78"/>
      <c r="BZ53" s="1034"/>
      <c r="CA53" s="1037"/>
      <c r="CB53" s="2">
        <f t="shared" si="123"/>
        <v>1395</v>
      </c>
      <c r="CC53" s="2">
        <f t="shared" si="95"/>
        <v>1502</v>
      </c>
      <c r="CD53" s="310">
        <f t="shared" si="124"/>
        <v>1502</v>
      </c>
      <c r="CE53" s="310">
        <f t="shared" si="125"/>
        <v>1408</v>
      </c>
      <c r="CF53" s="78"/>
      <c r="CG53" s="78"/>
      <c r="CH53" s="78"/>
      <c r="CI53" s="78">
        <v>64</v>
      </c>
      <c r="CJ53" s="78"/>
      <c r="CK53" s="78"/>
      <c r="CL53" s="517">
        <f t="shared" si="126"/>
        <v>646.93823923013292</v>
      </c>
      <c r="CM53" s="169">
        <f t="shared" si="127"/>
        <v>664.95077813698208</v>
      </c>
      <c r="CN53" s="170">
        <f t="shared" si="43"/>
        <v>166.5</v>
      </c>
      <c r="CO53" s="170">
        <f t="shared" si="128"/>
        <v>166.5</v>
      </c>
      <c r="CP53" s="170">
        <f t="shared" si="129"/>
        <v>498.45077813698214</v>
      </c>
      <c r="CQ53" s="170">
        <f t="shared" si="130"/>
        <v>18.012538906849109</v>
      </c>
      <c r="CR53" s="170"/>
      <c r="CS53" s="113">
        <f t="shared" si="131"/>
        <v>1.2236779148674666E-2</v>
      </c>
      <c r="CT53" s="78"/>
      <c r="CU53" s="78"/>
      <c r="CV53" s="78"/>
      <c r="CW53" s="78"/>
      <c r="CX53" s="78"/>
      <c r="CY53" s="78"/>
      <c r="CZ53" s="78"/>
      <c r="DA53" s="78"/>
      <c r="DB53" s="78"/>
      <c r="DC53" s="78"/>
      <c r="DD53" s="78"/>
      <c r="DE53" s="78"/>
      <c r="DF53" s="78"/>
      <c r="DG53" s="78"/>
      <c r="DH53" s="516">
        <f t="shared" si="48"/>
        <v>58.199999999999989</v>
      </c>
      <c r="DI53" s="2">
        <f t="shared" si="49"/>
        <v>64.199999999999989</v>
      </c>
      <c r="DJ53" s="169">
        <f t="shared" si="50"/>
        <v>58.199999999999996</v>
      </c>
      <c r="DK53" s="169">
        <f t="shared" si="142"/>
        <v>6</v>
      </c>
      <c r="DL53" s="113">
        <f t="shared" si="132"/>
        <v>3.8748335552596533E-2</v>
      </c>
      <c r="DM53" s="113">
        <f t="shared" si="133"/>
        <v>7.8968792401628213E-2</v>
      </c>
      <c r="DN53" s="113">
        <v>0.6</v>
      </c>
      <c r="DO53" s="78"/>
      <c r="DP53" s="78"/>
      <c r="DQ53" s="166">
        <v>97</v>
      </c>
      <c r="DR53" s="78"/>
      <c r="DS53" s="78"/>
      <c r="DT53" s="78">
        <f t="shared" si="96"/>
        <v>97</v>
      </c>
      <c r="DU53" s="175">
        <f t="shared" si="97"/>
        <v>1321.1483870967743</v>
      </c>
      <c r="DV53" s="175">
        <v>1355</v>
      </c>
      <c r="DW53" s="170">
        <f t="shared" si="134"/>
        <v>162.85161290322577</v>
      </c>
      <c r="DX53" s="534">
        <f t="shared" si="89"/>
        <v>132.85161290322577</v>
      </c>
      <c r="DY53" s="534">
        <f t="shared" si="90"/>
        <v>110.03870967741932</v>
      </c>
      <c r="DZ53" s="386">
        <f t="shared" si="144"/>
        <v>1.3419354838709674</v>
      </c>
      <c r="EA53" s="78">
        <v>99</v>
      </c>
      <c r="EB53" s="78">
        <v>82</v>
      </c>
      <c r="EC53" s="175">
        <f t="shared" si="82"/>
        <v>22.812903225806451</v>
      </c>
      <c r="ED53" s="175">
        <v>0</v>
      </c>
      <c r="EE53" s="175">
        <f t="shared" si="135"/>
        <v>22.812903225806451</v>
      </c>
      <c r="EF53" s="175"/>
      <c r="EG53" s="78">
        <v>30</v>
      </c>
      <c r="EH53" s="78">
        <f t="shared" si="136"/>
        <v>68.851612903225771</v>
      </c>
      <c r="EI53" s="78">
        <v>375</v>
      </c>
      <c r="EJ53" s="78">
        <v>413</v>
      </c>
      <c r="EK53" s="78"/>
      <c r="EL53" s="78"/>
      <c r="EM53" s="78"/>
      <c r="EN53" s="78"/>
      <c r="EO53" s="78">
        <v>476</v>
      </c>
      <c r="EP53" s="78">
        <v>420</v>
      </c>
      <c r="EQ53" s="175">
        <f t="shared" si="91"/>
        <v>1543</v>
      </c>
      <c r="ER53" s="2">
        <f t="shared" si="137"/>
        <v>1472</v>
      </c>
      <c r="ES53" s="262">
        <f t="shared" si="98"/>
        <v>0.95398574206092024</v>
      </c>
      <c r="ET53" s="262"/>
      <c r="EU53" s="262"/>
      <c r="EV53" s="262"/>
      <c r="EW53" s="78"/>
      <c r="EX53" s="78"/>
      <c r="EY53" s="166"/>
      <c r="EZ53" s="78"/>
      <c r="FA53" s="78"/>
      <c r="FB53" s="78"/>
      <c r="FC53" s="78"/>
      <c r="FD53" s="78"/>
      <c r="FE53" s="93"/>
      <c r="FF53" s="166"/>
      <c r="FG53" s="78"/>
      <c r="FH53" s="598"/>
      <c r="FI53" s="310">
        <f t="shared" si="65"/>
        <v>56</v>
      </c>
      <c r="FJ53" s="2">
        <f t="shared" si="138"/>
        <v>56</v>
      </c>
      <c r="FK53" s="166"/>
      <c r="FL53" s="78"/>
      <c r="FM53" s="78"/>
      <c r="FN53" s="78"/>
      <c r="FO53" s="78"/>
      <c r="FP53" s="78"/>
      <c r="FQ53" s="78"/>
      <c r="FR53" s="78"/>
      <c r="FS53" s="93"/>
      <c r="FT53" s="78"/>
      <c r="FU53" s="78"/>
      <c r="FV53" s="78"/>
      <c r="FW53" s="78"/>
      <c r="FX53" s="78"/>
      <c r="FY53" s="78"/>
      <c r="FZ53" s="102"/>
      <c r="GA53" s="102"/>
      <c r="GB53" s="102"/>
      <c r="GC53" s="102"/>
      <c r="GD53" s="102"/>
      <c r="GE53" s="102"/>
      <c r="GF53" s="102"/>
      <c r="GG53" s="102"/>
      <c r="GH53" s="102"/>
      <c r="GI53" s="102"/>
      <c r="GJ53" s="102"/>
      <c r="GK53" s="1162">
        <f>DataUK4!X206+DataUK4!AH206</f>
        <v>10.700000000000017</v>
      </c>
      <c r="GL53" s="102"/>
      <c r="GM53" s="102"/>
      <c r="GN53" s="102"/>
      <c r="GO53" s="102"/>
      <c r="GP53" s="310">
        <f t="shared" si="139"/>
        <v>22.812903225806451</v>
      </c>
      <c r="GQ53" s="102"/>
      <c r="GR53" s="102"/>
      <c r="GS53" s="102"/>
      <c r="GT53" s="102"/>
      <c r="GU53" s="991">
        <f t="shared" si="68"/>
        <v>-12.112903225806434</v>
      </c>
      <c r="GW53" s="1063">
        <f>DataUK4!D206+DataUK4!F206</f>
        <v>16.399999999999999</v>
      </c>
      <c r="GX53" s="102"/>
      <c r="GY53" s="615">
        <f t="shared" si="69"/>
        <v>13.759752321981434</v>
      </c>
      <c r="GZ53" s="102"/>
      <c r="HA53" s="102"/>
      <c r="HB53" s="102"/>
      <c r="HC53" s="101"/>
      <c r="HD53" s="170">
        <f t="shared" si="92"/>
        <v>94</v>
      </c>
      <c r="HE53" s="301">
        <f t="shared" si="93"/>
        <v>101</v>
      </c>
      <c r="HF53" s="301">
        <f t="shared" si="94"/>
        <v>7</v>
      </c>
      <c r="HG53" s="170">
        <f t="shared" si="71"/>
        <v>0</v>
      </c>
      <c r="HH53" s="301">
        <v>0</v>
      </c>
      <c r="HI53" s="301">
        <v>0</v>
      </c>
      <c r="HJ53" s="2">
        <v>0</v>
      </c>
      <c r="HK53" s="2">
        <v>0</v>
      </c>
      <c r="HL53" s="2">
        <v>0</v>
      </c>
      <c r="HM53" s="2">
        <f t="shared" si="72"/>
        <v>0</v>
      </c>
      <c r="HN53" s="2">
        <v>0</v>
      </c>
      <c r="HO53" s="2">
        <v>0</v>
      </c>
      <c r="HP53" s="2">
        <v>0</v>
      </c>
      <c r="HQ53" s="2">
        <v>0</v>
      </c>
      <c r="HR53" s="2">
        <v>0</v>
      </c>
      <c r="HS53" s="1052">
        <v>0</v>
      </c>
      <c r="HT53" s="1001">
        <v>8.6</v>
      </c>
      <c r="HU53" s="1002">
        <f t="shared" si="73"/>
        <v>1.0508038585209003</v>
      </c>
      <c r="HV53" s="1002">
        <f t="shared" si="74"/>
        <v>1.2167202572347267</v>
      </c>
    </row>
    <row r="54" spans="1:230" ht="12" customHeight="1">
      <c r="A54" s="110">
        <v>1896</v>
      </c>
      <c r="B54" s="176">
        <f t="shared" si="1"/>
        <v>1542</v>
      </c>
      <c r="C54" s="177">
        <f t="shared" ref="C54:C118" si="145">HD54+HG54+HJ54</f>
        <v>96</v>
      </c>
      <c r="D54" s="176">
        <f t="shared" si="100"/>
        <v>1446</v>
      </c>
      <c r="E54" s="154">
        <f t="shared" si="101"/>
        <v>1512</v>
      </c>
      <c r="F54" s="995">
        <f t="shared" si="5"/>
        <v>66</v>
      </c>
      <c r="G54" s="531">
        <f t="shared" si="102"/>
        <v>1641</v>
      </c>
      <c r="H54" s="531">
        <f t="shared" si="103"/>
        <v>1545</v>
      </c>
      <c r="I54" s="531">
        <f t="shared" si="104"/>
        <v>1611</v>
      </c>
      <c r="J54" s="548">
        <f t="shared" si="105"/>
        <v>0.93854748603351956</v>
      </c>
      <c r="K54" s="515">
        <f t="shared" si="87"/>
        <v>111</v>
      </c>
      <c r="L54" s="175">
        <v>111</v>
      </c>
      <c r="M54" s="175">
        <v>0</v>
      </c>
      <c r="N54" s="111"/>
      <c r="O54" s="111"/>
      <c r="P54" s="111"/>
      <c r="Q54" s="111"/>
      <c r="R54" s="111"/>
      <c r="S54" s="532">
        <f t="shared" si="88"/>
        <v>7.7568134171907763E-2</v>
      </c>
      <c r="T54" s="1008">
        <f t="shared" si="13"/>
        <v>118.97999999999999</v>
      </c>
      <c r="U54" s="1010">
        <f t="shared" si="14"/>
        <v>118.97999999999999</v>
      </c>
      <c r="V54" s="511">
        <f t="shared" si="15"/>
        <v>134.1</v>
      </c>
      <c r="W54" s="2">
        <f t="shared" si="16"/>
        <v>134.1</v>
      </c>
      <c r="X54" s="169">
        <f t="shared" si="106"/>
        <v>15.120000000000001</v>
      </c>
      <c r="Y54" s="113">
        <f t="shared" si="18"/>
        <v>0.11275167785234901</v>
      </c>
      <c r="Z54" s="113">
        <f t="shared" si="19"/>
        <v>0.11275167785234901</v>
      </c>
      <c r="AA54" s="113"/>
      <c r="AB54" s="1019">
        <v>0.01</v>
      </c>
      <c r="AC54" s="113"/>
      <c r="AD54" s="113"/>
      <c r="AE54" s="113"/>
      <c r="AF54" s="113"/>
      <c r="AG54" s="113"/>
      <c r="AH54" s="113"/>
      <c r="AI54" s="113"/>
      <c r="AJ54" s="171">
        <f t="shared" si="107"/>
        <v>475.65023682429893</v>
      </c>
      <c r="AK54" s="1026">
        <f t="shared" si="108"/>
        <v>117.8</v>
      </c>
      <c r="AL54" s="169">
        <f t="shared" si="109"/>
        <v>500.68445981505153</v>
      </c>
      <c r="AM54" s="169">
        <f t="shared" si="75"/>
        <v>124</v>
      </c>
      <c r="AN54" s="169">
        <f t="shared" si="110"/>
        <v>296.9657770092474</v>
      </c>
      <c r="AO54" s="1027">
        <f t="shared" si="140"/>
        <v>322</v>
      </c>
      <c r="AP54" s="169">
        <v>192</v>
      </c>
      <c r="AQ54" s="169">
        <v>43</v>
      </c>
      <c r="AR54" s="78">
        <f t="shared" si="76"/>
        <v>149</v>
      </c>
      <c r="AS54" s="169">
        <v>279</v>
      </c>
      <c r="AT54" s="169">
        <v>27</v>
      </c>
      <c r="AU54" s="169">
        <v>252</v>
      </c>
      <c r="AV54" s="112"/>
      <c r="AW54" s="175">
        <f t="shared" si="143"/>
        <v>158</v>
      </c>
      <c r="AX54" s="169">
        <v>158</v>
      </c>
      <c r="AY54" s="169"/>
      <c r="AZ54" s="169">
        <v>6</v>
      </c>
      <c r="BA54" s="113">
        <f t="shared" si="141"/>
        <v>0.23755656108597287</v>
      </c>
      <c r="BB54" s="169"/>
      <c r="BC54" s="112"/>
      <c r="BD54" s="112"/>
      <c r="BE54" s="112"/>
      <c r="BF54" s="169"/>
      <c r="BG54" s="112"/>
      <c r="BH54" s="112"/>
      <c r="BI54" s="1031">
        <v>766</v>
      </c>
      <c r="BJ54" s="2">
        <f t="shared" si="111"/>
        <v>766</v>
      </c>
      <c r="BK54" s="169">
        <v>54</v>
      </c>
      <c r="BL54" s="169">
        <f t="shared" si="112"/>
        <v>124</v>
      </c>
      <c r="BM54" s="1031">
        <f t="shared" si="113"/>
        <v>178.68445981505153</v>
      </c>
      <c r="BN54" s="310">
        <f t="shared" si="114"/>
        <v>124.68445981505153</v>
      </c>
      <c r="BO54" s="262">
        <f t="shared" si="115"/>
        <v>0.19258480999302685</v>
      </c>
      <c r="BP54" s="262">
        <f t="shared" si="116"/>
        <v>0.20881971465629054</v>
      </c>
      <c r="BQ54" s="262">
        <f t="shared" si="117"/>
        <v>0.11587837860898283</v>
      </c>
      <c r="BR54" s="262">
        <f t="shared" si="118"/>
        <v>0.23326952978466256</v>
      </c>
      <c r="BS54" s="988">
        <f t="shared" si="99"/>
        <v>0.55492068265543948</v>
      </c>
      <c r="BT54" s="534">
        <f t="shared" si="119"/>
        <v>25.034222990752578</v>
      </c>
      <c r="BU54" s="534">
        <f t="shared" si="120"/>
        <v>6.2</v>
      </c>
      <c r="BV54" s="113">
        <v>0.05</v>
      </c>
      <c r="BW54" s="276">
        <f t="shared" si="121"/>
        <v>1.6557025787534773E-2</v>
      </c>
      <c r="BX54" s="272">
        <f t="shared" si="122"/>
        <v>40.154222990752579</v>
      </c>
      <c r="BY54" s="113"/>
      <c r="BZ54" s="1035"/>
      <c r="CA54" s="1038"/>
      <c r="CB54" s="2">
        <f t="shared" si="123"/>
        <v>1431</v>
      </c>
      <c r="CC54" s="2">
        <f t="shared" si="95"/>
        <v>1542</v>
      </c>
      <c r="CD54" s="310">
        <f t="shared" si="124"/>
        <v>1542</v>
      </c>
      <c r="CE54" s="310">
        <f t="shared" si="125"/>
        <v>1446</v>
      </c>
      <c r="CF54" s="598"/>
      <c r="CG54" s="598"/>
      <c r="CH54" s="598"/>
      <c r="CI54" s="577">
        <v>66</v>
      </c>
      <c r="CJ54" s="577"/>
      <c r="CK54" s="577"/>
      <c r="CL54" s="517">
        <f t="shared" si="126"/>
        <v>679.16976317570106</v>
      </c>
      <c r="CM54" s="169">
        <f t="shared" si="127"/>
        <v>699.01554018494846</v>
      </c>
      <c r="CN54" s="170">
        <f t="shared" si="43"/>
        <v>172.89999999999998</v>
      </c>
      <c r="CO54" s="170">
        <f t="shared" si="128"/>
        <v>172.89999999999998</v>
      </c>
      <c r="CP54" s="170">
        <f t="shared" si="129"/>
        <v>526.11554018494849</v>
      </c>
      <c r="CQ54" s="170">
        <f t="shared" si="130"/>
        <v>19.845777009247417</v>
      </c>
      <c r="CR54" s="170"/>
      <c r="CS54" s="113">
        <f t="shared" si="131"/>
        <v>1.3125513895004905E-2</v>
      </c>
      <c r="CT54" s="112"/>
      <c r="CU54" s="112"/>
      <c r="CV54" s="112"/>
      <c r="CW54" s="112"/>
      <c r="CX54" s="112"/>
      <c r="CY54" s="112"/>
      <c r="CZ54" s="112"/>
      <c r="DA54" s="112"/>
      <c r="DB54" s="112"/>
      <c r="DC54" s="112"/>
      <c r="DD54" s="112"/>
      <c r="DE54" s="112"/>
      <c r="DF54" s="112"/>
      <c r="DG54" s="112"/>
      <c r="DH54" s="516">
        <f t="shared" ref="DH54:DH86" si="146">DI54-DK54</f>
        <v>61.199999999999989</v>
      </c>
      <c r="DI54" s="2">
        <f t="shared" si="49"/>
        <v>67.199999999999989</v>
      </c>
      <c r="DJ54" s="169">
        <f t="shared" si="50"/>
        <v>61.199999999999996</v>
      </c>
      <c r="DK54" s="169">
        <f t="shared" si="142"/>
        <v>6</v>
      </c>
      <c r="DL54" s="113">
        <f t="shared" si="132"/>
        <v>3.9688715953307391E-2</v>
      </c>
      <c r="DM54" s="113">
        <f t="shared" si="133"/>
        <v>7.9895561357702344E-2</v>
      </c>
      <c r="DN54" s="113">
        <v>0.6</v>
      </c>
      <c r="DO54" s="113"/>
      <c r="DP54" s="113"/>
      <c r="DQ54" s="526">
        <v>102</v>
      </c>
      <c r="DR54" s="113"/>
      <c r="DS54" s="113"/>
      <c r="DT54" s="78">
        <f t="shared" si="96"/>
        <v>102</v>
      </c>
      <c r="DU54" s="175">
        <f t="shared" si="97"/>
        <v>1367.5435483870967</v>
      </c>
      <c r="DV54" s="169">
        <v>1406</v>
      </c>
      <c r="DW54" s="170">
        <f t="shared" si="134"/>
        <v>186.45645161290318</v>
      </c>
      <c r="DX54" s="534">
        <f t="shared" si="89"/>
        <v>151.45645161290318</v>
      </c>
      <c r="DY54" s="534">
        <f t="shared" si="90"/>
        <v>125.99032258064511</v>
      </c>
      <c r="DZ54" s="386">
        <f t="shared" si="144"/>
        <v>1.3403225806451609</v>
      </c>
      <c r="EA54" s="169">
        <v>113</v>
      </c>
      <c r="EB54" s="169">
        <v>94</v>
      </c>
      <c r="EC54" s="175">
        <f t="shared" si="82"/>
        <v>25.466129032258067</v>
      </c>
      <c r="ED54" s="175">
        <v>0</v>
      </c>
      <c r="EE54" s="175">
        <f t="shared" si="135"/>
        <v>25.466129032258067</v>
      </c>
      <c r="EF54" s="175"/>
      <c r="EG54" s="169">
        <v>35</v>
      </c>
      <c r="EH54" s="78">
        <f t="shared" si="136"/>
        <v>85.45645161290318</v>
      </c>
      <c r="EI54" s="169">
        <v>394</v>
      </c>
      <c r="EJ54" s="169">
        <v>439</v>
      </c>
      <c r="EK54" s="169"/>
      <c r="EL54" s="169"/>
      <c r="EM54" s="169"/>
      <c r="EN54" s="169"/>
      <c r="EO54" s="169">
        <v>497</v>
      </c>
      <c r="EP54" s="169">
        <v>446</v>
      </c>
      <c r="EQ54" s="175">
        <f t="shared" si="91"/>
        <v>1611</v>
      </c>
      <c r="ER54" s="2">
        <f t="shared" si="137"/>
        <v>1512</v>
      </c>
      <c r="ES54" s="262">
        <f t="shared" si="98"/>
        <v>0.93854748603351956</v>
      </c>
      <c r="ET54" s="262"/>
      <c r="EU54" s="262"/>
      <c r="EV54" s="262"/>
      <c r="EW54" s="978"/>
      <c r="EX54" s="978"/>
      <c r="EY54" s="1707"/>
      <c r="EZ54" s="978"/>
      <c r="FA54" s="978"/>
      <c r="FB54" s="978"/>
      <c r="FC54" s="978"/>
      <c r="FD54" s="978"/>
      <c r="FE54" s="1720"/>
      <c r="FF54" s="515"/>
      <c r="FG54" s="528"/>
      <c r="FH54" s="978"/>
      <c r="FI54" s="310">
        <f t="shared" si="65"/>
        <v>51</v>
      </c>
      <c r="FJ54" s="2">
        <f t="shared" si="138"/>
        <v>51</v>
      </c>
      <c r="FK54" s="515"/>
      <c r="FL54" s="528"/>
      <c r="FM54" s="528"/>
      <c r="FN54" s="528"/>
      <c r="FO54" s="528"/>
      <c r="FP54" s="528"/>
      <c r="FQ54" s="528"/>
      <c r="FR54" s="528"/>
      <c r="FS54" s="1047"/>
      <c r="FT54" s="528"/>
      <c r="FU54" s="528"/>
      <c r="FV54" s="528"/>
      <c r="FW54" s="528"/>
      <c r="FX54" s="528"/>
      <c r="FY54" s="528"/>
      <c r="FZ54" s="254"/>
      <c r="GA54" s="254"/>
      <c r="GB54" s="254"/>
      <c r="GC54" s="254"/>
      <c r="GD54" s="254"/>
      <c r="GE54" s="254"/>
      <c r="GF54" s="254"/>
      <c r="GG54" s="254"/>
      <c r="GH54" s="254"/>
      <c r="GI54" s="254"/>
      <c r="GJ54" s="254"/>
      <c r="GK54" s="1162">
        <f>DataUK4!X207+DataUK4!AH207</f>
        <v>9.7999999999999972</v>
      </c>
      <c r="GL54" s="115"/>
      <c r="GM54" s="115"/>
      <c r="GN54" s="115"/>
      <c r="GO54" s="115"/>
      <c r="GP54" s="310">
        <f t="shared" si="139"/>
        <v>25.466129032258067</v>
      </c>
      <c r="GQ54" s="115"/>
      <c r="GR54" s="115"/>
      <c r="GS54" s="115"/>
      <c r="GT54" s="115"/>
      <c r="GU54" s="991">
        <f t="shared" si="68"/>
        <v>-15.66612903225807</v>
      </c>
      <c r="GW54" s="1063">
        <f>DataUK4!D207+DataUK4!F207</f>
        <v>16.400000000000002</v>
      </c>
      <c r="GX54" s="115"/>
      <c r="GY54" s="615">
        <f t="shared" si="69"/>
        <v>13.759752321981438</v>
      </c>
      <c r="GZ54" s="115"/>
      <c r="HA54" s="115"/>
      <c r="HB54" s="115"/>
      <c r="HC54" s="1051"/>
      <c r="HD54" s="170">
        <f t="shared" ref="HD54:HD104" si="147">HE54-HF54</f>
        <v>96</v>
      </c>
      <c r="HE54" s="301">
        <f t="shared" si="93"/>
        <v>103</v>
      </c>
      <c r="HF54" s="301">
        <f t="shared" si="94"/>
        <v>7</v>
      </c>
      <c r="HG54" s="170">
        <f t="shared" si="71"/>
        <v>0</v>
      </c>
      <c r="HH54" s="301">
        <v>0</v>
      </c>
      <c r="HI54" s="301">
        <v>0</v>
      </c>
      <c r="HJ54" s="2">
        <v>0</v>
      </c>
      <c r="HK54" s="2">
        <v>0</v>
      </c>
      <c r="HL54" s="2">
        <v>0</v>
      </c>
      <c r="HM54" s="2">
        <f t="shared" si="72"/>
        <v>0</v>
      </c>
      <c r="HN54" s="2">
        <v>0</v>
      </c>
      <c r="HO54" s="2">
        <v>0</v>
      </c>
      <c r="HP54" s="2">
        <v>0</v>
      </c>
      <c r="HQ54" s="2">
        <v>0</v>
      </c>
      <c r="HR54" s="2">
        <v>0</v>
      </c>
      <c r="HS54" s="1052">
        <v>0</v>
      </c>
      <c r="HT54" s="1002">
        <v>8.5</v>
      </c>
      <c r="HU54" s="1002">
        <f t="shared" si="73"/>
        <v>1.0385852090032153</v>
      </c>
      <c r="HV54" s="1002">
        <f t="shared" si="74"/>
        <v>1.2025723472668812</v>
      </c>
    </row>
    <row r="55" spans="1:230" ht="12" customHeight="1">
      <c r="A55" s="110">
        <f t="shared" ref="A55:A87" si="148">A54+1</f>
        <v>1897</v>
      </c>
      <c r="B55" s="176">
        <f t="shared" si="1"/>
        <v>1594</v>
      </c>
      <c r="C55" s="177">
        <f t="shared" si="145"/>
        <v>97</v>
      </c>
      <c r="D55" s="176">
        <f t="shared" si="100"/>
        <v>1497</v>
      </c>
      <c r="E55" s="154">
        <f t="shared" si="101"/>
        <v>1566</v>
      </c>
      <c r="F55" s="995">
        <f t="shared" si="5"/>
        <v>69</v>
      </c>
      <c r="G55" s="531">
        <f t="shared" si="102"/>
        <v>1661</v>
      </c>
      <c r="H55" s="531">
        <f t="shared" si="103"/>
        <v>1564</v>
      </c>
      <c r="I55" s="531">
        <f t="shared" si="104"/>
        <v>1633</v>
      </c>
      <c r="J55" s="548">
        <f t="shared" si="105"/>
        <v>0.95897121861604406</v>
      </c>
      <c r="K55" s="515">
        <f t="shared" si="87"/>
        <v>113</v>
      </c>
      <c r="L55" s="175">
        <v>113</v>
      </c>
      <c r="M55" s="175">
        <v>0</v>
      </c>
      <c r="N55" s="111"/>
      <c r="O55" s="111"/>
      <c r="P55" s="111"/>
      <c r="Q55" s="111"/>
      <c r="R55" s="111"/>
      <c r="S55" s="532">
        <f t="shared" si="88"/>
        <v>7.6299797434166108E-2</v>
      </c>
      <c r="T55" s="1008">
        <f t="shared" si="13"/>
        <v>122.94</v>
      </c>
      <c r="U55" s="1010">
        <f t="shared" si="14"/>
        <v>122.94</v>
      </c>
      <c r="V55" s="511">
        <f t="shared" si="15"/>
        <v>138.6</v>
      </c>
      <c r="W55" s="2">
        <f t="shared" si="16"/>
        <v>138.6</v>
      </c>
      <c r="X55" s="169">
        <f t="shared" si="106"/>
        <v>15.66</v>
      </c>
      <c r="Y55" s="113">
        <f t="shared" si="18"/>
        <v>0.112987012987013</v>
      </c>
      <c r="Z55" s="113">
        <f t="shared" si="19"/>
        <v>0.112987012987013</v>
      </c>
      <c r="AA55" s="113"/>
      <c r="AB55" s="1019">
        <v>0.01</v>
      </c>
      <c r="AC55" s="113"/>
      <c r="AD55" s="113"/>
      <c r="AE55" s="113"/>
      <c r="AF55" s="113"/>
      <c r="AG55" s="113"/>
      <c r="AH55" s="113"/>
      <c r="AI55" s="113"/>
      <c r="AJ55" s="171">
        <f t="shared" si="107"/>
        <v>491.89915795804831</v>
      </c>
      <c r="AK55" s="1026">
        <f t="shared" si="108"/>
        <v>120.65</v>
      </c>
      <c r="AL55" s="169">
        <f t="shared" si="109"/>
        <v>517.78858732426136</v>
      </c>
      <c r="AM55" s="169">
        <f t="shared" si="75"/>
        <v>127</v>
      </c>
      <c r="AN55" s="169">
        <f t="shared" si="110"/>
        <v>307.11057063378695</v>
      </c>
      <c r="AO55" s="1027">
        <f t="shared" si="140"/>
        <v>333</v>
      </c>
      <c r="AP55" s="169">
        <v>196</v>
      </c>
      <c r="AQ55" s="169">
        <v>42</v>
      </c>
      <c r="AR55" s="78">
        <f t="shared" si="76"/>
        <v>154</v>
      </c>
      <c r="AS55" s="169">
        <v>291</v>
      </c>
      <c r="AT55" s="169">
        <v>31</v>
      </c>
      <c r="AU55" s="169">
        <v>260</v>
      </c>
      <c r="AV55" s="112"/>
      <c r="AW55" s="175">
        <f t="shared" si="143"/>
        <v>175</v>
      </c>
      <c r="AX55" s="169">
        <v>175</v>
      </c>
      <c r="AY55" s="169"/>
      <c r="AZ55" s="169">
        <v>6</v>
      </c>
      <c r="BA55" s="113">
        <f t="shared" si="141"/>
        <v>0.23584905660377356</v>
      </c>
      <c r="BB55" s="169"/>
      <c r="BC55" s="112"/>
      <c r="BD55" s="112"/>
      <c r="BE55" s="112"/>
      <c r="BF55" s="169"/>
      <c r="BG55" s="112"/>
      <c r="BH55" s="112"/>
      <c r="BI55" s="1031">
        <v>785</v>
      </c>
      <c r="BJ55" s="2">
        <f t="shared" si="111"/>
        <v>785</v>
      </c>
      <c r="BK55" s="169">
        <v>54</v>
      </c>
      <c r="BL55" s="169">
        <f t="shared" si="112"/>
        <v>127</v>
      </c>
      <c r="BM55" s="1031">
        <f t="shared" si="113"/>
        <v>184.78858732426136</v>
      </c>
      <c r="BN55" s="310">
        <f t="shared" si="114"/>
        <v>130.78858732426136</v>
      </c>
      <c r="BO55" s="262">
        <f t="shared" si="115"/>
        <v>0.19266660642019257</v>
      </c>
      <c r="BP55" s="262">
        <f t="shared" si="116"/>
        <v>0.20890840652446674</v>
      </c>
      <c r="BQ55" s="262">
        <f t="shared" si="117"/>
        <v>0.11592759556101716</v>
      </c>
      <c r="BR55" s="262">
        <f t="shared" si="118"/>
        <v>0.23539947429842212</v>
      </c>
      <c r="BS55" s="988">
        <f t="shared" si="99"/>
        <v>0.55492068265543948</v>
      </c>
      <c r="BT55" s="534">
        <f t="shared" si="119"/>
        <v>25.889429366213069</v>
      </c>
      <c r="BU55" s="534">
        <f t="shared" si="120"/>
        <v>6.3500000000000005</v>
      </c>
      <c r="BV55" s="113">
        <v>0.05</v>
      </c>
      <c r="BW55" s="276">
        <f t="shared" si="121"/>
        <v>1.6532202660417029E-2</v>
      </c>
      <c r="BX55" s="272">
        <f t="shared" si="122"/>
        <v>41.549429366213069</v>
      </c>
      <c r="BY55" s="113"/>
      <c r="BZ55" s="1035"/>
      <c r="CA55" s="1038"/>
      <c r="CB55" s="2">
        <f t="shared" si="123"/>
        <v>1481</v>
      </c>
      <c r="CC55" s="2">
        <f t="shared" si="95"/>
        <v>1594</v>
      </c>
      <c r="CD55" s="310">
        <f t="shared" si="124"/>
        <v>1594</v>
      </c>
      <c r="CE55" s="310">
        <f t="shared" si="125"/>
        <v>1497</v>
      </c>
      <c r="CF55" s="598"/>
      <c r="CG55" s="598"/>
      <c r="CH55" s="598"/>
      <c r="CI55" s="577">
        <v>69</v>
      </c>
      <c r="CJ55" s="577"/>
      <c r="CK55" s="577"/>
      <c r="CL55" s="517">
        <f t="shared" si="126"/>
        <v>705.56084204195167</v>
      </c>
      <c r="CM55" s="169">
        <f t="shared" si="127"/>
        <v>727.0114126757386</v>
      </c>
      <c r="CN55" s="170">
        <f t="shared" si="43"/>
        <v>190.39999999999998</v>
      </c>
      <c r="CO55" s="170">
        <f t="shared" si="128"/>
        <v>190.39999999999998</v>
      </c>
      <c r="CP55" s="170">
        <f t="shared" si="129"/>
        <v>536.61141267573862</v>
      </c>
      <c r="CQ55" s="170">
        <f t="shared" si="130"/>
        <v>21.450570633786935</v>
      </c>
      <c r="CR55" s="170"/>
      <c r="CS55" s="113">
        <f t="shared" si="131"/>
        <v>1.3697682397054238E-2</v>
      </c>
      <c r="CT55" s="112"/>
      <c r="CU55" s="112"/>
      <c r="CV55" s="112"/>
      <c r="CW55" s="112"/>
      <c r="CX55" s="112"/>
      <c r="CY55" s="112"/>
      <c r="CZ55" s="112"/>
      <c r="DA55" s="112"/>
      <c r="DB55" s="112"/>
      <c r="DC55" s="112"/>
      <c r="DD55" s="112"/>
      <c r="DE55" s="112"/>
      <c r="DF55" s="112"/>
      <c r="DG55" s="112"/>
      <c r="DH55" s="516">
        <f t="shared" si="146"/>
        <v>63.599999999999994</v>
      </c>
      <c r="DI55" s="2">
        <f t="shared" si="49"/>
        <v>69.599999999999994</v>
      </c>
      <c r="DJ55" s="169">
        <f t="shared" si="50"/>
        <v>63.599999999999994</v>
      </c>
      <c r="DK55" s="169">
        <f t="shared" si="142"/>
        <v>6</v>
      </c>
      <c r="DL55" s="113">
        <f t="shared" si="132"/>
        <v>3.9899623588456709E-2</v>
      </c>
      <c r="DM55" s="113">
        <f t="shared" si="133"/>
        <v>8.101910828025477E-2</v>
      </c>
      <c r="DN55" s="113">
        <v>0.6</v>
      </c>
      <c r="DO55" s="113"/>
      <c r="DP55" s="113"/>
      <c r="DQ55" s="526">
        <v>106</v>
      </c>
      <c r="DR55" s="113"/>
      <c r="DS55" s="113"/>
      <c r="DT55" s="78">
        <f t="shared" si="96"/>
        <v>106</v>
      </c>
      <c r="DU55" s="175">
        <f t="shared" si="97"/>
        <v>1390.2903225806454</v>
      </c>
      <c r="DV55" s="169">
        <v>1435</v>
      </c>
      <c r="DW55" s="170">
        <f t="shared" si="134"/>
        <v>191.70967741935476</v>
      </c>
      <c r="DX55" s="534">
        <f t="shared" si="89"/>
        <v>176.70967741935476</v>
      </c>
      <c r="DY55" s="534">
        <f t="shared" si="90"/>
        <v>148.59677419354833</v>
      </c>
      <c r="DZ55" s="386">
        <f t="shared" si="144"/>
        <v>1.3387096774193543</v>
      </c>
      <c r="EA55" s="169">
        <v>132</v>
      </c>
      <c r="EB55" s="169">
        <v>111</v>
      </c>
      <c r="EC55" s="175">
        <f t="shared" si="82"/>
        <v>28.112903225806434</v>
      </c>
      <c r="ED55" s="175">
        <v>0</v>
      </c>
      <c r="EE55" s="175">
        <f t="shared" si="135"/>
        <v>28.112903225806434</v>
      </c>
      <c r="EF55" s="175"/>
      <c r="EG55" s="169">
        <v>15</v>
      </c>
      <c r="EH55" s="78">
        <f t="shared" si="136"/>
        <v>107.70967741935476</v>
      </c>
      <c r="EI55" s="169">
        <v>392</v>
      </c>
      <c r="EJ55" s="169">
        <v>447</v>
      </c>
      <c r="EK55" s="169"/>
      <c r="EL55" s="169"/>
      <c r="EM55" s="169"/>
      <c r="EN55" s="169"/>
      <c r="EO55" s="169">
        <v>497</v>
      </c>
      <c r="EP55" s="169">
        <v>455</v>
      </c>
      <c r="EQ55" s="175">
        <f t="shared" si="91"/>
        <v>1633</v>
      </c>
      <c r="ER55" s="2">
        <f t="shared" si="137"/>
        <v>1566</v>
      </c>
      <c r="ES55" s="262">
        <f t="shared" si="98"/>
        <v>0.95897121861604406</v>
      </c>
      <c r="ET55" s="262"/>
      <c r="EU55" s="262"/>
      <c r="EV55" s="262"/>
      <c r="EW55" s="978"/>
      <c r="EX55" s="978"/>
      <c r="EY55" s="1707"/>
      <c r="EZ55" s="978"/>
      <c r="FA55" s="978"/>
      <c r="FB55" s="978"/>
      <c r="FC55" s="978"/>
      <c r="FD55" s="978"/>
      <c r="FE55" s="1720"/>
      <c r="FF55" s="515"/>
      <c r="FG55" s="528"/>
      <c r="FH55" s="978"/>
      <c r="FI55" s="310">
        <f t="shared" si="65"/>
        <v>42</v>
      </c>
      <c r="FJ55" s="2">
        <f t="shared" si="138"/>
        <v>42</v>
      </c>
      <c r="FK55" s="515"/>
      <c r="FL55" s="528"/>
      <c r="FM55" s="528"/>
      <c r="FN55" s="528"/>
      <c r="FO55" s="528"/>
      <c r="FP55" s="528"/>
      <c r="FQ55" s="528"/>
      <c r="FR55" s="528"/>
      <c r="FS55" s="1047"/>
      <c r="FT55" s="528"/>
      <c r="FU55" s="528"/>
      <c r="FV55" s="528"/>
      <c r="FW55" s="528"/>
      <c r="FX55" s="528"/>
      <c r="FY55" s="528"/>
      <c r="FZ55" s="254"/>
      <c r="GA55" s="254"/>
      <c r="GB55" s="254"/>
      <c r="GC55" s="254"/>
      <c r="GD55" s="254"/>
      <c r="GE55" s="254"/>
      <c r="GF55" s="254"/>
      <c r="GG55" s="254"/>
      <c r="GH55" s="254"/>
      <c r="GI55" s="254"/>
      <c r="GJ55" s="254"/>
      <c r="GK55" s="1162">
        <f>DataUK4!X208+DataUK4!AH208</f>
        <v>11.099999999999994</v>
      </c>
      <c r="GL55" s="115"/>
      <c r="GM55" s="115"/>
      <c r="GN55" s="115"/>
      <c r="GO55" s="115"/>
      <c r="GP55" s="310">
        <f t="shared" si="139"/>
        <v>28.112903225806434</v>
      </c>
      <c r="GQ55" s="115"/>
      <c r="GR55" s="115"/>
      <c r="GS55" s="115"/>
      <c r="GT55" s="115"/>
      <c r="GU55" s="991">
        <f t="shared" si="68"/>
        <v>-17.01290322580644</v>
      </c>
      <c r="GW55" s="1063">
        <f>DataUK4!D208+DataUK4!F208</f>
        <v>16.3</v>
      </c>
      <c r="GX55" s="115"/>
      <c r="GY55" s="615">
        <f t="shared" si="69"/>
        <v>13.675851393188868</v>
      </c>
      <c r="GZ55" s="115"/>
      <c r="HA55" s="115"/>
      <c r="HB55" s="115"/>
      <c r="HC55" s="1051"/>
      <c r="HD55" s="170">
        <f t="shared" si="147"/>
        <v>97</v>
      </c>
      <c r="HE55" s="301">
        <f t="shared" si="93"/>
        <v>105</v>
      </c>
      <c r="HF55" s="301">
        <f t="shared" si="94"/>
        <v>8</v>
      </c>
      <c r="HG55" s="170">
        <f t="shared" si="71"/>
        <v>0</v>
      </c>
      <c r="HH55" s="301">
        <v>0</v>
      </c>
      <c r="HI55" s="301">
        <v>0</v>
      </c>
      <c r="HJ55" s="2">
        <v>0</v>
      </c>
      <c r="HK55" s="2">
        <v>0</v>
      </c>
      <c r="HL55" s="2">
        <v>0</v>
      </c>
      <c r="HM55" s="2">
        <f t="shared" si="72"/>
        <v>0</v>
      </c>
      <c r="HN55" s="2">
        <v>0</v>
      </c>
      <c r="HO55" s="2">
        <v>0</v>
      </c>
      <c r="HP55" s="2">
        <v>0</v>
      </c>
      <c r="HQ55" s="2">
        <v>0</v>
      </c>
      <c r="HR55" s="2">
        <v>0</v>
      </c>
      <c r="HS55" s="1052">
        <v>0</v>
      </c>
      <c r="HT55" s="1002">
        <v>8.6999999999999993</v>
      </c>
      <c r="HU55" s="1002">
        <f t="shared" si="73"/>
        <v>1.0630225080385851</v>
      </c>
      <c r="HV55" s="1002">
        <f t="shared" si="74"/>
        <v>1.2308681672025723</v>
      </c>
    </row>
    <row r="56" spans="1:230" ht="12" customHeight="1">
      <c r="A56" s="110">
        <f t="shared" si="148"/>
        <v>1898</v>
      </c>
      <c r="B56" s="176">
        <f t="shared" si="1"/>
        <v>1677.9999999999998</v>
      </c>
      <c r="C56" s="177">
        <f t="shared" si="145"/>
        <v>101</v>
      </c>
      <c r="D56" s="176">
        <f t="shared" si="100"/>
        <v>1576.9999999999998</v>
      </c>
      <c r="E56" s="154">
        <f t="shared" si="101"/>
        <v>1650</v>
      </c>
      <c r="F56" s="995">
        <f t="shared" si="5"/>
        <v>73</v>
      </c>
      <c r="G56" s="531">
        <f t="shared" si="102"/>
        <v>1762</v>
      </c>
      <c r="H56" s="531">
        <f t="shared" si="103"/>
        <v>1661</v>
      </c>
      <c r="I56" s="531">
        <f t="shared" si="104"/>
        <v>1734</v>
      </c>
      <c r="J56" s="548">
        <f t="shared" si="105"/>
        <v>0.95155709342560557</v>
      </c>
      <c r="K56" s="515">
        <f t="shared" si="87"/>
        <v>115</v>
      </c>
      <c r="L56" s="175">
        <v>115</v>
      </c>
      <c r="M56" s="175">
        <v>0</v>
      </c>
      <c r="N56" s="111"/>
      <c r="O56" s="111"/>
      <c r="P56" s="111"/>
      <c r="Q56" s="111"/>
      <c r="R56" s="111"/>
      <c r="S56" s="532">
        <f t="shared" si="88"/>
        <v>7.3576455534229049E-2</v>
      </c>
      <c r="T56" s="1008">
        <f t="shared" si="13"/>
        <v>126.6</v>
      </c>
      <c r="U56" s="1010">
        <f t="shared" si="14"/>
        <v>126.6</v>
      </c>
      <c r="V56" s="511">
        <f t="shared" si="15"/>
        <v>143.1</v>
      </c>
      <c r="W56" s="2">
        <f t="shared" si="16"/>
        <v>143.1</v>
      </c>
      <c r="X56" s="169">
        <f t="shared" si="106"/>
        <v>16.5</v>
      </c>
      <c r="Y56" s="113">
        <f t="shared" si="18"/>
        <v>0.11530398322851154</v>
      </c>
      <c r="Z56" s="113">
        <f t="shared" si="19"/>
        <v>0.11530398322851154</v>
      </c>
      <c r="AA56" s="113"/>
      <c r="AB56" s="1019">
        <v>0.01</v>
      </c>
      <c r="AC56" s="113"/>
      <c r="AD56" s="113"/>
      <c r="AE56" s="113"/>
      <c r="AF56" s="113"/>
      <c r="AG56" s="113"/>
      <c r="AH56" s="113"/>
      <c r="AI56" s="113"/>
      <c r="AJ56" s="171">
        <f t="shared" si="107"/>
        <v>508.14807909179768</v>
      </c>
      <c r="AK56" s="1026">
        <f t="shared" si="108"/>
        <v>116.85</v>
      </c>
      <c r="AL56" s="169">
        <f t="shared" si="109"/>
        <v>534.89271483347125</v>
      </c>
      <c r="AM56" s="169">
        <f t="shared" si="75"/>
        <v>123</v>
      </c>
      <c r="AN56" s="169">
        <f t="shared" si="110"/>
        <v>317.25536425832644</v>
      </c>
      <c r="AO56" s="1027">
        <f t="shared" si="140"/>
        <v>344</v>
      </c>
      <c r="AP56" s="169">
        <v>200</v>
      </c>
      <c r="AQ56" s="169">
        <v>41</v>
      </c>
      <c r="AR56" s="78">
        <f t="shared" si="76"/>
        <v>159</v>
      </c>
      <c r="AS56" s="169">
        <v>303</v>
      </c>
      <c r="AT56" s="169">
        <v>28</v>
      </c>
      <c r="AU56" s="169">
        <v>275</v>
      </c>
      <c r="AV56" s="112"/>
      <c r="AW56" s="175">
        <f t="shared" si="143"/>
        <v>201</v>
      </c>
      <c r="AX56" s="169">
        <v>201</v>
      </c>
      <c r="AY56" s="169"/>
      <c r="AZ56" s="169">
        <v>7</v>
      </c>
      <c r="BA56" s="113">
        <f t="shared" si="141"/>
        <v>0.2332880895826264</v>
      </c>
      <c r="BB56" s="169"/>
      <c r="BC56" s="112"/>
      <c r="BD56" s="112"/>
      <c r="BE56" s="112"/>
      <c r="BF56" s="169"/>
      <c r="BG56" s="112"/>
      <c r="BH56" s="112"/>
      <c r="BI56" s="1031">
        <v>824</v>
      </c>
      <c r="BJ56" s="2">
        <f t="shared" si="111"/>
        <v>824</v>
      </c>
      <c r="BK56" s="169">
        <v>54</v>
      </c>
      <c r="BL56" s="169">
        <f t="shared" si="112"/>
        <v>123</v>
      </c>
      <c r="BM56" s="1031">
        <f t="shared" si="113"/>
        <v>190.89271483347119</v>
      </c>
      <c r="BN56" s="310">
        <f t="shared" si="114"/>
        <v>136.89271483347119</v>
      </c>
      <c r="BO56" s="262">
        <f t="shared" si="115"/>
        <v>0.18906755915275711</v>
      </c>
      <c r="BP56" s="262">
        <f t="shared" si="116"/>
        <v>0.20500595947556616</v>
      </c>
      <c r="BQ56" s="262">
        <f t="shared" si="117"/>
        <v>0.11376204698061454</v>
      </c>
      <c r="BR56" s="262">
        <f t="shared" si="118"/>
        <v>0.23166591606003786</v>
      </c>
      <c r="BS56" s="988">
        <f t="shared" si="99"/>
        <v>0.55492068265543948</v>
      </c>
      <c r="BT56" s="534">
        <f t="shared" si="119"/>
        <v>26.744635741673562</v>
      </c>
      <c r="BU56" s="534">
        <f t="shared" si="120"/>
        <v>6.15</v>
      </c>
      <c r="BV56" s="113">
        <v>0.05</v>
      </c>
      <c r="BW56" s="276">
        <f t="shared" si="121"/>
        <v>1.6208870146468827E-2</v>
      </c>
      <c r="BX56" s="272">
        <f t="shared" si="122"/>
        <v>43.244635741673562</v>
      </c>
      <c r="BY56" s="113"/>
      <c r="BZ56" s="1035"/>
      <c r="CA56" s="1038"/>
      <c r="CB56" s="2">
        <f t="shared" si="123"/>
        <v>1563</v>
      </c>
      <c r="CC56" s="2">
        <f t="shared" si="95"/>
        <v>1678</v>
      </c>
      <c r="CD56" s="310">
        <f t="shared" si="124"/>
        <v>1678</v>
      </c>
      <c r="CE56" s="310">
        <f t="shared" si="125"/>
        <v>1577</v>
      </c>
      <c r="CF56" s="598"/>
      <c r="CG56" s="598"/>
      <c r="CH56" s="598"/>
      <c r="CI56" s="577">
        <v>73</v>
      </c>
      <c r="CJ56" s="577"/>
      <c r="CK56" s="577"/>
      <c r="CL56" s="517">
        <f t="shared" si="126"/>
        <v>760.05192090820219</v>
      </c>
      <c r="CM56" s="169">
        <f t="shared" si="127"/>
        <v>782.80728516652869</v>
      </c>
      <c r="CN56" s="170">
        <f t="shared" si="43"/>
        <v>216.89999999999998</v>
      </c>
      <c r="CO56" s="170">
        <f t="shared" si="128"/>
        <v>216.89999999999998</v>
      </c>
      <c r="CP56" s="170">
        <f t="shared" si="129"/>
        <v>565.90728516652871</v>
      </c>
      <c r="CQ56" s="170">
        <f t="shared" si="130"/>
        <v>22.755364258326438</v>
      </c>
      <c r="CR56" s="170"/>
      <c r="CS56" s="113">
        <f t="shared" si="131"/>
        <v>1.3791129853531174E-2</v>
      </c>
      <c r="CT56" s="112"/>
      <c r="CU56" s="112"/>
      <c r="CV56" s="112"/>
      <c r="CW56" s="112"/>
      <c r="CX56" s="112"/>
      <c r="CY56" s="112"/>
      <c r="CZ56" s="112"/>
      <c r="DA56" s="112"/>
      <c r="DB56" s="112"/>
      <c r="DC56" s="112"/>
      <c r="DD56" s="112"/>
      <c r="DE56" s="112"/>
      <c r="DF56" s="112"/>
      <c r="DG56" s="112"/>
      <c r="DH56" s="516">
        <f t="shared" si="146"/>
        <v>67.2</v>
      </c>
      <c r="DI56" s="2">
        <f t="shared" si="49"/>
        <v>74.2</v>
      </c>
      <c r="DJ56" s="169">
        <f t="shared" si="50"/>
        <v>67.2</v>
      </c>
      <c r="DK56" s="169">
        <f t="shared" si="142"/>
        <v>7</v>
      </c>
      <c r="DL56" s="113">
        <f t="shared" si="132"/>
        <v>4.0047675804529205E-2</v>
      </c>
      <c r="DM56" s="113">
        <f t="shared" si="133"/>
        <v>8.155339805825243E-2</v>
      </c>
      <c r="DN56" s="113">
        <v>0.6</v>
      </c>
      <c r="DO56" s="113"/>
      <c r="DP56" s="113"/>
      <c r="DQ56" s="526">
        <v>112</v>
      </c>
      <c r="DR56" s="113"/>
      <c r="DS56" s="113"/>
      <c r="DT56" s="78">
        <f t="shared" si="96"/>
        <v>112</v>
      </c>
      <c r="DU56" s="175">
        <f t="shared" si="97"/>
        <v>1446.7387096774194</v>
      </c>
      <c r="DV56" s="169">
        <v>1500</v>
      </c>
      <c r="DW56" s="170">
        <f t="shared" si="134"/>
        <v>246.26129032258055</v>
      </c>
      <c r="DX56" s="534">
        <f t="shared" si="89"/>
        <v>211.26129032258055</v>
      </c>
      <c r="DY56" s="534">
        <f t="shared" si="90"/>
        <v>176.4967741935483</v>
      </c>
      <c r="DZ56" s="386">
        <f t="shared" si="144"/>
        <v>1.3370967741935478</v>
      </c>
      <c r="EA56" s="169">
        <v>158</v>
      </c>
      <c r="EB56" s="169">
        <v>132</v>
      </c>
      <c r="EC56" s="175">
        <f t="shared" si="82"/>
        <v>34.764516129032245</v>
      </c>
      <c r="ED56" s="175">
        <v>0</v>
      </c>
      <c r="EE56" s="175">
        <f t="shared" si="135"/>
        <v>34.764516129032245</v>
      </c>
      <c r="EF56" s="175"/>
      <c r="EG56" s="169">
        <v>35</v>
      </c>
      <c r="EH56" s="78">
        <f t="shared" si="136"/>
        <v>138.26129032258055</v>
      </c>
      <c r="EI56" s="169">
        <v>395</v>
      </c>
      <c r="EJ56" s="169">
        <v>466</v>
      </c>
      <c r="EK56" s="169"/>
      <c r="EL56" s="169"/>
      <c r="EM56" s="169"/>
      <c r="EN56" s="169"/>
      <c r="EO56" s="169">
        <v>504</v>
      </c>
      <c r="EP56" s="169">
        <v>474</v>
      </c>
      <c r="EQ56" s="175">
        <f t="shared" si="91"/>
        <v>1734</v>
      </c>
      <c r="ER56" s="2">
        <f t="shared" si="137"/>
        <v>1650</v>
      </c>
      <c r="ES56" s="262">
        <f t="shared" si="98"/>
        <v>0.95155709342560557</v>
      </c>
      <c r="ET56" s="262"/>
      <c r="EU56" s="262"/>
      <c r="EV56" s="262"/>
      <c r="EW56" s="978"/>
      <c r="EX56" s="978"/>
      <c r="EY56" s="1707"/>
      <c r="EZ56" s="978"/>
      <c r="FA56" s="978"/>
      <c r="FB56" s="978"/>
      <c r="FC56" s="978"/>
      <c r="FD56" s="978"/>
      <c r="FE56" s="1720"/>
      <c r="FF56" s="515"/>
      <c r="FG56" s="528"/>
      <c r="FH56" s="978"/>
      <c r="FI56" s="310">
        <f t="shared" si="65"/>
        <v>30</v>
      </c>
      <c r="FJ56" s="2">
        <f t="shared" si="138"/>
        <v>30</v>
      </c>
      <c r="FK56" s="515"/>
      <c r="FL56" s="528"/>
      <c r="FM56" s="528"/>
      <c r="FN56" s="528"/>
      <c r="FO56" s="528"/>
      <c r="FP56" s="528"/>
      <c r="FQ56" s="528"/>
      <c r="FR56" s="528"/>
      <c r="FS56" s="1047"/>
      <c r="FT56" s="528"/>
      <c r="FU56" s="528"/>
      <c r="FV56" s="528"/>
      <c r="FW56" s="528"/>
      <c r="FX56" s="528"/>
      <c r="FY56" s="528"/>
      <c r="FZ56" s="254"/>
      <c r="GA56" s="254"/>
      <c r="GB56" s="254"/>
      <c r="GC56" s="254"/>
      <c r="GD56" s="254"/>
      <c r="GE56" s="254"/>
      <c r="GF56" s="254"/>
      <c r="GG56" s="254"/>
      <c r="GH56" s="254"/>
      <c r="GI56" s="254"/>
      <c r="GJ56" s="254"/>
      <c r="GK56" s="1162">
        <f>DataUK4!X209+DataUK4!AH209</f>
        <v>7.5</v>
      </c>
      <c r="GL56" s="115"/>
      <c r="GM56" s="115"/>
      <c r="GN56" s="115"/>
      <c r="GO56" s="115"/>
      <c r="GP56" s="310">
        <f t="shared" si="139"/>
        <v>34.764516129032245</v>
      </c>
      <c r="GQ56" s="115"/>
      <c r="GR56" s="115"/>
      <c r="GS56" s="115"/>
      <c r="GT56" s="115"/>
      <c r="GU56" s="991">
        <f t="shared" si="68"/>
        <v>-27.264516129032245</v>
      </c>
      <c r="GW56" s="1063">
        <f>DataUK4!D209+DataUK4!F209</f>
        <v>16.3</v>
      </c>
      <c r="GX56" s="115"/>
      <c r="GY56" s="615">
        <f t="shared" si="69"/>
        <v>13.675851393188868</v>
      </c>
      <c r="GZ56" s="115"/>
      <c r="HA56" s="115"/>
      <c r="HB56" s="115"/>
      <c r="HC56" s="1051"/>
      <c r="HD56" s="170">
        <f t="shared" si="147"/>
        <v>101</v>
      </c>
      <c r="HE56" s="301">
        <f t="shared" si="93"/>
        <v>109</v>
      </c>
      <c r="HF56" s="301">
        <f t="shared" si="94"/>
        <v>8</v>
      </c>
      <c r="HG56" s="170">
        <f t="shared" si="71"/>
        <v>0</v>
      </c>
      <c r="HH56" s="301">
        <v>0</v>
      </c>
      <c r="HI56" s="301">
        <v>0</v>
      </c>
      <c r="HJ56" s="2">
        <v>0</v>
      </c>
      <c r="HK56" s="2">
        <v>0</v>
      </c>
      <c r="HL56" s="2">
        <v>0</v>
      </c>
      <c r="HM56" s="2">
        <f t="shared" si="72"/>
        <v>0</v>
      </c>
      <c r="HN56" s="2">
        <v>0</v>
      </c>
      <c r="HO56" s="2">
        <v>0</v>
      </c>
      <c r="HP56" s="2">
        <v>0</v>
      </c>
      <c r="HQ56" s="2">
        <v>0</v>
      </c>
      <c r="HR56" s="2">
        <v>0</v>
      </c>
      <c r="HS56" s="1052">
        <v>0</v>
      </c>
      <c r="HT56" s="1002">
        <v>8.6999999999999993</v>
      </c>
      <c r="HU56" s="1002">
        <f t="shared" si="73"/>
        <v>1.0630225080385851</v>
      </c>
      <c r="HV56" s="1002">
        <f t="shared" si="74"/>
        <v>1.2308681672025723</v>
      </c>
    </row>
    <row r="57" spans="1:230" ht="12" customHeight="1">
      <c r="A57" s="110">
        <f t="shared" si="148"/>
        <v>1899</v>
      </c>
      <c r="B57" s="176">
        <f t="shared" si="1"/>
        <v>1770</v>
      </c>
      <c r="C57" s="177">
        <f t="shared" si="145"/>
        <v>103</v>
      </c>
      <c r="D57" s="176">
        <f t="shared" si="100"/>
        <v>1667</v>
      </c>
      <c r="E57" s="154">
        <f t="shared" si="101"/>
        <v>1747</v>
      </c>
      <c r="F57" s="995">
        <f t="shared" si="5"/>
        <v>80</v>
      </c>
      <c r="G57" s="531">
        <f t="shared" si="102"/>
        <v>1883</v>
      </c>
      <c r="H57" s="531">
        <f t="shared" si="103"/>
        <v>1780</v>
      </c>
      <c r="I57" s="531">
        <f t="shared" si="104"/>
        <v>1860</v>
      </c>
      <c r="J57" s="548">
        <f t="shared" si="105"/>
        <v>0.93924731182795695</v>
      </c>
      <c r="K57" s="515">
        <f t="shared" si="87"/>
        <v>121</v>
      </c>
      <c r="L57" s="175">
        <v>121</v>
      </c>
      <c r="M57" s="175">
        <v>0</v>
      </c>
      <c r="N57" s="111"/>
      <c r="O57" s="111"/>
      <c r="P57" s="111"/>
      <c r="Q57" s="111"/>
      <c r="R57" s="111"/>
      <c r="S57" s="532">
        <f t="shared" si="88"/>
        <v>7.3377804730139481E-2</v>
      </c>
      <c r="T57" s="1008">
        <f t="shared" si="13"/>
        <v>129.23000000000002</v>
      </c>
      <c r="U57" s="1010">
        <f t="shared" si="14"/>
        <v>129.23000000000002</v>
      </c>
      <c r="V57" s="511">
        <f t="shared" si="15"/>
        <v>146.70000000000002</v>
      </c>
      <c r="W57" s="2">
        <f t="shared" si="16"/>
        <v>146.70000000000002</v>
      </c>
      <c r="X57" s="169">
        <f t="shared" si="106"/>
        <v>17.47</v>
      </c>
      <c r="Y57" s="113">
        <f t="shared" si="18"/>
        <v>0.11908657123381047</v>
      </c>
      <c r="Z57" s="113">
        <f t="shared" si="19"/>
        <v>0.11908657123381047</v>
      </c>
      <c r="AA57" s="113"/>
      <c r="AB57" s="1019">
        <v>0.01</v>
      </c>
      <c r="AC57" s="113"/>
      <c r="AD57" s="113"/>
      <c r="AE57" s="113"/>
      <c r="AF57" s="113"/>
      <c r="AG57" s="113"/>
      <c r="AH57" s="113"/>
      <c r="AI57" s="113"/>
      <c r="AJ57" s="171">
        <f t="shared" si="107"/>
        <v>549.5089692504323</v>
      </c>
      <c r="AK57" s="1026">
        <f t="shared" si="108"/>
        <v>123.5</v>
      </c>
      <c r="AL57" s="169">
        <f t="shared" si="109"/>
        <v>578.43049394782349</v>
      </c>
      <c r="AM57" s="169">
        <f t="shared" si="75"/>
        <v>130</v>
      </c>
      <c r="AN57" s="169">
        <f t="shared" si="110"/>
        <v>343.07847530260881</v>
      </c>
      <c r="AO57" s="1027">
        <f t="shared" si="140"/>
        <v>372</v>
      </c>
      <c r="AP57" s="169">
        <v>204</v>
      </c>
      <c r="AQ57" s="169">
        <v>41</v>
      </c>
      <c r="AR57" s="78">
        <f t="shared" si="76"/>
        <v>163</v>
      </c>
      <c r="AS57" s="169">
        <v>331</v>
      </c>
      <c r="AT57" s="169">
        <v>34</v>
      </c>
      <c r="AU57" s="169">
        <v>297</v>
      </c>
      <c r="AV57" s="112"/>
      <c r="AW57" s="175">
        <f t="shared" si="143"/>
        <v>227</v>
      </c>
      <c r="AX57" s="169">
        <v>227</v>
      </c>
      <c r="AY57" s="169"/>
      <c r="AZ57" s="169">
        <v>7</v>
      </c>
      <c r="BA57" s="113">
        <f t="shared" si="141"/>
        <v>0.23866923818707808</v>
      </c>
      <c r="BB57" s="169"/>
      <c r="BC57" s="112"/>
      <c r="BD57" s="112"/>
      <c r="BE57" s="112"/>
      <c r="BF57" s="169"/>
      <c r="BG57" s="112"/>
      <c r="BH57" s="112"/>
      <c r="BI57" s="1031">
        <v>857</v>
      </c>
      <c r="BJ57" s="2">
        <f t="shared" si="111"/>
        <v>857</v>
      </c>
      <c r="BK57" s="169">
        <v>55</v>
      </c>
      <c r="BL57" s="169">
        <f t="shared" si="112"/>
        <v>130</v>
      </c>
      <c r="BM57" s="1031">
        <f t="shared" si="113"/>
        <v>206.43049394782349</v>
      </c>
      <c r="BN57" s="310">
        <f t="shared" si="114"/>
        <v>151.43049394782349</v>
      </c>
      <c r="BO57" s="262">
        <f t="shared" si="115"/>
        <v>0.1938296470636208</v>
      </c>
      <c r="BP57" s="262">
        <f t="shared" si="116"/>
        <v>0.21016949152542372</v>
      </c>
      <c r="BQ57" s="262">
        <f t="shared" si="117"/>
        <v>0.11662739771063474</v>
      </c>
      <c r="BR57" s="262">
        <f t="shared" si="118"/>
        <v>0.2408757222261651</v>
      </c>
      <c r="BS57" s="988">
        <f t="shared" si="99"/>
        <v>0.55492068265543948</v>
      </c>
      <c r="BT57" s="534">
        <f t="shared" si="119"/>
        <v>28.921524697391177</v>
      </c>
      <c r="BU57" s="534">
        <f t="shared" si="120"/>
        <v>6.5</v>
      </c>
      <c r="BV57" s="113">
        <v>0.05</v>
      </c>
      <c r="BW57" s="276">
        <f t="shared" si="121"/>
        <v>1.6554965482193002E-2</v>
      </c>
      <c r="BX57" s="272">
        <f t="shared" si="122"/>
        <v>46.391524697391176</v>
      </c>
      <c r="BY57" s="113"/>
      <c r="BZ57" s="1035"/>
      <c r="CA57" s="1038"/>
      <c r="CB57" s="2">
        <f t="shared" si="123"/>
        <v>1649</v>
      </c>
      <c r="CC57" s="2">
        <f t="shared" si="95"/>
        <v>1770</v>
      </c>
      <c r="CD57" s="310">
        <f t="shared" si="124"/>
        <v>1770</v>
      </c>
      <c r="CE57" s="310">
        <f t="shared" si="125"/>
        <v>1667</v>
      </c>
      <c r="CF57" s="598"/>
      <c r="CG57" s="598"/>
      <c r="CH57" s="598"/>
      <c r="CI57" s="577">
        <v>80</v>
      </c>
      <c r="CJ57" s="577"/>
      <c r="CK57" s="577"/>
      <c r="CL57" s="517">
        <f t="shared" si="126"/>
        <v>785.66103074956766</v>
      </c>
      <c r="CM57" s="169">
        <f t="shared" si="127"/>
        <v>812.26950605217644</v>
      </c>
      <c r="CN57" s="170">
        <f t="shared" si="43"/>
        <v>243.29999999999995</v>
      </c>
      <c r="CO57" s="170">
        <f t="shared" si="128"/>
        <v>243.29999999999995</v>
      </c>
      <c r="CP57" s="170">
        <f t="shared" si="129"/>
        <v>568.96950605217648</v>
      </c>
      <c r="CQ57" s="170">
        <f t="shared" si="130"/>
        <v>26.608475302608824</v>
      </c>
      <c r="CR57" s="170"/>
      <c r="CS57" s="113">
        <f t="shared" si="131"/>
        <v>1.5230953235608942E-2</v>
      </c>
      <c r="CT57" s="112"/>
      <c r="CU57" s="112"/>
      <c r="CV57" s="112"/>
      <c r="CW57" s="112"/>
      <c r="CX57" s="112"/>
      <c r="CY57" s="112"/>
      <c r="CZ57" s="112"/>
      <c r="DA57" s="112"/>
      <c r="DB57" s="112"/>
      <c r="DC57" s="112"/>
      <c r="DD57" s="112"/>
      <c r="DE57" s="112"/>
      <c r="DF57" s="112"/>
      <c r="DG57" s="112"/>
      <c r="DH57" s="516">
        <f t="shared" si="146"/>
        <v>81.599999999999994</v>
      </c>
      <c r="DI57" s="2">
        <f t="shared" si="49"/>
        <v>88.6</v>
      </c>
      <c r="DJ57" s="169">
        <f t="shared" si="50"/>
        <v>81.599999999999994</v>
      </c>
      <c r="DK57" s="169">
        <f t="shared" si="142"/>
        <v>7</v>
      </c>
      <c r="DL57" s="113">
        <f t="shared" si="132"/>
        <v>4.6101694915254232E-2</v>
      </c>
      <c r="DM57" s="113">
        <f t="shared" si="133"/>
        <v>9.5215869311551918E-2</v>
      </c>
      <c r="DN57" s="113">
        <v>0.6</v>
      </c>
      <c r="DO57" s="113"/>
      <c r="DP57" s="113"/>
      <c r="DQ57" s="272">
        <v>136</v>
      </c>
      <c r="DR57" s="169"/>
      <c r="DS57" s="169"/>
      <c r="DT57" s="78">
        <f t="shared" si="96"/>
        <v>136</v>
      </c>
      <c r="DU57" s="175">
        <f t="shared" si="97"/>
        <v>1499.6064516129034</v>
      </c>
      <c r="DV57" s="169">
        <v>1561</v>
      </c>
      <c r="DW57" s="170">
        <f t="shared" si="134"/>
        <v>279.39354838709664</v>
      </c>
      <c r="DX57" s="534">
        <f t="shared" si="89"/>
        <v>244.39354838709664</v>
      </c>
      <c r="DY57" s="534">
        <f t="shared" si="90"/>
        <v>204.32903225806442</v>
      </c>
      <c r="DZ57" s="386">
        <f t="shared" si="144"/>
        <v>1.3354838709677412</v>
      </c>
      <c r="EA57" s="169">
        <v>183</v>
      </c>
      <c r="EB57" s="169">
        <v>153</v>
      </c>
      <c r="EC57" s="175">
        <f t="shared" si="82"/>
        <v>40.064516129032228</v>
      </c>
      <c r="ED57" s="175">
        <v>0</v>
      </c>
      <c r="EE57" s="175">
        <f t="shared" si="135"/>
        <v>40.064516129032228</v>
      </c>
      <c r="EF57" s="175"/>
      <c r="EG57" s="169">
        <v>35</v>
      </c>
      <c r="EH57" s="78">
        <f t="shared" si="136"/>
        <v>164.39354838709664</v>
      </c>
      <c r="EI57" s="169">
        <v>431</v>
      </c>
      <c r="EJ57" s="169">
        <v>486</v>
      </c>
      <c r="EK57" s="169"/>
      <c r="EL57" s="169"/>
      <c r="EM57" s="169"/>
      <c r="EN57" s="169"/>
      <c r="EO57" s="169">
        <v>542</v>
      </c>
      <c r="EP57" s="169">
        <v>494</v>
      </c>
      <c r="EQ57" s="175">
        <f t="shared" si="91"/>
        <v>1860</v>
      </c>
      <c r="ER57" s="2">
        <f t="shared" si="137"/>
        <v>1747</v>
      </c>
      <c r="ES57" s="262">
        <f t="shared" si="98"/>
        <v>0.93924731182795695</v>
      </c>
      <c r="ET57" s="262"/>
      <c r="EU57" s="262"/>
      <c r="EV57" s="262"/>
      <c r="EW57" s="598"/>
      <c r="EX57" s="598"/>
      <c r="EY57" s="1126"/>
      <c r="EZ57" s="598"/>
      <c r="FA57" s="598"/>
      <c r="FB57" s="598"/>
      <c r="FC57" s="598"/>
      <c r="FD57" s="598"/>
      <c r="FE57" s="979"/>
      <c r="FF57" s="1048"/>
      <c r="FG57" s="518"/>
      <c r="FH57" s="598"/>
      <c r="FI57" s="310">
        <f t="shared" si="65"/>
        <v>48</v>
      </c>
      <c r="FJ57" s="2">
        <f t="shared" si="138"/>
        <v>48</v>
      </c>
      <c r="FK57" s="1048"/>
      <c r="FL57" s="518"/>
      <c r="FM57" s="518"/>
      <c r="FN57" s="518"/>
      <c r="FO57" s="518"/>
      <c r="FP57" s="518"/>
      <c r="FQ57" s="518"/>
      <c r="FR57" s="518"/>
      <c r="FS57" s="1049"/>
      <c r="FT57" s="518"/>
      <c r="FU57" s="518"/>
      <c r="FV57" s="518"/>
      <c r="FW57" s="518"/>
      <c r="FX57" s="518"/>
      <c r="FY57" s="518"/>
      <c r="FZ57" s="115"/>
      <c r="GA57" s="115"/>
      <c r="GB57" s="115"/>
      <c r="GC57" s="115"/>
      <c r="GD57" s="115"/>
      <c r="GE57" s="115"/>
      <c r="GF57" s="115"/>
      <c r="GG57" s="115"/>
      <c r="GH57" s="115"/>
      <c r="GI57" s="115"/>
      <c r="GJ57" s="115"/>
      <c r="GK57" s="1162">
        <f>DataUK4!X210+DataUK4!AH210</f>
        <v>-6.4999999999999716</v>
      </c>
      <c r="GL57" s="115"/>
      <c r="GM57" s="115"/>
      <c r="GN57" s="115"/>
      <c r="GO57" s="115"/>
      <c r="GP57" s="310">
        <f t="shared" si="139"/>
        <v>40.064516129032228</v>
      </c>
      <c r="GQ57" s="115"/>
      <c r="GR57" s="115"/>
      <c r="GS57" s="115"/>
      <c r="GT57" s="115"/>
      <c r="GU57" s="991">
        <f t="shared" si="68"/>
        <v>-46.564516129032199</v>
      </c>
      <c r="GW57" s="1063">
        <f>DataUK4!D210+DataUK4!F210</f>
        <v>15.899999999999999</v>
      </c>
      <c r="GX57" s="115"/>
      <c r="GY57" s="615">
        <f t="shared" si="69"/>
        <v>13.340247678018587</v>
      </c>
      <c r="GZ57" s="115"/>
      <c r="HA57" s="115"/>
      <c r="HB57" s="115"/>
      <c r="HC57" s="1051"/>
      <c r="HD57" s="170">
        <f t="shared" si="147"/>
        <v>103</v>
      </c>
      <c r="HE57" s="301">
        <f t="shared" si="93"/>
        <v>111</v>
      </c>
      <c r="HF57" s="301">
        <f t="shared" si="94"/>
        <v>8</v>
      </c>
      <c r="HG57" s="170">
        <f t="shared" si="71"/>
        <v>0</v>
      </c>
      <c r="HH57" s="301">
        <v>0</v>
      </c>
      <c r="HI57" s="301">
        <v>0</v>
      </c>
      <c r="HJ57" s="2">
        <v>0</v>
      </c>
      <c r="HK57" s="2">
        <v>0</v>
      </c>
      <c r="HL57" s="2">
        <v>0</v>
      </c>
      <c r="HM57" s="2">
        <f t="shared" si="72"/>
        <v>0</v>
      </c>
      <c r="HN57" s="2">
        <v>0</v>
      </c>
      <c r="HO57" s="2">
        <v>0</v>
      </c>
      <c r="HP57" s="2">
        <v>0</v>
      </c>
      <c r="HQ57" s="2">
        <v>0</v>
      </c>
      <c r="HR57" s="2">
        <v>0</v>
      </c>
      <c r="HS57" s="1052">
        <v>0</v>
      </c>
      <c r="HT57" s="1002">
        <v>8.8000000000000007</v>
      </c>
      <c r="HU57" s="1002">
        <f t="shared" si="73"/>
        <v>1.0752411575562699</v>
      </c>
      <c r="HV57" s="1002">
        <f t="shared" si="74"/>
        <v>1.2450160771704182</v>
      </c>
    </row>
    <row r="58" spans="1:230" ht="12" customHeight="1">
      <c r="A58" s="110">
        <f t="shared" si="148"/>
        <v>1900</v>
      </c>
      <c r="B58" s="176">
        <f t="shared" si="1"/>
        <v>1822.9999999999998</v>
      </c>
      <c r="C58" s="177">
        <f t="shared" si="145"/>
        <v>104</v>
      </c>
      <c r="D58" s="176">
        <f t="shared" si="100"/>
        <v>1718.9999999999998</v>
      </c>
      <c r="E58" s="154">
        <f t="shared" si="101"/>
        <v>1807</v>
      </c>
      <c r="F58" s="995">
        <f t="shared" si="5"/>
        <v>88</v>
      </c>
      <c r="G58" s="531">
        <f t="shared" si="102"/>
        <v>1966</v>
      </c>
      <c r="H58" s="531">
        <f t="shared" si="103"/>
        <v>1862</v>
      </c>
      <c r="I58" s="531">
        <f t="shared" si="104"/>
        <v>1950</v>
      </c>
      <c r="J58" s="548">
        <f t="shared" si="105"/>
        <v>0.92666666666666664</v>
      </c>
      <c r="K58" s="515">
        <f t="shared" si="87"/>
        <v>128</v>
      </c>
      <c r="L58" s="175">
        <v>128</v>
      </c>
      <c r="M58" s="175">
        <v>0</v>
      </c>
      <c r="N58" s="111"/>
      <c r="O58" s="111"/>
      <c r="P58" s="111"/>
      <c r="Q58" s="111"/>
      <c r="R58" s="111"/>
      <c r="S58" s="532">
        <f t="shared" si="88"/>
        <v>7.5516224188790559E-2</v>
      </c>
      <c r="T58" s="1008">
        <f t="shared" si="13"/>
        <v>133.13000000000002</v>
      </c>
      <c r="U58" s="1010">
        <f t="shared" si="14"/>
        <v>133.13000000000002</v>
      </c>
      <c r="V58" s="511">
        <f t="shared" si="15"/>
        <v>151.20000000000002</v>
      </c>
      <c r="W58" s="2">
        <f t="shared" si="16"/>
        <v>151.20000000000002</v>
      </c>
      <c r="X58" s="169">
        <f t="shared" si="106"/>
        <v>18.07</v>
      </c>
      <c r="Y58" s="113">
        <f t="shared" si="18"/>
        <v>0.119510582010582</v>
      </c>
      <c r="Z58" s="113">
        <f t="shared" si="19"/>
        <v>0.119510582010582</v>
      </c>
      <c r="AA58" s="113"/>
      <c r="AB58" s="1019">
        <v>0.01</v>
      </c>
      <c r="AC58" s="113"/>
      <c r="AD58" s="113"/>
      <c r="AE58" s="113"/>
      <c r="AF58" s="113"/>
      <c r="AG58" s="113"/>
      <c r="AH58" s="113"/>
      <c r="AI58" s="113"/>
      <c r="AJ58" s="171">
        <f t="shared" si="107"/>
        <v>537.691572062251</v>
      </c>
      <c r="AK58" s="1026">
        <f t="shared" si="108"/>
        <v>123.5</v>
      </c>
      <c r="AL58" s="169">
        <f t="shared" si="109"/>
        <v>565.99112848658001</v>
      </c>
      <c r="AM58" s="169">
        <f t="shared" si="75"/>
        <v>130</v>
      </c>
      <c r="AN58" s="169">
        <f t="shared" si="110"/>
        <v>335.70044357567099</v>
      </c>
      <c r="AO58" s="1027">
        <f t="shared" si="140"/>
        <v>364</v>
      </c>
      <c r="AP58" s="169">
        <v>209</v>
      </c>
      <c r="AQ58" s="169">
        <v>41</v>
      </c>
      <c r="AR58" s="78">
        <f t="shared" si="76"/>
        <v>168</v>
      </c>
      <c r="AS58" s="169">
        <v>323</v>
      </c>
      <c r="AT58" s="169">
        <v>33</v>
      </c>
      <c r="AU58" s="169">
        <v>290</v>
      </c>
      <c r="AV58" s="112"/>
      <c r="AW58" s="175">
        <f t="shared" si="143"/>
        <v>230</v>
      </c>
      <c r="AX58" s="169">
        <v>230</v>
      </c>
      <c r="AY58" s="169"/>
      <c r="AZ58" s="169">
        <v>8</v>
      </c>
      <c r="BA58" s="113">
        <f t="shared" si="141"/>
        <v>0.22946668776705176</v>
      </c>
      <c r="BB58" s="169"/>
      <c r="BC58" s="112"/>
      <c r="BD58" s="112"/>
      <c r="BE58" s="112"/>
      <c r="BF58" s="169"/>
      <c r="BG58" s="112"/>
      <c r="BH58" s="112"/>
      <c r="BI58" s="1031">
        <v>909</v>
      </c>
      <c r="BJ58" s="2">
        <f t="shared" si="111"/>
        <v>909</v>
      </c>
      <c r="BK58" s="169">
        <v>56</v>
      </c>
      <c r="BL58" s="169">
        <f t="shared" si="112"/>
        <v>130</v>
      </c>
      <c r="BM58" s="1031">
        <f t="shared" si="113"/>
        <v>201.99112848657998</v>
      </c>
      <c r="BN58" s="310">
        <f t="shared" si="114"/>
        <v>145.99112848657998</v>
      </c>
      <c r="BO58" s="262">
        <f t="shared" si="115"/>
        <v>0.18414725374419691</v>
      </c>
      <c r="BP58" s="262">
        <f t="shared" si="116"/>
        <v>0.19967087218869994</v>
      </c>
      <c r="BQ58" s="262">
        <f t="shared" si="117"/>
        <v>0.11080149670136039</v>
      </c>
      <c r="BR58" s="262">
        <f t="shared" si="118"/>
        <v>0.22221246258149613</v>
      </c>
      <c r="BS58" s="988">
        <f t="shared" si="99"/>
        <v>0.55492068265543948</v>
      </c>
      <c r="BT58" s="534">
        <f t="shared" si="119"/>
        <v>28.299556424329001</v>
      </c>
      <c r="BU58" s="534">
        <f t="shared" si="120"/>
        <v>6.5</v>
      </c>
      <c r="BV58" s="113">
        <v>0.05</v>
      </c>
      <c r="BW58" s="276">
        <f t="shared" si="121"/>
        <v>1.5661071623867737E-2</v>
      </c>
      <c r="BX58" s="272">
        <f t="shared" si="122"/>
        <v>46.369556424329005</v>
      </c>
      <c r="BY58" s="113"/>
      <c r="BZ58" s="1035"/>
      <c r="CA58" s="1038"/>
      <c r="CB58" s="2">
        <f t="shared" si="123"/>
        <v>1695</v>
      </c>
      <c r="CC58" s="2">
        <f t="shared" si="95"/>
        <v>1823</v>
      </c>
      <c r="CD58" s="310">
        <f t="shared" si="124"/>
        <v>1823</v>
      </c>
      <c r="CE58" s="310">
        <f t="shared" si="125"/>
        <v>1719</v>
      </c>
      <c r="CF58" s="598"/>
      <c r="CG58" s="598"/>
      <c r="CH58" s="598"/>
      <c r="CI58" s="577">
        <v>88</v>
      </c>
      <c r="CJ58" s="577"/>
      <c r="CK58" s="577"/>
      <c r="CL58" s="517">
        <f t="shared" si="126"/>
        <v>810.97842793774885</v>
      </c>
      <c r="CM58" s="169">
        <f t="shared" si="127"/>
        <v>844.6088715134199</v>
      </c>
      <c r="CN58" s="170">
        <f t="shared" si="43"/>
        <v>246.79999999999995</v>
      </c>
      <c r="CO58" s="170">
        <f t="shared" si="128"/>
        <v>246.79999999999995</v>
      </c>
      <c r="CP58" s="170">
        <f t="shared" si="129"/>
        <v>597.80887151341994</v>
      </c>
      <c r="CQ58" s="170">
        <f t="shared" si="130"/>
        <v>33.630443575671009</v>
      </c>
      <c r="CR58" s="170"/>
      <c r="CS58" s="113">
        <f t="shared" si="131"/>
        <v>1.8611202864234094E-2</v>
      </c>
      <c r="CT58" s="112"/>
      <c r="CU58" s="112"/>
      <c r="CV58" s="112"/>
      <c r="CW58" s="112"/>
      <c r="CX58" s="112"/>
      <c r="CY58" s="112"/>
      <c r="CZ58" s="112"/>
      <c r="DA58" s="112"/>
      <c r="DB58" s="112"/>
      <c r="DC58" s="112"/>
      <c r="DD58" s="112"/>
      <c r="DE58" s="112"/>
      <c r="DF58" s="112"/>
      <c r="DG58" s="112"/>
      <c r="DH58" s="516">
        <f t="shared" si="146"/>
        <v>109.2</v>
      </c>
      <c r="DI58" s="2">
        <f t="shared" si="49"/>
        <v>117.2</v>
      </c>
      <c r="DJ58" s="169">
        <f t="shared" si="50"/>
        <v>109.2</v>
      </c>
      <c r="DK58" s="169">
        <f t="shared" si="142"/>
        <v>8</v>
      </c>
      <c r="DL58" s="113">
        <f t="shared" si="132"/>
        <v>5.9901261656609986E-2</v>
      </c>
      <c r="DM58" s="113">
        <f t="shared" si="133"/>
        <v>0.12013201320132014</v>
      </c>
      <c r="DN58" s="113">
        <v>0.6</v>
      </c>
      <c r="DO58" s="113"/>
      <c r="DP58" s="113"/>
      <c r="DQ58" s="272">
        <v>182</v>
      </c>
      <c r="DR58" s="169"/>
      <c r="DS58" s="169"/>
      <c r="DT58" s="78">
        <f t="shared" si="96"/>
        <v>182</v>
      </c>
      <c r="DU58" s="175">
        <f t="shared" si="97"/>
        <v>1570.559677419355</v>
      </c>
      <c r="DV58" s="169">
        <v>1637</v>
      </c>
      <c r="DW58" s="170">
        <f t="shared" si="134"/>
        <v>265.44032258064499</v>
      </c>
      <c r="DX58" s="534">
        <f t="shared" si="89"/>
        <v>265.44032258064499</v>
      </c>
      <c r="DY58" s="534">
        <f t="shared" si="90"/>
        <v>218.7548387096773</v>
      </c>
      <c r="DZ58" s="386">
        <f t="shared" si="144"/>
        <v>1.3338709677419347</v>
      </c>
      <c r="EA58" s="169">
        <v>199</v>
      </c>
      <c r="EB58" s="169">
        <v>164</v>
      </c>
      <c r="EC58" s="175">
        <f t="shared" si="82"/>
        <v>46.685483870967687</v>
      </c>
      <c r="ED58" s="175">
        <v>0</v>
      </c>
      <c r="EE58" s="175">
        <f t="shared" si="135"/>
        <v>46.685483870967687</v>
      </c>
      <c r="EF58" s="175"/>
      <c r="EG58" s="169">
        <v>0</v>
      </c>
      <c r="EH58" s="78">
        <f t="shared" si="136"/>
        <v>177.44032258064499</v>
      </c>
      <c r="EI58" s="169">
        <v>467</v>
      </c>
      <c r="EJ58" s="169">
        <v>535</v>
      </c>
      <c r="EK58" s="169"/>
      <c r="EL58" s="169"/>
      <c r="EM58" s="169"/>
      <c r="EN58" s="169"/>
      <c r="EO58" s="169">
        <v>579</v>
      </c>
      <c r="EP58" s="169">
        <v>543</v>
      </c>
      <c r="EQ58" s="175">
        <f t="shared" si="91"/>
        <v>1950</v>
      </c>
      <c r="ER58" s="2">
        <f t="shared" si="137"/>
        <v>1807</v>
      </c>
      <c r="ES58" s="262">
        <f t="shared" si="98"/>
        <v>0.92666666666666664</v>
      </c>
      <c r="ET58" s="262"/>
      <c r="EU58" s="262"/>
      <c r="EV58" s="262"/>
      <c r="EW58" s="598"/>
      <c r="EX58" s="598"/>
      <c r="EY58" s="1126"/>
      <c r="EZ58" s="598"/>
      <c r="FA58" s="598"/>
      <c r="FB58" s="598"/>
      <c r="FC58" s="598"/>
      <c r="FD58" s="598"/>
      <c r="FE58" s="979"/>
      <c r="FF58" s="1048"/>
      <c r="FG58" s="518"/>
      <c r="FH58" s="598"/>
      <c r="FI58" s="310">
        <f t="shared" si="65"/>
        <v>36</v>
      </c>
      <c r="FJ58" s="2">
        <f t="shared" si="138"/>
        <v>36</v>
      </c>
      <c r="FK58" s="1048"/>
      <c r="FL58" s="518"/>
      <c r="FM58" s="518"/>
      <c r="FN58" s="518"/>
      <c r="FO58" s="518"/>
      <c r="FP58" s="518"/>
      <c r="FQ58" s="518"/>
      <c r="FR58" s="518"/>
      <c r="FS58" s="1049"/>
      <c r="FT58" s="518"/>
      <c r="FU58" s="518"/>
      <c r="FV58" s="518"/>
      <c r="FW58" s="518"/>
      <c r="FX58" s="518"/>
      <c r="FY58" s="518"/>
      <c r="FZ58" s="115"/>
      <c r="GA58" s="115"/>
      <c r="GB58" s="115"/>
      <c r="GC58" s="115"/>
      <c r="GD58" s="115"/>
      <c r="GE58" s="115"/>
      <c r="GF58" s="115"/>
      <c r="GG58" s="115"/>
      <c r="GH58" s="115"/>
      <c r="GI58" s="115"/>
      <c r="GJ58" s="115"/>
      <c r="GK58" s="1162">
        <f>DataUK4!X211+DataUK4!AH211</f>
        <v>-50.300000000000011</v>
      </c>
      <c r="GL58" s="115"/>
      <c r="GM58" s="115"/>
      <c r="GN58" s="115"/>
      <c r="GO58" s="115"/>
      <c r="GP58" s="310">
        <f t="shared" si="139"/>
        <v>46.685483870967687</v>
      </c>
      <c r="GQ58" s="115"/>
      <c r="GR58" s="115"/>
      <c r="GS58" s="115"/>
      <c r="GT58" s="115"/>
      <c r="GU58" s="991">
        <f t="shared" si="68"/>
        <v>-96.985483870967698</v>
      </c>
      <c r="GW58" s="1063">
        <f>DataUK4!D211+DataUK4!F211</f>
        <v>17</v>
      </c>
      <c r="GX58" s="115"/>
      <c r="GY58" s="615">
        <f t="shared" si="69"/>
        <v>14.263157894736855</v>
      </c>
      <c r="GZ58" s="115"/>
      <c r="HA58" s="115"/>
      <c r="HB58" s="115"/>
      <c r="HC58" s="1051"/>
      <c r="HD58" s="170">
        <f t="shared" si="147"/>
        <v>104</v>
      </c>
      <c r="HE58" s="301">
        <f t="shared" si="93"/>
        <v>112</v>
      </c>
      <c r="HF58" s="301">
        <f t="shared" si="94"/>
        <v>8</v>
      </c>
      <c r="HG58" s="170">
        <f t="shared" si="71"/>
        <v>0</v>
      </c>
      <c r="HH58" s="301">
        <v>0</v>
      </c>
      <c r="HI58" s="301">
        <v>0</v>
      </c>
      <c r="HJ58" s="2">
        <v>0</v>
      </c>
      <c r="HK58" s="2">
        <v>0</v>
      </c>
      <c r="HL58" s="2">
        <v>0</v>
      </c>
      <c r="HM58" s="2">
        <f t="shared" si="72"/>
        <v>0</v>
      </c>
      <c r="HN58" s="2">
        <v>0</v>
      </c>
      <c r="HO58" s="2">
        <v>0</v>
      </c>
      <c r="HP58" s="2">
        <v>0</v>
      </c>
      <c r="HQ58" s="2">
        <v>0</v>
      </c>
      <c r="HR58" s="2">
        <v>0</v>
      </c>
      <c r="HS58" s="1052">
        <v>0</v>
      </c>
      <c r="HT58" s="1002">
        <v>9.1999999999999993</v>
      </c>
      <c r="HU58" s="1002">
        <f t="shared" si="73"/>
        <v>1.1241157556270094</v>
      </c>
      <c r="HV58" s="1002">
        <f t="shared" si="74"/>
        <v>1.3016077170418006</v>
      </c>
    </row>
    <row r="59" spans="1:230" ht="12" customHeight="1">
      <c r="A59" s="110">
        <f t="shared" si="148"/>
        <v>1901</v>
      </c>
      <c r="B59" s="176">
        <f t="shared" si="1"/>
        <v>1804.0000000000002</v>
      </c>
      <c r="C59" s="177">
        <f t="shared" si="145"/>
        <v>106</v>
      </c>
      <c r="D59" s="176">
        <f t="shared" si="100"/>
        <v>1698.0000000000002</v>
      </c>
      <c r="E59" s="154">
        <f t="shared" si="101"/>
        <v>1785</v>
      </c>
      <c r="F59" s="995">
        <f t="shared" si="5"/>
        <v>87</v>
      </c>
      <c r="G59" s="531">
        <f t="shared" si="102"/>
        <v>2038</v>
      </c>
      <c r="H59" s="531">
        <f t="shared" si="103"/>
        <v>1932</v>
      </c>
      <c r="I59" s="531">
        <f t="shared" si="104"/>
        <v>2019</v>
      </c>
      <c r="J59" s="548">
        <f t="shared" si="105"/>
        <v>0.8841010401188707</v>
      </c>
      <c r="K59" s="515">
        <f t="shared" si="87"/>
        <v>136</v>
      </c>
      <c r="L59" s="175">
        <v>136</v>
      </c>
      <c r="M59" s="175">
        <v>0</v>
      </c>
      <c r="N59" s="111"/>
      <c r="O59" s="111"/>
      <c r="P59" s="111"/>
      <c r="Q59" s="111"/>
      <c r="R59" s="111"/>
      <c r="S59" s="532">
        <f t="shared" si="88"/>
        <v>8.1534772182254203E-2</v>
      </c>
      <c r="T59" s="1008">
        <f t="shared" si="13"/>
        <v>136.95000000000002</v>
      </c>
      <c r="U59" s="1010">
        <f t="shared" si="14"/>
        <v>136.95000000000002</v>
      </c>
      <c r="V59" s="511">
        <f t="shared" si="15"/>
        <v>154.80000000000001</v>
      </c>
      <c r="W59" s="2">
        <f t="shared" si="16"/>
        <v>154.80000000000001</v>
      </c>
      <c r="X59" s="169">
        <f t="shared" si="106"/>
        <v>17.850000000000001</v>
      </c>
      <c r="Y59" s="113">
        <f t="shared" si="18"/>
        <v>0.11531007751937984</v>
      </c>
      <c r="Z59" s="113">
        <f t="shared" si="19"/>
        <v>0.11531007751937984</v>
      </c>
      <c r="AA59" s="113"/>
      <c r="AB59" s="1019">
        <v>0.01</v>
      </c>
      <c r="AC59" s="113"/>
      <c r="AD59" s="113"/>
      <c r="AE59" s="113"/>
      <c r="AF59" s="113"/>
      <c r="AG59" s="113"/>
      <c r="AH59" s="113"/>
      <c r="AI59" s="113"/>
      <c r="AJ59" s="171">
        <f t="shared" si="107"/>
        <v>509.62525374032032</v>
      </c>
      <c r="AK59" s="1026">
        <f t="shared" si="108"/>
        <v>123.5</v>
      </c>
      <c r="AL59" s="169">
        <f t="shared" si="109"/>
        <v>536.44763551612664</v>
      </c>
      <c r="AM59" s="169">
        <f t="shared" si="75"/>
        <v>130</v>
      </c>
      <c r="AN59" s="169">
        <f t="shared" si="110"/>
        <v>318.17761822419368</v>
      </c>
      <c r="AO59" s="1027">
        <f t="shared" si="140"/>
        <v>345</v>
      </c>
      <c r="AP59" s="169">
        <v>213</v>
      </c>
      <c r="AQ59" s="169">
        <v>41</v>
      </c>
      <c r="AR59" s="78">
        <f t="shared" si="76"/>
        <v>172</v>
      </c>
      <c r="AS59" s="169">
        <v>304</v>
      </c>
      <c r="AT59" s="169">
        <v>33</v>
      </c>
      <c r="AU59" s="169">
        <v>271</v>
      </c>
      <c r="AV59" s="112"/>
      <c r="AW59" s="175">
        <f t="shared" si="143"/>
        <v>216</v>
      </c>
      <c r="AX59" s="169">
        <v>216</v>
      </c>
      <c r="AY59" s="169"/>
      <c r="AZ59" s="169">
        <v>8</v>
      </c>
      <c r="BA59" s="113">
        <f t="shared" si="141"/>
        <v>0.22253243553949748</v>
      </c>
      <c r="BB59" s="169"/>
      <c r="BC59" s="112"/>
      <c r="BD59" s="112"/>
      <c r="BE59" s="112"/>
      <c r="BF59" s="169"/>
      <c r="BG59" s="112"/>
      <c r="BH59" s="112"/>
      <c r="BI59" s="1031">
        <v>908</v>
      </c>
      <c r="BJ59" s="2">
        <f t="shared" si="111"/>
        <v>908</v>
      </c>
      <c r="BK59" s="169">
        <v>56</v>
      </c>
      <c r="BL59" s="169">
        <f t="shared" si="112"/>
        <v>130</v>
      </c>
      <c r="BM59" s="1031">
        <f t="shared" si="113"/>
        <v>191.44763551612661</v>
      </c>
      <c r="BN59" s="310">
        <f t="shared" si="114"/>
        <v>135.44763551612661</v>
      </c>
      <c r="BO59" s="262">
        <f t="shared" si="115"/>
        <v>0.17637340256330025</v>
      </c>
      <c r="BP59" s="262">
        <f t="shared" si="116"/>
        <v>0.19124168514412418</v>
      </c>
      <c r="BQ59" s="262">
        <f t="shared" si="117"/>
        <v>0.106123966472354</v>
      </c>
      <c r="BR59" s="262">
        <f t="shared" si="118"/>
        <v>0.21084541356401609</v>
      </c>
      <c r="BS59" s="988">
        <f t="shared" si="99"/>
        <v>0.55492068265543948</v>
      </c>
      <c r="BT59" s="534">
        <f t="shared" si="119"/>
        <v>26.822381775806335</v>
      </c>
      <c r="BU59" s="534">
        <f t="shared" si="120"/>
        <v>6.5</v>
      </c>
      <c r="BV59" s="113">
        <v>0.05</v>
      </c>
      <c r="BW59" s="276">
        <f t="shared" si="121"/>
        <v>1.5026544412216434E-2</v>
      </c>
      <c r="BX59" s="272">
        <f t="shared" si="122"/>
        <v>44.672381775806336</v>
      </c>
      <c r="BY59" s="113"/>
      <c r="BZ59" s="1035"/>
      <c r="CA59" s="1038"/>
      <c r="CB59" s="2">
        <f t="shared" si="123"/>
        <v>1668</v>
      </c>
      <c r="CC59" s="2">
        <f t="shared" si="95"/>
        <v>1804</v>
      </c>
      <c r="CD59" s="310">
        <f t="shared" si="124"/>
        <v>1804</v>
      </c>
      <c r="CE59" s="310">
        <f t="shared" si="125"/>
        <v>1698</v>
      </c>
      <c r="CF59" s="598"/>
      <c r="CG59" s="598"/>
      <c r="CH59" s="598"/>
      <c r="CI59" s="577">
        <v>87</v>
      </c>
      <c r="CJ59" s="577"/>
      <c r="CK59" s="577"/>
      <c r="CL59" s="517">
        <f t="shared" si="126"/>
        <v>794.2247462596797</v>
      </c>
      <c r="CM59" s="169">
        <f t="shared" si="127"/>
        <v>828.55236448387336</v>
      </c>
      <c r="CN59" s="170">
        <f t="shared" si="43"/>
        <v>233.20000000000005</v>
      </c>
      <c r="CO59" s="170">
        <f t="shared" si="128"/>
        <v>233.20000000000005</v>
      </c>
      <c r="CP59" s="170">
        <f t="shared" si="129"/>
        <v>595.35236448387332</v>
      </c>
      <c r="CQ59" s="170">
        <f t="shared" si="130"/>
        <v>34.327618224193671</v>
      </c>
      <c r="CR59" s="170"/>
      <c r="CS59" s="113">
        <f t="shared" si="131"/>
        <v>1.9231158669016063E-2</v>
      </c>
      <c r="CT59" s="112"/>
      <c r="CU59" s="112"/>
      <c r="CV59" s="112"/>
      <c r="CW59" s="112"/>
      <c r="CX59" s="112"/>
      <c r="CY59" s="112"/>
      <c r="CZ59" s="112"/>
      <c r="DA59" s="112"/>
      <c r="DB59" s="112"/>
      <c r="DC59" s="112"/>
      <c r="DD59" s="112"/>
      <c r="DE59" s="112"/>
      <c r="DF59" s="112"/>
      <c r="DG59" s="112"/>
      <c r="DH59" s="516">
        <f t="shared" si="146"/>
        <v>121.19999999999999</v>
      </c>
      <c r="DI59" s="2">
        <f t="shared" si="49"/>
        <v>129.19999999999999</v>
      </c>
      <c r="DJ59" s="169">
        <f t="shared" si="50"/>
        <v>121.19999999999999</v>
      </c>
      <c r="DK59" s="169">
        <f t="shared" si="142"/>
        <v>8</v>
      </c>
      <c r="DL59" s="113">
        <f t="shared" si="132"/>
        <v>6.7184035476718404E-2</v>
      </c>
      <c r="DM59" s="113">
        <f t="shared" si="133"/>
        <v>0.13348017621145372</v>
      </c>
      <c r="DN59" s="113">
        <v>0.6</v>
      </c>
      <c r="DO59" s="113"/>
      <c r="DP59" s="113"/>
      <c r="DQ59" s="272">
        <v>202</v>
      </c>
      <c r="DR59" s="169"/>
      <c r="DS59" s="169"/>
      <c r="DT59" s="78">
        <f t="shared" si="96"/>
        <v>202</v>
      </c>
      <c r="DU59" s="175">
        <f t="shared" si="97"/>
        <v>1611.5451612903228</v>
      </c>
      <c r="DV59" s="169">
        <v>1677</v>
      </c>
      <c r="DW59" s="170">
        <f t="shared" si="134"/>
        <v>287.45483870967723</v>
      </c>
      <c r="DX59" s="534">
        <f t="shared" si="89"/>
        <v>262.45483870967723</v>
      </c>
      <c r="DY59" s="534">
        <f t="shared" si="90"/>
        <v>207.832258064516</v>
      </c>
      <c r="DZ59" s="386">
        <f t="shared" si="144"/>
        <v>1.3322580645161282</v>
      </c>
      <c r="EA59" s="169">
        <v>197</v>
      </c>
      <c r="EB59" s="169">
        <v>156</v>
      </c>
      <c r="EC59" s="175">
        <f t="shared" si="82"/>
        <v>54.622580645161236</v>
      </c>
      <c r="ED59" s="175">
        <v>0</v>
      </c>
      <c r="EE59" s="175">
        <f t="shared" si="135"/>
        <v>54.622580645161236</v>
      </c>
      <c r="EF59" s="175"/>
      <c r="EG59" s="169">
        <v>25</v>
      </c>
      <c r="EH59" s="78">
        <f t="shared" si="136"/>
        <v>175.45483870967723</v>
      </c>
      <c r="EI59" s="169">
        <v>458</v>
      </c>
      <c r="EJ59" s="169">
        <v>540</v>
      </c>
      <c r="EK59" s="169"/>
      <c r="EL59" s="169"/>
      <c r="EM59" s="169"/>
      <c r="EN59" s="169"/>
      <c r="EO59" s="169">
        <v>573</v>
      </c>
      <c r="EP59" s="169">
        <v>549</v>
      </c>
      <c r="EQ59" s="175">
        <f t="shared" si="91"/>
        <v>2019</v>
      </c>
      <c r="ER59" s="2">
        <f t="shared" si="137"/>
        <v>1785</v>
      </c>
      <c r="ES59" s="262">
        <f t="shared" si="98"/>
        <v>0.8841010401188707</v>
      </c>
      <c r="ET59" s="262"/>
      <c r="EU59" s="262"/>
      <c r="EV59" s="262"/>
      <c r="EW59" s="598"/>
      <c r="EX59" s="598"/>
      <c r="EY59" s="1126"/>
      <c r="EZ59" s="598"/>
      <c r="FA59" s="598"/>
      <c r="FB59" s="598"/>
      <c r="FC59" s="598"/>
      <c r="FD59" s="598"/>
      <c r="FE59" s="979"/>
      <c r="FF59" s="1048"/>
      <c r="FG59" s="518"/>
      <c r="FH59" s="598"/>
      <c r="FI59" s="310">
        <f t="shared" si="65"/>
        <v>24</v>
      </c>
      <c r="FJ59" s="2">
        <f t="shared" si="138"/>
        <v>24</v>
      </c>
      <c r="FK59" s="1048"/>
      <c r="FL59" s="518"/>
      <c r="FM59" s="518"/>
      <c r="FN59" s="518"/>
      <c r="FO59" s="518"/>
      <c r="FP59" s="518"/>
      <c r="FQ59" s="518"/>
      <c r="FR59" s="518"/>
      <c r="FS59" s="1049"/>
      <c r="FT59" s="518"/>
      <c r="FU59" s="518"/>
      <c r="FV59" s="518"/>
      <c r="FW59" s="518"/>
      <c r="FX59" s="518"/>
      <c r="FY59" s="518"/>
      <c r="FZ59" s="115"/>
      <c r="GA59" s="115"/>
      <c r="GB59" s="115"/>
      <c r="GC59" s="115"/>
      <c r="GD59" s="115"/>
      <c r="GE59" s="115"/>
      <c r="GF59" s="115"/>
      <c r="GG59" s="115"/>
      <c r="GH59" s="115"/>
      <c r="GI59" s="115"/>
      <c r="GJ59" s="115"/>
      <c r="GK59" s="1162">
        <f>DataUK4!X212+DataUK4!AH212</f>
        <v>-49.699999999999989</v>
      </c>
      <c r="GL59" s="115"/>
      <c r="GM59" s="115"/>
      <c r="GN59" s="115"/>
      <c r="GO59" s="115"/>
      <c r="GP59" s="310">
        <f t="shared" si="139"/>
        <v>54.622580645161236</v>
      </c>
      <c r="GQ59" s="115"/>
      <c r="GR59" s="115"/>
      <c r="GS59" s="115"/>
      <c r="GT59" s="115"/>
      <c r="GU59" s="991">
        <f t="shared" si="68"/>
        <v>-104.32258064516122</v>
      </c>
      <c r="GW59" s="1063">
        <f>DataUK4!D212+DataUK4!F212</f>
        <v>18.899999999999999</v>
      </c>
      <c r="GX59" s="115"/>
      <c r="GY59" s="615">
        <f t="shared" si="69"/>
        <v>15.857275541795678</v>
      </c>
      <c r="GZ59" s="115"/>
      <c r="HA59" s="115"/>
      <c r="HB59" s="115"/>
      <c r="HC59" s="1051"/>
      <c r="HD59" s="170">
        <f t="shared" si="147"/>
        <v>106</v>
      </c>
      <c r="HE59" s="301">
        <f t="shared" si="93"/>
        <v>115</v>
      </c>
      <c r="HF59" s="301">
        <f t="shared" si="94"/>
        <v>9</v>
      </c>
      <c r="HG59" s="170">
        <f t="shared" si="71"/>
        <v>0</v>
      </c>
      <c r="HH59" s="301">
        <v>0</v>
      </c>
      <c r="HI59" s="301">
        <v>0</v>
      </c>
      <c r="HJ59" s="2">
        <v>0</v>
      </c>
      <c r="HK59" s="2">
        <v>0</v>
      </c>
      <c r="HL59" s="2">
        <v>0</v>
      </c>
      <c r="HM59" s="2">
        <f t="shared" si="72"/>
        <v>0</v>
      </c>
      <c r="HN59" s="2">
        <v>0</v>
      </c>
      <c r="HO59" s="2">
        <v>0</v>
      </c>
      <c r="HP59" s="2">
        <v>0</v>
      </c>
      <c r="HQ59" s="2">
        <v>0</v>
      </c>
      <c r="HR59" s="2">
        <v>0</v>
      </c>
      <c r="HS59" s="1052">
        <v>0</v>
      </c>
      <c r="HT59" s="1002">
        <v>9.1999999999999993</v>
      </c>
      <c r="HU59" s="1002">
        <f t="shared" si="73"/>
        <v>1.1241157556270094</v>
      </c>
      <c r="HV59" s="1002">
        <f t="shared" si="74"/>
        <v>1.3016077170418006</v>
      </c>
    </row>
    <row r="60" spans="1:230" ht="12" customHeight="1">
      <c r="A60" s="110">
        <f t="shared" si="148"/>
        <v>1902</v>
      </c>
      <c r="B60" s="176">
        <f t="shared" si="1"/>
        <v>1833</v>
      </c>
      <c r="C60" s="177">
        <f t="shared" si="145"/>
        <v>109</v>
      </c>
      <c r="D60" s="176">
        <f t="shared" si="100"/>
        <v>1724</v>
      </c>
      <c r="E60" s="154">
        <f t="shared" si="101"/>
        <v>1809</v>
      </c>
      <c r="F60" s="995">
        <f t="shared" si="5"/>
        <v>85</v>
      </c>
      <c r="G60" s="531">
        <f t="shared" si="102"/>
        <v>2025</v>
      </c>
      <c r="H60" s="531">
        <f t="shared" si="103"/>
        <v>1916</v>
      </c>
      <c r="I60" s="531">
        <f t="shared" si="104"/>
        <v>2001</v>
      </c>
      <c r="J60" s="548">
        <f t="shared" si="105"/>
        <v>0.90404797601199405</v>
      </c>
      <c r="K60" s="515">
        <f t="shared" si="87"/>
        <v>146</v>
      </c>
      <c r="L60" s="175">
        <v>146</v>
      </c>
      <c r="M60" s="175">
        <v>0</v>
      </c>
      <c r="N60" s="111"/>
      <c r="O60" s="111"/>
      <c r="P60" s="111"/>
      <c r="Q60" s="111"/>
      <c r="R60" s="111"/>
      <c r="S60" s="532">
        <f t="shared" ref="S60:S91" si="149">K60/CB60</f>
        <v>8.6544161232957911E-2</v>
      </c>
      <c r="T60" s="1008">
        <f t="shared" si="13"/>
        <v>139.41</v>
      </c>
      <c r="U60" s="1010">
        <f t="shared" si="14"/>
        <v>139.41</v>
      </c>
      <c r="V60" s="511">
        <f t="shared" si="15"/>
        <v>157.5</v>
      </c>
      <c r="W60" s="2">
        <f t="shared" si="16"/>
        <v>157.5</v>
      </c>
      <c r="X60" s="169">
        <f t="shared" si="106"/>
        <v>18.09</v>
      </c>
      <c r="Y60" s="113">
        <f t="shared" si="18"/>
        <v>0.11485714285714285</v>
      </c>
      <c r="Z60" s="113">
        <f t="shared" si="19"/>
        <v>0.11485714285714285</v>
      </c>
      <c r="AA60" s="113"/>
      <c r="AB60" s="1019">
        <v>0.01</v>
      </c>
      <c r="AC60" s="113"/>
      <c r="AD60" s="113"/>
      <c r="AE60" s="113"/>
      <c r="AF60" s="113"/>
      <c r="AG60" s="113"/>
      <c r="AH60" s="113"/>
      <c r="AI60" s="113"/>
      <c r="AJ60" s="171">
        <f t="shared" si="107"/>
        <v>525.87417487406958</v>
      </c>
      <c r="AK60" s="1026">
        <f t="shared" si="108"/>
        <v>131.1</v>
      </c>
      <c r="AL60" s="169">
        <f t="shared" si="109"/>
        <v>553.55176302533641</v>
      </c>
      <c r="AM60" s="169">
        <f t="shared" si="75"/>
        <v>138</v>
      </c>
      <c r="AN60" s="169">
        <f t="shared" si="110"/>
        <v>328.32241184873317</v>
      </c>
      <c r="AO60" s="1027">
        <f t="shared" si="140"/>
        <v>356</v>
      </c>
      <c r="AP60" s="169">
        <v>217</v>
      </c>
      <c r="AQ60" s="169">
        <v>42</v>
      </c>
      <c r="AR60" s="78">
        <f t="shared" si="76"/>
        <v>175</v>
      </c>
      <c r="AS60" s="169">
        <v>314</v>
      </c>
      <c r="AT60" s="169">
        <v>40</v>
      </c>
      <c r="AU60" s="169">
        <v>274</v>
      </c>
      <c r="AV60" s="112"/>
      <c r="AW60" s="175">
        <f t="shared" si="143"/>
        <v>223</v>
      </c>
      <c r="AX60" s="169">
        <v>223</v>
      </c>
      <c r="AY60" s="169"/>
      <c r="AZ60" s="169">
        <v>10</v>
      </c>
      <c r="BA60" s="113">
        <f t="shared" si="141"/>
        <v>0.22349102773246329</v>
      </c>
      <c r="BB60" s="169"/>
      <c r="BC60" s="112"/>
      <c r="BD60" s="112"/>
      <c r="BE60" s="112"/>
      <c r="BF60" s="169"/>
      <c r="BG60" s="112"/>
      <c r="BH60" s="112"/>
      <c r="BI60" s="1031">
        <v>899</v>
      </c>
      <c r="BJ60" s="2">
        <f t="shared" si="111"/>
        <v>899</v>
      </c>
      <c r="BK60" s="169">
        <v>56</v>
      </c>
      <c r="BL60" s="169">
        <f t="shared" si="112"/>
        <v>138</v>
      </c>
      <c r="BM60" s="1031">
        <f t="shared" si="113"/>
        <v>197.55176302533644</v>
      </c>
      <c r="BN60" s="310">
        <f t="shared" si="114"/>
        <v>141.55176302533644</v>
      </c>
      <c r="BO60" s="262">
        <f t="shared" si="115"/>
        <v>0.17911751873907975</v>
      </c>
      <c r="BP60" s="262">
        <f t="shared" si="116"/>
        <v>0.19421713038734315</v>
      </c>
      <c r="BQ60" s="262">
        <f t="shared" si="117"/>
        <v>0.10777510257792496</v>
      </c>
      <c r="BR60" s="262">
        <f t="shared" si="118"/>
        <v>0.21974612127401161</v>
      </c>
      <c r="BS60" s="988">
        <f t="shared" si="99"/>
        <v>0.55492068265543948</v>
      </c>
      <c r="BT60" s="534">
        <f t="shared" si="119"/>
        <v>27.677588151266821</v>
      </c>
      <c r="BU60" s="534">
        <f t="shared" si="120"/>
        <v>6.9</v>
      </c>
      <c r="BV60" s="113">
        <v>0.05</v>
      </c>
      <c r="BW60" s="276">
        <f t="shared" si="121"/>
        <v>1.5299938170960101E-2</v>
      </c>
      <c r="BX60" s="272">
        <f t="shared" si="122"/>
        <v>45.767588151266821</v>
      </c>
      <c r="BY60" s="113"/>
      <c r="BZ60" s="1035"/>
      <c r="CA60" s="1038"/>
      <c r="CB60" s="2">
        <f t="shared" si="123"/>
        <v>1687</v>
      </c>
      <c r="CC60" s="2">
        <f t="shared" si="95"/>
        <v>1833</v>
      </c>
      <c r="CD60" s="310">
        <f t="shared" si="124"/>
        <v>1833</v>
      </c>
      <c r="CE60" s="310">
        <f t="shared" si="125"/>
        <v>1724</v>
      </c>
      <c r="CF60" s="598"/>
      <c r="CG60" s="598"/>
      <c r="CH60" s="598"/>
      <c r="CI60" s="577">
        <v>85</v>
      </c>
      <c r="CJ60" s="577"/>
      <c r="CK60" s="577"/>
      <c r="CL60" s="517">
        <f t="shared" si="126"/>
        <v>798.71582512593045</v>
      </c>
      <c r="CM60" s="169">
        <f t="shared" si="127"/>
        <v>827.94823697466359</v>
      </c>
      <c r="CN60" s="170">
        <f t="shared" si="43"/>
        <v>240.5</v>
      </c>
      <c r="CO60" s="170">
        <f t="shared" si="128"/>
        <v>240.5</v>
      </c>
      <c r="CP60" s="170">
        <f t="shared" si="129"/>
        <v>587.44823697466359</v>
      </c>
      <c r="CQ60" s="170">
        <f t="shared" si="130"/>
        <v>29.232411848733179</v>
      </c>
      <c r="CR60" s="170"/>
      <c r="CS60" s="113">
        <f t="shared" si="131"/>
        <v>1.6159431646618674E-2</v>
      </c>
      <c r="CT60" s="112"/>
      <c r="CU60" s="112"/>
      <c r="CV60" s="112"/>
      <c r="CW60" s="112"/>
      <c r="CX60" s="112"/>
      <c r="CY60" s="112"/>
      <c r="CZ60" s="112"/>
      <c r="DA60" s="112"/>
      <c r="DB60" s="112"/>
      <c r="DC60" s="112"/>
      <c r="DD60" s="112"/>
      <c r="DE60" s="112"/>
      <c r="DF60" s="112"/>
      <c r="DG60" s="112"/>
      <c r="DH60" s="516">
        <f t="shared" si="146"/>
        <v>114</v>
      </c>
      <c r="DI60" s="2">
        <f t="shared" si="49"/>
        <v>124</v>
      </c>
      <c r="DJ60" s="169">
        <f t="shared" si="50"/>
        <v>114</v>
      </c>
      <c r="DK60" s="169">
        <f t="shared" si="142"/>
        <v>10</v>
      </c>
      <c r="DL60" s="113">
        <f t="shared" si="132"/>
        <v>6.2193126022913256E-2</v>
      </c>
      <c r="DM60" s="113">
        <f t="shared" si="133"/>
        <v>0.12680756395995552</v>
      </c>
      <c r="DN60" s="113">
        <v>0.6</v>
      </c>
      <c r="DO60" s="113"/>
      <c r="DP60" s="113"/>
      <c r="DQ60" s="272">
        <v>190</v>
      </c>
      <c r="DR60" s="169"/>
      <c r="DS60" s="169"/>
      <c r="DT60" s="78">
        <f t="shared" si="96"/>
        <v>190</v>
      </c>
      <c r="DU60" s="175">
        <f t="shared" si="97"/>
        <v>1620.8629032258066</v>
      </c>
      <c r="DV60" s="169">
        <v>1686</v>
      </c>
      <c r="DW60" s="170">
        <f t="shared" si="134"/>
        <v>267.13709677419337</v>
      </c>
      <c r="DX60" s="534">
        <f t="shared" si="89"/>
        <v>262.13709677419337</v>
      </c>
      <c r="DY60" s="534">
        <f t="shared" si="90"/>
        <v>218.22580645161275</v>
      </c>
      <c r="DZ60" s="386">
        <f t="shared" si="144"/>
        <v>1.3306451612903216</v>
      </c>
      <c r="EA60" s="169">
        <v>197</v>
      </c>
      <c r="EB60" s="169">
        <v>164</v>
      </c>
      <c r="EC60" s="175">
        <f t="shared" si="82"/>
        <v>43.911290322580612</v>
      </c>
      <c r="ED60" s="175">
        <v>0</v>
      </c>
      <c r="EE60" s="175">
        <f t="shared" si="135"/>
        <v>43.911290322580612</v>
      </c>
      <c r="EF60" s="175"/>
      <c r="EG60" s="169">
        <v>5</v>
      </c>
      <c r="EH60" s="78">
        <f t="shared" si="136"/>
        <v>177.13709677419337</v>
      </c>
      <c r="EI60" s="169">
        <v>460</v>
      </c>
      <c r="EJ60" s="169">
        <v>537</v>
      </c>
      <c r="EK60" s="169"/>
      <c r="EL60" s="169"/>
      <c r="EM60" s="169"/>
      <c r="EN60" s="169"/>
      <c r="EO60" s="169">
        <v>579</v>
      </c>
      <c r="EP60" s="169">
        <v>547</v>
      </c>
      <c r="EQ60" s="175">
        <f t="shared" ref="EQ60:EQ91" si="150">DT60+DU60+DW60+EI60-EJ60</f>
        <v>2001</v>
      </c>
      <c r="ER60" s="2">
        <f t="shared" si="137"/>
        <v>1809</v>
      </c>
      <c r="ES60" s="262">
        <f t="shared" si="98"/>
        <v>0.90404797601199405</v>
      </c>
      <c r="ET60" s="262"/>
      <c r="EU60" s="262"/>
      <c r="EV60" s="262"/>
      <c r="EW60" s="598"/>
      <c r="EX60" s="598"/>
      <c r="EY60" s="1126"/>
      <c r="EZ60" s="598"/>
      <c r="FA60" s="598"/>
      <c r="FB60" s="598"/>
      <c r="FC60" s="598"/>
      <c r="FD60" s="598"/>
      <c r="FE60" s="979"/>
      <c r="FF60" s="1048"/>
      <c r="FG60" s="518"/>
      <c r="FH60" s="598"/>
      <c r="FI60" s="310">
        <f t="shared" si="65"/>
        <v>32</v>
      </c>
      <c r="FJ60" s="2">
        <f t="shared" si="138"/>
        <v>32</v>
      </c>
      <c r="FK60" s="1048"/>
      <c r="FL60" s="518"/>
      <c r="FM60" s="518"/>
      <c r="FN60" s="518"/>
      <c r="FO60" s="518"/>
      <c r="FP60" s="518"/>
      <c r="FQ60" s="518"/>
      <c r="FR60" s="518"/>
      <c r="FS60" s="1049"/>
      <c r="FT60" s="518"/>
      <c r="FU60" s="518"/>
      <c r="FV60" s="518"/>
      <c r="FW60" s="518"/>
      <c r="FX60" s="518"/>
      <c r="FY60" s="518"/>
      <c r="FZ60" s="115"/>
      <c r="GA60" s="115"/>
      <c r="GB60" s="115"/>
      <c r="GC60" s="115"/>
      <c r="GD60" s="115"/>
      <c r="GE60" s="115"/>
      <c r="GF60" s="115"/>
      <c r="GG60" s="115"/>
      <c r="GH60" s="115"/>
      <c r="GI60" s="115"/>
      <c r="GJ60" s="115"/>
      <c r="GK60" s="1162">
        <f>DataUK4!X213+DataUK4!AH213</f>
        <v>-25.599999999999966</v>
      </c>
      <c r="GL60" s="115"/>
      <c r="GM60" s="115"/>
      <c r="GN60" s="115"/>
      <c r="GO60" s="115"/>
      <c r="GP60" s="310">
        <f t="shared" si="139"/>
        <v>43.911290322580612</v>
      </c>
      <c r="GQ60" s="115"/>
      <c r="GR60" s="115"/>
      <c r="GS60" s="115"/>
      <c r="GT60" s="115"/>
      <c r="GU60" s="991">
        <f t="shared" si="68"/>
        <v>-69.511290322580578</v>
      </c>
      <c r="GW60" s="1063">
        <f>DataUK4!D213+DataUK4!F213</f>
        <v>19.899999999999999</v>
      </c>
      <c r="GX60" s="115"/>
      <c r="GY60" s="615">
        <f t="shared" si="69"/>
        <v>16.696284829721375</v>
      </c>
      <c r="GZ60" s="115"/>
      <c r="HA60" s="115"/>
      <c r="HB60" s="115"/>
      <c r="HC60" s="1051"/>
      <c r="HD60" s="170">
        <f t="shared" si="147"/>
        <v>109</v>
      </c>
      <c r="HE60" s="301">
        <f t="shared" ref="HE60:HE91" si="151">EO60-EI60</f>
        <v>119</v>
      </c>
      <c r="HF60" s="301">
        <f t="shared" ref="HF60:HF91" si="152">EP60-EJ60</f>
        <v>10</v>
      </c>
      <c r="HG60" s="170">
        <f t="shared" si="71"/>
        <v>0</v>
      </c>
      <c r="HH60" s="301">
        <v>0</v>
      </c>
      <c r="HI60" s="301">
        <v>0</v>
      </c>
      <c r="HJ60" s="2">
        <v>0</v>
      </c>
      <c r="HK60" s="2">
        <v>0</v>
      </c>
      <c r="HL60" s="2">
        <v>0</v>
      </c>
      <c r="HM60" s="2">
        <f t="shared" si="72"/>
        <v>0</v>
      </c>
      <c r="HN60" s="2">
        <v>0</v>
      </c>
      <c r="HO60" s="2">
        <v>0</v>
      </c>
      <c r="HP60" s="2">
        <v>0</v>
      </c>
      <c r="HQ60" s="2">
        <v>0</v>
      </c>
      <c r="HR60" s="2">
        <v>0</v>
      </c>
      <c r="HS60" s="1052">
        <v>0</v>
      </c>
      <c r="HT60" s="1002">
        <v>9.1999999999999993</v>
      </c>
      <c r="HU60" s="1002">
        <f t="shared" si="73"/>
        <v>1.1241157556270094</v>
      </c>
      <c r="HV60" s="1002">
        <f t="shared" si="74"/>
        <v>1.3016077170418006</v>
      </c>
    </row>
    <row r="61" spans="1:230" ht="12" customHeight="1">
      <c r="A61" s="110">
        <f t="shared" si="148"/>
        <v>1903</v>
      </c>
      <c r="B61" s="176">
        <f t="shared" si="1"/>
        <v>1807</v>
      </c>
      <c r="C61" s="177">
        <f t="shared" si="145"/>
        <v>112</v>
      </c>
      <c r="D61" s="176">
        <f t="shared" si="100"/>
        <v>1695</v>
      </c>
      <c r="E61" s="154">
        <f t="shared" si="101"/>
        <v>1781</v>
      </c>
      <c r="F61" s="995">
        <f t="shared" si="5"/>
        <v>86</v>
      </c>
      <c r="G61" s="531">
        <f t="shared" si="102"/>
        <v>2023</v>
      </c>
      <c r="H61" s="531">
        <f t="shared" si="103"/>
        <v>1911</v>
      </c>
      <c r="I61" s="531">
        <f t="shared" si="104"/>
        <v>1997</v>
      </c>
      <c r="J61" s="548">
        <f t="shared" si="105"/>
        <v>0.89183775663495246</v>
      </c>
      <c r="K61" s="515">
        <f t="shared" si="87"/>
        <v>146</v>
      </c>
      <c r="L61" s="175">
        <v>146</v>
      </c>
      <c r="M61" s="175">
        <v>0</v>
      </c>
      <c r="N61" s="111"/>
      <c r="O61" s="111"/>
      <c r="P61" s="111"/>
      <c r="Q61" s="111"/>
      <c r="R61" s="111"/>
      <c r="S61" s="532">
        <f t="shared" si="149"/>
        <v>8.7898856110776635E-2</v>
      </c>
      <c r="T61" s="1008">
        <f t="shared" si="13"/>
        <v>144.19</v>
      </c>
      <c r="U61" s="1010">
        <f t="shared" si="14"/>
        <v>144.19</v>
      </c>
      <c r="V61" s="511">
        <f t="shared" si="15"/>
        <v>162</v>
      </c>
      <c r="W61" s="2">
        <f t="shared" si="16"/>
        <v>162</v>
      </c>
      <c r="X61" s="169">
        <f t="shared" si="106"/>
        <v>17.809999999999999</v>
      </c>
      <c r="Y61" s="113">
        <f t="shared" si="18"/>
        <v>0.10993827160493827</v>
      </c>
      <c r="Z61" s="113">
        <f t="shared" si="19"/>
        <v>0.10993827160493827</v>
      </c>
      <c r="AA61" s="113"/>
      <c r="AB61" s="1019">
        <v>0.01</v>
      </c>
      <c r="AC61" s="113"/>
      <c r="AD61" s="113"/>
      <c r="AE61" s="113"/>
      <c r="AF61" s="113"/>
      <c r="AG61" s="113"/>
      <c r="AH61" s="113"/>
      <c r="AI61" s="113"/>
      <c r="AJ61" s="171">
        <f t="shared" si="107"/>
        <v>484.51328471543496</v>
      </c>
      <c r="AK61" s="1026">
        <f t="shared" si="108"/>
        <v>120.65</v>
      </c>
      <c r="AL61" s="169">
        <f t="shared" si="109"/>
        <v>510.01398391098417</v>
      </c>
      <c r="AM61" s="169">
        <f t="shared" si="75"/>
        <v>127</v>
      </c>
      <c r="AN61" s="169">
        <f t="shared" si="110"/>
        <v>302.4993008044508</v>
      </c>
      <c r="AO61" s="1027">
        <f t="shared" si="140"/>
        <v>328</v>
      </c>
      <c r="AP61" s="169">
        <v>221</v>
      </c>
      <c r="AQ61" s="169">
        <v>41</v>
      </c>
      <c r="AR61" s="78">
        <f t="shared" si="76"/>
        <v>180</v>
      </c>
      <c r="AS61" s="169">
        <v>287</v>
      </c>
      <c r="AT61" s="169">
        <v>30</v>
      </c>
      <c r="AU61" s="169">
        <v>257</v>
      </c>
      <c r="AV61" s="112"/>
      <c r="AW61" s="175">
        <f t="shared" si="143"/>
        <v>208</v>
      </c>
      <c r="AX61" s="169">
        <v>208</v>
      </c>
      <c r="AY61" s="169"/>
      <c r="AZ61" s="169">
        <v>11</v>
      </c>
      <c r="BA61" s="113">
        <f t="shared" si="141"/>
        <v>0.21141822968081608</v>
      </c>
      <c r="BB61" s="169"/>
      <c r="BC61" s="112"/>
      <c r="BD61" s="112"/>
      <c r="BE61" s="112"/>
      <c r="BF61" s="169"/>
      <c r="BG61" s="112"/>
      <c r="BH61" s="112"/>
      <c r="BI61" s="1031">
        <v>908</v>
      </c>
      <c r="BJ61" s="2">
        <f t="shared" si="111"/>
        <v>908</v>
      </c>
      <c r="BK61" s="169">
        <v>56</v>
      </c>
      <c r="BL61" s="169">
        <f t="shared" si="112"/>
        <v>127</v>
      </c>
      <c r="BM61" s="1031">
        <f t="shared" si="113"/>
        <v>182.01398391098414</v>
      </c>
      <c r="BN61" s="310">
        <f t="shared" si="114"/>
        <v>126.01398391098414</v>
      </c>
      <c r="BO61" s="262">
        <f t="shared" si="115"/>
        <v>0.1674041509709191</v>
      </c>
      <c r="BP61" s="262">
        <f t="shared" si="116"/>
        <v>0.18151632540121748</v>
      </c>
      <c r="BQ61" s="262">
        <f t="shared" si="117"/>
        <v>0.10072716320475049</v>
      </c>
      <c r="BR61" s="262">
        <f t="shared" si="118"/>
        <v>0.20045592941738341</v>
      </c>
      <c r="BS61" s="988">
        <f t="shared" si="99"/>
        <v>0.55492068265543948</v>
      </c>
      <c r="BT61" s="534">
        <f t="shared" si="119"/>
        <v>25.50069919554921</v>
      </c>
      <c r="BU61" s="534">
        <f t="shared" si="120"/>
        <v>6.3500000000000005</v>
      </c>
      <c r="BV61" s="113">
        <v>0.05</v>
      </c>
      <c r="BW61" s="276">
        <f t="shared" si="121"/>
        <v>1.4318191575266261E-2</v>
      </c>
      <c r="BX61" s="272">
        <f t="shared" si="122"/>
        <v>43.310699195549205</v>
      </c>
      <c r="BY61" s="113"/>
      <c r="BZ61" s="1035"/>
      <c r="CA61" s="1038"/>
      <c r="CB61" s="2">
        <f t="shared" si="123"/>
        <v>1661</v>
      </c>
      <c r="CC61" s="2">
        <f t="shared" si="95"/>
        <v>1807</v>
      </c>
      <c r="CD61" s="310">
        <f t="shared" si="124"/>
        <v>1807</v>
      </c>
      <c r="CE61" s="310">
        <f t="shared" si="125"/>
        <v>1695</v>
      </c>
      <c r="CF61" s="598"/>
      <c r="CG61" s="598"/>
      <c r="CH61" s="598"/>
      <c r="CI61" s="577">
        <v>86</v>
      </c>
      <c r="CJ61" s="577"/>
      <c r="CK61" s="577"/>
      <c r="CL61" s="517">
        <f t="shared" si="126"/>
        <v>818.89671528456506</v>
      </c>
      <c r="CM61" s="169">
        <f t="shared" si="127"/>
        <v>850.58601608901586</v>
      </c>
      <c r="CN61" s="170">
        <f t="shared" si="43"/>
        <v>226</v>
      </c>
      <c r="CO61" s="170">
        <f t="shared" si="128"/>
        <v>226</v>
      </c>
      <c r="CP61" s="170">
        <f t="shared" si="129"/>
        <v>624.58601608901586</v>
      </c>
      <c r="CQ61" s="170">
        <f t="shared" si="130"/>
        <v>31.689300804450788</v>
      </c>
      <c r="CR61" s="170"/>
      <c r="CS61" s="113">
        <f t="shared" si="131"/>
        <v>1.7792981922768552E-2</v>
      </c>
      <c r="CT61" s="112"/>
      <c r="CU61" s="112"/>
      <c r="CV61" s="112"/>
      <c r="CW61" s="112"/>
      <c r="CX61" s="112"/>
      <c r="CY61" s="112"/>
      <c r="CZ61" s="112"/>
      <c r="DA61" s="112"/>
      <c r="DB61" s="112"/>
      <c r="DC61" s="112"/>
      <c r="DD61" s="112"/>
      <c r="DE61" s="112"/>
      <c r="DF61" s="112"/>
      <c r="DG61" s="112"/>
      <c r="DH61" s="516">
        <f t="shared" si="146"/>
        <v>101.39999999999999</v>
      </c>
      <c r="DI61" s="2">
        <f t="shared" si="49"/>
        <v>112.39999999999999</v>
      </c>
      <c r="DJ61" s="169">
        <f t="shared" si="50"/>
        <v>101.39999999999999</v>
      </c>
      <c r="DK61" s="169">
        <f t="shared" si="142"/>
        <v>11</v>
      </c>
      <c r="DL61" s="113">
        <f t="shared" si="132"/>
        <v>5.6115107913669061E-2</v>
      </c>
      <c r="DM61" s="113">
        <f t="shared" si="133"/>
        <v>0.11167400881057268</v>
      </c>
      <c r="DN61" s="113">
        <v>0.6</v>
      </c>
      <c r="DO61" s="113"/>
      <c r="DP61" s="113"/>
      <c r="DQ61" s="272">
        <v>169</v>
      </c>
      <c r="DR61" s="169"/>
      <c r="DS61" s="169"/>
      <c r="DT61" s="78">
        <f t="shared" si="96"/>
        <v>169</v>
      </c>
      <c r="DU61" s="175">
        <f t="shared" si="97"/>
        <v>1633.8516129032259</v>
      </c>
      <c r="DV61" s="169">
        <v>1699</v>
      </c>
      <c r="DW61" s="170">
        <f t="shared" si="134"/>
        <v>258.148387096774</v>
      </c>
      <c r="DX61" s="534">
        <f t="shared" si="89"/>
        <v>263.148387096774</v>
      </c>
      <c r="DY61" s="534">
        <f t="shared" si="90"/>
        <v>212.64516129032242</v>
      </c>
      <c r="DZ61" s="386">
        <f t="shared" si="144"/>
        <v>1.3290322580645151</v>
      </c>
      <c r="EA61" s="169">
        <v>198</v>
      </c>
      <c r="EB61" s="169">
        <v>160</v>
      </c>
      <c r="EC61" s="175">
        <f t="shared" si="82"/>
        <v>50.503225806451582</v>
      </c>
      <c r="ED61" s="175">
        <v>0</v>
      </c>
      <c r="EE61" s="175">
        <f t="shared" si="135"/>
        <v>50.503225806451582</v>
      </c>
      <c r="EF61" s="175"/>
      <c r="EG61" s="169">
        <v>-5</v>
      </c>
      <c r="EH61" s="78">
        <f t="shared" si="136"/>
        <v>177.148387096774</v>
      </c>
      <c r="EI61" s="169">
        <v>479</v>
      </c>
      <c r="EJ61" s="169">
        <v>543</v>
      </c>
      <c r="EK61" s="169"/>
      <c r="EL61" s="169"/>
      <c r="EM61" s="169"/>
      <c r="EN61" s="169"/>
      <c r="EO61" s="169">
        <v>601</v>
      </c>
      <c r="EP61" s="169">
        <v>553</v>
      </c>
      <c r="EQ61" s="175">
        <f t="shared" si="150"/>
        <v>1997</v>
      </c>
      <c r="ER61" s="2">
        <f t="shared" si="137"/>
        <v>1781</v>
      </c>
      <c r="ES61" s="262">
        <f t="shared" si="98"/>
        <v>0.89183775663495246</v>
      </c>
      <c r="ET61" s="262"/>
      <c r="EU61" s="262"/>
      <c r="EV61" s="262"/>
      <c r="EW61" s="598"/>
      <c r="EX61" s="598"/>
      <c r="EY61" s="1126"/>
      <c r="EZ61" s="598"/>
      <c r="FA61" s="598"/>
      <c r="FB61" s="598"/>
      <c r="FC61" s="598"/>
      <c r="FD61" s="598"/>
      <c r="FE61" s="979"/>
      <c r="FF61" s="1048"/>
      <c r="FG61" s="518"/>
      <c r="FH61" s="598"/>
      <c r="FI61" s="310">
        <f t="shared" si="65"/>
        <v>48</v>
      </c>
      <c r="FJ61" s="2">
        <f t="shared" si="138"/>
        <v>48</v>
      </c>
      <c r="FK61" s="1048"/>
      <c r="FL61" s="518"/>
      <c r="FM61" s="518"/>
      <c r="FN61" s="518"/>
      <c r="FO61" s="518"/>
      <c r="FP61" s="518"/>
      <c r="FQ61" s="518"/>
      <c r="FR61" s="518"/>
      <c r="FS61" s="1049"/>
      <c r="FT61" s="518"/>
      <c r="FU61" s="518"/>
      <c r="FV61" s="518"/>
      <c r="FW61" s="518"/>
      <c r="FX61" s="518"/>
      <c r="FY61" s="518"/>
      <c r="FZ61" s="115"/>
      <c r="GA61" s="115"/>
      <c r="GB61" s="115"/>
      <c r="GC61" s="115"/>
      <c r="GD61" s="115"/>
      <c r="GE61" s="115"/>
      <c r="GF61" s="115"/>
      <c r="GG61" s="115"/>
      <c r="GH61" s="115"/>
      <c r="GI61" s="115"/>
      <c r="GJ61" s="115"/>
      <c r="GK61" s="1162">
        <f>DataUK4!X214+DataUK4!AH214</f>
        <v>2.5</v>
      </c>
      <c r="GL61" s="115"/>
      <c r="GM61" s="115"/>
      <c r="GN61" s="115"/>
      <c r="GO61" s="115"/>
      <c r="GP61" s="310">
        <f t="shared" si="139"/>
        <v>50.503225806451582</v>
      </c>
      <c r="GQ61" s="115"/>
      <c r="GR61" s="115"/>
      <c r="GS61" s="115"/>
      <c r="GT61" s="115"/>
      <c r="GU61" s="991">
        <f t="shared" si="68"/>
        <v>-48.003225806451582</v>
      </c>
      <c r="GW61" s="1063">
        <f>DataUK4!D214+DataUK4!F214</f>
        <v>19</v>
      </c>
      <c r="GX61" s="115"/>
      <c r="GY61" s="615">
        <f t="shared" si="69"/>
        <v>15.941176470588248</v>
      </c>
      <c r="GZ61" s="115"/>
      <c r="HA61" s="115"/>
      <c r="HB61" s="115"/>
      <c r="HC61" s="1051"/>
      <c r="HD61" s="170">
        <f t="shared" si="147"/>
        <v>112</v>
      </c>
      <c r="HE61" s="301">
        <f t="shared" si="151"/>
        <v>122</v>
      </c>
      <c r="HF61" s="301">
        <f t="shared" si="152"/>
        <v>10</v>
      </c>
      <c r="HG61" s="170">
        <f t="shared" si="71"/>
        <v>0</v>
      </c>
      <c r="HH61" s="301">
        <v>0</v>
      </c>
      <c r="HI61" s="301">
        <v>0</v>
      </c>
      <c r="HJ61" s="2">
        <v>0</v>
      </c>
      <c r="HK61" s="2">
        <v>0</v>
      </c>
      <c r="HL61" s="2">
        <v>0</v>
      </c>
      <c r="HM61" s="2">
        <f t="shared" si="72"/>
        <v>0</v>
      </c>
      <c r="HN61" s="2">
        <v>0</v>
      </c>
      <c r="HO61" s="2">
        <v>0</v>
      </c>
      <c r="HP61" s="2">
        <v>0</v>
      </c>
      <c r="HQ61" s="2">
        <v>0</v>
      </c>
      <c r="HR61" s="2">
        <v>0</v>
      </c>
      <c r="HS61" s="1052">
        <v>0</v>
      </c>
      <c r="HT61" s="1002">
        <v>9.3000000000000007</v>
      </c>
      <c r="HU61" s="1002">
        <f t="shared" si="73"/>
        <v>1.1363344051446946</v>
      </c>
      <c r="HV61" s="1002">
        <f t="shared" si="74"/>
        <v>1.3157556270096464</v>
      </c>
    </row>
    <row r="62" spans="1:230" ht="12" customHeight="1">
      <c r="A62" s="110">
        <f t="shared" si="148"/>
        <v>1904</v>
      </c>
      <c r="B62" s="176">
        <f t="shared" si="1"/>
        <v>1797.9999999999998</v>
      </c>
      <c r="C62" s="177">
        <f t="shared" si="145"/>
        <v>113</v>
      </c>
      <c r="D62" s="176">
        <f t="shared" si="100"/>
        <v>1684.9999999999998</v>
      </c>
      <c r="E62" s="154">
        <f t="shared" si="101"/>
        <v>1772</v>
      </c>
      <c r="F62" s="995">
        <f t="shared" si="5"/>
        <v>87</v>
      </c>
      <c r="G62" s="531">
        <f t="shared" si="102"/>
        <v>2041</v>
      </c>
      <c r="H62" s="531">
        <f t="shared" si="103"/>
        <v>1928</v>
      </c>
      <c r="I62" s="531">
        <f t="shared" si="104"/>
        <v>2015</v>
      </c>
      <c r="J62" s="548">
        <f t="shared" si="105"/>
        <v>0.87940446650124071</v>
      </c>
      <c r="K62" s="515">
        <f t="shared" si="87"/>
        <v>151</v>
      </c>
      <c r="L62" s="175">
        <v>151</v>
      </c>
      <c r="M62" s="175">
        <v>0</v>
      </c>
      <c r="N62" s="111"/>
      <c r="O62" s="111"/>
      <c r="P62" s="111"/>
      <c r="Q62" s="111"/>
      <c r="R62" s="111"/>
      <c r="S62" s="532">
        <f t="shared" si="149"/>
        <v>9.1681845780206439E-2</v>
      </c>
      <c r="T62" s="1008">
        <f t="shared" si="13"/>
        <v>147.88</v>
      </c>
      <c r="U62" s="1010">
        <f t="shared" si="14"/>
        <v>147.88</v>
      </c>
      <c r="V62" s="511">
        <f t="shared" si="15"/>
        <v>165.6</v>
      </c>
      <c r="W62" s="2">
        <f t="shared" si="16"/>
        <v>165.6</v>
      </c>
      <c r="X62" s="169">
        <f t="shared" si="106"/>
        <v>17.72</v>
      </c>
      <c r="Y62" s="113">
        <f t="shared" si="18"/>
        <v>0.1070048309178744</v>
      </c>
      <c r="Z62" s="113">
        <f t="shared" si="19"/>
        <v>0.1070048309178744</v>
      </c>
      <c r="AA62" s="113"/>
      <c r="AB62" s="1019">
        <v>0.01</v>
      </c>
      <c r="AC62" s="113"/>
      <c r="AD62" s="113"/>
      <c r="AE62" s="113"/>
      <c r="AF62" s="113"/>
      <c r="AG62" s="113"/>
      <c r="AH62" s="113"/>
      <c r="AI62" s="113"/>
      <c r="AJ62" s="171">
        <f t="shared" si="107"/>
        <v>481.55893541838958</v>
      </c>
      <c r="AK62" s="1026">
        <f t="shared" si="108"/>
        <v>120.65</v>
      </c>
      <c r="AL62" s="169">
        <f t="shared" si="109"/>
        <v>506.90414254567327</v>
      </c>
      <c r="AM62" s="169">
        <f t="shared" si="75"/>
        <v>127</v>
      </c>
      <c r="AN62" s="169">
        <f t="shared" si="110"/>
        <v>300.65479287271631</v>
      </c>
      <c r="AO62" s="1027">
        <f t="shared" si="140"/>
        <v>326</v>
      </c>
      <c r="AP62" s="169">
        <v>225</v>
      </c>
      <c r="AQ62" s="169">
        <v>41</v>
      </c>
      <c r="AR62" s="78">
        <f t="shared" si="76"/>
        <v>184</v>
      </c>
      <c r="AS62" s="169">
        <v>285</v>
      </c>
      <c r="AT62" s="169">
        <v>30</v>
      </c>
      <c r="AU62" s="169">
        <v>255</v>
      </c>
      <c r="AV62" s="112"/>
      <c r="AW62" s="175">
        <f t="shared" si="143"/>
        <v>204</v>
      </c>
      <c r="AX62" s="169">
        <v>204</v>
      </c>
      <c r="AY62" s="169"/>
      <c r="AZ62" s="169">
        <v>14</v>
      </c>
      <c r="BA62" s="113">
        <f t="shared" si="141"/>
        <v>0.2128192288432649</v>
      </c>
      <c r="BB62" s="169"/>
      <c r="BC62" s="112"/>
      <c r="BD62" s="112"/>
      <c r="BE62" s="112"/>
      <c r="BF62" s="169"/>
      <c r="BG62" s="112"/>
      <c r="BH62" s="112"/>
      <c r="BI62" s="1031">
        <v>893</v>
      </c>
      <c r="BJ62" s="2">
        <f t="shared" si="111"/>
        <v>893</v>
      </c>
      <c r="BK62" s="169">
        <v>56</v>
      </c>
      <c r="BL62" s="169">
        <f t="shared" si="112"/>
        <v>127</v>
      </c>
      <c r="BM62" s="1031">
        <f t="shared" si="113"/>
        <v>180.90414254567327</v>
      </c>
      <c r="BN62" s="310">
        <f t="shared" si="114"/>
        <v>124.90414254567327</v>
      </c>
      <c r="BO62" s="262">
        <f t="shared" si="115"/>
        <v>0.16721623630295679</v>
      </c>
      <c r="BP62" s="262">
        <f t="shared" si="116"/>
        <v>0.18131256952169078</v>
      </c>
      <c r="BQ62" s="262">
        <f t="shared" si="117"/>
        <v>0.10061409485298847</v>
      </c>
      <c r="BR62" s="262">
        <f t="shared" si="118"/>
        <v>0.20258022681486368</v>
      </c>
      <c r="BS62" s="988">
        <f t="shared" si="99"/>
        <v>0.55492068265543948</v>
      </c>
      <c r="BT62" s="534">
        <f t="shared" si="119"/>
        <v>25.345207127283665</v>
      </c>
      <c r="BU62" s="534">
        <f t="shared" si="120"/>
        <v>6.3500000000000005</v>
      </c>
      <c r="BV62" s="113">
        <v>0.05</v>
      </c>
      <c r="BW62" s="276">
        <f t="shared" si="121"/>
        <v>1.4303164293049472E-2</v>
      </c>
      <c r="BX62" s="272">
        <f t="shared" si="122"/>
        <v>43.065207127283664</v>
      </c>
      <c r="BY62" s="113"/>
      <c r="BZ62" s="1035"/>
      <c r="CA62" s="1038"/>
      <c r="CB62" s="2">
        <f t="shared" si="123"/>
        <v>1647</v>
      </c>
      <c r="CC62" s="2">
        <f t="shared" si="95"/>
        <v>1798</v>
      </c>
      <c r="CD62" s="310">
        <f t="shared" si="124"/>
        <v>1798</v>
      </c>
      <c r="CE62" s="310">
        <f t="shared" si="125"/>
        <v>1685</v>
      </c>
      <c r="CF62" s="598"/>
      <c r="CG62" s="598"/>
      <c r="CH62" s="598"/>
      <c r="CI62" s="577">
        <v>87</v>
      </c>
      <c r="CJ62" s="577"/>
      <c r="CK62" s="577"/>
      <c r="CL62" s="517">
        <f t="shared" si="126"/>
        <v>806.76106458161041</v>
      </c>
      <c r="CM62" s="169">
        <f t="shared" si="127"/>
        <v>836.69585745432676</v>
      </c>
      <c r="CN62" s="170">
        <f t="shared" si="43"/>
        <v>222.39999999999998</v>
      </c>
      <c r="CO62" s="170">
        <f t="shared" si="128"/>
        <v>222.39999999999998</v>
      </c>
      <c r="CP62" s="170">
        <f t="shared" si="129"/>
        <v>614.29585745432678</v>
      </c>
      <c r="CQ62" s="170">
        <f t="shared" si="130"/>
        <v>29.934792872716336</v>
      </c>
      <c r="CR62" s="170"/>
      <c r="CS62" s="113">
        <f t="shared" si="131"/>
        <v>1.6893223968801545E-2</v>
      </c>
      <c r="CT62" s="112"/>
      <c r="CU62" s="112"/>
      <c r="CV62" s="112"/>
      <c r="CW62" s="112"/>
      <c r="CX62" s="112"/>
      <c r="CY62" s="112"/>
      <c r="CZ62" s="112"/>
      <c r="DA62" s="112"/>
      <c r="DB62" s="112"/>
      <c r="DC62" s="112"/>
      <c r="DD62" s="112"/>
      <c r="DE62" s="112"/>
      <c r="DF62" s="112"/>
      <c r="DG62" s="112"/>
      <c r="DH62" s="516">
        <f t="shared" si="146"/>
        <v>97.8</v>
      </c>
      <c r="DI62" s="2">
        <f t="shared" si="49"/>
        <v>111.8</v>
      </c>
      <c r="DJ62" s="169">
        <f t="shared" si="50"/>
        <v>97.8</v>
      </c>
      <c r="DK62" s="169">
        <f t="shared" si="142"/>
        <v>14</v>
      </c>
      <c r="DL62" s="113">
        <f t="shared" si="132"/>
        <v>5.4393770856507227E-2</v>
      </c>
      <c r="DM62" s="113">
        <f t="shared" si="133"/>
        <v>0.10951847704367301</v>
      </c>
      <c r="DN62" s="113">
        <v>0.6</v>
      </c>
      <c r="DO62" s="113"/>
      <c r="DP62" s="113"/>
      <c r="DQ62" s="272">
        <v>163</v>
      </c>
      <c r="DR62" s="169"/>
      <c r="DS62" s="169"/>
      <c r="DT62" s="78">
        <f t="shared" si="96"/>
        <v>163</v>
      </c>
      <c r="DU62" s="175">
        <f t="shared" si="97"/>
        <v>1657.7725806451615</v>
      </c>
      <c r="DV62" s="169">
        <v>1719</v>
      </c>
      <c r="DW62" s="170">
        <f t="shared" si="134"/>
        <v>253.2274193548385</v>
      </c>
      <c r="DX62" s="534">
        <f t="shared" si="89"/>
        <v>248.2274193548385</v>
      </c>
      <c r="DY62" s="534">
        <f t="shared" si="90"/>
        <v>197.78548387096757</v>
      </c>
      <c r="DZ62" s="386">
        <f t="shared" si="144"/>
        <v>1.3274193548387085</v>
      </c>
      <c r="EA62" s="169">
        <v>187</v>
      </c>
      <c r="EB62" s="169">
        <v>149</v>
      </c>
      <c r="EC62" s="175">
        <f t="shared" si="82"/>
        <v>50.441935483870935</v>
      </c>
      <c r="ED62" s="175">
        <v>0</v>
      </c>
      <c r="EE62" s="175">
        <f t="shared" si="135"/>
        <v>50.441935483870935</v>
      </c>
      <c r="EF62" s="175"/>
      <c r="EG62" s="169">
        <v>5</v>
      </c>
      <c r="EH62" s="78">
        <f t="shared" si="136"/>
        <v>161.2274193548385</v>
      </c>
      <c r="EI62" s="169">
        <v>492</v>
      </c>
      <c r="EJ62" s="169">
        <v>551</v>
      </c>
      <c r="EK62" s="169"/>
      <c r="EL62" s="169"/>
      <c r="EM62" s="169"/>
      <c r="EN62" s="169"/>
      <c r="EO62" s="169">
        <v>616</v>
      </c>
      <c r="EP62" s="169">
        <v>562</v>
      </c>
      <c r="EQ62" s="175">
        <f t="shared" si="150"/>
        <v>2015</v>
      </c>
      <c r="ER62" s="2">
        <f t="shared" si="137"/>
        <v>1772</v>
      </c>
      <c r="ES62" s="262">
        <f t="shared" si="98"/>
        <v>0.87940446650124071</v>
      </c>
      <c r="ET62" s="262"/>
      <c r="EU62" s="262"/>
      <c r="EV62" s="262"/>
      <c r="EW62" s="598"/>
      <c r="EX62" s="598"/>
      <c r="EY62" s="1126"/>
      <c r="EZ62" s="598"/>
      <c r="FA62" s="598"/>
      <c r="FB62" s="598"/>
      <c r="FC62" s="598"/>
      <c r="FD62" s="598"/>
      <c r="FE62" s="979"/>
      <c r="FF62" s="1048"/>
      <c r="FG62" s="518"/>
      <c r="FH62" s="598"/>
      <c r="FI62" s="310">
        <f t="shared" si="65"/>
        <v>54</v>
      </c>
      <c r="FJ62" s="2">
        <f t="shared" si="138"/>
        <v>54</v>
      </c>
      <c r="FK62" s="1048"/>
      <c r="FL62" s="518"/>
      <c r="FM62" s="518"/>
      <c r="FN62" s="518"/>
      <c r="FO62" s="518"/>
      <c r="FP62" s="518"/>
      <c r="FQ62" s="518"/>
      <c r="FR62" s="518"/>
      <c r="FS62" s="1049"/>
      <c r="FT62" s="518"/>
      <c r="FU62" s="518"/>
      <c r="FV62" s="518"/>
      <c r="FW62" s="518"/>
      <c r="FX62" s="518"/>
      <c r="FY62" s="518"/>
      <c r="FZ62" s="115"/>
      <c r="GA62" s="115"/>
      <c r="GB62" s="115"/>
      <c r="GC62" s="115"/>
      <c r="GD62" s="115"/>
      <c r="GE62" s="115"/>
      <c r="GF62" s="115"/>
      <c r="GG62" s="115"/>
      <c r="GH62" s="115"/>
      <c r="GI62" s="115"/>
      <c r="GJ62" s="115"/>
      <c r="GK62" s="1162">
        <f>DataUK4!X215+DataUK4!AH215</f>
        <v>10.199999999999989</v>
      </c>
      <c r="GL62" s="115"/>
      <c r="GM62" s="115"/>
      <c r="GN62" s="115"/>
      <c r="GO62" s="115"/>
      <c r="GP62" s="310">
        <f t="shared" si="139"/>
        <v>50.441935483870935</v>
      </c>
      <c r="GQ62" s="115"/>
      <c r="GR62" s="115"/>
      <c r="GS62" s="115"/>
      <c r="GT62" s="115"/>
      <c r="GU62" s="991">
        <f t="shared" si="68"/>
        <v>-40.241935483870947</v>
      </c>
      <c r="GW62" s="1063">
        <f>DataUK4!D215+DataUK4!F215</f>
        <v>18.3</v>
      </c>
      <c r="GX62" s="115"/>
      <c r="GY62" s="615">
        <f t="shared" si="69"/>
        <v>15.353869969040261</v>
      </c>
      <c r="GZ62" s="115"/>
      <c r="HA62" s="115"/>
      <c r="HB62" s="115"/>
      <c r="HC62" s="1051"/>
      <c r="HD62" s="170">
        <f t="shared" si="147"/>
        <v>113</v>
      </c>
      <c r="HE62" s="301">
        <f t="shared" si="151"/>
        <v>124</v>
      </c>
      <c r="HF62" s="301">
        <f t="shared" si="152"/>
        <v>11</v>
      </c>
      <c r="HG62" s="170">
        <f t="shared" si="71"/>
        <v>0</v>
      </c>
      <c r="HH62" s="301">
        <v>0</v>
      </c>
      <c r="HI62" s="301">
        <v>0</v>
      </c>
      <c r="HJ62" s="2">
        <v>0</v>
      </c>
      <c r="HK62" s="2">
        <v>0</v>
      </c>
      <c r="HL62" s="2">
        <v>0</v>
      </c>
      <c r="HM62" s="2">
        <f t="shared" si="72"/>
        <v>0</v>
      </c>
      <c r="HN62" s="2">
        <v>0</v>
      </c>
      <c r="HO62" s="2">
        <v>0</v>
      </c>
      <c r="HP62" s="2">
        <v>0</v>
      </c>
      <c r="HQ62" s="2">
        <v>0</v>
      </c>
      <c r="HR62" s="2">
        <v>0</v>
      </c>
      <c r="HS62" s="1052">
        <v>0</v>
      </c>
      <c r="HT62" s="1002">
        <v>9.3000000000000007</v>
      </c>
      <c r="HU62" s="1002">
        <f t="shared" si="73"/>
        <v>1.1363344051446946</v>
      </c>
      <c r="HV62" s="1002">
        <f t="shared" si="74"/>
        <v>1.3157556270096464</v>
      </c>
    </row>
    <row r="63" spans="1:230" ht="12" customHeight="1">
      <c r="A63" s="110">
        <f t="shared" si="148"/>
        <v>1905</v>
      </c>
      <c r="B63" s="176">
        <f t="shared" si="1"/>
        <v>1877</v>
      </c>
      <c r="C63" s="177">
        <f t="shared" si="145"/>
        <v>123</v>
      </c>
      <c r="D63" s="176">
        <f t="shared" si="100"/>
        <v>1754</v>
      </c>
      <c r="E63" s="154">
        <f t="shared" si="101"/>
        <v>1843</v>
      </c>
      <c r="F63" s="995">
        <f t="shared" si="5"/>
        <v>89</v>
      </c>
      <c r="G63" s="531">
        <f t="shared" si="102"/>
        <v>2093</v>
      </c>
      <c r="H63" s="531">
        <f t="shared" si="103"/>
        <v>1970</v>
      </c>
      <c r="I63" s="531">
        <f t="shared" si="104"/>
        <v>2059</v>
      </c>
      <c r="J63" s="548">
        <f t="shared" si="105"/>
        <v>0.89509470616804276</v>
      </c>
      <c r="K63" s="515">
        <f t="shared" si="87"/>
        <v>152</v>
      </c>
      <c r="L63" s="175">
        <v>152</v>
      </c>
      <c r="M63" s="175">
        <v>0</v>
      </c>
      <c r="N63" s="111"/>
      <c r="O63" s="111"/>
      <c r="P63" s="111"/>
      <c r="Q63" s="111"/>
      <c r="R63" s="111"/>
      <c r="S63" s="532">
        <f t="shared" si="149"/>
        <v>8.8115942028985511E-2</v>
      </c>
      <c r="T63" s="1008">
        <f t="shared" si="13"/>
        <v>148.97</v>
      </c>
      <c r="U63" s="1010">
        <f t="shared" si="14"/>
        <v>148.97</v>
      </c>
      <c r="V63" s="511">
        <f t="shared" si="15"/>
        <v>167.4</v>
      </c>
      <c r="W63" s="2">
        <f t="shared" si="16"/>
        <v>167.4</v>
      </c>
      <c r="X63" s="169">
        <f t="shared" si="106"/>
        <v>18.43</v>
      </c>
      <c r="Y63" s="113">
        <f t="shared" si="18"/>
        <v>0.11009557945041816</v>
      </c>
      <c r="Z63" s="113">
        <f t="shared" si="19"/>
        <v>0.11009557945041816</v>
      </c>
      <c r="AA63" s="113"/>
      <c r="AB63" s="1019">
        <v>0.01</v>
      </c>
      <c r="AC63" s="113"/>
      <c r="AD63" s="113"/>
      <c r="AE63" s="113"/>
      <c r="AF63" s="113"/>
      <c r="AG63" s="113"/>
      <c r="AH63" s="113"/>
      <c r="AI63" s="113"/>
      <c r="AJ63" s="171">
        <f t="shared" si="107"/>
        <v>518.48830163145624</v>
      </c>
      <c r="AK63" s="1026">
        <f t="shared" si="108"/>
        <v>124.45</v>
      </c>
      <c r="AL63" s="169">
        <f t="shared" si="109"/>
        <v>545.77715961205922</v>
      </c>
      <c r="AM63" s="169">
        <f t="shared" si="75"/>
        <v>131</v>
      </c>
      <c r="AN63" s="169">
        <f t="shared" si="110"/>
        <v>323.71114201939702</v>
      </c>
      <c r="AO63" s="1027">
        <f t="shared" si="140"/>
        <v>351</v>
      </c>
      <c r="AP63" s="169">
        <v>227</v>
      </c>
      <c r="AQ63" s="169">
        <v>41</v>
      </c>
      <c r="AR63" s="78">
        <f t="shared" si="76"/>
        <v>186</v>
      </c>
      <c r="AS63" s="169">
        <v>310</v>
      </c>
      <c r="AT63" s="169">
        <v>34</v>
      </c>
      <c r="AU63" s="169">
        <v>276</v>
      </c>
      <c r="AV63" s="112"/>
      <c r="AW63" s="175">
        <f t="shared" si="143"/>
        <v>228</v>
      </c>
      <c r="AX63" s="169">
        <v>228</v>
      </c>
      <c r="AY63" s="169"/>
      <c r="AZ63" s="169">
        <v>13</v>
      </c>
      <c r="BA63" s="113">
        <f t="shared" si="141"/>
        <v>0.21849271690943634</v>
      </c>
      <c r="BB63" s="169"/>
      <c r="BC63" s="112"/>
      <c r="BD63" s="112"/>
      <c r="BE63" s="112"/>
      <c r="BF63" s="169"/>
      <c r="BG63" s="112"/>
      <c r="BH63" s="112"/>
      <c r="BI63" s="1031">
        <v>913</v>
      </c>
      <c r="BJ63" s="2">
        <f t="shared" si="111"/>
        <v>913</v>
      </c>
      <c r="BK63" s="169">
        <v>56</v>
      </c>
      <c r="BL63" s="169">
        <f t="shared" si="112"/>
        <v>131</v>
      </c>
      <c r="BM63" s="1031">
        <f t="shared" si="113"/>
        <v>194.77715961205925</v>
      </c>
      <c r="BN63" s="310">
        <f t="shared" si="114"/>
        <v>138.77715961205925</v>
      </c>
      <c r="BO63" s="262">
        <f t="shared" si="115"/>
        <v>0.17246198296185244</v>
      </c>
      <c r="BP63" s="262">
        <f t="shared" si="116"/>
        <v>0.1870005327650506</v>
      </c>
      <c r="BQ63" s="262">
        <f t="shared" si="117"/>
        <v>0.10377046329891276</v>
      </c>
      <c r="BR63" s="262">
        <f t="shared" si="118"/>
        <v>0.21333752421912294</v>
      </c>
      <c r="BS63" s="988">
        <f t="shared" si="99"/>
        <v>0.55492068265543948</v>
      </c>
      <c r="BT63" s="534">
        <f t="shared" si="119"/>
        <v>27.288857980602963</v>
      </c>
      <c r="BU63" s="534">
        <f t="shared" si="120"/>
        <v>6.5500000000000007</v>
      </c>
      <c r="BV63" s="113">
        <v>0.05</v>
      </c>
      <c r="BW63" s="276">
        <f t="shared" si="121"/>
        <v>1.4806759620511645E-2</v>
      </c>
      <c r="BX63" s="272">
        <f t="shared" si="122"/>
        <v>45.718857980602962</v>
      </c>
      <c r="BY63" s="113"/>
      <c r="BZ63" s="1035"/>
      <c r="CA63" s="1038"/>
      <c r="CB63" s="2">
        <f t="shared" si="123"/>
        <v>1725</v>
      </c>
      <c r="CC63" s="2">
        <f t="shared" si="95"/>
        <v>1877</v>
      </c>
      <c r="CD63" s="310">
        <f t="shared" si="124"/>
        <v>1877</v>
      </c>
      <c r="CE63" s="310">
        <f t="shared" si="125"/>
        <v>1754</v>
      </c>
      <c r="CF63" s="598"/>
      <c r="CG63" s="598"/>
      <c r="CH63" s="598"/>
      <c r="CI63" s="577">
        <v>89</v>
      </c>
      <c r="CJ63" s="577"/>
      <c r="CK63" s="577"/>
      <c r="CL63" s="517">
        <f t="shared" si="126"/>
        <v>836.74169836854378</v>
      </c>
      <c r="CM63" s="169">
        <f t="shared" si="127"/>
        <v>867.02284038794085</v>
      </c>
      <c r="CN63" s="170">
        <f t="shared" si="43"/>
        <v>246.60000000000002</v>
      </c>
      <c r="CO63" s="170">
        <f t="shared" si="128"/>
        <v>246.60000000000002</v>
      </c>
      <c r="CP63" s="170">
        <f t="shared" si="129"/>
        <v>620.42284038794082</v>
      </c>
      <c r="CQ63" s="170">
        <f t="shared" si="130"/>
        <v>30.281142019397031</v>
      </c>
      <c r="CR63" s="170"/>
      <c r="CS63" s="113">
        <f t="shared" si="131"/>
        <v>1.6430353781550208E-2</v>
      </c>
      <c r="CT63" s="112"/>
      <c r="CU63" s="112"/>
      <c r="CV63" s="112"/>
      <c r="CW63" s="112"/>
      <c r="CX63" s="112"/>
      <c r="CY63" s="112"/>
      <c r="CZ63" s="112"/>
      <c r="DA63" s="112"/>
      <c r="DB63" s="112"/>
      <c r="DC63" s="112"/>
      <c r="DD63" s="112"/>
      <c r="DE63" s="112"/>
      <c r="DF63" s="112"/>
      <c r="DG63" s="112"/>
      <c r="DH63" s="516">
        <f t="shared" si="146"/>
        <v>97.8</v>
      </c>
      <c r="DI63" s="2">
        <f t="shared" si="49"/>
        <v>110.8</v>
      </c>
      <c r="DJ63" s="169">
        <f t="shared" si="50"/>
        <v>97.8</v>
      </c>
      <c r="DK63" s="169">
        <f t="shared" si="142"/>
        <v>13</v>
      </c>
      <c r="DL63" s="113">
        <f t="shared" si="132"/>
        <v>5.2104421949920085E-2</v>
      </c>
      <c r="DM63" s="113">
        <f t="shared" si="133"/>
        <v>0.10711938663745893</v>
      </c>
      <c r="DN63" s="113">
        <v>0.6</v>
      </c>
      <c r="DO63" s="113"/>
      <c r="DP63" s="113"/>
      <c r="DQ63" s="272">
        <v>163</v>
      </c>
      <c r="DR63" s="169"/>
      <c r="DS63" s="169"/>
      <c r="DT63" s="78">
        <f t="shared" si="96"/>
        <v>163</v>
      </c>
      <c r="DU63" s="175">
        <f t="shared" si="97"/>
        <v>1678.3322580645163</v>
      </c>
      <c r="DV63" s="169">
        <v>1736</v>
      </c>
      <c r="DW63" s="170">
        <f t="shared" si="134"/>
        <v>249.66774193548366</v>
      </c>
      <c r="DX63" s="534">
        <f t="shared" si="89"/>
        <v>234.66774193548366</v>
      </c>
      <c r="DY63" s="534">
        <f t="shared" si="90"/>
        <v>190.91612903225789</v>
      </c>
      <c r="DZ63" s="386">
        <f t="shared" si="144"/>
        <v>1.325806451612902</v>
      </c>
      <c r="EA63" s="169">
        <v>177</v>
      </c>
      <c r="EB63" s="169">
        <v>144</v>
      </c>
      <c r="EC63" s="175">
        <f t="shared" si="82"/>
        <v>43.751612903225777</v>
      </c>
      <c r="ED63" s="175">
        <v>0</v>
      </c>
      <c r="EE63" s="175">
        <f t="shared" si="135"/>
        <v>43.751612903225777</v>
      </c>
      <c r="EF63" s="175"/>
      <c r="EG63" s="169">
        <v>15</v>
      </c>
      <c r="EH63" s="78">
        <f t="shared" si="136"/>
        <v>145.66774193548366</v>
      </c>
      <c r="EI63" s="169">
        <v>535</v>
      </c>
      <c r="EJ63" s="169">
        <v>567</v>
      </c>
      <c r="EK63" s="169"/>
      <c r="EL63" s="169"/>
      <c r="EM63" s="169"/>
      <c r="EN63" s="169"/>
      <c r="EO63" s="169">
        <v>670</v>
      </c>
      <c r="EP63" s="169">
        <v>579</v>
      </c>
      <c r="EQ63" s="175">
        <f t="shared" si="150"/>
        <v>2059</v>
      </c>
      <c r="ER63" s="2">
        <f t="shared" si="137"/>
        <v>1843</v>
      </c>
      <c r="ES63" s="262">
        <f t="shared" si="98"/>
        <v>0.89509470616804276</v>
      </c>
      <c r="ET63" s="262"/>
      <c r="EU63" s="262"/>
      <c r="EV63" s="262"/>
      <c r="EW63" s="598"/>
      <c r="EX63" s="598"/>
      <c r="EY63" s="1126"/>
      <c r="EZ63" s="598"/>
      <c r="FA63" s="598"/>
      <c r="FB63" s="598"/>
      <c r="FC63" s="598"/>
      <c r="FD63" s="598"/>
      <c r="FE63" s="979"/>
      <c r="FF63" s="1048"/>
      <c r="FG63" s="518"/>
      <c r="FH63" s="598"/>
      <c r="FI63" s="310">
        <f t="shared" si="65"/>
        <v>91</v>
      </c>
      <c r="FJ63" s="2">
        <f t="shared" si="138"/>
        <v>91</v>
      </c>
      <c r="FK63" s="1048"/>
      <c r="FL63" s="518"/>
      <c r="FM63" s="518"/>
      <c r="FN63" s="518"/>
      <c r="FO63" s="518"/>
      <c r="FP63" s="518"/>
      <c r="FQ63" s="518"/>
      <c r="FR63" s="518"/>
      <c r="FS63" s="1049"/>
      <c r="FT63" s="518"/>
      <c r="FU63" s="518"/>
      <c r="FV63" s="518"/>
      <c r="FW63" s="518"/>
      <c r="FX63" s="518"/>
      <c r="FY63" s="518"/>
      <c r="FZ63" s="115"/>
      <c r="GA63" s="115"/>
      <c r="GB63" s="115"/>
      <c r="GC63" s="115"/>
      <c r="GD63" s="115"/>
      <c r="GE63" s="115"/>
      <c r="GF63" s="115"/>
      <c r="GG63" s="115"/>
      <c r="GH63" s="115"/>
      <c r="GI63" s="115"/>
      <c r="GJ63" s="115"/>
      <c r="GK63" s="1162">
        <f>DataUK4!X216+DataUK4!AH216</f>
        <v>13.400000000000006</v>
      </c>
      <c r="GL63" s="115"/>
      <c r="GM63" s="115"/>
      <c r="GN63" s="115"/>
      <c r="GO63" s="115"/>
      <c r="GP63" s="310">
        <f t="shared" si="139"/>
        <v>43.751612903225777</v>
      </c>
      <c r="GQ63" s="115"/>
      <c r="GR63" s="115"/>
      <c r="GS63" s="115"/>
      <c r="GT63" s="115"/>
      <c r="GU63" s="991">
        <f t="shared" si="68"/>
        <v>-30.351612903225771</v>
      </c>
      <c r="GW63" s="1063">
        <f>DataUK4!D216+DataUK4!F216</f>
        <v>18.100000000000001</v>
      </c>
      <c r="GX63" s="115"/>
      <c r="GY63" s="615">
        <f t="shared" si="69"/>
        <v>15.186068111455121</v>
      </c>
      <c r="GZ63" s="115"/>
      <c r="HA63" s="115"/>
      <c r="HB63" s="115"/>
      <c r="HC63" s="1051"/>
      <c r="HD63" s="170">
        <f t="shared" si="147"/>
        <v>123</v>
      </c>
      <c r="HE63" s="301">
        <f t="shared" si="151"/>
        <v>135</v>
      </c>
      <c r="HF63" s="301">
        <f t="shared" si="152"/>
        <v>12</v>
      </c>
      <c r="HG63" s="170">
        <f t="shared" si="71"/>
        <v>0</v>
      </c>
      <c r="HH63" s="301">
        <v>0</v>
      </c>
      <c r="HI63" s="301">
        <v>0</v>
      </c>
      <c r="HJ63" s="2">
        <v>0</v>
      </c>
      <c r="HK63" s="2">
        <v>0</v>
      </c>
      <c r="HL63" s="2">
        <v>0</v>
      </c>
      <c r="HM63" s="2">
        <f t="shared" si="72"/>
        <v>0</v>
      </c>
      <c r="HN63" s="2">
        <v>0</v>
      </c>
      <c r="HO63" s="2">
        <v>0</v>
      </c>
      <c r="HP63" s="2">
        <v>0</v>
      </c>
      <c r="HQ63" s="2">
        <v>0</v>
      </c>
      <c r="HR63" s="2">
        <v>0</v>
      </c>
      <c r="HS63" s="1052">
        <v>0</v>
      </c>
      <c r="HT63" s="1002">
        <v>9.3000000000000007</v>
      </c>
      <c r="HU63" s="1002">
        <f t="shared" si="73"/>
        <v>1.1363344051446946</v>
      </c>
      <c r="HV63" s="1002">
        <f t="shared" si="74"/>
        <v>1.3157556270096464</v>
      </c>
    </row>
    <row r="64" spans="1:230" ht="12" customHeight="1">
      <c r="A64" s="110">
        <f t="shared" si="148"/>
        <v>1906</v>
      </c>
      <c r="B64" s="176">
        <f t="shared" si="1"/>
        <v>1979.9999999999998</v>
      </c>
      <c r="C64" s="177">
        <f t="shared" si="145"/>
        <v>134</v>
      </c>
      <c r="D64" s="176">
        <f t="shared" si="100"/>
        <v>1845.9999999999998</v>
      </c>
      <c r="E64" s="154">
        <f t="shared" si="101"/>
        <v>1939</v>
      </c>
      <c r="F64" s="995">
        <f t="shared" si="5"/>
        <v>93</v>
      </c>
      <c r="G64" s="531">
        <f t="shared" si="102"/>
        <v>2155</v>
      </c>
      <c r="H64" s="531">
        <f t="shared" si="103"/>
        <v>2021</v>
      </c>
      <c r="I64" s="531">
        <f t="shared" si="104"/>
        <v>2114</v>
      </c>
      <c r="J64" s="548">
        <f t="shared" si="105"/>
        <v>0.91721854304635764</v>
      </c>
      <c r="K64" s="515">
        <f t="shared" si="87"/>
        <v>153</v>
      </c>
      <c r="L64" s="175">
        <v>153</v>
      </c>
      <c r="M64" s="175">
        <v>0</v>
      </c>
      <c r="N64" s="111"/>
      <c r="O64" s="111"/>
      <c r="P64" s="111"/>
      <c r="Q64" s="111"/>
      <c r="R64" s="111"/>
      <c r="S64" s="532">
        <f t="shared" si="149"/>
        <v>8.3743842364532015E-2</v>
      </c>
      <c r="T64" s="1008">
        <f t="shared" si="13"/>
        <v>149.81</v>
      </c>
      <c r="U64" s="1010">
        <f t="shared" si="14"/>
        <v>149.81</v>
      </c>
      <c r="V64" s="511">
        <f t="shared" si="15"/>
        <v>169.20000000000002</v>
      </c>
      <c r="W64" s="2">
        <f t="shared" si="16"/>
        <v>169.20000000000002</v>
      </c>
      <c r="X64" s="169">
        <f t="shared" si="106"/>
        <v>19.39</v>
      </c>
      <c r="Y64" s="113">
        <f t="shared" si="18"/>
        <v>0.1145981087470449</v>
      </c>
      <c r="Z64" s="113">
        <f t="shared" si="19"/>
        <v>0.1145981087470449</v>
      </c>
      <c r="AA64" s="113"/>
      <c r="AB64" s="1019">
        <v>0.01</v>
      </c>
      <c r="AC64" s="113"/>
      <c r="AD64" s="113"/>
      <c r="AE64" s="113"/>
      <c r="AF64" s="113"/>
      <c r="AG64" s="113"/>
      <c r="AH64" s="113"/>
      <c r="AI64" s="113"/>
      <c r="AJ64" s="171">
        <f t="shared" si="107"/>
        <v>552.46331854747768</v>
      </c>
      <c r="AK64" s="1026">
        <f t="shared" si="108"/>
        <v>132.05000000000001</v>
      </c>
      <c r="AL64" s="169">
        <f t="shared" si="109"/>
        <v>581.54033531313439</v>
      </c>
      <c r="AM64" s="169">
        <f t="shared" si="75"/>
        <v>139</v>
      </c>
      <c r="AN64" s="169">
        <f t="shared" si="110"/>
        <v>344.92298323434329</v>
      </c>
      <c r="AO64" s="1027">
        <f t="shared" si="140"/>
        <v>374</v>
      </c>
      <c r="AP64" s="169">
        <v>230</v>
      </c>
      <c r="AQ64" s="169">
        <v>42</v>
      </c>
      <c r="AR64" s="78">
        <f t="shared" si="76"/>
        <v>188</v>
      </c>
      <c r="AS64" s="169">
        <v>332</v>
      </c>
      <c r="AT64" s="169">
        <v>40</v>
      </c>
      <c r="AU64" s="169">
        <v>292</v>
      </c>
      <c r="AV64" s="112"/>
      <c r="AW64" s="175">
        <f t="shared" si="143"/>
        <v>258</v>
      </c>
      <c r="AX64" s="169">
        <v>258</v>
      </c>
      <c r="AY64" s="169"/>
      <c r="AZ64" s="169">
        <v>14</v>
      </c>
      <c r="BA64" s="113">
        <f t="shared" si="141"/>
        <v>0.2167458432304038</v>
      </c>
      <c r="BB64" s="169"/>
      <c r="BC64" s="112"/>
      <c r="BD64" s="112"/>
      <c r="BE64" s="112"/>
      <c r="BF64" s="169"/>
      <c r="BG64" s="112"/>
      <c r="BH64" s="112"/>
      <c r="BI64" s="1031">
        <v>952</v>
      </c>
      <c r="BJ64" s="2">
        <f t="shared" si="111"/>
        <v>952</v>
      </c>
      <c r="BK64" s="169">
        <v>57</v>
      </c>
      <c r="BL64" s="169">
        <f t="shared" si="112"/>
        <v>139</v>
      </c>
      <c r="BM64" s="1031">
        <f t="shared" si="113"/>
        <v>207.54033531313436</v>
      </c>
      <c r="BN64" s="310">
        <f t="shared" si="114"/>
        <v>150.54033531313436</v>
      </c>
      <c r="BO64" s="262">
        <f t="shared" si="115"/>
        <v>0.17420352688603197</v>
      </c>
      <c r="BP64" s="262">
        <f t="shared" si="116"/>
        <v>0.18888888888888888</v>
      </c>
      <c r="BQ64" s="262">
        <f t="shared" si="117"/>
        <v>0.10481835116824968</v>
      </c>
      <c r="BR64" s="262">
        <f t="shared" si="118"/>
        <v>0.21800455390035123</v>
      </c>
      <c r="BS64" s="988">
        <f t="shared" si="99"/>
        <v>0.55492068265543948</v>
      </c>
      <c r="BT64" s="534">
        <f t="shared" si="119"/>
        <v>29.077016765656722</v>
      </c>
      <c r="BU64" s="534">
        <f t="shared" si="120"/>
        <v>6.95</v>
      </c>
      <c r="BV64" s="113">
        <v>0.05</v>
      </c>
      <c r="BW64" s="276">
        <f t="shared" si="121"/>
        <v>1.4995882808487222E-2</v>
      </c>
      <c r="BX64" s="272">
        <f t="shared" si="122"/>
        <v>48.467016765656723</v>
      </c>
      <c r="BY64" s="113"/>
      <c r="BZ64" s="1035"/>
      <c r="CA64" s="1038"/>
      <c r="CB64" s="2">
        <f t="shared" si="123"/>
        <v>1827</v>
      </c>
      <c r="CC64" s="2">
        <f t="shared" si="95"/>
        <v>1980</v>
      </c>
      <c r="CD64" s="310">
        <f t="shared" si="124"/>
        <v>1980</v>
      </c>
      <c r="CE64" s="310">
        <f t="shared" si="125"/>
        <v>1846</v>
      </c>
      <c r="CF64" s="598"/>
      <c r="CG64" s="598"/>
      <c r="CH64" s="598"/>
      <c r="CI64" s="577">
        <v>93</v>
      </c>
      <c r="CJ64" s="577"/>
      <c r="CK64" s="577"/>
      <c r="CL64" s="517">
        <f t="shared" si="126"/>
        <v>892.9266814525223</v>
      </c>
      <c r="CM64" s="169">
        <f t="shared" si="127"/>
        <v>923.45966468686561</v>
      </c>
      <c r="CN64" s="170">
        <f t="shared" si="43"/>
        <v>276.79999999999995</v>
      </c>
      <c r="CO64" s="170">
        <f t="shared" si="128"/>
        <v>276.79999999999995</v>
      </c>
      <c r="CP64" s="170">
        <f t="shared" si="129"/>
        <v>646.65966468686565</v>
      </c>
      <c r="CQ64" s="170">
        <f t="shared" si="130"/>
        <v>30.532983234343277</v>
      </c>
      <c r="CR64" s="170"/>
      <c r="CS64" s="113">
        <f t="shared" si="131"/>
        <v>1.5746768042466879E-2</v>
      </c>
      <c r="CT64" s="112"/>
      <c r="CU64" s="112"/>
      <c r="CV64" s="112"/>
      <c r="CW64" s="112"/>
      <c r="CX64" s="112"/>
      <c r="CY64" s="112"/>
      <c r="CZ64" s="112"/>
      <c r="DA64" s="112"/>
      <c r="DB64" s="112"/>
      <c r="DC64" s="112"/>
      <c r="DD64" s="112"/>
      <c r="DE64" s="112"/>
      <c r="DF64" s="112"/>
      <c r="DG64" s="112"/>
      <c r="DH64" s="516">
        <f t="shared" si="146"/>
        <v>97.8</v>
      </c>
      <c r="DI64" s="2">
        <f t="shared" si="49"/>
        <v>111.8</v>
      </c>
      <c r="DJ64" s="169">
        <f t="shared" si="50"/>
        <v>97.8</v>
      </c>
      <c r="DK64" s="169">
        <f t="shared" si="142"/>
        <v>14</v>
      </c>
      <c r="DL64" s="113">
        <f t="shared" si="132"/>
        <v>4.9393939393939393E-2</v>
      </c>
      <c r="DM64" s="113">
        <f t="shared" si="133"/>
        <v>0.10273109243697479</v>
      </c>
      <c r="DN64" s="113">
        <v>0.6</v>
      </c>
      <c r="DO64" s="113"/>
      <c r="DP64" s="113"/>
      <c r="DQ64" s="272">
        <v>163</v>
      </c>
      <c r="DR64" s="169"/>
      <c r="DS64" s="169"/>
      <c r="DT64" s="78">
        <f t="shared" si="96"/>
        <v>163</v>
      </c>
      <c r="DU64" s="175">
        <f t="shared" si="97"/>
        <v>1709.2661290322583</v>
      </c>
      <c r="DV64" s="169">
        <v>1766</v>
      </c>
      <c r="DW64" s="170">
        <f t="shared" si="134"/>
        <v>251.73387096774169</v>
      </c>
      <c r="DX64" s="534">
        <f t="shared" si="89"/>
        <v>231.73387096774169</v>
      </c>
      <c r="DY64" s="534">
        <f t="shared" si="90"/>
        <v>193.33225806451594</v>
      </c>
      <c r="DZ64" s="386">
        <f t="shared" si="144"/>
        <v>1.3241935483870955</v>
      </c>
      <c r="EA64" s="169">
        <v>175</v>
      </c>
      <c r="EB64" s="169">
        <v>146</v>
      </c>
      <c r="EC64" s="175">
        <f t="shared" si="82"/>
        <v>38.401612903225754</v>
      </c>
      <c r="ED64" s="175">
        <v>0</v>
      </c>
      <c r="EE64" s="175">
        <f t="shared" si="135"/>
        <v>38.401612903225754</v>
      </c>
      <c r="EF64" s="175"/>
      <c r="EG64" s="169">
        <v>20</v>
      </c>
      <c r="EH64" s="78">
        <f t="shared" si="136"/>
        <v>138.73387096774169</v>
      </c>
      <c r="EI64" s="169">
        <v>601</v>
      </c>
      <c r="EJ64" s="169">
        <v>611</v>
      </c>
      <c r="EK64" s="169"/>
      <c r="EL64" s="169"/>
      <c r="EM64" s="169"/>
      <c r="EN64" s="169"/>
      <c r="EO64" s="169">
        <v>749</v>
      </c>
      <c r="EP64" s="169">
        <v>625</v>
      </c>
      <c r="EQ64" s="175">
        <f t="shared" si="150"/>
        <v>2114</v>
      </c>
      <c r="ER64" s="2">
        <f t="shared" si="137"/>
        <v>1939</v>
      </c>
      <c r="ES64" s="262">
        <f t="shared" si="98"/>
        <v>0.91721854304635764</v>
      </c>
      <c r="ET64" s="262"/>
      <c r="EU64" s="262"/>
      <c r="EV64" s="262"/>
      <c r="EW64" s="598"/>
      <c r="EX64" s="598"/>
      <c r="EY64" s="1126"/>
      <c r="EZ64" s="598"/>
      <c r="FA64" s="598"/>
      <c r="FB64" s="598"/>
      <c r="FC64" s="598"/>
      <c r="FD64" s="598"/>
      <c r="FE64" s="979"/>
      <c r="FF64" s="1048"/>
      <c r="FG64" s="518"/>
      <c r="FH64" s="598"/>
      <c r="FI64" s="310">
        <f t="shared" si="65"/>
        <v>124</v>
      </c>
      <c r="FJ64" s="2">
        <f t="shared" si="138"/>
        <v>124</v>
      </c>
      <c r="FK64" s="1048"/>
      <c r="FL64" s="518"/>
      <c r="FM64" s="518"/>
      <c r="FN64" s="518"/>
      <c r="FO64" s="518"/>
      <c r="FP64" s="518"/>
      <c r="FQ64" s="518"/>
      <c r="FR64" s="518"/>
      <c r="FS64" s="1049"/>
      <c r="FT64" s="518"/>
      <c r="FU64" s="518"/>
      <c r="FV64" s="518"/>
      <c r="FW64" s="518"/>
      <c r="FX64" s="518"/>
      <c r="FY64" s="518"/>
      <c r="FZ64" s="115"/>
      <c r="GA64" s="115"/>
      <c r="GB64" s="115"/>
      <c r="GC64" s="115"/>
      <c r="GD64" s="115"/>
      <c r="GE64" s="115"/>
      <c r="GF64" s="115"/>
      <c r="GG64" s="115"/>
      <c r="GH64" s="115"/>
      <c r="GI64" s="115"/>
      <c r="GJ64" s="115"/>
      <c r="GK64" s="1162">
        <f>DataUK4!X217+DataUK4!AH217</f>
        <v>16</v>
      </c>
      <c r="GL64" s="115"/>
      <c r="GM64" s="115"/>
      <c r="GN64" s="115"/>
      <c r="GO64" s="115"/>
      <c r="GP64" s="310">
        <f t="shared" si="139"/>
        <v>38.401612903225754</v>
      </c>
      <c r="GQ64" s="115"/>
      <c r="GR64" s="115"/>
      <c r="GS64" s="115"/>
      <c r="GT64" s="115"/>
      <c r="GU64" s="991">
        <f t="shared" si="68"/>
        <v>-22.401612903225754</v>
      </c>
      <c r="GW64" s="1063">
        <f>DataUK4!D217+DataUK4!F217</f>
        <v>17.8</v>
      </c>
      <c r="GX64" s="115"/>
      <c r="GY64" s="615">
        <f t="shared" si="69"/>
        <v>14.93436532507741</v>
      </c>
      <c r="GZ64" s="115"/>
      <c r="HA64" s="115"/>
      <c r="HB64" s="115"/>
      <c r="HC64" s="1051"/>
      <c r="HD64" s="170">
        <f t="shared" si="147"/>
        <v>134</v>
      </c>
      <c r="HE64" s="301">
        <f t="shared" si="151"/>
        <v>148</v>
      </c>
      <c r="HF64" s="301">
        <f t="shared" si="152"/>
        <v>14</v>
      </c>
      <c r="HG64" s="170">
        <f t="shared" si="71"/>
        <v>0</v>
      </c>
      <c r="HH64" s="301">
        <v>0</v>
      </c>
      <c r="HI64" s="301">
        <v>0</v>
      </c>
      <c r="HJ64" s="2">
        <v>0</v>
      </c>
      <c r="HK64" s="2">
        <v>0</v>
      </c>
      <c r="HL64" s="2">
        <v>0</v>
      </c>
      <c r="HM64" s="2">
        <f t="shared" si="72"/>
        <v>0</v>
      </c>
      <c r="HN64" s="2">
        <v>0</v>
      </c>
      <c r="HO64" s="2">
        <v>0</v>
      </c>
      <c r="HP64" s="2">
        <v>0</v>
      </c>
      <c r="HQ64" s="2">
        <v>0</v>
      </c>
      <c r="HR64" s="2">
        <v>0</v>
      </c>
      <c r="HS64" s="1052">
        <v>0</v>
      </c>
      <c r="HT64" s="1002">
        <v>9.3000000000000007</v>
      </c>
      <c r="HU64" s="1002">
        <f t="shared" si="73"/>
        <v>1.1363344051446946</v>
      </c>
      <c r="HV64" s="1002">
        <f t="shared" si="74"/>
        <v>1.3157556270096464</v>
      </c>
    </row>
    <row r="65" spans="1:230" ht="12" customHeight="1">
      <c r="A65" s="110">
        <f t="shared" si="148"/>
        <v>1907</v>
      </c>
      <c r="B65" s="176">
        <f t="shared" si="1"/>
        <v>2076</v>
      </c>
      <c r="C65" s="177">
        <f t="shared" si="145"/>
        <v>144</v>
      </c>
      <c r="D65" s="176">
        <f t="shared" si="100"/>
        <v>1932</v>
      </c>
      <c r="E65" s="154">
        <f t="shared" si="101"/>
        <v>2030</v>
      </c>
      <c r="F65" s="995">
        <f t="shared" si="5"/>
        <v>98</v>
      </c>
      <c r="G65" s="531">
        <f t="shared" si="102"/>
        <v>2202</v>
      </c>
      <c r="H65" s="531">
        <f t="shared" si="103"/>
        <v>2058</v>
      </c>
      <c r="I65" s="531">
        <f t="shared" si="104"/>
        <v>2156</v>
      </c>
      <c r="J65" s="548">
        <f t="shared" si="105"/>
        <v>0.94155844155844159</v>
      </c>
      <c r="K65" s="515">
        <f t="shared" si="87"/>
        <v>155</v>
      </c>
      <c r="L65" s="175">
        <v>155</v>
      </c>
      <c r="M65" s="175">
        <v>0</v>
      </c>
      <c r="N65" s="111"/>
      <c r="O65" s="111"/>
      <c r="P65" s="111"/>
      <c r="Q65" s="111"/>
      <c r="R65" s="111"/>
      <c r="S65" s="532">
        <f t="shared" si="149"/>
        <v>8.068714211348256E-2</v>
      </c>
      <c r="T65" s="1008">
        <f t="shared" si="13"/>
        <v>151.6</v>
      </c>
      <c r="U65" s="1010">
        <f t="shared" si="14"/>
        <v>151.6</v>
      </c>
      <c r="V65" s="511">
        <f t="shared" si="15"/>
        <v>171.9</v>
      </c>
      <c r="W65" s="2">
        <f t="shared" si="16"/>
        <v>171.9</v>
      </c>
      <c r="X65" s="169">
        <f t="shared" si="106"/>
        <v>20.3</v>
      </c>
      <c r="Y65" s="113">
        <f t="shared" si="18"/>
        <v>0.11809191390343222</v>
      </c>
      <c r="Z65" s="113">
        <f t="shared" si="19"/>
        <v>0.11809191390343222</v>
      </c>
      <c r="AA65" s="113"/>
      <c r="AB65" s="1019">
        <v>0.01</v>
      </c>
      <c r="AC65" s="113"/>
      <c r="AD65" s="113"/>
      <c r="AE65" s="113"/>
      <c r="AF65" s="113"/>
      <c r="AG65" s="113"/>
      <c r="AH65" s="113"/>
      <c r="AI65" s="113"/>
      <c r="AJ65" s="171">
        <f t="shared" si="107"/>
        <v>576.09811292384029</v>
      </c>
      <c r="AK65" s="1026">
        <f t="shared" si="108"/>
        <v>133</v>
      </c>
      <c r="AL65" s="169">
        <f t="shared" si="109"/>
        <v>606.41906623562136</v>
      </c>
      <c r="AM65" s="169">
        <f t="shared" si="75"/>
        <v>140</v>
      </c>
      <c r="AN65" s="169">
        <f t="shared" si="110"/>
        <v>359.67904668821893</v>
      </c>
      <c r="AO65" s="1027">
        <f t="shared" si="140"/>
        <v>390</v>
      </c>
      <c r="AP65" s="169">
        <v>233</v>
      </c>
      <c r="AQ65" s="169">
        <v>42</v>
      </c>
      <c r="AR65" s="78">
        <f t="shared" si="76"/>
        <v>191</v>
      </c>
      <c r="AS65" s="169">
        <v>348</v>
      </c>
      <c r="AT65" s="169">
        <v>41</v>
      </c>
      <c r="AU65" s="169">
        <v>307</v>
      </c>
      <c r="AV65" s="112"/>
      <c r="AW65" s="175">
        <f t="shared" si="143"/>
        <v>271</v>
      </c>
      <c r="AX65" s="169">
        <v>271</v>
      </c>
      <c r="AY65" s="169"/>
      <c r="AZ65" s="169">
        <v>15</v>
      </c>
      <c r="BA65" s="113">
        <f t="shared" si="141"/>
        <v>0.21450531022917829</v>
      </c>
      <c r="BB65" s="169"/>
      <c r="BC65" s="112"/>
      <c r="BD65" s="112"/>
      <c r="BE65" s="112"/>
      <c r="BF65" s="169"/>
      <c r="BG65" s="112"/>
      <c r="BH65" s="112"/>
      <c r="BI65" s="1031">
        <v>1008</v>
      </c>
      <c r="BJ65" s="2">
        <f t="shared" si="111"/>
        <v>1008</v>
      </c>
      <c r="BK65" s="169">
        <v>57</v>
      </c>
      <c r="BL65" s="169">
        <f t="shared" si="112"/>
        <v>140</v>
      </c>
      <c r="BM65" s="1031">
        <f t="shared" si="113"/>
        <v>216.41906623562139</v>
      </c>
      <c r="BN65" s="310">
        <f t="shared" si="114"/>
        <v>159.41906623562139</v>
      </c>
      <c r="BO65" s="262">
        <f t="shared" si="115"/>
        <v>0.17325580283632896</v>
      </c>
      <c r="BP65" s="262">
        <f t="shared" si="116"/>
        <v>0.18786127167630057</v>
      </c>
      <c r="BQ65" s="262">
        <f t="shared" si="117"/>
        <v>0.10424810512313169</v>
      </c>
      <c r="BR65" s="262">
        <f t="shared" si="118"/>
        <v>0.21470145459883075</v>
      </c>
      <c r="BS65" s="988">
        <f t="shared" si="99"/>
        <v>0.55492068265543948</v>
      </c>
      <c r="BT65" s="534">
        <f t="shared" si="119"/>
        <v>30.320953311781068</v>
      </c>
      <c r="BU65" s="534">
        <f t="shared" si="120"/>
        <v>7</v>
      </c>
      <c r="BV65" s="113">
        <v>0.05</v>
      </c>
      <c r="BW65" s="276">
        <f t="shared" si="121"/>
        <v>1.4936430202847817E-2</v>
      </c>
      <c r="BX65" s="272">
        <f t="shared" si="122"/>
        <v>50.620953311781065</v>
      </c>
      <c r="BY65" s="113"/>
      <c r="BZ65" s="1035"/>
      <c r="CA65" s="1038"/>
      <c r="CB65" s="2">
        <f t="shared" si="123"/>
        <v>1921</v>
      </c>
      <c r="CC65" s="2">
        <f t="shared" si="95"/>
        <v>2076</v>
      </c>
      <c r="CD65" s="310">
        <f t="shared" si="124"/>
        <v>2076</v>
      </c>
      <c r="CE65" s="310">
        <f t="shared" si="125"/>
        <v>1932</v>
      </c>
      <c r="CF65" s="598"/>
      <c r="CG65" s="598"/>
      <c r="CH65" s="598"/>
      <c r="CI65" s="577">
        <v>98</v>
      </c>
      <c r="CJ65" s="577"/>
      <c r="CK65" s="577"/>
      <c r="CL65" s="517">
        <f t="shared" si="126"/>
        <v>951.50188707615973</v>
      </c>
      <c r="CM65" s="169">
        <f t="shared" si="127"/>
        <v>983.88093376437871</v>
      </c>
      <c r="CN65" s="170">
        <f t="shared" si="43"/>
        <v>290.10000000000002</v>
      </c>
      <c r="CO65" s="170">
        <f t="shared" si="128"/>
        <v>290.10000000000002</v>
      </c>
      <c r="CP65" s="170">
        <f t="shared" si="129"/>
        <v>693.78093376437869</v>
      </c>
      <c r="CQ65" s="170">
        <f t="shared" si="130"/>
        <v>32.379046688218935</v>
      </c>
      <c r="CR65" s="170"/>
      <c r="CS65" s="113">
        <f t="shared" si="131"/>
        <v>1.5950269304541347E-2</v>
      </c>
      <c r="CT65" s="112"/>
      <c r="CU65" s="112"/>
      <c r="CV65" s="112"/>
      <c r="CW65" s="112"/>
      <c r="CX65" s="112"/>
      <c r="CY65" s="112"/>
      <c r="CZ65" s="112"/>
      <c r="DA65" s="112"/>
      <c r="DB65" s="112"/>
      <c r="DC65" s="112"/>
      <c r="DD65" s="112"/>
      <c r="DE65" s="112"/>
      <c r="DF65" s="112"/>
      <c r="DG65" s="112"/>
      <c r="DH65" s="516">
        <f t="shared" si="146"/>
        <v>97.8</v>
      </c>
      <c r="DI65" s="2">
        <f t="shared" si="49"/>
        <v>112.8</v>
      </c>
      <c r="DJ65" s="169">
        <f t="shared" si="50"/>
        <v>97.8</v>
      </c>
      <c r="DK65" s="169">
        <f t="shared" si="142"/>
        <v>15</v>
      </c>
      <c r="DL65" s="113">
        <f t="shared" si="132"/>
        <v>4.7109826589595373E-2</v>
      </c>
      <c r="DM65" s="113">
        <f t="shared" si="133"/>
        <v>9.7023809523809526E-2</v>
      </c>
      <c r="DN65" s="113">
        <v>0.6</v>
      </c>
      <c r="DO65" s="113"/>
      <c r="DP65" s="113"/>
      <c r="DQ65" s="272">
        <v>163</v>
      </c>
      <c r="DR65" s="169"/>
      <c r="DS65" s="169"/>
      <c r="DT65" s="78">
        <f t="shared" si="96"/>
        <v>163</v>
      </c>
      <c r="DU65" s="175">
        <f t="shared" si="97"/>
        <v>1762.6129032258066</v>
      </c>
      <c r="DV65" s="169">
        <v>1811</v>
      </c>
      <c r="DW65" s="170">
        <f t="shared" si="134"/>
        <v>208.38709677419334</v>
      </c>
      <c r="DX65" s="534">
        <f t="shared" si="89"/>
        <v>198.38709677419334</v>
      </c>
      <c r="DY65" s="534">
        <f t="shared" si="90"/>
        <v>163.99999999999983</v>
      </c>
      <c r="DZ65" s="386">
        <f t="shared" si="144"/>
        <v>1.3225806451612889</v>
      </c>
      <c r="EA65" s="169">
        <v>150</v>
      </c>
      <c r="EB65" s="169">
        <v>124</v>
      </c>
      <c r="EC65" s="175">
        <f t="shared" si="82"/>
        <v>34.387096774193509</v>
      </c>
      <c r="ED65" s="175">
        <v>0</v>
      </c>
      <c r="EE65" s="175">
        <f t="shared" si="135"/>
        <v>34.387096774193509</v>
      </c>
      <c r="EF65" s="175"/>
      <c r="EG65" s="169">
        <v>10</v>
      </c>
      <c r="EH65" s="78">
        <f t="shared" si="136"/>
        <v>100.38709677419334</v>
      </c>
      <c r="EI65" s="169">
        <v>671</v>
      </c>
      <c r="EJ65" s="169">
        <v>649</v>
      </c>
      <c r="EK65" s="169"/>
      <c r="EL65" s="169"/>
      <c r="EM65" s="169"/>
      <c r="EN65" s="169"/>
      <c r="EO65" s="169">
        <v>831</v>
      </c>
      <c r="EP65" s="169">
        <v>665</v>
      </c>
      <c r="EQ65" s="175">
        <f t="shared" si="150"/>
        <v>2156</v>
      </c>
      <c r="ER65" s="2">
        <f t="shared" si="137"/>
        <v>2030</v>
      </c>
      <c r="ES65" s="262">
        <f t="shared" si="98"/>
        <v>0.94155844155844159</v>
      </c>
      <c r="ET65" s="262"/>
      <c r="EU65" s="262"/>
      <c r="EV65" s="262"/>
      <c r="EW65" s="598"/>
      <c r="EX65" s="598"/>
      <c r="EY65" s="1126"/>
      <c r="EZ65" s="598"/>
      <c r="FA65" s="598"/>
      <c r="FB65" s="598"/>
      <c r="FC65" s="598"/>
      <c r="FD65" s="598"/>
      <c r="FE65" s="979"/>
      <c r="FF65" s="1048"/>
      <c r="FG65" s="518"/>
      <c r="FH65" s="598"/>
      <c r="FI65" s="310">
        <f t="shared" si="65"/>
        <v>166</v>
      </c>
      <c r="FJ65" s="2">
        <f t="shared" si="138"/>
        <v>166</v>
      </c>
      <c r="FK65" s="1048"/>
      <c r="FL65" s="518"/>
      <c r="FM65" s="518"/>
      <c r="FN65" s="518"/>
      <c r="FO65" s="518"/>
      <c r="FP65" s="518"/>
      <c r="FQ65" s="518"/>
      <c r="FR65" s="518"/>
      <c r="FS65" s="1049"/>
      <c r="FT65" s="518"/>
      <c r="FU65" s="518"/>
      <c r="FV65" s="518"/>
      <c r="FW65" s="518"/>
      <c r="FX65" s="518"/>
      <c r="FY65" s="518"/>
      <c r="FZ65" s="115"/>
      <c r="GA65" s="115"/>
      <c r="GB65" s="115"/>
      <c r="GC65" s="115"/>
      <c r="GD65" s="115"/>
      <c r="GE65" s="115"/>
      <c r="GF65" s="115"/>
      <c r="GG65" s="115"/>
      <c r="GH65" s="115"/>
      <c r="GI65" s="115"/>
      <c r="GJ65" s="115"/>
      <c r="GK65" s="1162">
        <f>DataUK4!X218+DataUK4!AH218</f>
        <v>16.699999999999989</v>
      </c>
      <c r="GL65" s="115"/>
      <c r="GM65" s="115"/>
      <c r="GN65" s="115"/>
      <c r="GO65" s="115"/>
      <c r="GP65" s="310">
        <f t="shared" si="139"/>
        <v>34.387096774193509</v>
      </c>
      <c r="GQ65" s="115"/>
      <c r="GR65" s="115"/>
      <c r="GS65" s="115"/>
      <c r="GT65" s="115"/>
      <c r="GU65" s="991">
        <f t="shared" si="68"/>
        <v>-17.68709677419352</v>
      </c>
      <c r="GW65" s="1063">
        <f>DataUK4!D218+DataUK4!F218</f>
        <v>17.5</v>
      </c>
      <c r="GX65" s="115"/>
      <c r="GY65" s="615">
        <f t="shared" si="69"/>
        <v>14.682662538699699</v>
      </c>
      <c r="GZ65" s="115"/>
      <c r="HA65" s="115"/>
      <c r="HB65" s="115"/>
      <c r="HC65" s="1051"/>
      <c r="HD65" s="170">
        <f t="shared" si="147"/>
        <v>144</v>
      </c>
      <c r="HE65" s="301">
        <f t="shared" si="151"/>
        <v>160</v>
      </c>
      <c r="HF65" s="301">
        <f t="shared" si="152"/>
        <v>16</v>
      </c>
      <c r="HG65" s="170">
        <f t="shared" si="71"/>
        <v>0</v>
      </c>
      <c r="HH65" s="301">
        <v>0</v>
      </c>
      <c r="HI65" s="301">
        <v>0</v>
      </c>
      <c r="HJ65" s="2">
        <v>0</v>
      </c>
      <c r="HK65" s="2">
        <v>0</v>
      </c>
      <c r="HL65" s="2">
        <v>0</v>
      </c>
      <c r="HM65" s="2">
        <f t="shared" si="72"/>
        <v>0</v>
      </c>
      <c r="HN65" s="2">
        <v>0</v>
      </c>
      <c r="HO65" s="2">
        <v>0</v>
      </c>
      <c r="HP65" s="2">
        <v>0</v>
      </c>
      <c r="HQ65" s="2">
        <v>0</v>
      </c>
      <c r="HR65" s="2">
        <v>0</v>
      </c>
      <c r="HS65" s="1052">
        <v>0</v>
      </c>
      <c r="HT65" s="1002">
        <v>9.4</v>
      </c>
      <c r="HU65" s="1002">
        <f t="shared" si="73"/>
        <v>1.1485530546623792</v>
      </c>
      <c r="HV65" s="1002">
        <f t="shared" si="74"/>
        <v>1.3299035369774921</v>
      </c>
    </row>
    <row r="66" spans="1:230" ht="12" customHeight="1">
      <c r="A66" s="110">
        <f t="shared" si="148"/>
        <v>1908</v>
      </c>
      <c r="B66" s="176">
        <f t="shared" si="1"/>
        <v>1981</v>
      </c>
      <c r="C66" s="177">
        <f t="shared" si="145"/>
        <v>151</v>
      </c>
      <c r="D66" s="176">
        <f t="shared" si="100"/>
        <v>1830</v>
      </c>
      <c r="E66" s="154">
        <f t="shared" si="101"/>
        <v>1927</v>
      </c>
      <c r="F66" s="995">
        <f t="shared" si="5"/>
        <v>97</v>
      </c>
      <c r="G66" s="531">
        <f t="shared" si="102"/>
        <v>2133</v>
      </c>
      <c r="H66" s="531">
        <f t="shared" si="103"/>
        <v>1982</v>
      </c>
      <c r="I66" s="531">
        <f t="shared" si="104"/>
        <v>2079</v>
      </c>
      <c r="J66" s="548">
        <f t="shared" si="105"/>
        <v>0.92688792688792687</v>
      </c>
      <c r="K66" s="515">
        <f t="shared" si="87"/>
        <v>150</v>
      </c>
      <c r="L66" s="175">
        <v>150</v>
      </c>
      <c r="M66" s="175">
        <v>0</v>
      </c>
      <c r="N66" s="111"/>
      <c r="O66" s="111"/>
      <c r="P66" s="111"/>
      <c r="Q66" s="111"/>
      <c r="R66" s="111"/>
      <c r="S66" s="532">
        <f t="shared" si="149"/>
        <v>8.1922446750409605E-2</v>
      </c>
      <c r="T66" s="1008">
        <f t="shared" si="13"/>
        <v>153.53</v>
      </c>
      <c r="U66" s="1010">
        <f t="shared" si="14"/>
        <v>153.53</v>
      </c>
      <c r="V66" s="511">
        <f t="shared" si="15"/>
        <v>172.8</v>
      </c>
      <c r="W66" s="2">
        <f t="shared" si="16"/>
        <v>172.8</v>
      </c>
      <c r="X66" s="169">
        <f t="shared" si="106"/>
        <v>19.27</v>
      </c>
      <c r="Y66" s="113">
        <f t="shared" si="18"/>
        <v>0.1115162037037037</v>
      </c>
      <c r="Z66" s="113">
        <f t="shared" si="19"/>
        <v>0.1115162037037037</v>
      </c>
      <c r="AA66" s="113"/>
      <c r="AB66" s="1019">
        <v>0.01</v>
      </c>
      <c r="AC66" s="113"/>
      <c r="AD66" s="113"/>
      <c r="AE66" s="113"/>
      <c r="AF66" s="113"/>
      <c r="AG66" s="113"/>
      <c r="AH66" s="113"/>
      <c r="AI66" s="113"/>
      <c r="AJ66" s="171">
        <f t="shared" si="107"/>
        <v>521.44265092850162</v>
      </c>
      <c r="AK66" s="1026">
        <f t="shared" si="108"/>
        <v>137.75</v>
      </c>
      <c r="AL66" s="169">
        <f t="shared" si="109"/>
        <v>548.88700097737012</v>
      </c>
      <c r="AM66" s="169">
        <f t="shared" si="75"/>
        <v>145</v>
      </c>
      <c r="AN66" s="169">
        <f t="shared" si="110"/>
        <v>325.5556499511315</v>
      </c>
      <c r="AO66" s="1027">
        <f t="shared" si="140"/>
        <v>353</v>
      </c>
      <c r="AP66" s="169">
        <v>235</v>
      </c>
      <c r="AQ66" s="169">
        <v>43</v>
      </c>
      <c r="AR66" s="78">
        <f t="shared" si="76"/>
        <v>192</v>
      </c>
      <c r="AS66" s="169">
        <v>310</v>
      </c>
      <c r="AT66" s="169">
        <v>46</v>
      </c>
      <c r="AU66" s="169">
        <v>264</v>
      </c>
      <c r="AV66" s="112"/>
      <c r="AW66" s="175">
        <f t="shared" si="143"/>
        <v>242</v>
      </c>
      <c r="AX66" s="169">
        <v>242</v>
      </c>
      <c r="AY66" s="169"/>
      <c r="AZ66" s="169">
        <v>15</v>
      </c>
      <c r="BA66" s="113">
        <f t="shared" si="141"/>
        <v>0.19927536231884058</v>
      </c>
      <c r="BB66" s="169"/>
      <c r="BC66" s="112"/>
      <c r="BD66" s="112"/>
      <c r="BE66" s="112"/>
      <c r="BF66" s="169"/>
      <c r="BG66" s="112"/>
      <c r="BH66" s="112"/>
      <c r="BI66" s="1031">
        <v>975</v>
      </c>
      <c r="BJ66" s="2">
        <f t="shared" si="111"/>
        <v>975</v>
      </c>
      <c r="BK66" s="169">
        <v>56</v>
      </c>
      <c r="BL66" s="169">
        <f t="shared" si="112"/>
        <v>145</v>
      </c>
      <c r="BM66" s="1031">
        <f t="shared" si="113"/>
        <v>195.88700097737015</v>
      </c>
      <c r="BN66" s="310">
        <f t="shared" si="114"/>
        <v>139.88700097737015</v>
      </c>
      <c r="BO66" s="262">
        <f t="shared" si="115"/>
        <v>0.16433904591172716</v>
      </c>
      <c r="BP66" s="262">
        <f t="shared" si="116"/>
        <v>0.17819283190307925</v>
      </c>
      <c r="BQ66" s="262">
        <f t="shared" si="117"/>
        <v>9.8882887923962715E-2</v>
      </c>
      <c r="BR66" s="262">
        <f t="shared" si="118"/>
        <v>0.20090974459217451</v>
      </c>
      <c r="BS66" s="988">
        <f t="shared" si="99"/>
        <v>0.55492068265543948</v>
      </c>
      <c r="BT66" s="534">
        <f t="shared" si="119"/>
        <v>27.444350048868507</v>
      </c>
      <c r="BU66" s="534">
        <f t="shared" si="120"/>
        <v>7.25</v>
      </c>
      <c r="BV66" s="113">
        <v>0.05</v>
      </c>
      <c r="BW66" s="276">
        <f t="shared" si="121"/>
        <v>1.4242008328421644E-2</v>
      </c>
      <c r="BX66" s="272">
        <f t="shared" si="122"/>
        <v>46.714350048868511</v>
      </c>
      <c r="BY66" s="113"/>
      <c r="BZ66" s="1035"/>
      <c r="CA66" s="1038"/>
      <c r="CB66" s="2">
        <f t="shared" si="123"/>
        <v>1831</v>
      </c>
      <c r="CC66" s="2">
        <f t="shared" si="95"/>
        <v>1981</v>
      </c>
      <c r="CD66" s="310">
        <f t="shared" si="124"/>
        <v>1981</v>
      </c>
      <c r="CE66" s="310">
        <f t="shared" si="125"/>
        <v>1830</v>
      </c>
      <c r="CF66" s="598"/>
      <c r="CG66" s="598"/>
      <c r="CH66" s="598"/>
      <c r="CI66" s="577">
        <v>97</v>
      </c>
      <c r="CJ66" s="577"/>
      <c r="CK66" s="577"/>
      <c r="CL66" s="517">
        <f t="shared" si="126"/>
        <v>904.82734907149836</v>
      </c>
      <c r="CM66" s="169">
        <f t="shared" si="127"/>
        <v>940.11299902262988</v>
      </c>
      <c r="CN66" s="170">
        <f t="shared" si="43"/>
        <v>261.20000000000005</v>
      </c>
      <c r="CO66" s="170">
        <f t="shared" si="128"/>
        <v>261.20000000000005</v>
      </c>
      <c r="CP66" s="170">
        <f t="shared" si="129"/>
        <v>678.91299902262983</v>
      </c>
      <c r="CQ66" s="170">
        <f t="shared" si="130"/>
        <v>35.285649951131496</v>
      </c>
      <c r="CR66" s="170"/>
      <c r="CS66" s="113">
        <f t="shared" si="131"/>
        <v>1.8311183160940062E-2</v>
      </c>
      <c r="CT66" s="112"/>
      <c r="CU66" s="112"/>
      <c r="CV66" s="112"/>
      <c r="CW66" s="112"/>
      <c r="CX66" s="112"/>
      <c r="CY66" s="112"/>
      <c r="CZ66" s="112"/>
      <c r="DA66" s="112"/>
      <c r="DB66" s="112"/>
      <c r="DC66" s="112"/>
      <c r="DD66" s="112"/>
      <c r="DE66" s="112"/>
      <c r="DF66" s="112"/>
      <c r="DG66" s="112"/>
      <c r="DH66" s="516">
        <f t="shared" si="146"/>
        <v>100.2</v>
      </c>
      <c r="DI66" s="2">
        <f t="shared" si="49"/>
        <v>115.2</v>
      </c>
      <c r="DJ66" s="169">
        <f t="shared" si="50"/>
        <v>100.2</v>
      </c>
      <c r="DK66" s="169">
        <f t="shared" si="142"/>
        <v>15</v>
      </c>
      <c r="DL66" s="113">
        <f t="shared" si="132"/>
        <v>5.0580514891468954E-2</v>
      </c>
      <c r="DM66" s="113">
        <f t="shared" si="133"/>
        <v>0.10276923076923077</v>
      </c>
      <c r="DN66" s="113">
        <v>0.6</v>
      </c>
      <c r="DO66" s="113"/>
      <c r="DP66" s="113"/>
      <c r="DQ66" s="272">
        <v>167</v>
      </c>
      <c r="DR66" s="169"/>
      <c r="DS66" s="169"/>
      <c r="DT66" s="78">
        <f t="shared" si="96"/>
        <v>167</v>
      </c>
      <c r="DU66" s="175">
        <f t="shared" si="97"/>
        <v>1771.9161290322581</v>
      </c>
      <c r="DV66" s="169">
        <v>1813</v>
      </c>
      <c r="DW66" s="170">
        <f t="shared" si="134"/>
        <v>139.08387096774175</v>
      </c>
      <c r="DX66" s="534">
        <f t="shared" si="89"/>
        <v>169.08387096774175</v>
      </c>
      <c r="DY66" s="534">
        <f t="shared" si="90"/>
        <v>136.0596774193547</v>
      </c>
      <c r="DZ66" s="386">
        <f t="shared" si="144"/>
        <v>1.3209677419354824</v>
      </c>
      <c r="EA66" s="169">
        <v>128</v>
      </c>
      <c r="EB66" s="169">
        <v>103</v>
      </c>
      <c r="EC66" s="175">
        <f t="shared" si="82"/>
        <v>33.024193548387046</v>
      </c>
      <c r="ED66" s="175">
        <v>0</v>
      </c>
      <c r="EE66" s="175">
        <f t="shared" si="135"/>
        <v>33.024193548387046</v>
      </c>
      <c r="EF66" s="175"/>
      <c r="EG66" s="169">
        <v>-30</v>
      </c>
      <c r="EH66" s="78">
        <f t="shared" si="136"/>
        <v>72.083870967741746</v>
      </c>
      <c r="EI66" s="169">
        <v>597</v>
      </c>
      <c r="EJ66" s="169">
        <v>596</v>
      </c>
      <c r="EK66" s="169"/>
      <c r="EL66" s="169"/>
      <c r="EM66" s="169"/>
      <c r="EN66" s="169"/>
      <c r="EO66" s="169">
        <v>765</v>
      </c>
      <c r="EP66" s="169">
        <v>613</v>
      </c>
      <c r="EQ66" s="175">
        <f t="shared" si="150"/>
        <v>2079</v>
      </c>
      <c r="ER66" s="2">
        <f t="shared" si="137"/>
        <v>1927</v>
      </c>
      <c r="ES66" s="262">
        <f t="shared" si="98"/>
        <v>0.92688792688792687</v>
      </c>
      <c r="ET66" s="262"/>
      <c r="EU66" s="262"/>
      <c r="EV66" s="262"/>
      <c r="EW66" s="598"/>
      <c r="EX66" s="598"/>
      <c r="EY66" s="1126"/>
      <c r="EZ66" s="598"/>
      <c r="FA66" s="598"/>
      <c r="FB66" s="598"/>
      <c r="FC66" s="598"/>
      <c r="FD66" s="598"/>
      <c r="FE66" s="979"/>
      <c r="FF66" s="1048"/>
      <c r="FG66" s="518"/>
      <c r="FH66" s="598"/>
      <c r="FI66" s="310">
        <f t="shared" si="65"/>
        <v>152</v>
      </c>
      <c r="FJ66" s="2">
        <f t="shared" si="138"/>
        <v>152</v>
      </c>
      <c r="FK66" s="1048"/>
      <c r="FL66" s="518"/>
      <c r="FM66" s="518"/>
      <c r="FN66" s="518"/>
      <c r="FO66" s="518"/>
      <c r="FP66" s="518"/>
      <c r="FQ66" s="518"/>
      <c r="FR66" s="518"/>
      <c r="FS66" s="1049"/>
      <c r="FT66" s="518"/>
      <c r="FU66" s="518"/>
      <c r="FV66" s="518"/>
      <c r="FW66" s="518"/>
      <c r="FX66" s="518"/>
      <c r="FY66" s="518"/>
      <c r="FZ66" s="115"/>
      <c r="GA66" s="115"/>
      <c r="GB66" s="115"/>
      <c r="GC66" s="115"/>
      <c r="GD66" s="115"/>
      <c r="GE66" s="115"/>
      <c r="GF66" s="115"/>
      <c r="GG66" s="115"/>
      <c r="GH66" s="115"/>
      <c r="GI66" s="115"/>
      <c r="GJ66" s="115"/>
      <c r="GK66" s="1162">
        <f>DataUK4!X219+DataUK4!AH219</f>
        <v>10.399999999999977</v>
      </c>
      <c r="GL66" s="115"/>
      <c r="GM66" s="115"/>
      <c r="GN66" s="115"/>
      <c r="GO66" s="115"/>
      <c r="GP66" s="310">
        <f t="shared" si="139"/>
        <v>33.024193548387046</v>
      </c>
      <c r="GQ66" s="115"/>
      <c r="GR66" s="115"/>
      <c r="GS66" s="115"/>
      <c r="GT66" s="115"/>
      <c r="GU66" s="991">
        <f t="shared" si="68"/>
        <v>-22.624193548387069</v>
      </c>
      <c r="GW66" s="1063">
        <f>DataUK4!D219+DataUK4!F219</f>
        <v>17.899999999999999</v>
      </c>
      <c r="GX66" s="115"/>
      <c r="GY66" s="615">
        <f t="shared" si="69"/>
        <v>15.018266253869974</v>
      </c>
      <c r="GZ66" s="115"/>
      <c r="HA66" s="115"/>
      <c r="HB66" s="115"/>
      <c r="HC66" s="1051"/>
      <c r="HD66" s="170">
        <f t="shared" si="147"/>
        <v>151</v>
      </c>
      <c r="HE66" s="301">
        <f t="shared" si="151"/>
        <v>168</v>
      </c>
      <c r="HF66" s="301">
        <f t="shared" si="152"/>
        <v>17</v>
      </c>
      <c r="HG66" s="170">
        <f t="shared" si="71"/>
        <v>0</v>
      </c>
      <c r="HH66" s="301">
        <v>0</v>
      </c>
      <c r="HI66" s="301">
        <v>0</v>
      </c>
      <c r="HJ66" s="2">
        <v>0</v>
      </c>
      <c r="HK66" s="2">
        <v>0</v>
      </c>
      <c r="HL66" s="2">
        <v>0</v>
      </c>
      <c r="HM66" s="2">
        <f t="shared" si="72"/>
        <v>0</v>
      </c>
      <c r="HN66" s="2">
        <v>0</v>
      </c>
      <c r="HO66" s="2">
        <v>0</v>
      </c>
      <c r="HP66" s="2">
        <v>0</v>
      </c>
      <c r="HQ66" s="2">
        <v>0</v>
      </c>
      <c r="HR66" s="2">
        <v>0</v>
      </c>
      <c r="HS66" s="1052">
        <v>0</v>
      </c>
      <c r="HT66" s="1002">
        <v>9.4</v>
      </c>
      <c r="HU66" s="1002">
        <f t="shared" si="73"/>
        <v>1.1485530546623792</v>
      </c>
      <c r="HV66" s="1002">
        <f t="shared" si="74"/>
        <v>1.3299035369774921</v>
      </c>
    </row>
    <row r="67" spans="1:230" ht="12" customHeight="1">
      <c r="A67" s="110">
        <f t="shared" si="148"/>
        <v>1909</v>
      </c>
      <c r="B67" s="176">
        <f t="shared" si="1"/>
        <v>2012</v>
      </c>
      <c r="C67" s="177">
        <f t="shared" si="145"/>
        <v>158</v>
      </c>
      <c r="D67" s="176">
        <f t="shared" si="100"/>
        <v>1854</v>
      </c>
      <c r="E67" s="154">
        <f t="shared" si="101"/>
        <v>1951</v>
      </c>
      <c r="F67" s="995">
        <f t="shared" si="5"/>
        <v>97</v>
      </c>
      <c r="G67" s="531">
        <f t="shared" si="102"/>
        <v>2204</v>
      </c>
      <c r="H67" s="531">
        <f t="shared" si="103"/>
        <v>2046</v>
      </c>
      <c r="I67" s="531">
        <f t="shared" si="104"/>
        <v>2143</v>
      </c>
      <c r="J67" s="548">
        <f t="shared" si="105"/>
        <v>0.9104059729351377</v>
      </c>
      <c r="K67" s="515">
        <f t="shared" si="87"/>
        <v>151</v>
      </c>
      <c r="L67" s="175">
        <v>151</v>
      </c>
      <c r="M67" s="175">
        <v>0</v>
      </c>
      <c r="N67" s="111"/>
      <c r="O67" s="111"/>
      <c r="P67" s="111"/>
      <c r="Q67" s="111"/>
      <c r="R67" s="111"/>
      <c r="S67" s="532">
        <f t="shared" si="149"/>
        <v>8.1139172487909722E-2</v>
      </c>
      <c r="T67" s="1008">
        <f t="shared" si="13"/>
        <v>155.09</v>
      </c>
      <c r="U67" s="1010">
        <f t="shared" si="14"/>
        <v>155.09</v>
      </c>
      <c r="V67" s="511">
        <f t="shared" si="15"/>
        <v>174.6</v>
      </c>
      <c r="W67" s="2">
        <f t="shared" si="16"/>
        <v>174.6</v>
      </c>
      <c r="X67" s="169">
        <f t="shared" si="106"/>
        <v>19.510000000000002</v>
      </c>
      <c r="Y67" s="113">
        <f t="shared" si="18"/>
        <v>0.11174112256586485</v>
      </c>
      <c r="Z67" s="113">
        <f t="shared" si="19"/>
        <v>0.11174112256586485</v>
      </c>
      <c r="AA67" s="113"/>
      <c r="AB67" s="1019">
        <v>0.01</v>
      </c>
      <c r="AC67" s="113"/>
      <c r="AD67" s="113"/>
      <c r="AE67" s="113"/>
      <c r="AF67" s="113"/>
      <c r="AG67" s="113"/>
      <c r="AH67" s="113"/>
      <c r="AI67" s="113"/>
      <c r="AJ67" s="171">
        <f t="shared" si="107"/>
        <v>527.35134952259227</v>
      </c>
      <c r="AK67" s="1026">
        <f t="shared" si="108"/>
        <v>129.19999999999999</v>
      </c>
      <c r="AL67" s="169">
        <f t="shared" si="109"/>
        <v>555.10668370799192</v>
      </c>
      <c r="AM67" s="169">
        <f t="shared" si="75"/>
        <v>136</v>
      </c>
      <c r="AN67" s="169">
        <f t="shared" si="110"/>
        <v>329.24466581460041</v>
      </c>
      <c r="AO67" s="1027">
        <f t="shared" si="140"/>
        <v>357</v>
      </c>
      <c r="AP67" s="169">
        <v>237</v>
      </c>
      <c r="AQ67" s="169">
        <v>43</v>
      </c>
      <c r="AR67" s="78">
        <f t="shared" si="76"/>
        <v>194</v>
      </c>
      <c r="AS67" s="169">
        <v>314</v>
      </c>
      <c r="AT67" s="169">
        <v>37</v>
      </c>
      <c r="AU67" s="169">
        <v>277</v>
      </c>
      <c r="AV67" s="112"/>
      <c r="AW67" s="175">
        <f t="shared" si="143"/>
        <v>245</v>
      </c>
      <c r="AX67" s="169">
        <v>245</v>
      </c>
      <c r="AY67" s="169"/>
      <c r="AZ67" s="169">
        <v>17</v>
      </c>
      <c r="BA67" s="113">
        <f t="shared" si="141"/>
        <v>0.20530684850281647</v>
      </c>
      <c r="BB67" s="169"/>
      <c r="BC67" s="112"/>
      <c r="BD67" s="112"/>
      <c r="BE67" s="112"/>
      <c r="BF67" s="169"/>
      <c r="BG67" s="112"/>
      <c r="BH67" s="112"/>
      <c r="BI67" s="1031">
        <v>987</v>
      </c>
      <c r="BJ67" s="2">
        <f t="shared" si="111"/>
        <v>987</v>
      </c>
      <c r="BK67" s="169">
        <v>56</v>
      </c>
      <c r="BL67" s="169">
        <f t="shared" si="112"/>
        <v>136</v>
      </c>
      <c r="BM67" s="1031">
        <f t="shared" si="113"/>
        <v>198.10668370799189</v>
      </c>
      <c r="BN67" s="310">
        <f t="shared" si="114"/>
        <v>142.10668370799189</v>
      </c>
      <c r="BO67" s="262">
        <f t="shared" si="115"/>
        <v>0.16364048996749522</v>
      </c>
      <c r="BP67" s="262">
        <f t="shared" si="116"/>
        <v>0.17743538767395625</v>
      </c>
      <c r="BQ67" s="262">
        <f t="shared" si="117"/>
        <v>9.8462566455264355E-2</v>
      </c>
      <c r="BR67" s="262">
        <f t="shared" si="118"/>
        <v>0.20071599159877598</v>
      </c>
      <c r="BS67" s="988">
        <f t="shared" si="99"/>
        <v>0.55492068265543948</v>
      </c>
      <c r="BT67" s="534">
        <f t="shared" si="119"/>
        <v>27.755334185399597</v>
      </c>
      <c r="BU67" s="534">
        <f t="shared" si="120"/>
        <v>6.8000000000000007</v>
      </c>
      <c r="BV67" s="113">
        <v>0.05</v>
      </c>
      <c r="BW67" s="276">
        <f t="shared" si="121"/>
        <v>1.4226209218554381E-2</v>
      </c>
      <c r="BX67" s="272">
        <f t="shared" si="122"/>
        <v>47.265334185399595</v>
      </c>
      <c r="BY67" s="113"/>
      <c r="BZ67" s="1035"/>
      <c r="CA67" s="1038"/>
      <c r="CB67" s="2">
        <f t="shared" si="123"/>
        <v>1861</v>
      </c>
      <c r="CC67" s="2">
        <f t="shared" si="95"/>
        <v>2012</v>
      </c>
      <c r="CD67" s="310">
        <f t="shared" si="124"/>
        <v>2012</v>
      </c>
      <c r="CE67" s="310">
        <f t="shared" si="125"/>
        <v>1854</v>
      </c>
      <c r="CF67" s="598"/>
      <c r="CG67" s="598"/>
      <c r="CH67" s="598"/>
      <c r="CI67" s="577">
        <v>97</v>
      </c>
      <c r="CJ67" s="577"/>
      <c r="CK67" s="577"/>
      <c r="CL67" s="517">
        <f t="shared" si="126"/>
        <v>916.75865047740774</v>
      </c>
      <c r="CM67" s="169">
        <f t="shared" si="127"/>
        <v>949.4933162920081</v>
      </c>
      <c r="CN67" s="170">
        <f t="shared" si="43"/>
        <v>264.39999999999998</v>
      </c>
      <c r="CO67" s="170">
        <f t="shared" si="128"/>
        <v>264.39999999999998</v>
      </c>
      <c r="CP67" s="170">
        <f t="shared" si="129"/>
        <v>685.09331629200813</v>
      </c>
      <c r="CQ67" s="170">
        <f t="shared" si="130"/>
        <v>32.734665814600397</v>
      </c>
      <c r="CR67" s="170"/>
      <c r="CS67" s="113">
        <f t="shared" si="131"/>
        <v>1.6778403800410249E-2</v>
      </c>
      <c r="CT67" s="112"/>
      <c r="CU67" s="112"/>
      <c r="CV67" s="112"/>
      <c r="CW67" s="112"/>
      <c r="CX67" s="112"/>
      <c r="CY67" s="112"/>
      <c r="CZ67" s="112"/>
      <c r="DA67" s="112"/>
      <c r="DB67" s="112"/>
      <c r="DC67" s="112"/>
      <c r="DD67" s="112"/>
      <c r="DE67" s="112"/>
      <c r="DF67" s="112"/>
      <c r="DG67" s="112"/>
      <c r="DH67" s="516">
        <f t="shared" si="146"/>
        <v>103.8</v>
      </c>
      <c r="DI67" s="2">
        <f t="shared" si="49"/>
        <v>120.8</v>
      </c>
      <c r="DJ67" s="169">
        <f t="shared" si="50"/>
        <v>103.8</v>
      </c>
      <c r="DK67" s="169">
        <f t="shared" si="142"/>
        <v>17</v>
      </c>
      <c r="DL67" s="113">
        <f t="shared" si="132"/>
        <v>5.1590457256461233E-2</v>
      </c>
      <c r="DM67" s="113">
        <f t="shared" si="133"/>
        <v>0.10516717325227963</v>
      </c>
      <c r="DN67" s="113">
        <v>0.6</v>
      </c>
      <c r="DO67" s="113"/>
      <c r="DP67" s="113"/>
      <c r="DQ67" s="272">
        <v>173</v>
      </c>
      <c r="DR67" s="169"/>
      <c r="DS67" s="169"/>
      <c r="DT67" s="78">
        <f t="shared" si="96"/>
        <v>173</v>
      </c>
      <c r="DU67" s="175">
        <f t="shared" si="97"/>
        <v>1788.8451612903227</v>
      </c>
      <c r="DV67" s="169">
        <v>1831</v>
      </c>
      <c r="DW67" s="170">
        <f t="shared" si="134"/>
        <v>194.15483870967722</v>
      </c>
      <c r="DX67" s="534">
        <f t="shared" si="89"/>
        <v>174.15483870967722</v>
      </c>
      <c r="DY67" s="534">
        <f t="shared" si="90"/>
        <v>142.490322580645</v>
      </c>
      <c r="DZ67" s="386">
        <f t="shared" si="144"/>
        <v>1.3193548387096758</v>
      </c>
      <c r="EA67" s="169">
        <v>132</v>
      </c>
      <c r="EB67" s="169">
        <v>108</v>
      </c>
      <c r="EC67" s="175">
        <f t="shared" si="82"/>
        <v>31.664516129032222</v>
      </c>
      <c r="ED67" s="175">
        <v>0</v>
      </c>
      <c r="EE67" s="175">
        <f t="shared" si="135"/>
        <v>31.664516129032222</v>
      </c>
      <c r="EF67" s="175"/>
      <c r="EG67" s="169">
        <v>20</v>
      </c>
      <c r="EH67" s="78">
        <f t="shared" si="136"/>
        <v>77.154838709677222</v>
      </c>
      <c r="EI67" s="169">
        <v>615</v>
      </c>
      <c r="EJ67" s="169">
        <v>628</v>
      </c>
      <c r="EK67" s="169"/>
      <c r="EL67" s="169"/>
      <c r="EM67" s="169"/>
      <c r="EN67" s="169"/>
      <c r="EO67" s="169">
        <v>790</v>
      </c>
      <c r="EP67" s="169">
        <v>645</v>
      </c>
      <c r="EQ67" s="175">
        <f t="shared" si="150"/>
        <v>2143</v>
      </c>
      <c r="ER67" s="2">
        <f t="shared" si="137"/>
        <v>1951</v>
      </c>
      <c r="ES67" s="262">
        <f t="shared" si="98"/>
        <v>0.9104059729351377</v>
      </c>
      <c r="ET67" s="262"/>
      <c r="EU67" s="262"/>
      <c r="EV67" s="262"/>
      <c r="EW67" s="598"/>
      <c r="EX67" s="598"/>
      <c r="EY67" s="1126"/>
      <c r="EZ67" s="598"/>
      <c r="FA67" s="598"/>
      <c r="FB67" s="598"/>
      <c r="FC67" s="598"/>
      <c r="FD67" s="598"/>
      <c r="FE67" s="979"/>
      <c r="FF67" s="1048"/>
      <c r="FG67" s="518"/>
      <c r="FH67" s="598"/>
      <c r="FI67" s="310">
        <f t="shared" si="65"/>
        <v>145</v>
      </c>
      <c r="FJ67" s="2">
        <f t="shared" si="138"/>
        <v>145</v>
      </c>
      <c r="FK67" s="1048"/>
      <c r="FL67" s="518"/>
      <c r="FM67" s="518"/>
      <c r="FN67" s="518"/>
      <c r="FO67" s="518"/>
      <c r="FP67" s="518"/>
      <c r="FQ67" s="518"/>
      <c r="FR67" s="518"/>
      <c r="FS67" s="1049"/>
      <c r="FT67" s="518"/>
      <c r="FU67" s="518"/>
      <c r="FV67" s="518"/>
      <c r="FW67" s="518"/>
      <c r="FX67" s="518"/>
      <c r="FY67" s="518"/>
      <c r="FZ67" s="115"/>
      <c r="GA67" s="115"/>
      <c r="GB67" s="115"/>
      <c r="GC67" s="115"/>
      <c r="GD67" s="115"/>
      <c r="GE67" s="115"/>
      <c r="GF67" s="115"/>
      <c r="GG67" s="115"/>
      <c r="GH67" s="115"/>
      <c r="GI67" s="115"/>
      <c r="GJ67" s="115"/>
      <c r="GK67" s="1162">
        <f>DataUK4!X220+DataUK4!AH220</f>
        <v>-21.700000000000017</v>
      </c>
      <c r="GL67" s="115"/>
      <c r="GM67" s="115"/>
      <c r="GN67" s="115"/>
      <c r="GO67" s="115"/>
      <c r="GP67" s="310">
        <f t="shared" si="139"/>
        <v>31.664516129032222</v>
      </c>
      <c r="GQ67" s="115"/>
      <c r="GR67" s="115"/>
      <c r="GS67" s="115"/>
      <c r="GT67" s="115"/>
      <c r="GU67" s="991">
        <f t="shared" si="68"/>
        <v>-53.364516129032239</v>
      </c>
      <c r="GW67" s="1063">
        <f>DataUK4!D220+DataUK4!F220</f>
        <v>17.3</v>
      </c>
      <c r="GX67" s="115"/>
      <c r="GY67" s="615">
        <f t="shared" si="69"/>
        <v>14.514860681114559</v>
      </c>
      <c r="GZ67" s="115"/>
      <c r="HA67" s="115"/>
      <c r="HB67" s="115"/>
      <c r="HC67" s="1051"/>
      <c r="HD67" s="170">
        <f t="shared" si="147"/>
        <v>158</v>
      </c>
      <c r="HE67" s="301">
        <f t="shared" si="151"/>
        <v>175</v>
      </c>
      <c r="HF67" s="301">
        <f t="shared" si="152"/>
        <v>17</v>
      </c>
      <c r="HG67" s="170">
        <f t="shared" si="71"/>
        <v>0</v>
      </c>
      <c r="HH67" s="301">
        <v>0</v>
      </c>
      <c r="HI67" s="301">
        <v>0</v>
      </c>
      <c r="HJ67" s="2">
        <v>0</v>
      </c>
      <c r="HK67" s="2">
        <v>0</v>
      </c>
      <c r="HL67" s="2">
        <v>0</v>
      </c>
      <c r="HM67" s="2">
        <f t="shared" si="72"/>
        <v>0</v>
      </c>
      <c r="HN67" s="2">
        <v>0</v>
      </c>
      <c r="HO67" s="2">
        <v>0</v>
      </c>
      <c r="HP67" s="2">
        <v>0</v>
      </c>
      <c r="HQ67" s="2">
        <v>0</v>
      </c>
      <c r="HR67" s="2">
        <v>0</v>
      </c>
      <c r="HS67" s="1052">
        <v>0</v>
      </c>
      <c r="HT67" s="1002">
        <v>9.5</v>
      </c>
      <c r="HU67" s="1002">
        <f t="shared" si="73"/>
        <v>1.1607717041800643</v>
      </c>
      <c r="HV67" s="1002">
        <f t="shared" si="74"/>
        <v>1.3440514469453377</v>
      </c>
    </row>
    <row r="68" spans="1:230" ht="12" customHeight="1">
      <c r="A68" s="110">
        <f t="shared" si="148"/>
        <v>1910</v>
      </c>
      <c r="B68" s="176">
        <f t="shared" si="1"/>
        <v>2107</v>
      </c>
      <c r="C68" s="177">
        <f t="shared" si="145"/>
        <v>170</v>
      </c>
      <c r="D68" s="176">
        <f t="shared" si="100"/>
        <v>1937</v>
      </c>
      <c r="E68" s="154">
        <f t="shared" si="101"/>
        <v>2037</v>
      </c>
      <c r="F68" s="995">
        <f t="shared" si="5"/>
        <v>100</v>
      </c>
      <c r="G68" s="531">
        <f t="shared" si="102"/>
        <v>2303</v>
      </c>
      <c r="H68" s="531">
        <f t="shared" si="103"/>
        <v>2133</v>
      </c>
      <c r="I68" s="531">
        <f t="shared" si="104"/>
        <v>2233</v>
      </c>
      <c r="J68" s="548">
        <f t="shared" si="105"/>
        <v>0.91222570532915359</v>
      </c>
      <c r="K68" s="515">
        <f t="shared" si="87"/>
        <v>164</v>
      </c>
      <c r="L68" s="175">
        <v>164</v>
      </c>
      <c r="M68" s="175">
        <v>0</v>
      </c>
      <c r="N68" s="111"/>
      <c r="O68" s="111"/>
      <c r="P68" s="111"/>
      <c r="Q68" s="111"/>
      <c r="R68" s="111"/>
      <c r="S68" s="532">
        <f t="shared" si="149"/>
        <v>8.4405558414822446E-2</v>
      </c>
      <c r="T68" s="1008">
        <f t="shared" si="13"/>
        <v>156.03</v>
      </c>
      <c r="U68" s="1010">
        <f t="shared" si="14"/>
        <v>156.03</v>
      </c>
      <c r="V68" s="511">
        <f t="shared" si="15"/>
        <v>176.4</v>
      </c>
      <c r="W68" s="2">
        <f t="shared" si="16"/>
        <v>176.4</v>
      </c>
      <c r="X68" s="169">
        <f t="shared" si="106"/>
        <v>20.37</v>
      </c>
      <c r="Y68" s="113">
        <f t="shared" si="18"/>
        <v>0.11547619047619048</v>
      </c>
      <c r="Z68" s="113">
        <f t="shared" si="19"/>
        <v>0.11547619047619048</v>
      </c>
      <c r="AA68" s="113"/>
      <c r="AB68" s="1019">
        <v>0.01</v>
      </c>
      <c r="AC68" s="113"/>
      <c r="AD68" s="113"/>
      <c r="AE68" s="113"/>
      <c r="AF68" s="113"/>
      <c r="AG68" s="113"/>
      <c r="AH68" s="113"/>
      <c r="AI68" s="113"/>
      <c r="AJ68" s="171">
        <f t="shared" si="107"/>
        <v>549.5089692504323</v>
      </c>
      <c r="AK68" s="1026">
        <f t="shared" si="108"/>
        <v>128.25</v>
      </c>
      <c r="AL68" s="169">
        <f t="shared" si="109"/>
        <v>578.43049394782349</v>
      </c>
      <c r="AM68" s="169">
        <f t="shared" si="75"/>
        <v>135</v>
      </c>
      <c r="AN68" s="169">
        <f t="shared" si="110"/>
        <v>343.07847530260881</v>
      </c>
      <c r="AO68" s="1027">
        <f t="shared" si="140"/>
        <v>372</v>
      </c>
      <c r="AP68" s="169">
        <v>239</v>
      </c>
      <c r="AQ68" s="169">
        <v>43</v>
      </c>
      <c r="AR68" s="78">
        <f t="shared" si="76"/>
        <v>196</v>
      </c>
      <c r="AS68" s="169">
        <v>329</v>
      </c>
      <c r="AT68" s="169">
        <v>35</v>
      </c>
      <c r="AU68" s="169">
        <v>294</v>
      </c>
      <c r="AV68" s="112"/>
      <c r="AW68" s="175">
        <f t="shared" si="143"/>
        <v>261</v>
      </c>
      <c r="AX68" s="169">
        <v>261</v>
      </c>
      <c r="AY68" s="169"/>
      <c r="AZ68" s="169">
        <v>17</v>
      </c>
      <c r="BA68" s="113">
        <f t="shared" si="141"/>
        <v>0.20765644865093941</v>
      </c>
      <c r="BB68" s="169"/>
      <c r="BC68" s="112"/>
      <c r="BD68" s="112"/>
      <c r="BE68" s="112"/>
      <c r="BF68" s="169"/>
      <c r="BG68" s="112"/>
      <c r="BH68" s="112"/>
      <c r="BI68" s="1031">
        <v>1027</v>
      </c>
      <c r="BJ68" s="2">
        <f t="shared" si="111"/>
        <v>1027</v>
      </c>
      <c r="BK68" s="169">
        <v>57</v>
      </c>
      <c r="BL68" s="169">
        <f t="shared" si="112"/>
        <v>135</v>
      </c>
      <c r="BM68" s="1031">
        <f t="shared" si="113"/>
        <v>206.43049394782349</v>
      </c>
      <c r="BN68" s="310">
        <f t="shared" si="114"/>
        <v>149.43049394782349</v>
      </c>
      <c r="BO68" s="262">
        <f t="shared" si="115"/>
        <v>0.16282794271599849</v>
      </c>
      <c r="BP68" s="262">
        <f t="shared" si="116"/>
        <v>0.17655434266729947</v>
      </c>
      <c r="BQ68" s="262">
        <f t="shared" si="117"/>
        <v>9.7973656358720213E-2</v>
      </c>
      <c r="BR68" s="262">
        <f t="shared" si="118"/>
        <v>0.20100340209135686</v>
      </c>
      <c r="BS68" s="988">
        <f t="shared" si="99"/>
        <v>0.55492068265543948</v>
      </c>
      <c r="BT68" s="534">
        <f t="shared" si="119"/>
        <v>28.921524697391177</v>
      </c>
      <c r="BU68" s="534">
        <f t="shared" si="120"/>
        <v>6.75</v>
      </c>
      <c r="BV68" s="113">
        <v>0.05</v>
      </c>
      <c r="BW68" s="276">
        <f t="shared" si="121"/>
        <v>1.4198097544129198E-2</v>
      </c>
      <c r="BX68" s="272">
        <f t="shared" si="122"/>
        <v>49.291524697391182</v>
      </c>
      <c r="BY68" s="113"/>
      <c r="BZ68" s="1035"/>
      <c r="CA68" s="1038"/>
      <c r="CB68" s="2">
        <f t="shared" si="123"/>
        <v>1943</v>
      </c>
      <c r="CC68" s="2">
        <f t="shared" si="95"/>
        <v>2107</v>
      </c>
      <c r="CD68" s="310">
        <f t="shared" si="124"/>
        <v>2107</v>
      </c>
      <c r="CE68" s="310">
        <f t="shared" si="125"/>
        <v>1937</v>
      </c>
      <c r="CF68" s="598"/>
      <c r="CG68" s="598"/>
      <c r="CH68" s="598"/>
      <c r="CI68" s="577">
        <v>100</v>
      </c>
      <c r="CJ68" s="577"/>
      <c r="CK68" s="577"/>
      <c r="CL68" s="517">
        <f t="shared" si="126"/>
        <v>958.26103074956768</v>
      </c>
      <c r="CM68" s="169">
        <f t="shared" si="127"/>
        <v>991.96950605217648</v>
      </c>
      <c r="CN68" s="170">
        <f t="shared" si="43"/>
        <v>280.60000000000002</v>
      </c>
      <c r="CO68" s="170">
        <f t="shared" si="128"/>
        <v>280.60000000000002</v>
      </c>
      <c r="CP68" s="170">
        <f t="shared" si="129"/>
        <v>711.36950605217646</v>
      </c>
      <c r="CQ68" s="170">
        <f t="shared" si="130"/>
        <v>33.708475302608818</v>
      </c>
      <c r="CR68" s="170"/>
      <c r="CS68" s="113">
        <f t="shared" si="131"/>
        <v>1.6548097841241442E-2</v>
      </c>
      <c r="CT68" s="112"/>
      <c r="CU68" s="112"/>
      <c r="CV68" s="112"/>
      <c r="CW68" s="112"/>
      <c r="CX68" s="112"/>
      <c r="CY68" s="112"/>
      <c r="CZ68" s="112"/>
      <c r="DA68" s="112"/>
      <c r="DB68" s="112"/>
      <c r="DC68" s="112"/>
      <c r="DD68" s="112"/>
      <c r="DE68" s="112"/>
      <c r="DF68" s="112"/>
      <c r="DG68" s="112"/>
      <c r="DH68" s="516">
        <f t="shared" si="146"/>
        <v>109.2</v>
      </c>
      <c r="DI68" s="2">
        <f t="shared" si="49"/>
        <v>126.2</v>
      </c>
      <c r="DJ68" s="169">
        <f t="shared" si="50"/>
        <v>109.2</v>
      </c>
      <c r="DK68" s="169">
        <f t="shared" si="142"/>
        <v>17</v>
      </c>
      <c r="DL68" s="113">
        <f t="shared" si="132"/>
        <v>5.1827242524916946E-2</v>
      </c>
      <c r="DM68" s="113">
        <f t="shared" si="133"/>
        <v>0.10632911392405063</v>
      </c>
      <c r="DN68" s="113">
        <v>0.6</v>
      </c>
      <c r="DO68" s="113"/>
      <c r="DP68" s="113"/>
      <c r="DQ68" s="272">
        <v>182</v>
      </c>
      <c r="DR68" s="169"/>
      <c r="DS68" s="169"/>
      <c r="DT68" s="78">
        <f t="shared" si="96"/>
        <v>182</v>
      </c>
      <c r="DU68" s="175">
        <f t="shared" si="97"/>
        <v>1833.7870967741937</v>
      </c>
      <c r="DV68" s="169">
        <v>1877</v>
      </c>
      <c r="DW68" s="170">
        <f t="shared" si="134"/>
        <v>209.21290322580623</v>
      </c>
      <c r="DX68" s="534">
        <f t="shared" si="89"/>
        <v>179.21290322580623</v>
      </c>
      <c r="DY68" s="534">
        <f t="shared" si="90"/>
        <v>147.58709677419336</v>
      </c>
      <c r="DZ68" s="386">
        <f t="shared" si="144"/>
        <v>1.3177419354838693</v>
      </c>
      <c r="EA68" s="169">
        <v>136</v>
      </c>
      <c r="EB68" s="169">
        <v>112</v>
      </c>
      <c r="EC68" s="175">
        <f t="shared" si="82"/>
        <v>31.625806451612874</v>
      </c>
      <c r="ED68" s="175">
        <v>0</v>
      </c>
      <c r="EE68" s="175">
        <f t="shared" si="135"/>
        <v>31.625806451612874</v>
      </c>
      <c r="EF68" s="175"/>
      <c r="EG68" s="169">
        <v>30</v>
      </c>
      <c r="EH68" s="78">
        <f t="shared" si="136"/>
        <v>79.21290322580623</v>
      </c>
      <c r="EI68" s="169">
        <v>691</v>
      </c>
      <c r="EJ68" s="169">
        <v>683</v>
      </c>
      <c r="EK68" s="169"/>
      <c r="EL68" s="169"/>
      <c r="EM68" s="169"/>
      <c r="EN68" s="169"/>
      <c r="EO68" s="169">
        <v>880</v>
      </c>
      <c r="EP68" s="169">
        <v>702</v>
      </c>
      <c r="EQ68" s="175">
        <f t="shared" si="150"/>
        <v>2233</v>
      </c>
      <c r="ER68" s="2">
        <f t="shared" si="137"/>
        <v>2037</v>
      </c>
      <c r="ES68" s="262">
        <f t="shared" si="98"/>
        <v>0.91222570532915359</v>
      </c>
      <c r="ET68" s="262"/>
      <c r="EU68" s="262"/>
      <c r="EV68" s="262"/>
      <c r="EW68" s="598"/>
      <c r="EX68" s="598"/>
      <c r="EY68" s="1126"/>
      <c r="EZ68" s="598"/>
      <c r="FA68" s="598"/>
      <c r="FB68" s="598"/>
      <c r="FC68" s="598"/>
      <c r="FD68" s="598"/>
      <c r="FE68" s="979"/>
      <c r="FF68" s="1048"/>
      <c r="FG68" s="518"/>
      <c r="FH68" s="598"/>
      <c r="FI68" s="310">
        <f t="shared" si="65"/>
        <v>178</v>
      </c>
      <c r="FJ68" s="2">
        <f t="shared" si="138"/>
        <v>178</v>
      </c>
      <c r="FK68" s="1048"/>
      <c r="FL68" s="518"/>
      <c r="FM68" s="518"/>
      <c r="FN68" s="518"/>
      <c r="FO68" s="518"/>
      <c r="FP68" s="518"/>
      <c r="FQ68" s="518"/>
      <c r="FR68" s="518"/>
      <c r="FS68" s="1049"/>
      <c r="FT68" s="518"/>
      <c r="FU68" s="518"/>
      <c r="FV68" s="518"/>
      <c r="FW68" s="518"/>
      <c r="FX68" s="518"/>
      <c r="FY68" s="518"/>
      <c r="FZ68" s="115"/>
      <c r="GA68" s="115"/>
      <c r="GB68" s="115"/>
      <c r="GC68" s="115"/>
      <c r="GD68" s="115"/>
      <c r="GE68" s="115"/>
      <c r="GF68" s="115"/>
      <c r="GG68" s="115"/>
      <c r="GH68" s="115"/>
      <c r="GI68" s="115"/>
      <c r="GJ68" s="115"/>
      <c r="GK68" s="1162">
        <f>DataUK4!X221+DataUK4!AH221</f>
        <v>39.5</v>
      </c>
      <c r="GL68" s="115"/>
      <c r="GM68" s="115"/>
      <c r="GN68" s="115"/>
      <c r="GO68" s="115"/>
      <c r="GP68" s="310">
        <f t="shared" si="139"/>
        <v>31.625806451612874</v>
      </c>
      <c r="GQ68" s="115"/>
      <c r="GR68" s="115"/>
      <c r="GS68" s="115"/>
      <c r="GT68" s="115"/>
      <c r="GU68" s="991">
        <f t="shared" si="68"/>
        <v>7.8741935483871259</v>
      </c>
      <c r="GW68" s="1063">
        <f>DataUK4!D221+DataUK4!F221</f>
        <v>16.899999999999999</v>
      </c>
      <c r="GX68" s="115"/>
      <c r="GY68" s="615">
        <f t="shared" si="69"/>
        <v>14.179256965944278</v>
      </c>
      <c r="GZ68" s="115"/>
      <c r="HA68" s="115"/>
      <c r="HB68" s="115"/>
      <c r="HC68" s="1051"/>
      <c r="HD68" s="170">
        <f t="shared" si="147"/>
        <v>170</v>
      </c>
      <c r="HE68" s="301">
        <f t="shared" si="151"/>
        <v>189</v>
      </c>
      <c r="HF68" s="301">
        <f t="shared" si="152"/>
        <v>19</v>
      </c>
      <c r="HG68" s="170">
        <f t="shared" si="71"/>
        <v>0</v>
      </c>
      <c r="HH68" s="301">
        <v>0</v>
      </c>
      <c r="HI68" s="301">
        <v>0</v>
      </c>
      <c r="HJ68" s="2">
        <v>0</v>
      </c>
      <c r="HK68" s="2">
        <v>0</v>
      </c>
      <c r="HL68" s="2">
        <v>0</v>
      </c>
      <c r="HM68" s="2">
        <f t="shared" si="72"/>
        <v>0</v>
      </c>
      <c r="HN68" s="2">
        <v>0</v>
      </c>
      <c r="HO68" s="2">
        <v>0</v>
      </c>
      <c r="HP68" s="2">
        <v>0</v>
      </c>
      <c r="HQ68" s="2">
        <v>0</v>
      </c>
      <c r="HR68" s="2">
        <v>0</v>
      </c>
      <c r="HS68" s="1052">
        <v>0</v>
      </c>
      <c r="HT68" s="1002">
        <v>9.6</v>
      </c>
      <c r="HU68" s="1002">
        <f t="shared" si="73"/>
        <v>1.1729903536977491</v>
      </c>
      <c r="HV68" s="1002">
        <f t="shared" si="74"/>
        <v>1.3581993569131834</v>
      </c>
    </row>
    <row r="69" spans="1:230" ht="12" customHeight="1">
      <c r="A69" s="110">
        <f t="shared" si="148"/>
        <v>1911</v>
      </c>
      <c r="B69" s="176">
        <f t="shared" si="1"/>
        <v>2192</v>
      </c>
      <c r="C69" s="177">
        <f t="shared" si="145"/>
        <v>177</v>
      </c>
      <c r="D69" s="176">
        <f t="shared" si="100"/>
        <v>2015.0000000000002</v>
      </c>
      <c r="E69" s="154">
        <f t="shared" si="101"/>
        <v>2118</v>
      </c>
      <c r="F69" s="995">
        <f t="shared" si="5"/>
        <v>103</v>
      </c>
      <c r="G69" s="531">
        <f t="shared" si="102"/>
        <v>2390</v>
      </c>
      <c r="H69" s="531">
        <f t="shared" si="103"/>
        <v>2213</v>
      </c>
      <c r="I69" s="531">
        <f t="shared" si="104"/>
        <v>2316</v>
      </c>
      <c r="J69" s="548">
        <f t="shared" si="105"/>
        <v>0.91450777202072542</v>
      </c>
      <c r="K69" s="515">
        <f t="shared" si="87"/>
        <v>167</v>
      </c>
      <c r="L69" s="175">
        <v>167</v>
      </c>
      <c r="M69" s="175">
        <v>0</v>
      </c>
      <c r="N69" s="111"/>
      <c r="O69" s="111"/>
      <c r="P69" s="111"/>
      <c r="Q69" s="111"/>
      <c r="R69" s="111"/>
      <c r="S69" s="532">
        <f t="shared" si="149"/>
        <v>8.2469135802469132E-2</v>
      </c>
      <c r="T69" s="1008">
        <f t="shared" si="13"/>
        <v>158.82</v>
      </c>
      <c r="U69" s="1010">
        <f t="shared" si="14"/>
        <v>158.82</v>
      </c>
      <c r="V69" s="511">
        <f t="shared" si="15"/>
        <v>180</v>
      </c>
      <c r="W69" s="2">
        <f t="shared" si="16"/>
        <v>180</v>
      </c>
      <c r="X69" s="169">
        <f t="shared" si="106"/>
        <v>21.18</v>
      </c>
      <c r="Y69" s="113">
        <f t="shared" si="18"/>
        <v>0.11766666666666667</v>
      </c>
      <c r="Z69" s="113">
        <f t="shared" si="19"/>
        <v>0.11766666666666667</v>
      </c>
      <c r="AA69" s="113"/>
      <c r="AB69" s="1019">
        <v>0.01</v>
      </c>
      <c r="AC69" s="113"/>
      <c r="AD69" s="113"/>
      <c r="AE69" s="113"/>
      <c r="AF69" s="113"/>
      <c r="AG69" s="113"/>
      <c r="AH69" s="113"/>
      <c r="AI69" s="113"/>
      <c r="AJ69" s="171">
        <f t="shared" si="107"/>
        <v>584.96116081497632</v>
      </c>
      <c r="AK69" s="1026">
        <f t="shared" si="108"/>
        <v>144.4</v>
      </c>
      <c r="AL69" s="169">
        <f t="shared" si="109"/>
        <v>615.74859033155406</v>
      </c>
      <c r="AM69" s="169">
        <f t="shared" si="75"/>
        <v>152</v>
      </c>
      <c r="AN69" s="169">
        <f t="shared" si="110"/>
        <v>365.21257048342227</v>
      </c>
      <c r="AO69" s="1027">
        <f t="shared" si="140"/>
        <v>396</v>
      </c>
      <c r="AP69" s="169">
        <v>243</v>
      </c>
      <c r="AQ69" s="169">
        <v>43</v>
      </c>
      <c r="AR69" s="78">
        <f t="shared" si="76"/>
        <v>200</v>
      </c>
      <c r="AS69" s="169">
        <v>353</v>
      </c>
      <c r="AT69" s="169">
        <v>51</v>
      </c>
      <c r="AU69" s="169">
        <v>302</v>
      </c>
      <c r="AV69" s="112"/>
      <c r="AW69" s="175">
        <f t="shared" si="143"/>
        <v>272</v>
      </c>
      <c r="AX69" s="169">
        <v>272</v>
      </c>
      <c r="AY69" s="169"/>
      <c r="AZ69" s="169">
        <v>18</v>
      </c>
      <c r="BA69" s="113">
        <f t="shared" si="141"/>
        <v>0.20569404713254325</v>
      </c>
      <c r="BB69" s="169"/>
      <c r="BC69" s="112"/>
      <c r="BD69" s="112"/>
      <c r="BE69" s="112"/>
      <c r="BF69" s="169"/>
      <c r="BG69" s="112"/>
      <c r="BH69" s="112"/>
      <c r="BI69" s="1031">
        <v>1065</v>
      </c>
      <c r="BJ69" s="2">
        <f t="shared" si="111"/>
        <v>1065</v>
      </c>
      <c r="BK69" s="169">
        <v>58</v>
      </c>
      <c r="BL69" s="169">
        <f t="shared" si="112"/>
        <v>152</v>
      </c>
      <c r="BM69" s="1031">
        <f t="shared" si="113"/>
        <v>219.74859033155403</v>
      </c>
      <c r="BN69" s="310">
        <f t="shared" si="114"/>
        <v>161.74859033155403</v>
      </c>
      <c r="BO69" s="262">
        <f t="shared" si="115"/>
        <v>0.16661157412564884</v>
      </c>
      <c r="BP69" s="262">
        <f t="shared" si="116"/>
        <v>0.18065693430656934</v>
      </c>
      <c r="BQ69" s="262">
        <f t="shared" si="117"/>
        <v>0.10025026931184033</v>
      </c>
      <c r="BR69" s="262">
        <f t="shared" si="118"/>
        <v>0.20633670453667044</v>
      </c>
      <c r="BS69" s="988">
        <f t="shared" si="99"/>
        <v>0.55492068265543948</v>
      </c>
      <c r="BT69" s="534">
        <f t="shared" si="119"/>
        <v>30.787429516577703</v>
      </c>
      <c r="BU69" s="534">
        <f t="shared" si="120"/>
        <v>7.6000000000000005</v>
      </c>
      <c r="BV69" s="113">
        <v>0.05</v>
      </c>
      <c r="BW69" s="276">
        <f t="shared" si="121"/>
        <v>1.4536085701878046E-2</v>
      </c>
      <c r="BX69" s="272">
        <f t="shared" si="122"/>
        <v>51.967429516577702</v>
      </c>
      <c r="BY69" s="113"/>
      <c r="BZ69" s="1035"/>
      <c r="CA69" s="1038"/>
      <c r="CB69" s="2">
        <f t="shared" si="123"/>
        <v>2025</v>
      </c>
      <c r="CC69" s="2">
        <f t="shared" si="95"/>
        <v>2192</v>
      </c>
      <c r="CD69" s="310">
        <f t="shared" si="124"/>
        <v>2192</v>
      </c>
      <c r="CE69" s="310">
        <f t="shared" si="125"/>
        <v>2015</v>
      </c>
      <c r="CF69" s="598"/>
      <c r="CG69" s="598"/>
      <c r="CH69" s="598"/>
      <c r="CI69" s="577">
        <v>103</v>
      </c>
      <c r="CJ69" s="577"/>
      <c r="CK69" s="577"/>
      <c r="CL69" s="517">
        <f t="shared" si="126"/>
        <v>991.41883918502378</v>
      </c>
      <c r="CM69" s="169">
        <f t="shared" si="127"/>
        <v>1024.4514096684461</v>
      </c>
      <c r="CN69" s="170">
        <f t="shared" si="43"/>
        <v>292</v>
      </c>
      <c r="CO69" s="170">
        <f t="shared" si="128"/>
        <v>292</v>
      </c>
      <c r="CP69" s="170">
        <f t="shared" si="129"/>
        <v>732.45140966844599</v>
      </c>
      <c r="CQ69" s="170">
        <f t="shared" si="130"/>
        <v>33.03257048342229</v>
      </c>
      <c r="CR69" s="170"/>
      <c r="CS69" s="113">
        <f t="shared" si="131"/>
        <v>1.5596114486979363E-2</v>
      </c>
      <c r="CT69" s="112"/>
      <c r="CU69" s="112"/>
      <c r="CV69" s="112"/>
      <c r="CW69" s="112"/>
      <c r="CX69" s="112"/>
      <c r="CY69" s="112"/>
      <c r="CZ69" s="112"/>
      <c r="DA69" s="112"/>
      <c r="DB69" s="112"/>
      <c r="DC69" s="112"/>
      <c r="DD69" s="112"/>
      <c r="DE69" s="112"/>
      <c r="DF69" s="112"/>
      <c r="DG69" s="112"/>
      <c r="DH69" s="516">
        <f t="shared" si="146"/>
        <v>112.80000000000001</v>
      </c>
      <c r="DI69" s="2">
        <f t="shared" si="49"/>
        <v>130.80000000000001</v>
      </c>
      <c r="DJ69" s="169">
        <f t="shared" si="50"/>
        <v>112.8</v>
      </c>
      <c r="DK69" s="169">
        <f t="shared" si="142"/>
        <v>18</v>
      </c>
      <c r="DL69" s="113">
        <f t="shared" si="132"/>
        <v>5.1459854014598537E-2</v>
      </c>
      <c r="DM69" s="113">
        <f t="shared" si="133"/>
        <v>0.10591549295774648</v>
      </c>
      <c r="DN69" s="113">
        <v>0.6</v>
      </c>
      <c r="DO69" s="113"/>
      <c r="DP69" s="113"/>
      <c r="DQ69" s="272">
        <v>188</v>
      </c>
      <c r="DR69" s="169"/>
      <c r="DS69" s="169"/>
      <c r="DT69" s="78">
        <f t="shared" si="96"/>
        <v>188</v>
      </c>
      <c r="DU69" s="175">
        <f t="shared" si="97"/>
        <v>1894.2709677419357</v>
      </c>
      <c r="DV69" s="169">
        <v>1936</v>
      </c>
      <c r="DW69" s="170">
        <f t="shared" si="134"/>
        <v>203.72903225806428</v>
      </c>
      <c r="DX69" s="534">
        <f t="shared" si="89"/>
        <v>173.72903225806428</v>
      </c>
      <c r="DY69" s="534">
        <f t="shared" si="90"/>
        <v>143.45806451612884</v>
      </c>
      <c r="DZ69" s="386">
        <f t="shared" si="144"/>
        <v>1.3161290322580628</v>
      </c>
      <c r="EA69" s="169">
        <v>132</v>
      </c>
      <c r="EB69" s="169">
        <v>109</v>
      </c>
      <c r="EC69" s="175">
        <f t="shared" si="82"/>
        <v>30.270967741935436</v>
      </c>
      <c r="ED69" s="175">
        <v>0</v>
      </c>
      <c r="EE69" s="175">
        <f t="shared" si="135"/>
        <v>30.270967741935436</v>
      </c>
      <c r="EF69" s="175"/>
      <c r="EG69" s="169">
        <v>30</v>
      </c>
      <c r="EH69" s="78">
        <f t="shared" si="136"/>
        <v>70.729032258064279</v>
      </c>
      <c r="EI69" s="169">
        <v>715</v>
      </c>
      <c r="EJ69" s="169">
        <v>685</v>
      </c>
      <c r="EK69" s="169"/>
      <c r="EL69" s="169"/>
      <c r="EM69" s="169"/>
      <c r="EN69" s="169"/>
      <c r="EO69" s="169">
        <v>912</v>
      </c>
      <c r="EP69" s="169">
        <v>705</v>
      </c>
      <c r="EQ69" s="175">
        <f t="shared" si="150"/>
        <v>2316</v>
      </c>
      <c r="ER69" s="2">
        <f t="shared" si="137"/>
        <v>2118</v>
      </c>
      <c r="ES69" s="262">
        <f t="shared" si="98"/>
        <v>0.91450777202072542</v>
      </c>
      <c r="ET69" s="262"/>
      <c r="EU69" s="262"/>
      <c r="EV69" s="262"/>
      <c r="EW69" s="598"/>
      <c r="EX69" s="598"/>
      <c r="EY69" s="1126"/>
      <c r="EZ69" s="598"/>
      <c r="FA69" s="598"/>
      <c r="FB69" s="598"/>
      <c r="FC69" s="598"/>
      <c r="FD69" s="598"/>
      <c r="FE69" s="979"/>
      <c r="FF69" s="1048"/>
      <c r="FG69" s="518"/>
      <c r="FH69" s="598"/>
      <c r="FI69" s="310">
        <f t="shared" si="65"/>
        <v>207</v>
      </c>
      <c r="FJ69" s="2">
        <f t="shared" si="138"/>
        <v>207</v>
      </c>
      <c r="FK69" s="1048"/>
      <c r="FL69" s="518"/>
      <c r="FM69" s="518"/>
      <c r="FN69" s="518"/>
      <c r="FO69" s="518"/>
      <c r="FP69" s="518"/>
      <c r="FQ69" s="518"/>
      <c r="FR69" s="518"/>
      <c r="FS69" s="1049"/>
      <c r="FT69" s="518"/>
      <c r="FU69" s="518"/>
      <c r="FV69" s="518"/>
      <c r="FW69" s="518"/>
      <c r="FX69" s="518"/>
      <c r="FY69" s="518"/>
      <c r="FZ69" s="115"/>
      <c r="GA69" s="115"/>
      <c r="GB69" s="115"/>
      <c r="GC69" s="115"/>
      <c r="GD69" s="115"/>
      <c r="GE69" s="115"/>
      <c r="GF69" s="115"/>
      <c r="GG69" s="115"/>
      <c r="GH69" s="115"/>
      <c r="GI69" s="115"/>
      <c r="GJ69" s="115"/>
      <c r="GK69" s="1162">
        <f>DataUK4!X222+DataUK4!AH222</f>
        <v>14.5</v>
      </c>
      <c r="GL69" s="115"/>
      <c r="GM69" s="115"/>
      <c r="GN69" s="115"/>
      <c r="GO69" s="115"/>
      <c r="GP69" s="310">
        <f t="shared" si="139"/>
        <v>30.270967741935436</v>
      </c>
      <c r="GQ69" s="115"/>
      <c r="GR69" s="115"/>
      <c r="GS69" s="115"/>
      <c r="GT69" s="115"/>
      <c r="GU69" s="991">
        <f t="shared" si="68"/>
        <v>-15.770967741935436</v>
      </c>
      <c r="GW69" s="1063">
        <f>DataUK4!D222+DataUK4!F222</f>
        <v>16.600000000000001</v>
      </c>
      <c r="GX69" s="115"/>
      <c r="GY69" s="615">
        <f t="shared" si="69"/>
        <v>13.927554179566572</v>
      </c>
      <c r="GZ69" s="115"/>
      <c r="HA69" s="115"/>
      <c r="HB69" s="115"/>
      <c r="HC69" s="1051"/>
      <c r="HD69" s="170">
        <f t="shared" si="147"/>
        <v>177</v>
      </c>
      <c r="HE69" s="301">
        <f t="shared" si="151"/>
        <v>197</v>
      </c>
      <c r="HF69" s="301">
        <f t="shared" si="152"/>
        <v>20</v>
      </c>
      <c r="HG69" s="170">
        <f t="shared" si="71"/>
        <v>0</v>
      </c>
      <c r="HH69" s="301">
        <v>0</v>
      </c>
      <c r="HI69" s="301">
        <v>0</v>
      </c>
      <c r="HJ69" s="2">
        <v>0</v>
      </c>
      <c r="HK69" s="2">
        <v>0</v>
      </c>
      <c r="HL69" s="2">
        <v>0</v>
      </c>
      <c r="HM69" s="2">
        <f t="shared" si="72"/>
        <v>0</v>
      </c>
      <c r="HN69" s="2">
        <v>0</v>
      </c>
      <c r="HO69" s="2">
        <v>0</v>
      </c>
      <c r="HP69" s="2">
        <v>0</v>
      </c>
      <c r="HQ69" s="2">
        <v>0</v>
      </c>
      <c r="HR69" s="2">
        <v>0</v>
      </c>
      <c r="HS69" s="1052">
        <v>0</v>
      </c>
      <c r="HT69" s="1002">
        <v>9.6</v>
      </c>
      <c r="HU69" s="1002">
        <f t="shared" si="73"/>
        <v>1.1729903536977491</v>
      </c>
      <c r="HV69" s="1002">
        <f t="shared" si="74"/>
        <v>1.3581993569131834</v>
      </c>
    </row>
    <row r="70" spans="1:230" ht="12" customHeight="1">
      <c r="A70" s="110">
        <f t="shared" si="148"/>
        <v>1912</v>
      </c>
      <c r="B70" s="176">
        <f t="shared" si="1"/>
        <v>2303.9999999999995</v>
      </c>
      <c r="C70" s="177">
        <f t="shared" si="145"/>
        <v>187</v>
      </c>
      <c r="D70" s="176">
        <f t="shared" si="100"/>
        <v>2116.9999999999995</v>
      </c>
      <c r="E70" s="154">
        <f t="shared" si="101"/>
        <v>2227</v>
      </c>
      <c r="F70" s="995">
        <f t="shared" si="5"/>
        <v>110</v>
      </c>
      <c r="G70" s="531">
        <f t="shared" si="102"/>
        <v>2455</v>
      </c>
      <c r="H70" s="531">
        <f t="shared" si="103"/>
        <v>2268</v>
      </c>
      <c r="I70" s="531">
        <f t="shared" si="104"/>
        <v>2378</v>
      </c>
      <c r="J70" s="548">
        <f t="shared" si="105"/>
        <v>0.93650126156433977</v>
      </c>
      <c r="K70" s="515">
        <f t="shared" si="87"/>
        <v>172</v>
      </c>
      <c r="L70" s="175">
        <v>172</v>
      </c>
      <c r="M70" s="175">
        <v>0</v>
      </c>
      <c r="N70" s="111"/>
      <c r="O70" s="111"/>
      <c r="P70" s="111"/>
      <c r="Q70" s="111"/>
      <c r="R70" s="111"/>
      <c r="S70" s="532">
        <f t="shared" si="149"/>
        <v>8.0675422138836772E-2</v>
      </c>
      <c r="T70" s="1008">
        <f t="shared" si="13"/>
        <v>160.43</v>
      </c>
      <c r="U70" s="1010">
        <f t="shared" si="14"/>
        <v>160.43</v>
      </c>
      <c r="V70" s="511">
        <f t="shared" si="15"/>
        <v>182.70000000000002</v>
      </c>
      <c r="W70" s="2">
        <f t="shared" si="16"/>
        <v>182.70000000000002</v>
      </c>
      <c r="X70" s="169">
        <f t="shared" si="106"/>
        <v>22.27</v>
      </c>
      <c r="Y70" s="113">
        <f t="shared" si="18"/>
        <v>0.12189381499726326</v>
      </c>
      <c r="Z70" s="113">
        <f t="shared" si="19"/>
        <v>0.12189381499726326</v>
      </c>
      <c r="AA70" s="113"/>
      <c r="AB70" s="1019">
        <v>0.01</v>
      </c>
      <c r="AC70" s="113"/>
      <c r="AD70" s="113"/>
      <c r="AE70" s="113"/>
      <c r="AF70" s="113"/>
      <c r="AG70" s="113"/>
      <c r="AH70" s="113"/>
      <c r="AI70" s="113"/>
      <c r="AJ70" s="171">
        <f t="shared" si="107"/>
        <v>604.16443124577097</v>
      </c>
      <c r="AK70" s="1026">
        <f t="shared" si="108"/>
        <v>140.6</v>
      </c>
      <c r="AL70" s="169">
        <f t="shared" si="109"/>
        <v>635.96255920607473</v>
      </c>
      <c r="AM70" s="169">
        <f t="shared" si="75"/>
        <v>148</v>
      </c>
      <c r="AN70" s="169">
        <f t="shared" si="110"/>
        <v>377.20187203969624</v>
      </c>
      <c r="AO70" s="1027">
        <f t="shared" si="140"/>
        <v>409</v>
      </c>
      <c r="AP70" s="169">
        <v>246</v>
      </c>
      <c r="AQ70" s="169">
        <v>43</v>
      </c>
      <c r="AR70" s="78">
        <f t="shared" si="76"/>
        <v>203</v>
      </c>
      <c r="AS70" s="169">
        <v>366</v>
      </c>
      <c r="AT70" s="169">
        <v>46</v>
      </c>
      <c r="AU70" s="169">
        <v>320</v>
      </c>
      <c r="AV70" s="112"/>
      <c r="AW70" s="175">
        <f t="shared" si="143"/>
        <v>308</v>
      </c>
      <c r="AX70" s="169">
        <v>308</v>
      </c>
      <c r="AY70" s="169"/>
      <c r="AZ70" s="169">
        <v>21</v>
      </c>
      <c r="BA70" s="113">
        <f t="shared" si="141"/>
        <v>0.20442059537498403</v>
      </c>
      <c r="BB70" s="169"/>
      <c r="BC70" s="112"/>
      <c r="BD70" s="112"/>
      <c r="BE70" s="112"/>
      <c r="BF70" s="169"/>
      <c r="BG70" s="112"/>
      <c r="BH70" s="112"/>
      <c r="BI70" s="1031">
        <v>1114</v>
      </c>
      <c r="BJ70" s="2">
        <f t="shared" si="111"/>
        <v>1114</v>
      </c>
      <c r="BK70" s="169">
        <v>59</v>
      </c>
      <c r="BL70" s="169">
        <f t="shared" si="112"/>
        <v>148</v>
      </c>
      <c r="BM70" s="1031">
        <f t="shared" si="113"/>
        <v>226.96255920607476</v>
      </c>
      <c r="BN70" s="310">
        <f t="shared" si="114"/>
        <v>167.96255920607476</v>
      </c>
      <c r="BO70" s="262">
        <f t="shared" si="115"/>
        <v>0.16371609029500706</v>
      </c>
      <c r="BP70" s="262">
        <f t="shared" si="116"/>
        <v>0.1775173611111111</v>
      </c>
      <c r="BQ70" s="262">
        <f t="shared" si="117"/>
        <v>9.8508055210969947E-2</v>
      </c>
      <c r="BR70" s="262">
        <f t="shared" si="118"/>
        <v>0.203736588156261</v>
      </c>
      <c r="BS70" s="988">
        <f t="shared" si="99"/>
        <v>0.55492068265543948</v>
      </c>
      <c r="BT70" s="534">
        <f t="shared" si="119"/>
        <v>31.798127960303738</v>
      </c>
      <c r="BU70" s="534">
        <f t="shared" si="120"/>
        <v>7.4</v>
      </c>
      <c r="BV70" s="113">
        <v>0.05</v>
      </c>
      <c r="BW70" s="276">
        <f t="shared" si="121"/>
        <v>1.4278458895511333E-2</v>
      </c>
      <c r="BX70" s="272">
        <f t="shared" si="122"/>
        <v>54.068127960303741</v>
      </c>
      <c r="BY70" s="113"/>
      <c r="BZ70" s="1035"/>
      <c r="CA70" s="1038"/>
      <c r="CB70" s="2">
        <f t="shared" si="123"/>
        <v>2132</v>
      </c>
      <c r="CC70" s="2">
        <f t="shared" si="95"/>
        <v>2304</v>
      </c>
      <c r="CD70" s="310">
        <f t="shared" si="124"/>
        <v>2304</v>
      </c>
      <c r="CE70" s="310">
        <f t="shared" si="125"/>
        <v>2117</v>
      </c>
      <c r="CF70" s="598"/>
      <c r="CG70" s="598"/>
      <c r="CH70" s="598"/>
      <c r="CI70" s="577">
        <v>110</v>
      </c>
      <c r="CJ70" s="577"/>
      <c r="CK70" s="577"/>
      <c r="CL70" s="517">
        <f t="shared" si="126"/>
        <v>1062.8055687542287</v>
      </c>
      <c r="CM70" s="169">
        <f t="shared" si="127"/>
        <v>1097.7374407939251</v>
      </c>
      <c r="CN70" s="170">
        <f t="shared" si="43"/>
        <v>328.29999999999995</v>
      </c>
      <c r="CO70" s="170">
        <f t="shared" si="128"/>
        <v>328.29999999999995</v>
      </c>
      <c r="CP70" s="170">
        <f t="shared" si="129"/>
        <v>769.43744079392525</v>
      </c>
      <c r="CQ70" s="170">
        <f t="shared" si="130"/>
        <v>34.931872039696266</v>
      </c>
      <c r="CR70" s="170"/>
      <c r="CS70" s="113">
        <f t="shared" si="131"/>
        <v>1.5685618338435684E-2</v>
      </c>
      <c r="CT70" s="112"/>
      <c r="CU70" s="112"/>
      <c r="CV70" s="112"/>
      <c r="CW70" s="112"/>
      <c r="CX70" s="112"/>
      <c r="CY70" s="112"/>
      <c r="CZ70" s="112"/>
      <c r="DA70" s="112"/>
      <c r="DB70" s="112"/>
      <c r="DC70" s="112"/>
      <c r="DD70" s="112"/>
      <c r="DE70" s="112"/>
      <c r="DF70" s="112"/>
      <c r="DG70" s="112"/>
      <c r="DH70" s="516">
        <f t="shared" si="146"/>
        <v>117.6</v>
      </c>
      <c r="DI70" s="2">
        <f t="shared" si="49"/>
        <v>138.6</v>
      </c>
      <c r="DJ70" s="169">
        <f t="shared" si="50"/>
        <v>117.6</v>
      </c>
      <c r="DK70" s="169">
        <f t="shared" si="142"/>
        <v>21</v>
      </c>
      <c r="DL70" s="113">
        <f t="shared" si="132"/>
        <v>5.1041666666666666E-2</v>
      </c>
      <c r="DM70" s="113">
        <f t="shared" si="133"/>
        <v>0.10556552962298024</v>
      </c>
      <c r="DN70" s="113">
        <v>0.6</v>
      </c>
      <c r="DO70" s="113"/>
      <c r="DP70" s="113"/>
      <c r="DQ70" s="272">
        <v>196</v>
      </c>
      <c r="DR70" s="169"/>
      <c r="DS70" s="169"/>
      <c r="DT70" s="78">
        <f t="shared" si="96"/>
        <v>196</v>
      </c>
      <c r="DU70" s="175">
        <f t="shared" si="97"/>
        <v>1963.2258064516132</v>
      </c>
      <c r="DV70" s="169">
        <v>2006</v>
      </c>
      <c r="DW70" s="170">
        <f t="shared" si="134"/>
        <v>198.77419354838685</v>
      </c>
      <c r="DX70" s="534">
        <f t="shared" si="89"/>
        <v>178.77419354838685</v>
      </c>
      <c r="DY70" s="534">
        <f t="shared" si="90"/>
        <v>145.91129032258044</v>
      </c>
      <c r="DZ70" s="386">
        <f t="shared" si="144"/>
        <v>1.3145161290322562</v>
      </c>
      <c r="EA70" s="169">
        <v>136</v>
      </c>
      <c r="EB70" s="169">
        <v>111</v>
      </c>
      <c r="EC70" s="175">
        <f t="shared" si="82"/>
        <v>32.862903225806406</v>
      </c>
      <c r="ED70" s="175">
        <v>0</v>
      </c>
      <c r="EE70" s="175">
        <f t="shared" si="135"/>
        <v>32.862903225806406</v>
      </c>
      <c r="EF70" s="175"/>
      <c r="EG70" s="169">
        <v>20</v>
      </c>
      <c r="EH70" s="78">
        <f t="shared" si="136"/>
        <v>68.774193548386847</v>
      </c>
      <c r="EI70" s="169">
        <v>768</v>
      </c>
      <c r="EJ70" s="169">
        <v>748</v>
      </c>
      <c r="EK70" s="169"/>
      <c r="EL70" s="169"/>
      <c r="EM70" s="169"/>
      <c r="EN70" s="169"/>
      <c r="EO70" s="169">
        <v>977</v>
      </c>
      <c r="EP70" s="169">
        <v>770</v>
      </c>
      <c r="EQ70" s="175">
        <f t="shared" si="150"/>
        <v>2378</v>
      </c>
      <c r="ER70" s="2">
        <f t="shared" si="137"/>
        <v>2227</v>
      </c>
      <c r="ES70" s="262">
        <f t="shared" si="98"/>
        <v>0.93650126156433977</v>
      </c>
      <c r="ET70" s="262"/>
      <c r="EU70" s="262"/>
      <c r="EV70" s="262"/>
      <c r="EW70" s="598"/>
      <c r="EX70" s="598"/>
      <c r="EY70" s="1126"/>
      <c r="EZ70" s="598"/>
      <c r="FA70" s="598"/>
      <c r="FB70" s="598"/>
      <c r="FC70" s="598"/>
      <c r="FD70" s="598"/>
      <c r="FE70" s="979"/>
      <c r="FF70" s="1048"/>
      <c r="FG70" s="518"/>
      <c r="FH70" s="598"/>
      <c r="FI70" s="310">
        <f t="shared" si="65"/>
        <v>207</v>
      </c>
      <c r="FJ70" s="2">
        <f t="shared" si="138"/>
        <v>207</v>
      </c>
      <c r="FK70" s="1048"/>
      <c r="FL70" s="518"/>
      <c r="FM70" s="518"/>
      <c r="FN70" s="518"/>
      <c r="FO70" s="518"/>
      <c r="FP70" s="518"/>
      <c r="FQ70" s="518"/>
      <c r="FR70" s="518"/>
      <c r="FS70" s="1049"/>
      <c r="FT70" s="518"/>
      <c r="FU70" s="518"/>
      <c r="FV70" s="518"/>
      <c r="FW70" s="518"/>
      <c r="FX70" s="518"/>
      <c r="FY70" s="518"/>
      <c r="FZ70" s="115"/>
      <c r="GA70" s="115"/>
      <c r="GB70" s="115"/>
      <c r="GC70" s="115"/>
      <c r="GD70" s="115"/>
      <c r="GE70" s="115"/>
      <c r="GF70" s="115"/>
      <c r="GG70" s="115"/>
      <c r="GH70" s="115"/>
      <c r="GI70" s="115"/>
      <c r="GJ70" s="115"/>
      <c r="GK70" s="1162">
        <f>DataUK4!X223+DataUK4!AH223</f>
        <v>8.3000000000000114</v>
      </c>
      <c r="GL70" s="115"/>
      <c r="GM70" s="115"/>
      <c r="GN70" s="115"/>
      <c r="GO70" s="115"/>
      <c r="GP70" s="310">
        <f t="shared" si="139"/>
        <v>32.862903225806406</v>
      </c>
      <c r="GQ70" s="115"/>
      <c r="GR70" s="115"/>
      <c r="GS70" s="115"/>
      <c r="GT70" s="115"/>
      <c r="GU70" s="991">
        <f t="shared" si="68"/>
        <v>-24.562903225806394</v>
      </c>
      <c r="GW70" s="1063">
        <f>DataUK4!D223+DataUK4!F223</f>
        <v>16.399999999999999</v>
      </c>
      <c r="GX70" s="115"/>
      <c r="GY70" s="615">
        <f t="shared" si="69"/>
        <v>13.759752321981429</v>
      </c>
      <c r="GZ70" s="115"/>
      <c r="HA70" s="115"/>
      <c r="HB70" s="115"/>
      <c r="HC70" s="1051"/>
      <c r="HD70" s="170">
        <f t="shared" si="147"/>
        <v>187</v>
      </c>
      <c r="HE70" s="301">
        <f t="shared" si="151"/>
        <v>209</v>
      </c>
      <c r="HF70" s="301">
        <f t="shared" si="152"/>
        <v>22</v>
      </c>
      <c r="HG70" s="170">
        <f t="shared" si="71"/>
        <v>0</v>
      </c>
      <c r="HH70" s="301">
        <v>0</v>
      </c>
      <c r="HI70" s="301">
        <v>0</v>
      </c>
      <c r="HJ70" s="2">
        <v>0</v>
      </c>
      <c r="HK70" s="2">
        <v>0</v>
      </c>
      <c r="HL70" s="2">
        <v>0</v>
      </c>
      <c r="HM70" s="2">
        <f t="shared" si="72"/>
        <v>0</v>
      </c>
      <c r="HN70" s="2">
        <v>0</v>
      </c>
      <c r="HO70" s="2">
        <v>0</v>
      </c>
      <c r="HP70" s="2">
        <v>0</v>
      </c>
      <c r="HQ70" s="2">
        <v>0</v>
      </c>
      <c r="HR70" s="2">
        <v>0</v>
      </c>
      <c r="HS70" s="1052">
        <v>0</v>
      </c>
      <c r="HT70" s="1002">
        <v>9.9</v>
      </c>
      <c r="HU70" s="1002">
        <f t="shared" si="73"/>
        <v>1.2096463022508037</v>
      </c>
      <c r="HV70" s="1002">
        <f t="shared" si="74"/>
        <v>1.4006430868167203</v>
      </c>
    </row>
    <row r="71" spans="1:230" ht="12" customHeight="1">
      <c r="A71" s="110">
        <f t="shared" si="148"/>
        <v>1913</v>
      </c>
      <c r="B71" s="176">
        <f t="shared" si="1"/>
        <v>2381.0000000000005</v>
      </c>
      <c r="C71" s="177">
        <f t="shared" si="145"/>
        <v>200</v>
      </c>
      <c r="D71" s="176">
        <f t="shared" si="100"/>
        <v>2181.0000000000005</v>
      </c>
      <c r="E71" s="154">
        <f t="shared" si="101"/>
        <v>2297</v>
      </c>
      <c r="F71" s="995">
        <f t="shared" si="5"/>
        <v>116</v>
      </c>
      <c r="G71" s="531">
        <f t="shared" si="102"/>
        <v>2600.9999999999995</v>
      </c>
      <c r="H71" s="531">
        <f t="shared" si="103"/>
        <v>2400.9999999999995</v>
      </c>
      <c r="I71" s="531">
        <f t="shared" si="104"/>
        <v>2516.9999999999995</v>
      </c>
      <c r="J71" s="548">
        <f t="shared" si="105"/>
        <v>0.91259435836313085</v>
      </c>
      <c r="K71" s="515">
        <f t="shared" si="87"/>
        <v>175</v>
      </c>
      <c r="L71" s="175">
        <v>175</v>
      </c>
      <c r="M71" s="175">
        <v>0</v>
      </c>
      <c r="N71" s="111"/>
      <c r="O71" s="111"/>
      <c r="P71" s="111"/>
      <c r="Q71" s="111"/>
      <c r="R71" s="111"/>
      <c r="S71" s="532">
        <f t="shared" si="149"/>
        <v>7.9329102447869448E-2</v>
      </c>
      <c r="T71" s="1008">
        <f t="shared" si="13"/>
        <v>162.43</v>
      </c>
      <c r="U71" s="1010">
        <f t="shared" si="14"/>
        <v>162.43</v>
      </c>
      <c r="V71" s="511">
        <f t="shared" si="15"/>
        <v>185.4</v>
      </c>
      <c r="W71" s="2">
        <f>0.9*AR71</f>
        <v>185.4</v>
      </c>
      <c r="X71" s="169">
        <f t="shared" si="106"/>
        <v>22.97</v>
      </c>
      <c r="Y71" s="113">
        <f t="shared" si="18"/>
        <v>0.1238942826321467</v>
      </c>
      <c r="Z71" s="113">
        <f t="shared" si="19"/>
        <v>0.1238942826321467</v>
      </c>
      <c r="AA71" s="113"/>
      <c r="AB71" s="1019">
        <v>0.01</v>
      </c>
      <c r="AC71" s="113"/>
      <c r="AD71" s="113"/>
      <c r="AE71" s="113"/>
      <c r="AF71" s="113"/>
      <c r="AG71" s="113"/>
      <c r="AH71" s="113"/>
      <c r="AI71" s="113"/>
      <c r="AJ71" s="171">
        <f t="shared" si="107"/>
        <v>605.64160589429366</v>
      </c>
      <c r="AK71" s="1026">
        <f t="shared" si="108"/>
        <v>134.9</v>
      </c>
      <c r="AL71" s="169">
        <f t="shared" si="109"/>
        <v>637.51747988873012</v>
      </c>
      <c r="AM71" s="169">
        <f t="shared" si="75"/>
        <v>142</v>
      </c>
      <c r="AN71" s="169">
        <f t="shared" si="110"/>
        <v>378.12412600556348</v>
      </c>
      <c r="AO71" s="1027">
        <f t="shared" si="140"/>
        <v>410</v>
      </c>
      <c r="AP71" s="169">
        <v>249</v>
      </c>
      <c r="AQ71" s="169">
        <v>43</v>
      </c>
      <c r="AR71" s="78">
        <f t="shared" si="76"/>
        <v>206</v>
      </c>
      <c r="AS71" s="169">
        <v>367</v>
      </c>
      <c r="AT71" s="169">
        <v>39</v>
      </c>
      <c r="AU71" s="169">
        <v>328</v>
      </c>
      <c r="AV71" s="112"/>
      <c r="AW71" s="175">
        <f t="shared" si="143"/>
        <v>326</v>
      </c>
      <c r="AX71" s="169">
        <v>326</v>
      </c>
      <c r="AY71" s="169"/>
      <c r="AZ71" s="169">
        <v>20</v>
      </c>
      <c r="BA71" s="113">
        <f t="shared" si="141"/>
        <v>0.2009557652248499</v>
      </c>
      <c r="BB71" s="169"/>
      <c r="BC71" s="112"/>
      <c r="BD71" s="112"/>
      <c r="BE71" s="112"/>
      <c r="BF71" s="169"/>
      <c r="BG71" s="112"/>
      <c r="BH71" s="112"/>
      <c r="BI71" s="1031">
        <v>1160</v>
      </c>
      <c r="BJ71" s="2">
        <f t="shared" si="111"/>
        <v>1160</v>
      </c>
      <c r="BK71" s="169">
        <v>60</v>
      </c>
      <c r="BL71" s="169">
        <f t="shared" si="112"/>
        <v>142</v>
      </c>
      <c r="BM71" s="1031">
        <f t="shared" si="113"/>
        <v>227.51747988873018</v>
      </c>
      <c r="BN71" s="310">
        <f t="shared" si="114"/>
        <v>167.51747988873018</v>
      </c>
      <c r="BO71" s="262">
        <f t="shared" si="115"/>
        <v>0.15880895674320181</v>
      </c>
      <c r="BP71" s="262">
        <f t="shared" si="116"/>
        <v>0.17219655606887863</v>
      </c>
      <c r="BQ71" s="262">
        <f t="shared" si="117"/>
        <v>9.555543044465778E-2</v>
      </c>
      <c r="BR71" s="262">
        <f t="shared" si="118"/>
        <v>0.19613575852476739</v>
      </c>
      <c r="BS71" s="988">
        <f t="shared" si="99"/>
        <v>0.55492068265543948</v>
      </c>
      <c r="BT71" s="534">
        <f t="shared" si="119"/>
        <v>31.875873994436507</v>
      </c>
      <c r="BU71" s="534">
        <f t="shared" si="120"/>
        <v>7.1000000000000005</v>
      </c>
      <c r="BV71" s="113">
        <v>0.05</v>
      </c>
      <c r="BW71" s="276">
        <f t="shared" si="121"/>
        <v>1.3877176314513063E-2</v>
      </c>
      <c r="BX71" s="272">
        <f t="shared" si="122"/>
        <v>54.845873994436502</v>
      </c>
      <c r="BY71" s="113"/>
      <c r="BZ71" s="1035"/>
      <c r="CA71" s="1038"/>
      <c r="CB71" s="2">
        <f t="shared" si="123"/>
        <v>2206</v>
      </c>
      <c r="CC71" s="2">
        <f t="shared" si="95"/>
        <v>2381</v>
      </c>
      <c r="CD71" s="310">
        <f t="shared" si="124"/>
        <v>2381</v>
      </c>
      <c r="CE71" s="310">
        <f t="shared" si="125"/>
        <v>2181</v>
      </c>
      <c r="CF71" s="598"/>
      <c r="CG71" s="598"/>
      <c r="CH71" s="598"/>
      <c r="CI71" s="577">
        <v>116</v>
      </c>
      <c r="CJ71" s="577"/>
      <c r="CK71" s="577"/>
      <c r="CL71" s="517">
        <f t="shared" si="126"/>
        <v>1116.1283941057065</v>
      </c>
      <c r="CM71" s="169">
        <f t="shared" si="127"/>
        <v>1157.2825201112701</v>
      </c>
      <c r="CN71" s="170">
        <f t="shared" si="43"/>
        <v>346.6</v>
      </c>
      <c r="CO71" s="170">
        <f t="shared" si="128"/>
        <v>346.6</v>
      </c>
      <c r="CP71" s="170">
        <f t="shared" si="129"/>
        <v>810.68252011126992</v>
      </c>
      <c r="CQ71" s="170">
        <f t="shared" si="130"/>
        <v>41.154126005563498</v>
      </c>
      <c r="CR71" s="170"/>
      <c r="CS71" s="113">
        <f t="shared" si="131"/>
        <v>1.7916467568813016E-2</v>
      </c>
      <c r="CT71" s="112"/>
      <c r="CU71" s="112"/>
      <c r="CV71" s="112"/>
      <c r="CW71" s="112"/>
      <c r="CX71" s="112"/>
      <c r="CY71" s="112"/>
      <c r="CZ71" s="112"/>
      <c r="DA71" s="112"/>
      <c r="DB71" s="112"/>
      <c r="DC71" s="112"/>
      <c r="DD71" s="112"/>
      <c r="DE71" s="112"/>
      <c r="DF71" s="112"/>
      <c r="DG71" s="112"/>
      <c r="DH71" s="516">
        <f t="shared" si="146"/>
        <v>121.80000000000001</v>
      </c>
      <c r="DI71" s="2">
        <f t="shared" si="49"/>
        <v>141.80000000000001</v>
      </c>
      <c r="DJ71" s="169">
        <f t="shared" si="50"/>
        <v>121.8</v>
      </c>
      <c r="DK71" s="169">
        <f t="shared" si="142"/>
        <v>20</v>
      </c>
      <c r="DL71" s="113">
        <f t="shared" si="132"/>
        <v>5.1154976900461988E-2</v>
      </c>
      <c r="DM71" s="113">
        <f t="shared" si="133"/>
        <v>0.105</v>
      </c>
      <c r="DN71" s="113">
        <v>0.6</v>
      </c>
      <c r="DO71" s="113"/>
      <c r="DP71" s="113"/>
      <c r="DQ71" s="272">
        <v>203</v>
      </c>
      <c r="DR71" s="169"/>
      <c r="DS71" s="169"/>
      <c r="DT71" s="78">
        <f t="shared" si="96"/>
        <v>203</v>
      </c>
      <c r="DU71" s="175">
        <f t="shared" si="97"/>
        <v>2019.935483870968</v>
      </c>
      <c r="DV71" s="169">
        <v>2070</v>
      </c>
      <c r="DW71" s="170">
        <f t="shared" si="134"/>
        <v>255.06451612903194</v>
      </c>
      <c r="DX71" s="534">
        <f t="shared" si="89"/>
        <v>210.06451612903194</v>
      </c>
      <c r="DY71" s="534">
        <f t="shared" si="90"/>
        <v>170.67741935483846</v>
      </c>
      <c r="DZ71" s="386">
        <f t="shared" si="144"/>
        <v>1.3129032258064497</v>
      </c>
      <c r="EA71" s="169">
        <v>160</v>
      </c>
      <c r="EB71" s="169">
        <v>130</v>
      </c>
      <c r="EC71" s="175">
        <f t="shared" si="82"/>
        <v>39.387096774193481</v>
      </c>
      <c r="ED71" s="175">
        <v>0</v>
      </c>
      <c r="EE71" s="175">
        <f t="shared" si="135"/>
        <v>39.387096774193481</v>
      </c>
      <c r="EF71" s="175"/>
      <c r="EG71" s="169">
        <v>45</v>
      </c>
      <c r="EH71" s="78">
        <f t="shared" si="136"/>
        <v>94.064516129031944</v>
      </c>
      <c r="EI71" s="169">
        <v>816</v>
      </c>
      <c r="EJ71" s="169">
        <v>777</v>
      </c>
      <c r="EK71" s="169"/>
      <c r="EL71" s="169"/>
      <c r="EM71" s="169"/>
      <c r="EN71" s="169"/>
      <c r="EO71" s="169">
        <v>1040</v>
      </c>
      <c r="EP71" s="169">
        <v>801</v>
      </c>
      <c r="EQ71" s="175">
        <f t="shared" si="150"/>
        <v>2516.9999999999995</v>
      </c>
      <c r="ER71" s="2">
        <f t="shared" si="137"/>
        <v>2297</v>
      </c>
      <c r="ES71" s="262">
        <f t="shared" si="98"/>
        <v>0.91259435836313085</v>
      </c>
      <c r="ET71" s="262"/>
      <c r="EU71" s="262"/>
      <c r="EV71" s="262"/>
      <c r="EW71" s="598"/>
      <c r="EX71" s="598"/>
      <c r="EY71" s="1126"/>
      <c r="EZ71" s="598"/>
      <c r="FA71" s="598"/>
      <c r="FB71" s="598"/>
      <c r="FC71" s="598"/>
      <c r="FD71" s="598"/>
      <c r="FE71" s="979"/>
      <c r="FF71" s="1048"/>
      <c r="FG71" s="518"/>
      <c r="FH71" s="598"/>
      <c r="FI71" s="310">
        <f t="shared" si="65"/>
        <v>239</v>
      </c>
      <c r="FJ71" s="2">
        <f t="shared" si="138"/>
        <v>239</v>
      </c>
      <c r="FK71" s="1048"/>
      <c r="FL71" s="518"/>
      <c r="FM71" s="518"/>
      <c r="FN71" s="518"/>
      <c r="FO71" s="518"/>
      <c r="FP71" s="518"/>
      <c r="FQ71" s="518"/>
      <c r="FR71" s="518"/>
      <c r="FS71" s="1049"/>
      <c r="FT71" s="518"/>
      <c r="FU71" s="518"/>
      <c r="FV71" s="518"/>
      <c r="FW71" s="518"/>
      <c r="FX71" s="518"/>
      <c r="FY71" s="518"/>
      <c r="FZ71" s="115"/>
      <c r="GA71" s="115"/>
      <c r="GB71" s="115"/>
      <c r="GC71" s="115"/>
      <c r="GD71" s="115"/>
      <c r="GE71" s="115"/>
      <c r="GF71" s="115"/>
      <c r="GG71" s="115"/>
      <c r="GH71" s="115"/>
      <c r="GI71" s="115"/>
      <c r="GJ71" s="115"/>
      <c r="GK71" s="1162">
        <f>DataUK4!X224+DataUK4!AH224</f>
        <v>9.0999999999999659</v>
      </c>
      <c r="GL71" s="115"/>
      <c r="GM71" s="115"/>
      <c r="GN71" s="115"/>
      <c r="GO71" s="115"/>
      <c r="GP71" s="310">
        <f t="shared" si="139"/>
        <v>39.387096774193481</v>
      </c>
      <c r="GQ71" s="115"/>
      <c r="GR71" s="115"/>
      <c r="GS71" s="115"/>
      <c r="GT71" s="115"/>
      <c r="GU71" s="991">
        <f t="shared" si="68"/>
        <v>-30.287096774193515</v>
      </c>
      <c r="GW71" s="1063">
        <f>DataUK4!D224+DataUK4!F224</f>
        <v>16.100000000000001</v>
      </c>
      <c r="GX71" s="115"/>
      <c r="GY71" s="615">
        <f t="shared" si="69"/>
        <v>13.508049535603721</v>
      </c>
      <c r="GZ71" s="115"/>
      <c r="HA71" s="115"/>
      <c r="HB71" s="115"/>
      <c r="HC71" s="1051"/>
      <c r="HD71" s="170">
        <f t="shared" si="147"/>
        <v>200</v>
      </c>
      <c r="HE71" s="301">
        <f t="shared" si="151"/>
        <v>224</v>
      </c>
      <c r="HF71" s="301">
        <f t="shared" si="152"/>
        <v>24</v>
      </c>
      <c r="HG71" s="170">
        <f t="shared" si="71"/>
        <v>0</v>
      </c>
      <c r="HH71" s="301">
        <v>0</v>
      </c>
      <c r="HI71" s="301">
        <v>0</v>
      </c>
      <c r="HJ71" s="2">
        <v>0</v>
      </c>
      <c r="HK71" s="2">
        <v>0</v>
      </c>
      <c r="HL71" s="2">
        <v>0</v>
      </c>
      <c r="HM71" s="2">
        <f t="shared" si="72"/>
        <v>0</v>
      </c>
      <c r="HN71" s="2">
        <v>0</v>
      </c>
      <c r="HO71" s="2">
        <v>0</v>
      </c>
      <c r="HP71" s="2">
        <v>0</v>
      </c>
      <c r="HQ71" s="2">
        <v>0</v>
      </c>
      <c r="HR71" s="2">
        <v>0</v>
      </c>
      <c r="HS71" s="1052">
        <v>0</v>
      </c>
      <c r="HT71" s="1002">
        <v>9.8000000000000007</v>
      </c>
      <c r="HU71" s="1002">
        <f t="shared" si="73"/>
        <v>1.1974276527331189</v>
      </c>
      <c r="HV71" s="1002">
        <f t="shared" si="74"/>
        <v>1.3864951768488747</v>
      </c>
    </row>
    <row r="72" spans="1:230" ht="12" customHeight="1">
      <c r="A72" s="110">
        <f t="shared" si="148"/>
        <v>1914</v>
      </c>
      <c r="B72" s="176">
        <f t="shared" si="1"/>
        <v>2452</v>
      </c>
      <c r="C72" s="177">
        <f t="shared" si="145"/>
        <v>190</v>
      </c>
      <c r="D72" s="176">
        <f t="shared" si="100"/>
        <v>2262</v>
      </c>
      <c r="E72" s="154">
        <f t="shared" si="101"/>
        <v>2378</v>
      </c>
      <c r="F72" s="995">
        <f t="shared" si="5"/>
        <v>116</v>
      </c>
      <c r="G72" s="531">
        <f t="shared" si="102"/>
        <v>2627</v>
      </c>
      <c r="H72" s="531">
        <f t="shared" si="103"/>
        <v>2437</v>
      </c>
      <c r="I72" s="531">
        <f t="shared" si="104"/>
        <v>2553</v>
      </c>
      <c r="J72" s="548">
        <f t="shared" si="105"/>
        <v>0.93145319232275758</v>
      </c>
      <c r="K72" s="515">
        <f t="shared" si="87"/>
        <v>171</v>
      </c>
      <c r="L72" s="175">
        <v>176</v>
      </c>
      <c r="M72" s="175">
        <v>5</v>
      </c>
      <c r="N72" s="111"/>
      <c r="O72" s="111"/>
      <c r="P72" s="111"/>
      <c r="Q72" s="111"/>
      <c r="R72" s="111"/>
      <c r="S72" s="532">
        <f t="shared" si="149"/>
        <v>7.4967119684348965E-2</v>
      </c>
      <c r="T72" s="1008">
        <f t="shared" si="13"/>
        <v>153.01999999999998</v>
      </c>
      <c r="U72" s="1010">
        <f t="shared" si="14"/>
        <v>153.01999999999998</v>
      </c>
      <c r="V72" s="511">
        <f t="shared" si="15"/>
        <v>176.79999999999998</v>
      </c>
      <c r="W72" s="2">
        <f>0.85*AR72</f>
        <v>176.79999999999998</v>
      </c>
      <c r="X72" s="169">
        <f t="shared" si="106"/>
        <v>23.78</v>
      </c>
      <c r="Y72" s="113">
        <f t="shared" si="18"/>
        <v>0.13450226244343894</v>
      </c>
      <c r="Z72" s="113">
        <f t="shared" si="19"/>
        <v>0.13450226244343894</v>
      </c>
      <c r="AA72" s="113"/>
      <c r="AB72" s="1019">
        <v>0.01</v>
      </c>
      <c r="AC72" s="113"/>
      <c r="AD72" s="113"/>
      <c r="AE72" s="113"/>
      <c r="AF72" s="113"/>
      <c r="AG72" s="113"/>
      <c r="AH72" s="113"/>
      <c r="AI72" s="113"/>
      <c r="AJ72" s="171">
        <f t="shared" si="107"/>
        <v>639.79388376813779</v>
      </c>
      <c r="AK72" s="1026">
        <f t="shared" si="108"/>
        <v>164.35</v>
      </c>
      <c r="AL72" s="169">
        <f t="shared" si="109"/>
        <v>673.46724607172393</v>
      </c>
      <c r="AM72" s="169">
        <f t="shared" si="75"/>
        <v>173</v>
      </c>
      <c r="AN72" s="169">
        <f t="shared" si="110"/>
        <v>399.4466376964138</v>
      </c>
      <c r="AO72" s="1027">
        <f>AT72+AU72+AQ72</f>
        <v>433.12</v>
      </c>
      <c r="AP72" s="169">
        <v>252</v>
      </c>
      <c r="AQ72" s="169">
        <v>44</v>
      </c>
      <c r="AR72" s="78">
        <f t="shared" si="76"/>
        <v>208</v>
      </c>
      <c r="AS72" s="169">
        <f>AT72+AU72</f>
        <v>389.12</v>
      </c>
      <c r="AT72" s="169">
        <v>67</v>
      </c>
      <c r="AU72" s="1004">
        <f t="shared" ref="AU72:AU78" si="153">BA72*(AV72-AT72+BJ72-BK72-DJ72)</f>
        <v>322.12</v>
      </c>
      <c r="AV72" s="169">
        <v>674</v>
      </c>
      <c r="AW72" s="534">
        <f t="shared" ref="AW72:AW78" si="154">AV72-AU72-AT72</f>
        <v>284.88</v>
      </c>
      <c r="AX72" s="169"/>
      <c r="AY72" s="169"/>
      <c r="AZ72" s="169">
        <v>21</v>
      </c>
      <c r="BA72" s="113">
        <v>0.2</v>
      </c>
      <c r="BB72" s="169"/>
      <c r="BC72" s="169"/>
      <c r="BD72" s="169"/>
      <c r="BE72" s="169"/>
      <c r="BF72" s="169"/>
      <c r="BG72" s="169"/>
      <c r="BH72" s="169"/>
      <c r="BI72" s="1031">
        <v>1260</v>
      </c>
      <c r="BJ72" s="2">
        <f t="shared" si="111"/>
        <v>1260</v>
      </c>
      <c r="BK72" s="169">
        <v>62</v>
      </c>
      <c r="BL72" s="169">
        <f t="shared" si="112"/>
        <v>173</v>
      </c>
      <c r="BM72" s="1031">
        <f t="shared" si="113"/>
        <v>240.34724607172396</v>
      </c>
      <c r="BN72" s="310">
        <f t="shared" si="114"/>
        <v>178.34724607172396</v>
      </c>
      <c r="BO72" s="262">
        <f t="shared" si="115"/>
        <v>0.16290645909315407</v>
      </c>
      <c r="BP72" s="262">
        <f t="shared" si="116"/>
        <v>0.17663947797716151</v>
      </c>
      <c r="BQ72" s="262">
        <f t="shared" si="117"/>
        <v>9.8020899702986927E-2</v>
      </c>
      <c r="BR72" s="262">
        <f t="shared" si="118"/>
        <v>0.19075178259660633</v>
      </c>
      <c r="BS72" s="988">
        <f t="shared" si="99"/>
        <v>0.55492068265543948</v>
      </c>
      <c r="BT72" s="534">
        <f t="shared" si="119"/>
        <v>33.673362303586195</v>
      </c>
      <c r="BU72" s="534">
        <f t="shared" si="120"/>
        <v>8.65</v>
      </c>
      <c r="BV72" s="113">
        <v>0.05</v>
      </c>
      <c r="BW72" s="276">
        <f t="shared" si="121"/>
        <v>1.4160371027580401E-2</v>
      </c>
      <c r="BX72" s="272">
        <f t="shared" si="122"/>
        <v>57.453362303586196</v>
      </c>
      <c r="BY72" s="113"/>
      <c r="BZ72" s="1035"/>
      <c r="CA72" s="1038"/>
      <c r="CB72" s="2">
        <f t="shared" ref="CB72:CB78" si="155">$BJ72+$AP72+$AV72+$AX72+$AY72+$AZ72+$C72-$CI72</f>
        <v>2281</v>
      </c>
      <c r="CC72" s="2">
        <f t="shared" ref="CC72:CC78" si="156">$BJ72+$AP72+$AV72+$AX72+$AY72+$AZ72+$C72-$CI72+$K72</f>
        <v>2452</v>
      </c>
      <c r="CD72" s="310">
        <f t="shared" si="124"/>
        <v>2452</v>
      </c>
      <c r="CE72" s="310">
        <f t="shared" si="125"/>
        <v>2262</v>
      </c>
      <c r="CF72" s="598"/>
      <c r="CG72" s="598"/>
      <c r="CH72" s="598"/>
      <c r="CI72" s="577">
        <v>116</v>
      </c>
      <c r="CJ72" s="577"/>
      <c r="CK72" s="577"/>
      <c r="CL72" s="517">
        <f t="shared" si="126"/>
        <v>1103.786116231862</v>
      </c>
      <c r="CM72" s="169">
        <f t="shared" si="127"/>
        <v>1141.3327539282759</v>
      </c>
      <c r="CN72" s="170">
        <f t="shared" si="43"/>
        <v>316.08000000000004</v>
      </c>
      <c r="CO72" s="170">
        <f t="shared" si="128"/>
        <v>316.08000000000004</v>
      </c>
      <c r="CP72" s="170">
        <f t="shared" si="129"/>
        <v>825.25275392827598</v>
      </c>
      <c r="CQ72" s="170">
        <f t="shared" si="130"/>
        <v>37.546637696413804</v>
      </c>
      <c r="CR72" s="170"/>
      <c r="CS72" s="113">
        <f t="shared" si="131"/>
        <v>1.5789166398828346E-2</v>
      </c>
      <c r="CT72" s="112"/>
      <c r="CU72" s="112"/>
      <c r="CV72" s="112"/>
      <c r="CW72" s="112"/>
      <c r="CX72" s="112"/>
      <c r="CY72" s="112"/>
      <c r="CZ72" s="112"/>
      <c r="DA72" s="112"/>
      <c r="DB72" s="112"/>
      <c r="DC72" s="112"/>
      <c r="DD72" s="112"/>
      <c r="DE72" s="112"/>
      <c r="DF72" s="112"/>
      <c r="DG72" s="112"/>
      <c r="DH72" s="516">
        <f t="shared" si="146"/>
        <v>194.4</v>
      </c>
      <c r="DI72" s="2">
        <f t="shared" si="49"/>
        <v>215.4</v>
      </c>
      <c r="DJ72" s="169">
        <f t="shared" si="50"/>
        <v>194.4</v>
      </c>
      <c r="DK72" s="169">
        <f t="shared" si="142"/>
        <v>21</v>
      </c>
      <c r="DL72" s="113">
        <f t="shared" si="132"/>
        <v>7.9282218597063622E-2</v>
      </c>
      <c r="DM72" s="113">
        <f t="shared" si="133"/>
        <v>0.1542857142857143</v>
      </c>
      <c r="DN72" s="113">
        <v>0.6</v>
      </c>
      <c r="DO72" s="113"/>
      <c r="DP72" s="113"/>
      <c r="DQ72" s="272">
        <v>324</v>
      </c>
      <c r="DR72" s="169"/>
      <c r="DS72" s="169"/>
      <c r="DT72" s="78">
        <f t="shared" si="96"/>
        <v>324</v>
      </c>
      <c r="DU72" s="175">
        <f t="shared" si="97"/>
        <v>2024.1935483870971</v>
      </c>
      <c r="DV72" s="169">
        <v>2074</v>
      </c>
      <c r="DW72" s="170">
        <f t="shared" si="134"/>
        <v>259.80645161290289</v>
      </c>
      <c r="DX72" s="534">
        <f t="shared" si="89"/>
        <v>209.80645161290289</v>
      </c>
      <c r="DY72" s="534">
        <f t="shared" si="90"/>
        <v>170.46774193548362</v>
      </c>
      <c r="DZ72" s="386">
        <f t="shared" si="144"/>
        <v>1.3112903225806432</v>
      </c>
      <c r="EA72" s="169">
        <v>160</v>
      </c>
      <c r="EB72" s="169">
        <v>130</v>
      </c>
      <c r="EC72" s="175">
        <f t="shared" si="82"/>
        <v>39.338709677419274</v>
      </c>
      <c r="ED72" s="175">
        <v>0</v>
      </c>
      <c r="EE72" s="175">
        <f t="shared" si="135"/>
        <v>39.338709677419274</v>
      </c>
      <c r="EF72" s="175"/>
      <c r="EG72" s="169">
        <v>50</v>
      </c>
      <c r="EH72" s="78">
        <f t="shared" si="136"/>
        <v>93.80645161290289</v>
      </c>
      <c r="EI72" s="169">
        <v>685</v>
      </c>
      <c r="EJ72" s="169">
        <v>740</v>
      </c>
      <c r="EK72" s="169"/>
      <c r="EL72" s="169"/>
      <c r="EM72" s="169"/>
      <c r="EN72" s="169"/>
      <c r="EO72" s="169">
        <v>900</v>
      </c>
      <c r="EP72" s="169">
        <v>765</v>
      </c>
      <c r="EQ72" s="175">
        <f t="shared" si="150"/>
        <v>2553</v>
      </c>
      <c r="ER72" s="2">
        <f t="shared" si="137"/>
        <v>2767.12</v>
      </c>
      <c r="ES72" s="262">
        <f t="shared" si="98"/>
        <v>1.0838699569134351</v>
      </c>
      <c r="ET72" s="262"/>
      <c r="EU72" s="262"/>
      <c r="EV72" s="262"/>
      <c r="EW72" s="598"/>
      <c r="EX72" s="598"/>
      <c r="EY72" s="1126"/>
      <c r="EZ72" s="598"/>
      <c r="FA72" s="598"/>
      <c r="FB72" s="598"/>
      <c r="FC72" s="598"/>
      <c r="FD72" s="598"/>
      <c r="FE72" s="979"/>
      <c r="FF72" s="1048"/>
      <c r="FG72" s="518"/>
      <c r="FH72" s="598"/>
      <c r="FI72" s="310">
        <f t="shared" si="65"/>
        <v>135</v>
      </c>
      <c r="FJ72" s="2">
        <f t="shared" si="138"/>
        <v>135</v>
      </c>
      <c r="FK72" s="1048"/>
      <c r="FL72" s="518"/>
      <c r="FM72" s="518"/>
      <c r="FN72" s="518"/>
      <c r="FO72" s="518"/>
      <c r="FP72" s="518"/>
      <c r="FQ72" s="518"/>
      <c r="FR72" s="518"/>
      <c r="FS72" s="1049"/>
      <c r="FT72" s="518"/>
      <c r="FU72" s="518"/>
      <c r="FV72" s="518"/>
      <c r="FW72" s="518"/>
      <c r="FX72" s="518"/>
      <c r="FY72" s="518"/>
      <c r="FZ72" s="115"/>
      <c r="GA72" s="115"/>
      <c r="GB72" s="115"/>
      <c r="GC72" s="115"/>
      <c r="GD72" s="115"/>
      <c r="GE72" s="115"/>
      <c r="GF72" s="115"/>
      <c r="GG72" s="115"/>
      <c r="GH72" s="115"/>
      <c r="GI72" s="115"/>
      <c r="GJ72" s="115"/>
      <c r="GK72" s="1162">
        <f>DataUK4!X225+DataUK4!AH225</f>
        <v>-329.90000000000003</v>
      </c>
      <c r="GL72" s="115"/>
      <c r="GM72" s="115"/>
      <c r="GN72" s="115"/>
      <c r="GO72" s="115"/>
      <c r="GP72" s="310">
        <f t="shared" si="139"/>
        <v>39.338709677419274</v>
      </c>
      <c r="GQ72" s="115"/>
      <c r="GR72" s="115"/>
      <c r="GS72" s="115"/>
      <c r="GT72" s="115"/>
      <c r="GU72" s="991">
        <f t="shared" si="68"/>
        <v>-369.23870967741931</v>
      </c>
      <c r="GW72" s="1063">
        <f>DataUK4!D225+DataUK4!F225</f>
        <v>18.8</v>
      </c>
      <c r="GX72" s="115"/>
      <c r="GY72" s="615">
        <f t="shared" si="69"/>
        <v>15.773374613003101</v>
      </c>
      <c r="GZ72" s="115"/>
      <c r="HA72" s="115"/>
      <c r="HB72" s="115"/>
      <c r="HC72" s="1051"/>
      <c r="HD72" s="170">
        <f t="shared" si="147"/>
        <v>190</v>
      </c>
      <c r="HE72" s="301">
        <f t="shared" si="151"/>
        <v>215</v>
      </c>
      <c r="HF72" s="301">
        <f t="shared" si="152"/>
        <v>25</v>
      </c>
      <c r="HG72" s="170">
        <f t="shared" si="71"/>
        <v>0</v>
      </c>
      <c r="HH72" s="301">
        <v>0</v>
      </c>
      <c r="HI72" s="301">
        <v>0</v>
      </c>
      <c r="HJ72" s="2">
        <v>0</v>
      </c>
      <c r="HK72" s="2">
        <v>0</v>
      </c>
      <c r="HL72" s="2">
        <v>0</v>
      </c>
      <c r="HM72" s="2">
        <f t="shared" si="72"/>
        <v>0</v>
      </c>
      <c r="HN72" s="2">
        <v>0</v>
      </c>
      <c r="HO72" s="2">
        <v>0</v>
      </c>
      <c r="HP72" s="2">
        <v>0</v>
      </c>
      <c r="HQ72" s="2">
        <v>0</v>
      </c>
      <c r="HR72" s="2">
        <v>0</v>
      </c>
      <c r="HS72" s="1052">
        <v>0</v>
      </c>
      <c r="HT72" s="1002">
        <v>9.8000000000000007</v>
      </c>
      <c r="HU72" s="1002">
        <f t="shared" si="73"/>
        <v>1.1974276527331189</v>
      </c>
      <c r="HV72" s="1002">
        <f t="shared" si="74"/>
        <v>1.3864951768488747</v>
      </c>
    </row>
    <row r="73" spans="1:230" ht="12" customHeight="1">
      <c r="A73" s="110">
        <f t="shared" si="148"/>
        <v>1915</v>
      </c>
      <c r="B73" s="176">
        <f t="shared" si="1"/>
        <v>2925</v>
      </c>
      <c r="C73" s="177">
        <f t="shared" si="145"/>
        <v>165</v>
      </c>
      <c r="D73" s="176">
        <f t="shared" si="100"/>
        <v>2760</v>
      </c>
      <c r="E73" s="154">
        <f t="shared" si="101"/>
        <v>2919</v>
      </c>
      <c r="F73" s="995">
        <f t="shared" si="5"/>
        <v>159</v>
      </c>
      <c r="G73" s="531">
        <f t="shared" si="102"/>
        <v>3145</v>
      </c>
      <c r="H73" s="531">
        <f t="shared" si="103"/>
        <v>2980</v>
      </c>
      <c r="I73" s="531">
        <f t="shared" si="104"/>
        <v>3139</v>
      </c>
      <c r="J73" s="548">
        <f t="shared" si="105"/>
        <v>0.92991398534565151</v>
      </c>
      <c r="K73" s="515">
        <f t="shared" si="87"/>
        <v>208</v>
      </c>
      <c r="L73" s="175">
        <v>214</v>
      </c>
      <c r="M73" s="175">
        <v>6</v>
      </c>
      <c r="N73" s="111"/>
      <c r="O73" s="111"/>
      <c r="P73" s="111"/>
      <c r="Q73" s="111"/>
      <c r="R73" s="111"/>
      <c r="S73" s="532">
        <f t="shared" si="149"/>
        <v>7.6555023923444973E-2</v>
      </c>
      <c r="T73" s="1008">
        <f t="shared" si="13"/>
        <v>153.56</v>
      </c>
      <c r="U73" s="1010">
        <f t="shared" si="14"/>
        <v>153.56</v>
      </c>
      <c r="V73" s="511">
        <f t="shared" si="15"/>
        <v>182.75</v>
      </c>
      <c r="W73" s="2">
        <f>0.85*AR73</f>
        <v>182.75</v>
      </c>
      <c r="X73" s="169">
        <f t="shared" si="106"/>
        <v>29.19</v>
      </c>
      <c r="Y73" s="113">
        <f t="shared" si="18"/>
        <v>0.15972640218878251</v>
      </c>
      <c r="Z73" s="113">
        <f t="shared" si="19"/>
        <v>0.15972640218878251</v>
      </c>
      <c r="AA73" s="113"/>
      <c r="AB73" s="1019">
        <v>0.01</v>
      </c>
      <c r="AC73" s="113"/>
      <c r="AD73" s="113"/>
      <c r="AE73" s="113"/>
      <c r="AF73" s="113"/>
      <c r="AG73" s="113"/>
      <c r="AH73" s="113"/>
      <c r="AI73" s="113"/>
      <c r="AJ73" s="171">
        <f t="shared" si="107"/>
        <v>670.63729042929106</v>
      </c>
      <c r="AK73" s="1026">
        <f t="shared" si="108"/>
        <v>178.6</v>
      </c>
      <c r="AL73" s="169">
        <f t="shared" si="109"/>
        <v>705.93398992556956</v>
      </c>
      <c r="AM73" s="169">
        <f t="shared" si="75"/>
        <v>188</v>
      </c>
      <c r="AN73" s="169">
        <f t="shared" si="110"/>
        <v>418.70330050372149</v>
      </c>
      <c r="AO73" s="1027">
        <f t="shared" si="140"/>
        <v>454</v>
      </c>
      <c r="AP73" s="169">
        <v>259</v>
      </c>
      <c r="AQ73" s="169">
        <v>44</v>
      </c>
      <c r="AR73" s="78">
        <f t="shared" si="76"/>
        <v>215</v>
      </c>
      <c r="AS73" s="169">
        <f t="shared" ref="AS73:AS78" si="157">AT73+AU73</f>
        <v>410</v>
      </c>
      <c r="AT73" s="169">
        <v>79</v>
      </c>
      <c r="AU73" s="1004">
        <f t="shared" si="153"/>
        <v>331</v>
      </c>
      <c r="AV73" s="169">
        <v>870</v>
      </c>
      <c r="AW73" s="534">
        <f t="shared" si="154"/>
        <v>460</v>
      </c>
      <c r="AX73" s="169"/>
      <c r="AY73" s="169"/>
      <c r="AZ73" s="169">
        <v>26</v>
      </c>
      <c r="BA73" s="113">
        <v>0.2</v>
      </c>
      <c r="BB73" s="169"/>
      <c r="BC73" s="169"/>
      <c r="BD73" s="169"/>
      <c r="BE73" s="169"/>
      <c r="BF73" s="169"/>
      <c r="BG73" s="169"/>
      <c r="BH73" s="169"/>
      <c r="BI73" s="1031">
        <v>1556</v>
      </c>
      <c r="BJ73" s="2">
        <f t="shared" si="111"/>
        <v>1556</v>
      </c>
      <c r="BK73" s="169">
        <v>65</v>
      </c>
      <c r="BL73" s="169">
        <f t="shared" si="112"/>
        <v>188</v>
      </c>
      <c r="BM73" s="1031">
        <f t="shared" si="113"/>
        <v>251.93398992556953</v>
      </c>
      <c r="BN73" s="310">
        <f t="shared" si="114"/>
        <v>186.93398992556953</v>
      </c>
      <c r="BO73" s="262">
        <f t="shared" si="115"/>
        <v>0.14314642752263981</v>
      </c>
      <c r="BP73" s="262">
        <f t="shared" si="116"/>
        <v>0.15521367521367521</v>
      </c>
      <c r="BQ73" s="262">
        <f t="shared" si="117"/>
        <v>8.6131278607032319E-2</v>
      </c>
      <c r="BR73" s="262">
        <f t="shared" si="118"/>
        <v>0.16191130457941486</v>
      </c>
      <c r="BS73" s="988">
        <f t="shared" si="99"/>
        <v>0.55492068265543948</v>
      </c>
      <c r="BT73" s="534">
        <f t="shared" si="119"/>
        <v>35.296699496278478</v>
      </c>
      <c r="BU73" s="534">
        <f t="shared" si="120"/>
        <v>9.4</v>
      </c>
      <c r="BV73" s="113">
        <v>0.05</v>
      </c>
      <c r="BW73" s="276">
        <f t="shared" si="121"/>
        <v>1.2092051900061143E-2</v>
      </c>
      <c r="BX73" s="272">
        <f t="shared" si="122"/>
        <v>64.486699496278476</v>
      </c>
      <c r="BY73" s="113"/>
      <c r="BZ73" s="1035"/>
      <c r="CA73" s="1038"/>
      <c r="CB73" s="2">
        <f t="shared" si="155"/>
        <v>2717</v>
      </c>
      <c r="CC73" s="2">
        <f t="shared" si="156"/>
        <v>2925</v>
      </c>
      <c r="CD73" s="310">
        <f t="shared" si="124"/>
        <v>2925</v>
      </c>
      <c r="CE73" s="310">
        <f t="shared" si="125"/>
        <v>2760</v>
      </c>
      <c r="CF73" s="598"/>
      <c r="CG73" s="598"/>
      <c r="CH73" s="598"/>
      <c r="CI73" s="577">
        <v>159</v>
      </c>
      <c r="CJ73" s="577"/>
      <c r="CK73" s="577"/>
      <c r="CL73" s="517">
        <f t="shared" si="126"/>
        <v>1100.8027095707089</v>
      </c>
      <c r="CM73" s="169">
        <f t="shared" si="127"/>
        <v>1169.3160100744303</v>
      </c>
      <c r="CN73" s="170">
        <f t="shared" si="43"/>
        <v>492.25</v>
      </c>
      <c r="CO73" s="170">
        <f t="shared" si="128"/>
        <v>492.25</v>
      </c>
      <c r="CP73" s="170">
        <f t="shared" si="129"/>
        <v>677.06601007443044</v>
      </c>
      <c r="CQ73" s="170">
        <f t="shared" si="130"/>
        <v>68.513300503721524</v>
      </c>
      <c r="CR73" s="170"/>
      <c r="CS73" s="113">
        <f t="shared" si="131"/>
        <v>2.3471497260610319E-2</v>
      </c>
      <c r="CT73" s="112"/>
      <c r="CU73" s="112"/>
      <c r="CV73" s="112"/>
      <c r="CW73" s="112"/>
      <c r="CX73" s="112"/>
      <c r="CY73" s="112"/>
      <c r="CZ73" s="112"/>
      <c r="DA73" s="112"/>
      <c r="DB73" s="112"/>
      <c r="DC73" s="112"/>
      <c r="DD73" s="112"/>
      <c r="DE73" s="112"/>
      <c r="DF73" s="112"/>
      <c r="DG73" s="112"/>
      <c r="DH73" s="516">
        <f t="shared" si="146"/>
        <v>627</v>
      </c>
      <c r="DI73" s="2">
        <f t="shared" si="49"/>
        <v>653</v>
      </c>
      <c r="DJ73" s="169">
        <f t="shared" si="50"/>
        <v>627</v>
      </c>
      <c r="DK73" s="169">
        <f t="shared" si="142"/>
        <v>26</v>
      </c>
      <c r="DL73" s="113">
        <f t="shared" si="132"/>
        <v>0.21435897435897436</v>
      </c>
      <c r="DM73" s="113">
        <f t="shared" si="133"/>
        <v>0.40295629820051415</v>
      </c>
      <c r="DN73" s="113">
        <v>0.6</v>
      </c>
      <c r="DO73" s="113"/>
      <c r="DP73" s="113"/>
      <c r="DQ73" s="272">
        <v>1045</v>
      </c>
      <c r="DR73" s="169"/>
      <c r="DS73" s="169"/>
      <c r="DT73" s="78">
        <f t="shared" si="96"/>
        <v>1045</v>
      </c>
      <c r="DU73" s="175">
        <f t="shared" si="97"/>
        <v>2343.7419354838712</v>
      </c>
      <c r="DV73" s="169">
        <v>2384</v>
      </c>
      <c r="DW73" s="170">
        <f t="shared" si="134"/>
        <v>-29.741935483871231</v>
      </c>
      <c r="DX73" s="534">
        <f t="shared" si="89"/>
        <v>170.25806451612877</v>
      </c>
      <c r="DY73" s="534">
        <f t="shared" si="90"/>
        <v>147.99354838709652</v>
      </c>
      <c r="DZ73" s="386">
        <f t="shared" si="144"/>
        <v>1.3096774193548366</v>
      </c>
      <c r="EA73" s="169">
        <v>130</v>
      </c>
      <c r="EB73" s="169">
        <v>113</v>
      </c>
      <c r="EC73" s="175">
        <f t="shared" si="82"/>
        <v>22.264516129032245</v>
      </c>
      <c r="ED73" s="175">
        <v>0</v>
      </c>
      <c r="EE73" s="175">
        <f t="shared" si="135"/>
        <v>22.264516129032245</v>
      </c>
      <c r="EF73" s="175"/>
      <c r="EG73" s="169">
        <v>-200</v>
      </c>
      <c r="EH73" s="78">
        <f t="shared" si="136"/>
        <v>11.258064516128769</v>
      </c>
      <c r="EI73" s="169">
        <v>750</v>
      </c>
      <c r="EJ73" s="169">
        <v>970</v>
      </c>
      <c r="EK73" s="169"/>
      <c r="EL73" s="169"/>
      <c r="EM73" s="169"/>
      <c r="EN73" s="169"/>
      <c r="EO73" s="169">
        <v>940</v>
      </c>
      <c r="EP73" s="169">
        <v>995</v>
      </c>
      <c r="EQ73" s="175">
        <f t="shared" si="150"/>
        <v>3139</v>
      </c>
      <c r="ER73" s="2">
        <f t="shared" si="137"/>
        <v>3329</v>
      </c>
      <c r="ES73" s="262">
        <f t="shared" si="98"/>
        <v>1.0605288308378464</v>
      </c>
      <c r="ET73" s="262"/>
      <c r="EU73" s="262"/>
      <c r="EV73" s="262"/>
      <c r="EW73" s="598"/>
      <c r="EX73" s="598"/>
      <c r="EY73" s="1126"/>
      <c r="EZ73" s="598"/>
      <c r="FA73" s="598"/>
      <c r="FB73" s="598"/>
      <c r="FC73" s="598"/>
      <c r="FD73" s="598"/>
      <c r="FE73" s="979"/>
      <c r="FF73" s="1048"/>
      <c r="FG73" s="518"/>
      <c r="FH73" s="598"/>
      <c r="FI73" s="310">
        <f t="shared" si="65"/>
        <v>-55</v>
      </c>
      <c r="FJ73" s="2">
        <f t="shared" si="138"/>
        <v>-55</v>
      </c>
      <c r="FK73" s="1048"/>
      <c r="FL73" s="518"/>
      <c r="FM73" s="518"/>
      <c r="FN73" s="518"/>
      <c r="FO73" s="518"/>
      <c r="FP73" s="518"/>
      <c r="FQ73" s="518"/>
      <c r="FR73" s="518"/>
      <c r="FS73" s="1049"/>
      <c r="FT73" s="518"/>
      <c r="FU73" s="518"/>
      <c r="FV73" s="518"/>
      <c r="FW73" s="518"/>
      <c r="FX73" s="518"/>
      <c r="FY73" s="518"/>
      <c r="FZ73" s="115"/>
      <c r="GA73" s="115"/>
      <c r="GB73" s="115"/>
      <c r="GC73" s="115"/>
      <c r="GD73" s="115"/>
      <c r="GE73" s="115"/>
      <c r="GF73" s="115"/>
      <c r="GG73" s="115"/>
      <c r="GH73" s="115"/>
      <c r="GI73" s="115"/>
      <c r="GJ73" s="115"/>
      <c r="GK73" s="1162">
        <f>DataUK4!X226+DataUK4!AH226</f>
        <v>-1219.3</v>
      </c>
      <c r="GL73" s="115"/>
      <c r="GM73" s="115"/>
      <c r="GN73" s="115"/>
      <c r="GO73" s="115"/>
      <c r="GP73" s="310">
        <f t="shared" si="139"/>
        <v>22.264516129032245</v>
      </c>
      <c r="GQ73" s="115"/>
      <c r="GR73" s="115"/>
      <c r="GS73" s="115"/>
      <c r="GT73" s="115"/>
      <c r="GU73" s="991">
        <f t="shared" si="68"/>
        <v>-1241.5645161290322</v>
      </c>
      <c r="GW73" s="1063">
        <f>DataUK4!D226+DataUK4!F226</f>
        <v>57.300000000000004</v>
      </c>
      <c r="GX73" s="115"/>
      <c r="GY73" s="615">
        <f t="shared" si="69"/>
        <v>48.075232198142437</v>
      </c>
      <c r="GZ73" s="115"/>
      <c r="HA73" s="115"/>
      <c r="HB73" s="115"/>
      <c r="HC73" s="1051"/>
      <c r="HD73" s="170">
        <f t="shared" si="147"/>
        <v>165</v>
      </c>
      <c r="HE73" s="301">
        <f t="shared" si="151"/>
        <v>190</v>
      </c>
      <c r="HF73" s="301">
        <f t="shared" si="152"/>
        <v>25</v>
      </c>
      <c r="HG73" s="170">
        <f t="shared" si="71"/>
        <v>0</v>
      </c>
      <c r="HH73" s="301">
        <v>0</v>
      </c>
      <c r="HI73" s="301">
        <v>0</v>
      </c>
      <c r="HJ73" s="2">
        <v>0</v>
      </c>
      <c r="HK73" s="2">
        <v>0</v>
      </c>
      <c r="HL73" s="2">
        <v>0</v>
      </c>
      <c r="HM73" s="2">
        <f t="shared" si="72"/>
        <v>0</v>
      </c>
      <c r="HN73" s="2">
        <v>0</v>
      </c>
      <c r="HO73" s="2">
        <v>0</v>
      </c>
      <c r="HP73" s="2">
        <v>0</v>
      </c>
      <c r="HQ73" s="2">
        <v>0</v>
      </c>
      <c r="HR73" s="2">
        <v>0</v>
      </c>
      <c r="HS73" s="1052">
        <v>0</v>
      </c>
      <c r="HT73" s="1002">
        <v>11</v>
      </c>
      <c r="HU73" s="1002">
        <f t="shared" si="73"/>
        <v>1.3440514469453375</v>
      </c>
      <c r="HV73" s="1002">
        <f t="shared" si="74"/>
        <v>1.5562700964630227</v>
      </c>
    </row>
    <row r="74" spans="1:230" ht="12" customHeight="1">
      <c r="A74" s="110">
        <f t="shared" si="148"/>
        <v>1916</v>
      </c>
      <c r="B74" s="176">
        <f t="shared" si="1"/>
        <v>3557</v>
      </c>
      <c r="C74" s="177">
        <f t="shared" si="145"/>
        <v>200</v>
      </c>
      <c r="D74" s="176">
        <f t="shared" si="100"/>
        <v>3357</v>
      </c>
      <c r="E74" s="154">
        <f t="shared" si="101"/>
        <v>3548</v>
      </c>
      <c r="F74" s="995">
        <f t="shared" si="5"/>
        <v>191</v>
      </c>
      <c r="G74" s="531">
        <f t="shared" si="102"/>
        <v>3597</v>
      </c>
      <c r="H74" s="531">
        <f t="shared" si="103"/>
        <v>3397</v>
      </c>
      <c r="I74" s="531">
        <f t="shared" si="104"/>
        <v>3588</v>
      </c>
      <c r="J74" s="548">
        <f t="shared" si="105"/>
        <v>0.98885172798216281</v>
      </c>
      <c r="K74" s="515">
        <f t="shared" si="87"/>
        <v>222</v>
      </c>
      <c r="L74" s="175">
        <v>236</v>
      </c>
      <c r="M74" s="175">
        <v>14</v>
      </c>
      <c r="N74" s="111"/>
      <c r="O74" s="111"/>
      <c r="P74" s="111"/>
      <c r="Q74" s="111"/>
      <c r="R74" s="111"/>
      <c r="S74" s="532">
        <f t="shared" si="149"/>
        <v>6.6566716641679166E-2</v>
      </c>
      <c r="T74" s="1008">
        <f t="shared" si="13"/>
        <v>157.46999999999997</v>
      </c>
      <c r="U74" s="1010">
        <f t="shared" si="14"/>
        <v>157.46999999999997</v>
      </c>
      <c r="V74" s="511">
        <f t="shared" si="15"/>
        <v>192.95</v>
      </c>
      <c r="W74" s="2">
        <f>0.85*AR74</f>
        <v>192.95</v>
      </c>
      <c r="X74" s="169">
        <f t="shared" si="106"/>
        <v>35.480000000000004</v>
      </c>
      <c r="Y74" s="113">
        <f t="shared" si="18"/>
        <v>0.1838818346721949</v>
      </c>
      <c r="Z74" s="113">
        <f t="shared" si="19"/>
        <v>0.1838818346721949</v>
      </c>
      <c r="AA74" s="113"/>
      <c r="AB74" s="1019">
        <v>0.01</v>
      </c>
      <c r="AC74" s="113"/>
      <c r="AD74" s="113"/>
      <c r="AE74" s="113"/>
      <c r="AF74" s="113"/>
      <c r="AG74" s="113"/>
      <c r="AH74" s="113"/>
      <c r="AI74" s="113"/>
      <c r="AJ74" s="171">
        <f t="shared" si="107"/>
        <v>824.60615839410571</v>
      </c>
      <c r="AK74" s="1026">
        <f t="shared" si="108"/>
        <v>224.2</v>
      </c>
      <c r="AL74" s="169">
        <f t="shared" si="109"/>
        <v>868.00648252011126</v>
      </c>
      <c r="AM74" s="169">
        <f t="shared" si="75"/>
        <v>236</v>
      </c>
      <c r="AN74" s="169">
        <f t="shared" si="110"/>
        <v>514.83167587399441</v>
      </c>
      <c r="AO74" s="1027">
        <f t="shared" si="140"/>
        <v>558.23199999999997</v>
      </c>
      <c r="AP74" s="169">
        <v>272</v>
      </c>
      <c r="AQ74" s="169">
        <v>45</v>
      </c>
      <c r="AR74" s="78">
        <f t="shared" si="76"/>
        <v>227</v>
      </c>
      <c r="AS74" s="169">
        <f t="shared" si="157"/>
        <v>513.23199999999997</v>
      </c>
      <c r="AT74" s="169">
        <v>127</v>
      </c>
      <c r="AU74" s="1004">
        <f t="shared" si="153"/>
        <v>386.23200000000003</v>
      </c>
      <c r="AV74" s="169">
        <v>1165</v>
      </c>
      <c r="AW74" s="534">
        <f t="shared" si="154"/>
        <v>651.76800000000003</v>
      </c>
      <c r="AX74" s="169"/>
      <c r="AY74" s="169"/>
      <c r="AZ74" s="169">
        <v>31</v>
      </c>
      <c r="BA74" s="113">
        <v>0.19</v>
      </c>
      <c r="BB74" s="169"/>
      <c r="BC74" s="169"/>
      <c r="BD74" s="169"/>
      <c r="BE74" s="169"/>
      <c r="BF74" s="169"/>
      <c r="BG74" s="169"/>
      <c r="BH74" s="169"/>
      <c r="BI74" s="1031">
        <v>1858</v>
      </c>
      <c r="BJ74" s="2">
        <f t="shared" si="111"/>
        <v>1858</v>
      </c>
      <c r="BK74" s="169">
        <v>64</v>
      </c>
      <c r="BL74" s="169">
        <f t="shared" si="112"/>
        <v>236</v>
      </c>
      <c r="BM74" s="1031">
        <f t="shared" si="113"/>
        <v>309.77448252011129</v>
      </c>
      <c r="BN74" s="310">
        <f t="shared" si="114"/>
        <v>245.77448252011129</v>
      </c>
      <c r="BO74" s="262">
        <f t="shared" si="115"/>
        <v>0.14473760918582917</v>
      </c>
      <c r="BP74" s="262">
        <f t="shared" si="116"/>
        <v>0.15693899353387686</v>
      </c>
      <c r="BQ74" s="262">
        <f t="shared" si="117"/>
        <v>8.7088693427076549E-2</v>
      </c>
      <c r="BR74" s="262">
        <f t="shared" si="118"/>
        <v>0.16672469457487152</v>
      </c>
      <c r="BS74" s="988">
        <f t="shared" si="99"/>
        <v>0.55492068265543948</v>
      </c>
      <c r="BT74" s="534">
        <f t="shared" si="119"/>
        <v>43.400324126005565</v>
      </c>
      <c r="BU74" s="534">
        <f t="shared" si="120"/>
        <v>11.8</v>
      </c>
      <c r="BV74" s="113">
        <v>0.05</v>
      </c>
      <c r="BW74" s="276">
        <f t="shared" si="121"/>
        <v>1.2232334872042155E-2</v>
      </c>
      <c r="BX74" s="272">
        <f t="shared" si="122"/>
        <v>78.880324126005576</v>
      </c>
      <c r="BY74" s="113"/>
      <c r="BZ74" s="1035"/>
      <c r="CA74" s="1038"/>
      <c r="CB74" s="2">
        <f t="shared" si="155"/>
        <v>3335</v>
      </c>
      <c r="CC74" s="2">
        <f t="shared" si="156"/>
        <v>3557</v>
      </c>
      <c r="CD74" s="310">
        <f t="shared" si="124"/>
        <v>3557</v>
      </c>
      <c r="CE74" s="310">
        <f t="shared" si="125"/>
        <v>3357</v>
      </c>
      <c r="CF74" s="598"/>
      <c r="CG74" s="598"/>
      <c r="CH74" s="598"/>
      <c r="CI74" s="577">
        <v>191</v>
      </c>
      <c r="CJ74" s="577"/>
      <c r="CK74" s="577"/>
      <c r="CL74" s="517">
        <f t="shared" si="126"/>
        <v>1353.7238416058944</v>
      </c>
      <c r="CM74" s="169">
        <f t="shared" si="127"/>
        <v>1434.8435174798888</v>
      </c>
      <c r="CN74" s="170">
        <f t="shared" si="43"/>
        <v>685.81799999999998</v>
      </c>
      <c r="CO74" s="170">
        <f t="shared" si="128"/>
        <v>685.81799999999998</v>
      </c>
      <c r="CP74" s="170">
        <f t="shared" si="129"/>
        <v>749.02551747988889</v>
      </c>
      <c r="CQ74" s="170">
        <f t="shared" si="130"/>
        <v>81.119675873994424</v>
      </c>
      <c r="CR74" s="170"/>
      <c r="CS74" s="113">
        <f t="shared" si="131"/>
        <v>2.2863493763809025E-2</v>
      </c>
      <c r="CT74" s="112"/>
      <c r="CU74" s="112"/>
      <c r="CV74" s="112"/>
      <c r="CW74" s="112"/>
      <c r="CX74" s="112"/>
      <c r="CY74" s="112"/>
      <c r="CZ74" s="112"/>
      <c r="DA74" s="112"/>
      <c r="DB74" s="112"/>
      <c r="DC74" s="112"/>
      <c r="DD74" s="112"/>
      <c r="DE74" s="112"/>
      <c r="DF74" s="112"/>
      <c r="DG74" s="112"/>
      <c r="DH74" s="516">
        <f t="shared" si="146"/>
        <v>799.19999999999993</v>
      </c>
      <c r="DI74" s="2">
        <f t="shared" si="49"/>
        <v>830.19999999999993</v>
      </c>
      <c r="DJ74" s="169">
        <f t="shared" si="50"/>
        <v>799.19999999999993</v>
      </c>
      <c r="DK74" s="169">
        <f t="shared" si="142"/>
        <v>31</v>
      </c>
      <c r="DL74" s="113">
        <f t="shared" si="132"/>
        <v>0.22468372223784086</v>
      </c>
      <c r="DM74" s="113">
        <f t="shared" si="133"/>
        <v>0.43013993541442408</v>
      </c>
      <c r="DN74" s="113">
        <v>0.6</v>
      </c>
      <c r="DO74" s="113"/>
      <c r="DP74" s="113"/>
      <c r="DQ74" s="272">
        <v>1332</v>
      </c>
      <c r="DR74" s="169"/>
      <c r="DS74" s="169"/>
      <c r="DT74" s="78">
        <f t="shared" si="96"/>
        <v>1332</v>
      </c>
      <c r="DU74" s="175">
        <f t="shared" si="97"/>
        <v>2545.5725806451615</v>
      </c>
      <c r="DV74" s="169">
        <v>2581</v>
      </c>
      <c r="DW74" s="170">
        <f t="shared" si="134"/>
        <v>-149.57258064516154</v>
      </c>
      <c r="DX74" s="534">
        <f t="shared" si="89"/>
        <v>150.42741935483846</v>
      </c>
      <c r="DY74" s="534">
        <f t="shared" si="90"/>
        <v>138.65483870967719</v>
      </c>
      <c r="DZ74" s="386">
        <f t="shared" si="144"/>
        <v>1.3080645161290301</v>
      </c>
      <c r="EA74" s="169">
        <v>115</v>
      </c>
      <c r="EB74" s="169">
        <v>106</v>
      </c>
      <c r="EC74" s="175">
        <f t="shared" si="82"/>
        <v>11.77258064516127</v>
      </c>
      <c r="ED74" s="175">
        <v>0</v>
      </c>
      <c r="EE74" s="175">
        <f t="shared" si="135"/>
        <v>11.77258064516127</v>
      </c>
      <c r="EF74" s="175"/>
      <c r="EG74" s="169">
        <v>-300</v>
      </c>
      <c r="EH74" s="78">
        <f t="shared" si="136"/>
        <v>-40.572580645161537</v>
      </c>
      <c r="EI74" s="169">
        <v>1000</v>
      </c>
      <c r="EJ74" s="169">
        <v>1140</v>
      </c>
      <c r="EK74" s="169"/>
      <c r="EL74" s="169"/>
      <c r="EM74" s="169"/>
      <c r="EN74" s="169"/>
      <c r="EO74" s="169">
        <v>1230</v>
      </c>
      <c r="EP74" s="169">
        <v>1170</v>
      </c>
      <c r="EQ74" s="175">
        <f t="shared" si="150"/>
        <v>3588</v>
      </c>
      <c r="ER74" s="2">
        <f t="shared" si="137"/>
        <v>4061.232</v>
      </c>
      <c r="ES74" s="262">
        <f t="shared" si="98"/>
        <v>1.1318929765886288</v>
      </c>
      <c r="ET74" s="262"/>
      <c r="EU74" s="262"/>
      <c r="EV74" s="262"/>
      <c r="EW74" s="598"/>
      <c r="EX74" s="598"/>
      <c r="EY74" s="1126"/>
      <c r="EZ74" s="598"/>
      <c r="FA74" s="598"/>
      <c r="FB74" s="598"/>
      <c r="FC74" s="598"/>
      <c r="FD74" s="598"/>
      <c r="FE74" s="979"/>
      <c r="FF74" s="1048"/>
      <c r="FG74" s="518"/>
      <c r="FH74" s="598"/>
      <c r="FI74" s="310">
        <f t="shared" si="65"/>
        <v>60</v>
      </c>
      <c r="FJ74" s="2">
        <f t="shared" si="138"/>
        <v>60</v>
      </c>
      <c r="FK74" s="1048"/>
      <c r="FL74" s="518"/>
      <c r="FM74" s="518"/>
      <c r="FN74" s="518"/>
      <c r="FO74" s="518"/>
      <c r="FP74" s="518"/>
      <c r="FQ74" s="518"/>
      <c r="FR74" s="518"/>
      <c r="FS74" s="1049"/>
      <c r="FT74" s="518"/>
      <c r="FU74" s="518"/>
      <c r="FV74" s="518"/>
      <c r="FW74" s="518"/>
      <c r="FX74" s="518"/>
      <c r="FY74" s="518"/>
      <c r="FZ74" s="115"/>
      <c r="GA74" s="115"/>
      <c r="GB74" s="115"/>
      <c r="GC74" s="115"/>
      <c r="GD74" s="115"/>
      <c r="GE74" s="115"/>
      <c r="GF74" s="115"/>
      <c r="GG74" s="115"/>
      <c r="GH74" s="115"/>
      <c r="GI74" s="115"/>
      <c r="GJ74" s="115"/>
      <c r="GK74" s="1162">
        <f>DataUK4!X227+DataUK4!AH227</f>
        <v>-1621.6999999999998</v>
      </c>
      <c r="GL74" s="115"/>
      <c r="GM74" s="115"/>
      <c r="GN74" s="115"/>
      <c r="GO74" s="115"/>
      <c r="GP74" s="310">
        <f t="shared" si="139"/>
        <v>11.77258064516127</v>
      </c>
      <c r="GQ74" s="115"/>
      <c r="GR74" s="115"/>
      <c r="GS74" s="115"/>
      <c r="GT74" s="115"/>
      <c r="GU74" s="991">
        <f t="shared" si="68"/>
        <v>-1633.4725806451611</v>
      </c>
      <c r="GW74" s="1063">
        <f>DataUK4!D227+DataUK4!F227</f>
        <v>124.39999999999999</v>
      </c>
      <c r="GX74" s="115"/>
      <c r="GY74" s="615">
        <f t="shared" si="69"/>
        <v>104.3727554179567</v>
      </c>
      <c r="GZ74" s="115"/>
      <c r="HA74" s="115"/>
      <c r="HB74" s="115"/>
      <c r="HC74" s="1051"/>
      <c r="HD74" s="170">
        <f t="shared" si="147"/>
        <v>200</v>
      </c>
      <c r="HE74" s="301">
        <f t="shared" si="151"/>
        <v>230</v>
      </c>
      <c r="HF74" s="301">
        <f t="shared" si="152"/>
        <v>30</v>
      </c>
      <c r="HG74" s="170">
        <f t="shared" si="71"/>
        <v>0</v>
      </c>
      <c r="HH74" s="301">
        <v>0</v>
      </c>
      <c r="HI74" s="301">
        <v>0</v>
      </c>
      <c r="HJ74" s="2">
        <v>0</v>
      </c>
      <c r="HK74" s="2">
        <v>0</v>
      </c>
      <c r="HL74" s="2">
        <v>0</v>
      </c>
      <c r="HM74" s="2">
        <f t="shared" si="72"/>
        <v>0</v>
      </c>
      <c r="HN74" s="2">
        <v>0</v>
      </c>
      <c r="HO74" s="2">
        <v>0</v>
      </c>
      <c r="HP74" s="2">
        <v>0</v>
      </c>
      <c r="HQ74" s="2">
        <v>0</v>
      </c>
      <c r="HR74" s="2">
        <v>0</v>
      </c>
      <c r="HS74" s="1052">
        <v>0</v>
      </c>
      <c r="HT74" s="1002">
        <v>13</v>
      </c>
      <c r="HU74" s="1002">
        <f t="shared" si="73"/>
        <v>1.5884244372990353</v>
      </c>
      <c r="HV74" s="1002">
        <f t="shared" si="74"/>
        <v>1.8392282958199357</v>
      </c>
    </row>
    <row r="75" spans="1:230" ht="12" customHeight="1">
      <c r="A75" s="110">
        <f t="shared" si="148"/>
        <v>1917</v>
      </c>
      <c r="B75" s="176">
        <f t="shared" si="1"/>
        <v>4171</v>
      </c>
      <c r="C75" s="177">
        <f t="shared" si="145"/>
        <v>195</v>
      </c>
      <c r="D75" s="176">
        <f t="shared" si="100"/>
        <v>3976</v>
      </c>
      <c r="E75" s="154">
        <f t="shared" si="101"/>
        <v>4205</v>
      </c>
      <c r="F75" s="995">
        <f t="shared" si="5"/>
        <v>229</v>
      </c>
      <c r="G75" s="531">
        <f t="shared" si="102"/>
        <v>4503</v>
      </c>
      <c r="H75" s="531">
        <f t="shared" si="103"/>
        <v>4308</v>
      </c>
      <c r="I75" s="531">
        <f t="shared" si="104"/>
        <v>4537</v>
      </c>
      <c r="J75" s="548">
        <f t="shared" si="105"/>
        <v>0.92682389243993824</v>
      </c>
      <c r="K75" s="515">
        <f t="shared" si="87"/>
        <v>199</v>
      </c>
      <c r="L75" s="175">
        <v>223</v>
      </c>
      <c r="M75" s="175">
        <v>24</v>
      </c>
      <c r="N75" s="111"/>
      <c r="O75" s="111"/>
      <c r="P75" s="111"/>
      <c r="Q75" s="111"/>
      <c r="R75" s="111"/>
      <c r="S75" s="532">
        <f t="shared" si="149"/>
        <v>5.0100704934541794E-2</v>
      </c>
      <c r="T75" s="1008">
        <f t="shared" si="13"/>
        <v>155.14999999999998</v>
      </c>
      <c r="U75" s="1010">
        <f t="shared" si="14"/>
        <v>155.14999999999998</v>
      </c>
      <c r="V75" s="511">
        <f t="shared" si="15"/>
        <v>197.2</v>
      </c>
      <c r="W75" s="2">
        <f>0.85*AR75</f>
        <v>197.2</v>
      </c>
      <c r="X75" s="169">
        <f t="shared" si="106"/>
        <v>42.050000000000004</v>
      </c>
      <c r="Y75" s="113">
        <f t="shared" si="18"/>
        <v>0.21323529411764711</v>
      </c>
      <c r="Z75" s="113">
        <f t="shared" si="19"/>
        <v>0.21323529411764711</v>
      </c>
      <c r="AA75" s="113"/>
      <c r="AB75" s="1019">
        <v>0.01</v>
      </c>
      <c r="AC75" s="113"/>
      <c r="AD75" s="113"/>
      <c r="AE75" s="113"/>
      <c r="AF75" s="113"/>
      <c r="AG75" s="113"/>
      <c r="AH75" s="113"/>
      <c r="AI75" s="113"/>
      <c r="AJ75" s="171">
        <f t="shared" si="107"/>
        <v>944.35775280054133</v>
      </c>
      <c r="AK75" s="1026">
        <f t="shared" si="108"/>
        <v>265.05</v>
      </c>
      <c r="AL75" s="169">
        <f t="shared" si="109"/>
        <v>994.06079242162241</v>
      </c>
      <c r="AM75" s="169">
        <f t="shared" si="75"/>
        <v>279</v>
      </c>
      <c r="AN75" s="169">
        <f t="shared" si="110"/>
        <v>589.59696037891888</v>
      </c>
      <c r="AO75" s="1027">
        <f t="shared" si="140"/>
        <v>639.29999999999995</v>
      </c>
      <c r="AP75" s="169">
        <v>278</v>
      </c>
      <c r="AQ75" s="169">
        <v>46</v>
      </c>
      <c r="AR75" s="78">
        <f t="shared" si="76"/>
        <v>232</v>
      </c>
      <c r="AS75" s="169">
        <f t="shared" si="157"/>
        <v>593.29999999999995</v>
      </c>
      <c r="AT75" s="169">
        <v>155</v>
      </c>
      <c r="AU75" s="1004">
        <f t="shared" si="153"/>
        <v>438.3</v>
      </c>
      <c r="AV75" s="169">
        <v>1339</v>
      </c>
      <c r="AW75" s="534">
        <f t="shared" si="154"/>
        <v>745.7</v>
      </c>
      <c r="AX75" s="169"/>
      <c r="AY75" s="169"/>
      <c r="AZ75" s="169">
        <v>49</v>
      </c>
      <c r="BA75" s="113">
        <v>0.18</v>
      </c>
      <c r="BB75" s="169"/>
      <c r="BC75" s="169"/>
      <c r="BD75" s="169"/>
      <c r="BE75" s="169"/>
      <c r="BF75" s="169"/>
      <c r="BG75" s="169"/>
      <c r="BH75" s="169"/>
      <c r="BI75" s="1031">
        <v>2340</v>
      </c>
      <c r="BJ75" s="2">
        <f t="shared" si="111"/>
        <v>2340</v>
      </c>
      <c r="BK75" s="169">
        <v>78</v>
      </c>
      <c r="BL75" s="169">
        <f t="shared" si="112"/>
        <v>279</v>
      </c>
      <c r="BM75" s="1031">
        <f t="shared" si="113"/>
        <v>354.76079242162245</v>
      </c>
      <c r="BN75" s="310">
        <f t="shared" si="114"/>
        <v>276.76079242162245</v>
      </c>
      <c r="BO75" s="262">
        <f t="shared" si="115"/>
        <v>0.14135625998056076</v>
      </c>
      <c r="BP75" s="262">
        <f t="shared" si="116"/>
        <v>0.15327259649964037</v>
      </c>
      <c r="BQ75" s="262">
        <f t="shared" si="117"/>
        <v>8.5054133881952154E-2</v>
      </c>
      <c r="BR75" s="262">
        <f t="shared" si="118"/>
        <v>0.1516071762485566</v>
      </c>
      <c r="BS75" s="988">
        <f t="shared" si="99"/>
        <v>0.55492068265543948</v>
      </c>
      <c r="BT75" s="534">
        <f t="shared" si="119"/>
        <v>49.703039621081125</v>
      </c>
      <c r="BU75" s="534">
        <f t="shared" si="120"/>
        <v>13.950000000000001</v>
      </c>
      <c r="BV75" s="113">
        <v>0.05</v>
      </c>
      <c r="BW75" s="276">
        <f t="shared" si="121"/>
        <v>1.1819985641160791E-2</v>
      </c>
      <c r="BX75" s="272">
        <f t="shared" si="122"/>
        <v>91.753039621081129</v>
      </c>
      <c r="BY75" s="113"/>
      <c r="BZ75" s="1035"/>
      <c r="CA75" s="1038"/>
      <c r="CB75" s="2">
        <f t="shared" si="155"/>
        <v>3972</v>
      </c>
      <c r="CC75" s="2">
        <f t="shared" si="156"/>
        <v>4171</v>
      </c>
      <c r="CD75" s="310">
        <f t="shared" si="124"/>
        <v>4171</v>
      </c>
      <c r="CE75" s="310">
        <f t="shared" si="125"/>
        <v>3976</v>
      </c>
      <c r="CF75" s="598"/>
      <c r="CG75" s="598"/>
      <c r="CH75" s="598"/>
      <c r="CI75" s="577">
        <v>229</v>
      </c>
      <c r="CJ75" s="577"/>
      <c r="CK75" s="577"/>
      <c r="CL75" s="517">
        <f t="shared" si="126"/>
        <v>1666.4922471994587</v>
      </c>
      <c r="CM75" s="169">
        <f t="shared" si="127"/>
        <v>1754.7392075783775</v>
      </c>
      <c r="CN75" s="170">
        <f t="shared" si="43"/>
        <v>780.5</v>
      </c>
      <c r="CO75" s="170">
        <f t="shared" si="128"/>
        <v>780.5</v>
      </c>
      <c r="CP75" s="170">
        <f t="shared" si="129"/>
        <v>974.23920757837755</v>
      </c>
      <c r="CQ75" s="170">
        <f t="shared" si="130"/>
        <v>88.246960378918857</v>
      </c>
      <c r="CR75" s="170"/>
      <c r="CS75" s="113">
        <f t="shared" si="131"/>
        <v>2.0986197474178087E-2</v>
      </c>
      <c r="CT75" s="112"/>
      <c r="CU75" s="112"/>
      <c r="CV75" s="112"/>
      <c r="CW75" s="112"/>
      <c r="CX75" s="112"/>
      <c r="CY75" s="112"/>
      <c r="CZ75" s="112"/>
      <c r="DA75" s="112"/>
      <c r="DB75" s="112"/>
      <c r="DC75" s="112"/>
      <c r="DD75" s="112"/>
      <c r="DE75" s="112"/>
      <c r="DF75" s="112"/>
      <c r="DG75" s="112"/>
      <c r="DH75" s="517">
        <f t="shared" si="146"/>
        <v>1011</v>
      </c>
      <c r="DI75" s="2">
        <f t="shared" si="49"/>
        <v>1060</v>
      </c>
      <c r="DJ75" s="169">
        <f t="shared" si="50"/>
        <v>1011</v>
      </c>
      <c r="DK75" s="169">
        <f t="shared" si="142"/>
        <v>49</v>
      </c>
      <c r="DL75" s="113">
        <f t="shared" si="132"/>
        <v>0.24238791656677056</v>
      </c>
      <c r="DM75" s="113">
        <f t="shared" si="133"/>
        <v>0.43205128205128207</v>
      </c>
      <c r="DN75" s="113">
        <v>0.6</v>
      </c>
      <c r="DO75" s="113"/>
      <c r="DP75" s="113"/>
      <c r="DQ75" s="272">
        <v>1685</v>
      </c>
      <c r="DR75" s="169"/>
      <c r="DS75" s="169"/>
      <c r="DT75" s="78">
        <f t="shared" si="96"/>
        <v>1685</v>
      </c>
      <c r="DU75" s="175">
        <f t="shared" si="97"/>
        <v>2933.6451612903229</v>
      </c>
      <c r="DV75" s="169">
        <v>2979</v>
      </c>
      <c r="DW75" s="170">
        <f t="shared" si="134"/>
        <v>93.354838709677097</v>
      </c>
      <c r="DX75" s="534">
        <f t="shared" si="89"/>
        <v>193.3548387096771</v>
      </c>
      <c r="DY75" s="534">
        <f t="shared" si="90"/>
        <v>185.51612903225774</v>
      </c>
      <c r="DZ75" s="386">
        <f t="shared" si="144"/>
        <v>1.3064516129032235</v>
      </c>
      <c r="EA75" s="169">
        <v>148</v>
      </c>
      <c r="EB75" s="169">
        <v>142</v>
      </c>
      <c r="EC75" s="175">
        <f t="shared" si="82"/>
        <v>7.8387096774193594</v>
      </c>
      <c r="ED75" s="175">
        <v>0</v>
      </c>
      <c r="EE75" s="175">
        <f t="shared" si="135"/>
        <v>7.8387096774193594</v>
      </c>
      <c r="EF75" s="175"/>
      <c r="EG75" s="169">
        <v>-100</v>
      </c>
      <c r="EH75" s="78">
        <f t="shared" si="136"/>
        <v>-35.645161290322903</v>
      </c>
      <c r="EI75" s="169">
        <v>1085</v>
      </c>
      <c r="EJ75" s="169">
        <v>1260</v>
      </c>
      <c r="EK75" s="169"/>
      <c r="EL75" s="169"/>
      <c r="EM75" s="169"/>
      <c r="EN75" s="169"/>
      <c r="EO75" s="169">
        <v>1320</v>
      </c>
      <c r="EP75" s="169">
        <v>1300</v>
      </c>
      <c r="EQ75" s="175">
        <f t="shared" si="150"/>
        <v>4537</v>
      </c>
      <c r="ER75" s="2">
        <f t="shared" si="137"/>
        <v>4798.3</v>
      </c>
      <c r="ES75" s="262">
        <f t="shared" si="98"/>
        <v>1.0575931232091691</v>
      </c>
      <c r="ET75" s="262"/>
      <c r="EU75" s="262"/>
      <c r="EV75" s="262"/>
      <c r="EW75" s="598"/>
      <c r="EX75" s="598"/>
      <c r="EY75" s="1126"/>
      <c r="EZ75" s="598"/>
      <c r="FA75" s="598"/>
      <c r="FB75" s="598"/>
      <c r="FC75" s="598"/>
      <c r="FD75" s="598"/>
      <c r="FE75" s="979"/>
      <c r="FF75" s="1048"/>
      <c r="FG75" s="518"/>
      <c r="FH75" s="598"/>
      <c r="FI75" s="310">
        <f t="shared" si="65"/>
        <v>20</v>
      </c>
      <c r="FJ75" s="2">
        <f t="shared" si="138"/>
        <v>20</v>
      </c>
      <c r="FK75" s="1048"/>
      <c r="FL75" s="518"/>
      <c r="FM75" s="518"/>
      <c r="FN75" s="518"/>
      <c r="FO75" s="518"/>
      <c r="FP75" s="518"/>
      <c r="FQ75" s="518"/>
      <c r="FR75" s="518"/>
      <c r="FS75" s="1049"/>
      <c r="FT75" s="518"/>
      <c r="FU75" s="518"/>
      <c r="FV75" s="518"/>
      <c r="FW75" s="518"/>
      <c r="FX75" s="518"/>
      <c r="FY75" s="518"/>
      <c r="FZ75" s="115"/>
      <c r="GA75" s="115"/>
      <c r="GB75" s="115"/>
      <c r="GC75" s="115"/>
      <c r="GD75" s="115"/>
      <c r="GE75" s="115"/>
      <c r="GF75" s="115"/>
      <c r="GG75" s="115"/>
      <c r="GH75" s="115"/>
      <c r="GI75" s="115"/>
      <c r="GJ75" s="115"/>
      <c r="GK75" s="1162">
        <f>DataUK4!X228+DataUK4!AH228</f>
        <v>-1985.9999999999998</v>
      </c>
      <c r="GL75" s="115"/>
      <c r="GM75" s="115"/>
      <c r="GN75" s="115"/>
      <c r="GO75" s="115"/>
      <c r="GP75" s="310">
        <f t="shared" si="139"/>
        <v>7.8387096774193594</v>
      </c>
      <c r="GQ75" s="115"/>
      <c r="GR75" s="115"/>
      <c r="GS75" s="115"/>
      <c r="GT75" s="115"/>
      <c r="GU75" s="991">
        <f t="shared" si="68"/>
        <v>-1993.838709677419</v>
      </c>
      <c r="GW75" s="1063">
        <f>DataUK4!D228+DataUK4!F228</f>
        <v>187.1</v>
      </c>
      <c r="GX75" s="115"/>
      <c r="GY75" s="615">
        <f t="shared" si="69"/>
        <v>156.97863777089788</v>
      </c>
      <c r="GZ75" s="115"/>
      <c r="HA75" s="115"/>
      <c r="HB75" s="115"/>
      <c r="HC75" s="1051"/>
      <c r="HD75" s="170">
        <f t="shared" si="147"/>
        <v>195</v>
      </c>
      <c r="HE75" s="301">
        <f t="shared" si="151"/>
        <v>235</v>
      </c>
      <c r="HF75" s="301">
        <f t="shared" si="152"/>
        <v>40</v>
      </c>
      <c r="HG75" s="170">
        <f t="shared" si="71"/>
        <v>0</v>
      </c>
      <c r="HH75" s="301">
        <v>0</v>
      </c>
      <c r="HI75" s="301">
        <v>0</v>
      </c>
      <c r="HJ75" s="2">
        <v>0</v>
      </c>
      <c r="HK75" s="2">
        <v>0</v>
      </c>
      <c r="HL75" s="2">
        <v>0</v>
      </c>
      <c r="HM75" s="2">
        <f t="shared" si="72"/>
        <v>0</v>
      </c>
      <c r="HN75" s="2">
        <v>0</v>
      </c>
      <c r="HO75" s="2">
        <v>0</v>
      </c>
      <c r="HP75" s="2">
        <v>0</v>
      </c>
      <c r="HQ75" s="2">
        <v>0</v>
      </c>
      <c r="HR75" s="2">
        <v>0</v>
      </c>
      <c r="HS75" s="1052">
        <v>0</v>
      </c>
      <c r="HT75" s="1002">
        <v>16.3</v>
      </c>
      <c r="HU75" s="1002">
        <f t="shared" si="73"/>
        <v>1.9916398713826364</v>
      </c>
      <c r="HV75" s="1002">
        <f t="shared" si="74"/>
        <v>2.3061093247588427</v>
      </c>
    </row>
    <row r="76" spans="1:230" ht="12" customHeight="1">
      <c r="A76" s="110">
        <f t="shared" si="148"/>
        <v>1918</v>
      </c>
      <c r="B76" s="176">
        <f t="shared" si="1"/>
        <v>4787</v>
      </c>
      <c r="C76" s="177">
        <f t="shared" si="145"/>
        <v>175</v>
      </c>
      <c r="D76" s="176">
        <f t="shared" si="100"/>
        <v>4612</v>
      </c>
      <c r="E76" s="154">
        <f t="shared" si="101"/>
        <v>4876</v>
      </c>
      <c r="F76" s="995">
        <f t="shared" si="5"/>
        <v>264</v>
      </c>
      <c r="G76" s="531">
        <f t="shared" si="102"/>
        <v>5154</v>
      </c>
      <c r="H76" s="531">
        <f t="shared" si="103"/>
        <v>4979</v>
      </c>
      <c r="I76" s="531">
        <f t="shared" si="104"/>
        <v>5243</v>
      </c>
      <c r="J76" s="548">
        <f t="shared" si="105"/>
        <v>0.93000190730497811</v>
      </c>
      <c r="K76" s="515">
        <f t="shared" si="87"/>
        <v>181</v>
      </c>
      <c r="L76" s="175">
        <v>266</v>
      </c>
      <c r="M76" s="175">
        <v>85</v>
      </c>
      <c r="N76" s="111"/>
      <c r="O76" s="111"/>
      <c r="P76" s="111"/>
      <c r="Q76" s="111"/>
      <c r="R76" s="111"/>
      <c r="S76" s="532">
        <f t="shared" si="149"/>
        <v>3.9296569691706466E-2</v>
      </c>
      <c r="T76" s="1008">
        <f t="shared" si="13"/>
        <v>150.99</v>
      </c>
      <c r="U76" s="1010">
        <f t="shared" si="14"/>
        <v>150.99</v>
      </c>
      <c r="V76" s="511">
        <f t="shared" si="15"/>
        <v>199.75</v>
      </c>
      <c r="W76" s="2">
        <f>0.85*AR76</f>
        <v>199.75</v>
      </c>
      <c r="X76" s="169">
        <f t="shared" si="106"/>
        <v>48.76</v>
      </c>
      <c r="Y76" s="113">
        <f t="shared" si="18"/>
        <v>0.24410513141426782</v>
      </c>
      <c r="Z76" s="113">
        <f t="shared" si="19"/>
        <v>0.24410513141426782</v>
      </c>
      <c r="AA76" s="113"/>
      <c r="AB76" s="1019">
        <v>0.01</v>
      </c>
      <c r="AC76" s="113"/>
      <c r="AD76" s="113"/>
      <c r="AE76" s="113"/>
      <c r="AF76" s="113"/>
      <c r="AG76" s="113"/>
      <c r="AH76" s="113"/>
      <c r="AI76" s="113"/>
      <c r="AJ76" s="171">
        <f t="shared" si="107"/>
        <v>1071.2854616495001</v>
      </c>
      <c r="AK76" s="1026">
        <f t="shared" si="108"/>
        <v>290.7</v>
      </c>
      <c r="AL76" s="169">
        <f t="shared" si="109"/>
        <v>1127.6689069994738</v>
      </c>
      <c r="AM76" s="169">
        <f t="shared" si="75"/>
        <v>306</v>
      </c>
      <c r="AN76" s="169">
        <f t="shared" si="110"/>
        <v>668.84255465002639</v>
      </c>
      <c r="AO76" s="1027">
        <f t="shared" si="140"/>
        <v>725.22600000000011</v>
      </c>
      <c r="AP76" s="169">
        <v>281</v>
      </c>
      <c r="AQ76" s="169">
        <v>46</v>
      </c>
      <c r="AR76" s="78">
        <f t="shared" si="76"/>
        <v>235</v>
      </c>
      <c r="AS76" s="169">
        <f t="shared" si="157"/>
        <v>679.22600000000011</v>
      </c>
      <c r="AT76" s="169">
        <v>173</v>
      </c>
      <c r="AU76" s="1004">
        <f t="shared" si="153"/>
        <v>506.22600000000006</v>
      </c>
      <c r="AV76" s="169">
        <v>1462</v>
      </c>
      <c r="AW76" s="534">
        <f t="shared" si="154"/>
        <v>782.77399999999989</v>
      </c>
      <c r="AX76" s="169"/>
      <c r="AY76" s="169"/>
      <c r="AZ76" s="169">
        <v>71</v>
      </c>
      <c r="BA76" s="113">
        <v>0.17</v>
      </c>
      <c r="BB76" s="169"/>
      <c r="BC76" s="169"/>
      <c r="BD76" s="169"/>
      <c r="BE76" s="169"/>
      <c r="BF76" s="169"/>
      <c r="BG76" s="169"/>
      <c r="BH76" s="169"/>
      <c r="BI76" s="1031">
        <v>2881</v>
      </c>
      <c r="BJ76" s="2">
        <f t="shared" si="111"/>
        <v>2881</v>
      </c>
      <c r="BK76" s="169">
        <v>87</v>
      </c>
      <c r="BL76" s="169">
        <f t="shared" si="112"/>
        <v>306</v>
      </c>
      <c r="BM76" s="1031">
        <f t="shared" si="113"/>
        <v>402.44290699947379</v>
      </c>
      <c r="BN76" s="310">
        <f t="shared" si="114"/>
        <v>315.44290699947379</v>
      </c>
      <c r="BO76" s="262">
        <f t="shared" si="115"/>
        <v>0.13972060886777238</v>
      </c>
      <c r="BP76" s="262">
        <f t="shared" si="116"/>
        <v>0.15149905995404223</v>
      </c>
      <c r="BQ76" s="262">
        <f t="shared" si="117"/>
        <v>8.4069961771354465E-2</v>
      </c>
      <c r="BR76" s="262">
        <f t="shared" si="118"/>
        <v>0.13968861749374306</v>
      </c>
      <c r="BS76" s="988">
        <f t="shared" si="99"/>
        <v>0.55492068265543948</v>
      </c>
      <c r="BT76" s="534">
        <f t="shared" si="119"/>
        <v>56.383445349973698</v>
      </c>
      <c r="BU76" s="534">
        <f t="shared" si="120"/>
        <v>15.3</v>
      </c>
      <c r="BV76" s="113">
        <v>0.05</v>
      </c>
      <c r="BW76" s="276">
        <f t="shared" si="121"/>
        <v>1.1563462951184105E-2</v>
      </c>
      <c r="BX76" s="272">
        <f t="shared" si="122"/>
        <v>105.14344534997369</v>
      </c>
      <c r="BY76" s="113"/>
      <c r="BZ76" s="1035"/>
      <c r="CA76" s="1038"/>
      <c r="CB76" s="2">
        <f t="shared" si="155"/>
        <v>4606</v>
      </c>
      <c r="CC76" s="2">
        <f t="shared" si="156"/>
        <v>4787</v>
      </c>
      <c r="CD76" s="310">
        <f t="shared" si="124"/>
        <v>4787</v>
      </c>
      <c r="CE76" s="310">
        <f t="shared" si="125"/>
        <v>4612</v>
      </c>
      <c r="CF76" s="598"/>
      <c r="CG76" s="598"/>
      <c r="CH76" s="598"/>
      <c r="CI76" s="577">
        <v>264</v>
      </c>
      <c r="CJ76" s="577"/>
      <c r="CK76" s="577"/>
      <c r="CL76" s="517">
        <f t="shared" si="126"/>
        <v>2103.5245383504998</v>
      </c>
      <c r="CM76" s="169">
        <f t="shared" si="127"/>
        <v>2191.3810930005261</v>
      </c>
      <c r="CN76" s="170">
        <f t="shared" si="43"/>
        <v>818.02399999999989</v>
      </c>
      <c r="CO76" s="170">
        <f t="shared" si="128"/>
        <v>818.02399999999989</v>
      </c>
      <c r="CP76" s="170">
        <f t="shared" si="129"/>
        <v>1373.3570930005262</v>
      </c>
      <c r="CQ76" s="170">
        <f t="shared" si="130"/>
        <v>87.856554650026311</v>
      </c>
      <c r="CR76" s="170"/>
      <c r="CS76" s="113">
        <f t="shared" si="131"/>
        <v>1.8018161331014419E-2</v>
      </c>
      <c r="CT76" s="112"/>
      <c r="CU76" s="112"/>
      <c r="CV76" s="112"/>
      <c r="CW76" s="112"/>
      <c r="CX76" s="112"/>
      <c r="CY76" s="112"/>
      <c r="CZ76" s="112"/>
      <c r="DA76" s="112"/>
      <c r="DB76" s="112"/>
      <c r="DC76" s="112"/>
      <c r="DD76" s="112"/>
      <c r="DE76" s="112"/>
      <c r="DF76" s="112"/>
      <c r="DG76" s="112"/>
      <c r="DH76" s="517">
        <f t="shared" si="146"/>
        <v>1105.2</v>
      </c>
      <c r="DI76" s="2">
        <f t="shared" si="49"/>
        <v>1176.2</v>
      </c>
      <c r="DJ76" s="169">
        <f t="shared" si="50"/>
        <v>1105.2</v>
      </c>
      <c r="DK76" s="169">
        <f t="shared" si="142"/>
        <v>71</v>
      </c>
      <c r="DL76" s="113">
        <f t="shared" si="132"/>
        <v>0.23087528723626488</v>
      </c>
      <c r="DM76" s="113">
        <f t="shared" si="133"/>
        <v>0.38361679972231866</v>
      </c>
      <c r="DN76" s="113">
        <v>0.6</v>
      </c>
      <c r="DO76" s="113"/>
      <c r="DP76" s="113"/>
      <c r="DQ76" s="272">
        <v>1842</v>
      </c>
      <c r="DR76" s="169"/>
      <c r="DS76" s="169"/>
      <c r="DT76" s="78">
        <f t="shared" si="96"/>
        <v>1842</v>
      </c>
      <c r="DU76" s="175">
        <f t="shared" si="97"/>
        <v>3550.9209677419358</v>
      </c>
      <c r="DV76" s="169">
        <v>3600</v>
      </c>
      <c r="DW76" s="170">
        <f t="shared" si="134"/>
        <v>310.0790322580641</v>
      </c>
      <c r="DX76" s="534">
        <f t="shared" si="89"/>
        <v>210.07903225806413</v>
      </c>
      <c r="DY76" s="534">
        <f t="shared" si="90"/>
        <v>199.64032258064481</v>
      </c>
      <c r="DZ76" s="386">
        <f t="shared" si="144"/>
        <v>1.304838709677417</v>
      </c>
      <c r="EA76" s="169">
        <v>161</v>
      </c>
      <c r="EB76" s="169">
        <v>153</v>
      </c>
      <c r="EC76" s="175">
        <f t="shared" si="82"/>
        <v>10.438709677419325</v>
      </c>
      <c r="ED76" s="175">
        <v>0</v>
      </c>
      <c r="EE76" s="175">
        <f t="shared" si="135"/>
        <v>10.438709677419325</v>
      </c>
      <c r="EF76" s="175"/>
      <c r="EG76" s="169">
        <v>100</v>
      </c>
      <c r="EH76" s="78">
        <f t="shared" si="136"/>
        <v>-53.920967741935868</v>
      </c>
      <c r="EI76" s="169">
        <v>940</v>
      </c>
      <c r="EJ76" s="169">
        <v>1400</v>
      </c>
      <c r="EK76" s="169"/>
      <c r="EL76" s="169"/>
      <c r="EM76" s="169"/>
      <c r="EN76" s="169"/>
      <c r="EO76" s="169">
        <v>1180</v>
      </c>
      <c r="EP76" s="169">
        <v>1465</v>
      </c>
      <c r="EQ76" s="175">
        <f t="shared" si="150"/>
        <v>5243</v>
      </c>
      <c r="ER76" s="2">
        <f t="shared" si="137"/>
        <v>5555.2260000000006</v>
      </c>
      <c r="ES76" s="262">
        <f t="shared" si="98"/>
        <v>1.0595510204081633</v>
      </c>
      <c r="ET76" s="262"/>
      <c r="EU76" s="262"/>
      <c r="EV76" s="262"/>
      <c r="EW76" s="598"/>
      <c r="EX76" s="598"/>
      <c r="EY76" s="1126"/>
      <c r="EZ76" s="598"/>
      <c r="FA76" s="598"/>
      <c r="FB76" s="598"/>
      <c r="FC76" s="598"/>
      <c r="FD76" s="598"/>
      <c r="FE76" s="979"/>
      <c r="FF76" s="1048"/>
      <c r="FG76" s="518"/>
      <c r="FH76" s="598"/>
      <c r="FI76" s="310">
        <f t="shared" si="65"/>
        <v>-285</v>
      </c>
      <c r="FJ76" s="2">
        <f t="shared" si="138"/>
        <v>-285</v>
      </c>
      <c r="FK76" s="1048"/>
      <c r="FL76" s="518"/>
      <c r="FM76" s="518"/>
      <c r="FN76" s="518"/>
      <c r="FO76" s="518"/>
      <c r="FP76" s="518"/>
      <c r="FQ76" s="518"/>
      <c r="FR76" s="518"/>
      <c r="FS76" s="1049"/>
      <c r="FT76" s="518"/>
      <c r="FU76" s="518"/>
      <c r="FV76" s="518"/>
      <c r="FW76" s="518"/>
      <c r="FX76" s="518"/>
      <c r="FY76" s="518"/>
      <c r="FZ76" s="115"/>
      <c r="GA76" s="115"/>
      <c r="GB76" s="115"/>
      <c r="GC76" s="115"/>
      <c r="GD76" s="115"/>
      <c r="GE76" s="115"/>
      <c r="GF76" s="115"/>
      <c r="GG76" s="115"/>
      <c r="GH76" s="115"/>
      <c r="GI76" s="115"/>
      <c r="GJ76" s="115"/>
      <c r="GK76" s="1162">
        <f>DataUK4!X229+DataUK4!AH229</f>
        <v>-1687.4</v>
      </c>
      <c r="GL76" s="115"/>
      <c r="GM76" s="115"/>
      <c r="GN76" s="115"/>
      <c r="GO76" s="115"/>
      <c r="GP76" s="310">
        <f t="shared" si="139"/>
        <v>10.438709677419325</v>
      </c>
      <c r="GQ76" s="115"/>
      <c r="GR76" s="115"/>
      <c r="GS76" s="115"/>
      <c r="GT76" s="115"/>
      <c r="GU76" s="991">
        <f t="shared" si="68"/>
        <v>-1697.8387096774195</v>
      </c>
      <c r="GW76" s="1063">
        <f>DataUK4!D229+DataUK4!F229</f>
        <v>267.39999999999998</v>
      </c>
      <c r="GX76" s="115"/>
      <c r="GY76" s="615">
        <f t="shared" si="69"/>
        <v>224.35108359133133</v>
      </c>
      <c r="GZ76" s="115"/>
      <c r="HA76" s="115"/>
      <c r="HB76" s="115"/>
      <c r="HC76" s="1051"/>
      <c r="HD76" s="170">
        <f t="shared" si="147"/>
        <v>175</v>
      </c>
      <c r="HE76" s="301">
        <f t="shared" si="151"/>
        <v>240</v>
      </c>
      <c r="HF76" s="301">
        <f t="shared" si="152"/>
        <v>65</v>
      </c>
      <c r="HG76" s="170">
        <f t="shared" si="71"/>
        <v>0</v>
      </c>
      <c r="HH76" s="301">
        <v>0</v>
      </c>
      <c r="HI76" s="301">
        <v>0</v>
      </c>
      <c r="HJ76" s="2">
        <v>0</v>
      </c>
      <c r="HK76" s="2">
        <v>0</v>
      </c>
      <c r="HL76" s="2">
        <v>0</v>
      </c>
      <c r="HM76" s="2">
        <f t="shared" si="72"/>
        <v>0</v>
      </c>
      <c r="HN76" s="2">
        <v>0</v>
      </c>
      <c r="HO76" s="2">
        <v>0</v>
      </c>
      <c r="HP76" s="2">
        <v>0</v>
      </c>
      <c r="HQ76" s="2">
        <v>0</v>
      </c>
      <c r="HR76" s="2">
        <v>0</v>
      </c>
      <c r="HS76" s="1052">
        <v>0</v>
      </c>
      <c r="HT76" s="1002">
        <v>19.899999999999999</v>
      </c>
      <c r="HU76" s="1002">
        <f t="shared" si="73"/>
        <v>2.4315112540192922</v>
      </c>
      <c r="HV76" s="1002">
        <f t="shared" si="74"/>
        <v>2.8154340836012861</v>
      </c>
    </row>
    <row r="77" spans="1:230" ht="12" customHeight="1">
      <c r="A77" s="110">
        <f t="shared" si="148"/>
        <v>1919</v>
      </c>
      <c r="B77" s="176">
        <f t="shared" ref="B77:B105" si="158">C77+D77</f>
        <v>5154</v>
      </c>
      <c r="C77" s="177">
        <f t="shared" si="145"/>
        <v>165</v>
      </c>
      <c r="D77" s="176">
        <f t="shared" ref="D77:D107" si="159">$K77+$T77+$AJ77+$CL77+$DH77</f>
        <v>4989</v>
      </c>
      <c r="E77" s="154">
        <f t="shared" ref="E77:E106" si="160">CE77+F77</f>
        <v>5310</v>
      </c>
      <c r="F77" s="995">
        <f t="shared" ref="F77:F105" si="161">CI77</f>
        <v>321</v>
      </c>
      <c r="G77" s="531">
        <f t="shared" ref="G77:G108" si="162">H77+C77</f>
        <v>5430</v>
      </c>
      <c r="H77" s="531">
        <f t="shared" ref="H77:H108" si="163">I77-F77</f>
        <v>5265</v>
      </c>
      <c r="I77" s="531">
        <f t="shared" ref="I77:I108" si="164">DT77+DU77+DW77+EI77-EJ77</f>
        <v>5586</v>
      </c>
      <c r="J77" s="548">
        <f t="shared" ref="J77:J108" si="165">E77/I77</f>
        <v>0.95059076262083786</v>
      </c>
      <c r="K77" s="515">
        <f t="shared" si="87"/>
        <v>283</v>
      </c>
      <c r="L77" s="175">
        <v>396</v>
      </c>
      <c r="M77" s="175">
        <v>113</v>
      </c>
      <c r="N77" s="111"/>
      <c r="O77" s="111"/>
      <c r="P77" s="111"/>
      <c r="Q77" s="111"/>
      <c r="R77" s="111"/>
      <c r="S77" s="532">
        <f t="shared" si="149"/>
        <v>5.8098952987066313E-2</v>
      </c>
      <c r="T77" s="1008">
        <f t="shared" ref="T77:T105" si="166">V77-$X77</f>
        <v>136.50000000000003</v>
      </c>
      <c r="U77" s="1010">
        <f t="shared" ref="U77:U105" si="167">W77-$X77</f>
        <v>136.50000000000003</v>
      </c>
      <c r="V77" s="511">
        <f t="shared" ref="V77:V105" si="168">W77+AI77</f>
        <v>189.60000000000002</v>
      </c>
      <c r="W77" s="2">
        <f t="shared" ref="W77:W96" si="169">0.8*AR77</f>
        <v>189.60000000000002</v>
      </c>
      <c r="X77" s="169">
        <f t="shared" ref="X77:X106" si="170">AB77*E77</f>
        <v>53.1</v>
      </c>
      <c r="Y77" s="113">
        <f t="shared" ref="Y77:Y105" si="171">X77/V77</f>
        <v>0.2800632911392405</v>
      </c>
      <c r="Z77" s="113">
        <f t="shared" ref="Z77:Z105" si="172">X77/W77</f>
        <v>0.2800632911392405</v>
      </c>
      <c r="AA77" s="113"/>
      <c r="AB77" s="1019">
        <v>0.01</v>
      </c>
      <c r="AC77" s="113"/>
      <c r="AD77" s="113"/>
      <c r="AE77" s="113"/>
      <c r="AF77" s="113"/>
      <c r="AG77" s="113"/>
      <c r="AH77" s="113"/>
      <c r="AI77" s="113"/>
      <c r="AJ77" s="171">
        <f t="shared" ref="AJ77:AJ105" si="173">AL77-BT77</f>
        <v>1238.876834222991</v>
      </c>
      <c r="AK77" s="1026">
        <f t="shared" ref="AK77:AK105" si="174">AM77-BU77</f>
        <v>327.75</v>
      </c>
      <c r="AL77" s="169">
        <f t="shared" ref="AL77:AL108" si="175">AO77+BM77</f>
        <v>1304.0808781294641</v>
      </c>
      <c r="AM77" s="169">
        <f t="shared" si="75"/>
        <v>345</v>
      </c>
      <c r="AN77" s="169">
        <f t="shared" ref="AN77:AN106" si="176">AO77-BT77</f>
        <v>773.47595609352686</v>
      </c>
      <c r="AO77" s="1027">
        <f t="shared" si="140"/>
        <v>838.68000000000006</v>
      </c>
      <c r="AP77" s="169">
        <v>284</v>
      </c>
      <c r="AQ77" s="169">
        <v>47</v>
      </c>
      <c r="AR77" s="78">
        <f t="shared" si="76"/>
        <v>237</v>
      </c>
      <c r="AS77" s="169">
        <f t="shared" si="157"/>
        <v>791.68000000000006</v>
      </c>
      <c r="AT77" s="169">
        <v>176</v>
      </c>
      <c r="AU77" s="1004">
        <f t="shared" si="153"/>
        <v>615.68000000000006</v>
      </c>
      <c r="AV77" s="169">
        <v>1631</v>
      </c>
      <c r="AW77" s="534">
        <f t="shared" si="154"/>
        <v>839.31999999999994</v>
      </c>
      <c r="AX77" s="169"/>
      <c r="AY77" s="169"/>
      <c r="AZ77" s="170">
        <v>36</v>
      </c>
      <c r="BA77" s="113">
        <v>0.16</v>
      </c>
      <c r="BB77" s="170"/>
      <c r="BC77" s="169"/>
      <c r="BD77" s="169"/>
      <c r="BE77" s="169"/>
      <c r="BF77" s="170"/>
      <c r="BG77" s="169"/>
      <c r="BH77" s="169"/>
      <c r="BI77" s="1031">
        <v>3076</v>
      </c>
      <c r="BJ77" s="2">
        <f t="shared" ref="BJ77:BJ108" si="177">BI77-HG77</f>
        <v>3076</v>
      </c>
      <c r="BK77" s="169">
        <v>122</v>
      </c>
      <c r="BL77" s="169">
        <f t="shared" ref="BL77:BL105" si="178">BK77+AT77+AQ77</f>
        <v>345</v>
      </c>
      <c r="BM77" s="1031">
        <f t="shared" ref="BM77:BM108" si="179">BS77*AO77</f>
        <v>465.40087812946399</v>
      </c>
      <c r="BN77" s="310">
        <f t="shared" ref="BN77:BN105" si="180">BM77-BK77</f>
        <v>343.40087812946399</v>
      </c>
      <c r="BO77" s="262">
        <f t="shared" ref="BO77:BO106" si="181">AN77/$CD77</f>
        <v>0.15007294452726558</v>
      </c>
      <c r="BP77" s="262">
        <f t="shared" ref="BP77:BP106" si="182">AO77/CD77</f>
        <v>0.16272409778812574</v>
      </c>
      <c r="BQ77" s="262">
        <f t="shared" ref="BQ77:BQ106" si="183">BM77/$CD77</f>
        <v>9.0298967429077226E-2</v>
      </c>
      <c r="BR77" s="262">
        <f t="shared" ref="BR77:BR108" si="184">BM77/BI77</f>
        <v>0.15130067559475421</v>
      </c>
      <c r="BS77" s="988">
        <f t="shared" ref="BS77:BS140" si="185">BS$146</f>
        <v>0.55492068265543948</v>
      </c>
      <c r="BT77" s="534">
        <f t="shared" ref="BT77:BT106" si="186">BV77*AL77</f>
        <v>65.204043906473203</v>
      </c>
      <c r="BU77" s="534">
        <f t="shared" ref="BU77:BU105" si="187">BV77*AM77</f>
        <v>17.25</v>
      </c>
      <c r="BV77" s="113">
        <v>0.05</v>
      </c>
      <c r="BW77" s="276">
        <f t="shared" ref="BW77:BW108" si="188">BT77/E77</f>
        <v>1.2279480961671037E-2</v>
      </c>
      <c r="BX77" s="272">
        <f t="shared" ref="BX77:BX106" si="189">X77+BT77</f>
        <v>118.3040439064732</v>
      </c>
      <c r="BY77" s="113"/>
      <c r="BZ77" s="1035"/>
      <c r="CA77" s="1038"/>
      <c r="CB77" s="2">
        <f t="shared" si="155"/>
        <v>4871</v>
      </c>
      <c r="CC77" s="2">
        <f t="shared" si="156"/>
        <v>5154</v>
      </c>
      <c r="CD77" s="310">
        <f t="shared" ref="CD77:CD106" si="190">CC77</f>
        <v>5154</v>
      </c>
      <c r="CE77" s="310">
        <f t="shared" ref="CE77:CE106" si="191">CD77-C77</f>
        <v>4989</v>
      </c>
      <c r="CF77" s="598"/>
      <c r="CG77" s="598"/>
      <c r="CH77" s="598"/>
      <c r="CI77" s="577">
        <v>321</v>
      </c>
      <c r="CJ77" s="577"/>
      <c r="CK77" s="577"/>
      <c r="CL77" s="517">
        <f t="shared" ref="CL77:CL108" si="192">CM77-CQ77</f>
        <v>2769.6231657770095</v>
      </c>
      <c r="CM77" s="169">
        <f t="shared" ref="CM77:CM108" si="193">CN77+CP77</f>
        <v>2936.319121870536</v>
      </c>
      <c r="CN77" s="170">
        <f t="shared" ref="CN77:CN105" si="194">CO77</f>
        <v>886.72</v>
      </c>
      <c r="CO77" s="170">
        <f t="shared" ref="CO77:CO106" si="195">AP77+AT77+AU77+AW77-W77-AO77</f>
        <v>886.72</v>
      </c>
      <c r="CP77" s="170">
        <f t="shared" ref="CP77:CP106" si="196">BJ77-DJ77-BM77</f>
        <v>2049.5991218705358</v>
      </c>
      <c r="CQ77" s="170">
        <f t="shared" ref="CQ77:CQ106" si="197">F77-X77-BT77-DK77</f>
        <v>166.69595609352677</v>
      </c>
      <c r="CR77" s="170"/>
      <c r="CS77" s="113">
        <f t="shared" ref="CS77:CS108" si="198">CQ77/E77</f>
        <v>3.139283542250975E-2</v>
      </c>
      <c r="CT77" s="112"/>
      <c r="CU77" s="112"/>
      <c r="CV77" s="112"/>
      <c r="CW77" s="112"/>
      <c r="CX77" s="112"/>
      <c r="CY77" s="112"/>
      <c r="CZ77" s="112"/>
      <c r="DA77" s="112"/>
      <c r="DB77" s="112"/>
      <c r="DC77" s="112"/>
      <c r="DD77" s="112"/>
      <c r="DE77" s="112"/>
      <c r="DF77" s="112"/>
      <c r="DG77" s="112"/>
      <c r="DH77" s="516">
        <f t="shared" si="146"/>
        <v>561</v>
      </c>
      <c r="DI77" s="2">
        <f t="shared" ref="DI77:DI104" si="199">DJ77+DK77</f>
        <v>597</v>
      </c>
      <c r="DJ77" s="169">
        <f t="shared" ref="DJ77:DJ104" si="200">DN77*DT77</f>
        <v>561</v>
      </c>
      <c r="DK77" s="169">
        <f t="shared" si="142"/>
        <v>36</v>
      </c>
      <c r="DL77" s="113">
        <f t="shared" ref="DL77:DL106" si="201">DJ77/CD77</f>
        <v>0.10884749708963912</v>
      </c>
      <c r="DM77" s="113">
        <f t="shared" ref="DM77:DM108" si="202">DJ77/BJ77</f>
        <v>0.18237971391417426</v>
      </c>
      <c r="DN77" s="113">
        <v>0.6</v>
      </c>
      <c r="DO77" s="113"/>
      <c r="DP77" s="113"/>
      <c r="DQ77" s="272">
        <v>935</v>
      </c>
      <c r="DR77" s="169"/>
      <c r="DS77" s="169"/>
      <c r="DT77" s="78">
        <f t="shared" si="96"/>
        <v>935</v>
      </c>
      <c r="DU77" s="175">
        <f t="shared" si="97"/>
        <v>4466.470967741936</v>
      </c>
      <c r="DV77" s="169">
        <v>4535</v>
      </c>
      <c r="DW77" s="170">
        <f t="shared" ref="DW77:DW106" si="203">DX77+EG77</f>
        <v>394.52903225806398</v>
      </c>
      <c r="DX77" s="534">
        <f t="shared" si="89"/>
        <v>294.52903225806398</v>
      </c>
      <c r="DY77" s="534">
        <f t="shared" si="90"/>
        <v>251.52258064516082</v>
      </c>
      <c r="DZ77" s="386">
        <f t="shared" si="144"/>
        <v>1.3032258064516105</v>
      </c>
      <c r="EA77" s="169">
        <v>226</v>
      </c>
      <c r="EB77" s="169">
        <v>193</v>
      </c>
      <c r="EC77" s="175">
        <f t="shared" si="82"/>
        <v>43.006451612903163</v>
      </c>
      <c r="ED77" s="175">
        <v>0</v>
      </c>
      <c r="EE77" s="175">
        <f t="shared" ref="EE77:EE108" si="204">EC77-ED77</f>
        <v>43.006451612903163</v>
      </c>
      <c r="EF77" s="175"/>
      <c r="EG77" s="169">
        <v>100</v>
      </c>
      <c r="EH77" s="78">
        <f t="shared" ref="EH77:EH108" si="205">DX77-CI77</f>
        <v>-26.470967741936022</v>
      </c>
      <c r="EI77" s="169">
        <v>1470</v>
      </c>
      <c r="EJ77" s="169">
        <v>1680</v>
      </c>
      <c r="EK77" s="169"/>
      <c r="EL77" s="169"/>
      <c r="EM77" s="169"/>
      <c r="EN77" s="169"/>
      <c r="EO77" s="169">
        <v>1700</v>
      </c>
      <c r="EP77" s="169">
        <v>1745</v>
      </c>
      <c r="EQ77" s="175">
        <f t="shared" si="150"/>
        <v>5586</v>
      </c>
      <c r="ER77" s="2">
        <f t="shared" ref="ER77:ER109" si="206">$BJ77+$AP77+$AS77+$AV77+$AX77+$AY77+$AZ77+$K77</f>
        <v>6101.68</v>
      </c>
      <c r="ES77" s="262">
        <f t="shared" si="98"/>
        <v>1.0923165055495883</v>
      </c>
      <c r="ET77" s="262"/>
      <c r="EU77" s="262"/>
      <c r="EV77" s="262"/>
      <c r="EW77" s="598"/>
      <c r="EX77" s="598"/>
      <c r="EY77" s="1126"/>
      <c r="EZ77" s="598"/>
      <c r="FA77" s="598"/>
      <c r="FB77" s="598"/>
      <c r="FC77" s="598"/>
      <c r="FD77" s="598"/>
      <c r="FE77" s="979"/>
      <c r="FF77" s="1048"/>
      <c r="FG77" s="518"/>
      <c r="FH77" s="598"/>
      <c r="FI77" s="310">
        <f t="shared" ref="FI77:FI103" si="207">FJ77</f>
        <v>-45</v>
      </c>
      <c r="FJ77" s="2">
        <f t="shared" ref="FJ77:FJ108" si="208">EI77-EJ77+C77+HO77</f>
        <v>-45</v>
      </c>
      <c r="FK77" s="1048"/>
      <c r="FL77" s="518"/>
      <c r="FM77" s="518"/>
      <c r="FN77" s="518"/>
      <c r="FO77" s="518"/>
      <c r="FP77" s="518"/>
      <c r="FQ77" s="518"/>
      <c r="FR77" s="518"/>
      <c r="FS77" s="1049"/>
      <c r="FT77" s="518"/>
      <c r="FU77" s="518"/>
      <c r="FV77" s="518"/>
      <c r="FW77" s="518"/>
      <c r="FX77" s="518"/>
      <c r="FY77" s="518"/>
      <c r="FZ77" s="115"/>
      <c r="GA77" s="115"/>
      <c r="GB77" s="115"/>
      <c r="GC77" s="115"/>
      <c r="GD77" s="115"/>
      <c r="GE77" s="115"/>
      <c r="GF77" s="115"/>
      <c r="GG77" s="115"/>
      <c r="GH77" s="115"/>
      <c r="GI77" s="115"/>
      <c r="GJ77" s="115"/>
      <c r="GK77" s="1162">
        <f>DataUK4!X230+DataUK4!AH230</f>
        <v>-323.80000000000018</v>
      </c>
      <c r="GL77" s="115"/>
      <c r="GM77" s="115"/>
      <c r="GN77" s="115"/>
      <c r="GO77" s="115"/>
      <c r="GP77" s="310">
        <f t="shared" ref="GP77:GP104" si="209">EE77</f>
        <v>43.006451612903163</v>
      </c>
      <c r="GQ77" s="115"/>
      <c r="GR77" s="115"/>
      <c r="GS77" s="115"/>
      <c r="GT77" s="115"/>
      <c r="GU77" s="991">
        <f>GK77-GP77-GR77</f>
        <v>-366.80645161290334</v>
      </c>
      <c r="GW77" s="1063">
        <f>DataUK4!D230+DataUK4!F230</f>
        <v>329.4</v>
      </c>
      <c r="GX77" s="115"/>
      <c r="GY77" s="615">
        <f t="shared" ref="GY77:GY120" si="210">GY78*GW77/GW78</f>
        <v>276.36965944272453</v>
      </c>
      <c r="GZ77" s="115"/>
      <c r="HA77" s="115"/>
      <c r="HB77" s="115"/>
      <c r="HC77" s="1051"/>
      <c r="HD77" s="170">
        <f t="shared" si="147"/>
        <v>165</v>
      </c>
      <c r="HE77" s="301">
        <f t="shared" si="151"/>
        <v>230</v>
      </c>
      <c r="HF77" s="301">
        <f t="shared" si="152"/>
        <v>65</v>
      </c>
      <c r="HG77" s="170">
        <f t="shared" ref="HG77:HG103" si="211">HH77-HI77</f>
        <v>0</v>
      </c>
      <c r="HH77" s="301">
        <v>0</v>
      </c>
      <c r="HI77" s="301">
        <v>0</v>
      </c>
      <c r="HJ77" s="2">
        <v>0</v>
      </c>
      <c r="HK77" s="2">
        <v>0</v>
      </c>
      <c r="HL77" s="2">
        <v>0</v>
      </c>
      <c r="HM77" s="2">
        <f t="shared" ref="HM77:HM104" si="212">HJ77-(-HK77-HL77)</f>
        <v>0</v>
      </c>
      <c r="HN77" s="2">
        <v>0</v>
      </c>
      <c r="HO77" s="2">
        <v>0</v>
      </c>
      <c r="HP77" s="2">
        <v>0</v>
      </c>
      <c r="HQ77" s="2">
        <v>0</v>
      </c>
      <c r="HR77" s="2">
        <v>0</v>
      </c>
      <c r="HS77" s="1052">
        <v>0</v>
      </c>
      <c r="HT77" s="1002">
        <v>21.9</v>
      </c>
      <c r="HU77" s="1002">
        <f t="shared" ref="HU77:HU105" si="213">$HT77*HU$107/HT$107</f>
        <v>2.6758842443729898</v>
      </c>
      <c r="HV77" s="1002">
        <f t="shared" ref="HV77:HV105" si="214">$HT77*HV$107/HT$107</f>
        <v>3.0983922829581991</v>
      </c>
    </row>
    <row r="78" spans="1:230" ht="12" customHeight="1">
      <c r="A78" s="530" t="s">
        <v>651</v>
      </c>
      <c r="B78" s="176">
        <f t="shared" si="158"/>
        <v>5419</v>
      </c>
      <c r="C78" s="177">
        <f t="shared" si="145"/>
        <v>254</v>
      </c>
      <c r="D78" s="176">
        <f t="shared" si="159"/>
        <v>5165</v>
      </c>
      <c r="E78" s="154">
        <f t="shared" si="160"/>
        <v>5620</v>
      </c>
      <c r="F78" s="995">
        <f t="shared" si="161"/>
        <v>455</v>
      </c>
      <c r="G78" s="531">
        <f t="shared" si="162"/>
        <v>6029</v>
      </c>
      <c r="H78" s="531">
        <f t="shared" si="163"/>
        <v>5775</v>
      </c>
      <c r="I78" s="531">
        <f t="shared" si="164"/>
        <v>6230</v>
      </c>
      <c r="J78" s="548">
        <f t="shared" si="165"/>
        <v>0.9020866773675762</v>
      </c>
      <c r="K78" s="515">
        <f t="shared" ref="K78:K104" si="215">L78-M78</f>
        <v>386</v>
      </c>
      <c r="L78" s="175">
        <v>519</v>
      </c>
      <c r="M78" s="175">
        <v>133</v>
      </c>
      <c r="N78" s="111"/>
      <c r="O78" s="111"/>
      <c r="P78" s="111"/>
      <c r="Q78" s="111"/>
      <c r="R78" s="111"/>
      <c r="S78" s="532">
        <f t="shared" si="149"/>
        <v>7.6693820782833294E-2</v>
      </c>
      <c r="T78" s="1008">
        <f t="shared" si="166"/>
        <v>112.60000000000001</v>
      </c>
      <c r="U78" s="1010">
        <f t="shared" si="167"/>
        <v>112.60000000000001</v>
      </c>
      <c r="V78" s="511">
        <f t="shared" si="168"/>
        <v>168.8</v>
      </c>
      <c r="W78" s="2">
        <f t="shared" si="169"/>
        <v>168.8</v>
      </c>
      <c r="X78" s="169">
        <f t="shared" si="170"/>
        <v>56.2</v>
      </c>
      <c r="Y78" s="113">
        <f t="shared" si="171"/>
        <v>0.33293838862559239</v>
      </c>
      <c r="Z78" s="113">
        <f t="shared" si="172"/>
        <v>0.33293838862559239</v>
      </c>
      <c r="AA78" s="113"/>
      <c r="AB78" s="1019">
        <v>0.01</v>
      </c>
      <c r="AC78" s="113"/>
      <c r="AD78" s="113"/>
      <c r="AE78" s="113"/>
      <c r="AF78" s="113"/>
      <c r="AG78" s="113"/>
      <c r="AH78" s="113"/>
      <c r="AI78" s="113"/>
      <c r="AJ78" s="171">
        <f t="shared" si="173"/>
        <v>1313.7991323960605</v>
      </c>
      <c r="AK78" s="1026">
        <f t="shared" si="174"/>
        <v>375.25</v>
      </c>
      <c r="AL78" s="169">
        <f t="shared" si="175"/>
        <v>1382.9464551537478</v>
      </c>
      <c r="AM78" s="169">
        <f t="shared" ref="AM78:AM105" si="216">AQ78+AT78+BK78</f>
        <v>395</v>
      </c>
      <c r="AN78" s="169">
        <f t="shared" si="176"/>
        <v>820.25267724231253</v>
      </c>
      <c r="AO78" s="1027">
        <f t="shared" si="140"/>
        <v>889.4</v>
      </c>
      <c r="AP78" s="169">
        <v>259</v>
      </c>
      <c r="AQ78" s="169">
        <v>48</v>
      </c>
      <c r="AR78" s="78">
        <f t="shared" ref="AR78:AR105" si="217">AP78-AQ78</f>
        <v>211</v>
      </c>
      <c r="AS78" s="169">
        <f t="shared" si="157"/>
        <v>841.4</v>
      </c>
      <c r="AT78" s="169">
        <v>197</v>
      </c>
      <c r="AU78" s="1004">
        <f t="shared" si="153"/>
        <v>644.4</v>
      </c>
      <c r="AV78" s="169">
        <v>1430</v>
      </c>
      <c r="AW78" s="534">
        <f t="shared" si="154"/>
        <v>588.6</v>
      </c>
      <c r="AX78" s="169"/>
      <c r="AY78" s="169"/>
      <c r="AZ78" s="170">
        <v>20</v>
      </c>
      <c r="BA78" s="113">
        <v>0.15</v>
      </c>
      <c r="BB78" s="170"/>
      <c r="BC78" s="169"/>
      <c r="BD78" s="169"/>
      <c r="BE78" s="169"/>
      <c r="BF78" s="170"/>
      <c r="BG78" s="169"/>
      <c r="BH78" s="169"/>
      <c r="BI78" s="1031">
        <v>3525</v>
      </c>
      <c r="BJ78" s="2">
        <f t="shared" si="177"/>
        <v>3525</v>
      </c>
      <c r="BK78" s="169">
        <v>150</v>
      </c>
      <c r="BL78" s="169">
        <f t="shared" si="178"/>
        <v>395</v>
      </c>
      <c r="BM78" s="1031">
        <f t="shared" si="179"/>
        <v>493.54645515374784</v>
      </c>
      <c r="BN78" s="310">
        <f t="shared" si="180"/>
        <v>343.54645515374784</v>
      </c>
      <c r="BO78" s="262">
        <f t="shared" si="181"/>
        <v>0.15136605964980854</v>
      </c>
      <c r="BP78" s="262">
        <f t="shared" si="182"/>
        <v>0.16412622255028603</v>
      </c>
      <c r="BQ78" s="262">
        <f t="shared" si="183"/>
        <v>9.1077035459263309E-2</v>
      </c>
      <c r="BR78" s="262">
        <f t="shared" si="184"/>
        <v>0.14001317876702066</v>
      </c>
      <c r="BS78" s="988">
        <f t="shared" si="185"/>
        <v>0.55492068265543948</v>
      </c>
      <c r="BT78" s="534">
        <f t="shared" si="186"/>
        <v>69.147322757687391</v>
      </c>
      <c r="BU78" s="534">
        <f t="shared" si="187"/>
        <v>19.75</v>
      </c>
      <c r="BV78" s="113">
        <v>0.05</v>
      </c>
      <c r="BW78" s="276">
        <f t="shared" si="188"/>
        <v>1.2303794084997757E-2</v>
      </c>
      <c r="BX78" s="272">
        <f t="shared" si="189"/>
        <v>125.34732275768739</v>
      </c>
      <c r="BY78" s="113"/>
      <c r="BZ78" s="1035"/>
      <c r="CA78" s="1038"/>
      <c r="CB78" s="2">
        <f t="shared" si="155"/>
        <v>5033</v>
      </c>
      <c r="CC78" s="2">
        <f t="shared" si="156"/>
        <v>5419</v>
      </c>
      <c r="CD78" s="310">
        <f t="shared" si="190"/>
        <v>5419</v>
      </c>
      <c r="CE78" s="310">
        <f t="shared" si="191"/>
        <v>5165</v>
      </c>
      <c r="CF78" s="598"/>
      <c r="CG78" s="598"/>
      <c r="CH78" s="598"/>
      <c r="CI78" s="577">
        <v>455</v>
      </c>
      <c r="CJ78" s="577"/>
      <c r="CK78" s="577"/>
      <c r="CL78" s="517">
        <f t="shared" si="192"/>
        <v>3040.6008676039396</v>
      </c>
      <c r="CM78" s="169">
        <f t="shared" si="193"/>
        <v>3350.2535448462522</v>
      </c>
      <c r="CN78" s="170">
        <f t="shared" si="194"/>
        <v>630.80000000000007</v>
      </c>
      <c r="CO78" s="170">
        <f t="shared" si="195"/>
        <v>630.80000000000007</v>
      </c>
      <c r="CP78" s="170">
        <f t="shared" si="196"/>
        <v>2719.453544846252</v>
      </c>
      <c r="CQ78" s="170">
        <f t="shared" si="197"/>
        <v>309.65267724231262</v>
      </c>
      <c r="CR78" s="170"/>
      <c r="CS78" s="113">
        <f t="shared" si="198"/>
        <v>5.5098341146318973E-2</v>
      </c>
      <c r="CT78" s="112"/>
      <c r="CU78" s="112"/>
      <c r="CV78" s="112"/>
      <c r="CW78" s="112"/>
      <c r="CX78" s="112"/>
      <c r="CY78" s="112"/>
      <c r="CZ78" s="112"/>
      <c r="DA78" s="112"/>
      <c r="DB78" s="112"/>
      <c r="DC78" s="112"/>
      <c r="DD78" s="112"/>
      <c r="DE78" s="112"/>
      <c r="DF78" s="112"/>
      <c r="DG78" s="112"/>
      <c r="DH78" s="516">
        <f t="shared" si="146"/>
        <v>312</v>
      </c>
      <c r="DI78" s="2">
        <f t="shared" si="199"/>
        <v>332</v>
      </c>
      <c r="DJ78" s="169">
        <f t="shared" si="200"/>
        <v>312</v>
      </c>
      <c r="DK78" s="169">
        <f t="shared" si="142"/>
        <v>20</v>
      </c>
      <c r="DL78" s="113">
        <f t="shared" si="201"/>
        <v>5.7575198376084151E-2</v>
      </c>
      <c r="DM78" s="113">
        <f t="shared" si="202"/>
        <v>8.851063829787234E-2</v>
      </c>
      <c r="DN78" s="113">
        <v>0.6</v>
      </c>
      <c r="DO78" s="113"/>
      <c r="DP78" s="113"/>
      <c r="DQ78" s="272">
        <v>520</v>
      </c>
      <c r="DR78" s="169"/>
      <c r="DS78" s="169"/>
      <c r="DT78" s="78">
        <f t="shared" si="96"/>
        <v>520</v>
      </c>
      <c r="DU78" s="175">
        <f t="shared" si="97"/>
        <v>5095.1935483870984</v>
      </c>
      <c r="DV78" s="169">
        <v>5246</v>
      </c>
      <c r="DW78" s="170">
        <f t="shared" si="203"/>
        <v>550.80645161290192</v>
      </c>
      <c r="DX78" s="534">
        <f t="shared" si="89"/>
        <v>650.80645161290192</v>
      </c>
      <c r="DY78" s="534">
        <f t="shared" si="90"/>
        <v>511.73370365412831</v>
      </c>
      <c r="DZ78" s="386">
        <f t="shared" si="144"/>
        <v>1.3016129032258039</v>
      </c>
      <c r="EA78" s="169">
        <v>500</v>
      </c>
      <c r="EB78" s="169">
        <f>EB79*EA78/EA79</f>
        <v>393.15352697095437</v>
      </c>
      <c r="EC78" s="175">
        <f t="shared" ref="EC78:EC124" si="218">DX78-DY78</f>
        <v>139.07274795877362</v>
      </c>
      <c r="ED78" s="175">
        <v>0</v>
      </c>
      <c r="EE78" s="175">
        <f t="shared" si="204"/>
        <v>139.07274795877362</v>
      </c>
      <c r="EF78" s="175"/>
      <c r="EG78" s="169">
        <v>-100</v>
      </c>
      <c r="EH78" s="78">
        <f t="shared" si="205"/>
        <v>195.80645161290192</v>
      </c>
      <c r="EI78" s="169">
        <v>2049</v>
      </c>
      <c r="EJ78" s="169">
        <v>1985</v>
      </c>
      <c r="EK78" s="169"/>
      <c r="EL78" s="169"/>
      <c r="EM78" s="169"/>
      <c r="EN78" s="169"/>
      <c r="EO78" s="169">
        <v>2369</v>
      </c>
      <c r="EP78" s="169">
        <v>2051</v>
      </c>
      <c r="EQ78" s="175">
        <f t="shared" si="150"/>
        <v>6230</v>
      </c>
      <c r="ER78" s="2">
        <f t="shared" si="206"/>
        <v>6461.4</v>
      </c>
      <c r="ES78" s="262">
        <f t="shared" si="98"/>
        <v>1.0371428571428571</v>
      </c>
      <c r="ET78" s="262"/>
      <c r="EU78" s="262"/>
      <c r="EV78" s="262"/>
      <c r="EW78" s="598"/>
      <c r="EX78" s="598"/>
      <c r="EY78" s="1126"/>
      <c r="EZ78" s="598"/>
      <c r="FA78" s="598"/>
      <c r="FB78" s="598"/>
      <c r="FC78" s="598"/>
      <c r="FD78" s="598"/>
      <c r="FE78" s="979"/>
      <c r="FF78" s="1048"/>
      <c r="FG78" s="518"/>
      <c r="FH78" s="598"/>
      <c r="FI78" s="310">
        <f t="shared" si="207"/>
        <v>318</v>
      </c>
      <c r="FJ78" s="2">
        <f t="shared" si="208"/>
        <v>318</v>
      </c>
      <c r="FK78" s="1048"/>
      <c r="FL78" s="519"/>
      <c r="FM78" s="518"/>
      <c r="FN78" s="518"/>
      <c r="FO78" s="518"/>
      <c r="FP78" s="518"/>
      <c r="FQ78" s="518"/>
      <c r="FR78" s="518"/>
      <c r="FS78" s="1049"/>
      <c r="FT78" s="518"/>
      <c r="FU78" s="518"/>
      <c r="FV78" s="518"/>
      <c r="FW78" s="518"/>
      <c r="FX78" s="518"/>
      <c r="FY78" s="518"/>
      <c r="FZ78" s="115"/>
      <c r="GA78" s="115"/>
      <c r="GB78" s="115"/>
      <c r="GC78" s="115"/>
      <c r="GD78" s="115"/>
      <c r="GE78" s="115"/>
      <c r="GF78" s="115"/>
      <c r="GG78" s="115"/>
      <c r="GH78" s="115"/>
      <c r="GI78" s="115"/>
      <c r="GJ78" s="115"/>
      <c r="GK78" s="1425"/>
      <c r="GL78" s="115"/>
      <c r="GM78" s="115"/>
      <c r="GN78" s="115"/>
      <c r="GO78" s="115"/>
      <c r="GP78" s="310">
        <f t="shared" si="209"/>
        <v>139.07274795877362</v>
      </c>
      <c r="GQ78" s="115"/>
      <c r="GR78" s="115"/>
      <c r="GS78" s="115"/>
      <c r="GT78" s="115"/>
      <c r="GU78" s="991"/>
      <c r="GW78" s="1063">
        <f>(GW77+GW79)/2</f>
        <v>334.54999999999995</v>
      </c>
      <c r="GX78" s="115"/>
      <c r="GY78" s="615">
        <f t="shared" si="210"/>
        <v>280.69055727554183</v>
      </c>
      <c r="GZ78" s="115"/>
      <c r="HA78" s="115"/>
      <c r="HB78" s="115"/>
      <c r="HC78" s="1051"/>
      <c r="HD78" s="170">
        <f t="shared" si="147"/>
        <v>254</v>
      </c>
      <c r="HE78" s="301">
        <f t="shared" si="151"/>
        <v>320</v>
      </c>
      <c r="HF78" s="301">
        <f t="shared" si="152"/>
        <v>66</v>
      </c>
      <c r="HG78" s="170">
        <f t="shared" si="211"/>
        <v>0</v>
      </c>
      <c r="HH78" s="301">
        <v>0</v>
      </c>
      <c r="HI78" s="301">
        <v>0</v>
      </c>
      <c r="HJ78" s="2">
        <v>0</v>
      </c>
      <c r="HK78" s="2">
        <v>0</v>
      </c>
      <c r="HL78" s="2">
        <v>0</v>
      </c>
      <c r="HM78" s="2">
        <f t="shared" si="212"/>
        <v>0</v>
      </c>
      <c r="HN78" s="2">
        <v>0</v>
      </c>
      <c r="HO78" s="2">
        <v>0</v>
      </c>
      <c r="HP78" s="2">
        <v>0</v>
      </c>
      <c r="HQ78" s="2">
        <v>0</v>
      </c>
      <c r="HR78" s="2">
        <v>0</v>
      </c>
      <c r="HS78" s="1052">
        <v>0</v>
      </c>
      <c r="HT78" s="1002">
        <v>25.3</v>
      </c>
      <c r="HU78" s="1002">
        <f t="shared" si="213"/>
        <v>3.0913183279742764</v>
      </c>
      <c r="HV78" s="1002">
        <f t="shared" si="214"/>
        <v>3.5794212218649517</v>
      </c>
    </row>
    <row r="79" spans="1:230">
      <c r="A79" s="530" t="s">
        <v>652</v>
      </c>
      <c r="B79" s="176">
        <f t="shared" si="158"/>
        <v>5247</v>
      </c>
      <c r="C79" s="177">
        <f>HD79+HG79+HJ79</f>
        <v>246</v>
      </c>
      <c r="D79" s="176">
        <f t="shared" si="159"/>
        <v>5001</v>
      </c>
      <c r="E79" s="154">
        <f t="shared" si="160"/>
        <v>5436</v>
      </c>
      <c r="F79" s="995">
        <f t="shared" si="161"/>
        <v>435</v>
      </c>
      <c r="G79" s="531">
        <f t="shared" si="162"/>
        <v>5793</v>
      </c>
      <c r="H79" s="531">
        <f t="shared" si="163"/>
        <v>5547</v>
      </c>
      <c r="I79" s="531">
        <f t="shared" si="164"/>
        <v>5982</v>
      </c>
      <c r="J79" s="548">
        <f t="shared" si="165"/>
        <v>0.90872617853560678</v>
      </c>
      <c r="K79" s="515">
        <f t="shared" si="215"/>
        <v>370</v>
      </c>
      <c r="L79" s="175">
        <v>494</v>
      </c>
      <c r="M79" s="175">
        <v>124</v>
      </c>
      <c r="N79" s="111"/>
      <c r="O79" s="111"/>
      <c r="P79" s="111"/>
      <c r="Q79" s="111"/>
      <c r="R79" s="111"/>
      <c r="S79" s="532">
        <f t="shared" si="149"/>
        <v>7.5866311256920241E-2</v>
      </c>
      <c r="T79" s="1008">
        <f t="shared" si="166"/>
        <v>92.840000000000018</v>
      </c>
      <c r="U79" s="1010">
        <f t="shared" si="167"/>
        <v>92.840000000000018</v>
      </c>
      <c r="V79" s="511">
        <f t="shared" si="168"/>
        <v>147.20000000000002</v>
      </c>
      <c r="W79" s="2">
        <f t="shared" si="169"/>
        <v>147.20000000000002</v>
      </c>
      <c r="X79" s="169">
        <f t="shared" si="170"/>
        <v>54.36</v>
      </c>
      <c r="Y79" s="113">
        <f t="shared" si="171"/>
        <v>0.3692934782608695</v>
      </c>
      <c r="Z79" s="113">
        <f t="shared" si="172"/>
        <v>0.3692934782608695</v>
      </c>
      <c r="AA79" s="113"/>
      <c r="AB79" s="1019">
        <v>0.01</v>
      </c>
      <c r="AC79" s="113"/>
      <c r="AD79" s="113"/>
      <c r="AE79" s="113"/>
      <c r="AF79" s="113"/>
      <c r="AG79" s="113"/>
      <c r="AH79" s="113"/>
      <c r="AI79" s="113"/>
      <c r="AJ79" s="171">
        <f t="shared" si="173"/>
        <v>1169.9223216299526</v>
      </c>
      <c r="AK79" s="1026">
        <f t="shared" si="174"/>
        <v>290.7</v>
      </c>
      <c r="AL79" s="169">
        <f t="shared" si="175"/>
        <v>1231.4971806631081</v>
      </c>
      <c r="AM79" s="169">
        <f t="shared" si="216"/>
        <v>306</v>
      </c>
      <c r="AN79" s="169">
        <f t="shared" si="176"/>
        <v>730.42514096684454</v>
      </c>
      <c r="AO79" s="1027">
        <f t="shared" si="140"/>
        <v>792</v>
      </c>
      <c r="AP79" s="169">
        <v>224</v>
      </c>
      <c r="AQ79" s="169">
        <v>40</v>
      </c>
      <c r="AR79" s="78">
        <f t="shared" si="217"/>
        <v>184</v>
      </c>
      <c r="AS79" s="169">
        <v>752</v>
      </c>
      <c r="AT79" s="169">
        <v>161</v>
      </c>
      <c r="AU79" s="169">
        <v>591</v>
      </c>
      <c r="AV79" s="112"/>
      <c r="AW79" s="175">
        <f t="shared" si="143"/>
        <v>621</v>
      </c>
      <c r="AX79" s="169">
        <v>621</v>
      </c>
      <c r="AY79" s="169"/>
      <c r="AZ79" s="170">
        <v>20</v>
      </c>
      <c r="BA79" s="113">
        <f t="shared" ref="BA79:BA105" si="219">AU79/(AU79+AW79+BJ79-BK79-DJ79)</f>
        <v>0.13862826046162507</v>
      </c>
      <c r="BB79" s="170"/>
      <c r="BC79" s="112"/>
      <c r="BD79" s="112"/>
      <c r="BE79" s="112"/>
      <c r="BF79" s="170">
        <v>98</v>
      </c>
      <c r="BG79" s="113">
        <f t="shared" ref="BG79:BG97" si="220">BF79/AR79</f>
        <v>0.53260869565217395</v>
      </c>
      <c r="BH79" s="112"/>
      <c r="BI79" s="1031">
        <v>3449</v>
      </c>
      <c r="BJ79" s="2">
        <f t="shared" si="177"/>
        <v>3449</v>
      </c>
      <c r="BK79" s="169">
        <v>105</v>
      </c>
      <c r="BL79" s="169">
        <f t="shared" si="178"/>
        <v>306</v>
      </c>
      <c r="BM79" s="1031">
        <f t="shared" si="179"/>
        <v>439.49718066310805</v>
      </c>
      <c r="BN79" s="310">
        <f t="shared" si="180"/>
        <v>334.49718066310805</v>
      </c>
      <c r="BO79" s="262">
        <f t="shared" si="181"/>
        <v>0.13920814579127969</v>
      </c>
      <c r="BP79" s="262">
        <f t="shared" si="182"/>
        <v>0.15094339622641509</v>
      </c>
      <c r="BQ79" s="262">
        <f t="shared" si="183"/>
        <v>8.3761612476292754E-2</v>
      </c>
      <c r="BR79" s="262">
        <f t="shared" si="184"/>
        <v>0.12742742263354828</v>
      </c>
      <c r="BS79" s="988">
        <f t="shared" si="185"/>
        <v>0.55492068265543948</v>
      </c>
      <c r="BT79" s="534">
        <f t="shared" si="186"/>
        <v>61.574859033155406</v>
      </c>
      <c r="BU79" s="534">
        <f t="shared" si="187"/>
        <v>15.3</v>
      </c>
      <c r="BV79" s="113">
        <v>0.05</v>
      </c>
      <c r="BW79" s="276">
        <f t="shared" si="188"/>
        <v>1.1327236761066116E-2</v>
      </c>
      <c r="BX79" s="272">
        <f t="shared" si="189"/>
        <v>115.9348590331554</v>
      </c>
      <c r="BY79" s="113"/>
      <c r="BZ79" s="1035"/>
      <c r="CA79" s="1038"/>
      <c r="CB79" s="2">
        <f t="shared" ref="CB79:CB124" si="221">$BJ79+$AP79+$AS79+$AV79+$AX79+$AY79+$AZ79+$C79-$CI79</f>
        <v>4877</v>
      </c>
      <c r="CC79" s="2">
        <f t="shared" ref="CC79:CC124" si="222">BJ79+AP79+AS79+AV79+AX79+AY79+AZ79+K79+C79-CI79</f>
        <v>5247</v>
      </c>
      <c r="CD79" s="310">
        <f t="shared" si="190"/>
        <v>5247</v>
      </c>
      <c r="CE79" s="310">
        <f t="shared" si="191"/>
        <v>5001</v>
      </c>
      <c r="CF79" s="598"/>
      <c r="CG79" s="598"/>
      <c r="CH79" s="598"/>
      <c r="CI79" s="577">
        <v>435</v>
      </c>
      <c r="CJ79" s="577"/>
      <c r="CK79" s="577"/>
      <c r="CL79" s="517">
        <f t="shared" si="192"/>
        <v>3075.4376783700473</v>
      </c>
      <c r="CM79" s="169">
        <f t="shared" si="193"/>
        <v>3374.5028193368917</v>
      </c>
      <c r="CN79" s="170">
        <f t="shared" si="194"/>
        <v>657.8</v>
      </c>
      <c r="CO79" s="170">
        <f t="shared" si="195"/>
        <v>657.8</v>
      </c>
      <c r="CP79" s="170">
        <f t="shared" si="196"/>
        <v>2716.7028193368919</v>
      </c>
      <c r="CQ79" s="170">
        <f t="shared" si="197"/>
        <v>299.06514096684458</v>
      </c>
      <c r="CR79" s="170"/>
      <c r="CS79" s="113">
        <f t="shared" si="198"/>
        <v>5.5015662429515194E-2</v>
      </c>
      <c r="CT79" s="112"/>
      <c r="CU79" s="112"/>
      <c r="CV79" s="112"/>
      <c r="CW79" s="112"/>
      <c r="CX79" s="112"/>
      <c r="CY79" s="112"/>
      <c r="CZ79" s="112"/>
      <c r="DA79" s="112"/>
      <c r="DB79" s="112"/>
      <c r="DC79" s="112"/>
      <c r="DD79" s="112"/>
      <c r="DE79" s="112"/>
      <c r="DF79" s="112"/>
      <c r="DG79" s="112"/>
      <c r="DH79" s="516">
        <f t="shared" si="146"/>
        <v>292.8</v>
      </c>
      <c r="DI79" s="2">
        <f t="shared" si="199"/>
        <v>312.8</v>
      </c>
      <c r="DJ79" s="169">
        <f t="shared" si="200"/>
        <v>292.8</v>
      </c>
      <c r="DK79" s="169">
        <f t="shared" ref="DK79:DK106" si="223">AZ79</f>
        <v>20</v>
      </c>
      <c r="DL79" s="113">
        <f t="shared" si="201"/>
        <v>5.5803316180674675E-2</v>
      </c>
      <c r="DM79" s="113">
        <f t="shared" si="202"/>
        <v>8.4894172223832998E-2</v>
      </c>
      <c r="DN79" s="113">
        <v>0.6</v>
      </c>
      <c r="DO79" s="113"/>
      <c r="DP79" s="113"/>
      <c r="DQ79" s="272">
        <v>488</v>
      </c>
      <c r="DR79" s="169"/>
      <c r="DS79" s="169"/>
      <c r="DT79" s="78">
        <f t="shared" si="96"/>
        <v>488</v>
      </c>
      <c r="DU79" s="175">
        <f t="shared" si="97"/>
        <v>4875.3999999999996</v>
      </c>
      <c r="DV79" s="169">
        <v>5020</v>
      </c>
      <c r="DW79" s="170">
        <f t="shared" si="203"/>
        <v>526.6</v>
      </c>
      <c r="DX79" s="534">
        <f t="shared" si="89"/>
        <v>626.6</v>
      </c>
      <c r="DY79" s="534">
        <f t="shared" si="90"/>
        <v>492.7</v>
      </c>
      <c r="DZ79" s="113">
        <v>1.3</v>
      </c>
      <c r="EA79" s="169">
        <v>482</v>
      </c>
      <c r="EB79" s="169">
        <v>379</v>
      </c>
      <c r="EC79" s="175">
        <f t="shared" si="218"/>
        <v>133.90000000000003</v>
      </c>
      <c r="ED79" s="175">
        <v>0</v>
      </c>
      <c r="EE79" s="175">
        <f t="shared" si="204"/>
        <v>133.90000000000003</v>
      </c>
      <c r="EF79" s="175"/>
      <c r="EG79" s="169">
        <v>-100</v>
      </c>
      <c r="EH79" s="78">
        <f t="shared" si="205"/>
        <v>191.60000000000002</v>
      </c>
      <c r="EI79" s="169">
        <v>2128</v>
      </c>
      <c r="EJ79" s="169">
        <v>2036</v>
      </c>
      <c r="EK79" s="169"/>
      <c r="EL79" s="169"/>
      <c r="EM79" s="169"/>
      <c r="EN79" s="169"/>
      <c r="EO79" s="169">
        <v>2445</v>
      </c>
      <c r="EP79" s="169">
        <v>2107</v>
      </c>
      <c r="EQ79" s="175">
        <f t="shared" si="150"/>
        <v>5982</v>
      </c>
      <c r="ER79" s="2">
        <f t="shared" si="206"/>
        <v>5436</v>
      </c>
      <c r="ES79" s="262">
        <f t="shared" si="98"/>
        <v>0.90872617853560678</v>
      </c>
      <c r="ET79" s="262"/>
      <c r="EU79" s="262"/>
      <c r="EV79" s="262"/>
      <c r="EW79" s="598"/>
      <c r="EX79" s="598"/>
      <c r="EY79" s="1126"/>
      <c r="EZ79" s="598"/>
      <c r="FA79" s="598"/>
      <c r="FB79" s="598"/>
      <c r="FC79" s="598"/>
      <c r="FD79" s="598"/>
      <c r="FE79" s="979"/>
      <c r="FF79" s="1048"/>
      <c r="FG79" s="518"/>
      <c r="FH79" s="598"/>
      <c r="FI79" s="310">
        <f t="shared" si="207"/>
        <v>338</v>
      </c>
      <c r="FJ79" s="2">
        <f t="shared" si="208"/>
        <v>338</v>
      </c>
      <c r="FK79" s="273">
        <f t="shared" ref="FK79:FK142" si="224">FL79</f>
        <v>-63</v>
      </c>
      <c r="FL79" s="519">
        <v>-63</v>
      </c>
      <c r="FM79" s="518"/>
      <c r="FN79" s="518"/>
      <c r="FO79" s="518"/>
      <c r="FP79" s="518"/>
      <c r="FQ79" s="518"/>
      <c r="FR79" s="518"/>
      <c r="FS79" s="1049"/>
      <c r="FT79" s="310">
        <v>252</v>
      </c>
      <c r="FU79" s="518"/>
      <c r="FV79" s="518"/>
      <c r="FW79" s="518"/>
      <c r="FX79" s="518"/>
      <c r="FY79" s="518"/>
      <c r="FZ79" s="115"/>
      <c r="GA79" s="115"/>
      <c r="GB79" s="115"/>
      <c r="GC79" s="115"/>
      <c r="GD79" s="115"/>
      <c r="GE79" s="115"/>
      <c r="GF79" s="115"/>
      <c r="GG79" s="115"/>
      <c r="GH79" s="115"/>
      <c r="GI79" s="115"/>
      <c r="GJ79" s="115"/>
      <c r="GK79" s="1055">
        <f>54+22</f>
        <v>76</v>
      </c>
      <c r="GL79" s="115"/>
      <c r="GM79" s="115"/>
      <c r="GN79" s="115"/>
      <c r="GO79" s="115"/>
      <c r="GP79" s="310">
        <f t="shared" si="209"/>
        <v>133.90000000000003</v>
      </c>
      <c r="GQ79" s="115"/>
      <c r="GR79" s="115"/>
      <c r="GS79" s="115"/>
      <c r="GT79" s="115"/>
      <c r="GU79" s="991">
        <f t="shared" ref="GU79:GU142" si="225">GK79-GP79-GR79</f>
        <v>-57.900000000000034</v>
      </c>
      <c r="GW79" s="1063">
        <f>DataUK4!D231+DataUK4!F231</f>
        <v>339.7</v>
      </c>
      <c r="GX79" s="115"/>
      <c r="GY79" s="615">
        <f t="shared" si="210"/>
        <v>285.0114551083592</v>
      </c>
      <c r="GZ79" s="115"/>
      <c r="HA79" s="115"/>
      <c r="HB79" s="115"/>
      <c r="HC79" s="1051"/>
      <c r="HD79" s="170">
        <f t="shared" si="147"/>
        <v>246</v>
      </c>
      <c r="HE79" s="301">
        <f t="shared" si="151"/>
        <v>317</v>
      </c>
      <c r="HF79" s="301">
        <f t="shared" si="152"/>
        <v>71</v>
      </c>
      <c r="HG79" s="170">
        <f t="shared" si="211"/>
        <v>0</v>
      </c>
      <c r="HH79" s="301">
        <v>0</v>
      </c>
      <c r="HI79" s="301">
        <v>0</v>
      </c>
      <c r="HJ79" s="2">
        <v>0</v>
      </c>
      <c r="HK79" s="2">
        <v>0</v>
      </c>
      <c r="HL79" s="2">
        <v>0</v>
      </c>
      <c r="HM79" s="2">
        <f t="shared" si="212"/>
        <v>0</v>
      </c>
      <c r="HN79" s="2">
        <v>0</v>
      </c>
      <c r="HO79" s="2">
        <v>0</v>
      </c>
      <c r="HP79" s="2">
        <v>0</v>
      </c>
      <c r="HQ79" s="2">
        <v>0</v>
      </c>
      <c r="HR79" s="2">
        <v>0</v>
      </c>
      <c r="HS79" s="1052">
        <v>0</v>
      </c>
      <c r="HT79" s="1002">
        <v>25.3</v>
      </c>
      <c r="HU79" s="1002">
        <f t="shared" si="213"/>
        <v>3.0913183279742764</v>
      </c>
      <c r="HV79" s="1002">
        <f t="shared" si="214"/>
        <v>3.5794212218649517</v>
      </c>
    </row>
    <row r="80" spans="1:230">
      <c r="A80" s="530">
        <v>1921</v>
      </c>
      <c r="B80" s="176">
        <f t="shared" si="158"/>
        <v>4301</v>
      </c>
      <c r="C80" s="177">
        <f t="shared" si="145"/>
        <v>178</v>
      </c>
      <c r="D80" s="176">
        <f t="shared" si="159"/>
        <v>4123</v>
      </c>
      <c r="E80" s="154">
        <f t="shared" si="160"/>
        <v>4475</v>
      </c>
      <c r="F80" s="995">
        <f t="shared" si="161"/>
        <v>352</v>
      </c>
      <c r="G80" s="531">
        <f t="shared" si="162"/>
        <v>4960</v>
      </c>
      <c r="H80" s="531">
        <f t="shared" si="163"/>
        <v>4782</v>
      </c>
      <c r="I80" s="531">
        <f t="shared" si="164"/>
        <v>5134</v>
      </c>
      <c r="J80" s="548">
        <f t="shared" si="165"/>
        <v>0.87164004674717566</v>
      </c>
      <c r="K80" s="515">
        <f t="shared" si="215"/>
        <v>402</v>
      </c>
      <c r="L80" s="175">
        <v>530</v>
      </c>
      <c r="M80" s="175">
        <v>128</v>
      </c>
      <c r="N80" s="111"/>
      <c r="O80" s="111"/>
      <c r="P80" s="111"/>
      <c r="Q80" s="111"/>
      <c r="R80" s="111"/>
      <c r="S80" s="532">
        <f t="shared" si="149"/>
        <v>0.10310335983585535</v>
      </c>
      <c r="T80" s="1008">
        <f t="shared" si="166"/>
        <v>124.05000000000001</v>
      </c>
      <c r="U80" s="1010">
        <f t="shared" si="167"/>
        <v>124.05000000000001</v>
      </c>
      <c r="V80" s="511">
        <f t="shared" si="168"/>
        <v>168.8</v>
      </c>
      <c r="W80" s="2">
        <f t="shared" si="169"/>
        <v>168.8</v>
      </c>
      <c r="X80" s="169">
        <f t="shared" si="170"/>
        <v>44.75</v>
      </c>
      <c r="Y80" s="113">
        <f t="shared" si="171"/>
        <v>0.26510663507109</v>
      </c>
      <c r="Z80" s="113">
        <f t="shared" si="172"/>
        <v>0.26510663507109</v>
      </c>
      <c r="AA80" s="113"/>
      <c r="AB80" s="1019">
        <v>0.01</v>
      </c>
      <c r="AC80" s="113"/>
      <c r="AD80" s="113"/>
      <c r="AE80" s="113"/>
      <c r="AF80" s="113"/>
      <c r="AG80" s="113"/>
      <c r="AH80" s="113"/>
      <c r="AI80" s="113"/>
      <c r="AJ80" s="171">
        <f t="shared" si="173"/>
        <v>973.458093376438</v>
      </c>
      <c r="AK80" s="1026">
        <f t="shared" si="174"/>
        <v>257.45</v>
      </c>
      <c r="AL80" s="169">
        <f t="shared" si="175"/>
        <v>1024.6927298699347</v>
      </c>
      <c r="AM80" s="169">
        <f t="shared" si="216"/>
        <v>271</v>
      </c>
      <c r="AN80" s="169">
        <f t="shared" si="176"/>
        <v>607.76536350650326</v>
      </c>
      <c r="AO80" s="1027">
        <f t="shared" si="140"/>
        <v>659</v>
      </c>
      <c r="AP80" s="169">
        <v>252</v>
      </c>
      <c r="AQ80" s="169">
        <v>41</v>
      </c>
      <c r="AR80" s="78">
        <f t="shared" si="217"/>
        <v>211</v>
      </c>
      <c r="AS80" s="169">
        <v>618</v>
      </c>
      <c r="AT80" s="169">
        <v>124</v>
      </c>
      <c r="AU80" s="169">
        <v>494</v>
      </c>
      <c r="AV80" s="112"/>
      <c r="AW80" s="175">
        <f t="shared" si="143"/>
        <v>343</v>
      </c>
      <c r="AX80" s="169">
        <v>343</v>
      </c>
      <c r="AY80" s="169"/>
      <c r="AZ80" s="170">
        <v>25</v>
      </c>
      <c r="BA80" s="113">
        <f t="shared" si="219"/>
        <v>0.15095031473446191</v>
      </c>
      <c r="BB80" s="170"/>
      <c r="BC80" s="112"/>
      <c r="BD80" s="112"/>
      <c r="BE80" s="112"/>
      <c r="BF80" s="170">
        <v>115</v>
      </c>
      <c r="BG80" s="113">
        <f t="shared" si="220"/>
        <v>0.54502369668246442</v>
      </c>
      <c r="BH80" s="112"/>
      <c r="BI80" s="1031">
        <v>2835</v>
      </c>
      <c r="BJ80" s="2">
        <f t="shared" si="177"/>
        <v>2835</v>
      </c>
      <c r="BK80" s="169">
        <v>106</v>
      </c>
      <c r="BL80" s="169">
        <f t="shared" si="178"/>
        <v>271</v>
      </c>
      <c r="BM80" s="1031">
        <f t="shared" si="179"/>
        <v>365.69272986993462</v>
      </c>
      <c r="BN80" s="310">
        <f t="shared" si="180"/>
        <v>259.69272986993462</v>
      </c>
      <c r="BO80" s="262">
        <f t="shared" si="181"/>
        <v>0.14130791990386032</v>
      </c>
      <c r="BP80" s="262">
        <f t="shared" si="182"/>
        <v>0.15322018135317367</v>
      </c>
      <c r="BQ80" s="262">
        <f t="shared" si="183"/>
        <v>8.5025047633093376E-2</v>
      </c>
      <c r="BR80" s="262">
        <f t="shared" si="184"/>
        <v>0.12899214457493285</v>
      </c>
      <c r="BS80" s="988">
        <f t="shared" si="185"/>
        <v>0.55492068265543948</v>
      </c>
      <c r="BT80" s="534">
        <f t="shared" si="186"/>
        <v>51.234636493496737</v>
      </c>
      <c r="BU80" s="534">
        <f t="shared" si="187"/>
        <v>13.55</v>
      </c>
      <c r="BV80" s="113">
        <v>0.05</v>
      </c>
      <c r="BW80" s="276">
        <f t="shared" si="188"/>
        <v>1.1449080780669661E-2</v>
      </c>
      <c r="BX80" s="272">
        <f t="shared" si="189"/>
        <v>95.984636493496737</v>
      </c>
      <c r="BY80" s="113"/>
      <c r="BZ80" s="1035"/>
      <c r="CA80" s="1038"/>
      <c r="CB80" s="2">
        <f t="shared" si="221"/>
        <v>3899</v>
      </c>
      <c r="CC80" s="2">
        <f t="shared" si="222"/>
        <v>4301</v>
      </c>
      <c r="CD80" s="310">
        <f t="shared" si="190"/>
        <v>4301</v>
      </c>
      <c r="CE80" s="310">
        <f t="shared" si="191"/>
        <v>4123</v>
      </c>
      <c r="CF80" s="598"/>
      <c r="CG80" s="598"/>
      <c r="CH80" s="598"/>
      <c r="CI80" s="577">
        <v>352</v>
      </c>
      <c r="CJ80" s="577"/>
      <c r="CK80" s="577"/>
      <c r="CL80" s="517">
        <f t="shared" si="192"/>
        <v>2330.091906623562</v>
      </c>
      <c r="CM80" s="169">
        <f t="shared" si="193"/>
        <v>2561.1072701300654</v>
      </c>
      <c r="CN80" s="170">
        <f t="shared" si="194"/>
        <v>385.20000000000005</v>
      </c>
      <c r="CO80" s="170">
        <f t="shared" si="195"/>
        <v>385.20000000000005</v>
      </c>
      <c r="CP80" s="170">
        <f t="shared" si="196"/>
        <v>2175.9072701300652</v>
      </c>
      <c r="CQ80" s="170">
        <f t="shared" si="197"/>
        <v>231.01536350650326</v>
      </c>
      <c r="CR80" s="170"/>
      <c r="CS80" s="113">
        <f t="shared" si="198"/>
        <v>5.1623544917654363E-2</v>
      </c>
      <c r="CT80" s="112"/>
      <c r="CU80" s="112"/>
      <c r="CV80" s="112"/>
      <c r="CW80" s="112"/>
      <c r="CX80" s="112"/>
      <c r="CY80" s="112"/>
      <c r="CZ80" s="112"/>
      <c r="DA80" s="112"/>
      <c r="DB80" s="112"/>
      <c r="DC80" s="112"/>
      <c r="DD80" s="112"/>
      <c r="DE80" s="112"/>
      <c r="DF80" s="112"/>
      <c r="DG80" s="112"/>
      <c r="DH80" s="516">
        <f t="shared" si="146"/>
        <v>293.39999999999998</v>
      </c>
      <c r="DI80" s="2">
        <f t="shared" si="199"/>
        <v>318.39999999999998</v>
      </c>
      <c r="DJ80" s="169">
        <f t="shared" si="200"/>
        <v>293.39999999999998</v>
      </c>
      <c r="DK80" s="169">
        <f t="shared" si="223"/>
        <v>25</v>
      </c>
      <c r="DL80" s="113">
        <f t="shared" si="201"/>
        <v>6.8216693792141361E-2</v>
      </c>
      <c r="DM80" s="113">
        <f t="shared" si="202"/>
        <v>0.10349206349206348</v>
      </c>
      <c r="DN80" s="113">
        <v>0.6</v>
      </c>
      <c r="DO80" s="113"/>
      <c r="DP80" s="113"/>
      <c r="DQ80" s="272">
        <v>489</v>
      </c>
      <c r="DR80" s="169"/>
      <c r="DS80" s="169"/>
      <c r="DT80" s="78">
        <f t="shared" si="96"/>
        <v>489</v>
      </c>
      <c r="DU80" s="175">
        <f t="shared" si="97"/>
        <v>4177.6000000000004</v>
      </c>
      <c r="DV80" s="169">
        <v>4315</v>
      </c>
      <c r="DW80" s="170">
        <f t="shared" si="203"/>
        <v>495.4</v>
      </c>
      <c r="DX80" s="534">
        <f t="shared" si="89"/>
        <v>595.4</v>
      </c>
      <c r="DY80" s="534">
        <f t="shared" si="90"/>
        <v>388.7</v>
      </c>
      <c r="DZ80" s="113">
        <f>DZ79+(DZ$106-DZ$79)/27</f>
        <v>1.3</v>
      </c>
      <c r="EA80" s="169">
        <v>458</v>
      </c>
      <c r="EB80" s="169">
        <v>299</v>
      </c>
      <c r="EC80" s="175">
        <f t="shared" si="218"/>
        <v>206.7</v>
      </c>
      <c r="ED80" s="175">
        <v>0</v>
      </c>
      <c r="EE80" s="175">
        <f t="shared" si="204"/>
        <v>206.7</v>
      </c>
      <c r="EF80" s="175"/>
      <c r="EG80" s="169">
        <v>-100</v>
      </c>
      <c r="EH80" s="78">
        <f t="shared" si="205"/>
        <v>243.39999999999998</v>
      </c>
      <c r="EI80" s="169">
        <v>1166</v>
      </c>
      <c r="EJ80" s="169">
        <v>1194</v>
      </c>
      <c r="EK80" s="169"/>
      <c r="EL80" s="169"/>
      <c r="EM80" s="169"/>
      <c r="EN80" s="169"/>
      <c r="EO80" s="169">
        <v>1405</v>
      </c>
      <c r="EP80" s="169">
        <v>1255</v>
      </c>
      <c r="EQ80" s="175">
        <f t="shared" si="150"/>
        <v>5134</v>
      </c>
      <c r="ER80" s="2">
        <f t="shared" si="206"/>
        <v>4475</v>
      </c>
      <c r="ES80" s="262">
        <f t="shared" si="98"/>
        <v>0.87164004674717566</v>
      </c>
      <c r="ET80" s="262"/>
      <c r="EU80" s="262"/>
      <c r="EV80" s="262"/>
      <c r="EW80" s="598"/>
      <c r="EX80" s="598"/>
      <c r="EY80" s="1126"/>
      <c r="EZ80" s="598"/>
      <c r="FA80" s="598"/>
      <c r="FB80" s="598"/>
      <c r="FC80" s="598"/>
      <c r="FD80" s="598"/>
      <c r="FE80" s="979"/>
      <c r="FF80" s="1048"/>
      <c r="FG80" s="518"/>
      <c r="FH80" s="598"/>
      <c r="FI80" s="310">
        <f t="shared" si="207"/>
        <v>150</v>
      </c>
      <c r="FJ80" s="2">
        <f t="shared" si="208"/>
        <v>150</v>
      </c>
      <c r="FK80" s="273">
        <f t="shared" si="224"/>
        <v>-47</v>
      </c>
      <c r="FL80" s="519">
        <v>-47</v>
      </c>
      <c r="FM80" s="518"/>
      <c r="FN80" s="518"/>
      <c r="FO80" s="518"/>
      <c r="FP80" s="518"/>
      <c r="FQ80" s="518"/>
      <c r="FR80" s="518"/>
      <c r="FS80" s="1049"/>
      <c r="FT80" s="310">
        <v>66</v>
      </c>
      <c r="FU80" s="518"/>
      <c r="FV80" s="518"/>
      <c r="FW80" s="518"/>
      <c r="FX80" s="518"/>
      <c r="FY80" s="518"/>
      <c r="FZ80" s="115"/>
      <c r="GA80" s="115"/>
      <c r="GB80" s="115"/>
      <c r="GC80" s="115"/>
      <c r="GD80" s="115"/>
      <c r="GE80" s="115"/>
      <c r="GF80" s="115"/>
      <c r="GG80" s="115"/>
      <c r="GH80" s="115"/>
      <c r="GI80" s="115"/>
      <c r="GJ80" s="115"/>
      <c r="GK80" s="1055">
        <f>10+30</f>
        <v>40</v>
      </c>
      <c r="GL80" s="115"/>
      <c r="GM80" s="115"/>
      <c r="GN80" s="115"/>
      <c r="GO80" s="115"/>
      <c r="GP80" s="310">
        <f t="shared" si="209"/>
        <v>206.7</v>
      </c>
      <c r="GQ80" s="115"/>
      <c r="GR80" s="115"/>
      <c r="GS80" s="115"/>
      <c r="GT80" s="115"/>
      <c r="GU80" s="991">
        <f t="shared" si="225"/>
        <v>-166.7</v>
      </c>
      <c r="GW80" s="1063">
        <f>DataUK4!D232+DataUK4!F232</f>
        <v>320.59999999999997</v>
      </c>
      <c r="GX80" s="115"/>
      <c r="GY80" s="615">
        <f t="shared" si="210"/>
        <v>268.98637770897835</v>
      </c>
      <c r="GZ80" s="115"/>
      <c r="HA80" s="115"/>
      <c r="HB80" s="115"/>
      <c r="HC80" s="1051"/>
      <c r="HD80" s="170">
        <f t="shared" si="147"/>
        <v>178</v>
      </c>
      <c r="HE80" s="301">
        <f t="shared" si="151"/>
        <v>239</v>
      </c>
      <c r="HF80" s="301">
        <f t="shared" si="152"/>
        <v>61</v>
      </c>
      <c r="HG80" s="170">
        <f t="shared" si="211"/>
        <v>0</v>
      </c>
      <c r="HH80" s="301">
        <v>0</v>
      </c>
      <c r="HI80" s="301">
        <v>0</v>
      </c>
      <c r="HJ80" s="2">
        <v>0</v>
      </c>
      <c r="HK80" s="2">
        <v>0</v>
      </c>
      <c r="HL80" s="2">
        <v>0</v>
      </c>
      <c r="HM80" s="2">
        <f t="shared" si="212"/>
        <v>0</v>
      </c>
      <c r="HN80" s="2">
        <v>0</v>
      </c>
      <c r="HO80" s="2">
        <v>0</v>
      </c>
      <c r="HP80" s="2">
        <v>0</v>
      </c>
      <c r="HQ80" s="2">
        <v>0</v>
      </c>
      <c r="HR80" s="2">
        <v>0</v>
      </c>
      <c r="HS80" s="1052">
        <v>0</v>
      </c>
      <c r="HT80" s="1002">
        <v>23.1</v>
      </c>
      <c r="HU80" s="1002">
        <f t="shared" si="213"/>
        <v>2.8225080385852088</v>
      </c>
      <c r="HV80" s="1002">
        <f t="shared" si="214"/>
        <v>3.2681672025723474</v>
      </c>
    </row>
    <row r="81" spans="1:230">
      <c r="A81" s="110">
        <v>1922</v>
      </c>
      <c r="B81" s="176">
        <f t="shared" si="158"/>
        <v>4090</v>
      </c>
      <c r="C81" s="177">
        <f t="shared" si="145"/>
        <v>177</v>
      </c>
      <c r="D81" s="176">
        <f t="shared" si="159"/>
        <v>3913</v>
      </c>
      <c r="E81" s="154">
        <f t="shared" si="160"/>
        <v>4227</v>
      </c>
      <c r="F81" s="995">
        <f t="shared" si="161"/>
        <v>314</v>
      </c>
      <c r="G81" s="531">
        <f t="shared" si="162"/>
        <v>4442</v>
      </c>
      <c r="H81" s="531">
        <f t="shared" si="163"/>
        <v>4265</v>
      </c>
      <c r="I81" s="531">
        <f t="shared" si="164"/>
        <v>4579</v>
      </c>
      <c r="J81" s="548">
        <f t="shared" si="165"/>
        <v>0.92312732037562784</v>
      </c>
      <c r="K81" s="515">
        <f t="shared" si="215"/>
        <v>439</v>
      </c>
      <c r="L81" s="175">
        <v>512</v>
      </c>
      <c r="M81" s="175">
        <v>73</v>
      </c>
      <c r="N81" s="111"/>
      <c r="O81" s="111"/>
      <c r="P81" s="111"/>
      <c r="Q81" s="111"/>
      <c r="R81" s="111"/>
      <c r="S81" s="532">
        <f t="shared" si="149"/>
        <v>0.12024102985483429</v>
      </c>
      <c r="T81" s="1008">
        <f t="shared" si="166"/>
        <v>140.13</v>
      </c>
      <c r="U81" s="1010">
        <f t="shared" si="167"/>
        <v>140.13</v>
      </c>
      <c r="V81" s="511">
        <f t="shared" si="168"/>
        <v>182.4</v>
      </c>
      <c r="W81" s="2">
        <f t="shared" si="169"/>
        <v>182.4</v>
      </c>
      <c r="X81" s="169">
        <f t="shared" si="170"/>
        <v>42.27</v>
      </c>
      <c r="Y81" s="113">
        <f t="shared" si="171"/>
        <v>0.2317434210526316</v>
      </c>
      <c r="Z81" s="113">
        <f t="shared" si="172"/>
        <v>0.2317434210526316</v>
      </c>
      <c r="AA81" s="113"/>
      <c r="AB81" s="1019">
        <v>0.01</v>
      </c>
      <c r="AC81" s="113"/>
      <c r="AD81" s="113"/>
      <c r="AE81" s="113"/>
      <c r="AF81" s="113"/>
      <c r="AG81" s="113"/>
      <c r="AH81" s="113"/>
      <c r="AI81" s="113"/>
      <c r="AJ81" s="171">
        <f t="shared" si="173"/>
        <v>986.75266521314188</v>
      </c>
      <c r="AK81" s="1026">
        <f t="shared" si="174"/>
        <v>203.3</v>
      </c>
      <c r="AL81" s="169">
        <f t="shared" si="175"/>
        <v>1038.6870160138335</v>
      </c>
      <c r="AM81" s="169">
        <f t="shared" si="216"/>
        <v>214</v>
      </c>
      <c r="AN81" s="169">
        <f t="shared" si="176"/>
        <v>616.06564919930838</v>
      </c>
      <c r="AO81" s="1027">
        <f t="shared" si="140"/>
        <v>668</v>
      </c>
      <c r="AP81" s="169">
        <v>270</v>
      </c>
      <c r="AQ81" s="169">
        <v>42</v>
      </c>
      <c r="AR81" s="78">
        <f t="shared" si="217"/>
        <v>228</v>
      </c>
      <c r="AS81" s="169">
        <v>626</v>
      </c>
      <c r="AT81" s="169">
        <v>99</v>
      </c>
      <c r="AU81" s="169">
        <v>527</v>
      </c>
      <c r="AV81" s="112"/>
      <c r="AW81" s="175">
        <f t="shared" si="143"/>
        <v>437</v>
      </c>
      <c r="AX81" s="169">
        <v>437</v>
      </c>
      <c r="AY81" s="169"/>
      <c r="AZ81" s="170">
        <v>44</v>
      </c>
      <c r="BA81" s="113">
        <f t="shared" si="219"/>
        <v>0.17329825715225256</v>
      </c>
      <c r="BB81" s="170"/>
      <c r="BC81" s="112"/>
      <c r="BD81" s="112"/>
      <c r="BE81" s="112"/>
      <c r="BF81" s="170">
        <v>109</v>
      </c>
      <c r="BG81" s="113">
        <f t="shared" si="220"/>
        <v>0.47807017543859648</v>
      </c>
      <c r="BH81" s="112"/>
      <c r="BI81" s="1031">
        <v>2411</v>
      </c>
      <c r="BJ81" s="2">
        <f t="shared" si="177"/>
        <v>2411</v>
      </c>
      <c r="BK81" s="169">
        <v>73</v>
      </c>
      <c r="BL81" s="169">
        <f t="shared" si="178"/>
        <v>214</v>
      </c>
      <c r="BM81" s="1031">
        <f t="shared" si="179"/>
        <v>370.68701601383356</v>
      </c>
      <c r="BN81" s="310">
        <f t="shared" si="180"/>
        <v>297.68701601383356</v>
      </c>
      <c r="BO81" s="262">
        <f t="shared" si="181"/>
        <v>0.15062729809274045</v>
      </c>
      <c r="BP81" s="262">
        <f t="shared" si="182"/>
        <v>0.16332518337408314</v>
      </c>
      <c r="BQ81" s="262">
        <f t="shared" si="183"/>
        <v>9.0632522252771047E-2</v>
      </c>
      <c r="BR81" s="262">
        <f t="shared" si="184"/>
        <v>0.15374824388794422</v>
      </c>
      <c r="BS81" s="988">
        <f t="shared" si="185"/>
        <v>0.55492068265543948</v>
      </c>
      <c r="BT81" s="534">
        <f t="shared" si="186"/>
        <v>51.934350800691675</v>
      </c>
      <c r="BU81" s="534">
        <f t="shared" si="187"/>
        <v>10.700000000000001</v>
      </c>
      <c r="BV81" s="113">
        <v>0.05</v>
      </c>
      <c r="BW81" s="276">
        <f t="shared" si="188"/>
        <v>1.2286338017670139E-2</v>
      </c>
      <c r="BX81" s="272">
        <f t="shared" si="189"/>
        <v>94.204350800691685</v>
      </c>
      <c r="BY81" s="113"/>
      <c r="BZ81" s="1035"/>
      <c r="CA81" s="1038"/>
      <c r="CB81" s="2">
        <f t="shared" si="221"/>
        <v>3651</v>
      </c>
      <c r="CC81" s="2">
        <f t="shared" si="222"/>
        <v>4090</v>
      </c>
      <c r="CD81" s="310">
        <f t="shared" si="190"/>
        <v>4090</v>
      </c>
      <c r="CE81" s="310">
        <f t="shared" si="191"/>
        <v>3913</v>
      </c>
      <c r="CF81" s="598"/>
      <c r="CG81" s="598"/>
      <c r="CH81" s="598"/>
      <c r="CI81" s="577">
        <v>314</v>
      </c>
      <c r="CJ81" s="577"/>
      <c r="CK81" s="577"/>
      <c r="CL81" s="517">
        <f t="shared" si="192"/>
        <v>2086.117334786858</v>
      </c>
      <c r="CM81" s="169">
        <f t="shared" si="193"/>
        <v>2261.9129839861662</v>
      </c>
      <c r="CN81" s="170">
        <f t="shared" si="194"/>
        <v>482.59999999999991</v>
      </c>
      <c r="CO81" s="170">
        <f t="shared" si="195"/>
        <v>482.59999999999991</v>
      </c>
      <c r="CP81" s="170">
        <f t="shared" si="196"/>
        <v>1779.3129839861665</v>
      </c>
      <c r="CQ81" s="170">
        <f t="shared" si="197"/>
        <v>175.79564919930834</v>
      </c>
      <c r="CR81" s="170"/>
      <c r="CS81" s="113">
        <f t="shared" si="198"/>
        <v>4.158875069773086E-2</v>
      </c>
      <c r="CT81" s="112"/>
      <c r="CU81" s="112"/>
      <c r="CV81" s="112"/>
      <c r="CW81" s="112"/>
      <c r="CX81" s="112"/>
      <c r="CY81" s="112"/>
      <c r="CZ81" s="112"/>
      <c r="DA81" s="112"/>
      <c r="DB81" s="112"/>
      <c r="DC81" s="112"/>
      <c r="DD81" s="112"/>
      <c r="DE81" s="112"/>
      <c r="DF81" s="112"/>
      <c r="DG81" s="112"/>
      <c r="DH81" s="516">
        <f t="shared" si="146"/>
        <v>261</v>
      </c>
      <c r="DI81" s="2">
        <f t="shared" si="199"/>
        <v>305</v>
      </c>
      <c r="DJ81" s="169">
        <f t="shared" si="200"/>
        <v>261</v>
      </c>
      <c r="DK81" s="169">
        <f t="shared" si="223"/>
        <v>44</v>
      </c>
      <c r="DL81" s="113">
        <f t="shared" si="201"/>
        <v>6.3814180929095354E-2</v>
      </c>
      <c r="DM81" s="113">
        <f t="shared" si="202"/>
        <v>0.10825383658233098</v>
      </c>
      <c r="DN81" s="113">
        <v>0.6</v>
      </c>
      <c r="DO81" s="113"/>
      <c r="DP81" s="113"/>
      <c r="DQ81" s="272">
        <v>435</v>
      </c>
      <c r="DR81" s="169"/>
      <c r="DS81" s="169"/>
      <c r="DT81" s="78">
        <f t="shared" si="96"/>
        <v>435</v>
      </c>
      <c r="DU81" s="175">
        <f t="shared" si="97"/>
        <v>3727.7</v>
      </c>
      <c r="DV81" s="169">
        <v>3842</v>
      </c>
      <c r="DW81" s="170">
        <f t="shared" si="203"/>
        <v>404.3</v>
      </c>
      <c r="DX81" s="534">
        <f t="shared" si="89"/>
        <v>495.3</v>
      </c>
      <c r="DY81" s="534">
        <f t="shared" si="90"/>
        <v>339.3</v>
      </c>
      <c r="DZ81" s="113">
        <f t="shared" ref="DZ81:DZ105" si="226">DZ80+(DZ$106-DZ$79)/27</f>
        <v>1.3</v>
      </c>
      <c r="EA81" s="169">
        <v>381</v>
      </c>
      <c r="EB81" s="169">
        <v>261</v>
      </c>
      <c r="EC81" s="175">
        <f t="shared" si="218"/>
        <v>156</v>
      </c>
      <c r="ED81" s="175">
        <v>0</v>
      </c>
      <c r="EE81" s="175">
        <f t="shared" si="204"/>
        <v>156</v>
      </c>
      <c r="EF81" s="175"/>
      <c r="EG81" s="169">
        <v>-91</v>
      </c>
      <c r="EH81" s="78">
        <f t="shared" si="205"/>
        <v>181.3</v>
      </c>
      <c r="EI81" s="169">
        <v>1113</v>
      </c>
      <c r="EJ81" s="169">
        <v>1101</v>
      </c>
      <c r="EK81" s="169"/>
      <c r="EL81" s="169"/>
      <c r="EM81" s="169"/>
      <c r="EN81" s="169"/>
      <c r="EO81" s="169">
        <v>1369</v>
      </c>
      <c r="EP81" s="169">
        <v>1180</v>
      </c>
      <c r="EQ81" s="175">
        <f t="shared" si="150"/>
        <v>4579</v>
      </c>
      <c r="ER81" s="2">
        <f t="shared" si="206"/>
        <v>4227</v>
      </c>
      <c r="ES81" s="262">
        <f t="shared" si="98"/>
        <v>0.92312732037562784</v>
      </c>
      <c r="ET81" s="262"/>
      <c r="EU81" s="262"/>
      <c r="EV81" s="262"/>
      <c r="EW81" s="598"/>
      <c r="EX81" s="598"/>
      <c r="EY81" s="1126"/>
      <c r="EZ81" s="598"/>
      <c r="FA81" s="598"/>
      <c r="FB81" s="598"/>
      <c r="FC81" s="598"/>
      <c r="FD81" s="598"/>
      <c r="FE81" s="979"/>
      <c r="FF81" s="1048"/>
      <c r="FG81" s="518"/>
      <c r="FH81" s="598"/>
      <c r="FI81" s="310">
        <f t="shared" si="207"/>
        <v>189</v>
      </c>
      <c r="FJ81" s="2">
        <f t="shared" si="208"/>
        <v>189</v>
      </c>
      <c r="FK81" s="273">
        <f t="shared" si="224"/>
        <v>-41</v>
      </c>
      <c r="FL81" s="519">
        <v>-41</v>
      </c>
      <c r="FM81" s="518"/>
      <c r="FN81" s="518"/>
      <c r="FO81" s="518"/>
      <c r="FP81" s="518"/>
      <c r="FQ81" s="518"/>
      <c r="FR81" s="518"/>
      <c r="FS81" s="1049"/>
      <c r="FT81" s="310">
        <v>267</v>
      </c>
      <c r="FU81" s="518"/>
      <c r="FV81" s="518"/>
      <c r="FW81" s="518"/>
      <c r="FX81" s="518"/>
      <c r="FY81" s="518"/>
      <c r="FZ81" s="115"/>
      <c r="GA81" s="115"/>
      <c r="GB81" s="115"/>
      <c r="GC81" s="115"/>
      <c r="GD81" s="115"/>
      <c r="GE81" s="115"/>
      <c r="GF81" s="115"/>
      <c r="GG81" s="115"/>
      <c r="GH81" s="115"/>
      <c r="GI81" s="115"/>
      <c r="GJ81" s="115"/>
      <c r="GK81" s="1055">
        <f>24+39</f>
        <v>63</v>
      </c>
      <c r="GL81" s="115"/>
      <c r="GM81" s="115"/>
      <c r="GN81" s="115"/>
      <c r="GO81" s="115"/>
      <c r="GP81" s="310">
        <f t="shared" si="209"/>
        <v>156</v>
      </c>
      <c r="GQ81" s="115"/>
      <c r="GR81" s="115"/>
      <c r="GS81" s="115"/>
      <c r="GT81" s="115"/>
      <c r="GU81" s="991">
        <f t="shared" si="225"/>
        <v>-93</v>
      </c>
      <c r="GW81" s="1063">
        <f>DataUK4!D233+DataUK4!F233</f>
        <v>320.60000000000002</v>
      </c>
      <c r="GX81" s="115"/>
      <c r="GY81" s="615">
        <f t="shared" si="210"/>
        <v>268.98637770897841</v>
      </c>
      <c r="GZ81" s="115"/>
      <c r="HA81" s="115"/>
      <c r="HB81" s="115"/>
      <c r="HC81" s="1051"/>
      <c r="HD81" s="170">
        <f t="shared" si="147"/>
        <v>177</v>
      </c>
      <c r="HE81" s="301">
        <f t="shared" si="151"/>
        <v>256</v>
      </c>
      <c r="HF81" s="301">
        <f t="shared" si="152"/>
        <v>79</v>
      </c>
      <c r="HG81" s="170">
        <f t="shared" si="211"/>
        <v>0</v>
      </c>
      <c r="HH81" s="301">
        <v>0</v>
      </c>
      <c r="HI81" s="301">
        <v>0</v>
      </c>
      <c r="HJ81" s="2">
        <v>0</v>
      </c>
      <c r="HK81" s="2">
        <v>0</v>
      </c>
      <c r="HL81" s="2">
        <v>0</v>
      </c>
      <c r="HM81" s="2">
        <f t="shared" si="212"/>
        <v>0</v>
      </c>
      <c r="HN81" s="2">
        <v>0</v>
      </c>
      <c r="HO81" s="2">
        <v>0</v>
      </c>
      <c r="HP81" s="2">
        <v>0</v>
      </c>
      <c r="HQ81" s="2">
        <v>0</v>
      </c>
      <c r="HR81" s="2">
        <v>0</v>
      </c>
      <c r="HS81" s="1052">
        <v>0</v>
      </c>
      <c r="HT81" s="1002">
        <v>19.899999999999999</v>
      </c>
      <c r="HU81" s="1002">
        <f t="shared" si="213"/>
        <v>2.4315112540192922</v>
      </c>
      <c r="HV81" s="1002">
        <f t="shared" si="214"/>
        <v>2.8154340836012861</v>
      </c>
    </row>
    <row r="82" spans="1:230">
      <c r="A82" s="110">
        <f t="shared" si="148"/>
        <v>1923</v>
      </c>
      <c r="B82" s="176">
        <f t="shared" si="158"/>
        <v>4040.9999999999995</v>
      </c>
      <c r="C82" s="177">
        <f t="shared" si="145"/>
        <v>176</v>
      </c>
      <c r="D82" s="176">
        <f t="shared" si="159"/>
        <v>3864.9999999999995</v>
      </c>
      <c r="E82" s="154">
        <f t="shared" si="160"/>
        <v>4153</v>
      </c>
      <c r="F82" s="995">
        <f t="shared" si="161"/>
        <v>288</v>
      </c>
      <c r="G82" s="531">
        <f t="shared" si="162"/>
        <v>4273</v>
      </c>
      <c r="H82" s="531">
        <f t="shared" si="163"/>
        <v>4097</v>
      </c>
      <c r="I82" s="531">
        <f t="shared" si="164"/>
        <v>4385</v>
      </c>
      <c r="J82" s="548">
        <f t="shared" si="165"/>
        <v>0.94709236031927024</v>
      </c>
      <c r="K82" s="515">
        <f t="shared" si="215"/>
        <v>454</v>
      </c>
      <c r="L82" s="175">
        <v>480</v>
      </c>
      <c r="M82" s="175">
        <v>26</v>
      </c>
      <c r="N82" s="111"/>
      <c r="O82" s="111"/>
      <c r="P82" s="111"/>
      <c r="Q82" s="111"/>
      <c r="R82" s="111"/>
      <c r="S82" s="532">
        <f t="shared" si="149"/>
        <v>0.12656816281014777</v>
      </c>
      <c r="T82" s="1008">
        <f t="shared" si="166"/>
        <v>138.47</v>
      </c>
      <c r="U82" s="1010">
        <f t="shared" si="167"/>
        <v>138.47</v>
      </c>
      <c r="V82" s="511">
        <f t="shared" si="168"/>
        <v>180</v>
      </c>
      <c r="W82" s="2">
        <f t="shared" si="169"/>
        <v>180</v>
      </c>
      <c r="X82" s="169">
        <f t="shared" si="170"/>
        <v>41.53</v>
      </c>
      <c r="Y82" s="113">
        <f t="shared" si="171"/>
        <v>0.23072222222222222</v>
      </c>
      <c r="Z82" s="113">
        <f t="shared" si="172"/>
        <v>0.23072222222222222</v>
      </c>
      <c r="AA82" s="113"/>
      <c r="AB82" s="1019">
        <v>0.01</v>
      </c>
      <c r="AC82" s="113"/>
      <c r="AD82" s="113"/>
      <c r="AE82" s="113"/>
      <c r="AF82" s="113"/>
      <c r="AG82" s="113"/>
      <c r="AH82" s="113"/>
      <c r="AI82" s="113"/>
      <c r="AJ82" s="171">
        <f t="shared" si="173"/>
        <v>969.02656943086993</v>
      </c>
      <c r="AK82" s="1026">
        <f t="shared" si="174"/>
        <v>175.75</v>
      </c>
      <c r="AL82" s="169">
        <f t="shared" si="175"/>
        <v>1020.0279678219683</v>
      </c>
      <c r="AM82" s="169">
        <f t="shared" si="216"/>
        <v>185</v>
      </c>
      <c r="AN82" s="169">
        <f t="shared" si="176"/>
        <v>604.99860160890159</v>
      </c>
      <c r="AO82" s="1027">
        <f t="shared" si="140"/>
        <v>656</v>
      </c>
      <c r="AP82" s="169">
        <v>267</v>
      </c>
      <c r="AQ82" s="169">
        <v>42</v>
      </c>
      <c r="AR82" s="78">
        <f t="shared" si="217"/>
        <v>225</v>
      </c>
      <c r="AS82" s="169">
        <v>614</v>
      </c>
      <c r="AT82" s="169">
        <v>78</v>
      </c>
      <c r="AU82" s="169">
        <v>536</v>
      </c>
      <c r="AV82" s="112"/>
      <c r="AW82" s="175">
        <f t="shared" si="143"/>
        <v>456</v>
      </c>
      <c r="AX82" s="169">
        <v>456</v>
      </c>
      <c r="AY82" s="169"/>
      <c r="AZ82" s="170">
        <v>44</v>
      </c>
      <c r="BA82" s="113">
        <f t="shared" si="219"/>
        <v>0.17819148936170212</v>
      </c>
      <c r="BB82" s="170"/>
      <c r="BC82" s="112"/>
      <c r="BD82" s="112"/>
      <c r="BE82" s="112"/>
      <c r="BF82" s="170">
        <v>113</v>
      </c>
      <c r="BG82" s="113">
        <f t="shared" si="220"/>
        <v>0.50222222222222224</v>
      </c>
      <c r="BH82" s="112"/>
      <c r="BI82" s="1031">
        <v>2318</v>
      </c>
      <c r="BJ82" s="2">
        <f t="shared" si="177"/>
        <v>2318</v>
      </c>
      <c r="BK82" s="169">
        <v>65</v>
      </c>
      <c r="BL82" s="169">
        <f t="shared" si="178"/>
        <v>185</v>
      </c>
      <c r="BM82" s="1031">
        <f t="shared" si="179"/>
        <v>364.02796782196828</v>
      </c>
      <c r="BN82" s="310">
        <f t="shared" si="180"/>
        <v>299.02796782196828</v>
      </c>
      <c r="BO82" s="262">
        <f t="shared" si="181"/>
        <v>0.14971507092524167</v>
      </c>
      <c r="BP82" s="262">
        <f t="shared" si="182"/>
        <v>0.16233605543182381</v>
      </c>
      <c r="BQ82" s="262">
        <f t="shared" si="183"/>
        <v>9.0083634699818921E-2</v>
      </c>
      <c r="BR82" s="262">
        <f t="shared" si="184"/>
        <v>0.15704398956944274</v>
      </c>
      <c r="BS82" s="988">
        <f t="shared" si="185"/>
        <v>0.55492068265543948</v>
      </c>
      <c r="BT82" s="534">
        <f t="shared" si="186"/>
        <v>51.001398391098419</v>
      </c>
      <c r="BU82" s="534">
        <f t="shared" si="187"/>
        <v>9.25</v>
      </c>
      <c r="BV82" s="113">
        <v>0.05</v>
      </c>
      <c r="BW82" s="276">
        <f t="shared" si="188"/>
        <v>1.2280616034456638E-2</v>
      </c>
      <c r="BX82" s="272">
        <f t="shared" si="189"/>
        <v>92.531398391098421</v>
      </c>
      <c r="BY82" s="113"/>
      <c r="BZ82" s="1035"/>
      <c r="CA82" s="1038"/>
      <c r="CB82" s="2">
        <f t="shared" si="221"/>
        <v>3587</v>
      </c>
      <c r="CC82" s="2">
        <f t="shared" si="222"/>
        <v>4041</v>
      </c>
      <c r="CD82" s="310">
        <f t="shared" si="190"/>
        <v>4041</v>
      </c>
      <c r="CE82" s="310">
        <f t="shared" si="191"/>
        <v>3865</v>
      </c>
      <c r="CF82" s="598"/>
      <c r="CG82" s="598"/>
      <c r="CH82" s="598"/>
      <c r="CI82" s="577">
        <v>288</v>
      </c>
      <c r="CJ82" s="577"/>
      <c r="CK82" s="577"/>
      <c r="CL82" s="517">
        <f t="shared" si="192"/>
        <v>2066.5034305691297</v>
      </c>
      <c r="CM82" s="169">
        <f t="shared" si="193"/>
        <v>2217.9720321780314</v>
      </c>
      <c r="CN82" s="170">
        <f t="shared" si="194"/>
        <v>501</v>
      </c>
      <c r="CO82" s="170">
        <f t="shared" si="195"/>
        <v>501</v>
      </c>
      <c r="CP82" s="170">
        <f t="shared" si="196"/>
        <v>1716.9720321780317</v>
      </c>
      <c r="CQ82" s="170">
        <f t="shared" si="197"/>
        <v>151.46860160890157</v>
      </c>
      <c r="CR82" s="170"/>
      <c r="CS82" s="113">
        <f t="shared" si="198"/>
        <v>3.647209285068663E-2</v>
      </c>
      <c r="CT82" s="112"/>
      <c r="CU82" s="112"/>
      <c r="CV82" s="112"/>
      <c r="CW82" s="112"/>
      <c r="CX82" s="112"/>
      <c r="CY82" s="112"/>
      <c r="CZ82" s="112"/>
      <c r="DA82" s="112"/>
      <c r="DB82" s="112"/>
      <c r="DC82" s="112"/>
      <c r="DD82" s="112"/>
      <c r="DE82" s="112"/>
      <c r="DF82" s="112"/>
      <c r="DG82" s="112"/>
      <c r="DH82" s="516">
        <f t="shared" si="146"/>
        <v>237</v>
      </c>
      <c r="DI82" s="2">
        <f t="shared" si="199"/>
        <v>281</v>
      </c>
      <c r="DJ82" s="169">
        <f t="shared" si="200"/>
        <v>237</v>
      </c>
      <c r="DK82" s="169">
        <f t="shared" si="223"/>
        <v>44</v>
      </c>
      <c r="DL82" s="113">
        <f t="shared" si="201"/>
        <v>5.8648849294729029E-2</v>
      </c>
      <c r="DM82" s="113">
        <f t="shared" si="202"/>
        <v>0.10224331320103537</v>
      </c>
      <c r="DN82" s="113">
        <v>0.6</v>
      </c>
      <c r="DO82" s="113"/>
      <c r="DP82" s="113"/>
      <c r="DQ82" s="272">
        <v>395</v>
      </c>
      <c r="DR82" s="169"/>
      <c r="DS82" s="169"/>
      <c r="DT82" s="78">
        <f t="shared" si="96"/>
        <v>395</v>
      </c>
      <c r="DU82" s="175">
        <f t="shared" si="97"/>
        <v>3616.8</v>
      </c>
      <c r="DV82" s="169">
        <v>3717</v>
      </c>
      <c r="DW82" s="170">
        <f t="shared" si="203"/>
        <v>369.2</v>
      </c>
      <c r="DX82" s="534">
        <f t="shared" si="89"/>
        <v>434.2</v>
      </c>
      <c r="DY82" s="534">
        <f t="shared" si="90"/>
        <v>319.8</v>
      </c>
      <c r="DZ82" s="113">
        <f t="shared" si="226"/>
        <v>1.3</v>
      </c>
      <c r="EA82" s="169">
        <v>334</v>
      </c>
      <c r="EB82" s="169">
        <v>246</v>
      </c>
      <c r="EC82" s="175">
        <f t="shared" si="218"/>
        <v>114.39999999999998</v>
      </c>
      <c r="ED82" s="175">
        <v>0</v>
      </c>
      <c r="EE82" s="175">
        <f t="shared" si="204"/>
        <v>114.39999999999998</v>
      </c>
      <c r="EF82" s="175"/>
      <c r="EG82" s="169">
        <v>-65</v>
      </c>
      <c r="EH82" s="78">
        <f t="shared" si="205"/>
        <v>146.19999999999999</v>
      </c>
      <c r="EI82" s="169">
        <v>1161</v>
      </c>
      <c r="EJ82" s="169">
        <v>1157</v>
      </c>
      <c r="EK82" s="169"/>
      <c r="EL82" s="169"/>
      <c r="EM82" s="169"/>
      <c r="EN82" s="169"/>
      <c r="EO82" s="169">
        <v>1424</v>
      </c>
      <c r="EP82" s="169">
        <v>1244</v>
      </c>
      <c r="EQ82" s="175">
        <f t="shared" si="150"/>
        <v>4385</v>
      </c>
      <c r="ER82" s="2">
        <f t="shared" si="206"/>
        <v>4153</v>
      </c>
      <c r="ES82" s="262">
        <f t="shared" si="98"/>
        <v>0.94709236031927024</v>
      </c>
      <c r="ET82" s="262"/>
      <c r="EU82" s="262"/>
      <c r="EV82" s="262"/>
      <c r="EW82" s="598"/>
      <c r="EX82" s="598"/>
      <c r="EY82" s="1126"/>
      <c r="EZ82" s="598"/>
      <c r="FA82" s="598"/>
      <c r="FB82" s="598"/>
      <c r="FC82" s="598"/>
      <c r="FD82" s="598"/>
      <c r="FE82" s="979"/>
      <c r="FF82" s="1048"/>
      <c r="FG82" s="518"/>
      <c r="FH82" s="598"/>
      <c r="FI82" s="310">
        <f t="shared" si="207"/>
        <v>180</v>
      </c>
      <c r="FJ82" s="2">
        <f t="shared" si="208"/>
        <v>180</v>
      </c>
      <c r="FK82" s="273">
        <f t="shared" si="224"/>
        <v>-14</v>
      </c>
      <c r="FL82" s="519">
        <v>-14</v>
      </c>
      <c r="FM82" s="518"/>
      <c r="FN82" s="518"/>
      <c r="FO82" s="518"/>
      <c r="FP82" s="518"/>
      <c r="FQ82" s="518"/>
      <c r="FR82" s="518"/>
      <c r="FS82" s="1049"/>
      <c r="FT82" s="310">
        <v>200</v>
      </c>
      <c r="FU82" s="518"/>
      <c r="FV82" s="518"/>
      <c r="FW82" s="518"/>
      <c r="FX82" s="518"/>
      <c r="FY82" s="518"/>
      <c r="FZ82" s="115"/>
      <c r="GA82" s="115"/>
      <c r="GB82" s="115"/>
      <c r="GC82" s="115"/>
      <c r="GD82" s="115"/>
      <c r="GE82" s="115"/>
      <c r="GF82" s="115"/>
      <c r="GG82" s="115"/>
      <c r="GH82" s="115"/>
      <c r="GI82" s="115"/>
      <c r="GJ82" s="115"/>
      <c r="GK82" s="1055">
        <f>38+38</f>
        <v>76</v>
      </c>
      <c r="GL82" s="115"/>
      <c r="GM82" s="115"/>
      <c r="GN82" s="115"/>
      <c r="GO82" s="115"/>
      <c r="GP82" s="310">
        <f t="shared" si="209"/>
        <v>114.39999999999998</v>
      </c>
      <c r="GQ82" s="115"/>
      <c r="GR82" s="115"/>
      <c r="GS82" s="115"/>
      <c r="GT82" s="115"/>
      <c r="GU82" s="991">
        <f t="shared" si="225"/>
        <v>-38.399999999999977</v>
      </c>
      <c r="GW82" s="1063">
        <f>DataUK4!D234+DataUK4!F234</f>
        <v>306.90000000000003</v>
      </c>
      <c r="GX82" s="115"/>
      <c r="GY82" s="615">
        <f t="shared" si="210"/>
        <v>257.49195046439638</v>
      </c>
      <c r="GZ82" s="115"/>
      <c r="HA82" s="115"/>
      <c r="HB82" s="115"/>
      <c r="HC82" s="1051"/>
      <c r="HD82" s="170">
        <f t="shared" si="147"/>
        <v>176</v>
      </c>
      <c r="HE82" s="301">
        <f t="shared" si="151"/>
        <v>263</v>
      </c>
      <c r="HF82" s="301">
        <f t="shared" si="152"/>
        <v>87</v>
      </c>
      <c r="HG82" s="170">
        <f t="shared" si="211"/>
        <v>0</v>
      </c>
      <c r="HH82" s="301">
        <v>0</v>
      </c>
      <c r="HI82" s="301">
        <v>0</v>
      </c>
      <c r="HJ82" s="2">
        <v>0</v>
      </c>
      <c r="HK82" s="2">
        <v>0</v>
      </c>
      <c r="HL82" s="2">
        <v>0</v>
      </c>
      <c r="HM82" s="2">
        <f t="shared" si="212"/>
        <v>0</v>
      </c>
      <c r="HN82" s="2">
        <v>0</v>
      </c>
      <c r="HO82" s="2">
        <v>0</v>
      </c>
      <c r="HP82" s="2">
        <v>0</v>
      </c>
      <c r="HQ82" s="2">
        <v>0</v>
      </c>
      <c r="HR82" s="2">
        <v>0</v>
      </c>
      <c r="HS82" s="1052">
        <v>0</v>
      </c>
      <c r="HT82" s="1002">
        <v>18.7</v>
      </c>
      <c r="HU82" s="1002">
        <f t="shared" si="213"/>
        <v>2.2848874598070736</v>
      </c>
      <c r="HV82" s="1002">
        <f t="shared" si="214"/>
        <v>2.6456591639871383</v>
      </c>
    </row>
    <row r="83" spans="1:230">
      <c r="A83" s="110">
        <f t="shared" si="148"/>
        <v>1924</v>
      </c>
      <c r="B83" s="176">
        <f t="shared" si="158"/>
        <v>4147</v>
      </c>
      <c r="C83" s="177">
        <f t="shared" si="145"/>
        <v>196</v>
      </c>
      <c r="D83" s="176">
        <f t="shared" si="159"/>
        <v>3951</v>
      </c>
      <c r="E83" s="154">
        <f t="shared" si="160"/>
        <v>4234</v>
      </c>
      <c r="F83" s="995">
        <f t="shared" si="161"/>
        <v>283</v>
      </c>
      <c r="G83" s="531">
        <f t="shared" si="162"/>
        <v>4332</v>
      </c>
      <c r="H83" s="531">
        <f t="shared" si="163"/>
        <v>4136</v>
      </c>
      <c r="I83" s="531">
        <f t="shared" si="164"/>
        <v>4419</v>
      </c>
      <c r="J83" s="548">
        <f t="shared" si="165"/>
        <v>0.95813532473410279</v>
      </c>
      <c r="K83" s="515">
        <f t="shared" si="215"/>
        <v>430</v>
      </c>
      <c r="L83" s="175">
        <v>444</v>
      </c>
      <c r="M83" s="175">
        <v>14</v>
      </c>
      <c r="N83" s="111"/>
      <c r="O83" s="111"/>
      <c r="P83" s="111"/>
      <c r="Q83" s="111"/>
      <c r="R83" s="111"/>
      <c r="S83" s="532">
        <f t="shared" si="149"/>
        <v>0.1156846919558784</v>
      </c>
      <c r="T83" s="1008">
        <f t="shared" si="166"/>
        <v>146.46</v>
      </c>
      <c r="U83" s="1010">
        <f t="shared" si="167"/>
        <v>146.46</v>
      </c>
      <c r="V83" s="511">
        <f t="shared" si="168"/>
        <v>188.8</v>
      </c>
      <c r="W83" s="2">
        <f t="shared" si="169"/>
        <v>188.8</v>
      </c>
      <c r="X83" s="169">
        <f t="shared" si="170"/>
        <v>42.34</v>
      </c>
      <c r="Y83" s="113">
        <f t="shared" si="171"/>
        <v>0.22425847457627118</v>
      </c>
      <c r="Z83" s="113">
        <f t="shared" si="172"/>
        <v>0.22425847457627118</v>
      </c>
      <c r="AA83" s="113"/>
      <c r="AB83" s="1019">
        <v>0.01</v>
      </c>
      <c r="AC83" s="113"/>
      <c r="AD83" s="113"/>
      <c r="AE83" s="113"/>
      <c r="AF83" s="113"/>
      <c r="AG83" s="113"/>
      <c r="AH83" s="113"/>
      <c r="AI83" s="113"/>
      <c r="AJ83" s="171">
        <f t="shared" si="173"/>
        <v>997.09288775280061</v>
      </c>
      <c r="AK83" s="1026">
        <f t="shared" si="174"/>
        <v>170.05</v>
      </c>
      <c r="AL83" s="169">
        <f t="shared" si="175"/>
        <v>1049.5714607924217</v>
      </c>
      <c r="AM83" s="169">
        <f t="shared" si="216"/>
        <v>179</v>
      </c>
      <c r="AN83" s="169">
        <f t="shared" si="176"/>
        <v>622.5214269603789</v>
      </c>
      <c r="AO83" s="1027">
        <f t="shared" si="140"/>
        <v>675</v>
      </c>
      <c r="AP83" s="169">
        <v>278</v>
      </c>
      <c r="AQ83" s="169">
        <v>42</v>
      </c>
      <c r="AR83" s="78">
        <f t="shared" si="217"/>
        <v>236</v>
      </c>
      <c r="AS83" s="169">
        <v>633</v>
      </c>
      <c r="AT83" s="169">
        <v>70</v>
      </c>
      <c r="AU83" s="169">
        <v>563</v>
      </c>
      <c r="AV83" s="112"/>
      <c r="AW83" s="175">
        <f t="shared" si="143"/>
        <v>477</v>
      </c>
      <c r="AX83" s="169">
        <v>477</v>
      </c>
      <c r="AY83" s="169"/>
      <c r="AZ83" s="170">
        <v>40</v>
      </c>
      <c r="BA83" s="113">
        <f t="shared" si="219"/>
        <v>0.18101729792296317</v>
      </c>
      <c r="BB83" s="170"/>
      <c r="BC83" s="112"/>
      <c r="BD83" s="112"/>
      <c r="BE83" s="112"/>
      <c r="BF83" s="170">
        <v>116</v>
      </c>
      <c r="BG83" s="113">
        <f t="shared" si="220"/>
        <v>0.49152542372881358</v>
      </c>
      <c r="BH83" s="112"/>
      <c r="BI83" s="1031">
        <v>2376</v>
      </c>
      <c r="BJ83" s="2">
        <f t="shared" si="177"/>
        <v>2376</v>
      </c>
      <c r="BK83" s="169">
        <v>67</v>
      </c>
      <c r="BL83" s="169">
        <f t="shared" si="178"/>
        <v>179</v>
      </c>
      <c r="BM83" s="1031">
        <f t="shared" si="179"/>
        <v>374.57146079242165</v>
      </c>
      <c r="BN83" s="310">
        <f t="shared" si="180"/>
        <v>307.57146079242165</v>
      </c>
      <c r="BO83" s="262">
        <f t="shared" si="181"/>
        <v>0.15011367903553868</v>
      </c>
      <c r="BP83" s="262">
        <f t="shared" si="182"/>
        <v>0.16276826621654208</v>
      </c>
      <c r="BQ83" s="262">
        <f t="shared" si="183"/>
        <v>9.0323477403525837E-2</v>
      </c>
      <c r="BR83" s="262">
        <f t="shared" si="184"/>
        <v>0.15764792120893167</v>
      </c>
      <c r="BS83" s="988">
        <f t="shared" si="185"/>
        <v>0.55492068265543948</v>
      </c>
      <c r="BT83" s="534">
        <f t="shared" si="186"/>
        <v>52.478573039621089</v>
      </c>
      <c r="BU83" s="534">
        <f t="shared" si="187"/>
        <v>8.9500000000000011</v>
      </c>
      <c r="BV83" s="113">
        <v>0.05</v>
      </c>
      <c r="BW83" s="276">
        <f t="shared" si="188"/>
        <v>1.2394561417010177E-2</v>
      </c>
      <c r="BX83" s="272">
        <f t="shared" si="189"/>
        <v>94.8185730396211</v>
      </c>
      <c r="BY83" s="113"/>
      <c r="BZ83" s="1035"/>
      <c r="CA83" s="1038"/>
      <c r="CB83" s="2">
        <f t="shared" si="221"/>
        <v>3717</v>
      </c>
      <c r="CC83" s="2">
        <f t="shared" si="222"/>
        <v>4147</v>
      </c>
      <c r="CD83" s="310">
        <f t="shared" si="190"/>
        <v>4147</v>
      </c>
      <c r="CE83" s="310">
        <f t="shared" si="191"/>
        <v>3951</v>
      </c>
      <c r="CF83" s="598"/>
      <c r="CG83" s="598"/>
      <c r="CH83" s="598"/>
      <c r="CI83" s="577">
        <v>283</v>
      </c>
      <c r="CJ83" s="577"/>
      <c r="CK83" s="577"/>
      <c r="CL83" s="517">
        <f t="shared" si="192"/>
        <v>2138.6471122471994</v>
      </c>
      <c r="CM83" s="169">
        <f t="shared" si="193"/>
        <v>2286.8285392075782</v>
      </c>
      <c r="CN83" s="170">
        <f t="shared" si="194"/>
        <v>524.20000000000005</v>
      </c>
      <c r="CO83" s="170">
        <f t="shared" si="195"/>
        <v>524.20000000000005</v>
      </c>
      <c r="CP83" s="170">
        <f t="shared" si="196"/>
        <v>1762.6285392075781</v>
      </c>
      <c r="CQ83" s="170">
        <f t="shared" si="197"/>
        <v>148.1814269603789</v>
      </c>
      <c r="CR83" s="170"/>
      <c r="CS83" s="113">
        <f t="shared" si="198"/>
        <v>3.4997975191397947E-2</v>
      </c>
      <c r="CT83" s="112"/>
      <c r="CU83" s="112"/>
      <c r="CV83" s="112"/>
      <c r="CW83" s="112"/>
      <c r="CX83" s="112"/>
      <c r="CY83" s="112"/>
      <c r="CZ83" s="112"/>
      <c r="DA83" s="112"/>
      <c r="DB83" s="112"/>
      <c r="DC83" s="112"/>
      <c r="DD83" s="112"/>
      <c r="DE83" s="112"/>
      <c r="DF83" s="112"/>
      <c r="DG83" s="112"/>
      <c r="DH83" s="516">
        <f t="shared" si="146"/>
        <v>238.79999999999995</v>
      </c>
      <c r="DI83" s="2">
        <f t="shared" si="199"/>
        <v>278.79999999999995</v>
      </c>
      <c r="DJ83" s="169">
        <f t="shared" si="200"/>
        <v>238.79999999999998</v>
      </c>
      <c r="DK83" s="169">
        <f t="shared" si="223"/>
        <v>40</v>
      </c>
      <c r="DL83" s="113">
        <f t="shared" si="201"/>
        <v>5.7583795514829991E-2</v>
      </c>
      <c r="DM83" s="113">
        <f t="shared" si="202"/>
        <v>0.1005050505050505</v>
      </c>
      <c r="DN83" s="113">
        <v>0.6</v>
      </c>
      <c r="DO83" s="113"/>
      <c r="DP83" s="113"/>
      <c r="DQ83" s="272">
        <v>398</v>
      </c>
      <c r="DR83" s="169"/>
      <c r="DS83" s="169"/>
      <c r="DT83" s="78">
        <f t="shared" si="96"/>
        <v>398</v>
      </c>
      <c r="DU83" s="175">
        <f t="shared" si="97"/>
        <v>3664.8</v>
      </c>
      <c r="DV83" s="169">
        <v>3777</v>
      </c>
      <c r="DW83" s="170">
        <f t="shared" si="203"/>
        <v>480.2</v>
      </c>
      <c r="DX83" s="534">
        <f t="shared" si="89"/>
        <v>486.2</v>
      </c>
      <c r="DY83" s="534">
        <f t="shared" si="90"/>
        <v>360.1</v>
      </c>
      <c r="DZ83" s="113">
        <f t="shared" si="226"/>
        <v>1.3</v>
      </c>
      <c r="EA83" s="169">
        <v>374</v>
      </c>
      <c r="EB83" s="169">
        <v>277</v>
      </c>
      <c r="EC83" s="175">
        <f t="shared" si="218"/>
        <v>126.09999999999997</v>
      </c>
      <c r="ED83" s="175">
        <v>0</v>
      </c>
      <c r="EE83" s="175">
        <f t="shared" si="204"/>
        <v>126.09999999999997</v>
      </c>
      <c r="EF83" s="175"/>
      <c r="EG83" s="169">
        <v>-6</v>
      </c>
      <c r="EH83" s="78">
        <f t="shared" si="205"/>
        <v>203.2</v>
      </c>
      <c r="EI83" s="169">
        <v>1200</v>
      </c>
      <c r="EJ83" s="169">
        <v>1324</v>
      </c>
      <c r="EK83" s="169"/>
      <c r="EL83" s="169"/>
      <c r="EM83" s="169"/>
      <c r="EN83" s="169"/>
      <c r="EO83" s="169">
        <v>1486</v>
      </c>
      <c r="EP83" s="169">
        <v>1414</v>
      </c>
      <c r="EQ83" s="175">
        <f t="shared" si="150"/>
        <v>4419</v>
      </c>
      <c r="ER83" s="2">
        <f t="shared" si="206"/>
        <v>4234</v>
      </c>
      <c r="ES83" s="262">
        <f t="shared" si="98"/>
        <v>0.95813532473410279</v>
      </c>
      <c r="ET83" s="262"/>
      <c r="EU83" s="262"/>
      <c r="EV83" s="262"/>
      <c r="EW83" s="598"/>
      <c r="EX83" s="598"/>
      <c r="EY83" s="1126"/>
      <c r="EZ83" s="598"/>
      <c r="FA83" s="598"/>
      <c r="FB83" s="598"/>
      <c r="FC83" s="598"/>
      <c r="FD83" s="598"/>
      <c r="FE83" s="979"/>
      <c r="FF83" s="1048"/>
      <c r="FG83" s="518"/>
      <c r="FH83" s="598"/>
      <c r="FI83" s="310">
        <f t="shared" si="207"/>
        <v>72</v>
      </c>
      <c r="FJ83" s="2">
        <f t="shared" si="208"/>
        <v>72</v>
      </c>
      <c r="FK83" s="273">
        <f t="shared" si="224"/>
        <v>47</v>
      </c>
      <c r="FL83" s="519">
        <v>47</v>
      </c>
      <c r="FM83" s="518"/>
      <c r="FN83" s="518"/>
      <c r="FO83" s="518"/>
      <c r="FP83" s="518"/>
      <c r="FQ83" s="518"/>
      <c r="FR83" s="518"/>
      <c r="FS83" s="1049"/>
      <c r="FT83" s="310">
        <v>210</v>
      </c>
      <c r="FU83" s="518"/>
      <c r="FV83" s="518"/>
      <c r="FW83" s="518"/>
      <c r="FX83" s="518"/>
      <c r="FY83" s="518"/>
      <c r="FZ83" s="115"/>
      <c r="GA83" s="115"/>
      <c r="GB83" s="115"/>
      <c r="GC83" s="115"/>
      <c r="GD83" s="115"/>
      <c r="GE83" s="115"/>
      <c r="GF83" s="115"/>
      <c r="GG83" s="115"/>
      <c r="GH83" s="115"/>
      <c r="GI83" s="115"/>
      <c r="GJ83" s="115"/>
      <c r="GK83" s="1055">
        <f>-10+32</f>
        <v>22</v>
      </c>
      <c r="GL83" s="115"/>
      <c r="GM83" s="115"/>
      <c r="GN83" s="115"/>
      <c r="GO83" s="115"/>
      <c r="GP83" s="310">
        <f t="shared" si="209"/>
        <v>126.09999999999997</v>
      </c>
      <c r="GQ83" s="115"/>
      <c r="GR83" s="115"/>
      <c r="GS83" s="115"/>
      <c r="GT83" s="115"/>
      <c r="GU83" s="991">
        <f t="shared" si="225"/>
        <v>-104.09999999999997</v>
      </c>
      <c r="GW83" s="1063">
        <f>DataUK4!D235+DataUK4!F235</f>
        <v>311.8</v>
      </c>
      <c r="GX83" s="115"/>
      <c r="GY83" s="615">
        <f t="shared" si="210"/>
        <v>261.60309597523229</v>
      </c>
      <c r="GZ83" s="115"/>
      <c r="HA83" s="115"/>
      <c r="HB83" s="115"/>
      <c r="HC83" s="1051"/>
      <c r="HD83" s="170">
        <f t="shared" si="147"/>
        <v>196</v>
      </c>
      <c r="HE83" s="301">
        <f t="shared" si="151"/>
        <v>286</v>
      </c>
      <c r="HF83" s="301">
        <f t="shared" si="152"/>
        <v>90</v>
      </c>
      <c r="HG83" s="170">
        <f t="shared" si="211"/>
        <v>0</v>
      </c>
      <c r="HH83" s="301">
        <v>0</v>
      </c>
      <c r="HI83" s="301">
        <v>0</v>
      </c>
      <c r="HJ83" s="2">
        <v>0</v>
      </c>
      <c r="HK83" s="2">
        <v>0</v>
      </c>
      <c r="HL83" s="2">
        <v>0</v>
      </c>
      <c r="HM83" s="2">
        <f t="shared" si="212"/>
        <v>0</v>
      </c>
      <c r="HN83" s="2">
        <v>0</v>
      </c>
      <c r="HO83" s="2">
        <v>0</v>
      </c>
      <c r="HP83" s="2">
        <v>0</v>
      </c>
      <c r="HQ83" s="2">
        <v>0</v>
      </c>
      <c r="HR83" s="2">
        <v>0</v>
      </c>
      <c r="HS83" s="1052">
        <v>0</v>
      </c>
      <c r="HT83" s="1002">
        <v>18.600000000000001</v>
      </c>
      <c r="HU83" s="1002">
        <f t="shared" si="213"/>
        <v>2.2726688102893893</v>
      </c>
      <c r="HV83" s="1002">
        <f t="shared" si="214"/>
        <v>2.6315112540192929</v>
      </c>
    </row>
    <row r="84" spans="1:230">
      <c r="A84" s="110">
        <f t="shared" si="148"/>
        <v>1925</v>
      </c>
      <c r="B84" s="176">
        <f t="shared" si="158"/>
        <v>4249</v>
      </c>
      <c r="C84" s="177">
        <f t="shared" si="145"/>
        <v>232</v>
      </c>
      <c r="D84" s="176">
        <f t="shared" si="159"/>
        <v>4017</v>
      </c>
      <c r="E84" s="154">
        <f t="shared" si="160"/>
        <v>4300</v>
      </c>
      <c r="F84" s="995">
        <f t="shared" si="161"/>
        <v>283</v>
      </c>
      <c r="G84" s="531">
        <f t="shared" si="162"/>
        <v>4593</v>
      </c>
      <c r="H84" s="531">
        <f t="shared" si="163"/>
        <v>4361</v>
      </c>
      <c r="I84" s="531">
        <f t="shared" si="164"/>
        <v>4644</v>
      </c>
      <c r="J84" s="548">
        <f t="shared" si="165"/>
        <v>0.92592592592592593</v>
      </c>
      <c r="K84" s="515">
        <f t="shared" si="215"/>
        <v>429</v>
      </c>
      <c r="L84" s="175">
        <v>457</v>
      </c>
      <c r="M84" s="175">
        <v>28</v>
      </c>
      <c r="N84" s="111"/>
      <c r="O84" s="111"/>
      <c r="P84" s="111"/>
      <c r="Q84" s="111"/>
      <c r="R84" s="111"/>
      <c r="S84" s="532">
        <f t="shared" si="149"/>
        <v>0.11230366492146597</v>
      </c>
      <c r="T84" s="1008">
        <f t="shared" si="166"/>
        <v>155.4</v>
      </c>
      <c r="U84" s="1010">
        <f t="shared" si="167"/>
        <v>155.4</v>
      </c>
      <c r="V84" s="511">
        <f t="shared" si="168"/>
        <v>198.4</v>
      </c>
      <c r="W84" s="2">
        <f t="shared" si="169"/>
        <v>198.4</v>
      </c>
      <c r="X84" s="169">
        <f t="shared" si="170"/>
        <v>43</v>
      </c>
      <c r="Y84" s="113">
        <f t="shared" si="171"/>
        <v>0.21673387096774194</v>
      </c>
      <c r="Z84" s="113">
        <f t="shared" si="172"/>
        <v>0.21673387096774194</v>
      </c>
      <c r="AA84" s="113"/>
      <c r="AB84" s="1019">
        <v>0.01</v>
      </c>
      <c r="AC84" s="113"/>
      <c r="AD84" s="113"/>
      <c r="AE84" s="113"/>
      <c r="AF84" s="113"/>
      <c r="AG84" s="113"/>
      <c r="AH84" s="113"/>
      <c r="AI84" s="113"/>
      <c r="AJ84" s="171">
        <f t="shared" si="173"/>
        <v>1025.1592060747314</v>
      </c>
      <c r="AK84" s="1026">
        <f t="shared" si="174"/>
        <v>165.3</v>
      </c>
      <c r="AL84" s="169">
        <f t="shared" si="175"/>
        <v>1079.1149537628751</v>
      </c>
      <c r="AM84" s="169">
        <f t="shared" si="216"/>
        <v>174</v>
      </c>
      <c r="AN84" s="169">
        <f t="shared" si="176"/>
        <v>640.04425231185621</v>
      </c>
      <c r="AO84" s="1027">
        <f t="shared" si="140"/>
        <v>694</v>
      </c>
      <c r="AP84" s="169">
        <v>290</v>
      </c>
      <c r="AQ84" s="169">
        <v>42</v>
      </c>
      <c r="AR84" s="78">
        <f t="shared" si="217"/>
        <v>248</v>
      </c>
      <c r="AS84" s="169">
        <v>652</v>
      </c>
      <c r="AT84" s="169">
        <v>61</v>
      </c>
      <c r="AU84" s="169">
        <v>591</v>
      </c>
      <c r="AV84" s="112"/>
      <c r="AW84" s="175">
        <f t="shared" si="143"/>
        <v>468</v>
      </c>
      <c r="AX84" s="169">
        <v>468</v>
      </c>
      <c r="AY84" s="169"/>
      <c r="AZ84" s="170">
        <v>42</v>
      </c>
      <c r="BA84" s="113">
        <f t="shared" si="219"/>
        <v>0.18703715425026898</v>
      </c>
      <c r="BB84" s="170"/>
      <c r="BC84" s="112"/>
      <c r="BD84" s="112"/>
      <c r="BE84" s="112"/>
      <c r="BF84" s="170">
        <v>121</v>
      </c>
      <c r="BG84" s="113">
        <f t="shared" si="220"/>
        <v>0.48790322580645162</v>
      </c>
      <c r="BH84" s="112"/>
      <c r="BI84" s="1031">
        <v>2419</v>
      </c>
      <c r="BJ84" s="2">
        <f t="shared" si="177"/>
        <v>2419</v>
      </c>
      <c r="BK84" s="169">
        <v>71</v>
      </c>
      <c r="BL84" s="169">
        <f t="shared" si="178"/>
        <v>174</v>
      </c>
      <c r="BM84" s="1031">
        <f t="shared" si="179"/>
        <v>385.11495376287502</v>
      </c>
      <c r="BN84" s="310">
        <f t="shared" si="180"/>
        <v>314.11495376287502</v>
      </c>
      <c r="BO84" s="262">
        <f t="shared" si="181"/>
        <v>0.15063409091829988</v>
      </c>
      <c r="BP84" s="262">
        <f t="shared" si="182"/>
        <v>0.16333254883501999</v>
      </c>
      <c r="BQ84" s="262">
        <f t="shared" si="183"/>
        <v>9.0636609499382209E-2</v>
      </c>
      <c r="BR84" s="262">
        <f t="shared" si="184"/>
        <v>0.15920419750428896</v>
      </c>
      <c r="BS84" s="988">
        <f t="shared" si="185"/>
        <v>0.55492068265543948</v>
      </c>
      <c r="BT84" s="534">
        <f t="shared" si="186"/>
        <v>53.955747688143759</v>
      </c>
      <c r="BU84" s="534">
        <f t="shared" si="187"/>
        <v>8.7000000000000011</v>
      </c>
      <c r="BV84" s="113">
        <v>0.05</v>
      </c>
      <c r="BW84" s="276">
        <f t="shared" si="188"/>
        <v>1.2547848299568317E-2</v>
      </c>
      <c r="BX84" s="272">
        <f t="shared" si="189"/>
        <v>96.955747688143759</v>
      </c>
      <c r="BY84" s="113"/>
      <c r="BZ84" s="1035"/>
      <c r="CA84" s="1038"/>
      <c r="CB84" s="2">
        <f t="shared" si="221"/>
        <v>3820</v>
      </c>
      <c r="CC84" s="2">
        <f t="shared" si="222"/>
        <v>4249</v>
      </c>
      <c r="CD84" s="310">
        <f t="shared" si="190"/>
        <v>4249</v>
      </c>
      <c r="CE84" s="310">
        <f t="shared" si="191"/>
        <v>4017</v>
      </c>
      <c r="CF84" s="598"/>
      <c r="CG84" s="598"/>
      <c r="CH84" s="598"/>
      <c r="CI84" s="577">
        <v>283</v>
      </c>
      <c r="CJ84" s="577"/>
      <c r="CK84" s="577"/>
      <c r="CL84" s="517">
        <f t="shared" si="192"/>
        <v>2160.2407939252689</v>
      </c>
      <c r="CM84" s="169">
        <f t="shared" si="193"/>
        <v>2304.2850462371252</v>
      </c>
      <c r="CN84" s="170">
        <f t="shared" si="194"/>
        <v>517.59999999999991</v>
      </c>
      <c r="CO84" s="170">
        <f t="shared" si="195"/>
        <v>517.59999999999991</v>
      </c>
      <c r="CP84" s="170">
        <f t="shared" si="196"/>
        <v>1786.6850462371251</v>
      </c>
      <c r="CQ84" s="170">
        <f t="shared" si="197"/>
        <v>144.04425231185624</v>
      </c>
      <c r="CR84" s="170"/>
      <c r="CS84" s="113">
        <f t="shared" si="198"/>
        <v>3.349866332833866E-2</v>
      </c>
      <c r="CT84" s="112"/>
      <c r="CU84" s="112"/>
      <c r="CV84" s="112"/>
      <c r="CW84" s="112"/>
      <c r="CX84" s="112"/>
      <c r="CY84" s="112"/>
      <c r="CZ84" s="112"/>
      <c r="DA84" s="112"/>
      <c r="DB84" s="112"/>
      <c r="DC84" s="112"/>
      <c r="DD84" s="112"/>
      <c r="DE84" s="112"/>
      <c r="DF84" s="112"/>
      <c r="DG84" s="112"/>
      <c r="DH84" s="516">
        <f t="shared" si="146"/>
        <v>247.2</v>
      </c>
      <c r="DI84" s="2">
        <f t="shared" si="199"/>
        <v>289.2</v>
      </c>
      <c r="DJ84" s="169">
        <f t="shared" si="200"/>
        <v>247.2</v>
      </c>
      <c r="DK84" s="169">
        <f t="shared" si="223"/>
        <v>42</v>
      </c>
      <c r="DL84" s="113">
        <f t="shared" si="201"/>
        <v>5.817839491645093E-2</v>
      </c>
      <c r="DM84" s="113">
        <f t="shared" si="202"/>
        <v>0.10219098801157503</v>
      </c>
      <c r="DN84" s="113">
        <v>0.6</v>
      </c>
      <c r="DO84" s="113"/>
      <c r="DP84" s="113"/>
      <c r="DQ84" s="272">
        <v>412</v>
      </c>
      <c r="DR84" s="169"/>
      <c r="DS84" s="169"/>
      <c r="DT84" s="78">
        <f t="shared" si="96"/>
        <v>412</v>
      </c>
      <c r="DU84" s="175">
        <f t="shared" si="97"/>
        <v>3752</v>
      </c>
      <c r="DV84" s="169">
        <v>3878</v>
      </c>
      <c r="DW84" s="170">
        <f t="shared" si="203"/>
        <v>679</v>
      </c>
      <c r="DX84" s="534">
        <f t="shared" si="89"/>
        <v>546</v>
      </c>
      <c r="DY84" s="534">
        <f t="shared" si="90"/>
        <v>387.40000000000003</v>
      </c>
      <c r="DZ84" s="113">
        <f t="shared" si="226"/>
        <v>1.3</v>
      </c>
      <c r="EA84" s="169">
        <v>420</v>
      </c>
      <c r="EB84" s="169">
        <v>298</v>
      </c>
      <c r="EC84" s="175">
        <f t="shared" si="218"/>
        <v>158.59999999999997</v>
      </c>
      <c r="ED84" s="175">
        <v>0</v>
      </c>
      <c r="EE84" s="175">
        <f t="shared" si="204"/>
        <v>158.59999999999997</v>
      </c>
      <c r="EF84" s="175"/>
      <c r="EG84" s="169">
        <v>133</v>
      </c>
      <c r="EH84" s="78">
        <f t="shared" si="205"/>
        <v>263</v>
      </c>
      <c r="EI84" s="169">
        <v>1158</v>
      </c>
      <c r="EJ84" s="169">
        <v>1357</v>
      </c>
      <c r="EK84" s="169"/>
      <c r="EL84" s="169"/>
      <c r="EM84" s="169"/>
      <c r="EN84" s="169"/>
      <c r="EO84" s="169">
        <v>1480</v>
      </c>
      <c r="EP84" s="169">
        <v>1447</v>
      </c>
      <c r="EQ84" s="175">
        <f t="shared" si="150"/>
        <v>4644</v>
      </c>
      <c r="ER84" s="2">
        <f t="shared" si="206"/>
        <v>4300</v>
      </c>
      <c r="ES84" s="262">
        <f t="shared" si="98"/>
        <v>0.92592592592592593</v>
      </c>
      <c r="ET84" s="262"/>
      <c r="EU84" s="262"/>
      <c r="EV84" s="262"/>
      <c r="EW84" s="598"/>
      <c r="EX84" s="598"/>
      <c r="EY84" s="1126"/>
      <c r="EZ84" s="598"/>
      <c r="FA84" s="598"/>
      <c r="FB84" s="598"/>
      <c r="FC84" s="598"/>
      <c r="FD84" s="598"/>
      <c r="FE84" s="979"/>
      <c r="FF84" s="1048"/>
      <c r="FG84" s="518"/>
      <c r="FH84" s="598"/>
      <c r="FI84" s="310">
        <f t="shared" si="207"/>
        <v>33</v>
      </c>
      <c r="FJ84" s="2">
        <f t="shared" si="208"/>
        <v>33</v>
      </c>
      <c r="FK84" s="273">
        <f t="shared" si="224"/>
        <v>70</v>
      </c>
      <c r="FL84" s="519">
        <v>70</v>
      </c>
      <c r="FM84" s="518"/>
      <c r="FN84" s="518"/>
      <c r="FO84" s="518"/>
      <c r="FP84" s="518"/>
      <c r="FQ84" s="518"/>
      <c r="FR84" s="518"/>
      <c r="FS84" s="1049"/>
      <c r="FT84" s="310">
        <v>234</v>
      </c>
      <c r="FU84" s="518"/>
      <c r="FV84" s="518"/>
      <c r="FW84" s="518"/>
      <c r="FX84" s="518"/>
      <c r="FY84" s="518"/>
      <c r="FZ84" s="115"/>
      <c r="GA84" s="115"/>
      <c r="GB84" s="115"/>
      <c r="GC84" s="115"/>
      <c r="GD84" s="115"/>
      <c r="GE84" s="115"/>
      <c r="GF84" s="115"/>
      <c r="GG84" s="115"/>
      <c r="GH84" s="115"/>
      <c r="GI84" s="115"/>
      <c r="GJ84" s="115"/>
      <c r="GK84" s="1055">
        <f>-14+30</f>
        <v>16</v>
      </c>
      <c r="GL84" s="115"/>
      <c r="GM84" s="115"/>
      <c r="GN84" s="115"/>
      <c r="GO84" s="115"/>
      <c r="GP84" s="310">
        <f t="shared" si="209"/>
        <v>158.59999999999997</v>
      </c>
      <c r="GQ84" s="115"/>
      <c r="GR84" s="115"/>
      <c r="GS84" s="115"/>
      <c r="GT84" s="115"/>
      <c r="GU84" s="991">
        <f t="shared" si="225"/>
        <v>-142.59999999999997</v>
      </c>
      <c r="GW84" s="1063">
        <f>DataUK4!D236+DataUK4!F236</f>
        <v>307.8</v>
      </c>
      <c r="GX84" s="115"/>
      <c r="GY84" s="615">
        <f t="shared" si="210"/>
        <v>258.24705882352953</v>
      </c>
      <c r="GZ84" s="115"/>
      <c r="HA84" s="115"/>
      <c r="HB84" s="115"/>
      <c r="HC84" s="1051"/>
      <c r="HD84" s="170">
        <f t="shared" si="147"/>
        <v>232</v>
      </c>
      <c r="HE84" s="301">
        <f t="shared" si="151"/>
        <v>322</v>
      </c>
      <c r="HF84" s="301">
        <f t="shared" si="152"/>
        <v>90</v>
      </c>
      <c r="HG84" s="170">
        <f t="shared" si="211"/>
        <v>0</v>
      </c>
      <c r="HH84" s="301">
        <v>0</v>
      </c>
      <c r="HI84" s="301">
        <v>0</v>
      </c>
      <c r="HJ84" s="2">
        <v>0</v>
      </c>
      <c r="HK84" s="2">
        <v>0</v>
      </c>
      <c r="HL84" s="2">
        <v>0</v>
      </c>
      <c r="HM84" s="2">
        <f t="shared" si="212"/>
        <v>0</v>
      </c>
      <c r="HN84" s="2">
        <v>0</v>
      </c>
      <c r="HO84" s="2">
        <v>0</v>
      </c>
      <c r="HP84" s="2">
        <v>0</v>
      </c>
      <c r="HQ84" s="2">
        <v>0</v>
      </c>
      <c r="HR84" s="2">
        <v>0</v>
      </c>
      <c r="HS84" s="1052">
        <v>0</v>
      </c>
      <c r="HT84" s="1002">
        <v>18.600000000000001</v>
      </c>
      <c r="HU84" s="1002">
        <f t="shared" si="213"/>
        <v>2.2726688102893893</v>
      </c>
      <c r="HV84" s="1002">
        <f t="shared" si="214"/>
        <v>2.6315112540192929</v>
      </c>
    </row>
    <row r="85" spans="1:230">
      <c r="A85" s="110">
        <f t="shared" si="148"/>
        <v>1926</v>
      </c>
      <c r="B85" s="176">
        <f t="shared" si="158"/>
        <v>4140</v>
      </c>
      <c r="C85" s="177">
        <f t="shared" si="145"/>
        <v>237</v>
      </c>
      <c r="D85" s="176">
        <f t="shared" si="159"/>
        <v>3903</v>
      </c>
      <c r="E85" s="154">
        <f t="shared" si="160"/>
        <v>4186</v>
      </c>
      <c r="F85" s="995">
        <f t="shared" si="161"/>
        <v>283</v>
      </c>
      <c r="G85" s="531">
        <f t="shared" si="162"/>
        <v>4350</v>
      </c>
      <c r="H85" s="531">
        <f t="shared" si="163"/>
        <v>4113</v>
      </c>
      <c r="I85" s="531">
        <f t="shared" si="164"/>
        <v>4396</v>
      </c>
      <c r="J85" s="548">
        <f t="shared" si="165"/>
        <v>0.95222929936305734</v>
      </c>
      <c r="K85" s="515">
        <f t="shared" si="215"/>
        <v>449</v>
      </c>
      <c r="L85" s="175">
        <v>473</v>
      </c>
      <c r="M85" s="175">
        <v>24</v>
      </c>
      <c r="N85" s="111"/>
      <c r="O85" s="111"/>
      <c r="P85" s="111"/>
      <c r="Q85" s="111"/>
      <c r="R85" s="111"/>
      <c r="S85" s="532">
        <f t="shared" si="149"/>
        <v>0.12164725006773232</v>
      </c>
      <c r="T85" s="1008">
        <f t="shared" si="166"/>
        <v>163.74</v>
      </c>
      <c r="U85" s="1010">
        <f t="shared" si="167"/>
        <v>163.74</v>
      </c>
      <c r="V85" s="511">
        <f t="shared" si="168"/>
        <v>205.60000000000002</v>
      </c>
      <c r="W85" s="2">
        <f t="shared" si="169"/>
        <v>205.60000000000002</v>
      </c>
      <c r="X85" s="169">
        <f t="shared" si="170"/>
        <v>41.86</v>
      </c>
      <c r="Y85" s="113">
        <f t="shared" si="171"/>
        <v>0.20359922178988324</v>
      </c>
      <c r="Z85" s="113">
        <f t="shared" si="172"/>
        <v>0.20359922178988324</v>
      </c>
      <c r="AA85" s="113"/>
      <c r="AB85" s="1019">
        <v>0.01</v>
      </c>
      <c r="AC85" s="113"/>
      <c r="AD85" s="113"/>
      <c r="AE85" s="113"/>
      <c r="AF85" s="113"/>
      <c r="AG85" s="113"/>
      <c r="AH85" s="113"/>
      <c r="AI85" s="113"/>
      <c r="AJ85" s="171">
        <f t="shared" si="173"/>
        <v>1010.3874595895045</v>
      </c>
      <c r="AK85" s="1026">
        <f t="shared" si="174"/>
        <v>166.25</v>
      </c>
      <c r="AL85" s="169">
        <f t="shared" si="175"/>
        <v>1063.5657469363205</v>
      </c>
      <c r="AM85" s="169">
        <f t="shared" si="216"/>
        <v>175</v>
      </c>
      <c r="AN85" s="169">
        <f t="shared" si="176"/>
        <v>630.82171265318402</v>
      </c>
      <c r="AO85" s="1027">
        <f t="shared" si="140"/>
        <v>684</v>
      </c>
      <c r="AP85" s="169">
        <v>299</v>
      </c>
      <c r="AQ85" s="169">
        <v>42</v>
      </c>
      <c r="AR85" s="78">
        <f t="shared" si="217"/>
        <v>257</v>
      </c>
      <c r="AS85" s="169">
        <v>642</v>
      </c>
      <c r="AT85" s="169">
        <v>59</v>
      </c>
      <c r="AU85" s="169">
        <v>583</v>
      </c>
      <c r="AV85" s="112"/>
      <c r="AW85" s="175">
        <f t="shared" si="143"/>
        <v>420</v>
      </c>
      <c r="AX85" s="169">
        <v>420</v>
      </c>
      <c r="AY85" s="169"/>
      <c r="AZ85" s="170">
        <v>40</v>
      </c>
      <c r="BA85" s="113">
        <f t="shared" si="219"/>
        <v>0.1934948556256223</v>
      </c>
      <c r="BB85" s="170"/>
      <c r="BC85" s="112"/>
      <c r="BD85" s="112"/>
      <c r="BE85" s="112"/>
      <c r="BF85" s="170">
        <v>125</v>
      </c>
      <c r="BG85" s="113">
        <f t="shared" si="220"/>
        <v>0.48638132295719844</v>
      </c>
      <c r="BH85" s="112"/>
      <c r="BI85" s="1031">
        <v>2336</v>
      </c>
      <c r="BJ85" s="2">
        <f t="shared" si="177"/>
        <v>2336</v>
      </c>
      <c r="BK85" s="169">
        <v>74</v>
      </c>
      <c r="BL85" s="169">
        <f t="shared" si="178"/>
        <v>175</v>
      </c>
      <c r="BM85" s="1031">
        <f t="shared" si="179"/>
        <v>379.56574693632058</v>
      </c>
      <c r="BN85" s="310">
        <f t="shared" si="180"/>
        <v>305.56574693632058</v>
      </c>
      <c r="BO85" s="262">
        <f t="shared" si="181"/>
        <v>0.15237239436067246</v>
      </c>
      <c r="BP85" s="262">
        <f t="shared" si="182"/>
        <v>0.16521739130434782</v>
      </c>
      <c r="BQ85" s="262">
        <f t="shared" si="183"/>
        <v>9.1682547569159556E-2</v>
      </c>
      <c r="BR85" s="262">
        <f t="shared" si="184"/>
        <v>0.1624853368734249</v>
      </c>
      <c r="BS85" s="988">
        <f t="shared" si="185"/>
        <v>0.55492068265543948</v>
      </c>
      <c r="BT85" s="534">
        <f t="shared" si="186"/>
        <v>53.178287346816028</v>
      </c>
      <c r="BU85" s="534">
        <f t="shared" si="187"/>
        <v>8.75</v>
      </c>
      <c r="BV85" s="113">
        <v>0.05</v>
      </c>
      <c r="BW85" s="276">
        <f t="shared" si="188"/>
        <v>1.2703843131107508E-2</v>
      </c>
      <c r="BX85" s="272">
        <f t="shared" si="189"/>
        <v>95.03828734681602</v>
      </c>
      <c r="BY85" s="113"/>
      <c r="BZ85" s="1035"/>
      <c r="CA85" s="1038"/>
      <c r="CB85" s="2">
        <f t="shared" si="221"/>
        <v>3691</v>
      </c>
      <c r="CC85" s="2">
        <f t="shared" si="222"/>
        <v>4140</v>
      </c>
      <c r="CD85" s="310">
        <f t="shared" si="190"/>
        <v>4140</v>
      </c>
      <c r="CE85" s="310">
        <f t="shared" si="191"/>
        <v>3903</v>
      </c>
      <c r="CF85" s="598"/>
      <c r="CG85" s="598"/>
      <c r="CH85" s="598"/>
      <c r="CI85" s="577">
        <v>283</v>
      </c>
      <c r="CJ85" s="577"/>
      <c r="CK85" s="577"/>
      <c r="CL85" s="517">
        <f t="shared" si="192"/>
        <v>2027.8725404104957</v>
      </c>
      <c r="CM85" s="169">
        <f t="shared" si="193"/>
        <v>2175.8342530636796</v>
      </c>
      <c r="CN85" s="170">
        <f t="shared" si="194"/>
        <v>471.40000000000009</v>
      </c>
      <c r="CO85" s="170">
        <f t="shared" si="195"/>
        <v>471.40000000000009</v>
      </c>
      <c r="CP85" s="170">
        <f t="shared" si="196"/>
        <v>1704.4342530636795</v>
      </c>
      <c r="CQ85" s="170">
        <f t="shared" si="197"/>
        <v>147.96171265318395</v>
      </c>
      <c r="CR85" s="170"/>
      <c r="CS85" s="113">
        <f t="shared" si="198"/>
        <v>3.5346801876059236E-2</v>
      </c>
      <c r="CT85" s="112"/>
      <c r="CU85" s="112"/>
      <c r="CV85" s="112"/>
      <c r="CW85" s="112"/>
      <c r="CX85" s="112"/>
      <c r="CY85" s="112"/>
      <c r="CZ85" s="112"/>
      <c r="DA85" s="112"/>
      <c r="DB85" s="112"/>
      <c r="DC85" s="112"/>
      <c r="DD85" s="112"/>
      <c r="DE85" s="112"/>
      <c r="DF85" s="112"/>
      <c r="DG85" s="112"/>
      <c r="DH85" s="516">
        <f t="shared" si="146"/>
        <v>252</v>
      </c>
      <c r="DI85" s="2">
        <f t="shared" si="199"/>
        <v>292</v>
      </c>
      <c r="DJ85" s="169">
        <f t="shared" si="200"/>
        <v>252</v>
      </c>
      <c r="DK85" s="169">
        <f t="shared" si="223"/>
        <v>40</v>
      </c>
      <c r="DL85" s="113">
        <f t="shared" si="201"/>
        <v>6.0869565217391307E-2</v>
      </c>
      <c r="DM85" s="113">
        <f t="shared" si="202"/>
        <v>0.10787671232876712</v>
      </c>
      <c r="DN85" s="113">
        <v>0.6</v>
      </c>
      <c r="DO85" s="113"/>
      <c r="DP85" s="113"/>
      <c r="DQ85" s="272">
        <v>420</v>
      </c>
      <c r="DR85" s="169"/>
      <c r="DS85" s="169"/>
      <c r="DT85" s="78">
        <f t="shared" si="96"/>
        <v>420</v>
      </c>
      <c r="DU85" s="175">
        <f t="shared" si="97"/>
        <v>3712.7</v>
      </c>
      <c r="DV85" s="169">
        <v>3833</v>
      </c>
      <c r="DW85" s="170">
        <f t="shared" si="203"/>
        <v>538.30000000000007</v>
      </c>
      <c r="DX85" s="534">
        <f t="shared" si="89"/>
        <v>521.30000000000007</v>
      </c>
      <c r="DY85" s="534">
        <f t="shared" si="90"/>
        <v>343.2</v>
      </c>
      <c r="DZ85" s="113">
        <f t="shared" si="226"/>
        <v>1.3</v>
      </c>
      <c r="EA85" s="169">
        <v>401</v>
      </c>
      <c r="EB85" s="169">
        <v>264</v>
      </c>
      <c r="EC85" s="175">
        <f t="shared" si="218"/>
        <v>178.10000000000008</v>
      </c>
      <c r="ED85" s="175">
        <v>0</v>
      </c>
      <c r="EE85" s="175">
        <f t="shared" si="204"/>
        <v>178.10000000000008</v>
      </c>
      <c r="EF85" s="175"/>
      <c r="EG85" s="169">
        <v>17</v>
      </c>
      <c r="EH85" s="78">
        <f t="shared" si="205"/>
        <v>238.30000000000007</v>
      </c>
      <c r="EI85" s="169">
        <v>1017</v>
      </c>
      <c r="EJ85" s="169">
        <v>1292</v>
      </c>
      <c r="EK85" s="169"/>
      <c r="EL85" s="169"/>
      <c r="EM85" s="169"/>
      <c r="EN85" s="169"/>
      <c r="EO85" s="169">
        <v>1344</v>
      </c>
      <c r="EP85" s="169">
        <v>1382</v>
      </c>
      <c r="EQ85" s="175">
        <f t="shared" si="150"/>
        <v>4396</v>
      </c>
      <c r="ER85" s="2">
        <f t="shared" si="206"/>
        <v>4186</v>
      </c>
      <c r="ES85" s="262">
        <f t="shared" si="98"/>
        <v>0.95222929936305734</v>
      </c>
      <c r="ET85" s="262"/>
      <c r="EU85" s="262"/>
      <c r="EV85" s="262"/>
      <c r="EW85" s="598"/>
      <c r="EX85" s="598"/>
      <c r="EY85" s="1126"/>
      <c r="EZ85" s="598"/>
      <c r="FA85" s="598"/>
      <c r="FB85" s="598"/>
      <c r="FC85" s="598"/>
      <c r="FD85" s="598"/>
      <c r="FE85" s="979"/>
      <c r="FF85" s="1048"/>
      <c r="FG85" s="518"/>
      <c r="FH85" s="598"/>
      <c r="FI85" s="310">
        <f t="shared" si="207"/>
        <v>-38</v>
      </c>
      <c r="FJ85" s="2">
        <f t="shared" si="208"/>
        <v>-38</v>
      </c>
      <c r="FK85" s="273">
        <f t="shared" si="224"/>
        <v>57</v>
      </c>
      <c r="FL85" s="519">
        <v>57</v>
      </c>
      <c r="FM85" s="518"/>
      <c r="FN85" s="518"/>
      <c r="FO85" s="518"/>
      <c r="FP85" s="518"/>
      <c r="FQ85" s="518"/>
      <c r="FR85" s="518"/>
      <c r="FS85" s="1049"/>
      <c r="FT85" s="310">
        <v>183</v>
      </c>
      <c r="FU85" s="518"/>
      <c r="FV85" s="518"/>
      <c r="FW85" s="518"/>
      <c r="FX85" s="518"/>
      <c r="FY85" s="518"/>
      <c r="FZ85" s="115"/>
      <c r="GA85" s="115"/>
      <c r="GB85" s="115"/>
      <c r="GC85" s="115"/>
      <c r="GD85" s="115"/>
      <c r="GE85" s="115"/>
      <c r="GF85" s="115"/>
      <c r="GG85" s="115"/>
      <c r="GH85" s="115"/>
      <c r="GI85" s="115"/>
      <c r="GJ85" s="115"/>
      <c r="GK85" s="1055">
        <f>-53+27</f>
        <v>-26</v>
      </c>
      <c r="GL85" s="115"/>
      <c r="GM85" s="115"/>
      <c r="GN85" s="115"/>
      <c r="GO85" s="115"/>
      <c r="GP85" s="310">
        <f t="shared" si="209"/>
        <v>178.10000000000008</v>
      </c>
      <c r="GQ85" s="115"/>
      <c r="GR85" s="115"/>
      <c r="GS85" s="115"/>
      <c r="GT85" s="115"/>
      <c r="GU85" s="991">
        <f t="shared" si="225"/>
        <v>-204.10000000000008</v>
      </c>
      <c r="GW85" s="1063">
        <f>DataUK4!D237+DataUK4!F237</f>
        <v>318.20000000000005</v>
      </c>
      <c r="GX85" s="115"/>
      <c r="GY85" s="615">
        <f t="shared" si="210"/>
        <v>266.97275541795682</v>
      </c>
      <c r="GZ85" s="115"/>
      <c r="HA85" s="115"/>
      <c r="HB85" s="115"/>
      <c r="HC85" s="1051"/>
      <c r="HD85" s="170">
        <f t="shared" si="147"/>
        <v>237</v>
      </c>
      <c r="HE85" s="301">
        <f t="shared" si="151"/>
        <v>327</v>
      </c>
      <c r="HF85" s="301">
        <f t="shared" si="152"/>
        <v>90</v>
      </c>
      <c r="HG85" s="170">
        <f t="shared" si="211"/>
        <v>0</v>
      </c>
      <c r="HH85" s="301">
        <v>0</v>
      </c>
      <c r="HI85" s="301">
        <v>0</v>
      </c>
      <c r="HJ85" s="2">
        <v>0</v>
      </c>
      <c r="HK85" s="2">
        <v>0</v>
      </c>
      <c r="HL85" s="2">
        <v>0</v>
      </c>
      <c r="HM85" s="2">
        <f t="shared" si="212"/>
        <v>0</v>
      </c>
      <c r="HN85" s="2">
        <v>0</v>
      </c>
      <c r="HO85" s="2">
        <v>0</v>
      </c>
      <c r="HP85" s="2">
        <v>0</v>
      </c>
      <c r="HQ85" s="2">
        <v>0</v>
      </c>
      <c r="HR85" s="2">
        <v>0</v>
      </c>
      <c r="HS85" s="1052">
        <v>0</v>
      </c>
      <c r="HT85" s="1002">
        <v>18.5</v>
      </c>
      <c r="HU85" s="1002">
        <f t="shared" si="213"/>
        <v>2.260450160771704</v>
      </c>
      <c r="HV85" s="1002">
        <f t="shared" si="214"/>
        <v>2.617363344051447</v>
      </c>
    </row>
    <row r="86" spans="1:230">
      <c r="A86" s="110">
        <f t="shared" si="148"/>
        <v>1927</v>
      </c>
      <c r="B86" s="176">
        <f t="shared" si="158"/>
        <v>4434</v>
      </c>
      <c r="C86" s="177">
        <f t="shared" si="145"/>
        <v>239</v>
      </c>
      <c r="D86" s="176">
        <f t="shared" si="159"/>
        <v>4195</v>
      </c>
      <c r="E86" s="154">
        <f t="shared" si="160"/>
        <v>4474</v>
      </c>
      <c r="F86" s="995">
        <f t="shared" si="161"/>
        <v>279</v>
      </c>
      <c r="G86" s="531">
        <f t="shared" si="162"/>
        <v>4573</v>
      </c>
      <c r="H86" s="531">
        <f t="shared" si="163"/>
        <v>4334</v>
      </c>
      <c r="I86" s="531">
        <f t="shared" si="164"/>
        <v>4613</v>
      </c>
      <c r="J86" s="548">
        <f t="shared" si="165"/>
        <v>0.96986776501192284</v>
      </c>
      <c r="K86" s="515">
        <f t="shared" si="215"/>
        <v>479</v>
      </c>
      <c r="L86" s="175">
        <v>499</v>
      </c>
      <c r="M86" s="175">
        <v>20</v>
      </c>
      <c r="N86" s="111"/>
      <c r="O86" s="111"/>
      <c r="P86" s="111"/>
      <c r="Q86" s="111"/>
      <c r="R86" s="111"/>
      <c r="S86" s="532">
        <f t="shared" si="149"/>
        <v>0.12111251580278129</v>
      </c>
      <c r="T86" s="1008">
        <f t="shared" si="166"/>
        <v>171.26</v>
      </c>
      <c r="U86" s="1010">
        <f t="shared" si="167"/>
        <v>171.26</v>
      </c>
      <c r="V86" s="511">
        <f t="shared" si="168"/>
        <v>216</v>
      </c>
      <c r="W86" s="2">
        <f t="shared" si="169"/>
        <v>216</v>
      </c>
      <c r="X86" s="169">
        <f t="shared" si="170"/>
        <v>44.74</v>
      </c>
      <c r="Y86" s="113">
        <f t="shared" si="171"/>
        <v>0.20712962962962964</v>
      </c>
      <c r="Z86" s="113">
        <f t="shared" si="172"/>
        <v>0.20712962962962964</v>
      </c>
      <c r="AA86" s="113"/>
      <c r="AB86" s="1019">
        <v>0.01</v>
      </c>
      <c r="AC86" s="113"/>
      <c r="AD86" s="113"/>
      <c r="AE86" s="113"/>
      <c r="AF86" s="113"/>
      <c r="AG86" s="113"/>
      <c r="AH86" s="113"/>
      <c r="AI86" s="113"/>
      <c r="AJ86" s="171">
        <f t="shared" si="173"/>
        <v>1025.1592060747314</v>
      </c>
      <c r="AK86" s="1026">
        <f t="shared" si="174"/>
        <v>150.1</v>
      </c>
      <c r="AL86" s="169">
        <f t="shared" si="175"/>
        <v>1079.1149537628751</v>
      </c>
      <c r="AM86" s="169">
        <f t="shared" si="216"/>
        <v>158</v>
      </c>
      <c r="AN86" s="169">
        <f t="shared" si="176"/>
        <v>640.04425231185621</v>
      </c>
      <c r="AO86" s="1027">
        <f>AT86+AU86+AQ86</f>
        <v>694</v>
      </c>
      <c r="AP86" s="169">
        <v>311</v>
      </c>
      <c r="AQ86" s="169">
        <v>41</v>
      </c>
      <c r="AR86" s="78">
        <f t="shared" si="217"/>
        <v>270</v>
      </c>
      <c r="AS86" s="169">
        <v>653</v>
      </c>
      <c r="AT86" s="169">
        <v>43</v>
      </c>
      <c r="AU86" s="169">
        <v>610</v>
      </c>
      <c r="AV86" s="112"/>
      <c r="AW86" s="175">
        <f t="shared" si="143"/>
        <v>478</v>
      </c>
      <c r="AX86" s="169">
        <v>478</v>
      </c>
      <c r="AY86" s="169"/>
      <c r="AZ86" s="170">
        <v>48</v>
      </c>
      <c r="BA86" s="113">
        <f t="shared" si="219"/>
        <v>0.18681857160357712</v>
      </c>
      <c r="BB86" s="170"/>
      <c r="BC86" s="112"/>
      <c r="BD86" s="112"/>
      <c r="BE86" s="112"/>
      <c r="BF86" s="170">
        <v>122</v>
      </c>
      <c r="BG86" s="113">
        <f t="shared" si="220"/>
        <v>0.45185185185185184</v>
      </c>
      <c r="BH86" s="112"/>
      <c r="BI86" s="1031">
        <v>2505</v>
      </c>
      <c r="BJ86" s="2">
        <f t="shared" si="177"/>
        <v>2505</v>
      </c>
      <c r="BK86" s="169">
        <v>74</v>
      </c>
      <c r="BL86" s="169">
        <f t="shared" si="178"/>
        <v>158</v>
      </c>
      <c r="BM86" s="1031">
        <f t="shared" si="179"/>
        <v>385.11495376287502</v>
      </c>
      <c r="BN86" s="310">
        <f t="shared" si="180"/>
        <v>311.11495376287502</v>
      </c>
      <c r="BO86" s="262">
        <f t="shared" si="181"/>
        <v>0.14434917733690938</v>
      </c>
      <c r="BP86" s="262">
        <f t="shared" si="182"/>
        <v>0.15651781686964367</v>
      </c>
      <c r="BQ86" s="262">
        <f t="shared" si="183"/>
        <v>8.6854973785041728E-2</v>
      </c>
      <c r="BR86" s="262">
        <f t="shared" si="184"/>
        <v>0.1537385044961577</v>
      </c>
      <c r="BS86" s="988">
        <f t="shared" si="185"/>
        <v>0.55492068265543948</v>
      </c>
      <c r="BT86" s="534">
        <f t="shared" si="186"/>
        <v>53.955747688143759</v>
      </c>
      <c r="BU86" s="534">
        <f t="shared" si="187"/>
        <v>7.9</v>
      </c>
      <c r="BV86" s="113">
        <v>0.05</v>
      </c>
      <c r="BW86" s="276">
        <f t="shared" si="188"/>
        <v>1.205984525886092E-2</v>
      </c>
      <c r="BX86" s="272">
        <f t="shared" si="189"/>
        <v>98.695747688143769</v>
      </c>
      <c r="BY86" s="113"/>
      <c r="BZ86" s="1035"/>
      <c r="CA86" s="1038"/>
      <c r="CB86" s="2">
        <f t="shared" si="221"/>
        <v>3955</v>
      </c>
      <c r="CC86" s="2">
        <f t="shared" si="222"/>
        <v>4434</v>
      </c>
      <c r="CD86" s="310">
        <f t="shared" si="190"/>
        <v>4434</v>
      </c>
      <c r="CE86" s="310">
        <f t="shared" si="191"/>
        <v>4195</v>
      </c>
      <c r="CF86" s="598"/>
      <c r="CG86" s="598"/>
      <c r="CH86" s="598"/>
      <c r="CI86" s="577">
        <v>279</v>
      </c>
      <c r="CJ86" s="577"/>
      <c r="CK86" s="577"/>
      <c r="CL86" s="517">
        <f t="shared" si="192"/>
        <v>2265.7807939252684</v>
      </c>
      <c r="CM86" s="169">
        <f t="shared" si="193"/>
        <v>2398.0850462371245</v>
      </c>
      <c r="CN86" s="170">
        <f t="shared" si="194"/>
        <v>532</v>
      </c>
      <c r="CO86" s="170">
        <f t="shared" si="195"/>
        <v>532</v>
      </c>
      <c r="CP86" s="170">
        <f t="shared" si="196"/>
        <v>1866.0850462371247</v>
      </c>
      <c r="CQ86" s="170">
        <f t="shared" si="197"/>
        <v>132.30425231185623</v>
      </c>
      <c r="CR86" s="170"/>
      <c r="CS86" s="113">
        <f t="shared" si="198"/>
        <v>2.9571804271760444E-2</v>
      </c>
      <c r="CT86" s="112"/>
      <c r="CU86" s="112"/>
      <c r="CV86" s="112"/>
      <c r="CW86" s="112"/>
      <c r="CX86" s="112"/>
      <c r="CY86" s="112"/>
      <c r="CZ86" s="112"/>
      <c r="DA86" s="112"/>
      <c r="DB86" s="112"/>
      <c r="DC86" s="112"/>
      <c r="DD86" s="112"/>
      <c r="DE86" s="112"/>
      <c r="DF86" s="112"/>
      <c r="DG86" s="112"/>
      <c r="DH86" s="516">
        <f t="shared" si="146"/>
        <v>253.79999999999995</v>
      </c>
      <c r="DI86" s="2">
        <f t="shared" si="199"/>
        <v>301.79999999999995</v>
      </c>
      <c r="DJ86" s="169">
        <f t="shared" si="200"/>
        <v>253.79999999999998</v>
      </c>
      <c r="DK86" s="169">
        <f t="shared" si="223"/>
        <v>48</v>
      </c>
      <c r="DL86" s="113">
        <f t="shared" si="201"/>
        <v>5.7239512855209736E-2</v>
      </c>
      <c r="DM86" s="113">
        <f t="shared" si="202"/>
        <v>0.10131736526946107</v>
      </c>
      <c r="DN86" s="113">
        <v>0.6</v>
      </c>
      <c r="DO86" s="113"/>
      <c r="DP86" s="113"/>
      <c r="DQ86" s="272">
        <v>423</v>
      </c>
      <c r="DR86" s="169"/>
      <c r="DS86" s="169"/>
      <c r="DT86" s="78">
        <f t="shared" si="96"/>
        <v>423</v>
      </c>
      <c r="DU86" s="175">
        <f t="shared" si="97"/>
        <v>3759.2</v>
      </c>
      <c r="DV86" s="169">
        <v>3887</v>
      </c>
      <c r="DW86" s="170">
        <f t="shared" si="203"/>
        <v>597.80000000000007</v>
      </c>
      <c r="DX86" s="534">
        <f t="shared" si="89"/>
        <v>553.80000000000007</v>
      </c>
      <c r="DY86" s="534">
        <f t="shared" si="90"/>
        <v>367.90000000000003</v>
      </c>
      <c r="DZ86" s="113">
        <f t="shared" si="226"/>
        <v>1.3</v>
      </c>
      <c r="EA86" s="169">
        <v>426</v>
      </c>
      <c r="EB86" s="169">
        <v>283</v>
      </c>
      <c r="EC86" s="175">
        <f t="shared" si="218"/>
        <v>185.90000000000003</v>
      </c>
      <c r="ED86" s="175">
        <v>0</v>
      </c>
      <c r="EE86" s="175">
        <f t="shared" si="204"/>
        <v>185.90000000000003</v>
      </c>
      <c r="EF86" s="175"/>
      <c r="EG86" s="169">
        <v>44</v>
      </c>
      <c r="EH86" s="78">
        <f t="shared" si="205"/>
        <v>274.80000000000007</v>
      </c>
      <c r="EI86" s="169">
        <v>1090</v>
      </c>
      <c r="EJ86" s="169">
        <v>1257</v>
      </c>
      <c r="EK86" s="169"/>
      <c r="EL86" s="169"/>
      <c r="EM86" s="169"/>
      <c r="EN86" s="169"/>
      <c r="EO86" s="169">
        <v>1418</v>
      </c>
      <c r="EP86" s="169">
        <v>1346</v>
      </c>
      <c r="EQ86" s="175">
        <f t="shared" si="150"/>
        <v>4613</v>
      </c>
      <c r="ER86" s="2">
        <f t="shared" si="206"/>
        <v>4474</v>
      </c>
      <c r="ES86" s="262">
        <f t="shared" si="98"/>
        <v>0.96986776501192284</v>
      </c>
      <c r="ET86" s="262"/>
      <c r="EU86" s="262"/>
      <c r="EV86" s="262"/>
      <c r="EW86" s="598"/>
      <c r="EX86" s="598"/>
      <c r="EY86" s="1126"/>
      <c r="EZ86" s="598"/>
      <c r="FA86" s="598"/>
      <c r="FB86" s="598"/>
      <c r="FC86" s="598"/>
      <c r="FD86" s="598"/>
      <c r="FE86" s="979"/>
      <c r="FF86" s="1048"/>
      <c r="FG86" s="518"/>
      <c r="FH86" s="598"/>
      <c r="FI86" s="310">
        <f t="shared" si="207"/>
        <v>72</v>
      </c>
      <c r="FJ86" s="2">
        <f t="shared" si="208"/>
        <v>72</v>
      </c>
      <c r="FK86" s="273">
        <f t="shared" si="224"/>
        <v>178</v>
      </c>
      <c r="FL86" s="519">
        <v>178</v>
      </c>
      <c r="FM86" s="518"/>
      <c r="FN86" s="518"/>
      <c r="FO86" s="518"/>
      <c r="FP86" s="518"/>
      <c r="FQ86" s="518"/>
      <c r="FR86" s="518"/>
      <c r="FS86" s="1049"/>
      <c r="FT86" s="310">
        <v>219</v>
      </c>
      <c r="FU86" s="518"/>
      <c r="FV86" s="518"/>
      <c r="FW86" s="518"/>
      <c r="FX86" s="518"/>
      <c r="FY86" s="518"/>
      <c r="FZ86" s="115"/>
      <c r="GA86" s="115"/>
      <c r="GB86" s="115"/>
      <c r="GC86" s="115"/>
      <c r="GD86" s="115"/>
      <c r="GE86" s="115"/>
      <c r="GF86" s="115"/>
      <c r="GG86" s="115"/>
      <c r="GH86" s="115"/>
      <c r="GI86" s="115"/>
      <c r="GJ86" s="115"/>
      <c r="GK86" s="1055">
        <f>-4+44</f>
        <v>40</v>
      </c>
      <c r="GL86" s="115"/>
      <c r="GM86" s="115"/>
      <c r="GN86" s="115"/>
      <c r="GO86" s="115"/>
      <c r="GP86" s="310">
        <f t="shared" si="209"/>
        <v>185.90000000000003</v>
      </c>
      <c r="GQ86" s="115"/>
      <c r="GR86" s="115"/>
      <c r="GS86" s="115"/>
      <c r="GT86" s="115"/>
      <c r="GU86" s="991">
        <f t="shared" si="225"/>
        <v>-145.90000000000003</v>
      </c>
      <c r="GW86" s="1063">
        <f>DataUK4!D238+DataUK4!F238</f>
        <v>313.40000000000003</v>
      </c>
      <c r="GX86" s="115"/>
      <c r="GY86" s="615">
        <f t="shared" si="210"/>
        <v>262.94551083591347</v>
      </c>
      <c r="GZ86" s="115"/>
      <c r="HA86" s="115"/>
      <c r="HB86" s="115"/>
      <c r="HC86" s="1051"/>
      <c r="HD86" s="170">
        <f t="shared" si="147"/>
        <v>239</v>
      </c>
      <c r="HE86" s="301">
        <f t="shared" si="151"/>
        <v>328</v>
      </c>
      <c r="HF86" s="301">
        <f t="shared" si="152"/>
        <v>89</v>
      </c>
      <c r="HG86" s="170">
        <f t="shared" si="211"/>
        <v>0</v>
      </c>
      <c r="HH86" s="301">
        <v>0</v>
      </c>
      <c r="HI86" s="301">
        <v>0</v>
      </c>
      <c r="HJ86" s="2">
        <v>0</v>
      </c>
      <c r="HK86" s="2">
        <v>0</v>
      </c>
      <c r="HL86" s="2">
        <v>0</v>
      </c>
      <c r="HM86" s="2">
        <f t="shared" si="212"/>
        <v>0</v>
      </c>
      <c r="HN86" s="2">
        <v>0</v>
      </c>
      <c r="HO86" s="2">
        <v>0</v>
      </c>
      <c r="HP86" s="2">
        <v>0</v>
      </c>
      <c r="HQ86" s="2">
        <v>0</v>
      </c>
      <c r="HR86" s="2">
        <v>0</v>
      </c>
      <c r="HS86" s="1052">
        <v>0</v>
      </c>
      <c r="HT86" s="1002">
        <v>18</v>
      </c>
      <c r="HU86" s="1002">
        <f t="shared" si="213"/>
        <v>2.1993569131832795</v>
      </c>
      <c r="HV86" s="1002">
        <f t="shared" si="214"/>
        <v>2.5466237942122185</v>
      </c>
    </row>
    <row r="87" spans="1:230">
      <c r="A87" s="110">
        <f t="shared" si="148"/>
        <v>1928</v>
      </c>
      <c r="B87" s="176">
        <f t="shared" si="158"/>
        <v>4471</v>
      </c>
      <c r="C87" s="177">
        <f t="shared" si="145"/>
        <v>240</v>
      </c>
      <c r="D87" s="176">
        <f t="shared" si="159"/>
        <v>4231</v>
      </c>
      <c r="E87" s="154">
        <f t="shared" si="160"/>
        <v>4515</v>
      </c>
      <c r="F87" s="995">
        <f t="shared" si="161"/>
        <v>284</v>
      </c>
      <c r="G87" s="531">
        <f t="shared" si="162"/>
        <v>4615</v>
      </c>
      <c r="H87" s="531">
        <f t="shared" si="163"/>
        <v>4375</v>
      </c>
      <c r="I87" s="531">
        <f t="shared" si="164"/>
        <v>4659</v>
      </c>
      <c r="J87" s="548">
        <f t="shared" si="165"/>
        <v>0.96909207984546042</v>
      </c>
      <c r="K87" s="515">
        <f t="shared" si="215"/>
        <v>493</v>
      </c>
      <c r="L87" s="175">
        <v>513</v>
      </c>
      <c r="M87" s="175">
        <v>20</v>
      </c>
      <c r="N87" s="111"/>
      <c r="O87" s="111"/>
      <c r="P87" s="111"/>
      <c r="Q87" s="111"/>
      <c r="R87" s="111"/>
      <c r="S87" s="532">
        <f t="shared" si="149"/>
        <v>0.12393162393162394</v>
      </c>
      <c r="T87" s="1008">
        <f t="shared" si="166"/>
        <v>186.85</v>
      </c>
      <c r="U87" s="1010">
        <f t="shared" si="167"/>
        <v>186.85</v>
      </c>
      <c r="V87" s="511">
        <f t="shared" si="168"/>
        <v>232</v>
      </c>
      <c r="W87" s="2">
        <f t="shared" si="169"/>
        <v>232</v>
      </c>
      <c r="X87" s="169">
        <f t="shared" si="170"/>
        <v>45.15</v>
      </c>
      <c r="Y87" s="113">
        <f t="shared" si="171"/>
        <v>0.19461206896551725</v>
      </c>
      <c r="Z87" s="113">
        <f t="shared" si="172"/>
        <v>0.19461206896551725</v>
      </c>
      <c r="AA87" s="113"/>
      <c r="AB87" s="1019">
        <v>0.01</v>
      </c>
      <c r="AC87" s="113"/>
      <c r="AD87" s="113"/>
      <c r="AE87" s="113"/>
      <c r="AF87" s="113"/>
      <c r="AG87" s="113"/>
      <c r="AH87" s="113"/>
      <c r="AI87" s="113"/>
      <c r="AJ87" s="171">
        <f t="shared" si="173"/>
        <v>1048.794000451094</v>
      </c>
      <c r="AK87" s="1026">
        <f t="shared" si="174"/>
        <v>153.9</v>
      </c>
      <c r="AL87" s="169">
        <f t="shared" si="175"/>
        <v>1103.993684685362</v>
      </c>
      <c r="AM87" s="169">
        <f t="shared" si="216"/>
        <v>162</v>
      </c>
      <c r="AN87" s="169">
        <f t="shared" si="176"/>
        <v>654.80031576573185</v>
      </c>
      <c r="AO87" s="1027">
        <f t="shared" si="140"/>
        <v>710</v>
      </c>
      <c r="AP87" s="169">
        <v>330</v>
      </c>
      <c r="AQ87" s="169">
        <v>40</v>
      </c>
      <c r="AR87" s="78">
        <f t="shared" si="217"/>
        <v>290</v>
      </c>
      <c r="AS87" s="169">
        <v>670</v>
      </c>
      <c r="AT87" s="169">
        <v>48</v>
      </c>
      <c r="AU87" s="169">
        <v>622</v>
      </c>
      <c r="AV87" s="112"/>
      <c r="AW87" s="175">
        <f t="shared" si="143"/>
        <v>474</v>
      </c>
      <c r="AX87" s="169">
        <v>474</v>
      </c>
      <c r="AY87" s="169"/>
      <c r="AZ87" s="170">
        <v>51</v>
      </c>
      <c r="BA87" s="113">
        <f t="shared" si="219"/>
        <v>0.19056372549019607</v>
      </c>
      <c r="BB87" s="170"/>
      <c r="BC87" s="112"/>
      <c r="BD87" s="112"/>
      <c r="BE87" s="112"/>
      <c r="BF87" s="170">
        <v>133</v>
      </c>
      <c r="BG87" s="113">
        <f t="shared" si="220"/>
        <v>0.45862068965517239</v>
      </c>
      <c r="BH87" s="112"/>
      <c r="BI87" s="1031">
        <v>2497</v>
      </c>
      <c r="BJ87" s="2">
        <f t="shared" si="177"/>
        <v>2497</v>
      </c>
      <c r="BK87" s="169">
        <v>74</v>
      </c>
      <c r="BL87" s="169">
        <f t="shared" si="178"/>
        <v>162</v>
      </c>
      <c r="BM87" s="1031">
        <f t="shared" si="179"/>
        <v>393.99368468536204</v>
      </c>
      <c r="BN87" s="310">
        <f t="shared" si="180"/>
        <v>319.99368468536204</v>
      </c>
      <c r="BO87" s="262">
        <f t="shared" si="181"/>
        <v>0.14645500240790246</v>
      </c>
      <c r="BP87" s="262">
        <f t="shared" si="182"/>
        <v>0.15880116305077163</v>
      </c>
      <c r="BQ87" s="262">
        <f t="shared" si="183"/>
        <v>8.8122049806611952E-2</v>
      </c>
      <c r="BR87" s="262">
        <f t="shared" si="184"/>
        <v>0.15778681805581179</v>
      </c>
      <c r="BS87" s="988">
        <f t="shared" si="185"/>
        <v>0.55492068265543948</v>
      </c>
      <c r="BT87" s="534">
        <f t="shared" si="186"/>
        <v>55.199684234268105</v>
      </c>
      <c r="BU87" s="534">
        <f t="shared" si="187"/>
        <v>8.1</v>
      </c>
      <c r="BV87" s="113">
        <v>0.05</v>
      </c>
      <c r="BW87" s="276">
        <f t="shared" si="188"/>
        <v>1.2225843684223279E-2</v>
      </c>
      <c r="BX87" s="272">
        <f t="shared" si="189"/>
        <v>100.3496842342681</v>
      </c>
      <c r="BY87" s="113"/>
      <c r="BZ87" s="1035"/>
      <c r="CA87" s="1038"/>
      <c r="CB87" s="2">
        <f t="shared" si="221"/>
        <v>3978</v>
      </c>
      <c r="CC87" s="2">
        <f t="shared" si="222"/>
        <v>4471</v>
      </c>
      <c r="CD87" s="310">
        <f t="shared" si="190"/>
        <v>4471</v>
      </c>
      <c r="CE87" s="310">
        <f t="shared" si="191"/>
        <v>4231</v>
      </c>
      <c r="CF87" s="598"/>
      <c r="CG87" s="598"/>
      <c r="CH87" s="598"/>
      <c r="CI87" s="577">
        <v>284</v>
      </c>
      <c r="CJ87" s="577"/>
      <c r="CK87" s="577"/>
      <c r="CL87" s="517">
        <f t="shared" si="192"/>
        <v>2247.3559995489059</v>
      </c>
      <c r="CM87" s="169">
        <f t="shared" si="193"/>
        <v>2380.006315314638</v>
      </c>
      <c r="CN87" s="170">
        <f t="shared" si="194"/>
        <v>532</v>
      </c>
      <c r="CO87" s="170">
        <f t="shared" si="195"/>
        <v>532</v>
      </c>
      <c r="CP87" s="170">
        <f t="shared" si="196"/>
        <v>1848.006315314638</v>
      </c>
      <c r="CQ87" s="170">
        <f t="shared" si="197"/>
        <v>132.65031576573188</v>
      </c>
      <c r="CR87" s="170"/>
      <c r="CS87" s="113">
        <f t="shared" si="198"/>
        <v>2.9379914898279486E-2</v>
      </c>
      <c r="CT87" s="112"/>
      <c r="CU87" s="112"/>
      <c r="CV87" s="112"/>
      <c r="CW87" s="112"/>
      <c r="CX87" s="112"/>
      <c r="CY87" s="112"/>
      <c r="CZ87" s="112"/>
      <c r="DA87" s="112"/>
      <c r="DB87" s="112"/>
      <c r="DC87" s="112"/>
      <c r="DD87" s="112"/>
      <c r="DE87" s="112"/>
      <c r="DF87" s="112"/>
      <c r="DG87" s="112"/>
      <c r="DH87" s="516">
        <f t="shared" ref="DH87:DH118" si="227">DI87-DK87</f>
        <v>255</v>
      </c>
      <c r="DI87" s="2">
        <f t="shared" si="199"/>
        <v>306</v>
      </c>
      <c r="DJ87" s="169">
        <f t="shared" si="200"/>
        <v>255</v>
      </c>
      <c r="DK87" s="169">
        <f t="shared" si="223"/>
        <v>51</v>
      </c>
      <c r="DL87" s="113">
        <f t="shared" si="201"/>
        <v>5.7034220532319393E-2</v>
      </c>
      <c r="DM87" s="113">
        <f t="shared" si="202"/>
        <v>0.10212254705646776</v>
      </c>
      <c r="DN87" s="113">
        <v>0.6</v>
      </c>
      <c r="DO87" s="113"/>
      <c r="DP87" s="113"/>
      <c r="DQ87" s="272">
        <v>425</v>
      </c>
      <c r="DR87" s="169"/>
      <c r="DS87" s="169"/>
      <c r="DT87" s="78">
        <f t="shared" si="96"/>
        <v>425</v>
      </c>
      <c r="DU87" s="175">
        <f t="shared" si="97"/>
        <v>3813</v>
      </c>
      <c r="DV87" s="169">
        <v>3939</v>
      </c>
      <c r="DW87" s="170">
        <f t="shared" si="203"/>
        <v>564</v>
      </c>
      <c r="DX87" s="534">
        <f t="shared" si="89"/>
        <v>546</v>
      </c>
      <c r="DY87" s="534">
        <f t="shared" si="90"/>
        <v>383.5</v>
      </c>
      <c r="DZ87" s="113">
        <f t="shared" si="226"/>
        <v>1.3</v>
      </c>
      <c r="EA87" s="169">
        <v>420</v>
      </c>
      <c r="EB87" s="169">
        <v>295</v>
      </c>
      <c r="EC87" s="175">
        <f t="shared" si="218"/>
        <v>162.5</v>
      </c>
      <c r="ED87" s="175">
        <v>0</v>
      </c>
      <c r="EE87" s="175">
        <f t="shared" si="204"/>
        <v>162.5</v>
      </c>
      <c r="EF87" s="175"/>
      <c r="EG87" s="169">
        <v>18</v>
      </c>
      <c r="EH87" s="78">
        <f t="shared" si="205"/>
        <v>262</v>
      </c>
      <c r="EI87" s="169">
        <v>1092</v>
      </c>
      <c r="EJ87" s="169">
        <v>1235</v>
      </c>
      <c r="EK87" s="169"/>
      <c r="EL87" s="169"/>
      <c r="EM87" s="169"/>
      <c r="EN87" s="169"/>
      <c r="EO87" s="169">
        <v>1422</v>
      </c>
      <c r="EP87" s="169">
        <v>1325</v>
      </c>
      <c r="EQ87" s="175">
        <f t="shared" si="150"/>
        <v>4659</v>
      </c>
      <c r="ER87" s="2">
        <f t="shared" si="206"/>
        <v>4515</v>
      </c>
      <c r="ES87" s="262">
        <f t="shared" si="98"/>
        <v>0.96909207984546042</v>
      </c>
      <c r="ET87" s="262"/>
      <c r="EU87" s="262"/>
      <c r="EV87" s="262"/>
      <c r="EW87" s="598"/>
      <c r="EX87" s="598"/>
      <c r="EY87" s="1126"/>
      <c r="EZ87" s="598"/>
      <c r="FA87" s="598"/>
      <c r="FB87" s="598"/>
      <c r="FC87" s="598"/>
      <c r="FD87" s="598"/>
      <c r="FE87" s="979"/>
      <c r="FF87" s="1048"/>
      <c r="FG87" s="518"/>
      <c r="FH87" s="598"/>
      <c r="FI87" s="310">
        <f t="shared" si="207"/>
        <v>97</v>
      </c>
      <c r="FJ87" s="2">
        <f t="shared" si="208"/>
        <v>97</v>
      </c>
      <c r="FK87" s="273">
        <f t="shared" si="224"/>
        <v>157</v>
      </c>
      <c r="FL87" s="519">
        <v>157</v>
      </c>
      <c r="FM87" s="518"/>
      <c r="FN87" s="518"/>
      <c r="FO87" s="518"/>
      <c r="FP87" s="518"/>
      <c r="FQ87" s="518"/>
      <c r="FR87" s="518"/>
      <c r="FS87" s="1049"/>
      <c r="FT87" s="310">
        <v>214</v>
      </c>
      <c r="FU87" s="518"/>
      <c r="FV87" s="518"/>
      <c r="FW87" s="518"/>
      <c r="FX87" s="518"/>
      <c r="FY87" s="518"/>
      <c r="FZ87" s="115"/>
      <c r="GA87" s="115"/>
      <c r="GB87" s="115"/>
      <c r="GC87" s="115"/>
      <c r="GD87" s="115"/>
      <c r="GE87" s="115"/>
      <c r="GF87" s="115"/>
      <c r="GG87" s="115"/>
      <c r="GH87" s="115"/>
      <c r="GI87" s="115"/>
      <c r="GJ87" s="115"/>
      <c r="GK87" s="1055">
        <f>-11+47</f>
        <v>36</v>
      </c>
      <c r="GL87" s="115"/>
      <c r="GM87" s="115"/>
      <c r="GN87" s="115"/>
      <c r="GO87" s="115"/>
      <c r="GP87" s="310">
        <f t="shared" si="209"/>
        <v>162.5</v>
      </c>
      <c r="GQ87" s="115"/>
      <c r="GR87" s="115"/>
      <c r="GS87" s="115"/>
      <c r="GT87" s="115"/>
      <c r="GU87" s="991">
        <f t="shared" si="225"/>
        <v>-126.5</v>
      </c>
      <c r="GW87" s="1063">
        <f>DataUK4!D239+DataUK4!F239</f>
        <v>311.10000000000002</v>
      </c>
      <c r="GX87" s="115"/>
      <c r="GY87" s="615">
        <f t="shared" si="210"/>
        <v>261.01578947368432</v>
      </c>
      <c r="GZ87" s="115"/>
      <c r="HA87" s="115"/>
      <c r="HB87" s="115"/>
      <c r="HC87" s="1051"/>
      <c r="HD87" s="170">
        <f t="shared" si="147"/>
        <v>240</v>
      </c>
      <c r="HE87" s="301">
        <f t="shared" si="151"/>
        <v>330</v>
      </c>
      <c r="HF87" s="301">
        <f t="shared" si="152"/>
        <v>90</v>
      </c>
      <c r="HG87" s="170">
        <f t="shared" si="211"/>
        <v>0</v>
      </c>
      <c r="HH87" s="301">
        <v>0</v>
      </c>
      <c r="HI87" s="301">
        <v>0</v>
      </c>
      <c r="HJ87" s="2">
        <v>0</v>
      </c>
      <c r="HK87" s="2">
        <v>0</v>
      </c>
      <c r="HL87" s="2">
        <v>0</v>
      </c>
      <c r="HM87" s="2">
        <f t="shared" si="212"/>
        <v>0</v>
      </c>
      <c r="HN87" s="2">
        <v>0</v>
      </c>
      <c r="HO87" s="2">
        <v>0</v>
      </c>
      <c r="HP87" s="2">
        <v>0</v>
      </c>
      <c r="HQ87" s="2">
        <v>0</v>
      </c>
      <c r="HR87" s="2">
        <v>0</v>
      </c>
      <c r="HS87" s="1052">
        <v>0</v>
      </c>
      <c r="HT87" s="1002">
        <v>18</v>
      </c>
      <c r="HU87" s="1002">
        <f t="shared" si="213"/>
        <v>2.1993569131832795</v>
      </c>
      <c r="HV87" s="1002">
        <f t="shared" si="214"/>
        <v>2.5466237942122185</v>
      </c>
    </row>
    <row r="88" spans="1:230">
      <c r="A88" s="110">
        <f t="shared" ref="A88:A106" si="228">A87+1</f>
        <v>1929</v>
      </c>
      <c r="B88" s="176">
        <f t="shared" si="158"/>
        <v>4523</v>
      </c>
      <c r="C88" s="177">
        <f t="shared" si="145"/>
        <v>243</v>
      </c>
      <c r="D88" s="176">
        <f t="shared" si="159"/>
        <v>4280</v>
      </c>
      <c r="E88" s="154">
        <f t="shared" si="160"/>
        <v>4573</v>
      </c>
      <c r="F88" s="995">
        <f t="shared" si="161"/>
        <v>293</v>
      </c>
      <c r="G88" s="531">
        <f t="shared" si="162"/>
        <v>4677</v>
      </c>
      <c r="H88" s="531">
        <f t="shared" si="163"/>
        <v>4434</v>
      </c>
      <c r="I88" s="531">
        <f t="shared" si="164"/>
        <v>4727</v>
      </c>
      <c r="J88" s="548">
        <f t="shared" si="165"/>
        <v>0.96742119737677179</v>
      </c>
      <c r="K88" s="515">
        <f t="shared" si="215"/>
        <v>476</v>
      </c>
      <c r="L88" s="175">
        <v>499</v>
      </c>
      <c r="M88" s="175">
        <v>23</v>
      </c>
      <c r="N88" s="111"/>
      <c r="O88" s="111"/>
      <c r="P88" s="111"/>
      <c r="Q88" s="111"/>
      <c r="R88" s="111"/>
      <c r="S88" s="532">
        <f t="shared" si="149"/>
        <v>0.11761798863355571</v>
      </c>
      <c r="T88" s="1008">
        <f t="shared" si="166"/>
        <v>199.87</v>
      </c>
      <c r="U88" s="1010">
        <f t="shared" si="167"/>
        <v>199.87</v>
      </c>
      <c r="V88" s="511">
        <f t="shared" si="168"/>
        <v>245.60000000000002</v>
      </c>
      <c r="W88" s="2">
        <f t="shared" si="169"/>
        <v>245.60000000000002</v>
      </c>
      <c r="X88" s="169">
        <f t="shared" si="170"/>
        <v>45.730000000000004</v>
      </c>
      <c r="Y88" s="113">
        <f t="shared" si="171"/>
        <v>0.18619706840390879</v>
      </c>
      <c r="Z88" s="113">
        <f t="shared" si="172"/>
        <v>0.18619706840390879</v>
      </c>
      <c r="AA88" s="113"/>
      <c r="AB88" s="1019">
        <v>0.01</v>
      </c>
      <c r="AC88" s="113"/>
      <c r="AD88" s="113"/>
      <c r="AE88" s="113"/>
      <c r="AF88" s="113"/>
      <c r="AG88" s="113"/>
      <c r="AH88" s="113"/>
      <c r="AI88" s="113"/>
      <c r="AJ88" s="171">
        <f t="shared" si="173"/>
        <v>1045.8396511540486</v>
      </c>
      <c r="AK88" s="1026">
        <f t="shared" si="174"/>
        <v>153.9</v>
      </c>
      <c r="AL88" s="169">
        <f t="shared" si="175"/>
        <v>1100.8838433200513</v>
      </c>
      <c r="AM88" s="169">
        <f t="shared" si="216"/>
        <v>162</v>
      </c>
      <c r="AN88" s="169">
        <f t="shared" si="176"/>
        <v>652.95580783399748</v>
      </c>
      <c r="AO88" s="1027">
        <f t="shared" si="140"/>
        <v>708</v>
      </c>
      <c r="AP88" s="169">
        <v>347</v>
      </c>
      <c r="AQ88" s="169">
        <v>40</v>
      </c>
      <c r="AR88" s="78">
        <f t="shared" si="217"/>
        <v>307</v>
      </c>
      <c r="AS88" s="169">
        <v>668</v>
      </c>
      <c r="AT88" s="169">
        <v>49</v>
      </c>
      <c r="AU88" s="169">
        <v>619</v>
      </c>
      <c r="AV88" s="112"/>
      <c r="AW88" s="175">
        <f t="shared" si="143"/>
        <v>485</v>
      </c>
      <c r="AX88" s="169">
        <v>485</v>
      </c>
      <c r="AY88" s="169"/>
      <c r="AZ88" s="170">
        <v>52</v>
      </c>
      <c r="BA88" s="113">
        <f t="shared" si="219"/>
        <v>0.18672699849170438</v>
      </c>
      <c r="BB88" s="170"/>
      <c r="BC88" s="112"/>
      <c r="BD88" s="112"/>
      <c r="BE88" s="112"/>
      <c r="BF88" s="170">
        <v>157</v>
      </c>
      <c r="BG88" s="113">
        <f t="shared" si="220"/>
        <v>0.51140065146579805</v>
      </c>
      <c r="BH88" s="112"/>
      <c r="BI88" s="1031">
        <v>2545</v>
      </c>
      <c r="BJ88" s="2">
        <f t="shared" si="177"/>
        <v>2545</v>
      </c>
      <c r="BK88" s="169">
        <v>73</v>
      </c>
      <c r="BL88" s="169">
        <f t="shared" si="178"/>
        <v>162</v>
      </c>
      <c r="BM88" s="1031">
        <f t="shared" si="179"/>
        <v>392.88384332005114</v>
      </c>
      <c r="BN88" s="310">
        <f t="shared" si="180"/>
        <v>319.88384332005114</v>
      </c>
      <c r="BO88" s="262">
        <f t="shared" si="181"/>
        <v>0.14436343308290903</v>
      </c>
      <c r="BP88" s="262">
        <f t="shared" si="182"/>
        <v>0.15653327437541456</v>
      </c>
      <c r="BQ88" s="262">
        <f t="shared" si="183"/>
        <v>8.6863551474696252E-2</v>
      </c>
      <c r="BR88" s="262">
        <f t="shared" si="184"/>
        <v>0.15437479108842875</v>
      </c>
      <c r="BS88" s="988">
        <f t="shared" si="185"/>
        <v>0.55492068265543948</v>
      </c>
      <c r="BT88" s="534">
        <f t="shared" si="186"/>
        <v>55.044192166002567</v>
      </c>
      <c r="BU88" s="534">
        <f t="shared" si="187"/>
        <v>8.1</v>
      </c>
      <c r="BV88" s="113">
        <v>0.05</v>
      </c>
      <c r="BW88" s="276">
        <f t="shared" si="188"/>
        <v>1.2036779393396582E-2</v>
      </c>
      <c r="BX88" s="272">
        <f t="shared" si="189"/>
        <v>100.77419216600256</v>
      </c>
      <c r="BY88" s="113"/>
      <c r="BZ88" s="1035"/>
      <c r="CA88" s="1038"/>
      <c r="CB88" s="2">
        <f t="shared" si="221"/>
        <v>4047</v>
      </c>
      <c r="CC88" s="2">
        <f t="shared" si="222"/>
        <v>4523</v>
      </c>
      <c r="CD88" s="310">
        <f t="shared" si="190"/>
        <v>4523</v>
      </c>
      <c r="CE88" s="310">
        <f t="shared" si="191"/>
        <v>4280</v>
      </c>
      <c r="CF88" s="598"/>
      <c r="CG88" s="598"/>
      <c r="CH88" s="598"/>
      <c r="CI88" s="577">
        <v>293</v>
      </c>
      <c r="CJ88" s="577"/>
      <c r="CK88" s="577"/>
      <c r="CL88" s="517">
        <f t="shared" si="192"/>
        <v>2297.2903488459515</v>
      </c>
      <c r="CM88" s="169">
        <f t="shared" si="193"/>
        <v>2437.5161566799488</v>
      </c>
      <c r="CN88" s="170">
        <f t="shared" si="194"/>
        <v>546.40000000000009</v>
      </c>
      <c r="CO88" s="170">
        <f t="shared" si="195"/>
        <v>546.40000000000009</v>
      </c>
      <c r="CP88" s="170">
        <f t="shared" si="196"/>
        <v>1891.1161566799487</v>
      </c>
      <c r="CQ88" s="170">
        <f t="shared" si="197"/>
        <v>140.22580783399741</v>
      </c>
      <c r="CR88" s="170"/>
      <c r="CS88" s="113">
        <f t="shared" si="198"/>
        <v>3.0663854763611942E-2</v>
      </c>
      <c r="CT88" s="112"/>
      <c r="CU88" s="112"/>
      <c r="CV88" s="112"/>
      <c r="CW88" s="112"/>
      <c r="CX88" s="112"/>
      <c r="CY88" s="112"/>
      <c r="CZ88" s="112"/>
      <c r="DA88" s="112"/>
      <c r="DB88" s="112"/>
      <c r="DC88" s="112"/>
      <c r="DD88" s="112"/>
      <c r="DE88" s="112"/>
      <c r="DF88" s="112"/>
      <c r="DG88" s="112"/>
      <c r="DH88" s="516">
        <f t="shared" si="227"/>
        <v>261</v>
      </c>
      <c r="DI88" s="2">
        <f t="shared" si="199"/>
        <v>313</v>
      </c>
      <c r="DJ88" s="169">
        <f t="shared" si="200"/>
        <v>261</v>
      </c>
      <c r="DK88" s="169">
        <f t="shared" si="223"/>
        <v>52</v>
      </c>
      <c r="DL88" s="113">
        <f t="shared" si="201"/>
        <v>5.7705063011275703E-2</v>
      </c>
      <c r="DM88" s="113">
        <f t="shared" si="202"/>
        <v>0.10255402750491159</v>
      </c>
      <c r="DN88" s="113">
        <v>0.6</v>
      </c>
      <c r="DO88" s="113"/>
      <c r="DP88" s="113"/>
      <c r="DQ88" s="272">
        <v>435</v>
      </c>
      <c r="DR88" s="169"/>
      <c r="DS88" s="169"/>
      <c r="DT88" s="78">
        <f t="shared" si="96"/>
        <v>435</v>
      </c>
      <c r="DU88" s="175">
        <f t="shared" si="97"/>
        <v>3850.4</v>
      </c>
      <c r="DV88" s="169">
        <v>3983</v>
      </c>
      <c r="DW88" s="170">
        <f t="shared" si="203"/>
        <v>614.6</v>
      </c>
      <c r="DX88" s="534">
        <f t="shared" si="89"/>
        <v>574.6</v>
      </c>
      <c r="DY88" s="534">
        <f t="shared" si="90"/>
        <v>414.7</v>
      </c>
      <c r="DZ88" s="113">
        <f t="shared" si="226"/>
        <v>1.3</v>
      </c>
      <c r="EA88" s="169">
        <v>442</v>
      </c>
      <c r="EB88" s="169">
        <v>319</v>
      </c>
      <c r="EC88" s="175">
        <f t="shared" si="218"/>
        <v>159.90000000000003</v>
      </c>
      <c r="ED88" s="175">
        <v>2</v>
      </c>
      <c r="EE88" s="175">
        <f t="shared" si="204"/>
        <v>157.90000000000003</v>
      </c>
      <c r="EF88" s="175"/>
      <c r="EG88" s="169">
        <v>40</v>
      </c>
      <c r="EH88" s="78">
        <f t="shared" si="205"/>
        <v>281.60000000000002</v>
      </c>
      <c r="EI88" s="169">
        <v>1096</v>
      </c>
      <c r="EJ88" s="169">
        <v>1269</v>
      </c>
      <c r="EK88" s="169"/>
      <c r="EL88" s="169"/>
      <c r="EM88" s="169"/>
      <c r="EN88" s="169"/>
      <c r="EO88" s="169">
        <v>1429</v>
      </c>
      <c r="EP88" s="169">
        <v>1359</v>
      </c>
      <c r="EQ88" s="175">
        <f t="shared" si="150"/>
        <v>4727</v>
      </c>
      <c r="ER88" s="2">
        <f t="shared" si="206"/>
        <v>4573</v>
      </c>
      <c r="ES88" s="262">
        <f t="shared" si="98"/>
        <v>0.96742119737677179</v>
      </c>
      <c r="ET88" s="262"/>
      <c r="EU88" s="262"/>
      <c r="EV88" s="262"/>
      <c r="EW88" s="598"/>
      <c r="EX88" s="598"/>
      <c r="EY88" s="1126"/>
      <c r="EZ88" s="598"/>
      <c r="FA88" s="598"/>
      <c r="FB88" s="598"/>
      <c r="FC88" s="598"/>
      <c r="FD88" s="598"/>
      <c r="FE88" s="979"/>
      <c r="FF88" s="1048"/>
      <c r="FG88" s="518"/>
      <c r="FH88" s="598"/>
      <c r="FI88" s="310">
        <f t="shared" si="207"/>
        <v>70</v>
      </c>
      <c r="FJ88" s="2">
        <f t="shared" si="208"/>
        <v>70</v>
      </c>
      <c r="FK88" s="273">
        <f t="shared" si="224"/>
        <v>190</v>
      </c>
      <c r="FL88" s="519">
        <v>190</v>
      </c>
      <c r="FM88" s="518"/>
      <c r="FN88" s="518"/>
      <c r="FO88" s="518"/>
      <c r="FP88" s="518"/>
      <c r="FQ88" s="518"/>
      <c r="FR88" s="518"/>
      <c r="FS88" s="1049"/>
      <c r="FT88" s="310">
        <v>224</v>
      </c>
      <c r="FU88" s="518"/>
      <c r="FV88" s="518"/>
      <c r="FW88" s="518"/>
      <c r="FX88" s="518"/>
      <c r="FY88" s="518"/>
      <c r="FZ88" s="115"/>
      <c r="GA88" s="115"/>
      <c r="GB88" s="115"/>
      <c r="GC88" s="115"/>
      <c r="GD88" s="115"/>
      <c r="GE88" s="115"/>
      <c r="GF88" s="115"/>
      <c r="GG88" s="115"/>
      <c r="GH88" s="115"/>
      <c r="GI88" s="115"/>
      <c r="GJ88" s="115"/>
      <c r="GK88" s="1055">
        <f>-33+45</f>
        <v>12</v>
      </c>
      <c r="GL88" s="115"/>
      <c r="GM88" s="115"/>
      <c r="GN88" s="115"/>
      <c r="GO88" s="115"/>
      <c r="GP88" s="310">
        <f t="shared" si="209"/>
        <v>157.90000000000003</v>
      </c>
      <c r="GQ88" s="115"/>
      <c r="GR88" s="115"/>
      <c r="GS88" s="115"/>
      <c r="GT88" s="115"/>
      <c r="GU88" s="991">
        <f t="shared" si="225"/>
        <v>-145.90000000000003</v>
      </c>
      <c r="GW88" s="1063">
        <f>DataUK4!D240+DataUK4!F240</f>
        <v>306.89999999999998</v>
      </c>
      <c r="GX88" s="115"/>
      <c r="GY88" s="615">
        <f t="shared" si="210"/>
        <v>257.49195046439638</v>
      </c>
      <c r="GZ88" s="115"/>
      <c r="HA88" s="115"/>
      <c r="HB88" s="115"/>
      <c r="HC88" s="1051"/>
      <c r="HD88" s="170">
        <f t="shared" si="147"/>
        <v>243</v>
      </c>
      <c r="HE88" s="301">
        <f t="shared" si="151"/>
        <v>333</v>
      </c>
      <c r="HF88" s="301">
        <f t="shared" si="152"/>
        <v>90</v>
      </c>
      <c r="HG88" s="170">
        <f t="shared" si="211"/>
        <v>0</v>
      </c>
      <c r="HH88" s="301">
        <v>0</v>
      </c>
      <c r="HI88" s="301">
        <v>0</v>
      </c>
      <c r="HJ88" s="2">
        <v>0</v>
      </c>
      <c r="HK88" s="2">
        <v>0</v>
      </c>
      <c r="HL88" s="2">
        <v>0</v>
      </c>
      <c r="HM88" s="2">
        <f t="shared" si="212"/>
        <v>0</v>
      </c>
      <c r="HN88" s="2">
        <v>0</v>
      </c>
      <c r="HO88" s="2">
        <v>0</v>
      </c>
      <c r="HP88" s="2">
        <v>0</v>
      </c>
      <c r="HQ88" s="2">
        <v>0</v>
      </c>
      <c r="HR88" s="2">
        <v>0</v>
      </c>
      <c r="HS88" s="1052">
        <v>0</v>
      </c>
      <c r="HT88" s="1002">
        <v>17.8</v>
      </c>
      <c r="HU88" s="1002">
        <f t="shared" si="213"/>
        <v>2.1749196141479099</v>
      </c>
      <c r="HV88" s="1002">
        <f t="shared" si="214"/>
        <v>2.5183279742765277</v>
      </c>
    </row>
    <row r="89" spans="1:230">
      <c r="A89" s="110">
        <f t="shared" si="228"/>
        <v>1930</v>
      </c>
      <c r="B89" s="176">
        <f t="shared" si="158"/>
        <v>4309</v>
      </c>
      <c r="C89" s="177">
        <f t="shared" si="145"/>
        <v>215</v>
      </c>
      <c r="D89" s="176">
        <f t="shared" si="159"/>
        <v>4094.0000000000005</v>
      </c>
      <c r="E89" s="154">
        <f t="shared" si="160"/>
        <v>4385</v>
      </c>
      <c r="F89" s="995">
        <f t="shared" si="161"/>
        <v>291</v>
      </c>
      <c r="G89" s="531">
        <f t="shared" si="162"/>
        <v>4609</v>
      </c>
      <c r="H89" s="531">
        <f t="shared" si="163"/>
        <v>4394</v>
      </c>
      <c r="I89" s="531">
        <f t="shared" si="164"/>
        <v>4685</v>
      </c>
      <c r="J89" s="548">
        <f t="shared" si="165"/>
        <v>0.93596584845250796</v>
      </c>
      <c r="K89" s="515">
        <f t="shared" si="215"/>
        <v>457</v>
      </c>
      <c r="L89" s="175">
        <v>481</v>
      </c>
      <c r="M89" s="175">
        <v>24</v>
      </c>
      <c r="N89" s="111"/>
      <c r="O89" s="111"/>
      <c r="P89" s="111"/>
      <c r="Q89" s="111"/>
      <c r="R89" s="111"/>
      <c r="S89" s="532">
        <f t="shared" si="149"/>
        <v>0.11863966770508827</v>
      </c>
      <c r="T89" s="1008">
        <f t="shared" si="166"/>
        <v>213.75000000000003</v>
      </c>
      <c r="U89" s="1010">
        <f t="shared" si="167"/>
        <v>213.75000000000003</v>
      </c>
      <c r="V89" s="511">
        <f t="shared" si="168"/>
        <v>257.60000000000002</v>
      </c>
      <c r="W89" s="2">
        <f t="shared" si="169"/>
        <v>257.60000000000002</v>
      </c>
      <c r="X89" s="169">
        <f t="shared" si="170"/>
        <v>43.85</v>
      </c>
      <c r="Y89" s="113">
        <f t="shared" si="171"/>
        <v>0.1702251552795031</v>
      </c>
      <c r="Z89" s="113">
        <f t="shared" si="172"/>
        <v>0.1702251552795031</v>
      </c>
      <c r="AA89" s="113"/>
      <c r="AB89" s="1019">
        <v>0.01</v>
      </c>
      <c r="AC89" s="113"/>
      <c r="AD89" s="113"/>
      <c r="AE89" s="113"/>
      <c r="AF89" s="113"/>
      <c r="AG89" s="113"/>
      <c r="AH89" s="113"/>
      <c r="AI89" s="113"/>
      <c r="AJ89" s="171">
        <f t="shared" si="173"/>
        <v>969.02656943086993</v>
      </c>
      <c r="AK89" s="1026">
        <f t="shared" si="174"/>
        <v>161.5</v>
      </c>
      <c r="AL89" s="169">
        <f t="shared" si="175"/>
        <v>1020.0279678219683</v>
      </c>
      <c r="AM89" s="169">
        <f t="shared" si="216"/>
        <v>170</v>
      </c>
      <c r="AN89" s="169">
        <f t="shared" si="176"/>
        <v>604.99860160890159</v>
      </c>
      <c r="AO89" s="1027">
        <f t="shared" si="140"/>
        <v>656</v>
      </c>
      <c r="AP89" s="169">
        <v>362</v>
      </c>
      <c r="AQ89" s="169">
        <v>40</v>
      </c>
      <c r="AR89" s="78">
        <f t="shared" si="217"/>
        <v>322</v>
      </c>
      <c r="AS89" s="169">
        <v>616</v>
      </c>
      <c r="AT89" s="169">
        <v>60</v>
      </c>
      <c r="AU89" s="169">
        <v>556</v>
      </c>
      <c r="AV89" s="112"/>
      <c r="AW89" s="175">
        <f t="shared" si="143"/>
        <v>411</v>
      </c>
      <c r="AX89" s="169">
        <v>411</v>
      </c>
      <c r="AY89" s="169"/>
      <c r="AZ89" s="170">
        <v>54</v>
      </c>
      <c r="BA89" s="113">
        <f t="shared" si="219"/>
        <v>0.17842243758423723</v>
      </c>
      <c r="BB89" s="170"/>
      <c r="BC89" s="112"/>
      <c r="BD89" s="112"/>
      <c r="BE89" s="112"/>
      <c r="BF89" s="170">
        <v>125</v>
      </c>
      <c r="BG89" s="113">
        <f t="shared" si="220"/>
        <v>0.38819875776397517</v>
      </c>
      <c r="BH89" s="112"/>
      <c r="BI89" s="1031">
        <v>2485</v>
      </c>
      <c r="BJ89" s="2">
        <f t="shared" si="177"/>
        <v>2485</v>
      </c>
      <c r="BK89" s="169">
        <v>70</v>
      </c>
      <c r="BL89" s="169">
        <f t="shared" si="178"/>
        <v>170</v>
      </c>
      <c r="BM89" s="1031">
        <f t="shared" si="179"/>
        <v>364.02796782196828</v>
      </c>
      <c r="BN89" s="310">
        <f t="shared" si="180"/>
        <v>294.02796782196828</v>
      </c>
      <c r="BO89" s="262">
        <f t="shared" si="181"/>
        <v>0.14040348145948053</v>
      </c>
      <c r="BP89" s="262">
        <f t="shared" si="182"/>
        <v>0.15223949872360176</v>
      </c>
      <c r="BQ89" s="262">
        <f t="shared" si="183"/>
        <v>8.4480846558822986E-2</v>
      </c>
      <c r="BR89" s="262">
        <f t="shared" si="184"/>
        <v>0.14649012789616431</v>
      </c>
      <c r="BS89" s="988">
        <f t="shared" si="185"/>
        <v>0.55492068265543948</v>
      </c>
      <c r="BT89" s="534">
        <f t="shared" si="186"/>
        <v>51.001398391098419</v>
      </c>
      <c r="BU89" s="534">
        <f t="shared" si="187"/>
        <v>8.5</v>
      </c>
      <c r="BV89" s="113">
        <v>0.05</v>
      </c>
      <c r="BW89" s="276">
        <f t="shared" si="188"/>
        <v>1.1630877626248214E-2</v>
      </c>
      <c r="BX89" s="272">
        <f t="shared" si="189"/>
        <v>94.851398391098428</v>
      </c>
      <c r="BY89" s="113"/>
      <c r="BZ89" s="1035"/>
      <c r="CA89" s="1038"/>
      <c r="CB89" s="2">
        <f t="shared" si="221"/>
        <v>3852</v>
      </c>
      <c r="CC89" s="2">
        <f t="shared" si="222"/>
        <v>4309</v>
      </c>
      <c r="CD89" s="310">
        <f t="shared" si="190"/>
        <v>4309</v>
      </c>
      <c r="CE89" s="310">
        <f t="shared" si="191"/>
        <v>4094</v>
      </c>
      <c r="CF89" s="598"/>
      <c r="CG89" s="598"/>
      <c r="CH89" s="598"/>
      <c r="CI89" s="577">
        <v>291</v>
      </c>
      <c r="CJ89" s="577"/>
      <c r="CK89" s="577"/>
      <c r="CL89" s="517">
        <f t="shared" si="192"/>
        <v>2188.4234305691302</v>
      </c>
      <c r="CM89" s="169">
        <f t="shared" si="193"/>
        <v>2330.5720321780318</v>
      </c>
      <c r="CN89" s="170">
        <f t="shared" si="194"/>
        <v>475.40000000000009</v>
      </c>
      <c r="CO89" s="170">
        <f t="shared" si="195"/>
        <v>475.40000000000009</v>
      </c>
      <c r="CP89" s="170">
        <f t="shared" si="196"/>
        <v>1855.1720321780315</v>
      </c>
      <c r="CQ89" s="170">
        <f t="shared" si="197"/>
        <v>142.14860160890157</v>
      </c>
      <c r="CR89" s="170"/>
      <c r="CS89" s="113">
        <f t="shared" si="198"/>
        <v>3.2417012909669689E-2</v>
      </c>
      <c r="CT89" s="112"/>
      <c r="CU89" s="112"/>
      <c r="CV89" s="112"/>
      <c r="CW89" s="112"/>
      <c r="CX89" s="112"/>
      <c r="CY89" s="112"/>
      <c r="CZ89" s="112"/>
      <c r="DA89" s="112"/>
      <c r="DB89" s="112"/>
      <c r="DC89" s="112"/>
      <c r="DD89" s="112"/>
      <c r="DE89" s="112"/>
      <c r="DF89" s="112"/>
      <c r="DG89" s="112"/>
      <c r="DH89" s="516">
        <f t="shared" si="227"/>
        <v>265.8</v>
      </c>
      <c r="DI89" s="2">
        <f t="shared" si="199"/>
        <v>319.8</v>
      </c>
      <c r="DJ89" s="169">
        <f t="shared" si="200"/>
        <v>265.8</v>
      </c>
      <c r="DK89" s="169">
        <f t="shared" si="223"/>
        <v>54</v>
      </c>
      <c r="DL89" s="113">
        <f t="shared" si="201"/>
        <v>6.168484567184962E-2</v>
      </c>
      <c r="DM89" s="113">
        <f t="shared" si="202"/>
        <v>0.10696177062374246</v>
      </c>
      <c r="DN89" s="113">
        <v>0.6</v>
      </c>
      <c r="DO89" s="113"/>
      <c r="DP89" s="113"/>
      <c r="DQ89" s="272">
        <v>443</v>
      </c>
      <c r="DR89" s="169"/>
      <c r="DS89" s="169"/>
      <c r="DT89" s="78">
        <f t="shared" si="96"/>
        <v>443</v>
      </c>
      <c r="DU89" s="175">
        <f t="shared" si="97"/>
        <v>3801.5</v>
      </c>
      <c r="DV89" s="169">
        <v>3932</v>
      </c>
      <c r="DW89" s="170">
        <f t="shared" si="203"/>
        <v>656.5</v>
      </c>
      <c r="DX89" s="534">
        <f t="shared" si="89"/>
        <v>565.5</v>
      </c>
      <c r="DY89" s="534">
        <f t="shared" si="90"/>
        <v>393.90000000000003</v>
      </c>
      <c r="DZ89" s="113">
        <f t="shared" si="226"/>
        <v>1.3</v>
      </c>
      <c r="EA89" s="169">
        <v>435</v>
      </c>
      <c r="EB89" s="169">
        <v>303</v>
      </c>
      <c r="EC89" s="175">
        <f t="shared" si="218"/>
        <v>171.59999999999997</v>
      </c>
      <c r="ED89" s="175">
        <v>6</v>
      </c>
      <c r="EE89" s="175">
        <f t="shared" si="204"/>
        <v>165.59999999999997</v>
      </c>
      <c r="EF89" s="175"/>
      <c r="EG89" s="169">
        <v>91</v>
      </c>
      <c r="EH89" s="78">
        <f t="shared" si="205"/>
        <v>274.5</v>
      </c>
      <c r="EI89" s="169">
        <v>884</v>
      </c>
      <c r="EJ89" s="169">
        <v>1100</v>
      </c>
      <c r="EK89" s="169"/>
      <c r="EL89" s="169"/>
      <c r="EM89" s="169"/>
      <c r="EN89" s="169"/>
      <c r="EO89" s="169">
        <v>1184</v>
      </c>
      <c r="EP89" s="169">
        <v>1185</v>
      </c>
      <c r="EQ89" s="175">
        <f t="shared" si="150"/>
        <v>4685</v>
      </c>
      <c r="ER89" s="2">
        <f t="shared" si="206"/>
        <v>4385</v>
      </c>
      <c r="ES89" s="262">
        <f t="shared" si="98"/>
        <v>0.93596584845250796</v>
      </c>
      <c r="ET89" s="262"/>
      <c r="EU89" s="262"/>
      <c r="EV89" s="262"/>
      <c r="EW89" s="598"/>
      <c r="EX89" s="598"/>
      <c r="EY89" s="1126"/>
      <c r="EZ89" s="598"/>
      <c r="FA89" s="598"/>
      <c r="FB89" s="598"/>
      <c r="FC89" s="598"/>
      <c r="FD89" s="598"/>
      <c r="FE89" s="979"/>
      <c r="FF89" s="1048"/>
      <c r="FG89" s="518"/>
      <c r="FH89" s="598"/>
      <c r="FI89" s="310">
        <f t="shared" si="207"/>
        <v>-1</v>
      </c>
      <c r="FJ89" s="2">
        <f t="shared" si="208"/>
        <v>-1</v>
      </c>
      <c r="FK89" s="273">
        <f t="shared" si="224"/>
        <v>151</v>
      </c>
      <c r="FL89" s="519">
        <v>151</v>
      </c>
      <c r="FM89" s="518"/>
      <c r="FN89" s="518"/>
      <c r="FO89" s="518"/>
      <c r="FP89" s="518"/>
      <c r="FQ89" s="518"/>
      <c r="FR89" s="518"/>
      <c r="FS89" s="1049"/>
      <c r="FT89" s="310">
        <v>110</v>
      </c>
      <c r="FU89" s="518"/>
      <c r="FV89" s="518"/>
      <c r="FW89" s="518"/>
      <c r="FX89" s="518"/>
      <c r="FY89" s="518"/>
      <c r="FZ89" s="115"/>
      <c r="GA89" s="115"/>
      <c r="GB89" s="115"/>
      <c r="GC89" s="115"/>
      <c r="GD89" s="115"/>
      <c r="GE89" s="115"/>
      <c r="GF89" s="115"/>
      <c r="GG89" s="115"/>
      <c r="GH89" s="115"/>
      <c r="GI89" s="115"/>
      <c r="GJ89" s="115"/>
      <c r="GK89" s="1055">
        <f>-68+53</f>
        <v>-15</v>
      </c>
      <c r="GL89" s="115"/>
      <c r="GM89" s="115"/>
      <c r="GN89" s="115"/>
      <c r="GO89" s="115"/>
      <c r="GP89" s="310">
        <f t="shared" si="209"/>
        <v>165.59999999999997</v>
      </c>
      <c r="GQ89" s="115"/>
      <c r="GR89" s="115"/>
      <c r="GS89" s="115"/>
      <c r="GT89" s="115"/>
      <c r="GU89" s="991">
        <f t="shared" si="225"/>
        <v>-180.59999999999997</v>
      </c>
      <c r="GW89" s="1063">
        <f>DataUK4!D241+DataUK4!F241</f>
        <v>292.8</v>
      </c>
      <c r="GX89" s="115"/>
      <c r="GY89" s="615">
        <f t="shared" si="210"/>
        <v>245.66191950464409</v>
      </c>
      <c r="GZ89" s="115"/>
      <c r="HA89" s="115"/>
      <c r="HB89" s="115"/>
      <c r="HC89" s="1051"/>
      <c r="HD89" s="170">
        <f t="shared" si="147"/>
        <v>215</v>
      </c>
      <c r="HE89" s="301">
        <f t="shared" si="151"/>
        <v>300</v>
      </c>
      <c r="HF89" s="301">
        <f t="shared" si="152"/>
        <v>85</v>
      </c>
      <c r="HG89" s="170">
        <f t="shared" si="211"/>
        <v>0</v>
      </c>
      <c r="HH89" s="301">
        <v>0</v>
      </c>
      <c r="HI89" s="301">
        <v>0</v>
      </c>
      <c r="HJ89" s="2">
        <v>0</v>
      </c>
      <c r="HK89" s="2">
        <v>0</v>
      </c>
      <c r="HL89" s="2">
        <v>0</v>
      </c>
      <c r="HM89" s="2">
        <f t="shared" si="212"/>
        <v>0</v>
      </c>
      <c r="HN89" s="2">
        <v>0</v>
      </c>
      <c r="HO89" s="2">
        <v>0</v>
      </c>
      <c r="HP89" s="2">
        <v>0</v>
      </c>
      <c r="HQ89" s="2">
        <v>0</v>
      </c>
      <c r="HR89" s="2">
        <v>0</v>
      </c>
      <c r="HS89" s="1052">
        <v>0</v>
      </c>
      <c r="HT89" s="1002">
        <v>17.3</v>
      </c>
      <c r="HU89" s="1002">
        <f t="shared" si="213"/>
        <v>2.1138263665594854</v>
      </c>
      <c r="HV89" s="1002">
        <f t="shared" si="214"/>
        <v>2.4475884244372992</v>
      </c>
    </row>
    <row r="90" spans="1:230">
      <c r="A90" s="110">
        <f t="shared" si="228"/>
        <v>1931</v>
      </c>
      <c r="B90" s="176">
        <f t="shared" si="158"/>
        <v>4053.9999999999995</v>
      </c>
      <c r="C90" s="177">
        <f t="shared" si="145"/>
        <v>163</v>
      </c>
      <c r="D90" s="176">
        <f t="shared" si="159"/>
        <v>3890.9999999999995</v>
      </c>
      <c r="E90" s="154">
        <f t="shared" si="160"/>
        <v>4181</v>
      </c>
      <c r="F90" s="995">
        <f t="shared" si="161"/>
        <v>290</v>
      </c>
      <c r="G90" s="531">
        <f t="shared" si="162"/>
        <v>4232</v>
      </c>
      <c r="H90" s="531">
        <f t="shared" si="163"/>
        <v>4069</v>
      </c>
      <c r="I90" s="531">
        <f t="shared" si="164"/>
        <v>4359</v>
      </c>
      <c r="J90" s="548">
        <f t="shared" si="165"/>
        <v>0.95916494608855241</v>
      </c>
      <c r="K90" s="515">
        <f t="shared" si="215"/>
        <v>459</v>
      </c>
      <c r="L90" s="175">
        <v>481</v>
      </c>
      <c r="M90" s="175">
        <v>22</v>
      </c>
      <c r="N90" s="111"/>
      <c r="O90" s="111"/>
      <c r="P90" s="111"/>
      <c r="Q90" s="111"/>
      <c r="R90" s="111"/>
      <c r="S90" s="532">
        <f t="shared" si="149"/>
        <v>0.12767732962447845</v>
      </c>
      <c r="T90" s="1008">
        <f t="shared" si="166"/>
        <v>225.39</v>
      </c>
      <c r="U90" s="1010">
        <f t="shared" si="167"/>
        <v>225.39</v>
      </c>
      <c r="V90" s="511">
        <f t="shared" si="168"/>
        <v>267.2</v>
      </c>
      <c r="W90" s="2">
        <f t="shared" si="169"/>
        <v>267.2</v>
      </c>
      <c r="X90" s="169">
        <f t="shared" si="170"/>
        <v>41.81</v>
      </c>
      <c r="Y90" s="113">
        <f t="shared" si="171"/>
        <v>0.15647455089820361</v>
      </c>
      <c r="Z90" s="113">
        <f t="shared" si="172"/>
        <v>0.15647455089820361</v>
      </c>
      <c r="AA90" s="113"/>
      <c r="AB90" s="1019">
        <v>0.01</v>
      </c>
      <c r="AC90" s="113"/>
      <c r="AD90" s="113"/>
      <c r="AE90" s="113"/>
      <c r="AF90" s="113"/>
      <c r="AG90" s="113"/>
      <c r="AH90" s="113"/>
      <c r="AI90" s="113"/>
      <c r="AJ90" s="171">
        <f t="shared" si="173"/>
        <v>873.01021727689647</v>
      </c>
      <c r="AK90" s="1026">
        <f t="shared" si="174"/>
        <v>145.35</v>
      </c>
      <c r="AL90" s="169">
        <f t="shared" si="175"/>
        <v>918.95812344936473</v>
      </c>
      <c r="AM90" s="169">
        <f t="shared" si="216"/>
        <v>153</v>
      </c>
      <c r="AN90" s="169">
        <f t="shared" si="176"/>
        <v>545.05209382753173</v>
      </c>
      <c r="AO90" s="1027">
        <f t="shared" si="140"/>
        <v>591</v>
      </c>
      <c r="AP90" s="169">
        <v>373</v>
      </c>
      <c r="AQ90" s="169">
        <v>39</v>
      </c>
      <c r="AR90" s="78">
        <f t="shared" si="217"/>
        <v>334</v>
      </c>
      <c r="AS90" s="169">
        <v>552</v>
      </c>
      <c r="AT90" s="169">
        <v>47</v>
      </c>
      <c r="AU90" s="169">
        <v>505</v>
      </c>
      <c r="AV90" s="112"/>
      <c r="AW90" s="175">
        <f t="shared" si="143"/>
        <v>360</v>
      </c>
      <c r="AX90" s="169">
        <v>360</v>
      </c>
      <c r="AY90" s="169"/>
      <c r="AZ90" s="170">
        <v>55</v>
      </c>
      <c r="BA90" s="113">
        <f t="shared" si="219"/>
        <v>0.17328941047285706</v>
      </c>
      <c r="BB90" s="170"/>
      <c r="BC90" s="112"/>
      <c r="BD90" s="112"/>
      <c r="BE90" s="112"/>
      <c r="BF90" s="170">
        <v>127</v>
      </c>
      <c r="BG90" s="113">
        <f t="shared" si="220"/>
        <v>0.38023952095808383</v>
      </c>
      <c r="BH90" s="112"/>
      <c r="BI90" s="1031">
        <v>2382</v>
      </c>
      <c r="BJ90" s="2">
        <f t="shared" si="177"/>
        <v>2382</v>
      </c>
      <c r="BK90" s="169">
        <v>67</v>
      </c>
      <c r="BL90" s="169">
        <f t="shared" si="178"/>
        <v>153</v>
      </c>
      <c r="BM90" s="1031">
        <f t="shared" si="179"/>
        <v>327.95812344936473</v>
      </c>
      <c r="BN90" s="310">
        <f t="shared" si="180"/>
        <v>260.95812344936473</v>
      </c>
      <c r="BO90" s="262">
        <f t="shared" si="181"/>
        <v>0.1344479757838016</v>
      </c>
      <c r="BP90" s="262">
        <f t="shared" si="182"/>
        <v>0.14578194375925013</v>
      </c>
      <c r="BQ90" s="262">
        <f t="shared" si="183"/>
        <v>8.0897415749719967E-2</v>
      </c>
      <c r="BR90" s="262">
        <f t="shared" si="184"/>
        <v>0.1376818318427224</v>
      </c>
      <c r="BS90" s="988">
        <f t="shared" si="185"/>
        <v>0.55492068265543948</v>
      </c>
      <c r="BT90" s="534">
        <f t="shared" si="186"/>
        <v>45.947906172468237</v>
      </c>
      <c r="BU90" s="534">
        <f t="shared" si="187"/>
        <v>7.65</v>
      </c>
      <c r="BV90" s="113">
        <v>0.05</v>
      </c>
      <c r="BW90" s="276">
        <f t="shared" si="188"/>
        <v>1.0989692937686734E-2</v>
      </c>
      <c r="BX90" s="272">
        <f t="shared" si="189"/>
        <v>87.757906172468239</v>
      </c>
      <c r="BY90" s="113"/>
      <c r="BZ90" s="1035"/>
      <c r="CA90" s="1038"/>
      <c r="CB90" s="2">
        <f t="shared" si="221"/>
        <v>3595</v>
      </c>
      <c r="CC90" s="2">
        <f t="shared" si="222"/>
        <v>4054</v>
      </c>
      <c r="CD90" s="310">
        <f t="shared" si="190"/>
        <v>4054</v>
      </c>
      <c r="CE90" s="310">
        <f t="shared" si="191"/>
        <v>3891</v>
      </c>
      <c r="CF90" s="598"/>
      <c r="CG90" s="598"/>
      <c r="CH90" s="598"/>
      <c r="CI90" s="577">
        <v>290</v>
      </c>
      <c r="CJ90" s="577"/>
      <c r="CK90" s="577"/>
      <c r="CL90" s="517">
        <f t="shared" si="192"/>
        <v>2067.7997827231029</v>
      </c>
      <c r="CM90" s="169">
        <f t="shared" si="193"/>
        <v>2215.0418765506347</v>
      </c>
      <c r="CN90" s="170">
        <f t="shared" si="194"/>
        <v>426.79999999999995</v>
      </c>
      <c r="CO90" s="170">
        <f t="shared" si="195"/>
        <v>426.79999999999995</v>
      </c>
      <c r="CP90" s="170">
        <f t="shared" si="196"/>
        <v>1788.241876550635</v>
      </c>
      <c r="CQ90" s="170">
        <f t="shared" si="197"/>
        <v>147.24209382753176</v>
      </c>
      <c r="CR90" s="170"/>
      <c r="CS90" s="113">
        <f t="shared" si="198"/>
        <v>3.5216956189316376E-2</v>
      </c>
      <c r="CT90" s="112"/>
      <c r="CU90" s="112"/>
      <c r="CV90" s="112"/>
      <c r="CW90" s="112"/>
      <c r="CX90" s="112"/>
      <c r="CY90" s="112"/>
      <c r="CZ90" s="112"/>
      <c r="DA90" s="112"/>
      <c r="DB90" s="112"/>
      <c r="DC90" s="112"/>
      <c r="DD90" s="112"/>
      <c r="DE90" s="112"/>
      <c r="DF90" s="112"/>
      <c r="DG90" s="112"/>
      <c r="DH90" s="516">
        <f t="shared" si="227"/>
        <v>265.8</v>
      </c>
      <c r="DI90" s="2">
        <f t="shared" si="199"/>
        <v>320.8</v>
      </c>
      <c r="DJ90" s="169">
        <f t="shared" si="200"/>
        <v>265.8</v>
      </c>
      <c r="DK90" s="169">
        <f t="shared" si="223"/>
        <v>55</v>
      </c>
      <c r="DL90" s="113">
        <f t="shared" si="201"/>
        <v>6.5564874198322645E-2</v>
      </c>
      <c r="DM90" s="113">
        <f t="shared" si="202"/>
        <v>0.11158690176322418</v>
      </c>
      <c r="DN90" s="113">
        <v>0.6</v>
      </c>
      <c r="DO90" s="113"/>
      <c r="DP90" s="113"/>
      <c r="DQ90" s="272">
        <v>443</v>
      </c>
      <c r="DR90" s="169"/>
      <c r="DS90" s="169"/>
      <c r="DT90" s="78">
        <f t="shared" si="96"/>
        <v>443</v>
      </c>
      <c r="DU90" s="175">
        <f t="shared" si="97"/>
        <v>3682.6</v>
      </c>
      <c r="DV90" s="169">
        <v>3805</v>
      </c>
      <c r="DW90" s="170">
        <f t="shared" si="203"/>
        <v>527.4</v>
      </c>
      <c r="DX90" s="534">
        <f t="shared" si="89"/>
        <v>530.4</v>
      </c>
      <c r="DY90" s="534">
        <f t="shared" si="90"/>
        <v>345.8</v>
      </c>
      <c r="DZ90" s="113">
        <f t="shared" si="226"/>
        <v>1.3</v>
      </c>
      <c r="EA90" s="169">
        <v>408</v>
      </c>
      <c r="EB90" s="169">
        <v>266</v>
      </c>
      <c r="EC90" s="175">
        <f t="shared" si="218"/>
        <v>184.59999999999997</v>
      </c>
      <c r="ED90" s="175">
        <v>10</v>
      </c>
      <c r="EE90" s="175">
        <f t="shared" si="204"/>
        <v>174.59999999999997</v>
      </c>
      <c r="EF90" s="175"/>
      <c r="EG90" s="169">
        <v>-3</v>
      </c>
      <c r="EH90" s="78">
        <f t="shared" si="205"/>
        <v>240.39999999999998</v>
      </c>
      <c r="EI90" s="169">
        <v>632</v>
      </c>
      <c r="EJ90" s="169">
        <v>926</v>
      </c>
      <c r="EK90" s="169"/>
      <c r="EL90" s="169"/>
      <c r="EM90" s="169"/>
      <c r="EN90" s="169"/>
      <c r="EO90" s="169">
        <v>858</v>
      </c>
      <c r="EP90" s="169">
        <v>989</v>
      </c>
      <c r="EQ90" s="175">
        <f t="shared" si="150"/>
        <v>4359</v>
      </c>
      <c r="ER90" s="2">
        <f t="shared" si="206"/>
        <v>4181</v>
      </c>
      <c r="ES90" s="262">
        <f t="shared" si="98"/>
        <v>0.95916494608855241</v>
      </c>
      <c r="ET90" s="262"/>
      <c r="EU90" s="262"/>
      <c r="EV90" s="262"/>
      <c r="EW90" s="598"/>
      <c r="EX90" s="598"/>
      <c r="EY90" s="1126"/>
      <c r="EZ90" s="598"/>
      <c r="FA90" s="598"/>
      <c r="FB90" s="598"/>
      <c r="FC90" s="598"/>
      <c r="FD90" s="598"/>
      <c r="FE90" s="979"/>
      <c r="FF90" s="1048"/>
      <c r="FG90" s="518"/>
      <c r="FH90" s="598"/>
      <c r="FI90" s="310">
        <f t="shared" si="207"/>
        <v>-131</v>
      </c>
      <c r="FJ90" s="2">
        <f t="shared" si="208"/>
        <v>-131</v>
      </c>
      <c r="FK90" s="273">
        <f t="shared" si="224"/>
        <v>125</v>
      </c>
      <c r="FL90" s="519">
        <v>125</v>
      </c>
      <c r="FM90" s="518"/>
      <c r="FN90" s="518"/>
      <c r="FO90" s="518"/>
      <c r="FP90" s="518"/>
      <c r="FQ90" s="518"/>
      <c r="FR90" s="518"/>
      <c r="FS90" s="1049"/>
      <c r="FT90" s="310">
        <v>89</v>
      </c>
      <c r="FU90" s="518"/>
      <c r="FV90" s="518"/>
      <c r="FW90" s="518"/>
      <c r="FX90" s="518"/>
      <c r="FY90" s="518"/>
      <c r="FZ90" s="115"/>
      <c r="GA90" s="115"/>
      <c r="GB90" s="115"/>
      <c r="GC90" s="115"/>
      <c r="GD90" s="115"/>
      <c r="GE90" s="115"/>
      <c r="GF90" s="115"/>
      <c r="GG90" s="115"/>
      <c r="GH90" s="115"/>
      <c r="GI90" s="115"/>
      <c r="GJ90" s="115"/>
      <c r="GK90" s="1055">
        <f>-82+54</f>
        <v>-28</v>
      </c>
      <c r="GL90" s="115"/>
      <c r="GM90" s="115"/>
      <c r="GN90" s="115"/>
      <c r="GO90" s="115"/>
      <c r="GP90" s="310">
        <f t="shared" si="209"/>
        <v>174.59999999999997</v>
      </c>
      <c r="GQ90" s="115"/>
      <c r="GR90" s="115"/>
      <c r="GS90" s="115"/>
      <c r="GT90" s="115"/>
      <c r="GU90" s="991">
        <f t="shared" si="225"/>
        <v>-202.59999999999997</v>
      </c>
      <c r="GW90" s="1063">
        <f>DataUK4!D242+DataUK4!F242</f>
        <v>289.10000000000002</v>
      </c>
      <c r="GX90" s="115"/>
      <c r="GY90" s="615">
        <f t="shared" si="210"/>
        <v>242.55758513931903</v>
      </c>
      <c r="GZ90" s="115"/>
      <c r="HA90" s="115"/>
      <c r="HB90" s="115"/>
      <c r="HC90" s="1051"/>
      <c r="HD90" s="170">
        <f t="shared" si="147"/>
        <v>163</v>
      </c>
      <c r="HE90" s="301">
        <f t="shared" si="151"/>
        <v>226</v>
      </c>
      <c r="HF90" s="301">
        <f t="shared" si="152"/>
        <v>63</v>
      </c>
      <c r="HG90" s="170">
        <f t="shared" si="211"/>
        <v>0</v>
      </c>
      <c r="HH90" s="301">
        <v>0</v>
      </c>
      <c r="HI90" s="301">
        <v>0</v>
      </c>
      <c r="HJ90" s="2">
        <v>0</v>
      </c>
      <c r="HK90" s="2">
        <v>0</v>
      </c>
      <c r="HL90" s="2">
        <v>0</v>
      </c>
      <c r="HM90" s="2">
        <f t="shared" si="212"/>
        <v>0</v>
      </c>
      <c r="HN90" s="2">
        <v>0</v>
      </c>
      <c r="HO90" s="2">
        <v>0</v>
      </c>
      <c r="HP90" s="2">
        <v>0</v>
      </c>
      <c r="HQ90" s="2">
        <v>0</v>
      </c>
      <c r="HR90" s="2">
        <v>0</v>
      </c>
      <c r="HS90" s="1052">
        <v>0</v>
      </c>
      <c r="HT90" s="1002">
        <v>16.600000000000001</v>
      </c>
      <c r="HU90" s="1002">
        <f t="shared" si="213"/>
        <v>2.0282958199356913</v>
      </c>
      <c r="HV90" s="1002">
        <f t="shared" si="214"/>
        <v>2.3485530546623794</v>
      </c>
    </row>
    <row r="91" spans="1:230">
      <c r="A91" s="110">
        <f t="shared" si="228"/>
        <v>1932</v>
      </c>
      <c r="B91" s="176">
        <f t="shared" si="158"/>
        <v>4005.9999999999995</v>
      </c>
      <c r="C91" s="177">
        <f t="shared" si="145"/>
        <v>127</v>
      </c>
      <c r="D91" s="176">
        <f t="shared" si="159"/>
        <v>3878.9999999999995</v>
      </c>
      <c r="E91" s="154">
        <f t="shared" si="160"/>
        <v>4162</v>
      </c>
      <c r="F91" s="995">
        <f t="shared" si="161"/>
        <v>283</v>
      </c>
      <c r="G91" s="531">
        <f t="shared" si="162"/>
        <v>4120</v>
      </c>
      <c r="H91" s="531">
        <f t="shared" si="163"/>
        <v>3993</v>
      </c>
      <c r="I91" s="531">
        <f t="shared" si="164"/>
        <v>4276</v>
      </c>
      <c r="J91" s="548">
        <f t="shared" si="165"/>
        <v>0.97333956969130031</v>
      </c>
      <c r="K91" s="515">
        <f t="shared" si="215"/>
        <v>490</v>
      </c>
      <c r="L91" s="175">
        <v>515</v>
      </c>
      <c r="M91" s="175">
        <v>25</v>
      </c>
      <c r="N91" s="111"/>
      <c r="O91" s="111"/>
      <c r="P91" s="111"/>
      <c r="Q91" s="111"/>
      <c r="R91" s="111"/>
      <c r="S91" s="532">
        <f t="shared" si="149"/>
        <v>0.13936291240045506</v>
      </c>
      <c r="T91" s="1008">
        <f t="shared" si="166"/>
        <v>237.57999999999998</v>
      </c>
      <c r="U91" s="1010">
        <f t="shared" si="167"/>
        <v>237.57999999999998</v>
      </c>
      <c r="V91" s="511">
        <f t="shared" si="168"/>
        <v>279.2</v>
      </c>
      <c r="W91" s="2">
        <f t="shared" si="169"/>
        <v>279.2</v>
      </c>
      <c r="X91" s="169">
        <f t="shared" si="170"/>
        <v>41.62</v>
      </c>
      <c r="Y91" s="113">
        <f t="shared" si="171"/>
        <v>0.14906876790830945</v>
      </c>
      <c r="Z91" s="113">
        <f t="shared" si="172"/>
        <v>0.14906876790830945</v>
      </c>
      <c r="AA91" s="113"/>
      <c r="AB91" s="1019">
        <v>0.01</v>
      </c>
      <c r="AC91" s="113"/>
      <c r="AD91" s="113"/>
      <c r="AE91" s="113"/>
      <c r="AF91" s="113"/>
      <c r="AG91" s="113"/>
      <c r="AH91" s="113"/>
      <c r="AI91" s="113"/>
      <c r="AJ91" s="171">
        <f t="shared" si="173"/>
        <v>865.62434403428313</v>
      </c>
      <c r="AK91" s="1026">
        <f t="shared" si="174"/>
        <v>142.5</v>
      </c>
      <c r="AL91" s="169">
        <f t="shared" si="175"/>
        <v>911.18352003608754</v>
      </c>
      <c r="AM91" s="169">
        <f t="shared" si="216"/>
        <v>150</v>
      </c>
      <c r="AN91" s="169">
        <f t="shared" si="176"/>
        <v>540.44082399819558</v>
      </c>
      <c r="AO91" s="1027">
        <f t="shared" si="140"/>
        <v>586</v>
      </c>
      <c r="AP91" s="169">
        <v>387</v>
      </c>
      <c r="AQ91" s="169">
        <v>38</v>
      </c>
      <c r="AR91" s="78">
        <f t="shared" si="217"/>
        <v>349</v>
      </c>
      <c r="AS91" s="169">
        <v>548</v>
      </c>
      <c r="AT91" s="169">
        <v>47</v>
      </c>
      <c r="AU91" s="169">
        <v>501</v>
      </c>
      <c r="AV91" s="112"/>
      <c r="AW91" s="175">
        <f t="shared" si="143"/>
        <v>322</v>
      </c>
      <c r="AX91" s="169">
        <v>321</v>
      </c>
      <c r="AY91" s="169">
        <v>1</v>
      </c>
      <c r="AZ91" s="170">
        <v>58</v>
      </c>
      <c r="BA91" s="113">
        <f t="shared" si="219"/>
        <v>0.17539560285674274</v>
      </c>
      <c r="BB91" s="170"/>
      <c r="BC91" s="112"/>
      <c r="BD91" s="112"/>
      <c r="BE91" s="112"/>
      <c r="BF91" s="170">
        <v>140</v>
      </c>
      <c r="BG91" s="113">
        <f t="shared" si="220"/>
        <v>0.40114613180515757</v>
      </c>
      <c r="BH91" s="112"/>
      <c r="BI91" s="1031">
        <v>2357</v>
      </c>
      <c r="BJ91" s="2">
        <f t="shared" si="177"/>
        <v>2357</v>
      </c>
      <c r="BK91" s="169">
        <v>65</v>
      </c>
      <c r="BL91" s="169">
        <f t="shared" si="178"/>
        <v>150</v>
      </c>
      <c r="BM91" s="1031">
        <f t="shared" si="179"/>
        <v>325.18352003608754</v>
      </c>
      <c r="BN91" s="310">
        <f t="shared" si="180"/>
        <v>260.18352003608754</v>
      </c>
      <c r="BO91" s="262">
        <f t="shared" si="181"/>
        <v>0.1349078442331991</v>
      </c>
      <c r="BP91" s="262">
        <f t="shared" si="182"/>
        <v>0.14628057913130305</v>
      </c>
      <c r="BQ91" s="262">
        <f t="shared" si="183"/>
        <v>8.1174118830775716E-2</v>
      </c>
      <c r="BR91" s="262">
        <f t="shared" si="184"/>
        <v>0.13796500637933284</v>
      </c>
      <c r="BS91" s="988">
        <f t="shared" si="185"/>
        <v>0.55492068265543948</v>
      </c>
      <c r="BT91" s="534">
        <f t="shared" si="186"/>
        <v>45.559176001804381</v>
      </c>
      <c r="BU91" s="534">
        <f t="shared" si="187"/>
        <v>7.5</v>
      </c>
      <c r="BV91" s="113">
        <v>0.05</v>
      </c>
      <c r="BW91" s="276">
        <f t="shared" si="188"/>
        <v>1.0946462278184618E-2</v>
      </c>
      <c r="BX91" s="272">
        <f t="shared" si="189"/>
        <v>87.179176001804379</v>
      </c>
      <c r="BY91" s="113"/>
      <c r="BZ91" s="1035"/>
      <c r="CA91" s="1038"/>
      <c r="CB91" s="2">
        <f t="shared" si="221"/>
        <v>3516</v>
      </c>
      <c r="CC91" s="2">
        <f t="shared" si="222"/>
        <v>4006</v>
      </c>
      <c r="CD91" s="310">
        <f t="shared" si="190"/>
        <v>4006</v>
      </c>
      <c r="CE91" s="310">
        <f t="shared" si="191"/>
        <v>3879</v>
      </c>
      <c r="CF91" s="598"/>
      <c r="CG91" s="598"/>
      <c r="CH91" s="598"/>
      <c r="CI91" s="577">
        <v>283</v>
      </c>
      <c r="CJ91" s="577"/>
      <c r="CK91" s="577"/>
      <c r="CL91" s="517">
        <f t="shared" si="192"/>
        <v>2027.1956559657167</v>
      </c>
      <c r="CM91" s="169">
        <f t="shared" si="193"/>
        <v>2165.0164799639124</v>
      </c>
      <c r="CN91" s="170">
        <f t="shared" si="194"/>
        <v>391.79999999999995</v>
      </c>
      <c r="CO91" s="170">
        <f t="shared" si="195"/>
        <v>391.79999999999995</v>
      </c>
      <c r="CP91" s="170">
        <f t="shared" si="196"/>
        <v>1773.2164799639127</v>
      </c>
      <c r="CQ91" s="170">
        <f t="shared" si="197"/>
        <v>137.82082399819561</v>
      </c>
      <c r="CR91" s="170"/>
      <c r="CS91" s="113">
        <f t="shared" si="198"/>
        <v>3.3114085535366558E-2</v>
      </c>
      <c r="CT91" s="112"/>
      <c r="CU91" s="112"/>
      <c r="CV91" s="112"/>
      <c r="CW91" s="112"/>
      <c r="CX91" s="112"/>
      <c r="CY91" s="112"/>
      <c r="CZ91" s="112"/>
      <c r="DA91" s="112"/>
      <c r="DB91" s="112"/>
      <c r="DC91" s="112"/>
      <c r="DD91" s="112"/>
      <c r="DE91" s="112"/>
      <c r="DF91" s="112"/>
      <c r="DG91" s="112"/>
      <c r="DH91" s="516">
        <f t="shared" si="227"/>
        <v>258.59999999999997</v>
      </c>
      <c r="DI91" s="2">
        <f t="shared" si="199"/>
        <v>316.59999999999997</v>
      </c>
      <c r="DJ91" s="169">
        <f t="shared" si="200"/>
        <v>258.59999999999997</v>
      </c>
      <c r="DK91" s="169">
        <f t="shared" si="223"/>
        <v>58</v>
      </c>
      <c r="DL91" s="113">
        <f t="shared" si="201"/>
        <v>6.4553170244633043E-2</v>
      </c>
      <c r="DM91" s="113">
        <f t="shared" si="202"/>
        <v>0.10971574034789985</v>
      </c>
      <c r="DN91" s="113">
        <v>0.6</v>
      </c>
      <c r="DO91" s="113"/>
      <c r="DP91" s="113"/>
      <c r="DQ91" s="272">
        <v>431</v>
      </c>
      <c r="DR91" s="169"/>
      <c r="DS91" s="169"/>
      <c r="DT91" s="78">
        <f t="shared" si="96"/>
        <v>431</v>
      </c>
      <c r="DU91" s="175">
        <f t="shared" si="97"/>
        <v>3578.9</v>
      </c>
      <c r="DV91" s="169">
        <v>3683</v>
      </c>
      <c r="DW91" s="170">
        <f t="shared" si="203"/>
        <v>452.1</v>
      </c>
      <c r="DX91" s="534">
        <f t="shared" si="89"/>
        <v>451.1</v>
      </c>
      <c r="DY91" s="534">
        <f t="shared" si="90"/>
        <v>296.40000000000003</v>
      </c>
      <c r="DZ91" s="113">
        <f t="shared" si="226"/>
        <v>1.3</v>
      </c>
      <c r="EA91" s="169">
        <v>347</v>
      </c>
      <c r="EB91" s="169">
        <v>228</v>
      </c>
      <c r="EC91" s="175">
        <f t="shared" si="218"/>
        <v>154.69999999999999</v>
      </c>
      <c r="ED91" s="175">
        <v>12</v>
      </c>
      <c r="EE91" s="175">
        <f t="shared" si="204"/>
        <v>142.69999999999999</v>
      </c>
      <c r="EF91" s="175"/>
      <c r="EG91" s="169">
        <v>1</v>
      </c>
      <c r="EH91" s="78">
        <f t="shared" si="205"/>
        <v>168.10000000000002</v>
      </c>
      <c r="EI91" s="169">
        <v>578</v>
      </c>
      <c r="EJ91" s="169">
        <v>764</v>
      </c>
      <c r="EK91" s="169"/>
      <c r="EL91" s="169"/>
      <c r="EM91" s="169"/>
      <c r="EN91" s="169"/>
      <c r="EO91" s="169">
        <v>764</v>
      </c>
      <c r="EP91" s="169">
        <v>823</v>
      </c>
      <c r="EQ91" s="175">
        <f t="shared" si="150"/>
        <v>4276</v>
      </c>
      <c r="ER91" s="2">
        <f t="shared" si="206"/>
        <v>4162</v>
      </c>
      <c r="ES91" s="262">
        <f t="shared" si="98"/>
        <v>0.97333956969130031</v>
      </c>
      <c r="ET91" s="262"/>
      <c r="EU91" s="262"/>
      <c r="EV91" s="262"/>
      <c r="EW91" s="598"/>
      <c r="EX91" s="598"/>
      <c r="EY91" s="1126"/>
      <c r="EZ91" s="598"/>
      <c r="FA91" s="598"/>
      <c r="FB91" s="598"/>
      <c r="FC91" s="598"/>
      <c r="FD91" s="598"/>
      <c r="FE91" s="979"/>
      <c r="FF91" s="1048"/>
      <c r="FG91" s="518"/>
      <c r="FH91" s="598"/>
      <c r="FI91" s="310">
        <f t="shared" si="207"/>
        <v>-59</v>
      </c>
      <c r="FJ91" s="2">
        <f t="shared" si="208"/>
        <v>-59</v>
      </c>
      <c r="FK91" s="273">
        <f t="shared" si="224"/>
        <v>144</v>
      </c>
      <c r="FL91" s="519">
        <v>144</v>
      </c>
      <c r="FM91" s="518"/>
      <c r="FN91" s="518"/>
      <c r="FO91" s="518"/>
      <c r="FP91" s="518"/>
      <c r="FQ91" s="518"/>
      <c r="FR91" s="518"/>
      <c r="FS91" s="1049"/>
      <c r="FT91" s="310">
        <v>77</v>
      </c>
      <c r="FU91" s="518"/>
      <c r="FV91" s="518"/>
      <c r="FW91" s="518"/>
      <c r="FX91" s="518"/>
      <c r="FY91" s="518"/>
      <c r="FZ91" s="115"/>
      <c r="GA91" s="115"/>
      <c r="GB91" s="115"/>
      <c r="GC91" s="115"/>
      <c r="GD91" s="115"/>
      <c r="GE91" s="115"/>
      <c r="GF91" s="115"/>
      <c r="GG91" s="115"/>
      <c r="GH91" s="115"/>
      <c r="GI91" s="115"/>
      <c r="GJ91" s="115"/>
      <c r="GK91" s="1055">
        <f>-29+52</f>
        <v>23</v>
      </c>
      <c r="GL91" s="115"/>
      <c r="GM91" s="115"/>
      <c r="GN91" s="115"/>
      <c r="GO91" s="115"/>
      <c r="GP91" s="310">
        <f t="shared" si="209"/>
        <v>142.69999999999999</v>
      </c>
      <c r="GQ91" s="115"/>
      <c r="GR91" s="115"/>
      <c r="GS91" s="115"/>
      <c r="GT91" s="115"/>
      <c r="GU91" s="991">
        <f t="shared" si="225"/>
        <v>-119.69999999999999</v>
      </c>
      <c r="GW91" s="1063">
        <f>DataUK4!D243+DataUK4!F243</f>
        <v>281.79999999999995</v>
      </c>
      <c r="GX91" s="115"/>
      <c r="GY91" s="615">
        <f t="shared" si="210"/>
        <v>236.43281733746139</v>
      </c>
      <c r="GZ91" s="115"/>
      <c r="HA91" s="115"/>
      <c r="HB91" s="115"/>
      <c r="HC91" s="1051"/>
      <c r="HD91" s="170">
        <f t="shared" si="147"/>
        <v>127</v>
      </c>
      <c r="HE91" s="301">
        <f t="shared" si="151"/>
        <v>186</v>
      </c>
      <c r="HF91" s="301">
        <f t="shared" si="152"/>
        <v>59</v>
      </c>
      <c r="HG91" s="170">
        <f t="shared" si="211"/>
        <v>0</v>
      </c>
      <c r="HH91" s="301">
        <v>0</v>
      </c>
      <c r="HI91" s="301">
        <v>0</v>
      </c>
      <c r="HJ91" s="2">
        <v>0</v>
      </c>
      <c r="HK91" s="2">
        <v>0</v>
      </c>
      <c r="HL91" s="2">
        <v>0</v>
      </c>
      <c r="HM91" s="2">
        <f t="shared" si="212"/>
        <v>0</v>
      </c>
      <c r="HN91" s="2">
        <v>0</v>
      </c>
      <c r="HO91" s="2">
        <v>0</v>
      </c>
      <c r="HP91" s="2">
        <v>0</v>
      </c>
      <c r="HQ91" s="2">
        <v>0</v>
      </c>
      <c r="HR91" s="2">
        <v>0</v>
      </c>
      <c r="HS91" s="1052">
        <v>0</v>
      </c>
      <c r="HT91" s="1002">
        <v>16.2</v>
      </c>
      <c r="HU91" s="1002">
        <f t="shared" si="213"/>
        <v>1.9794212218649516</v>
      </c>
      <c r="HV91" s="1002">
        <f t="shared" si="214"/>
        <v>2.2919614147909968</v>
      </c>
    </row>
    <row r="92" spans="1:230">
      <c r="A92" s="110">
        <f t="shared" si="228"/>
        <v>1933</v>
      </c>
      <c r="B92" s="176">
        <f t="shared" si="158"/>
        <v>4181</v>
      </c>
      <c r="C92" s="177">
        <f t="shared" si="145"/>
        <v>154</v>
      </c>
      <c r="D92" s="176">
        <f t="shared" si="159"/>
        <v>4027</v>
      </c>
      <c r="E92" s="154">
        <f t="shared" si="160"/>
        <v>4310</v>
      </c>
      <c r="F92" s="995">
        <f t="shared" si="161"/>
        <v>283</v>
      </c>
      <c r="G92" s="531">
        <f t="shared" si="162"/>
        <v>4130</v>
      </c>
      <c r="H92" s="531">
        <f t="shared" si="163"/>
        <v>3976</v>
      </c>
      <c r="I92" s="531">
        <f t="shared" si="164"/>
        <v>4259</v>
      </c>
      <c r="J92" s="548">
        <f t="shared" si="165"/>
        <v>1.0119746419347264</v>
      </c>
      <c r="K92" s="515">
        <f t="shared" si="215"/>
        <v>486</v>
      </c>
      <c r="L92" s="175">
        <v>515</v>
      </c>
      <c r="M92" s="175">
        <v>29</v>
      </c>
      <c r="N92" s="111"/>
      <c r="O92" s="111"/>
      <c r="P92" s="111"/>
      <c r="Q92" s="111"/>
      <c r="R92" s="111"/>
      <c r="S92" s="532">
        <f t="shared" ref="S92:S124" si="229">K92/CB92</f>
        <v>0.13152909336941812</v>
      </c>
      <c r="T92" s="1008">
        <f t="shared" si="166"/>
        <v>240.1</v>
      </c>
      <c r="U92" s="1010">
        <f t="shared" si="167"/>
        <v>240.1</v>
      </c>
      <c r="V92" s="511">
        <f t="shared" si="168"/>
        <v>283.2</v>
      </c>
      <c r="W92" s="2">
        <f t="shared" si="169"/>
        <v>283.2</v>
      </c>
      <c r="X92" s="169">
        <f t="shared" si="170"/>
        <v>43.1</v>
      </c>
      <c r="Y92" s="113">
        <f t="shared" si="171"/>
        <v>0.15218926553672318</v>
      </c>
      <c r="Z92" s="113">
        <f t="shared" si="172"/>
        <v>0.15218926553672318</v>
      </c>
      <c r="AA92" s="113"/>
      <c r="AB92" s="1019">
        <v>0.01</v>
      </c>
      <c r="AC92" s="113"/>
      <c r="AD92" s="113"/>
      <c r="AE92" s="113"/>
      <c r="AF92" s="113"/>
      <c r="AG92" s="113"/>
      <c r="AH92" s="113"/>
      <c r="AI92" s="113"/>
      <c r="AJ92" s="171">
        <f t="shared" si="173"/>
        <v>924.71132997518998</v>
      </c>
      <c r="AK92" s="1026">
        <f t="shared" si="174"/>
        <v>160.55000000000001</v>
      </c>
      <c r="AL92" s="169">
        <f t="shared" si="175"/>
        <v>973.38034734230519</v>
      </c>
      <c r="AM92" s="169">
        <f t="shared" si="216"/>
        <v>169</v>
      </c>
      <c r="AN92" s="169">
        <f t="shared" si="176"/>
        <v>577.3309826328848</v>
      </c>
      <c r="AO92" s="1027">
        <f t="shared" si="140"/>
        <v>626</v>
      </c>
      <c r="AP92" s="169">
        <v>390</v>
      </c>
      <c r="AQ92" s="169">
        <v>36</v>
      </c>
      <c r="AR92" s="78">
        <f t="shared" si="217"/>
        <v>354</v>
      </c>
      <c r="AS92" s="169">
        <v>590</v>
      </c>
      <c r="AT92" s="169">
        <v>69</v>
      </c>
      <c r="AU92" s="169">
        <v>521</v>
      </c>
      <c r="AV92" s="112"/>
      <c r="AW92" s="175">
        <f t="shared" si="143"/>
        <v>383</v>
      </c>
      <c r="AX92" s="169">
        <v>380</v>
      </c>
      <c r="AY92" s="169">
        <v>3</v>
      </c>
      <c r="AZ92" s="170">
        <v>59</v>
      </c>
      <c r="BA92" s="113">
        <f t="shared" si="219"/>
        <v>0.17459785522788204</v>
      </c>
      <c r="BB92" s="170"/>
      <c r="BC92" s="112"/>
      <c r="BD92" s="112"/>
      <c r="BE92" s="112"/>
      <c r="BF92" s="170">
        <v>134</v>
      </c>
      <c r="BG92" s="113">
        <f t="shared" si="220"/>
        <v>0.37853107344632769</v>
      </c>
      <c r="BH92" s="112"/>
      <c r="BI92" s="1031">
        <v>2402</v>
      </c>
      <c r="BJ92" s="2">
        <f t="shared" si="177"/>
        <v>2402</v>
      </c>
      <c r="BK92" s="169">
        <v>64</v>
      </c>
      <c r="BL92" s="169">
        <f t="shared" si="178"/>
        <v>169</v>
      </c>
      <c r="BM92" s="1031">
        <f t="shared" si="179"/>
        <v>347.38034734230513</v>
      </c>
      <c r="BN92" s="310">
        <f t="shared" si="180"/>
        <v>283.38034734230513</v>
      </c>
      <c r="BO92" s="262">
        <f t="shared" si="181"/>
        <v>0.13808442540848714</v>
      </c>
      <c r="BP92" s="262">
        <f t="shared" si="182"/>
        <v>0.14972494618512316</v>
      </c>
      <c r="BQ92" s="262">
        <f t="shared" si="183"/>
        <v>8.3085469347597501E-2</v>
      </c>
      <c r="BR92" s="262">
        <f t="shared" si="184"/>
        <v>0.14462129364792053</v>
      </c>
      <c r="BS92" s="988">
        <f t="shared" si="185"/>
        <v>0.55492068265543948</v>
      </c>
      <c r="BT92" s="534">
        <f t="shared" si="186"/>
        <v>48.669017367115259</v>
      </c>
      <c r="BU92" s="534">
        <f t="shared" si="187"/>
        <v>8.4500000000000011</v>
      </c>
      <c r="BV92" s="113">
        <v>0.05</v>
      </c>
      <c r="BW92" s="276">
        <f t="shared" si="188"/>
        <v>1.1292115398402613E-2</v>
      </c>
      <c r="BX92" s="272">
        <f t="shared" si="189"/>
        <v>91.769017367115254</v>
      </c>
      <c r="BY92" s="113"/>
      <c r="BZ92" s="1035"/>
      <c r="CA92" s="1038"/>
      <c r="CB92" s="2">
        <f t="shared" si="221"/>
        <v>3695</v>
      </c>
      <c r="CC92" s="2">
        <f t="shared" si="222"/>
        <v>4181</v>
      </c>
      <c r="CD92" s="310">
        <f t="shared" si="190"/>
        <v>4181</v>
      </c>
      <c r="CE92" s="310">
        <f t="shared" si="191"/>
        <v>4027</v>
      </c>
      <c r="CF92" s="598"/>
      <c r="CG92" s="598"/>
      <c r="CH92" s="598"/>
      <c r="CI92" s="577">
        <v>283</v>
      </c>
      <c r="CJ92" s="577"/>
      <c r="CK92" s="577"/>
      <c r="CL92" s="517">
        <f t="shared" si="192"/>
        <v>2118.1886700248101</v>
      </c>
      <c r="CM92" s="169">
        <f t="shared" si="193"/>
        <v>2250.4196526576948</v>
      </c>
      <c r="CN92" s="170">
        <f t="shared" si="194"/>
        <v>453.79999999999995</v>
      </c>
      <c r="CO92" s="170">
        <f t="shared" si="195"/>
        <v>453.79999999999995</v>
      </c>
      <c r="CP92" s="170">
        <f t="shared" si="196"/>
        <v>1796.6196526576948</v>
      </c>
      <c r="CQ92" s="170">
        <f t="shared" si="197"/>
        <v>132.23098263288475</v>
      </c>
      <c r="CR92" s="170"/>
      <c r="CS92" s="113">
        <f t="shared" si="198"/>
        <v>3.0680042374219198E-2</v>
      </c>
      <c r="CT92" s="112"/>
      <c r="CU92" s="112"/>
      <c r="CV92" s="112"/>
      <c r="CW92" s="112"/>
      <c r="CX92" s="112"/>
      <c r="CY92" s="112"/>
      <c r="CZ92" s="112"/>
      <c r="DA92" s="112"/>
      <c r="DB92" s="112"/>
      <c r="DC92" s="112"/>
      <c r="DD92" s="112"/>
      <c r="DE92" s="112"/>
      <c r="DF92" s="112"/>
      <c r="DG92" s="112"/>
      <c r="DH92" s="516">
        <f t="shared" si="227"/>
        <v>258</v>
      </c>
      <c r="DI92" s="2">
        <f t="shared" si="199"/>
        <v>317</v>
      </c>
      <c r="DJ92" s="169">
        <f t="shared" si="200"/>
        <v>258</v>
      </c>
      <c r="DK92" s="169">
        <f t="shared" si="223"/>
        <v>59</v>
      </c>
      <c r="DL92" s="113">
        <f t="shared" si="201"/>
        <v>6.1707725424539582E-2</v>
      </c>
      <c r="DM92" s="113">
        <f t="shared" si="202"/>
        <v>0.10741049125728559</v>
      </c>
      <c r="DN92" s="113">
        <v>0.6</v>
      </c>
      <c r="DO92" s="113"/>
      <c r="DP92" s="113"/>
      <c r="DQ92" s="272">
        <v>430</v>
      </c>
      <c r="DR92" s="169"/>
      <c r="DS92" s="169"/>
      <c r="DT92" s="78">
        <f t="shared" si="96"/>
        <v>430</v>
      </c>
      <c r="DU92" s="175">
        <f t="shared" si="97"/>
        <v>3588.9</v>
      </c>
      <c r="DV92" s="169">
        <v>3696</v>
      </c>
      <c r="DW92" s="170">
        <f t="shared" si="203"/>
        <v>406.1</v>
      </c>
      <c r="DX92" s="534">
        <f t="shared" ref="DX92:DX106" si="230">EA92*$DZ92</f>
        <v>464.1</v>
      </c>
      <c r="DY92" s="534">
        <f t="shared" ref="DY92:DY106" si="231">EB92*$DZ92</f>
        <v>341.90000000000003</v>
      </c>
      <c r="DZ92" s="113">
        <f t="shared" si="226"/>
        <v>1.3</v>
      </c>
      <c r="EA92" s="169">
        <v>357</v>
      </c>
      <c r="EB92" s="169">
        <v>263</v>
      </c>
      <c r="EC92" s="175">
        <f t="shared" si="218"/>
        <v>122.19999999999999</v>
      </c>
      <c r="ED92" s="175">
        <v>10</v>
      </c>
      <c r="EE92" s="175">
        <f t="shared" si="204"/>
        <v>112.19999999999999</v>
      </c>
      <c r="EF92" s="175"/>
      <c r="EG92" s="169">
        <v>-58</v>
      </c>
      <c r="EH92" s="78">
        <f t="shared" si="205"/>
        <v>181.10000000000002</v>
      </c>
      <c r="EI92" s="169">
        <v>573</v>
      </c>
      <c r="EJ92" s="169">
        <v>739</v>
      </c>
      <c r="EK92" s="169"/>
      <c r="EL92" s="169"/>
      <c r="EM92" s="169"/>
      <c r="EN92" s="169"/>
      <c r="EO92" s="169">
        <v>772</v>
      </c>
      <c r="EP92" s="169">
        <v>784</v>
      </c>
      <c r="EQ92" s="175">
        <f t="shared" ref="EQ92:EQ109" si="232">DT92+DU92+DW92+EI92-EJ92</f>
        <v>4259</v>
      </c>
      <c r="ER92" s="2">
        <f t="shared" si="206"/>
        <v>4310</v>
      </c>
      <c r="ES92" s="262">
        <f t="shared" si="98"/>
        <v>1.0119746419347264</v>
      </c>
      <c r="ET92" s="262"/>
      <c r="EU92" s="262"/>
      <c r="EV92" s="262"/>
      <c r="EW92" s="598"/>
      <c r="EX92" s="598"/>
      <c r="EY92" s="1126"/>
      <c r="EZ92" s="598"/>
      <c r="FA92" s="598"/>
      <c r="FB92" s="598"/>
      <c r="FC92" s="598"/>
      <c r="FD92" s="598"/>
      <c r="FE92" s="979"/>
      <c r="FF92" s="1048"/>
      <c r="FG92" s="518"/>
      <c r="FH92" s="598"/>
      <c r="FI92" s="310">
        <f t="shared" si="207"/>
        <v>-12</v>
      </c>
      <c r="FJ92" s="2">
        <f t="shared" si="208"/>
        <v>-12</v>
      </c>
      <c r="FK92" s="273">
        <f t="shared" si="224"/>
        <v>188</v>
      </c>
      <c r="FL92" s="519">
        <v>188</v>
      </c>
      <c r="FM92" s="518"/>
      <c r="FN92" s="518"/>
      <c r="FO92" s="518"/>
      <c r="FP92" s="518"/>
      <c r="FQ92" s="518"/>
      <c r="FR92" s="518"/>
      <c r="FS92" s="1049"/>
      <c r="FT92" s="310">
        <v>128</v>
      </c>
      <c r="FU92" s="518"/>
      <c r="FV92" s="518"/>
      <c r="FW92" s="518"/>
      <c r="FX92" s="518"/>
      <c r="FY92" s="518"/>
      <c r="FZ92" s="115"/>
      <c r="GA92" s="115"/>
      <c r="GB92" s="115"/>
      <c r="GC92" s="115"/>
      <c r="GD92" s="115"/>
      <c r="GE92" s="115"/>
      <c r="GF92" s="115"/>
      <c r="GG92" s="115"/>
      <c r="GH92" s="115"/>
      <c r="GI92" s="115"/>
      <c r="GJ92" s="115"/>
      <c r="GK92" s="1055">
        <f>-28+53</f>
        <v>25</v>
      </c>
      <c r="GL92" s="115"/>
      <c r="GM92" s="115"/>
      <c r="GN92" s="115"/>
      <c r="GO92" s="115"/>
      <c r="GP92" s="310">
        <f t="shared" si="209"/>
        <v>112.19999999999999</v>
      </c>
      <c r="GQ92" s="115"/>
      <c r="GR92" s="115"/>
      <c r="GS92" s="115"/>
      <c r="GT92" s="115"/>
      <c r="GU92" s="991">
        <f t="shared" si="225"/>
        <v>-87.199999999999989</v>
      </c>
      <c r="GW92" s="1063">
        <f>DataUK4!D244+DataUK4!F244</f>
        <v>215.9</v>
      </c>
      <c r="GX92" s="115"/>
      <c r="GY92" s="615">
        <f t="shared" si="210"/>
        <v>181.14210526315799</v>
      </c>
      <c r="GZ92" s="115"/>
      <c r="HA92" s="115"/>
      <c r="HB92" s="115"/>
      <c r="HC92" s="1051"/>
      <c r="HD92" s="170">
        <f t="shared" si="147"/>
        <v>154</v>
      </c>
      <c r="HE92" s="301">
        <f t="shared" ref="HE92:HE104" si="233">EO92-EI92</f>
        <v>199</v>
      </c>
      <c r="HF92" s="301">
        <f t="shared" ref="HF92:HF104" si="234">EP92-EJ92</f>
        <v>45</v>
      </c>
      <c r="HG92" s="170">
        <f t="shared" si="211"/>
        <v>0</v>
      </c>
      <c r="HH92" s="301">
        <v>0</v>
      </c>
      <c r="HI92" s="301">
        <v>0</v>
      </c>
      <c r="HJ92" s="2">
        <v>0</v>
      </c>
      <c r="HK92" s="2">
        <v>0</v>
      </c>
      <c r="HL92" s="2">
        <v>0</v>
      </c>
      <c r="HM92" s="2">
        <f t="shared" si="212"/>
        <v>0</v>
      </c>
      <c r="HN92" s="2">
        <v>0</v>
      </c>
      <c r="HO92" s="2">
        <v>0</v>
      </c>
      <c r="HP92" s="2">
        <v>0</v>
      </c>
      <c r="HQ92" s="2">
        <v>0</v>
      </c>
      <c r="HR92" s="2">
        <v>0</v>
      </c>
      <c r="HS92" s="1052">
        <v>0</v>
      </c>
      <c r="HT92" s="1002">
        <v>15.8</v>
      </c>
      <c r="HU92" s="1002">
        <f t="shared" si="213"/>
        <v>1.9305466237942122</v>
      </c>
      <c r="HV92" s="1002">
        <f t="shared" si="214"/>
        <v>2.2353697749196142</v>
      </c>
    </row>
    <row r="93" spans="1:230">
      <c r="A93" s="110">
        <f t="shared" si="228"/>
        <v>1934</v>
      </c>
      <c r="B93" s="176">
        <f t="shared" si="158"/>
        <v>4422</v>
      </c>
      <c r="C93" s="177">
        <f t="shared" si="145"/>
        <v>167</v>
      </c>
      <c r="D93" s="176">
        <f t="shared" si="159"/>
        <v>4255</v>
      </c>
      <c r="E93" s="154">
        <f t="shared" si="160"/>
        <v>4537</v>
      </c>
      <c r="F93" s="995">
        <f t="shared" si="161"/>
        <v>282</v>
      </c>
      <c r="G93" s="531">
        <f t="shared" si="162"/>
        <v>4398</v>
      </c>
      <c r="H93" s="531">
        <f t="shared" si="163"/>
        <v>4231</v>
      </c>
      <c r="I93" s="531">
        <f t="shared" si="164"/>
        <v>4513</v>
      </c>
      <c r="J93" s="548">
        <f t="shared" si="165"/>
        <v>1.0053179703079991</v>
      </c>
      <c r="K93" s="515">
        <f t="shared" si="215"/>
        <v>507</v>
      </c>
      <c r="L93" s="175">
        <v>540</v>
      </c>
      <c r="M93" s="175">
        <v>33</v>
      </c>
      <c r="N93" s="111"/>
      <c r="O93" s="111"/>
      <c r="P93" s="111"/>
      <c r="Q93" s="111"/>
      <c r="R93" s="111"/>
      <c r="S93" s="532">
        <f t="shared" si="229"/>
        <v>0.12950191570881225</v>
      </c>
      <c r="T93" s="1008">
        <f t="shared" si="166"/>
        <v>243.43</v>
      </c>
      <c r="U93" s="1010">
        <f t="shared" si="167"/>
        <v>243.43</v>
      </c>
      <c r="V93" s="511">
        <f t="shared" si="168"/>
        <v>288.8</v>
      </c>
      <c r="W93" s="2">
        <f t="shared" si="169"/>
        <v>288.8</v>
      </c>
      <c r="X93" s="169">
        <f t="shared" si="170"/>
        <v>45.37</v>
      </c>
      <c r="Y93" s="113">
        <f t="shared" si="171"/>
        <v>0.1570983379501385</v>
      </c>
      <c r="Z93" s="113">
        <f t="shared" si="172"/>
        <v>0.1570983379501385</v>
      </c>
      <c r="AA93" s="113"/>
      <c r="AB93" s="1019">
        <v>0.01</v>
      </c>
      <c r="AC93" s="113"/>
      <c r="AD93" s="113"/>
      <c r="AE93" s="113"/>
      <c r="AF93" s="113"/>
      <c r="AG93" s="113"/>
      <c r="AH93" s="113"/>
      <c r="AI93" s="113"/>
      <c r="AJ93" s="171">
        <f t="shared" si="173"/>
        <v>932.09720321780321</v>
      </c>
      <c r="AK93" s="1026">
        <f t="shared" si="174"/>
        <v>171</v>
      </c>
      <c r="AL93" s="169">
        <f t="shared" si="175"/>
        <v>981.15495075558238</v>
      </c>
      <c r="AM93" s="169">
        <f t="shared" si="216"/>
        <v>180</v>
      </c>
      <c r="AN93" s="169">
        <f t="shared" si="176"/>
        <v>581.94225246222084</v>
      </c>
      <c r="AO93" s="1027">
        <f t="shared" si="140"/>
        <v>631</v>
      </c>
      <c r="AP93" s="169">
        <v>396</v>
      </c>
      <c r="AQ93" s="169">
        <v>35</v>
      </c>
      <c r="AR93" s="78">
        <f t="shared" si="217"/>
        <v>361</v>
      </c>
      <c r="AS93" s="169">
        <v>596</v>
      </c>
      <c r="AT93" s="169">
        <v>82</v>
      </c>
      <c r="AU93" s="169">
        <v>514</v>
      </c>
      <c r="AV93" s="112"/>
      <c r="AW93" s="175">
        <f t="shared" si="143"/>
        <v>471</v>
      </c>
      <c r="AX93" s="169">
        <v>464</v>
      </c>
      <c r="AY93" s="169">
        <v>7</v>
      </c>
      <c r="AZ93" s="170">
        <v>60</v>
      </c>
      <c r="BA93" s="113">
        <f t="shared" si="219"/>
        <v>0.16258619598911875</v>
      </c>
      <c r="BB93" s="170"/>
      <c r="BC93" s="112"/>
      <c r="BD93" s="112"/>
      <c r="BE93" s="112"/>
      <c r="BF93" s="170">
        <v>144</v>
      </c>
      <c r="BG93" s="113">
        <f t="shared" si="220"/>
        <v>0.39889196675900279</v>
      </c>
      <c r="BH93" s="112"/>
      <c r="BI93" s="1031">
        <v>2507</v>
      </c>
      <c r="BJ93" s="2">
        <f t="shared" si="177"/>
        <v>2507</v>
      </c>
      <c r="BK93" s="169">
        <v>63</v>
      </c>
      <c r="BL93" s="169">
        <f t="shared" si="178"/>
        <v>180</v>
      </c>
      <c r="BM93" s="1031">
        <f t="shared" si="179"/>
        <v>350.15495075558232</v>
      </c>
      <c r="BN93" s="310">
        <f t="shared" si="180"/>
        <v>287.15495075558232</v>
      </c>
      <c r="BO93" s="262">
        <f t="shared" si="181"/>
        <v>0.13160159485803274</v>
      </c>
      <c r="BP93" s="262">
        <f t="shared" si="182"/>
        <v>0.14269561284486657</v>
      </c>
      <c r="BQ93" s="262">
        <f t="shared" si="183"/>
        <v>7.9184746891809654E-2</v>
      </c>
      <c r="BR93" s="262">
        <f t="shared" si="184"/>
        <v>0.13967090177725661</v>
      </c>
      <c r="BS93" s="988">
        <f t="shared" si="185"/>
        <v>0.55492068265543948</v>
      </c>
      <c r="BT93" s="534">
        <f t="shared" si="186"/>
        <v>49.057747537779122</v>
      </c>
      <c r="BU93" s="534">
        <f t="shared" si="187"/>
        <v>9</v>
      </c>
      <c r="BV93" s="113">
        <v>0.05</v>
      </c>
      <c r="BW93" s="276">
        <f t="shared" si="188"/>
        <v>1.0812816296623127E-2</v>
      </c>
      <c r="BX93" s="272">
        <f t="shared" si="189"/>
        <v>94.427747537779112</v>
      </c>
      <c r="BY93" s="113"/>
      <c r="BZ93" s="1035"/>
      <c r="CA93" s="1038"/>
      <c r="CB93" s="2">
        <f t="shared" si="221"/>
        <v>3915</v>
      </c>
      <c r="CC93" s="2">
        <f t="shared" si="222"/>
        <v>4422</v>
      </c>
      <c r="CD93" s="310">
        <f t="shared" si="190"/>
        <v>4422</v>
      </c>
      <c r="CE93" s="310">
        <f t="shared" si="191"/>
        <v>4255</v>
      </c>
      <c r="CF93" s="598"/>
      <c r="CG93" s="598"/>
      <c r="CH93" s="598"/>
      <c r="CI93" s="577">
        <v>282</v>
      </c>
      <c r="CJ93" s="577"/>
      <c r="CK93" s="577"/>
      <c r="CL93" s="517">
        <f t="shared" si="192"/>
        <v>2304.8727967821965</v>
      </c>
      <c r="CM93" s="169">
        <f t="shared" si="193"/>
        <v>2432.4450492444175</v>
      </c>
      <c r="CN93" s="170">
        <f t="shared" si="194"/>
        <v>543.20000000000005</v>
      </c>
      <c r="CO93" s="170">
        <f t="shared" si="195"/>
        <v>543.20000000000005</v>
      </c>
      <c r="CP93" s="170">
        <f t="shared" si="196"/>
        <v>1889.2450492444177</v>
      </c>
      <c r="CQ93" s="170">
        <f t="shared" si="197"/>
        <v>127.57225246222089</v>
      </c>
      <c r="CR93" s="170"/>
      <c r="CS93" s="113">
        <f t="shared" si="198"/>
        <v>2.8118195385104891E-2</v>
      </c>
      <c r="CT93" s="112"/>
      <c r="CU93" s="112"/>
      <c r="CV93" s="112"/>
      <c r="CW93" s="112"/>
      <c r="CX93" s="112"/>
      <c r="CY93" s="112"/>
      <c r="CZ93" s="112"/>
      <c r="DA93" s="112"/>
      <c r="DB93" s="112"/>
      <c r="DC93" s="112"/>
      <c r="DD93" s="112"/>
      <c r="DE93" s="112"/>
      <c r="DF93" s="112"/>
      <c r="DG93" s="112"/>
      <c r="DH93" s="516">
        <f t="shared" si="227"/>
        <v>267.59999999999997</v>
      </c>
      <c r="DI93" s="2">
        <f t="shared" si="199"/>
        <v>327.59999999999997</v>
      </c>
      <c r="DJ93" s="169">
        <f t="shared" si="200"/>
        <v>267.59999999999997</v>
      </c>
      <c r="DK93" s="169">
        <f t="shared" si="223"/>
        <v>60</v>
      </c>
      <c r="DL93" s="113">
        <f t="shared" si="201"/>
        <v>6.0515603799185878E-2</v>
      </c>
      <c r="DM93" s="113">
        <f t="shared" si="202"/>
        <v>0.10674112485041881</v>
      </c>
      <c r="DN93" s="113">
        <v>0.6</v>
      </c>
      <c r="DO93" s="113"/>
      <c r="DP93" s="113"/>
      <c r="DQ93" s="272">
        <v>446</v>
      </c>
      <c r="DR93" s="169"/>
      <c r="DS93" s="169"/>
      <c r="DT93" s="78">
        <f t="shared" ref="DT93:DT104" si="235">DQ93</f>
        <v>446</v>
      </c>
      <c r="DU93" s="175">
        <f t="shared" ref="DU93:DU106" si="236">DV93-(DX93-EA93)</f>
        <v>3673.9</v>
      </c>
      <c r="DV93" s="169">
        <v>3802</v>
      </c>
      <c r="DW93" s="170">
        <f t="shared" si="203"/>
        <v>584.1</v>
      </c>
      <c r="DX93" s="534">
        <f t="shared" si="230"/>
        <v>555.1</v>
      </c>
      <c r="DY93" s="534">
        <f t="shared" si="231"/>
        <v>429</v>
      </c>
      <c r="DZ93" s="113">
        <f t="shared" si="226"/>
        <v>1.3</v>
      </c>
      <c r="EA93" s="169">
        <v>427</v>
      </c>
      <c r="EB93" s="169">
        <v>330</v>
      </c>
      <c r="EC93" s="175">
        <f t="shared" si="218"/>
        <v>126.10000000000002</v>
      </c>
      <c r="ED93" s="175">
        <v>8</v>
      </c>
      <c r="EE93" s="175">
        <f t="shared" si="204"/>
        <v>118.10000000000002</v>
      </c>
      <c r="EF93" s="175"/>
      <c r="EG93" s="169">
        <v>29</v>
      </c>
      <c r="EH93" s="78">
        <f t="shared" si="205"/>
        <v>273.10000000000002</v>
      </c>
      <c r="EI93" s="169">
        <v>608</v>
      </c>
      <c r="EJ93" s="169">
        <v>799</v>
      </c>
      <c r="EK93" s="169"/>
      <c r="EL93" s="169"/>
      <c r="EM93" s="169"/>
      <c r="EN93" s="169"/>
      <c r="EO93" s="169">
        <v>821</v>
      </c>
      <c r="EP93" s="169">
        <v>845</v>
      </c>
      <c r="EQ93" s="175">
        <f t="shared" si="232"/>
        <v>4513</v>
      </c>
      <c r="ER93" s="2">
        <f t="shared" si="206"/>
        <v>4537</v>
      </c>
      <c r="ES93" s="262">
        <f t="shared" ref="ES93:ES109" si="237">ER93/EQ93</f>
        <v>1.0053179703079991</v>
      </c>
      <c r="ET93" s="262"/>
      <c r="EU93" s="262"/>
      <c r="EV93" s="262"/>
      <c r="EW93" s="598"/>
      <c r="EX93" s="598"/>
      <c r="EY93" s="1126"/>
      <c r="EZ93" s="598"/>
      <c r="FA93" s="598"/>
      <c r="FB93" s="598"/>
      <c r="FC93" s="598"/>
      <c r="FD93" s="598"/>
      <c r="FE93" s="979"/>
      <c r="FF93" s="1048"/>
      <c r="FG93" s="518"/>
      <c r="FH93" s="598"/>
      <c r="FI93" s="310">
        <f t="shared" si="207"/>
        <v>-24</v>
      </c>
      <c r="FJ93" s="2">
        <f t="shared" si="208"/>
        <v>-24</v>
      </c>
      <c r="FK93" s="273">
        <f t="shared" si="224"/>
        <v>192</v>
      </c>
      <c r="FL93" s="519">
        <v>192</v>
      </c>
      <c r="FM93" s="518"/>
      <c r="FN93" s="518"/>
      <c r="FO93" s="518"/>
      <c r="FP93" s="518"/>
      <c r="FQ93" s="518"/>
      <c r="FR93" s="518"/>
      <c r="FS93" s="1049"/>
      <c r="FT93" s="310">
        <v>228</v>
      </c>
      <c r="FU93" s="518"/>
      <c r="FV93" s="518"/>
      <c r="FW93" s="518"/>
      <c r="FX93" s="518"/>
      <c r="FY93" s="518"/>
      <c r="FZ93" s="115"/>
      <c r="GA93" s="115"/>
      <c r="GB93" s="115"/>
      <c r="GC93" s="115"/>
      <c r="GD93" s="115"/>
      <c r="GE93" s="115"/>
      <c r="GF93" s="115"/>
      <c r="GG93" s="115"/>
      <c r="GH93" s="115"/>
      <c r="GI93" s="115"/>
      <c r="GJ93" s="115"/>
      <c r="GK93" s="1055">
        <f>-13+53</f>
        <v>40</v>
      </c>
      <c r="GL93" s="115"/>
      <c r="GM93" s="115"/>
      <c r="GN93" s="115"/>
      <c r="GO93" s="115"/>
      <c r="GP93" s="310">
        <f t="shared" si="209"/>
        <v>118.10000000000002</v>
      </c>
      <c r="GQ93" s="115"/>
      <c r="GR93" s="115"/>
      <c r="GS93" s="115"/>
      <c r="GT93" s="115"/>
      <c r="GU93" s="991">
        <f t="shared" si="225"/>
        <v>-78.100000000000023</v>
      </c>
      <c r="GW93" s="1063">
        <f>DataUK4!D245+DataUK4!F245</f>
        <v>211.29999999999998</v>
      </c>
      <c r="GX93" s="115"/>
      <c r="GY93" s="615">
        <f t="shared" si="210"/>
        <v>177.28266253869975</v>
      </c>
      <c r="GZ93" s="115"/>
      <c r="HA93" s="115"/>
      <c r="HB93" s="115"/>
      <c r="HC93" s="1051"/>
      <c r="HD93" s="170">
        <f t="shared" si="147"/>
        <v>167</v>
      </c>
      <c r="HE93" s="301">
        <f t="shared" si="233"/>
        <v>213</v>
      </c>
      <c r="HF93" s="301">
        <f t="shared" si="234"/>
        <v>46</v>
      </c>
      <c r="HG93" s="170">
        <f t="shared" si="211"/>
        <v>0</v>
      </c>
      <c r="HH93" s="301">
        <v>0</v>
      </c>
      <c r="HI93" s="301">
        <v>0</v>
      </c>
      <c r="HJ93" s="2">
        <v>0</v>
      </c>
      <c r="HK93" s="2">
        <v>0</v>
      </c>
      <c r="HL93" s="2">
        <v>0</v>
      </c>
      <c r="HM93" s="2">
        <f t="shared" si="212"/>
        <v>0</v>
      </c>
      <c r="HN93" s="2">
        <v>0</v>
      </c>
      <c r="HO93" s="2">
        <v>0</v>
      </c>
      <c r="HP93" s="2">
        <v>0</v>
      </c>
      <c r="HQ93" s="2">
        <v>0</v>
      </c>
      <c r="HR93" s="2">
        <v>0</v>
      </c>
      <c r="HS93" s="1052">
        <v>0</v>
      </c>
      <c r="HT93" s="1002">
        <v>15.8</v>
      </c>
      <c r="HU93" s="1002">
        <f t="shared" si="213"/>
        <v>1.9305466237942122</v>
      </c>
      <c r="HV93" s="1002">
        <f t="shared" si="214"/>
        <v>2.2353697749196142</v>
      </c>
    </row>
    <row r="94" spans="1:230">
      <c r="A94" s="110">
        <f t="shared" si="228"/>
        <v>1935</v>
      </c>
      <c r="B94" s="176">
        <f t="shared" si="158"/>
        <v>4626.0000000000009</v>
      </c>
      <c r="C94" s="177">
        <f t="shared" si="145"/>
        <v>181</v>
      </c>
      <c r="D94" s="176">
        <f t="shared" si="159"/>
        <v>4445.0000000000009</v>
      </c>
      <c r="E94" s="154">
        <f t="shared" si="160"/>
        <v>4743</v>
      </c>
      <c r="F94" s="995">
        <f t="shared" si="161"/>
        <v>298</v>
      </c>
      <c r="G94" s="531">
        <f t="shared" si="162"/>
        <v>4604</v>
      </c>
      <c r="H94" s="531">
        <f t="shared" si="163"/>
        <v>4423</v>
      </c>
      <c r="I94" s="531">
        <f t="shared" si="164"/>
        <v>4721</v>
      </c>
      <c r="J94" s="548">
        <f t="shared" si="165"/>
        <v>1.0046600296547341</v>
      </c>
      <c r="K94" s="515">
        <f t="shared" si="215"/>
        <v>522</v>
      </c>
      <c r="L94" s="175">
        <v>558</v>
      </c>
      <c r="M94" s="175">
        <v>36</v>
      </c>
      <c r="N94" s="111"/>
      <c r="O94" s="111"/>
      <c r="P94" s="111"/>
      <c r="Q94" s="111"/>
      <c r="R94" s="111"/>
      <c r="S94" s="532">
        <f t="shared" si="229"/>
        <v>0.12719298245614036</v>
      </c>
      <c r="T94" s="1008">
        <f t="shared" si="166"/>
        <v>255.76999999999998</v>
      </c>
      <c r="U94" s="1010">
        <f t="shared" si="167"/>
        <v>255.76999999999998</v>
      </c>
      <c r="V94" s="511">
        <f t="shared" si="168"/>
        <v>303.2</v>
      </c>
      <c r="W94" s="2">
        <f t="shared" si="169"/>
        <v>303.2</v>
      </c>
      <c r="X94" s="169">
        <f t="shared" si="170"/>
        <v>47.43</v>
      </c>
      <c r="Y94" s="113">
        <f t="shared" si="171"/>
        <v>0.15643139841688655</v>
      </c>
      <c r="Z94" s="113">
        <f t="shared" si="172"/>
        <v>0.15643139841688655</v>
      </c>
      <c r="AA94" s="113"/>
      <c r="AB94" s="1019">
        <v>0.01</v>
      </c>
      <c r="AC94" s="113"/>
      <c r="AD94" s="113"/>
      <c r="AE94" s="113"/>
      <c r="AF94" s="113"/>
      <c r="AG94" s="113"/>
      <c r="AH94" s="113"/>
      <c r="AI94" s="113"/>
      <c r="AJ94" s="171">
        <f t="shared" si="173"/>
        <v>979.36679197052854</v>
      </c>
      <c r="AK94" s="1026">
        <f t="shared" si="174"/>
        <v>165.3</v>
      </c>
      <c r="AL94" s="169">
        <f t="shared" si="175"/>
        <v>1030.9124126005563</v>
      </c>
      <c r="AM94" s="169">
        <f t="shared" si="216"/>
        <v>174</v>
      </c>
      <c r="AN94" s="169">
        <f t="shared" si="176"/>
        <v>611.45437936997223</v>
      </c>
      <c r="AO94" s="1027">
        <f t="shared" si="140"/>
        <v>663</v>
      </c>
      <c r="AP94" s="169">
        <v>413</v>
      </c>
      <c r="AQ94" s="169">
        <v>34</v>
      </c>
      <c r="AR94" s="78">
        <f t="shared" si="217"/>
        <v>379</v>
      </c>
      <c r="AS94" s="169">
        <v>629</v>
      </c>
      <c r="AT94" s="169">
        <v>75</v>
      </c>
      <c r="AU94" s="169">
        <v>554</v>
      </c>
      <c r="AV94" s="112"/>
      <c r="AW94" s="175">
        <f t="shared" si="143"/>
        <v>522</v>
      </c>
      <c r="AX94" s="169">
        <v>514</v>
      </c>
      <c r="AY94" s="169">
        <v>8</v>
      </c>
      <c r="AZ94" s="170">
        <v>60</v>
      </c>
      <c r="BA94" s="113">
        <f t="shared" si="219"/>
        <v>0.16695798927129168</v>
      </c>
      <c r="BB94" s="170"/>
      <c r="BC94" s="112"/>
      <c r="BD94" s="112"/>
      <c r="BE94" s="112"/>
      <c r="BF94" s="170">
        <v>153</v>
      </c>
      <c r="BG94" s="113">
        <f t="shared" si="220"/>
        <v>0.40369393139841686</v>
      </c>
      <c r="BH94" s="112"/>
      <c r="BI94" s="1031">
        <v>2597</v>
      </c>
      <c r="BJ94" s="2">
        <f t="shared" si="177"/>
        <v>2597</v>
      </c>
      <c r="BK94" s="169">
        <v>65</v>
      </c>
      <c r="BL94" s="169">
        <f t="shared" si="178"/>
        <v>174</v>
      </c>
      <c r="BM94" s="1031">
        <f t="shared" si="179"/>
        <v>367.91241260055637</v>
      </c>
      <c r="BN94" s="310">
        <f t="shared" si="180"/>
        <v>302.91241260055637</v>
      </c>
      <c r="BO94" s="262">
        <f t="shared" si="181"/>
        <v>0.13217777331819547</v>
      </c>
      <c r="BP94" s="262">
        <f t="shared" si="182"/>
        <v>0.14332036316472113</v>
      </c>
      <c r="BQ94" s="262">
        <f t="shared" si="183"/>
        <v>7.9531433765792553E-2</v>
      </c>
      <c r="BR94" s="262">
        <f t="shared" si="184"/>
        <v>0.14166823742801554</v>
      </c>
      <c r="BS94" s="988">
        <f t="shared" si="185"/>
        <v>0.55492068265543948</v>
      </c>
      <c r="BT94" s="534">
        <f t="shared" si="186"/>
        <v>51.54562063002782</v>
      </c>
      <c r="BU94" s="534">
        <f t="shared" si="187"/>
        <v>8.7000000000000011</v>
      </c>
      <c r="BV94" s="113">
        <v>0.05</v>
      </c>
      <c r="BW94" s="276">
        <f t="shared" si="188"/>
        <v>1.0867725201355222E-2</v>
      </c>
      <c r="BX94" s="272">
        <f t="shared" si="189"/>
        <v>98.975620630027819</v>
      </c>
      <c r="BY94" s="113"/>
      <c r="BZ94" s="1035"/>
      <c r="CA94" s="1038"/>
      <c r="CB94" s="2">
        <f t="shared" si="221"/>
        <v>4104</v>
      </c>
      <c r="CC94" s="2">
        <f t="shared" si="222"/>
        <v>4626</v>
      </c>
      <c r="CD94" s="310">
        <f t="shared" si="190"/>
        <v>4626</v>
      </c>
      <c r="CE94" s="310">
        <f t="shared" si="191"/>
        <v>4445</v>
      </c>
      <c r="CF94" s="598"/>
      <c r="CG94" s="598"/>
      <c r="CH94" s="598"/>
      <c r="CI94" s="577">
        <v>298</v>
      </c>
      <c r="CJ94" s="577"/>
      <c r="CK94" s="577"/>
      <c r="CL94" s="517">
        <f t="shared" si="192"/>
        <v>2398.0632080294718</v>
      </c>
      <c r="CM94" s="169">
        <f t="shared" si="193"/>
        <v>2537.0875873994437</v>
      </c>
      <c r="CN94" s="170">
        <f t="shared" si="194"/>
        <v>597.79999999999995</v>
      </c>
      <c r="CO94" s="170">
        <f t="shared" si="195"/>
        <v>597.79999999999995</v>
      </c>
      <c r="CP94" s="170">
        <f t="shared" si="196"/>
        <v>1939.2875873994435</v>
      </c>
      <c r="CQ94" s="170">
        <f t="shared" si="197"/>
        <v>139.02437936997217</v>
      </c>
      <c r="CR94" s="170"/>
      <c r="CS94" s="113">
        <f t="shared" si="198"/>
        <v>2.9311486268178824E-2</v>
      </c>
      <c r="CT94" s="112"/>
      <c r="CU94" s="112"/>
      <c r="CV94" s="112"/>
      <c r="CW94" s="112"/>
      <c r="CX94" s="112"/>
      <c r="CY94" s="112"/>
      <c r="CZ94" s="112"/>
      <c r="DA94" s="112"/>
      <c r="DB94" s="112"/>
      <c r="DC94" s="112"/>
      <c r="DD94" s="112"/>
      <c r="DE94" s="112"/>
      <c r="DF94" s="112"/>
      <c r="DG94" s="112"/>
      <c r="DH94" s="516">
        <f t="shared" si="227"/>
        <v>289.8</v>
      </c>
      <c r="DI94" s="2">
        <f t="shared" si="199"/>
        <v>349.8</v>
      </c>
      <c r="DJ94" s="169">
        <f t="shared" si="200"/>
        <v>289.8</v>
      </c>
      <c r="DK94" s="169">
        <f t="shared" si="223"/>
        <v>60</v>
      </c>
      <c r="DL94" s="113">
        <f t="shared" si="201"/>
        <v>6.2645914396887159E-2</v>
      </c>
      <c r="DM94" s="113">
        <f t="shared" si="202"/>
        <v>0.11159029649595688</v>
      </c>
      <c r="DN94" s="113">
        <v>0.6</v>
      </c>
      <c r="DO94" s="113"/>
      <c r="DP94" s="113"/>
      <c r="DQ94" s="272">
        <v>483</v>
      </c>
      <c r="DR94" s="169"/>
      <c r="DS94" s="169"/>
      <c r="DT94" s="78">
        <f t="shared" si="235"/>
        <v>483</v>
      </c>
      <c r="DU94" s="175">
        <f t="shared" si="236"/>
        <v>3798.2</v>
      </c>
      <c r="DV94" s="169">
        <v>3935</v>
      </c>
      <c r="DW94" s="170">
        <f t="shared" si="203"/>
        <v>597.80000000000007</v>
      </c>
      <c r="DX94" s="534">
        <f t="shared" si="230"/>
        <v>592.80000000000007</v>
      </c>
      <c r="DY94" s="534">
        <f t="shared" si="231"/>
        <v>443.3</v>
      </c>
      <c r="DZ94" s="113">
        <f t="shared" si="226"/>
        <v>1.3</v>
      </c>
      <c r="EA94" s="169">
        <v>456</v>
      </c>
      <c r="EB94" s="169">
        <v>341</v>
      </c>
      <c r="EC94" s="175">
        <f t="shared" si="218"/>
        <v>149.50000000000006</v>
      </c>
      <c r="ED94" s="175">
        <v>7</v>
      </c>
      <c r="EE94" s="175">
        <f t="shared" si="204"/>
        <v>142.50000000000006</v>
      </c>
      <c r="EF94" s="175"/>
      <c r="EG94" s="169">
        <v>5</v>
      </c>
      <c r="EH94" s="78">
        <f t="shared" si="205"/>
        <v>294.80000000000007</v>
      </c>
      <c r="EI94" s="169">
        <v>690</v>
      </c>
      <c r="EJ94" s="169">
        <v>848</v>
      </c>
      <c r="EK94" s="169"/>
      <c r="EL94" s="169"/>
      <c r="EM94" s="169"/>
      <c r="EN94" s="169"/>
      <c r="EO94" s="169">
        <v>921</v>
      </c>
      <c r="EP94" s="169">
        <v>898</v>
      </c>
      <c r="EQ94" s="175">
        <f t="shared" si="232"/>
        <v>4721</v>
      </c>
      <c r="ER94" s="2">
        <f t="shared" si="206"/>
        <v>4743</v>
      </c>
      <c r="ES94" s="262">
        <f t="shared" si="237"/>
        <v>1.0046600296547341</v>
      </c>
      <c r="ET94" s="262"/>
      <c r="EU94" s="262"/>
      <c r="EV94" s="262"/>
      <c r="EW94" s="598"/>
      <c r="EX94" s="598"/>
      <c r="EY94" s="1126"/>
      <c r="EZ94" s="598"/>
      <c r="FA94" s="598"/>
      <c r="FB94" s="598"/>
      <c r="FC94" s="598"/>
      <c r="FD94" s="598"/>
      <c r="FE94" s="979"/>
      <c r="FF94" s="1048"/>
      <c r="FG94" s="518"/>
      <c r="FH94" s="598"/>
      <c r="FI94" s="310">
        <f t="shared" si="207"/>
        <v>23</v>
      </c>
      <c r="FJ94" s="2">
        <f t="shared" si="208"/>
        <v>23</v>
      </c>
      <c r="FK94" s="273">
        <f t="shared" si="224"/>
        <v>219</v>
      </c>
      <c r="FL94" s="519">
        <v>219</v>
      </c>
      <c r="FM94" s="518"/>
      <c r="FN94" s="518"/>
      <c r="FO94" s="518"/>
      <c r="FP94" s="518"/>
      <c r="FQ94" s="518"/>
      <c r="FR94" s="518"/>
      <c r="FS94" s="1049"/>
      <c r="FT94" s="310">
        <v>204</v>
      </c>
      <c r="FU94" s="518"/>
      <c r="FV94" s="518"/>
      <c r="FW94" s="518"/>
      <c r="FX94" s="518"/>
      <c r="FY94" s="518"/>
      <c r="FZ94" s="115"/>
      <c r="GA94" s="115"/>
      <c r="GB94" s="115"/>
      <c r="GC94" s="115"/>
      <c r="GD94" s="115"/>
      <c r="GE94" s="115"/>
      <c r="GF94" s="115"/>
      <c r="GG94" s="115"/>
      <c r="GH94" s="115"/>
      <c r="GI94" s="115"/>
      <c r="GJ94" s="115"/>
      <c r="GK94" s="1055">
        <f>-48+59</f>
        <v>11</v>
      </c>
      <c r="GL94" s="115"/>
      <c r="GM94" s="115"/>
      <c r="GN94" s="115"/>
      <c r="GO94" s="115"/>
      <c r="GP94" s="310">
        <f t="shared" si="209"/>
        <v>142.50000000000006</v>
      </c>
      <c r="GQ94" s="115"/>
      <c r="GR94" s="115"/>
      <c r="GS94" s="115"/>
      <c r="GT94" s="115"/>
      <c r="GU94" s="991">
        <f t="shared" si="225"/>
        <v>-131.50000000000006</v>
      </c>
      <c r="GW94" s="1063">
        <f>DataUK4!D246+DataUK4!F246</f>
        <v>211.1</v>
      </c>
      <c r="GX94" s="115"/>
      <c r="GY94" s="615">
        <f t="shared" si="210"/>
        <v>177.11486068111461</v>
      </c>
      <c r="GZ94" s="115"/>
      <c r="HA94" s="115"/>
      <c r="HB94" s="115"/>
      <c r="HC94" s="1051"/>
      <c r="HD94" s="170">
        <f t="shared" si="147"/>
        <v>181</v>
      </c>
      <c r="HE94" s="301">
        <f t="shared" si="233"/>
        <v>231</v>
      </c>
      <c r="HF94" s="301">
        <f t="shared" si="234"/>
        <v>50</v>
      </c>
      <c r="HG94" s="170">
        <f t="shared" si="211"/>
        <v>0</v>
      </c>
      <c r="HH94" s="301">
        <v>0</v>
      </c>
      <c r="HI94" s="301">
        <v>0</v>
      </c>
      <c r="HJ94" s="2">
        <v>0</v>
      </c>
      <c r="HK94" s="2">
        <v>0</v>
      </c>
      <c r="HL94" s="2">
        <v>0</v>
      </c>
      <c r="HM94" s="2">
        <f t="shared" si="212"/>
        <v>0</v>
      </c>
      <c r="HN94" s="2">
        <v>0</v>
      </c>
      <c r="HO94" s="2">
        <v>0</v>
      </c>
      <c r="HP94" s="2">
        <v>0</v>
      </c>
      <c r="HQ94" s="2">
        <v>0</v>
      </c>
      <c r="HR94" s="2">
        <v>0</v>
      </c>
      <c r="HS94" s="1052">
        <v>0</v>
      </c>
      <c r="HT94" s="1002">
        <v>15.9</v>
      </c>
      <c r="HU94" s="1002">
        <f t="shared" si="213"/>
        <v>1.942765273311897</v>
      </c>
      <c r="HV94" s="1002">
        <f t="shared" si="214"/>
        <v>2.2495176848874601</v>
      </c>
    </row>
    <row r="95" spans="1:230">
      <c r="A95" s="110">
        <f t="shared" si="228"/>
        <v>1936</v>
      </c>
      <c r="B95" s="176">
        <f t="shared" si="158"/>
        <v>4963</v>
      </c>
      <c r="C95" s="177">
        <f t="shared" si="145"/>
        <v>195</v>
      </c>
      <c r="D95" s="176">
        <f t="shared" si="159"/>
        <v>4768</v>
      </c>
      <c r="E95" s="154">
        <f t="shared" si="160"/>
        <v>5085</v>
      </c>
      <c r="F95" s="995">
        <f t="shared" si="161"/>
        <v>317</v>
      </c>
      <c r="G95" s="531">
        <f t="shared" si="162"/>
        <v>4783</v>
      </c>
      <c r="H95" s="531">
        <f t="shared" si="163"/>
        <v>4588</v>
      </c>
      <c r="I95" s="531">
        <f t="shared" si="164"/>
        <v>4905</v>
      </c>
      <c r="J95" s="548">
        <f t="shared" si="165"/>
        <v>1.036697247706422</v>
      </c>
      <c r="K95" s="515">
        <f t="shared" si="215"/>
        <v>557</v>
      </c>
      <c r="L95" s="175">
        <v>590</v>
      </c>
      <c r="M95" s="175">
        <v>33</v>
      </c>
      <c r="N95" s="111"/>
      <c r="O95" s="111"/>
      <c r="P95" s="111"/>
      <c r="Q95" s="111"/>
      <c r="R95" s="111"/>
      <c r="S95" s="532">
        <f t="shared" si="229"/>
        <v>0.12641852019972766</v>
      </c>
      <c r="T95" s="1008">
        <f t="shared" si="166"/>
        <v>261.14999999999998</v>
      </c>
      <c r="U95" s="1010">
        <f t="shared" si="167"/>
        <v>261.14999999999998</v>
      </c>
      <c r="V95" s="511">
        <f t="shared" si="168"/>
        <v>312</v>
      </c>
      <c r="W95" s="2">
        <f t="shared" si="169"/>
        <v>312</v>
      </c>
      <c r="X95" s="169">
        <f t="shared" si="170"/>
        <v>50.85</v>
      </c>
      <c r="Y95" s="113">
        <f t="shared" si="171"/>
        <v>0.16298076923076923</v>
      </c>
      <c r="Z95" s="113">
        <f t="shared" si="172"/>
        <v>0.16298076923076923</v>
      </c>
      <c r="AA95" s="113"/>
      <c r="AB95" s="1019">
        <v>0.01</v>
      </c>
      <c r="AC95" s="113"/>
      <c r="AD95" s="113"/>
      <c r="AE95" s="113"/>
      <c r="AF95" s="113"/>
      <c r="AG95" s="113"/>
      <c r="AH95" s="113"/>
      <c r="AI95" s="113"/>
      <c r="AJ95" s="171">
        <f t="shared" si="173"/>
        <v>1031.0679046688219</v>
      </c>
      <c r="AK95" s="1026">
        <f t="shared" si="174"/>
        <v>176.7</v>
      </c>
      <c r="AL95" s="169">
        <f t="shared" si="175"/>
        <v>1085.3346364934969</v>
      </c>
      <c r="AM95" s="169">
        <f t="shared" si="216"/>
        <v>186</v>
      </c>
      <c r="AN95" s="169">
        <f t="shared" si="176"/>
        <v>643.73326817532518</v>
      </c>
      <c r="AO95" s="1027">
        <f t="shared" si="140"/>
        <v>698</v>
      </c>
      <c r="AP95" s="169">
        <v>425</v>
      </c>
      <c r="AQ95" s="169">
        <v>35</v>
      </c>
      <c r="AR95" s="78">
        <f t="shared" si="217"/>
        <v>390</v>
      </c>
      <c r="AS95" s="169">
        <v>663</v>
      </c>
      <c r="AT95" s="169">
        <v>86</v>
      </c>
      <c r="AU95" s="169">
        <v>577</v>
      </c>
      <c r="AV95" s="112"/>
      <c r="AW95" s="175">
        <f t="shared" si="143"/>
        <v>636</v>
      </c>
      <c r="AX95" s="169">
        <v>627</v>
      </c>
      <c r="AY95" s="169">
        <v>9</v>
      </c>
      <c r="AZ95" s="170">
        <v>60</v>
      </c>
      <c r="BA95" s="113">
        <f t="shared" si="219"/>
        <v>0.16160654268429306</v>
      </c>
      <c r="BB95" s="170"/>
      <c r="BC95" s="112"/>
      <c r="BD95" s="112"/>
      <c r="BE95" s="112"/>
      <c r="BF95" s="170">
        <v>170</v>
      </c>
      <c r="BG95" s="113">
        <f t="shared" si="220"/>
        <v>0.4358974358974359</v>
      </c>
      <c r="BH95" s="112"/>
      <c r="BI95" s="1031">
        <v>2744</v>
      </c>
      <c r="BJ95" s="2">
        <f t="shared" si="177"/>
        <v>2744</v>
      </c>
      <c r="BK95" s="169">
        <v>65</v>
      </c>
      <c r="BL95" s="169">
        <f t="shared" si="178"/>
        <v>186</v>
      </c>
      <c r="BM95" s="1031">
        <f t="shared" si="179"/>
        <v>387.33463649349676</v>
      </c>
      <c r="BN95" s="310">
        <f t="shared" si="180"/>
        <v>322.33463649349676</v>
      </c>
      <c r="BO95" s="262">
        <f t="shared" si="181"/>
        <v>0.12970648159889686</v>
      </c>
      <c r="BP95" s="262">
        <f t="shared" si="182"/>
        <v>0.14064074148700384</v>
      </c>
      <c r="BQ95" s="262">
        <f t="shared" si="183"/>
        <v>7.8044456275135357E-2</v>
      </c>
      <c r="BR95" s="262">
        <f t="shared" si="184"/>
        <v>0.14115693749763</v>
      </c>
      <c r="BS95" s="988">
        <f t="shared" si="185"/>
        <v>0.55492068265543948</v>
      </c>
      <c r="BT95" s="534">
        <f t="shared" si="186"/>
        <v>54.266731824674849</v>
      </c>
      <c r="BU95" s="534">
        <f t="shared" si="187"/>
        <v>9.3000000000000007</v>
      </c>
      <c r="BV95" s="113">
        <v>0.05</v>
      </c>
      <c r="BW95" s="276">
        <f t="shared" si="188"/>
        <v>1.0671923662669587E-2</v>
      </c>
      <c r="BX95" s="272">
        <f t="shared" si="189"/>
        <v>105.11673182467484</v>
      </c>
      <c r="BY95" s="113"/>
      <c r="BZ95" s="1035"/>
      <c r="CA95" s="1038"/>
      <c r="CB95" s="2">
        <f t="shared" si="221"/>
        <v>4406</v>
      </c>
      <c r="CC95" s="2">
        <f t="shared" si="222"/>
        <v>4963</v>
      </c>
      <c r="CD95" s="310">
        <f t="shared" si="190"/>
        <v>4963</v>
      </c>
      <c r="CE95" s="310">
        <f t="shared" si="191"/>
        <v>4768</v>
      </c>
      <c r="CF95" s="598"/>
      <c r="CG95" s="598"/>
      <c r="CH95" s="598"/>
      <c r="CI95" s="577">
        <v>317</v>
      </c>
      <c r="CJ95" s="577"/>
      <c r="CK95" s="577"/>
      <c r="CL95" s="517">
        <f t="shared" si="192"/>
        <v>2597.1820953311781</v>
      </c>
      <c r="CM95" s="169">
        <f t="shared" si="193"/>
        <v>2749.0653635065032</v>
      </c>
      <c r="CN95" s="170">
        <f t="shared" si="194"/>
        <v>714</v>
      </c>
      <c r="CO95" s="170">
        <f t="shared" si="195"/>
        <v>714</v>
      </c>
      <c r="CP95" s="170">
        <f t="shared" si="196"/>
        <v>2035.0653635065032</v>
      </c>
      <c r="CQ95" s="170">
        <f t="shared" si="197"/>
        <v>151.88326817532513</v>
      </c>
      <c r="CR95" s="170"/>
      <c r="CS95" s="113">
        <f t="shared" si="198"/>
        <v>2.9868882630349092E-2</v>
      </c>
      <c r="CT95" s="112"/>
      <c r="CU95" s="112"/>
      <c r="CV95" s="112"/>
      <c r="CW95" s="112"/>
      <c r="CX95" s="112"/>
      <c r="CY95" s="112"/>
      <c r="CZ95" s="112"/>
      <c r="DA95" s="112"/>
      <c r="DB95" s="112"/>
      <c r="DC95" s="112"/>
      <c r="DD95" s="112"/>
      <c r="DE95" s="112"/>
      <c r="DF95" s="112"/>
      <c r="DG95" s="112"/>
      <c r="DH95" s="516">
        <f t="shared" si="227"/>
        <v>321.59999999999997</v>
      </c>
      <c r="DI95" s="2">
        <f t="shared" si="199"/>
        <v>381.59999999999997</v>
      </c>
      <c r="DJ95" s="169">
        <f t="shared" si="200"/>
        <v>321.59999999999997</v>
      </c>
      <c r="DK95" s="169">
        <f t="shared" si="223"/>
        <v>60</v>
      </c>
      <c r="DL95" s="113">
        <f t="shared" si="201"/>
        <v>6.4799516421519238E-2</v>
      </c>
      <c r="DM95" s="113">
        <f t="shared" si="202"/>
        <v>0.117201166180758</v>
      </c>
      <c r="DN95" s="113">
        <v>0.6</v>
      </c>
      <c r="DO95" s="113"/>
      <c r="DP95" s="113"/>
      <c r="DQ95" s="272">
        <v>536</v>
      </c>
      <c r="DR95" s="169"/>
      <c r="DS95" s="169"/>
      <c r="DT95" s="78">
        <f t="shared" si="235"/>
        <v>536</v>
      </c>
      <c r="DU95" s="175">
        <f t="shared" si="236"/>
        <v>3924.9</v>
      </c>
      <c r="DV95" s="169">
        <v>4080</v>
      </c>
      <c r="DW95" s="170">
        <f t="shared" si="203"/>
        <v>666.1</v>
      </c>
      <c r="DX95" s="534">
        <f t="shared" si="230"/>
        <v>672.1</v>
      </c>
      <c r="DY95" s="534">
        <f t="shared" si="231"/>
        <v>490.1</v>
      </c>
      <c r="DZ95" s="113">
        <f t="shared" si="226"/>
        <v>1.3</v>
      </c>
      <c r="EA95" s="169">
        <v>517</v>
      </c>
      <c r="EB95" s="169">
        <v>377</v>
      </c>
      <c r="EC95" s="175">
        <f t="shared" si="218"/>
        <v>182</v>
      </c>
      <c r="ED95" s="175">
        <v>8</v>
      </c>
      <c r="EE95" s="175">
        <f t="shared" si="204"/>
        <v>174</v>
      </c>
      <c r="EF95" s="175"/>
      <c r="EG95" s="169">
        <v>-6</v>
      </c>
      <c r="EH95" s="78">
        <f t="shared" si="205"/>
        <v>355.1</v>
      </c>
      <c r="EI95" s="169">
        <v>697</v>
      </c>
      <c r="EJ95" s="169">
        <v>919</v>
      </c>
      <c r="EK95" s="169"/>
      <c r="EL95" s="169"/>
      <c r="EM95" s="169"/>
      <c r="EN95" s="169"/>
      <c r="EO95" s="169">
        <v>949</v>
      </c>
      <c r="EP95" s="169">
        <v>976</v>
      </c>
      <c r="EQ95" s="175">
        <f t="shared" si="232"/>
        <v>4905</v>
      </c>
      <c r="ER95" s="2">
        <f t="shared" si="206"/>
        <v>5085</v>
      </c>
      <c r="ES95" s="262">
        <f t="shared" si="237"/>
        <v>1.036697247706422</v>
      </c>
      <c r="ET95" s="262"/>
      <c r="EU95" s="262"/>
      <c r="EV95" s="262"/>
      <c r="EW95" s="598"/>
      <c r="EX95" s="598"/>
      <c r="EY95" s="1126"/>
      <c r="EZ95" s="598"/>
      <c r="FA95" s="598"/>
      <c r="FB95" s="598"/>
      <c r="FC95" s="598"/>
      <c r="FD95" s="598"/>
      <c r="FE95" s="979"/>
      <c r="FF95" s="1048"/>
      <c r="FG95" s="518"/>
      <c r="FH95" s="598"/>
      <c r="FI95" s="310">
        <f t="shared" si="207"/>
        <v>-27</v>
      </c>
      <c r="FJ95" s="2">
        <f t="shared" si="208"/>
        <v>-27</v>
      </c>
      <c r="FK95" s="273">
        <f t="shared" si="224"/>
        <v>292</v>
      </c>
      <c r="FL95" s="519">
        <v>292</v>
      </c>
      <c r="FM95" s="518"/>
      <c r="FN95" s="518"/>
      <c r="FO95" s="518"/>
      <c r="FP95" s="518"/>
      <c r="FQ95" s="518"/>
      <c r="FR95" s="518"/>
      <c r="FS95" s="1049"/>
      <c r="FT95" s="310">
        <v>260</v>
      </c>
      <c r="FU95" s="518"/>
      <c r="FV95" s="518"/>
      <c r="FW95" s="518"/>
      <c r="FX95" s="518"/>
      <c r="FY95" s="518"/>
      <c r="FZ95" s="115"/>
      <c r="GA95" s="115"/>
      <c r="GB95" s="115"/>
      <c r="GC95" s="115"/>
      <c r="GD95" s="115"/>
      <c r="GE95" s="115"/>
      <c r="GF95" s="115"/>
      <c r="GG95" s="115"/>
      <c r="GH95" s="115"/>
      <c r="GI95" s="115"/>
      <c r="GJ95" s="115"/>
      <c r="GK95" s="1055">
        <f>-50+66</f>
        <v>16</v>
      </c>
      <c r="GL95" s="115"/>
      <c r="GM95" s="115"/>
      <c r="GN95" s="115"/>
      <c r="GO95" s="115"/>
      <c r="GP95" s="310">
        <f t="shared" si="209"/>
        <v>174</v>
      </c>
      <c r="GQ95" s="115"/>
      <c r="GR95" s="115"/>
      <c r="GS95" s="115"/>
      <c r="GT95" s="115"/>
      <c r="GU95" s="991">
        <f t="shared" si="225"/>
        <v>-158</v>
      </c>
      <c r="GW95" s="1063">
        <f>DataUK4!D247+DataUK4!F247</f>
        <v>210.5</v>
      </c>
      <c r="GX95" s="115"/>
      <c r="GY95" s="615">
        <f t="shared" si="210"/>
        <v>176.61145510835919</v>
      </c>
      <c r="GZ95" s="115"/>
      <c r="HA95" s="115"/>
      <c r="HB95" s="115"/>
      <c r="HC95" s="1051"/>
      <c r="HD95" s="170">
        <f t="shared" si="147"/>
        <v>195</v>
      </c>
      <c r="HE95" s="301">
        <f t="shared" si="233"/>
        <v>252</v>
      </c>
      <c r="HF95" s="301">
        <f t="shared" si="234"/>
        <v>57</v>
      </c>
      <c r="HG95" s="170">
        <f t="shared" si="211"/>
        <v>0</v>
      </c>
      <c r="HH95" s="301">
        <v>0</v>
      </c>
      <c r="HI95" s="301">
        <v>0</v>
      </c>
      <c r="HJ95" s="2">
        <v>0</v>
      </c>
      <c r="HK95" s="2">
        <v>0</v>
      </c>
      <c r="HL95" s="2">
        <v>0</v>
      </c>
      <c r="HM95" s="2">
        <f t="shared" si="212"/>
        <v>0</v>
      </c>
      <c r="HN95" s="2">
        <v>0</v>
      </c>
      <c r="HO95" s="2">
        <v>0</v>
      </c>
      <c r="HP95" s="2">
        <v>0</v>
      </c>
      <c r="HQ95" s="2">
        <v>0</v>
      </c>
      <c r="HR95" s="2">
        <v>0</v>
      </c>
      <c r="HS95" s="1052">
        <v>0</v>
      </c>
      <c r="HT95" s="1002">
        <v>16</v>
      </c>
      <c r="HU95" s="1002">
        <f t="shared" si="213"/>
        <v>1.9549839228295818</v>
      </c>
      <c r="HV95" s="1002">
        <f t="shared" si="214"/>
        <v>2.2636655948553055</v>
      </c>
    </row>
    <row r="96" spans="1:230">
      <c r="A96" s="110">
        <f t="shared" si="228"/>
        <v>1937</v>
      </c>
      <c r="B96" s="176">
        <f t="shared" si="158"/>
        <v>5205</v>
      </c>
      <c r="C96" s="177">
        <f t="shared" si="145"/>
        <v>205</v>
      </c>
      <c r="D96" s="176">
        <f t="shared" si="159"/>
        <v>5000</v>
      </c>
      <c r="E96" s="154">
        <f t="shared" si="160"/>
        <v>5357</v>
      </c>
      <c r="F96" s="995">
        <f t="shared" si="161"/>
        <v>357</v>
      </c>
      <c r="G96" s="531">
        <f t="shared" si="162"/>
        <v>5137</v>
      </c>
      <c r="H96" s="531">
        <f t="shared" si="163"/>
        <v>4932</v>
      </c>
      <c r="I96" s="531">
        <f t="shared" si="164"/>
        <v>5289</v>
      </c>
      <c r="J96" s="548">
        <f t="shared" si="165"/>
        <v>1.012856872754774</v>
      </c>
      <c r="K96" s="515">
        <f t="shared" si="215"/>
        <v>582</v>
      </c>
      <c r="L96" s="175">
        <v>613</v>
      </c>
      <c r="M96" s="175">
        <v>31</v>
      </c>
      <c r="N96" s="111"/>
      <c r="O96" s="111"/>
      <c r="P96" s="111"/>
      <c r="Q96" s="111"/>
      <c r="R96" s="111"/>
      <c r="S96" s="532">
        <f t="shared" si="229"/>
        <v>0.12589227774172615</v>
      </c>
      <c r="T96" s="1008">
        <f t="shared" si="166"/>
        <v>276.83000000000004</v>
      </c>
      <c r="U96" s="1010">
        <f t="shared" si="167"/>
        <v>276.83000000000004</v>
      </c>
      <c r="V96" s="511">
        <f t="shared" si="168"/>
        <v>330.40000000000003</v>
      </c>
      <c r="W96" s="2">
        <f t="shared" si="169"/>
        <v>330.40000000000003</v>
      </c>
      <c r="X96" s="169">
        <f t="shared" si="170"/>
        <v>53.57</v>
      </c>
      <c r="Y96" s="113">
        <f t="shared" si="171"/>
        <v>0.16213680387409199</v>
      </c>
      <c r="Z96" s="113">
        <f t="shared" si="172"/>
        <v>0.16213680387409199</v>
      </c>
      <c r="AA96" s="113"/>
      <c r="AB96" s="1019">
        <v>0.01</v>
      </c>
      <c r="AC96" s="113"/>
      <c r="AD96" s="113"/>
      <c r="AE96" s="113"/>
      <c r="AF96" s="113"/>
      <c r="AG96" s="113"/>
      <c r="AH96" s="113"/>
      <c r="AI96" s="113"/>
      <c r="AJ96" s="171">
        <f t="shared" si="173"/>
        <v>983.79831591609661</v>
      </c>
      <c r="AK96" s="1026">
        <f t="shared" si="174"/>
        <v>152</v>
      </c>
      <c r="AL96" s="169">
        <f t="shared" si="175"/>
        <v>1035.5771746485227</v>
      </c>
      <c r="AM96" s="169">
        <f t="shared" si="216"/>
        <v>160</v>
      </c>
      <c r="AN96" s="169">
        <f t="shared" si="176"/>
        <v>614.2211412675739</v>
      </c>
      <c r="AO96" s="1027">
        <f t="shared" si="140"/>
        <v>666</v>
      </c>
      <c r="AP96" s="169">
        <v>448</v>
      </c>
      <c r="AQ96" s="169">
        <v>35</v>
      </c>
      <c r="AR96" s="78">
        <f t="shared" si="217"/>
        <v>413</v>
      </c>
      <c r="AS96" s="169">
        <v>631</v>
      </c>
      <c r="AT96" s="169">
        <v>61</v>
      </c>
      <c r="AU96" s="169">
        <v>570</v>
      </c>
      <c r="AV96" s="112"/>
      <c r="AW96" s="175">
        <f t="shared" si="143"/>
        <v>726</v>
      </c>
      <c r="AX96" s="169">
        <v>717</v>
      </c>
      <c r="AY96" s="169">
        <v>9</v>
      </c>
      <c r="AZ96" s="170">
        <v>62</v>
      </c>
      <c r="BA96" s="113">
        <f t="shared" si="219"/>
        <v>0.151201655260226</v>
      </c>
      <c r="BB96" s="170"/>
      <c r="BC96" s="112"/>
      <c r="BD96" s="112"/>
      <c r="BE96" s="112"/>
      <c r="BF96" s="170">
        <v>197</v>
      </c>
      <c r="BG96" s="113">
        <f t="shared" si="220"/>
        <v>0.47699757869249393</v>
      </c>
      <c r="BH96" s="112"/>
      <c r="BI96" s="1031">
        <v>2908</v>
      </c>
      <c r="BJ96" s="2">
        <f t="shared" si="177"/>
        <v>2908</v>
      </c>
      <c r="BK96" s="169">
        <v>64</v>
      </c>
      <c r="BL96" s="169">
        <f t="shared" si="178"/>
        <v>160</v>
      </c>
      <c r="BM96" s="1031">
        <f t="shared" si="179"/>
        <v>369.57717464852271</v>
      </c>
      <c r="BN96" s="310">
        <f t="shared" si="180"/>
        <v>305.57717464852271</v>
      </c>
      <c r="BO96" s="262">
        <f t="shared" si="181"/>
        <v>0.11800598295246377</v>
      </c>
      <c r="BP96" s="262">
        <f t="shared" si="182"/>
        <v>0.12795389048991354</v>
      </c>
      <c r="BQ96" s="262">
        <f t="shared" si="183"/>
        <v>7.1004260259082172E-2</v>
      </c>
      <c r="BR96" s="262">
        <f t="shared" si="184"/>
        <v>0.12708981246510409</v>
      </c>
      <c r="BS96" s="988">
        <f t="shared" si="185"/>
        <v>0.55492068265543948</v>
      </c>
      <c r="BT96" s="534">
        <f t="shared" si="186"/>
        <v>51.778858732426137</v>
      </c>
      <c r="BU96" s="534">
        <f t="shared" si="187"/>
        <v>8</v>
      </c>
      <c r="BV96" s="113">
        <v>0.05</v>
      </c>
      <c r="BW96" s="276">
        <f t="shared" si="188"/>
        <v>9.6656447139119167E-3</v>
      </c>
      <c r="BX96" s="272">
        <f t="shared" si="189"/>
        <v>105.34885873242614</v>
      </c>
      <c r="BY96" s="113"/>
      <c r="BZ96" s="1035"/>
      <c r="CA96" s="1038"/>
      <c r="CB96" s="2">
        <f t="shared" si="221"/>
        <v>4623</v>
      </c>
      <c r="CC96" s="2">
        <f t="shared" si="222"/>
        <v>5205</v>
      </c>
      <c r="CD96" s="310">
        <f t="shared" si="190"/>
        <v>5205</v>
      </c>
      <c r="CE96" s="310">
        <f t="shared" si="191"/>
        <v>5000</v>
      </c>
      <c r="CF96" s="598"/>
      <c r="CG96" s="598"/>
      <c r="CH96" s="598"/>
      <c r="CI96" s="577">
        <v>357</v>
      </c>
      <c r="CJ96" s="577"/>
      <c r="CK96" s="577"/>
      <c r="CL96" s="517">
        <f t="shared" si="192"/>
        <v>2787.1716840839035</v>
      </c>
      <c r="CM96" s="169">
        <f t="shared" si="193"/>
        <v>2976.8228253514776</v>
      </c>
      <c r="CN96" s="170">
        <f t="shared" si="194"/>
        <v>808.59999999999991</v>
      </c>
      <c r="CO96" s="170">
        <f t="shared" si="195"/>
        <v>808.59999999999991</v>
      </c>
      <c r="CP96" s="170">
        <f t="shared" si="196"/>
        <v>2168.2228253514777</v>
      </c>
      <c r="CQ96" s="170">
        <f t="shared" si="197"/>
        <v>189.65114126757388</v>
      </c>
      <c r="CR96" s="170"/>
      <c r="CS96" s="113">
        <f t="shared" si="198"/>
        <v>3.5402490436358763E-2</v>
      </c>
      <c r="CT96" s="112"/>
      <c r="CU96" s="112"/>
      <c r="CV96" s="112"/>
      <c r="CW96" s="112"/>
      <c r="CX96" s="112"/>
      <c r="CY96" s="112"/>
      <c r="CZ96" s="112"/>
      <c r="DA96" s="112"/>
      <c r="DB96" s="112"/>
      <c r="DC96" s="112"/>
      <c r="DD96" s="112"/>
      <c r="DE96" s="112"/>
      <c r="DF96" s="112"/>
      <c r="DG96" s="112"/>
      <c r="DH96" s="516">
        <f t="shared" si="227"/>
        <v>370.2</v>
      </c>
      <c r="DI96" s="2">
        <f t="shared" si="199"/>
        <v>432.2</v>
      </c>
      <c r="DJ96" s="169">
        <f t="shared" si="200"/>
        <v>370.2</v>
      </c>
      <c r="DK96" s="169">
        <f t="shared" si="223"/>
        <v>62</v>
      </c>
      <c r="DL96" s="113">
        <f t="shared" si="201"/>
        <v>7.1123919308357347E-2</v>
      </c>
      <c r="DM96" s="113">
        <f t="shared" si="202"/>
        <v>0.12730398899587345</v>
      </c>
      <c r="DN96" s="113">
        <v>0.6</v>
      </c>
      <c r="DO96" s="113"/>
      <c r="DP96" s="113"/>
      <c r="DQ96" s="272">
        <v>617</v>
      </c>
      <c r="DR96" s="169"/>
      <c r="DS96" s="169"/>
      <c r="DT96" s="78">
        <f t="shared" si="235"/>
        <v>617</v>
      </c>
      <c r="DU96" s="175">
        <f t="shared" si="236"/>
        <v>4116.8</v>
      </c>
      <c r="DV96" s="169">
        <v>4289</v>
      </c>
      <c r="DW96" s="170">
        <f t="shared" si="203"/>
        <v>806.2</v>
      </c>
      <c r="DX96" s="534">
        <f t="shared" si="230"/>
        <v>746.2</v>
      </c>
      <c r="DY96" s="534">
        <f t="shared" si="231"/>
        <v>520</v>
      </c>
      <c r="DZ96" s="113">
        <f t="shared" si="226"/>
        <v>1.3</v>
      </c>
      <c r="EA96" s="169">
        <v>574</v>
      </c>
      <c r="EB96" s="169">
        <v>400</v>
      </c>
      <c r="EC96" s="175">
        <f t="shared" si="218"/>
        <v>226.20000000000005</v>
      </c>
      <c r="ED96" s="175">
        <v>9</v>
      </c>
      <c r="EE96" s="175">
        <f t="shared" si="204"/>
        <v>217.20000000000005</v>
      </c>
      <c r="EF96" s="175"/>
      <c r="EG96" s="169">
        <v>60</v>
      </c>
      <c r="EH96" s="78">
        <f t="shared" si="205"/>
        <v>389.20000000000005</v>
      </c>
      <c r="EI96" s="169">
        <v>843</v>
      </c>
      <c r="EJ96" s="169">
        <v>1094</v>
      </c>
      <c r="EK96" s="169"/>
      <c r="EL96" s="169"/>
      <c r="EM96" s="169"/>
      <c r="EN96" s="169"/>
      <c r="EO96" s="169">
        <v>1113</v>
      </c>
      <c r="EP96" s="169">
        <v>1159</v>
      </c>
      <c r="EQ96" s="175">
        <f t="shared" si="232"/>
        <v>5289</v>
      </c>
      <c r="ER96" s="2">
        <f t="shared" si="206"/>
        <v>5357</v>
      </c>
      <c r="ES96" s="262">
        <f t="shared" si="237"/>
        <v>1.012856872754774</v>
      </c>
      <c r="ET96" s="262"/>
      <c r="EU96" s="262"/>
      <c r="EV96" s="262"/>
      <c r="EW96" s="598"/>
      <c r="EX96" s="598"/>
      <c r="EY96" s="1126"/>
      <c r="EZ96" s="598"/>
      <c r="FA96" s="598"/>
      <c r="FB96" s="598"/>
      <c r="FC96" s="598"/>
      <c r="FD96" s="598"/>
      <c r="FE96" s="979"/>
      <c r="FF96" s="1048"/>
      <c r="FG96" s="518"/>
      <c r="FH96" s="598"/>
      <c r="FI96" s="310">
        <f t="shared" si="207"/>
        <v>-46</v>
      </c>
      <c r="FJ96" s="2">
        <f t="shared" si="208"/>
        <v>-46</v>
      </c>
      <c r="FK96" s="273">
        <f t="shared" si="224"/>
        <v>228</v>
      </c>
      <c r="FL96" s="519">
        <v>228</v>
      </c>
      <c r="FM96" s="518"/>
      <c r="FN96" s="518"/>
      <c r="FO96" s="518"/>
      <c r="FP96" s="518"/>
      <c r="FQ96" s="518"/>
      <c r="FR96" s="518"/>
      <c r="FS96" s="1049"/>
      <c r="FT96" s="310">
        <v>321</v>
      </c>
      <c r="FU96" s="518"/>
      <c r="FV96" s="518"/>
      <c r="FW96" s="518"/>
      <c r="FX96" s="518"/>
      <c r="FY96" s="518"/>
      <c r="FZ96" s="115"/>
      <c r="GA96" s="115"/>
      <c r="GB96" s="115"/>
      <c r="GC96" s="115"/>
      <c r="GD96" s="115"/>
      <c r="GE96" s="115"/>
      <c r="GF96" s="115"/>
      <c r="GG96" s="115"/>
      <c r="GH96" s="115"/>
      <c r="GI96" s="115"/>
      <c r="GJ96" s="115"/>
      <c r="GK96" s="1055">
        <f>-66+66</f>
        <v>0</v>
      </c>
      <c r="GL96" s="115"/>
      <c r="GM96" s="115"/>
      <c r="GN96" s="115"/>
      <c r="GO96" s="115"/>
      <c r="GP96" s="310">
        <f t="shared" si="209"/>
        <v>217.20000000000005</v>
      </c>
      <c r="GQ96" s="115"/>
      <c r="GR96" s="115"/>
      <c r="GS96" s="115"/>
      <c r="GT96" s="115"/>
      <c r="GU96" s="991">
        <f t="shared" si="225"/>
        <v>-217.20000000000005</v>
      </c>
      <c r="GW96" s="1063">
        <f>DataUK4!D248+DataUK4!F248</f>
        <v>215.79999999999998</v>
      </c>
      <c r="GX96" s="115"/>
      <c r="GY96" s="615">
        <f t="shared" si="210"/>
        <v>181.05820433436537</v>
      </c>
      <c r="GZ96" s="115"/>
      <c r="HA96" s="115"/>
      <c r="HB96" s="115"/>
      <c r="HC96" s="1051"/>
      <c r="HD96" s="170">
        <f t="shared" si="147"/>
        <v>205</v>
      </c>
      <c r="HE96" s="301">
        <f t="shared" si="233"/>
        <v>270</v>
      </c>
      <c r="HF96" s="301">
        <f t="shared" si="234"/>
        <v>65</v>
      </c>
      <c r="HG96" s="170">
        <f t="shared" si="211"/>
        <v>0</v>
      </c>
      <c r="HH96" s="301">
        <v>0</v>
      </c>
      <c r="HI96" s="301">
        <v>0</v>
      </c>
      <c r="HJ96" s="2">
        <v>0</v>
      </c>
      <c r="HK96" s="2">
        <v>0</v>
      </c>
      <c r="HL96" s="2">
        <v>0</v>
      </c>
      <c r="HM96" s="2">
        <f t="shared" si="212"/>
        <v>0</v>
      </c>
      <c r="HN96" s="2">
        <v>0</v>
      </c>
      <c r="HO96" s="2">
        <v>0</v>
      </c>
      <c r="HP96" s="2">
        <v>0</v>
      </c>
      <c r="HQ96" s="2">
        <v>0</v>
      </c>
      <c r="HR96" s="2">
        <v>0</v>
      </c>
      <c r="HS96" s="1052">
        <v>0</v>
      </c>
      <c r="HT96" s="1002">
        <v>16.600000000000001</v>
      </c>
      <c r="HU96" s="1002">
        <f t="shared" si="213"/>
        <v>2.0282958199356913</v>
      </c>
      <c r="HV96" s="1002">
        <f t="shared" si="214"/>
        <v>2.3485530546623794</v>
      </c>
    </row>
    <row r="97" spans="1:230">
      <c r="A97" s="110">
        <f t="shared" si="228"/>
        <v>1938</v>
      </c>
      <c r="B97" s="176">
        <f t="shared" si="158"/>
        <v>5232</v>
      </c>
      <c r="C97" s="177">
        <f t="shared" si="145"/>
        <v>192</v>
      </c>
      <c r="D97" s="176">
        <f t="shared" si="159"/>
        <v>5040</v>
      </c>
      <c r="E97" s="154">
        <f t="shared" si="160"/>
        <v>5410</v>
      </c>
      <c r="F97" s="995">
        <f t="shared" si="161"/>
        <v>370</v>
      </c>
      <c r="G97" s="531">
        <f t="shared" si="162"/>
        <v>5394</v>
      </c>
      <c r="H97" s="531">
        <f t="shared" si="163"/>
        <v>5202</v>
      </c>
      <c r="I97" s="531">
        <f t="shared" si="164"/>
        <v>5572</v>
      </c>
      <c r="J97" s="548">
        <f t="shared" si="165"/>
        <v>0.97092605886575734</v>
      </c>
      <c r="K97" s="515">
        <f t="shared" si="215"/>
        <v>587</v>
      </c>
      <c r="L97" s="175">
        <v>627</v>
      </c>
      <c r="M97" s="175">
        <v>40</v>
      </c>
      <c r="N97" s="111"/>
      <c r="O97" s="111"/>
      <c r="P97" s="111"/>
      <c r="Q97" s="111"/>
      <c r="R97" s="111"/>
      <c r="S97" s="532">
        <f t="shared" si="229"/>
        <v>0.12637244348762111</v>
      </c>
      <c r="T97" s="1008">
        <f t="shared" si="166"/>
        <v>285.89999999999998</v>
      </c>
      <c r="U97" s="1010">
        <f t="shared" si="167"/>
        <v>285.89999999999998</v>
      </c>
      <c r="V97" s="511">
        <f t="shared" si="168"/>
        <v>340</v>
      </c>
      <c r="W97" s="2">
        <f>0.8*AR97</f>
        <v>340</v>
      </c>
      <c r="X97" s="169">
        <f t="shared" si="170"/>
        <v>54.1</v>
      </c>
      <c r="Y97" s="113">
        <f t="shared" si="171"/>
        <v>0.15911764705882353</v>
      </c>
      <c r="Z97" s="113">
        <f t="shared" si="172"/>
        <v>0.15911764705882353</v>
      </c>
      <c r="AA97" s="113"/>
      <c r="AB97" s="1019">
        <v>0.01</v>
      </c>
      <c r="AC97" s="113"/>
      <c r="AD97" s="113"/>
      <c r="AE97" s="113"/>
      <c r="AF97" s="113"/>
      <c r="AG97" s="113"/>
      <c r="AH97" s="113"/>
      <c r="AI97" s="113"/>
      <c r="AJ97" s="171">
        <f t="shared" si="173"/>
        <v>960.16352153973389</v>
      </c>
      <c r="AK97" s="1026">
        <f t="shared" si="174"/>
        <v>161.5</v>
      </c>
      <c r="AL97" s="169">
        <f t="shared" si="175"/>
        <v>1010.6984437260356</v>
      </c>
      <c r="AM97" s="169">
        <f t="shared" si="216"/>
        <v>170</v>
      </c>
      <c r="AN97" s="169">
        <f t="shared" si="176"/>
        <v>599.46507781369826</v>
      </c>
      <c r="AO97" s="1027">
        <f t="shared" si="140"/>
        <v>650</v>
      </c>
      <c r="AP97" s="169">
        <v>460</v>
      </c>
      <c r="AQ97" s="169">
        <v>35</v>
      </c>
      <c r="AR97" s="78">
        <f t="shared" si="217"/>
        <v>425</v>
      </c>
      <c r="AS97" s="169">
        <v>615</v>
      </c>
      <c r="AT97" s="169">
        <v>69</v>
      </c>
      <c r="AU97" s="169">
        <v>546</v>
      </c>
      <c r="AV97" s="112"/>
      <c r="AW97" s="175">
        <f t="shared" si="143"/>
        <v>697</v>
      </c>
      <c r="AX97" s="169">
        <v>687</v>
      </c>
      <c r="AY97" s="169">
        <v>10</v>
      </c>
      <c r="AZ97" s="170">
        <v>62</v>
      </c>
      <c r="BA97" s="113">
        <f t="shared" si="219"/>
        <v>0.14690846472582469</v>
      </c>
      <c r="BB97" s="170"/>
      <c r="BC97" s="112"/>
      <c r="BD97" s="112"/>
      <c r="BE97" s="112"/>
      <c r="BF97" s="170">
        <v>190</v>
      </c>
      <c r="BG97" s="113">
        <f t="shared" si="220"/>
        <v>0.44705882352941179</v>
      </c>
      <c r="BH97" s="112"/>
      <c r="BI97" s="1031">
        <v>2989</v>
      </c>
      <c r="BJ97" s="2">
        <f t="shared" si="177"/>
        <v>2989</v>
      </c>
      <c r="BK97" s="169">
        <v>66</v>
      </c>
      <c r="BL97" s="169">
        <f t="shared" si="178"/>
        <v>170</v>
      </c>
      <c r="BM97" s="1031">
        <f t="shared" si="179"/>
        <v>360.69844372603563</v>
      </c>
      <c r="BN97" s="310">
        <f t="shared" si="180"/>
        <v>294.69844372603563</v>
      </c>
      <c r="BO97" s="262">
        <f t="shared" si="181"/>
        <v>0.11457665860353559</v>
      </c>
      <c r="BP97" s="262">
        <f t="shared" si="182"/>
        <v>0.1242354740061162</v>
      </c>
      <c r="BQ97" s="262">
        <f t="shared" si="183"/>
        <v>6.8940834045496113E-2</v>
      </c>
      <c r="BR97" s="262">
        <f t="shared" si="184"/>
        <v>0.12067529064102898</v>
      </c>
      <c r="BS97" s="988">
        <f t="shared" si="185"/>
        <v>0.55492068265543948</v>
      </c>
      <c r="BT97" s="534">
        <f t="shared" si="186"/>
        <v>50.534922186301785</v>
      </c>
      <c r="BU97" s="534">
        <f t="shared" si="187"/>
        <v>8.5</v>
      </c>
      <c r="BV97" s="113">
        <v>0.05</v>
      </c>
      <c r="BW97" s="276">
        <f t="shared" si="188"/>
        <v>9.3410207368395167E-3</v>
      </c>
      <c r="BX97" s="272">
        <f t="shared" si="189"/>
        <v>104.63492218630179</v>
      </c>
      <c r="BY97" s="113"/>
      <c r="BZ97" s="1035"/>
      <c r="CA97" s="1038"/>
      <c r="CB97" s="2">
        <f t="shared" si="221"/>
        <v>4645</v>
      </c>
      <c r="CC97" s="2">
        <f t="shared" si="222"/>
        <v>5232</v>
      </c>
      <c r="CD97" s="310">
        <f t="shared" si="190"/>
        <v>5232</v>
      </c>
      <c r="CE97" s="310">
        <f t="shared" si="191"/>
        <v>5040</v>
      </c>
      <c r="CF97" s="598"/>
      <c r="CG97" s="598"/>
      <c r="CH97" s="598"/>
      <c r="CI97" s="577">
        <v>370</v>
      </c>
      <c r="CJ97" s="577"/>
      <c r="CK97" s="577"/>
      <c r="CL97" s="517">
        <f t="shared" si="192"/>
        <v>2757.5364784602662</v>
      </c>
      <c r="CM97" s="169">
        <f t="shared" si="193"/>
        <v>2960.9015562739642</v>
      </c>
      <c r="CN97" s="170">
        <f t="shared" si="194"/>
        <v>782</v>
      </c>
      <c r="CO97" s="170">
        <f t="shared" si="195"/>
        <v>782</v>
      </c>
      <c r="CP97" s="170">
        <f t="shared" si="196"/>
        <v>2178.9015562739642</v>
      </c>
      <c r="CQ97" s="170">
        <f t="shared" si="197"/>
        <v>203.36507781369818</v>
      </c>
      <c r="CR97" s="170"/>
      <c r="CS97" s="113">
        <f t="shared" si="198"/>
        <v>3.7590587396247356E-2</v>
      </c>
      <c r="CT97" s="112"/>
      <c r="CU97" s="112"/>
      <c r="CV97" s="112"/>
      <c r="CW97" s="112"/>
      <c r="CX97" s="112"/>
      <c r="CY97" s="112"/>
      <c r="CZ97" s="112"/>
      <c r="DA97" s="112"/>
      <c r="DB97" s="112"/>
      <c r="DC97" s="112"/>
      <c r="DD97" s="112"/>
      <c r="DE97" s="112"/>
      <c r="DF97" s="112"/>
      <c r="DG97" s="112"/>
      <c r="DH97" s="516">
        <f t="shared" si="227"/>
        <v>449.4</v>
      </c>
      <c r="DI97" s="2">
        <f t="shared" si="199"/>
        <v>511.4</v>
      </c>
      <c r="DJ97" s="169">
        <f t="shared" si="200"/>
        <v>449.4</v>
      </c>
      <c r="DK97" s="169">
        <f t="shared" si="223"/>
        <v>62</v>
      </c>
      <c r="DL97" s="113">
        <f t="shared" si="201"/>
        <v>8.5894495412844038E-2</v>
      </c>
      <c r="DM97" s="113">
        <f t="shared" si="202"/>
        <v>0.15035128805620609</v>
      </c>
      <c r="DN97" s="113">
        <v>0.6</v>
      </c>
      <c r="DO97" s="113"/>
      <c r="DP97" s="113"/>
      <c r="DQ97" s="272">
        <v>749</v>
      </c>
      <c r="DR97" s="169"/>
      <c r="DS97" s="169"/>
      <c r="DT97" s="78">
        <f t="shared" si="235"/>
        <v>749</v>
      </c>
      <c r="DU97" s="175">
        <f t="shared" si="236"/>
        <v>4214.3999999999996</v>
      </c>
      <c r="DV97" s="169">
        <v>4392</v>
      </c>
      <c r="DW97" s="170">
        <f t="shared" si="203"/>
        <v>852.6</v>
      </c>
      <c r="DX97" s="534">
        <f t="shared" si="230"/>
        <v>769.6</v>
      </c>
      <c r="DY97" s="534">
        <f t="shared" si="231"/>
        <v>512.20000000000005</v>
      </c>
      <c r="DZ97" s="113">
        <f t="shared" si="226"/>
        <v>1.3</v>
      </c>
      <c r="EA97" s="169">
        <v>592</v>
      </c>
      <c r="EB97" s="169">
        <v>394</v>
      </c>
      <c r="EC97" s="175">
        <f t="shared" si="218"/>
        <v>257.39999999999998</v>
      </c>
      <c r="ED97" s="175">
        <v>10</v>
      </c>
      <c r="EE97" s="175">
        <f t="shared" si="204"/>
        <v>247.39999999999998</v>
      </c>
      <c r="EF97" s="175"/>
      <c r="EG97" s="169">
        <v>83</v>
      </c>
      <c r="EH97" s="78">
        <f t="shared" si="205"/>
        <v>399.6</v>
      </c>
      <c r="EI97" s="169">
        <v>757</v>
      </c>
      <c r="EJ97" s="169">
        <v>1001</v>
      </c>
      <c r="EK97" s="169"/>
      <c r="EL97" s="169"/>
      <c r="EM97" s="169"/>
      <c r="EN97" s="169"/>
      <c r="EO97" s="169">
        <v>1010</v>
      </c>
      <c r="EP97" s="169">
        <v>1062</v>
      </c>
      <c r="EQ97" s="175">
        <f t="shared" si="232"/>
        <v>5572</v>
      </c>
      <c r="ER97" s="2">
        <f t="shared" si="206"/>
        <v>5410</v>
      </c>
      <c r="ES97" s="262">
        <f t="shared" si="237"/>
        <v>0.97092605886575734</v>
      </c>
      <c r="ET97" s="262"/>
      <c r="EU97" s="262"/>
      <c r="EV97" s="262"/>
      <c r="EW97" s="598"/>
      <c r="EX97" s="598"/>
      <c r="EY97" s="1126"/>
      <c r="EZ97" s="598"/>
      <c r="FA97" s="598"/>
      <c r="FB97" s="598"/>
      <c r="FC97" s="598"/>
      <c r="FD97" s="598"/>
      <c r="FE97" s="979"/>
      <c r="FF97" s="1048"/>
      <c r="FG97" s="518"/>
      <c r="FH97" s="598"/>
      <c r="FI97" s="310">
        <f t="shared" si="207"/>
        <v>-52</v>
      </c>
      <c r="FJ97" s="2">
        <f t="shared" si="208"/>
        <v>-52</v>
      </c>
      <c r="FK97" s="273">
        <f t="shared" si="224"/>
        <v>233</v>
      </c>
      <c r="FL97" s="519">
        <v>233</v>
      </c>
      <c r="FM97" s="518"/>
      <c r="FN97" s="518"/>
      <c r="FO97" s="518"/>
      <c r="FP97" s="518"/>
      <c r="FQ97" s="518"/>
      <c r="FR97" s="518"/>
      <c r="FS97" s="1049"/>
      <c r="FT97" s="310">
        <v>259</v>
      </c>
      <c r="FU97" s="518"/>
      <c r="FV97" s="518"/>
      <c r="FW97" s="518"/>
      <c r="FX97" s="518"/>
      <c r="FY97" s="518"/>
      <c r="FZ97" s="115"/>
      <c r="GA97" s="115"/>
      <c r="GB97" s="115"/>
      <c r="GC97" s="115"/>
      <c r="GD97" s="115"/>
      <c r="GE97" s="115"/>
      <c r="GF97" s="115"/>
      <c r="GG97" s="115"/>
      <c r="GH97" s="115"/>
      <c r="GI97" s="115"/>
      <c r="GJ97" s="115"/>
      <c r="GK97" s="1422">
        <f>-152+65</f>
        <v>-87</v>
      </c>
      <c r="GL97" s="115"/>
      <c r="GM97" s="115"/>
      <c r="GN97" s="115"/>
      <c r="GO97" s="115"/>
      <c r="GP97" s="310">
        <f t="shared" si="209"/>
        <v>247.39999999999998</v>
      </c>
      <c r="GQ97" s="115"/>
      <c r="GR97" s="115"/>
      <c r="GS97" s="115"/>
      <c r="GT97" s="115"/>
      <c r="GU97" s="991">
        <f t="shared" si="225"/>
        <v>-334.4</v>
      </c>
      <c r="GW97" s="1063">
        <f>DataUK4!D249+DataUK4!F249</f>
        <v>218.7</v>
      </c>
      <c r="GX97" s="115"/>
      <c r="GY97" s="615">
        <f t="shared" si="210"/>
        <v>183.4913312693499</v>
      </c>
      <c r="GZ97" s="115"/>
      <c r="HA97" s="115"/>
      <c r="HB97" s="115"/>
      <c r="HC97" s="1051"/>
      <c r="HD97" s="170">
        <f t="shared" si="147"/>
        <v>192</v>
      </c>
      <c r="HE97" s="301">
        <f t="shared" si="233"/>
        <v>253</v>
      </c>
      <c r="HF97" s="301">
        <f t="shared" si="234"/>
        <v>61</v>
      </c>
      <c r="HG97" s="170">
        <f t="shared" si="211"/>
        <v>0</v>
      </c>
      <c r="HH97" s="301">
        <v>0</v>
      </c>
      <c r="HI97" s="301">
        <v>0</v>
      </c>
      <c r="HJ97" s="2">
        <v>0</v>
      </c>
      <c r="HK97" s="2">
        <v>0</v>
      </c>
      <c r="HL97" s="2">
        <v>0</v>
      </c>
      <c r="HM97" s="2">
        <f t="shared" si="212"/>
        <v>0</v>
      </c>
      <c r="HN97" s="2">
        <v>0</v>
      </c>
      <c r="HO97" s="2">
        <v>0</v>
      </c>
      <c r="HP97" s="2">
        <v>0</v>
      </c>
      <c r="HQ97" s="2">
        <v>0</v>
      </c>
      <c r="HR97" s="2">
        <v>0</v>
      </c>
      <c r="HS97" s="1052">
        <v>0</v>
      </c>
      <c r="HT97" s="1002">
        <v>16.8</v>
      </c>
      <c r="HU97" s="1002">
        <f t="shared" si="213"/>
        <v>2.0527331189710609</v>
      </c>
      <c r="HV97" s="1002">
        <f t="shared" si="214"/>
        <v>2.3768488745980711</v>
      </c>
    </row>
    <row r="98" spans="1:230">
      <c r="A98" s="110">
        <f t="shared" si="228"/>
        <v>1939</v>
      </c>
      <c r="B98" s="176">
        <f t="shared" si="158"/>
        <v>5741.9999999999991</v>
      </c>
      <c r="C98" s="177">
        <f t="shared" si="145"/>
        <v>160</v>
      </c>
      <c r="D98" s="176">
        <f t="shared" si="159"/>
        <v>5581.9999999999991</v>
      </c>
      <c r="E98" s="154">
        <f t="shared" si="160"/>
        <v>5972</v>
      </c>
      <c r="F98" s="995">
        <f t="shared" si="161"/>
        <v>390</v>
      </c>
      <c r="G98" s="531">
        <f t="shared" si="162"/>
        <v>5728</v>
      </c>
      <c r="H98" s="531">
        <f t="shared" si="163"/>
        <v>5568</v>
      </c>
      <c r="I98" s="531">
        <f t="shared" si="164"/>
        <v>5958</v>
      </c>
      <c r="J98" s="548">
        <f t="shared" si="165"/>
        <v>1.0023497818059752</v>
      </c>
      <c r="K98" s="515">
        <f t="shared" si="215"/>
        <v>640</v>
      </c>
      <c r="L98" s="175">
        <v>687</v>
      </c>
      <c r="M98" s="175">
        <v>47</v>
      </c>
      <c r="N98" s="111"/>
      <c r="O98" s="111"/>
      <c r="P98" s="111"/>
      <c r="Q98" s="111"/>
      <c r="R98" s="111"/>
      <c r="S98" s="532">
        <f t="shared" si="229"/>
        <v>0.12544100352802823</v>
      </c>
      <c r="T98" s="1008">
        <f t="shared" si="166"/>
        <v>274.02999999999997</v>
      </c>
      <c r="U98" s="1010">
        <f t="shared" si="167"/>
        <v>274.02999999999997</v>
      </c>
      <c r="V98" s="511">
        <f t="shared" si="168"/>
        <v>333.75</v>
      </c>
      <c r="W98" s="2">
        <f>0.75*AR98</f>
        <v>333.75</v>
      </c>
      <c r="X98" s="169">
        <f t="shared" si="170"/>
        <v>59.72</v>
      </c>
      <c r="Y98" s="113">
        <f t="shared" si="171"/>
        <v>0.17893632958801498</v>
      </c>
      <c r="Z98" s="113">
        <f t="shared" si="172"/>
        <v>0.17893632958801498</v>
      </c>
      <c r="AA98" s="113"/>
      <c r="AB98" s="1019">
        <v>0.01</v>
      </c>
      <c r="AC98" s="113"/>
      <c r="AD98" s="113"/>
      <c r="AE98" s="113"/>
      <c r="AF98" s="113"/>
      <c r="AG98" s="113"/>
      <c r="AH98" s="113"/>
      <c r="AI98" s="113"/>
      <c r="AJ98" s="171">
        <f t="shared" si="173"/>
        <v>1011.1506664912412</v>
      </c>
      <c r="AK98" s="1026">
        <f t="shared" si="174"/>
        <v>198.55</v>
      </c>
      <c r="AL98" s="169">
        <f t="shared" si="175"/>
        <v>1064.3691226223591</v>
      </c>
      <c r="AM98" s="169">
        <f t="shared" si="216"/>
        <v>209</v>
      </c>
      <c r="AN98" s="169">
        <f t="shared" si="176"/>
        <v>631.29821053554872</v>
      </c>
      <c r="AO98" s="1028">
        <f>AO97+(AO$106-AO$97)/9</f>
        <v>684.51666666666665</v>
      </c>
      <c r="AP98" s="169">
        <v>480</v>
      </c>
      <c r="AQ98" s="169">
        <v>35</v>
      </c>
      <c r="AR98" s="78">
        <f t="shared" si="217"/>
        <v>445</v>
      </c>
      <c r="AS98" s="169">
        <v>696</v>
      </c>
      <c r="AT98" s="169">
        <v>104</v>
      </c>
      <c r="AU98" s="169">
        <f>AS98-AT98</f>
        <v>592</v>
      </c>
      <c r="AV98" s="112"/>
      <c r="AW98" s="175">
        <f t="shared" si="143"/>
        <v>865</v>
      </c>
      <c r="AX98" s="169">
        <v>865</v>
      </c>
      <c r="AY98" s="169">
        <v>0</v>
      </c>
      <c r="AZ98" s="358">
        <v>76</v>
      </c>
      <c r="BA98" s="113">
        <f t="shared" si="219"/>
        <v>0.15200534072818775</v>
      </c>
      <c r="BB98" s="358"/>
      <c r="BC98" s="112"/>
      <c r="BD98" s="112"/>
      <c r="BE98" s="112"/>
      <c r="BF98" s="83"/>
      <c r="BG98" s="113"/>
      <c r="BH98" s="112"/>
      <c r="BI98" s="1031">
        <v>3215</v>
      </c>
      <c r="BJ98" s="2">
        <f t="shared" si="177"/>
        <v>3215</v>
      </c>
      <c r="BK98" s="169">
        <v>70</v>
      </c>
      <c r="BL98" s="169">
        <f t="shared" si="178"/>
        <v>209</v>
      </c>
      <c r="BM98" s="1031">
        <f t="shared" si="179"/>
        <v>379.85245595569256</v>
      </c>
      <c r="BN98" s="310">
        <f t="shared" si="180"/>
        <v>309.85245595569256</v>
      </c>
      <c r="BO98" s="262">
        <f t="shared" si="181"/>
        <v>0.10994395864429619</v>
      </c>
      <c r="BP98" s="262">
        <f t="shared" si="182"/>
        <v>0.11921223731568559</v>
      </c>
      <c r="BQ98" s="262">
        <f t="shared" si="183"/>
        <v>6.6153336112102501E-2</v>
      </c>
      <c r="BR98" s="262">
        <f t="shared" si="184"/>
        <v>0.1181500640608686</v>
      </c>
      <c r="BS98" s="988">
        <f t="shared" si="185"/>
        <v>0.55492068265543948</v>
      </c>
      <c r="BT98" s="534">
        <f t="shared" si="186"/>
        <v>53.218456131117961</v>
      </c>
      <c r="BU98" s="534">
        <f t="shared" si="187"/>
        <v>10.450000000000001</v>
      </c>
      <c r="BV98" s="113">
        <v>0.05</v>
      </c>
      <c r="BW98" s="276">
        <f t="shared" si="188"/>
        <v>8.9113288900063564E-3</v>
      </c>
      <c r="BX98" s="272">
        <f t="shared" si="189"/>
        <v>112.93845613111796</v>
      </c>
      <c r="BY98" s="113"/>
      <c r="BZ98" s="1035"/>
      <c r="CA98" s="1038"/>
      <c r="CB98" s="2">
        <f t="shared" si="221"/>
        <v>5102</v>
      </c>
      <c r="CC98" s="2">
        <f t="shared" si="222"/>
        <v>5742</v>
      </c>
      <c r="CD98" s="310">
        <f t="shared" si="190"/>
        <v>5742</v>
      </c>
      <c r="CE98" s="310">
        <f t="shared" si="191"/>
        <v>5582</v>
      </c>
      <c r="CF98" s="598"/>
      <c r="CG98" s="598"/>
      <c r="CH98" s="598"/>
      <c r="CI98" s="577">
        <v>390</v>
      </c>
      <c r="CJ98" s="577"/>
      <c r="CK98" s="577"/>
      <c r="CL98" s="517">
        <f t="shared" si="192"/>
        <v>2949.4193335087584</v>
      </c>
      <c r="CM98" s="169">
        <f t="shared" si="193"/>
        <v>3150.4808773776404</v>
      </c>
      <c r="CN98" s="170">
        <f t="shared" si="194"/>
        <v>1022.7333333333333</v>
      </c>
      <c r="CO98" s="170">
        <f t="shared" si="195"/>
        <v>1022.7333333333333</v>
      </c>
      <c r="CP98" s="170">
        <f t="shared" si="196"/>
        <v>2127.7475440443072</v>
      </c>
      <c r="CQ98" s="170">
        <f t="shared" si="197"/>
        <v>201.06154386888204</v>
      </c>
      <c r="CR98" s="170"/>
      <c r="CS98" s="113">
        <f t="shared" si="198"/>
        <v>3.3667371712806773E-2</v>
      </c>
      <c r="CT98" s="112"/>
      <c r="CU98" s="112"/>
      <c r="CV98" s="112"/>
      <c r="CW98" s="112"/>
      <c r="CX98" s="112"/>
      <c r="CY98" s="112"/>
      <c r="CZ98" s="112"/>
      <c r="DA98" s="112"/>
      <c r="DB98" s="112"/>
      <c r="DC98" s="112"/>
      <c r="DD98" s="112"/>
      <c r="DE98" s="112"/>
      <c r="DF98" s="112"/>
      <c r="DG98" s="112"/>
      <c r="DH98" s="516">
        <f t="shared" si="227"/>
        <v>707.4</v>
      </c>
      <c r="DI98" s="2">
        <f t="shared" si="199"/>
        <v>783.4</v>
      </c>
      <c r="DJ98" s="169">
        <f t="shared" si="200"/>
        <v>707.4</v>
      </c>
      <c r="DK98" s="169">
        <f t="shared" si="223"/>
        <v>76</v>
      </c>
      <c r="DL98" s="113">
        <f t="shared" si="201"/>
        <v>0.1231974921630094</v>
      </c>
      <c r="DM98" s="113">
        <f t="shared" si="202"/>
        <v>0.22003110419906688</v>
      </c>
      <c r="DN98" s="113">
        <v>0.6</v>
      </c>
      <c r="DO98" s="113"/>
      <c r="DP98" s="113"/>
      <c r="DQ98" s="272">
        <v>1179</v>
      </c>
      <c r="DR98" s="169"/>
      <c r="DS98" s="169"/>
      <c r="DT98" s="78">
        <f t="shared" si="235"/>
        <v>1179</v>
      </c>
      <c r="DU98" s="175">
        <f t="shared" si="236"/>
        <v>4377</v>
      </c>
      <c r="DV98" s="169">
        <v>4539</v>
      </c>
      <c r="DW98" s="170">
        <f t="shared" si="203"/>
        <v>802</v>
      </c>
      <c r="DX98" s="534">
        <f t="shared" si="230"/>
        <v>702</v>
      </c>
      <c r="DY98" s="534">
        <f t="shared" si="231"/>
        <v>456.3</v>
      </c>
      <c r="DZ98" s="113">
        <f t="shared" si="226"/>
        <v>1.3</v>
      </c>
      <c r="EA98" s="169">
        <v>540</v>
      </c>
      <c r="EB98" s="179">
        <f t="shared" ref="EB98:EB106" si="238">0.5*$DX98</f>
        <v>351</v>
      </c>
      <c r="EC98" s="561">
        <f t="shared" si="218"/>
        <v>245.7</v>
      </c>
      <c r="ED98" s="175">
        <f>ED97+(ED$107-ED$97)/10</f>
        <v>27</v>
      </c>
      <c r="EE98" s="175">
        <f t="shared" si="204"/>
        <v>218.7</v>
      </c>
      <c r="EF98" s="561"/>
      <c r="EG98" s="169">
        <v>100</v>
      </c>
      <c r="EH98" s="78">
        <f t="shared" si="205"/>
        <v>312</v>
      </c>
      <c r="EI98" s="169">
        <v>700</v>
      </c>
      <c r="EJ98" s="169">
        <v>1100</v>
      </c>
      <c r="EK98" s="169"/>
      <c r="EL98" s="169"/>
      <c r="EM98" s="169"/>
      <c r="EN98" s="169"/>
      <c r="EO98" s="169">
        <v>950</v>
      </c>
      <c r="EP98" s="169">
        <v>1190</v>
      </c>
      <c r="EQ98" s="175">
        <f t="shared" si="232"/>
        <v>5958</v>
      </c>
      <c r="ER98" s="2">
        <f t="shared" si="206"/>
        <v>5972</v>
      </c>
      <c r="ES98" s="262">
        <f t="shared" si="237"/>
        <v>1.0023497818059752</v>
      </c>
      <c r="ET98" s="262"/>
      <c r="EU98" s="262"/>
      <c r="EV98" s="262"/>
      <c r="EW98" s="598"/>
      <c r="EX98" s="598"/>
      <c r="EY98" s="1126"/>
      <c r="EZ98" s="598"/>
      <c r="FA98" s="598"/>
      <c r="FB98" s="598"/>
      <c r="FC98" s="598"/>
      <c r="FD98" s="598"/>
      <c r="FE98" s="979"/>
      <c r="FF98" s="1048"/>
      <c r="FG98" s="518"/>
      <c r="FH98" s="598"/>
      <c r="FI98" s="310">
        <f t="shared" si="207"/>
        <v>-240</v>
      </c>
      <c r="FJ98" s="2">
        <f t="shared" si="208"/>
        <v>-240</v>
      </c>
      <c r="FK98" s="273"/>
      <c r="FL98" s="519"/>
      <c r="FM98" s="518"/>
      <c r="FN98" s="518"/>
      <c r="FO98" s="518"/>
      <c r="FP98" s="518"/>
      <c r="FQ98" s="518"/>
      <c r="FR98" s="518"/>
      <c r="FS98" s="1049"/>
      <c r="FT98" s="310"/>
      <c r="FU98" s="518"/>
      <c r="FV98" s="518"/>
      <c r="FW98" s="518"/>
      <c r="FX98" s="518"/>
      <c r="FY98" s="518"/>
      <c r="FZ98" s="115"/>
      <c r="GA98" s="115"/>
      <c r="GB98" s="115"/>
      <c r="GC98" s="115"/>
      <c r="GD98" s="115"/>
      <c r="GE98" s="115"/>
      <c r="GF98" s="115"/>
      <c r="GG98" s="115"/>
      <c r="GH98" s="115"/>
      <c r="GI98" s="115"/>
      <c r="GJ98" s="115"/>
      <c r="GK98" s="1055">
        <f>DataUK4!X250+DataUK4!AH250</f>
        <v>-269</v>
      </c>
      <c r="GL98" s="115"/>
      <c r="GM98" s="115"/>
      <c r="GN98" s="115"/>
      <c r="GO98" s="115"/>
      <c r="GP98" s="310">
        <f t="shared" si="209"/>
        <v>218.7</v>
      </c>
      <c r="GQ98" s="115"/>
      <c r="GR98" s="115"/>
      <c r="GS98" s="115"/>
      <c r="GT98" s="115"/>
      <c r="GU98" s="991">
        <f t="shared" si="225"/>
        <v>-487.7</v>
      </c>
      <c r="GW98" s="1063">
        <f>DataUK4!D250+DataUK4!F250</f>
        <v>228.6</v>
      </c>
      <c r="GX98" s="115"/>
      <c r="GY98" s="615">
        <f t="shared" si="210"/>
        <v>191.79752321981428</v>
      </c>
      <c r="GZ98" s="115"/>
      <c r="HA98" s="115"/>
      <c r="HB98" s="115"/>
      <c r="HC98" s="1051"/>
      <c r="HD98" s="170">
        <f t="shared" si="147"/>
        <v>160</v>
      </c>
      <c r="HE98" s="301">
        <f t="shared" si="233"/>
        <v>250</v>
      </c>
      <c r="HF98" s="301">
        <f t="shared" si="234"/>
        <v>90</v>
      </c>
      <c r="HG98" s="170">
        <f t="shared" si="211"/>
        <v>0</v>
      </c>
      <c r="HH98" s="301">
        <v>0</v>
      </c>
      <c r="HI98" s="301">
        <v>0</v>
      </c>
      <c r="HJ98" s="2">
        <v>0</v>
      </c>
      <c r="HK98" s="2">
        <v>0</v>
      </c>
      <c r="HL98" s="2">
        <v>0</v>
      </c>
      <c r="HM98" s="2">
        <f t="shared" si="212"/>
        <v>0</v>
      </c>
      <c r="HN98" s="2">
        <v>0</v>
      </c>
      <c r="HO98" s="2">
        <v>0</v>
      </c>
      <c r="HP98" s="2">
        <v>0</v>
      </c>
      <c r="HQ98" s="2">
        <v>0</v>
      </c>
      <c r="HR98" s="2">
        <v>0</v>
      </c>
      <c r="HS98" s="1052">
        <v>0</v>
      </c>
      <c r="HT98" s="1002">
        <v>17.3</v>
      </c>
      <c r="HU98" s="1002">
        <f t="shared" si="213"/>
        <v>2.1138263665594854</v>
      </c>
      <c r="HV98" s="1002">
        <f t="shared" si="214"/>
        <v>2.4475884244372992</v>
      </c>
    </row>
    <row r="99" spans="1:230">
      <c r="A99" s="110">
        <f t="shared" si="228"/>
        <v>1940</v>
      </c>
      <c r="B99" s="176">
        <f t="shared" si="158"/>
        <v>6828</v>
      </c>
      <c r="C99" s="177">
        <f t="shared" si="145"/>
        <v>160</v>
      </c>
      <c r="D99" s="176">
        <f t="shared" si="159"/>
        <v>6668</v>
      </c>
      <c r="E99" s="154">
        <f t="shared" si="160"/>
        <v>7108</v>
      </c>
      <c r="F99" s="995">
        <f t="shared" si="161"/>
        <v>440</v>
      </c>
      <c r="G99" s="531">
        <f t="shared" si="162"/>
        <v>7241</v>
      </c>
      <c r="H99" s="531">
        <f t="shared" si="163"/>
        <v>7081</v>
      </c>
      <c r="I99" s="531">
        <f t="shared" si="164"/>
        <v>7521</v>
      </c>
      <c r="J99" s="548">
        <f t="shared" si="165"/>
        <v>0.94508708948278153</v>
      </c>
      <c r="K99" s="515">
        <f t="shared" si="215"/>
        <v>803</v>
      </c>
      <c r="L99" s="175">
        <v>902</v>
      </c>
      <c r="M99" s="175">
        <v>99</v>
      </c>
      <c r="N99" s="111"/>
      <c r="O99" s="111"/>
      <c r="P99" s="111"/>
      <c r="Q99" s="111"/>
      <c r="R99" s="111"/>
      <c r="S99" s="532">
        <f t="shared" si="229"/>
        <v>0.13327800829875519</v>
      </c>
      <c r="T99" s="1008">
        <f t="shared" si="166"/>
        <v>243.92000000000002</v>
      </c>
      <c r="U99" s="1010">
        <f t="shared" si="167"/>
        <v>243.92000000000002</v>
      </c>
      <c r="V99" s="511">
        <f t="shared" si="168"/>
        <v>315</v>
      </c>
      <c r="W99" s="2">
        <f>0.7*AR99</f>
        <v>315</v>
      </c>
      <c r="X99" s="169">
        <f t="shared" si="170"/>
        <v>71.08</v>
      </c>
      <c r="Y99" s="113">
        <f t="shared" si="171"/>
        <v>0.22565079365079366</v>
      </c>
      <c r="Z99" s="113">
        <f t="shared" si="172"/>
        <v>0.22565079365079366</v>
      </c>
      <c r="AA99" s="113"/>
      <c r="AB99" s="1019">
        <v>0.01</v>
      </c>
      <c r="AC99" s="113"/>
      <c r="AD99" s="113"/>
      <c r="AE99" s="113"/>
      <c r="AF99" s="113"/>
      <c r="AG99" s="113"/>
      <c r="AH99" s="113"/>
      <c r="AI99" s="113"/>
      <c r="AJ99" s="171">
        <f t="shared" si="173"/>
        <v>1062.1378114427487</v>
      </c>
      <c r="AK99" s="1026">
        <f t="shared" si="174"/>
        <v>282.14999999999998</v>
      </c>
      <c r="AL99" s="169">
        <f t="shared" si="175"/>
        <v>1118.0398015186829</v>
      </c>
      <c r="AM99" s="169">
        <f t="shared" si="216"/>
        <v>297</v>
      </c>
      <c r="AN99" s="169">
        <f t="shared" si="176"/>
        <v>663.13134325739918</v>
      </c>
      <c r="AO99" s="1028">
        <f t="shared" ref="AO99:AO105" si="239">AO98+(AO$106-AO$97)/9</f>
        <v>719.0333333333333</v>
      </c>
      <c r="AP99" s="169">
        <v>485</v>
      </c>
      <c r="AQ99" s="169">
        <v>35</v>
      </c>
      <c r="AR99" s="78">
        <f t="shared" si="217"/>
        <v>450</v>
      </c>
      <c r="AS99" s="169">
        <v>791</v>
      </c>
      <c r="AT99" s="169">
        <v>174</v>
      </c>
      <c r="AU99" s="169">
        <f t="shared" ref="AU99:AU106" si="240">AS99-AT99</f>
        <v>617</v>
      </c>
      <c r="AV99" s="112"/>
      <c r="AW99" s="175">
        <f t="shared" si="143"/>
        <v>1109</v>
      </c>
      <c r="AX99" s="169">
        <v>1109</v>
      </c>
      <c r="AY99" s="169">
        <v>0</v>
      </c>
      <c r="AZ99" s="358">
        <v>77</v>
      </c>
      <c r="BA99" s="113">
        <f t="shared" si="219"/>
        <v>0.16631624346325946</v>
      </c>
      <c r="BB99" s="358"/>
      <c r="BC99" s="112"/>
      <c r="BD99" s="112"/>
      <c r="BE99" s="112"/>
      <c r="BF99" s="83"/>
      <c r="BG99" s="113"/>
      <c r="BH99" s="112"/>
      <c r="BI99" s="1031">
        <v>3843</v>
      </c>
      <c r="BJ99" s="2">
        <f t="shared" si="177"/>
        <v>3843</v>
      </c>
      <c r="BK99" s="169">
        <v>88</v>
      </c>
      <c r="BL99" s="169">
        <f t="shared" si="178"/>
        <v>297</v>
      </c>
      <c r="BM99" s="1031">
        <f t="shared" si="179"/>
        <v>399.00646818534949</v>
      </c>
      <c r="BN99" s="310">
        <f t="shared" si="180"/>
        <v>311.00646818534949</v>
      </c>
      <c r="BO99" s="262">
        <f t="shared" si="181"/>
        <v>9.7119411724868071E-2</v>
      </c>
      <c r="BP99" s="262">
        <f t="shared" si="182"/>
        <v>0.10530658074594805</v>
      </c>
      <c r="BQ99" s="262">
        <f t="shared" si="183"/>
        <v>5.843679967565165E-2</v>
      </c>
      <c r="BR99" s="262">
        <f t="shared" si="184"/>
        <v>0.10382681972036156</v>
      </c>
      <c r="BS99" s="988">
        <f t="shared" si="185"/>
        <v>0.55492068265543948</v>
      </c>
      <c r="BT99" s="534">
        <f t="shared" si="186"/>
        <v>55.901990075934151</v>
      </c>
      <c r="BU99" s="534">
        <f t="shared" si="187"/>
        <v>14.850000000000001</v>
      </c>
      <c r="BV99" s="113">
        <v>0.05</v>
      </c>
      <c r="BW99" s="276">
        <f t="shared" si="188"/>
        <v>7.8646581423655257E-3</v>
      </c>
      <c r="BX99" s="272">
        <f t="shared" si="189"/>
        <v>126.98199007593415</v>
      </c>
      <c r="BY99" s="113"/>
      <c r="BZ99" s="1035"/>
      <c r="CA99" s="1038"/>
      <c r="CB99" s="2">
        <f t="shared" si="221"/>
        <v>6025</v>
      </c>
      <c r="CC99" s="2">
        <f t="shared" si="222"/>
        <v>6828</v>
      </c>
      <c r="CD99" s="310">
        <f t="shared" si="190"/>
        <v>6828</v>
      </c>
      <c r="CE99" s="310">
        <f t="shared" si="191"/>
        <v>6668</v>
      </c>
      <c r="CF99" s="598"/>
      <c r="CG99" s="598"/>
      <c r="CH99" s="598"/>
      <c r="CI99" s="577">
        <v>440</v>
      </c>
      <c r="CJ99" s="577"/>
      <c r="CK99" s="577"/>
      <c r="CL99" s="517">
        <f t="shared" si="192"/>
        <v>2787.7421885572512</v>
      </c>
      <c r="CM99" s="169">
        <f t="shared" si="193"/>
        <v>3023.7601984813173</v>
      </c>
      <c r="CN99" s="170">
        <f t="shared" si="194"/>
        <v>1350.9666666666667</v>
      </c>
      <c r="CO99" s="170">
        <f t="shared" si="195"/>
        <v>1350.9666666666667</v>
      </c>
      <c r="CP99" s="170">
        <f t="shared" si="196"/>
        <v>1672.7935318146506</v>
      </c>
      <c r="CQ99" s="170">
        <f t="shared" si="197"/>
        <v>236.01800992406584</v>
      </c>
      <c r="CR99" s="170"/>
      <c r="CS99" s="113">
        <f t="shared" si="198"/>
        <v>3.3204559640414438E-2</v>
      </c>
      <c r="CT99" s="112"/>
      <c r="CU99" s="112"/>
      <c r="CV99" s="112"/>
      <c r="CW99" s="112"/>
      <c r="CX99" s="112"/>
      <c r="CY99" s="112"/>
      <c r="CZ99" s="112"/>
      <c r="DA99" s="112"/>
      <c r="DB99" s="112"/>
      <c r="DC99" s="112"/>
      <c r="DD99" s="112"/>
      <c r="DE99" s="112"/>
      <c r="DF99" s="112"/>
      <c r="DG99" s="112"/>
      <c r="DH99" s="517">
        <f t="shared" si="227"/>
        <v>1771.2</v>
      </c>
      <c r="DI99" s="2">
        <f t="shared" si="199"/>
        <v>1848.2</v>
      </c>
      <c r="DJ99" s="169">
        <f t="shared" si="200"/>
        <v>1771.2</v>
      </c>
      <c r="DK99" s="169">
        <f t="shared" si="223"/>
        <v>77</v>
      </c>
      <c r="DL99" s="113">
        <f t="shared" si="201"/>
        <v>0.25940246045694199</v>
      </c>
      <c r="DM99" s="113">
        <f t="shared" si="202"/>
        <v>0.46088992974238879</v>
      </c>
      <c r="DN99" s="113">
        <v>0.6</v>
      </c>
      <c r="DO99" s="113"/>
      <c r="DP99" s="113"/>
      <c r="DQ99" s="272">
        <v>2952</v>
      </c>
      <c r="DR99" s="169"/>
      <c r="DS99" s="169"/>
      <c r="DT99" s="78">
        <f t="shared" si="235"/>
        <v>2952</v>
      </c>
      <c r="DU99" s="175">
        <f t="shared" si="236"/>
        <v>4643</v>
      </c>
      <c r="DV99" s="169">
        <v>4799</v>
      </c>
      <c r="DW99" s="170">
        <f t="shared" si="203"/>
        <v>876</v>
      </c>
      <c r="DX99" s="534">
        <f t="shared" si="230"/>
        <v>676</v>
      </c>
      <c r="DY99" s="534">
        <f t="shared" si="231"/>
        <v>439.40000000000003</v>
      </c>
      <c r="DZ99" s="113">
        <f t="shared" si="226"/>
        <v>1.3</v>
      </c>
      <c r="EA99" s="169">
        <v>520</v>
      </c>
      <c r="EB99" s="179">
        <f t="shared" si="238"/>
        <v>338</v>
      </c>
      <c r="EC99" s="561">
        <f t="shared" si="218"/>
        <v>236.59999999999997</v>
      </c>
      <c r="ED99" s="175">
        <f t="shared" ref="ED99:ED106" si="241">ED98+(ED$107-ED$97)/10</f>
        <v>44</v>
      </c>
      <c r="EE99" s="175">
        <f t="shared" si="204"/>
        <v>192.59999999999997</v>
      </c>
      <c r="EF99" s="561"/>
      <c r="EG99" s="169">
        <v>200</v>
      </c>
      <c r="EH99" s="78">
        <f t="shared" si="205"/>
        <v>236</v>
      </c>
      <c r="EI99" s="169">
        <v>600</v>
      </c>
      <c r="EJ99" s="169">
        <v>1550</v>
      </c>
      <c r="EK99" s="169"/>
      <c r="EL99" s="169"/>
      <c r="EM99" s="169"/>
      <c r="EN99" s="169"/>
      <c r="EO99" s="169">
        <v>860</v>
      </c>
      <c r="EP99" s="169">
        <v>1650</v>
      </c>
      <c r="EQ99" s="175">
        <f t="shared" si="232"/>
        <v>7521</v>
      </c>
      <c r="ER99" s="2">
        <f t="shared" si="206"/>
        <v>7108</v>
      </c>
      <c r="ES99" s="262">
        <f t="shared" si="237"/>
        <v>0.94508708948278153</v>
      </c>
      <c r="ET99" s="262"/>
      <c r="EU99" s="262"/>
      <c r="EV99" s="262"/>
      <c r="EW99" s="598"/>
      <c r="EX99" s="598"/>
      <c r="EY99" s="1126"/>
      <c r="EZ99" s="598"/>
      <c r="FA99" s="598"/>
      <c r="FB99" s="598"/>
      <c r="FC99" s="598"/>
      <c r="FD99" s="598"/>
      <c r="FE99" s="979"/>
      <c r="FF99" s="1048"/>
      <c r="FG99" s="518"/>
      <c r="FH99" s="598"/>
      <c r="FI99" s="310">
        <f t="shared" si="207"/>
        <v>-790</v>
      </c>
      <c r="FJ99" s="2">
        <f t="shared" si="208"/>
        <v>-790</v>
      </c>
      <c r="FK99" s="273"/>
      <c r="FL99" s="519"/>
      <c r="FM99" s="518"/>
      <c r="FN99" s="518"/>
      <c r="FO99" s="518"/>
      <c r="FP99" s="518"/>
      <c r="FQ99" s="518"/>
      <c r="FR99" s="518"/>
      <c r="FS99" s="1049"/>
      <c r="FT99" s="310"/>
      <c r="FU99" s="518"/>
      <c r="FV99" s="518"/>
      <c r="FW99" s="518"/>
      <c r="FX99" s="518"/>
      <c r="FY99" s="518"/>
      <c r="FZ99" s="115"/>
      <c r="GA99" s="115"/>
      <c r="GB99" s="115"/>
      <c r="GC99" s="115"/>
      <c r="GD99" s="115"/>
      <c r="GE99" s="115"/>
      <c r="GF99" s="115"/>
      <c r="GG99" s="115"/>
      <c r="GH99" s="115"/>
      <c r="GI99" s="115"/>
      <c r="GJ99" s="115"/>
      <c r="GK99" s="1055">
        <f>DataUK4!X251+DataUK4!AH251</f>
        <v>-2459</v>
      </c>
      <c r="GL99" s="115"/>
      <c r="GM99" s="115"/>
      <c r="GN99" s="115"/>
      <c r="GO99" s="115"/>
      <c r="GP99" s="310">
        <f t="shared" si="209"/>
        <v>192.59999999999997</v>
      </c>
      <c r="GQ99" s="115"/>
      <c r="GR99" s="115"/>
      <c r="GS99" s="115"/>
      <c r="GT99" s="115"/>
      <c r="GU99" s="991">
        <f t="shared" si="225"/>
        <v>-2651.6</v>
      </c>
      <c r="GW99" s="1063">
        <f>DataUK4!D251+DataUK4!F251</f>
        <v>233.6</v>
      </c>
      <c r="GX99" s="115"/>
      <c r="GY99" s="615">
        <f t="shared" si="210"/>
        <v>195.99256965944278</v>
      </c>
      <c r="GZ99" s="115"/>
      <c r="HA99" s="115"/>
      <c r="HB99" s="115"/>
      <c r="HC99" s="1051"/>
      <c r="HD99" s="170">
        <f t="shared" si="147"/>
        <v>160</v>
      </c>
      <c r="HE99" s="301">
        <f t="shared" si="233"/>
        <v>260</v>
      </c>
      <c r="HF99" s="301">
        <f t="shared" si="234"/>
        <v>100</v>
      </c>
      <c r="HG99" s="170">
        <f t="shared" si="211"/>
        <v>0</v>
      </c>
      <c r="HH99" s="301">
        <v>0</v>
      </c>
      <c r="HI99" s="301">
        <v>0</v>
      </c>
      <c r="HJ99" s="2">
        <v>0</v>
      </c>
      <c r="HK99" s="2">
        <v>0</v>
      </c>
      <c r="HL99" s="2">
        <v>0</v>
      </c>
      <c r="HM99" s="2">
        <f t="shared" si="212"/>
        <v>0</v>
      </c>
      <c r="HN99" s="2">
        <v>0</v>
      </c>
      <c r="HO99" s="2">
        <v>0</v>
      </c>
      <c r="HP99" s="2">
        <v>0</v>
      </c>
      <c r="HQ99" s="2">
        <v>0</v>
      </c>
      <c r="HR99" s="2">
        <v>0</v>
      </c>
      <c r="HS99" s="1052">
        <v>0</v>
      </c>
      <c r="HT99" s="1002">
        <v>20.2</v>
      </c>
      <c r="HU99" s="1002">
        <f t="shared" si="213"/>
        <v>2.4681672025723467</v>
      </c>
      <c r="HV99" s="1002">
        <f t="shared" si="214"/>
        <v>2.8578778135048233</v>
      </c>
    </row>
    <row r="100" spans="1:230">
      <c r="A100" s="110">
        <f t="shared" si="228"/>
        <v>1941</v>
      </c>
      <c r="B100" s="176">
        <f t="shared" si="158"/>
        <v>7920</v>
      </c>
      <c r="C100" s="177">
        <f t="shared" si="145"/>
        <v>140</v>
      </c>
      <c r="D100" s="176">
        <f t="shared" si="159"/>
        <v>7780</v>
      </c>
      <c r="E100" s="154">
        <f t="shared" si="160"/>
        <v>8280</v>
      </c>
      <c r="F100" s="995">
        <f t="shared" si="161"/>
        <v>500</v>
      </c>
      <c r="G100" s="531">
        <f t="shared" si="162"/>
        <v>8471</v>
      </c>
      <c r="H100" s="531">
        <f t="shared" si="163"/>
        <v>8331</v>
      </c>
      <c r="I100" s="531">
        <f t="shared" si="164"/>
        <v>8831</v>
      </c>
      <c r="J100" s="548">
        <f t="shared" si="165"/>
        <v>0.93760616011776698</v>
      </c>
      <c r="K100" s="515">
        <f t="shared" si="215"/>
        <v>1050</v>
      </c>
      <c r="L100" s="175">
        <v>1222</v>
      </c>
      <c r="M100" s="175">
        <v>172</v>
      </c>
      <c r="N100" s="111"/>
      <c r="O100" s="111"/>
      <c r="P100" s="111"/>
      <c r="Q100" s="111"/>
      <c r="R100" s="111"/>
      <c r="S100" s="532">
        <f t="shared" si="229"/>
        <v>0.15283842794759825</v>
      </c>
      <c r="T100" s="1008">
        <f t="shared" si="166"/>
        <v>203.2</v>
      </c>
      <c r="U100" s="1010">
        <f t="shared" si="167"/>
        <v>203.2</v>
      </c>
      <c r="V100" s="511">
        <f t="shared" si="168"/>
        <v>286</v>
      </c>
      <c r="W100" s="2">
        <f>0.65*AR100</f>
        <v>286</v>
      </c>
      <c r="X100" s="169">
        <f t="shared" si="170"/>
        <v>82.8</v>
      </c>
      <c r="Y100" s="113">
        <f t="shared" si="171"/>
        <v>0.28951048951048952</v>
      </c>
      <c r="Z100" s="113">
        <f t="shared" si="172"/>
        <v>0.28951048951048952</v>
      </c>
      <c r="AA100" s="113"/>
      <c r="AB100" s="1019">
        <v>0.01</v>
      </c>
      <c r="AC100" s="113"/>
      <c r="AD100" s="113"/>
      <c r="AE100" s="113"/>
      <c r="AF100" s="113"/>
      <c r="AG100" s="113"/>
      <c r="AH100" s="113"/>
      <c r="AI100" s="113"/>
      <c r="AJ100" s="171">
        <f t="shared" si="173"/>
        <v>1113.1249563942561</v>
      </c>
      <c r="AK100" s="1026">
        <f t="shared" si="174"/>
        <v>345.8</v>
      </c>
      <c r="AL100" s="169">
        <f t="shared" si="175"/>
        <v>1171.7104804150063</v>
      </c>
      <c r="AM100" s="169">
        <f t="shared" si="216"/>
        <v>364</v>
      </c>
      <c r="AN100" s="169">
        <f t="shared" si="176"/>
        <v>694.96447597924964</v>
      </c>
      <c r="AO100" s="1028">
        <f t="shared" si="239"/>
        <v>753.55</v>
      </c>
      <c r="AP100" s="169">
        <v>475</v>
      </c>
      <c r="AQ100" s="169">
        <v>35</v>
      </c>
      <c r="AR100" s="78">
        <f t="shared" si="217"/>
        <v>440</v>
      </c>
      <c r="AS100" s="169">
        <v>892</v>
      </c>
      <c r="AT100" s="169">
        <v>218</v>
      </c>
      <c r="AU100" s="169">
        <f t="shared" si="240"/>
        <v>674</v>
      </c>
      <c r="AV100" s="112"/>
      <c r="AW100" s="175">
        <f t="shared" si="143"/>
        <v>1238</v>
      </c>
      <c r="AX100" s="169">
        <v>1238</v>
      </c>
      <c r="AY100" s="169">
        <v>0</v>
      </c>
      <c r="AZ100" s="358">
        <v>90</v>
      </c>
      <c r="BA100" s="113">
        <f t="shared" si="219"/>
        <v>0.17380989220692145</v>
      </c>
      <c r="BB100" s="358"/>
      <c r="BC100" s="112"/>
      <c r="BD100" s="112"/>
      <c r="BE100" s="112"/>
      <c r="BF100" s="83"/>
      <c r="BG100" s="113"/>
      <c r="BH100" s="112"/>
      <c r="BI100" s="1031">
        <v>4535</v>
      </c>
      <c r="BJ100" s="2">
        <f t="shared" si="177"/>
        <v>4535</v>
      </c>
      <c r="BK100" s="169">
        <v>111</v>
      </c>
      <c r="BL100" s="169">
        <f t="shared" si="178"/>
        <v>364</v>
      </c>
      <c r="BM100" s="1031">
        <f t="shared" si="179"/>
        <v>418.16048041500642</v>
      </c>
      <c r="BN100" s="310">
        <f t="shared" si="180"/>
        <v>307.16048041500642</v>
      </c>
      <c r="BO100" s="262">
        <f t="shared" si="181"/>
        <v>8.7748039896369909E-2</v>
      </c>
      <c r="BP100" s="262">
        <f t="shared" si="182"/>
        <v>9.5145202020202019E-2</v>
      </c>
      <c r="BQ100" s="262">
        <f t="shared" si="183"/>
        <v>5.2798040456440203E-2</v>
      </c>
      <c r="BR100" s="262">
        <f t="shared" si="184"/>
        <v>9.2207382671445737E-2</v>
      </c>
      <c r="BS100" s="988">
        <f t="shared" si="185"/>
        <v>0.55492068265543948</v>
      </c>
      <c r="BT100" s="534">
        <f t="shared" si="186"/>
        <v>58.585524020750313</v>
      </c>
      <c r="BU100" s="534">
        <f t="shared" si="187"/>
        <v>18.2</v>
      </c>
      <c r="BV100" s="113">
        <v>0.05</v>
      </c>
      <c r="BW100" s="276">
        <f t="shared" si="188"/>
        <v>7.0755463793176704E-3</v>
      </c>
      <c r="BX100" s="272">
        <f t="shared" si="189"/>
        <v>141.38552402075032</v>
      </c>
      <c r="BY100" s="113"/>
      <c r="BZ100" s="1035"/>
      <c r="CA100" s="1038"/>
      <c r="CB100" s="2">
        <f t="shared" si="221"/>
        <v>6870</v>
      </c>
      <c r="CC100" s="2">
        <f t="shared" si="222"/>
        <v>7920</v>
      </c>
      <c r="CD100" s="310">
        <f t="shared" si="190"/>
        <v>7920</v>
      </c>
      <c r="CE100" s="310">
        <f t="shared" si="191"/>
        <v>7780</v>
      </c>
      <c r="CF100" s="598"/>
      <c r="CG100" s="598"/>
      <c r="CH100" s="598"/>
      <c r="CI100" s="577">
        <v>500</v>
      </c>
      <c r="CJ100" s="577"/>
      <c r="CK100" s="577"/>
      <c r="CL100" s="517">
        <f t="shared" si="192"/>
        <v>2955.4750436057438</v>
      </c>
      <c r="CM100" s="169">
        <f t="shared" si="193"/>
        <v>3224.0895195849935</v>
      </c>
      <c r="CN100" s="170">
        <f t="shared" si="194"/>
        <v>1565.45</v>
      </c>
      <c r="CO100" s="170">
        <f t="shared" si="195"/>
        <v>1565.45</v>
      </c>
      <c r="CP100" s="170">
        <f t="shared" si="196"/>
        <v>1658.6395195849936</v>
      </c>
      <c r="CQ100" s="170">
        <f t="shared" si="197"/>
        <v>268.61447597924968</v>
      </c>
      <c r="CR100" s="170"/>
      <c r="CS100" s="113">
        <f t="shared" si="198"/>
        <v>3.2441361833242713E-2</v>
      </c>
      <c r="CT100" s="112"/>
      <c r="CU100" s="112"/>
      <c r="CV100" s="112"/>
      <c r="CW100" s="112"/>
      <c r="CX100" s="112"/>
      <c r="CY100" s="112"/>
      <c r="CZ100" s="112"/>
      <c r="DA100" s="112"/>
      <c r="DB100" s="112"/>
      <c r="DC100" s="112"/>
      <c r="DD100" s="112"/>
      <c r="DE100" s="112"/>
      <c r="DF100" s="112"/>
      <c r="DG100" s="112"/>
      <c r="DH100" s="517">
        <f t="shared" si="227"/>
        <v>2458.1999999999998</v>
      </c>
      <c r="DI100" s="2">
        <f t="shared" si="199"/>
        <v>2548.1999999999998</v>
      </c>
      <c r="DJ100" s="169">
        <f t="shared" si="200"/>
        <v>2458.1999999999998</v>
      </c>
      <c r="DK100" s="169">
        <f t="shared" si="223"/>
        <v>90</v>
      </c>
      <c r="DL100" s="113">
        <f t="shared" si="201"/>
        <v>0.31037878787878787</v>
      </c>
      <c r="DM100" s="113">
        <f t="shared" si="202"/>
        <v>0.54205071664829108</v>
      </c>
      <c r="DN100" s="113">
        <v>0.6</v>
      </c>
      <c r="DO100" s="113"/>
      <c r="DP100" s="113"/>
      <c r="DQ100" s="272">
        <v>4097</v>
      </c>
      <c r="DR100" s="169"/>
      <c r="DS100" s="169"/>
      <c r="DT100" s="78">
        <f t="shared" si="235"/>
        <v>4097</v>
      </c>
      <c r="DU100" s="175">
        <f t="shared" si="236"/>
        <v>4960</v>
      </c>
      <c r="DV100" s="169">
        <v>5104</v>
      </c>
      <c r="DW100" s="170">
        <f t="shared" si="203"/>
        <v>724</v>
      </c>
      <c r="DX100" s="534">
        <f t="shared" si="230"/>
        <v>624</v>
      </c>
      <c r="DY100" s="534">
        <f t="shared" si="231"/>
        <v>405.6</v>
      </c>
      <c r="DZ100" s="113">
        <f t="shared" si="226"/>
        <v>1.3</v>
      </c>
      <c r="EA100" s="169">
        <v>480</v>
      </c>
      <c r="EB100" s="179">
        <f t="shared" si="238"/>
        <v>312</v>
      </c>
      <c r="EC100" s="561">
        <f t="shared" si="218"/>
        <v>218.39999999999998</v>
      </c>
      <c r="ED100" s="175">
        <f t="shared" si="241"/>
        <v>61</v>
      </c>
      <c r="EE100" s="175">
        <f t="shared" si="204"/>
        <v>157.39999999999998</v>
      </c>
      <c r="EF100" s="561"/>
      <c r="EG100" s="169">
        <v>100</v>
      </c>
      <c r="EH100" s="78">
        <f t="shared" si="205"/>
        <v>124</v>
      </c>
      <c r="EI100" s="169">
        <v>600</v>
      </c>
      <c r="EJ100" s="169">
        <v>1550</v>
      </c>
      <c r="EK100" s="169"/>
      <c r="EL100" s="169"/>
      <c r="EM100" s="169"/>
      <c r="EN100" s="169"/>
      <c r="EO100" s="169">
        <v>870</v>
      </c>
      <c r="EP100" s="169">
        <v>1680</v>
      </c>
      <c r="EQ100" s="175">
        <f t="shared" si="232"/>
        <v>8831</v>
      </c>
      <c r="ER100" s="2">
        <f t="shared" si="206"/>
        <v>8280</v>
      </c>
      <c r="ES100" s="262">
        <f t="shared" si="237"/>
        <v>0.93760616011776698</v>
      </c>
      <c r="ET100" s="262"/>
      <c r="EU100" s="262"/>
      <c r="EV100" s="262"/>
      <c r="EW100" s="598"/>
      <c r="EX100" s="598"/>
      <c r="EY100" s="1126"/>
      <c r="EZ100" s="598"/>
      <c r="FA100" s="598"/>
      <c r="FB100" s="598"/>
      <c r="FC100" s="598"/>
      <c r="FD100" s="598"/>
      <c r="FE100" s="979"/>
      <c r="FF100" s="1048"/>
      <c r="FG100" s="518"/>
      <c r="FH100" s="598"/>
      <c r="FI100" s="310">
        <f t="shared" si="207"/>
        <v>-810</v>
      </c>
      <c r="FJ100" s="2">
        <f t="shared" si="208"/>
        <v>-810</v>
      </c>
      <c r="FK100" s="273"/>
      <c r="FL100" s="519"/>
      <c r="FM100" s="518"/>
      <c r="FN100" s="518"/>
      <c r="FO100" s="518"/>
      <c r="FP100" s="518"/>
      <c r="FQ100" s="518"/>
      <c r="FR100" s="518"/>
      <c r="FS100" s="1049"/>
      <c r="FT100" s="310"/>
      <c r="FU100" s="518"/>
      <c r="FV100" s="518"/>
      <c r="FW100" s="518"/>
      <c r="FX100" s="518"/>
      <c r="FY100" s="518"/>
      <c r="FZ100" s="115"/>
      <c r="GA100" s="115"/>
      <c r="GB100" s="115"/>
      <c r="GC100" s="115"/>
      <c r="GD100" s="115"/>
      <c r="GE100" s="115"/>
      <c r="GF100" s="115"/>
      <c r="GG100" s="115"/>
      <c r="GH100" s="115"/>
      <c r="GI100" s="115"/>
      <c r="GJ100" s="115"/>
      <c r="GK100" s="1055">
        <f>DataUK4!X252+DataUK4!AH252</f>
        <v>-2701</v>
      </c>
      <c r="GL100" s="115"/>
      <c r="GM100" s="115"/>
      <c r="GN100" s="115"/>
      <c r="GO100" s="115"/>
      <c r="GP100" s="310">
        <f t="shared" si="209"/>
        <v>157.39999999999998</v>
      </c>
      <c r="GQ100" s="115"/>
      <c r="GR100" s="115"/>
      <c r="GS100" s="115"/>
      <c r="GT100" s="115"/>
      <c r="GU100" s="991">
        <f t="shared" si="225"/>
        <v>-2858.4</v>
      </c>
      <c r="GW100" s="1063">
        <f>DataUK4!D252+DataUK4!F252</f>
        <v>278</v>
      </c>
      <c r="GX100" s="115"/>
      <c r="GY100" s="615">
        <f t="shared" si="210"/>
        <v>233.24458204334371</v>
      </c>
      <c r="GZ100" s="115"/>
      <c r="HA100" s="115"/>
      <c r="HB100" s="115"/>
      <c r="HC100" s="1051"/>
      <c r="HD100" s="170">
        <f t="shared" si="147"/>
        <v>140</v>
      </c>
      <c r="HE100" s="301">
        <f t="shared" si="233"/>
        <v>270</v>
      </c>
      <c r="HF100" s="301">
        <f t="shared" si="234"/>
        <v>130</v>
      </c>
      <c r="HG100" s="170">
        <f t="shared" si="211"/>
        <v>0</v>
      </c>
      <c r="HH100" s="301">
        <v>0</v>
      </c>
      <c r="HI100" s="301">
        <v>0</v>
      </c>
      <c r="HJ100" s="2">
        <v>0</v>
      </c>
      <c r="HK100" s="2">
        <v>0</v>
      </c>
      <c r="HL100" s="2">
        <v>0</v>
      </c>
      <c r="HM100" s="2">
        <f t="shared" si="212"/>
        <v>0</v>
      </c>
      <c r="HN100" s="2">
        <v>0</v>
      </c>
      <c r="HO100" s="2">
        <v>0</v>
      </c>
      <c r="HP100" s="2">
        <v>0</v>
      </c>
      <c r="HQ100" s="2">
        <v>0</v>
      </c>
      <c r="HR100" s="2">
        <v>0</v>
      </c>
      <c r="HS100" s="1052">
        <v>0</v>
      </c>
      <c r="HT100" s="1002">
        <v>22.4</v>
      </c>
      <c r="HU100" s="1002">
        <f t="shared" si="213"/>
        <v>2.7369774919614143</v>
      </c>
      <c r="HV100" s="1002">
        <f t="shared" si="214"/>
        <v>3.1691318327974276</v>
      </c>
    </row>
    <row r="101" spans="1:230">
      <c r="A101" s="110">
        <f t="shared" si="228"/>
        <v>1942</v>
      </c>
      <c r="B101" s="176">
        <f t="shared" si="158"/>
        <v>8700</v>
      </c>
      <c r="C101" s="177">
        <f t="shared" si="145"/>
        <v>100</v>
      </c>
      <c r="D101" s="176">
        <f t="shared" si="159"/>
        <v>8600</v>
      </c>
      <c r="E101" s="154">
        <f t="shared" si="160"/>
        <v>9130</v>
      </c>
      <c r="F101" s="995">
        <f t="shared" si="161"/>
        <v>530</v>
      </c>
      <c r="G101" s="531">
        <f t="shared" si="162"/>
        <v>9161</v>
      </c>
      <c r="H101" s="531">
        <f t="shared" si="163"/>
        <v>9061</v>
      </c>
      <c r="I101" s="531">
        <f t="shared" si="164"/>
        <v>9591</v>
      </c>
      <c r="J101" s="548">
        <f t="shared" si="165"/>
        <v>0.95193410489000108</v>
      </c>
      <c r="K101" s="515">
        <f t="shared" si="215"/>
        <v>1151</v>
      </c>
      <c r="L101" s="175">
        <v>1357</v>
      </c>
      <c r="M101" s="175">
        <v>206</v>
      </c>
      <c r="N101" s="111"/>
      <c r="O101" s="111"/>
      <c r="P101" s="111"/>
      <c r="Q101" s="111"/>
      <c r="R101" s="111"/>
      <c r="S101" s="532">
        <f t="shared" si="229"/>
        <v>0.15247052589746987</v>
      </c>
      <c r="T101" s="1008">
        <f t="shared" si="166"/>
        <v>172.7</v>
      </c>
      <c r="U101" s="1010">
        <f t="shared" si="167"/>
        <v>172.7</v>
      </c>
      <c r="V101" s="511">
        <f t="shared" si="168"/>
        <v>264</v>
      </c>
      <c r="W101" s="2">
        <f>0.6*AR101</f>
        <v>264</v>
      </c>
      <c r="X101" s="169">
        <f t="shared" si="170"/>
        <v>91.3</v>
      </c>
      <c r="Y101" s="113">
        <f t="shared" si="171"/>
        <v>0.34583333333333333</v>
      </c>
      <c r="Z101" s="113">
        <f t="shared" si="172"/>
        <v>0.34583333333333333</v>
      </c>
      <c r="AA101" s="113"/>
      <c r="AB101" s="1019">
        <v>0.01</v>
      </c>
      <c r="AC101" s="113"/>
      <c r="AD101" s="113"/>
      <c r="AE101" s="113"/>
      <c r="AF101" s="113"/>
      <c r="AG101" s="113"/>
      <c r="AH101" s="113"/>
      <c r="AI101" s="113"/>
      <c r="AJ101" s="171">
        <f t="shared" si="173"/>
        <v>1164.1121013457634</v>
      </c>
      <c r="AK101" s="1026">
        <f t="shared" si="174"/>
        <v>382.85</v>
      </c>
      <c r="AL101" s="169">
        <f t="shared" si="175"/>
        <v>1225.3811593113298</v>
      </c>
      <c r="AM101" s="169">
        <f t="shared" si="216"/>
        <v>403</v>
      </c>
      <c r="AN101" s="169">
        <f t="shared" si="176"/>
        <v>726.7976087011001</v>
      </c>
      <c r="AO101" s="1028">
        <f t="shared" si="239"/>
        <v>788.06666666666661</v>
      </c>
      <c r="AP101" s="169">
        <v>475</v>
      </c>
      <c r="AQ101" s="169">
        <v>35</v>
      </c>
      <c r="AR101" s="78">
        <f t="shared" si="217"/>
        <v>440</v>
      </c>
      <c r="AS101" s="169">
        <v>949</v>
      </c>
      <c r="AT101" s="169">
        <v>236</v>
      </c>
      <c r="AU101" s="169">
        <f t="shared" si="240"/>
        <v>713</v>
      </c>
      <c r="AV101" s="112"/>
      <c r="AW101" s="175">
        <f t="shared" si="143"/>
        <v>1377</v>
      </c>
      <c r="AX101" s="169">
        <v>1377</v>
      </c>
      <c r="AY101" s="169">
        <v>0</v>
      </c>
      <c r="AZ101" s="358">
        <v>136</v>
      </c>
      <c r="BA101" s="113">
        <f t="shared" si="219"/>
        <v>0.16770946041304041</v>
      </c>
      <c r="BB101" s="358"/>
      <c r="BC101" s="112"/>
      <c r="BD101" s="112"/>
      <c r="BE101" s="112"/>
      <c r="BF101" s="83"/>
      <c r="BG101" s="113"/>
      <c r="BH101" s="112"/>
      <c r="BI101" s="1031">
        <v>5042</v>
      </c>
      <c r="BJ101" s="2">
        <f t="shared" si="177"/>
        <v>5042</v>
      </c>
      <c r="BK101" s="169">
        <v>132</v>
      </c>
      <c r="BL101" s="169">
        <f t="shared" si="178"/>
        <v>403</v>
      </c>
      <c r="BM101" s="1031">
        <f t="shared" si="179"/>
        <v>437.31449264466329</v>
      </c>
      <c r="BN101" s="310">
        <f t="shared" si="180"/>
        <v>305.31449264466329</v>
      </c>
      <c r="BO101" s="262">
        <f t="shared" si="181"/>
        <v>8.3539955023114953E-2</v>
      </c>
      <c r="BP101" s="262">
        <f t="shared" si="182"/>
        <v>9.0582375478927196E-2</v>
      </c>
      <c r="BQ101" s="262">
        <f t="shared" si="183"/>
        <v>5.0266033637317617E-2</v>
      </c>
      <c r="BR101" s="262">
        <f t="shared" si="184"/>
        <v>8.67343301556254E-2</v>
      </c>
      <c r="BS101" s="988">
        <f t="shared" si="185"/>
        <v>0.55492068265543948</v>
      </c>
      <c r="BT101" s="534">
        <f t="shared" si="186"/>
        <v>61.269057965566496</v>
      </c>
      <c r="BU101" s="534">
        <f t="shared" si="187"/>
        <v>20.150000000000002</v>
      </c>
      <c r="BV101" s="113">
        <v>0.05</v>
      </c>
      <c r="BW101" s="276">
        <f t="shared" si="188"/>
        <v>6.7107401933807773E-3</v>
      </c>
      <c r="BX101" s="272">
        <f t="shared" si="189"/>
        <v>152.56905796556649</v>
      </c>
      <c r="BY101" s="113"/>
      <c r="BZ101" s="1035"/>
      <c r="CA101" s="1038"/>
      <c r="CB101" s="2">
        <f t="shared" si="221"/>
        <v>7549</v>
      </c>
      <c r="CC101" s="2">
        <f t="shared" si="222"/>
        <v>8700</v>
      </c>
      <c r="CD101" s="310">
        <f t="shared" si="190"/>
        <v>8700</v>
      </c>
      <c r="CE101" s="310">
        <f t="shared" si="191"/>
        <v>8600</v>
      </c>
      <c r="CF101" s="598"/>
      <c r="CG101" s="598"/>
      <c r="CH101" s="598"/>
      <c r="CI101" s="577">
        <v>530</v>
      </c>
      <c r="CJ101" s="577"/>
      <c r="CK101" s="577"/>
      <c r="CL101" s="517">
        <f t="shared" si="192"/>
        <v>3363.5878986542366</v>
      </c>
      <c r="CM101" s="169">
        <f t="shared" si="193"/>
        <v>3605.01884068867</v>
      </c>
      <c r="CN101" s="170">
        <f t="shared" si="194"/>
        <v>1748.9333333333334</v>
      </c>
      <c r="CO101" s="170">
        <f t="shared" si="195"/>
        <v>1748.9333333333334</v>
      </c>
      <c r="CP101" s="170">
        <f t="shared" si="196"/>
        <v>1856.0855073553369</v>
      </c>
      <c r="CQ101" s="170">
        <f t="shared" si="197"/>
        <v>241.43094203443349</v>
      </c>
      <c r="CR101" s="170"/>
      <c r="CS101" s="113">
        <f t="shared" si="198"/>
        <v>2.6443695732139484E-2</v>
      </c>
      <c r="CT101" s="112"/>
      <c r="CU101" s="112"/>
      <c r="CV101" s="112"/>
      <c r="CW101" s="112"/>
      <c r="CX101" s="112"/>
      <c r="CY101" s="112"/>
      <c r="CZ101" s="112"/>
      <c r="DA101" s="112"/>
      <c r="DB101" s="112"/>
      <c r="DC101" s="112"/>
      <c r="DD101" s="112"/>
      <c r="DE101" s="112"/>
      <c r="DF101" s="112"/>
      <c r="DG101" s="112"/>
      <c r="DH101" s="517">
        <f t="shared" si="227"/>
        <v>2748.6</v>
      </c>
      <c r="DI101" s="2">
        <f t="shared" si="199"/>
        <v>2884.6</v>
      </c>
      <c r="DJ101" s="169">
        <f t="shared" si="200"/>
        <v>2748.6</v>
      </c>
      <c r="DK101" s="169">
        <f t="shared" si="223"/>
        <v>136</v>
      </c>
      <c r="DL101" s="113">
        <f t="shared" si="201"/>
        <v>0.31593103448275861</v>
      </c>
      <c r="DM101" s="113">
        <f t="shared" si="202"/>
        <v>0.54514081713605711</v>
      </c>
      <c r="DN101" s="113">
        <v>0.6</v>
      </c>
      <c r="DO101" s="113"/>
      <c r="DP101" s="113"/>
      <c r="DQ101" s="272">
        <v>4581</v>
      </c>
      <c r="DR101" s="169"/>
      <c r="DS101" s="169"/>
      <c r="DT101" s="78">
        <f t="shared" si="235"/>
        <v>4581</v>
      </c>
      <c r="DU101" s="175">
        <f t="shared" si="236"/>
        <v>5275</v>
      </c>
      <c r="DV101" s="169">
        <v>5410</v>
      </c>
      <c r="DW101" s="170">
        <f t="shared" si="203"/>
        <v>485</v>
      </c>
      <c r="DX101" s="534">
        <f t="shared" si="230"/>
        <v>585</v>
      </c>
      <c r="DY101" s="534">
        <f t="shared" si="231"/>
        <v>380.25</v>
      </c>
      <c r="DZ101" s="113">
        <f t="shared" si="226"/>
        <v>1.3</v>
      </c>
      <c r="EA101" s="169">
        <v>450</v>
      </c>
      <c r="EB101" s="179">
        <f t="shared" si="238"/>
        <v>292.5</v>
      </c>
      <c r="EC101" s="561">
        <f t="shared" si="218"/>
        <v>204.75</v>
      </c>
      <c r="ED101" s="175">
        <f t="shared" si="241"/>
        <v>78</v>
      </c>
      <c r="EE101" s="175">
        <f t="shared" si="204"/>
        <v>126.75</v>
      </c>
      <c r="EF101" s="561"/>
      <c r="EG101" s="169">
        <v>-100</v>
      </c>
      <c r="EH101" s="78">
        <f t="shared" si="205"/>
        <v>55</v>
      </c>
      <c r="EI101" s="169">
        <v>600</v>
      </c>
      <c r="EJ101" s="169">
        <v>1350</v>
      </c>
      <c r="EK101" s="169"/>
      <c r="EL101" s="169"/>
      <c r="EM101" s="169"/>
      <c r="EN101" s="169"/>
      <c r="EO101" s="169">
        <v>870</v>
      </c>
      <c r="EP101" s="169">
        <v>1520</v>
      </c>
      <c r="EQ101" s="175">
        <f t="shared" si="232"/>
        <v>9591</v>
      </c>
      <c r="ER101" s="2">
        <f t="shared" si="206"/>
        <v>9130</v>
      </c>
      <c r="ES101" s="262">
        <f t="shared" si="237"/>
        <v>0.95193410489000108</v>
      </c>
      <c r="ET101" s="262"/>
      <c r="EU101" s="262"/>
      <c r="EV101" s="262"/>
      <c r="EW101" s="598"/>
      <c r="EX101" s="598"/>
      <c r="EY101" s="1126"/>
      <c r="EZ101" s="598"/>
      <c r="FA101" s="598"/>
      <c r="FB101" s="598"/>
      <c r="FC101" s="598"/>
      <c r="FD101" s="598"/>
      <c r="FE101" s="979"/>
      <c r="FF101" s="1048"/>
      <c r="FG101" s="518"/>
      <c r="FH101" s="598"/>
      <c r="FI101" s="310">
        <f t="shared" si="207"/>
        <v>-650</v>
      </c>
      <c r="FJ101" s="2">
        <f t="shared" si="208"/>
        <v>-650</v>
      </c>
      <c r="FK101" s="273"/>
      <c r="FL101" s="519"/>
      <c r="FM101" s="518"/>
      <c r="FN101" s="518"/>
      <c r="FO101" s="518"/>
      <c r="FP101" s="518"/>
      <c r="FQ101" s="518"/>
      <c r="FR101" s="518"/>
      <c r="FS101" s="1049"/>
      <c r="FT101" s="310"/>
      <c r="FU101" s="518"/>
      <c r="FV101" s="518"/>
      <c r="FW101" s="518"/>
      <c r="FX101" s="518"/>
      <c r="FY101" s="518"/>
      <c r="FZ101" s="115"/>
      <c r="GA101" s="115"/>
      <c r="GB101" s="115"/>
      <c r="GC101" s="115"/>
      <c r="GD101" s="115"/>
      <c r="GE101" s="115"/>
      <c r="GF101" s="115"/>
      <c r="GG101" s="115"/>
      <c r="GH101" s="115"/>
      <c r="GI101" s="115"/>
      <c r="GJ101" s="115"/>
      <c r="GK101" s="1055">
        <f>DataUK4!X253+DataUK4!AH253</f>
        <v>-2804</v>
      </c>
      <c r="GL101" s="115"/>
      <c r="GM101" s="115"/>
      <c r="GN101" s="115"/>
      <c r="GO101" s="115"/>
      <c r="GP101" s="310">
        <f t="shared" si="209"/>
        <v>126.75</v>
      </c>
      <c r="GQ101" s="115"/>
      <c r="GR101" s="115"/>
      <c r="GS101" s="115"/>
      <c r="GT101" s="115"/>
      <c r="GU101" s="991">
        <f t="shared" si="225"/>
        <v>-2930.75</v>
      </c>
      <c r="GW101" s="1063">
        <f>DataUK4!D253+DataUK4!F253</f>
        <v>331.6</v>
      </c>
      <c r="GX101" s="115"/>
      <c r="GY101" s="615">
        <f t="shared" si="210"/>
        <v>278.21547987616111</v>
      </c>
      <c r="GZ101" s="115"/>
      <c r="HA101" s="115"/>
      <c r="HB101" s="115"/>
      <c r="HC101" s="1051"/>
      <c r="HD101" s="170">
        <f t="shared" si="147"/>
        <v>100</v>
      </c>
      <c r="HE101" s="301">
        <f t="shared" si="233"/>
        <v>270</v>
      </c>
      <c r="HF101" s="301">
        <f t="shared" si="234"/>
        <v>170</v>
      </c>
      <c r="HG101" s="170">
        <f t="shared" si="211"/>
        <v>0</v>
      </c>
      <c r="HH101" s="301">
        <v>0</v>
      </c>
      <c r="HI101" s="301">
        <v>0</v>
      </c>
      <c r="HJ101" s="2">
        <v>0</v>
      </c>
      <c r="HK101" s="2">
        <v>0</v>
      </c>
      <c r="HL101" s="2">
        <v>0</v>
      </c>
      <c r="HM101" s="2">
        <f t="shared" si="212"/>
        <v>0</v>
      </c>
      <c r="HN101" s="2">
        <v>0</v>
      </c>
      <c r="HO101" s="2">
        <v>0</v>
      </c>
      <c r="HP101" s="2">
        <v>0</v>
      </c>
      <c r="HQ101" s="2">
        <v>0</v>
      </c>
      <c r="HR101" s="2">
        <v>0</v>
      </c>
      <c r="HS101" s="1052">
        <v>0</v>
      </c>
      <c r="HT101" s="1002">
        <v>24</v>
      </c>
      <c r="HU101" s="1002">
        <f t="shared" si="213"/>
        <v>2.9324758842443726</v>
      </c>
      <c r="HV101" s="1002">
        <f t="shared" si="214"/>
        <v>3.3954983922829585</v>
      </c>
    </row>
    <row r="102" spans="1:230">
      <c r="A102" s="110">
        <f t="shared" si="228"/>
        <v>1943</v>
      </c>
      <c r="B102" s="176">
        <f t="shared" si="158"/>
        <v>9186</v>
      </c>
      <c r="C102" s="177">
        <f t="shared" si="145"/>
        <v>90</v>
      </c>
      <c r="D102" s="176">
        <f t="shared" si="159"/>
        <v>9096</v>
      </c>
      <c r="E102" s="154">
        <f t="shared" si="160"/>
        <v>9716</v>
      </c>
      <c r="F102" s="995">
        <f t="shared" si="161"/>
        <v>620</v>
      </c>
      <c r="G102" s="531">
        <f t="shared" si="162"/>
        <v>9678</v>
      </c>
      <c r="H102" s="531">
        <f t="shared" si="163"/>
        <v>9588</v>
      </c>
      <c r="I102" s="531">
        <f t="shared" si="164"/>
        <v>10208</v>
      </c>
      <c r="J102" s="548">
        <f t="shared" si="165"/>
        <v>0.95180250783699061</v>
      </c>
      <c r="K102" s="515">
        <f t="shared" si="215"/>
        <v>1218</v>
      </c>
      <c r="L102" s="175">
        <v>1456</v>
      </c>
      <c r="M102" s="175">
        <v>238</v>
      </c>
      <c r="N102" s="111"/>
      <c r="O102" s="111"/>
      <c r="P102" s="111"/>
      <c r="Q102" s="111"/>
      <c r="R102" s="111"/>
      <c r="S102" s="532">
        <f t="shared" si="229"/>
        <v>0.15286144578313254</v>
      </c>
      <c r="T102" s="1008">
        <f t="shared" si="166"/>
        <v>178.84</v>
      </c>
      <c r="U102" s="1010">
        <f t="shared" si="167"/>
        <v>178.84</v>
      </c>
      <c r="V102" s="511">
        <f t="shared" si="168"/>
        <v>276</v>
      </c>
      <c r="W102" s="2">
        <f>0.6*AR102</f>
        <v>276</v>
      </c>
      <c r="X102" s="169">
        <f t="shared" si="170"/>
        <v>97.16</v>
      </c>
      <c r="Y102" s="113">
        <f t="shared" si="171"/>
        <v>0.35202898550724637</v>
      </c>
      <c r="Z102" s="113">
        <f t="shared" si="172"/>
        <v>0.35202898550724637</v>
      </c>
      <c r="AA102" s="113"/>
      <c r="AB102" s="1019">
        <v>0.01</v>
      </c>
      <c r="AC102" s="113"/>
      <c r="AD102" s="113"/>
      <c r="AE102" s="113"/>
      <c r="AF102" s="113"/>
      <c r="AG102" s="113"/>
      <c r="AH102" s="113"/>
      <c r="AI102" s="113"/>
      <c r="AJ102" s="171">
        <f t="shared" si="173"/>
        <v>1215.0992462972708</v>
      </c>
      <c r="AK102" s="1026">
        <f t="shared" si="174"/>
        <v>413.25</v>
      </c>
      <c r="AL102" s="169">
        <f t="shared" si="175"/>
        <v>1279.0518382076534</v>
      </c>
      <c r="AM102" s="169">
        <f t="shared" si="216"/>
        <v>435</v>
      </c>
      <c r="AN102" s="169">
        <f t="shared" si="176"/>
        <v>758.63074142295056</v>
      </c>
      <c r="AO102" s="1028">
        <f t="shared" si="239"/>
        <v>822.58333333333326</v>
      </c>
      <c r="AP102" s="169">
        <v>495</v>
      </c>
      <c r="AQ102" s="169">
        <v>35</v>
      </c>
      <c r="AR102" s="78">
        <f t="shared" si="217"/>
        <v>460</v>
      </c>
      <c r="AS102" s="169">
        <v>977</v>
      </c>
      <c r="AT102" s="169">
        <v>251</v>
      </c>
      <c r="AU102" s="169">
        <f t="shared" si="240"/>
        <v>726</v>
      </c>
      <c r="AV102" s="112"/>
      <c r="AW102" s="175">
        <f t="shared" si="143"/>
        <v>1405</v>
      </c>
      <c r="AX102" s="169">
        <v>1405</v>
      </c>
      <c r="AY102" s="169">
        <v>0</v>
      </c>
      <c r="AZ102" s="358">
        <v>149</v>
      </c>
      <c r="BA102" s="113">
        <f t="shared" si="219"/>
        <v>0.16262712244075084</v>
      </c>
      <c r="BB102" s="358"/>
      <c r="BC102" s="112"/>
      <c r="BD102" s="112"/>
      <c r="BE102" s="112"/>
      <c r="BF102" s="83"/>
      <c r="BG102" s="113"/>
      <c r="BH102" s="112"/>
      <c r="BI102" s="1031">
        <v>5472</v>
      </c>
      <c r="BJ102" s="2">
        <f t="shared" si="177"/>
        <v>5472</v>
      </c>
      <c r="BK102" s="169">
        <v>149</v>
      </c>
      <c r="BL102" s="169">
        <f t="shared" si="178"/>
        <v>435</v>
      </c>
      <c r="BM102" s="1031">
        <f t="shared" si="179"/>
        <v>456.46850487432022</v>
      </c>
      <c r="BN102" s="310">
        <f t="shared" si="180"/>
        <v>307.46850487432022</v>
      </c>
      <c r="BO102" s="262">
        <f t="shared" si="181"/>
        <v>8.2585536841165971E-2</v>
      </c>
      <c r="BP102" s="262">
        <f t="shared" si="182"/>
        <v>8.9547499818564469E-2</v>
      </c>
      <c r="BQ102" s="262">
        <f t="shared" si="183"/>
        <v>4.9691759729405642E-2</v>
      </c>
      <c r="BR102" s="262">
        <f t="shared" si="184"/>
        <v>8.3418951914166706E-2</v>
      </c>
      <c r="BS102" s="988">
        <f t="shared" si="185"/>
        <v>0.55492068265543948</v>
      </c>
      <c r="BT102" s="534">
        <f t="shared" si="186"/>
        <v>63.952591910382672</v>
      </c>
      <c r="BU102" s="534">
        <f t="shared" si="187"/>
        <v>21.75</v>
      </c>
      <c r="BV102" s="113">
        <v>0.05</v>
      </c>
      <c r="BW102" s="276">
        <f t="shared" si="188"/>
        <v>6.5821934860418561E-3</v>
      </c>
      <c r="BX102" s="272">
        <f t="shared" si="189"/>
        <v>161.11259191038266</v>
      </c>
      <c r="BY102" s="113"/>
      <c r="BZ102" s="1035"/>
      <c r="CA102" s="1038"/>
      <c r="CB102" s="2">
        <f t="shared" si="221"/>
        <v>7968</v>
      </c>
      <c r="CC102" s="2">
        <f t="shared" si="222"/>
        <v>9186</v>
      </c>
      <c r="CD102" s="310">
        <f t="shared" si="190"/>
        <v>9186</v>
      </c>
      <c r="CE102" s="310">
        <f t="shared" si="191"/>
        <v>9096</v>
      </c>
      <c r="CF102" s="598"/>
      <c r="CG102" s="598"/>
      <c r="CH102" s="598"/>
      <c r="CI102" s="577">
        <v>620</v>
      </c>
      <c r="CJ102" s="577"/>
      <c r="CK102" s="577"/>
      <c r="CL102" s="517">
        <f t="shared" si="192"/>
        <v>3494.2607537027297</v>
      </c>
      <c r="CM102" s="169">
        <f t="shared" si="193"/>
        <v>3804.1481617923469</v>
      </c>
      <c r="CN102" s="170">
        <f t="shared" si="194"/>
        <v>1778.4166666666667</v>
      </c>
      <c r="CO102" s="170">
        <f t="shared" si="195"/>
        <v>1778.4166666666667</v>
      </c>
      <c r="CP102" s="170">
        <f t="shared" si="196"/>
        <v>2025.7314951256801</v>
      </c>
      <c r="CQ102" s="170">
        <f t="shared" si="197"/>
        <v>309.88740808961734</v>
      </c>
      <c r="CR102" s="170"/>
      <c r="CS102" s="113">
        <f t="shared" si="198"/>
        <v>3.1894545912887748E-2</v>
      </c>
      <c r="CT102" s="112"/>
      <c r="CU102" s="112"/>
      <c r="CV102" s="112"/>
      <c r="CW102" s="112"/>
      <c r="CX102" s="112"/>
      <c r="CY102" s="112"/>
      <c r="CZ102" s="112"/>
      <c r="DA102" s="112"/>
      <c r="DB102" s="112"/>
      <c r="DC102" s="112"/>
      <c r="DD102" s="112"/>
      <c r="DE102" s="112"/>
      <c r="DF102" s="112"/>
      <c r="DG102" s="112"/>
      <c r="DH102" s="517">
        <f t="shared" si="227"/>
        <v>2989.7999999999997</v>
      </c>
      <c r="DI102" s="2">
        <f t="shared" si="199"/>
        <v>3138.7999999999997</v>
      </c>
      <c r="DJ102" s="169">
        <f t="shared" si="200"/>
        <v>2989.7999999999997</v>
      </c>
      <c r="DK102" s="169">
        <f t="shared" si="223"/>
        <v>149</v>
      </c>
      <c r="DL102" s="113">
        <f t="shared" si="201"/>
        <v>0.32547354670150225</v>
      </c>
      <c r="DM102" s="113">
        <f t="shared" si="202"/>
        <v>0.54638157894736838</v>
      </c>
      <c r="DN102" s="113">
        <v>0.6</v>
      </c>
      <c r="DO102" s="113"/>
      <c r="DP102" s="113"/>
      <c r="DQ102" s="272">
        <v>4983</v>
      </c>
      <c r="DR102" s="169"/>
      <c r="DS102" s="169"/>
      <c r="DT102" s="78">
        <f t="shared" si="235"/>
        <v>4983</v>
      </c>
      <c r="DU102" s="175">
        <f t="shared" si="236"/>
        <v>5417</v>
      </c>
      <c r="DV102" s="169">
        <v>5525</v>
      </c>
      <c r="DW102" s="170">
        <f t="shared" si="203"/>
        <v>568</v>
      </c>
      <c r="DX102" s="534">
        <f t="shared" si="230"/>
        <v>468</v>
      </c>
      <c r="DY102" s="534">
        <f t="shared" si="231"/>
        <v>304.2</v>
      </c>
      <c r="DZ102" s="113">
        <f t="shared" si="226"/>
        <v>1.3</v>
      </c>
      <c r="EA102" s="169">
        <v>360</v>
      </c>
      <c r="EB102" s="179">
        <f t="shared" si="238"/>
        <v>234</v>
      </c>
      <c r="EC102" s="561">
        <f t="shared" si="218"/>
        <v>163.80000000000001</v>
      </c>
      <c r="ED102" s="175">
        <f t="shared" si="241"/>
        <v>95</v>
      </c>
      <c r="EE102" s="175">
        <f t="shared" si="204"/>
        <v>68.800000000000011</v>
      </c>
      <c r="EF102" s="561"/>
      <c r="EG102" s="169">
        <v>100</v>
      </c>
      <c r="EH102" s="78">
        <f t="shared" si="205"/>
        <v>-152</v>
      </c>
      <c r="EI102" s="169">
        <v>740</v>
      </c>
      <c r="EJ102" s="169">
        <v>1500</v>
      </c>
      <c r="EK102" s="169"/>
      <c r="EL102" s="169"/>
      <c r="EM102" s="169"/>
      <c r="EN102" s="169"/>
      <c r="EO102" s="169">
        <v>1020</v>
      </c>
      <c r="EP102" s="169">
        <v>1690</v>
      </c>
      <c r="EQ102" s="175">
        <f t="shared" si="232"/>
        <v>10208</v>
      </c>
      <c r="ER102" s="2">
        <f t="shared" si="206"/>
        <v>9716</v>
      </c>
      <c r="ES102" s="262">
        <f t="shared" si="237"/>
        <v>0.95180250783699061</v>
      </c>
      <c r="ET102" s="262"/>
      <c r="EU102" s="262"/>
      <c r="EV102" s="262"/>
      <c r="EW102" s="598"/>
      <c r="EX102" s="598"/>
      <c r="EY102" s="1126"/>
      <c r="EZ102" s="598"/>
      <c r="FA102" s="598"/>
      <c r="FB102" s="598"/>
      <c r="FC102" s="598"/>
      <c r="FD102" s="598"/>
      <c r="FE102" s="979"/>
      <c r="FF102" s="1048"/>
      <c r="FG102" s="518"/>
      <c r="FH102" s="598"/>
      <c r="FI102" s="310">
        <f t="shared" si="207"/>
        <v>-670</v>
      </c>
      <c r="FJ102" s="2">
        <f t="shared" si="208"/>
        <v>-670</v>
      </c>
      <c r="FK102" s="273"/>
      <c r="FL102" s="519"/>
      <c r="FM102" s="518"/>
      <c r="FN102" s="518"/>
      <c r="FO102" s="518"/>
      <c r="FP102" s="518"/>
      <c r="FQ102" s="518"/>
      <c r="FR102" s="518"/>
      <c r="FS102" s="1049"/>
      <c r="FT102" s="310"/>
      <c r="FU102" s="518"/>
      <c r="FV102" s="518"/>
      <c r="FW102" s="518"/>
      <c r="FX102" s="518"/>
      <c r="FY102" s="518"/>
      <c r="FZ102" s="115"/>
      <c r="GA102" s="115"/>
      <c r="GB102" s="115"/>
      <c r="GC102" s="115"/>
      <c r="GD102" s="115"/>
      <c r="GE102" s="115"/>
      <c r="GF102" s="115"/>
      <c r="GG102" s="115"/>
      <c r="GH102" s="115"/>
      <c r="GI102" s="115"/>
      <c r="GJ102" s="115"/>
      <c r="GK102" s="1055">
        <f>DataUK4!X254+DataUK4!AH254</f>
        <v>-2750</v>
      </c>
      <c r="GL102" s="115"/>
      <c r="GM102" s="115"/>
      <c r="GN102" s="115"/>
      <c r="GO102" s="115"/>
      <c r="GP102" s="310">
        <f t="shared" si="209"/>
        <v>68.800000000000011</v>
      </c>
      <c r="GQ102" s="115"/>
      <c r="GR102" s="115"/>
      <c r="GS102" s="115"/>
      <c r="GT102" s="115"/>
      <c r="GU102" s="991">
        <f t="shared" si="225"/>
        <v>-2818.8</v>
      </c>
      <c r="GW102" s="1063">
        <f>DataUK4!D254+DataUK4!F254</f>
        <v>385.1</v>
      </c>
      <c r="GX102" s="115"/>
      <c r="GY102" s="615">
        <f t="shared" si="210"/>
        <v>323.1024767801859</v>
      </c>
      <c r="GZ102" s="115"/>
      <c r="HA102" s="115"/>
      <c r="HB102" s="115"/>
      <c r="HC102" s="1051"/>
      <c r="HD102" s="170">
        <f t="shared" si="147"/>
        <v>90</v>
      </c>
      <c r="HE102" s="301">
        <f t="shared" si="233"/>
        <v>280</v>
      </c>
      <c r="HF102" s="301">
        <f t="shared" si="234"/>
        <v>190</v>
      </c>
      <c r="HG102" s="170">
        <f t="shared" si="211"/>
        <v>0</v>
      </c>
      <c r="HH102" s="301">
        <v>0</v>
      </c>
      <c r="HI102" s="301">
        <v>0</v>
      </c>
      <c r="HJ102" s="2">
        <v>0</v>
      </c>
      <c r="HK102" s="2">
        <v>0</v>
      </c>
      <c r="HL102" s="2">
        <v>0</v>
      </c>
      <c r="HM102" s="2">
        <f t="shared" si="212"/>
        <v>0</v>
      </c>
      <c r="HN102" s="2">
        <v>0</v>
      </c>
      <c r="HO102" s="2">
        <v>0</v>
      </c>
      <c r="HP102" s="2">
        <v>0</v>
      </c>
      <c r="HQ102" s="2">
        <v>0</v>
      </c>
      <c r="HR102" s="2">
        <v>0</v>
      </c>
      <c r="HS102" s="1052">
        <v>0</v>
      </c>
      <c r="HT102" s="1002">
        <v>24.8</v>
      </c>
      <c r="HU102" s="1002">
        <f t="shared" si="213"/>
        <v>3.0302250803858519</v>
      </c>
      <c r="HV102" s="1002">
        <f t="shared" si="214"/>
        <v>3.5086816720257241</v>
      </c>
    </row>
    <row r="103" spans="1:230">
      <c r="A103" s="110">
        <f t="shared" si="228"/>
        <v>1944</v>
      </c>
      <c r="B103" s="176">
        <f t="shared" si="158"/>
        <v>9376</v>
      </c>
      <c r="C103" s="177">
        <f t="shared" si="145"/>
        <v>80</v>
      </c>
      <c r="D103" s="176">
        <f t="shared" si="159"/>
        <v>9296</v>
      </c>
      <c r="E103" s="154">
        <f t="shared" si="160"/>
        <v>9946</v>
      </c>
      <c r="F103" s="995">
        <f t="shared" si="161"/>
        <v>650</v>
      </c>
      <c r="G103" s="531">
        <f t="shared" si="162"/>
        <v>9702</v>
      </c>
      <c r="H103" s="531">
        <f t="shared" si="163"/>
        <v>9622</v>
      </c>
      <c r="I103" s="531">
        <f t="shared" si="164"/>
        <v>10272</v>
      </c>
      <c r="J103" s="548">
        <f t="shared" si="165"/>
        <v>0.96826323987538943</v>
      </c>
      <c r="K103" s="515">
        <f t="shared" si="215"/>
        <v>1212</v>
      </c>
      <c r="L103" s="175">
        <v>1466</v>
      </c>
      <c r="M103" s="175">
        <v>254</v>
      </c>
      <c r="N103" s="111"/>
      <c r="O103" s="111"/>
      <c r="P103" s="111"/>
      <c r="Q103" s="111"/>
      <c r="R103" s="111"/>
      <c r="S103" s="532">
        <f t="shared" si="229"/>
        <v>0.14845663890249877</v>
      </c>
      <c r="T103" s="1008">
        <f t="shared" si="166"/>
        <v>161.54</v>
      </c>
      <c r="U103" s="1010">
        <f t="shared" si="167"/>
        <v>161.54</v>
      </c>
      <c r="V103" s="511">
        <f t="shared" si="168"/>
        <v>261</v>
      </c>
      <c r="W103" s="2">
        <f>0.6*AR103</f>
        <v>261</v>
      </c>
      <c r="X103" s="169">
        <f t="shared" si="170"/>
        <v>99.460000000000008</v>
      </c>
      <c r="Y103" s="113">
        <f t="shared" si="171"/>
        <v>0.38107279693486595</v>
      </c>
      <c r="Z103" s="113">
        <f t="shared" si="172"/>
        <v>0.38107279693486595</v>
      </c>
      <c r="AA103" s="113"/>
      <c r="AB103" s="1019">
        <v>0.01</v>
      </c>
      <c r="AC103" s="113"/>
      <c r="AD103" s="113"/>
      <c r="AE103" s="113"/>
      <c r="AF103" s="113"/>
      <c r="AG103" s="113"/>
      <c r="AH103" s="113"/>
      <c r="AI103" s="113"/>
      <c r="AJ103" s="171">
        <f t="shared" si="173"/>
        <v>1266.0863912487782</v>
      </c>
      <c r="AK103" s="1026">
        <f t="shared" si="174"/>
        <v>410.4</v>
      </c>
      <c r="AL103" s="169">
        <f t="shared" si="175"/>
        <v>1332.722517103977</v>
      </c>
      <c r="AM103" s="169">
        <f t="shared" si="216"/>
        <v>432</v>
      </c>
      <c r="AN103" s="169">
        <f t="shared" si="176"/>
        <v>790.46387414480103</v>
      </c>
      <c r="AO103" s="1028">
        <f t="shared" si="239"/>
        <v>857.09999999999991</v>
      </c>
      <c r="AP103" s="169">
        <v>470</v>
      </c>
      <c r="AQ103" s="169">
        <v>35</v>
      </c>
      <c r="AR103" s="78">
        <f t="shared" si="217"/>
        <v>435</v>
      </c>
      <c r="AS103" s="169">
        <v>991</v>
      </c>
      <c r="AT103" s="169">
        <v>235</v>
      </c>
      <c r="AU103" s="169">
        <f t="shared" si="240"/>
        <v>756</v>
      </c>
      <c r="AV103" s="112"/>
      <c r="AW103" s="175">
        <f t="shared" si="143"/>
        <v>1388</v>
      </c>
      <c r="AX103" s="169">
        <v>1388</v>
      </c>
      <c r="AY103" s="169">
        <v>0</v>
      </c>
      <c r="AZ103" s="358">
        <v>134</v>
      </c>
      <c r="BA103" s="113">
        <f t="shared" si="219"/>
        <v>0.16087160062986766</v>
      </c>
      <c r="BB103" s="358"/>
      <c r="BC103" s="112"/>
      <c r="BD103" s="112"/>
      <c r="BE103" s="112"/>
      <c r="BF103" s="83"/>
      <c r="BG103" s="113"/>
      <c r="BH103" s="112"/>
      <c r="BI103" s="1031">
        <v>5751</v>
      </c>
      <c r="BJ103" s="2">
        <f t="shared" si="177"/>
        <v>5751</v>
      </c>
      <c r="BK103" s="169">
        <v>162</v>
      </c>
      <c r="BL103" s="169">
        <f t="shared" si="178"/>
        <v>432</v>
      </c>
      <c r="BM103" s="1031">
        <f t="shared" si="179"/>
        <v>475.62251710397715</v>
      </c>
      <c r="BN103" s="310">
        <f t="shared" si="180"/>
        <v>313.62251710397715</v>
      </c>
      <c r="BO103" s="262">
        <f t="shared" si="181"/>
        <v>8.4307153812372124E-2</v>
      </c>
      <c r="BP103" s="262">
        <f t="shared" si="182"/>
        <v>9.1414249146757665E-2</v>
      </c>
      <c r="BQ103" s="262">
        <f t="shared" si="183"/>
        <v>5.0727657540953194E-2</v>
      </c>
      <c r="BR103" s="262">
        <f t="shared" si="184"/>
        <v>8.2702576439571754E-2</v>
      </c>
      <c r="BS103" s="988">
        <f t="shared" si="185"/>
        <v>0.55492068265543948</v>
      </c>
      <c r="BT103" s="534">
        <f t="shared" si="186"/>
        <v>66.636125855198856</v>
      </c>
      <c r="BU103" s="534">
        <f t="shared" si="187"/>
        <v>21.6</v>
      </c>
      <c r="BV103" s="113">
        <v>0.05</v>
      </c>
      <c r="BW103" s="276">
        <f t="shared" si="188"/>
        <v>6.6997914594006487E-3</v>
      </c>
      <c r="BX103" s="272">
        <f t="shared" si="189"/>
        <v>166.09612585519886</v>
      </c>
      <c r="BY103" s="113"/>
      <c r="BZ103" s="1035"/>
      <c r="CA103" s="1038"/>
      <c r="CB103" s="2">
        <f t="shared" si="221"/>
        <v>8164</v>
      </c>
      <c r="CC103" s="2">
        <f t="shared" si="222"/>
        <v>9376</v>
      </c>
      <c r="CD103" s="310">
        <f t="shared" si="190"/>
        <v>9376</v>
      </c>
      <c r="CE103" s="310">
        <f t="shared" si="191"/>
        <v>9296</v>
      </c>
      <c r="CF103" s="598"/>
      <c r="CG103" s="598"/>
      <c r="CH103" s="598"/>
      <c r="CI103" s="577">
        <v>650</v>
      </c>
      <c r="CJ103" s="577"/>
      <c r="CK103" s="577"/>
      <c r="CL103" s="517">
        <f t="shared" si="192"/>
        <v>3622.7736087512217</v>
      </c>
      <c r="CM103" s="169">
        <f t="shared" si="193"/>
        <v>3972.6774828960229</v>
      </c>
      <c r="CN103" s="170">
        <f t="shared" si="194"/>
        <v>1730.9</v>
      </c>
      <c r="CO103" s="170">
        <f t="shared" si="195"/>
        <v>1730.9</v>
      </c>
      <c r="CP103" s="170">
        <f t="shared" si="196"/>
        <v>2241.7774828960228</v>
      </c>
      <c r="CQ103" s="170">
        <f t="shared" si="197"/>
        <v>349.90387414480108</v>
      </c>
      <c r="CR103" s="170"/>
      <c r="CS103" s="113">
        <f t="shared" si="198"/>
        <v>3.5180361365855728E-2</v>
      </c>
      <c r="CT103" s="112"/>
      <c r="CU103" s="112"/>
      <c r="CV103" s="112"/>
      <c r="CW103" s="112"/>
      <c r="CX103" s="112"/>
      <c r="CY103" s="112"/>
      <c r="CZ103" s="112"/>
      <c r="DA103" s="112"/>
      <c r="DB103" s="112"/>
      <c r="DC103" s="112"/>
      <c r="DD103" s="112"/>
      <c r="DE103" s="112"/>
      <c r="DF103" s="112"/>
      <c r="DG103" s="112"/>
      <c r="DH103" s="517">
        <f t="shared" si="227"/>
        <v>3033.6</v>
      </c>
      <c r="DI103" s="2">
        <f t="shared" si="199"/>
        <v>3167.6</v>
      </c>
      <c r="DJ103" s="169">
        <f t="shared" si="200"/>
        <v>3033.6</v>
      </c>
      <c r="DK103" s="169">
        <f t="shared" si="223"/>
        <v>134</v>
      </c>
      <c r="DL103" s="113">
        <f t="shared" si="201"/>
        <v>0.32354948805460748</v>
      </c>
      <c r="DM103" s="113">
        <f t="shared" si="202"/>
        <v>0.52749087115284299</v>
      </c>
      <c r="DN103" s="113">
        <v>0.6</v>
      </c>
      <c r="DO103" s="113"/>
      <c r="DP103" s="113"/>
      <c r="DQ103" s="272">
        <v>5056</v>
      </c>
      <c r="DR103" s="169"/>
      <c r="DS103" s="169"/>
      <c r="DT103" s="78">
        <f t="shared" si="235"/>
        <v>5056</v>
      </c>
      <c r="DU103" s="175">
        <f t="shared" si="236"/>
        <v>5756</v>
      </c>
      <c r="DV103" s="169">
        <v>5846</v>
      </c>
      <c r="DW103" s="170">
        <f t="shared" si="203"/>
        <v>190</v>
      </c>
      <c r="DX103" s="534">
        <f t="shared" si="230"/>
        <v>390</v>
      </c>
      <c r="DY103" s="534">
        <f t="shared" si="231"/>
        <v>253.5</v>
      </c>
      <c r="DZ103" s="113">
        <f t="shared" si="226"/>
        <v>1.3</v>
      </c>
      <c r="EA103" s="169">
        <v>300</v>
      </c>
      <c r="EB103" s="179">
        <f t="shared" si="238"/>
        <v>195</v>
      </c>
      <c r="EC103" s="561">
        <f t="shared" si="218"/>
        <v>136.5</v>
      </c>
      <c r="ED103" s="175">
        <f t="shared" si="241"/>
        <v>112</v>
      </c>
      <c r="EE103" s="175">
        <f t="shared" si="204"/>
        <v>24.5</v>
      </c>
      <c r="EF103" s="561"/>
      <c r="EG103" s="169">
        <v>-200</v>
      </c>
      <c r="EH103" s="78">
        <f t="shared" si="205"/>
        <v>-260</v>
      </c>
      <c r="EI103" s="169">
        <v>970</v>
      </c>
      <c r="EJ103" s="169">
        <v>1700</v>
      </c>
      <c r="EK103" s="169"/>
      <c r="EL103" s="169"/>
      <c r="EM103" s="169"/>
      <c r="EN103" s="169"/>
      <c r="EO103" s="169">
        <v>1260</v>
      </c>
      <c r="EP103" s="169">
        <v>1910</v>
      </c>
      <c r="EQ103" s="175">
        <f t="shared" si="232"/>
        <v>10272</v>
      </c>
      <c r="ER103" s="2">
        <f t="shared" si="206"/>
        <v>9946</v>
      </c>
      <c r="ES103" s="262">
        <f t="shared" si="237"/>
        <v>0.96826323987538943</v>
      </c>
      <c r="ET103" s="262"/>
      <c r="EU103" s="262"/>
      <c r="EV103" s="262"/>
      <c r="EW103" s="598"/>
      <c r="EX103" s="598"/>
      <c r="EY103" s="1126"/>
      <c r="EZ103" s="598"/>
      <c r="FA103" s="598"/>
      <c r="FB103" s="598"/>
      <c r="FC103" s="598"/>
      <c r="FD103" s="598"/>
      <c r="FE103" s="979"/>
      <c r="FF103" s="1048"/>
      <c r="FG103" s="518"/>
      <c r="FH103" s="598"/>
      <c r="FI103" s="310">
        <f t="shared" si="207"/>
        <v>-650</v>
      </c>
      <c r="FJ103" s="2">
        <f t="shared" si="208"/>
        <v>-650</v>
      </c>
      <c r="FK103" s="273"/>
      <c r="FL103" s="519"/>
      <c r="FM103" s="518"/>
      <c r="FN103" s="518"/>
      <c r="FO103" s="518"/>
      <c r="FP103" s="518"/>
      <c r="FQ103" s="518"/>
      <c r="FR103" s="518"/>
      <c r="FS103" s="1049"/>
      <c r="FT103" s="310"/>
      <c r="FU103" s="518"/>
      <c r="FV103" s="518"/>
      <c r="FW103" s="518"/>
      <c r="FX103" s="518"/>
      <c r="FY103" s="518"/>
      <c r="FZ103" s="115"/>
      <c r="GA103" s="115"/>
      <c r="GB103" s="115"/>
      <c r="GC103" s="115"/>
      <c r="GD103" s="115"/>
      <c r="GE103" s="115"/>
      <c r="GF103" s="115"/>
      <c r="GG103" s="115"/>
      <c r="GH103" s="115"/>
      <c r="GI103" s="115"/>
      <c r="GJ103" s="115"/>
      <c r="GK103" s="1055">
        <f>DataUK4!X255+DataUK4!AH255</f>
        <v>-2819</v>
      </c>
      <c r="GL103" s="115"/>
      <c r="GM103" s="115"/>
      <c r="GN103" s="115"/>
      <c r="GO103" s="115"/>
      <c r="GP103" s="310">
        <f t="shared" si="209"/>
        <v>24.5</v>
      </c>
      <c r="GQ103" s="115"/>
      <c r="GR103" s="115"/>
      <c r="GS103" s="115"/>
      <c r="GT103" s="115"/>
      <c r="GU103" s="991">
        <f t="shared" si="225"/>
        <v>-2843.5</v>
      </c>
      <c r="GW103" s="1063">
        <f>DataUK4!D255+DataUK4!F255</f>
        <v>434.9</v>
      </c>
      <c r="GX103" s="115"/>
      <c r="GY103" s="615">
        <f t="shared" si="210"/>
        <v>364.88513931888554</v>
      </c>
      <c r="GZ103" s="115"/>
      <c r="HA103" s="115"/>
      <c r="HB103" s="115"/>
      <c r="HC103" s="1051"/>
      <c r="HD103" s="170">
        <f t="shared" si="147"/>
        <v>80</v>
      </c>
      <c r="HE103" s="301">
        <f t="shared" si="233"/>
        <v>290</v>
      </c>
      <c r="HF103" s="301">
        <f t="shared" si="234"/>
        <v>210</v>
      </c>
      <c r="HG103" s="170">
        <f t="shared" si="211"/>
        <v>0</v>
      </c>
      <c r="HH103" s="301">
        <v>0</v>
      </c>
      <c r="HI103" s="301">
        <v>0</v>
      </c>
      <c r="HJ103" s="2">
        <v>0</v>
      </c>
      <c r="HK103" s="2">
        <v>0</v>
      </c>
      <c r="HL103" s="2">
        <v>0</v>
      </c>
      <c r="HM103" s="2">
        <f t="shared" si="212"/>
        <v>0</v>
      </c>
      <c r="HN103" s="2">
        <v>0</v>
      </c>
      <c r="HO103" s="2">
        <v>0</v>
      </c>
      <c r="HP103" s="2">
        <v>0</v>
      </c>
      <c r="HQ103" s="2">
        <v>0</v>
      </c>
      <c r="HR103" s="2">
        <v>0</v>
      </c>
      <c r="HS103" s="1052">
        <v>0</v>
      </c>
      <c r="HT103" s="1002">
        <v>25.5</v>
      </c>
      <c r="HU103" s="1002">
        <f t="shared" si="213"/>
        <v>3.115755627009646</v>
      </c>
      <c r="HV103" s="1002">
        <f t="shared" si="214"/>
        <v>3.607717041800643</v>
      </c>
    </row>
    <row r="104" spans="1:230">
      <c r="A104" s="110">
        <f t="shared" si="228"/>
        <v>1945</v>
      </c>
      <c r="B104" s="176">
        <f t="shared" si="158"/>
        <v>9434</v>
      </c>
      <c r="C104" s="177">
        <f t="shared" si="145"/>
        <v>80</v>
      </c>
      <c r="D104" s="176">
        <f t="shared" si="159"/>
        <v>9354</v>
      </c>
      <c r="E104" s="154">
        <f t="shared" si="160"/>
        <v>9994</v>
      </c>
      <c r="F104" s="995">
        <f t="shared" si="161"/>
        <v>640</v>
      </c>
      <c r="G104" s="531">
        <f t="shared" si="162"/>
        <v>9271</v>
      </c>
      <c r="H104" s="531">
        <f t="shared" si="163"/>
        <v>9191</v>
      </c>
      <c r="I104" s="531">
        <f t="shared" si="164"/>
        <v>9831</v>
      </c>
      <c r="J104" s="548">
        <f t="shared" si="165"/>
        <v>1.0165802054724851</v>
      </c>
      <c r="K104" s="178">
        <f t="shared" si="215"/>
        <v>1157</v>
      </c>
      <c r="L104" s="175">
        <v>1453</v>
      </c>
      <c r="M104" s="175">
        <v>296</v>
      </c>
      <c r="N104" s="117"/>
      <c r="O104" s="111"/>
      <c r="P104" s="111"/>
      <c r="Q104" s="111"/>
      <c r="R104" s="111"/>
      <c r="S104" s="532">
        <f t="shared" si="229"/>
        <v>0.13978494623655913</v>
      </c>
      <c r="T104" s="1008">
        <f t="shared" si="166"/>
        <v>103.56000000000003</v>
      </c>
      <c r="U104" s="1010">
        <f t="shared" si="167"/>
        <v>103.56000000000003</v>
      </c>
      <c r="V104" s="511">
        <f t="shared" si="168"/>
        <v>203.50000000000003</v>
      </c>
      <c r="W104" s="2">
        <f>0.55*AR104</f>
        <v>203.50000000000003</v>
      </c>
      <c r="X104" s="169">
        <f t="shared" si="170"/>
        <v>99.94</v>
      </c>
      <c r="Y104" s="113">
        <f t="shared" si="171"/>
        <v>0.49110565110565102</v>
      </c>
      <c r="Z104" s="113">
        <f t="shared" si="172"/>
        <v>0.49110565110565102</v>
      </c>
      <c r="AA104" s="113"/>
      <c r="AB104" s="1019">
        <v>0.01</v>
      </c>
      <c r="AC104" s="113"/>
      <c r="AD104" s="113"/>
      <c r="AE104" s="113"/>
      <c r="AF104" s="113"/>
      <c r="AG104" s="113"/>
      <c r="AH104" s="113"/>
      <c r="AI104" s="113"/>
      <c r="AJ104" s="171">
        <f t="shared" si="173"/>
        <v>1317.0735362002856</v>
      </c>
      <c r="AK104" s="1026">
        <f t="shared" si="174"/>
        <v>415.15</v>
      </c>
      <c r="AL104" s="169">
        <f t="shared" si="175"/>
        <v>1386.3931960003006</v>
      </c>
      <c r="AM104" s="169">
        <f t="shared" si="216"/>
        <v>437</v>
      </c>
      <c r="AN104" s="169">
        <f t="shared" si="176"/>
        <v>822.29700686665149</v>
      </c>
      <c r="AO104" s="1028">
        <f t="shared" si="239"/>
        <v>891.61666666666656</v>
      </c>
      <c r="AP104" s="169">
        <v>405</v>
      </c>
      <c r="AQ104" s="169">
        <v>35</v>
      </c>
      <c r="AR104" s="78">
        <f t="shared" si="217"/>
        <v>370</v>
      </c>
      <c r="AS104" s="169">
        <v>1074</v>
      </c>
      <c r="AT104" s="169">
        <v>227</v>
      </c>
      <c r="AU104" s="169">
        <f t="shared" si="240"/>
        <v>847</v>
      </c>
      <c r="AV104" s="112"/>
      <c r="AW104" s="175">
        <f t="shared" si="143"/>
        <v>1350</v>
      </c>
      <c r="AX104" s="169">
        <v>1350</v>
      </c>
      <c r="AY104" s="169">
        <v>0</v>
      </c>
      <c r="AZ104" s="358">
        <v>119</v>
      </c>
      <c r="BA104" s="113">
        <f t="shared" si="219"/>
        <v>0.1569390402075227</v>
      </c>
      <c r="BB104" s="358"/>
      <c r="BC104" s="112"/>
      <c r="BD104" s="112"/>
      <c r="BE104" s="112"/>
      <c r="BF104" s="83"/>
      <c r="BG104" s="113"/>
      <c r="BH104" s="112"/>
      <c r="BI104" s="1032">
        <v>5889</v>
      </c>
      <c r="BJ104" s="2">
        <f t="shared" si="177"/>
        <v>5889</v>
      </c>
      <c r="BK104" s="169">
        <v>175</v>
      </c>
      <c r="BL104" s="169">
        <f t="shared" si="178"/>
        <v>437</v>
      </c>
      <c r="BM104" s="1031">
        <f t="shared" si="179"/>
        <v>494.77652933363402</v>
      </c>
      <c r="BN104" s="310">
        <f t="shared" si="180"/>
        <v>319.77652933363402</v>
      </c>
      <c r="BO104" s="262">
        <f t="shared" si="181"/>
        <v>8.716313407532876E-2</v>
      </c>
      <c r="BP104" s="262">
        <f t="shared" si="182"/>
        <v>9.4510988622712164E-2</v>
      </c>
      <c r="BQ104" s="262">
        <f t="shared" si="183"/>
        <v>5.2446102324955904E-2</v>
      </c>
      <c r="BR104" s="262">
        <f t="shared" si="184"/>
        <v>8.401707069683037E-2</v>
      </c>
      <c r="BS104" s="988">
        <f t="shared" si="185"/>
        <v>0.55492068265543948</v>
      </c>
      <c r="BT104" s="534">
        <f t="shared" si="186"/>
        <v>69.319659800015032</v>
      </c>
      <c r="BU104" s="534">
        <f t="shared" si="187"/>
        <v>21.85</v>
      </c>
      <c r="BV104" s="113">
        <v>0.05</v>
      </c>
      <c r="BW104" s="276">
        <f t="shared" si="188"/>
        <v>6.9361276565954606E-3</v>
      </c>
      <c r="BX104" s="272">
        <f t="shared" si="189"/>
        <v>169.25965980001502</v>
      </c>
      <c r="BY104" s="113"/>
      <c r="BZ104" s="1013"/>
      <c r="CA104" s="1005"/>
      <c r="CB104" s="2">
        <f t="shared" si="221"/>
        <v>8277</v>
      </c>
      <c r="CC104" s="2">
        <f t="shared" si="222"/>
        <v>9434</v>
      </c>
      <c r="CD104" s="310">
        <f t="shared" si="190"/>
        <v>9434</v>
      </c>
      <c r="CE104" s="310">
        <f t="shared" si="191"/>
        <v>9354</v>
      </c>
      <c r="CF104" s="83"/>
      <c r="CG104" s="83"/>
      <c r="CH104" s="83"/>
      <c r="CI104" s="358">
        <v>640</v>
      </c>
      <c r="CJ104" s="358"/>
      <c r="CK104" s="358"/>
      <c r="CL104" s="171">
        <f t="shared" si="192"/>
        <v>4262.3664637997144</v>
      </c>
      <c r="CM104" s="169">
        <f t="shared" si="193"/>
        <v>4614.106803999699</v>
      </c>
      <c r="CN104" s="170">
        <f t="shared" si="194"/>
        <v>1733.8833333333334</v>
      </c>
      <c r="CO104" s="170">
        <f t="shared" si="195"/>
        <v>1733.8833333333334</v>
      </c>
      <c r="CP104" s="170">
        <f t="shared" si="196"/>
        <v>2880.2234706663658</v>
      </c>
      <c r="CQ104" s="170">
        <f t="shared" si="197"/>
        <v>351.74034019998493</v>
      </c>
      <c r="CR104" s="170"/>
      <c r="CS104" s="113">
        <f t="shared" si="198"/>
        <v>3.5195151110664895E-2</v>
      </c>
      <c r="CT104" s="112"/>
      <c r="CU104" s="112"/>
      <c r="CV104" s="112"/>
      <c r="CW104" s="112"/>
      <c r="CX104" s="112"/>
      <c r="CY104" s="112"/>
      <c r="CZ104" s="112"/>
      <c r="DA104" s="112"/>
      <c r="DB104" s="112"/>
      <c r="DC104" s="112"/>
      <c r="DD104" s="112"/>
      <c r="DE104" s="112"/>
      <c r="DF104" s="112"/>
      <c r="DG104" s="112"/>
      <c r="DH104" s="171">
        <f t="shared" si="227"/>
        <v>2514</v>
      </c>
      <c r="DI104" s="2">
        <f t="shared" si="199"/>
        <v>2633</v>
      </c>
      <c r="DJ104" s="169">
        <f t="shared" si="200"/>
        <v>2514</v>
      </c>
      <c r="DK104" s="169">
        <f t="shared" si="223"/>
        <v>119</v>
      </c>
      <c r="DL104" s="113">
        <f t="shared" si="201"/>
        <v>0.26648293406826373</v>
      </c>
      <c r="DM104" s="113">
        <f t="shared" si="202"/>
        <v>0.42689760570555274</v>
      </c>
      <c r="DN104" s="113">
        <v>0.6</v>
      </c>
      <c r="DO104" s="113"/>
      <c r="DP104" s="113"/>
      <c r="DQ104" s="272">
        <v>4190</v>
      </c>
      <c r="DR104" s="169"/>
      <c r="DS104" s="169"/>
      <c r="DT104" s="78">
        <f t="shared" si="235"/>
        <v>4190</v>
      </c>
      <c r="DU104" s="175">
        <f t="shared" si="236"/>
        <v>6286</v>
      </c>
      <c r="DV104" s="169">
        <v>6391</v>
      </c>
      <c r="DW104" s="170">
        <f t="shared" si="203"/>
        <v>255</v>
      </c>
      <c r="DX104" s="534">
        <f t="shared" si="230"/>
        <v>455</v>
      </c>
      <c r="DY104" s="534">
        <f t="shared" si="231"/>
        <v>295.75</v>
      </c>
      <c r="DZ104" s="113">
        <f t="shared" si="226"/>
        <v>1.3</v>
      </c>
      <c r="EA104" s="169">
        <v>350</v>
      </c>
      <c r="EB104" s="179">
        <f t="shared" si="238"/>
        <v>227.5</v>
      </c>
      <c r="EC104" s="561">
        <f t="shared" si="218"/>
        <v>159.25</v>
      </c>
      <c r="ED104" s="175">
        <f t="shared" si="241"/>
        <v>129</v>
      </c>
      <c r="EE104" s="175">
        <f t="shared" si="204"/>
        <v>30.25</v>
      </c>
      <c r="EF104" s="561"/>
      <c r="EG104" s="169">
        <v>-200</v>
      </c>
      <c r="EH104" s="78">
        <f t="shared" si="205"/>
        <v>-185</v>
      </c>
      <c r="EI104" s="169">
        <v>800</v>
      </c>
      <c r="EJ104" s="169">
        <v>1700</v>
      </c>
      <c r="EK104" s="169"/>
      <c r="EL104" s="169"/>
      <c r="EM104" s="169"/>
      <c r="EN104" s="169"/>
      <c r="EO104" s="169">
        <v>1110</v>
      </c>
      <c r="EP104" s="169">
        <v>1930</v>
      </c>
      <c r="EQ104" s="175">
        <f t="shared" si="232"/>
        <v>9831</v>
      </c>
      <c r="ER104" s="2">
        <f t="shared" si="206"/>
        <v>9994</v>
      </c>
      <c r="ES104" s="262">
        <f t="shared" si="237"/>
        <v>1.0165802054724851</v>
      </c>
      <c r="ET104" s="262"/>
      <c r="EU104" s="262"/>
      <c r="EV104" s="262"/>
      <c r="EW104" s="83"/>
      <c r="EX104" s="83"/>
      <c r="EY104" s="108"/>
      <c r="EZ104" s="83"/>
      <c r="FA104" s="83"/>
      <c r="FB104" s="83"/>
      <c r="FC104" s="83"/>
      <c r="FD104" s="83"/>
      <c r="FE104" s="84"/>
      <c r="FF104" s="1050"/>
      <c r="FG104" s="115"/>
      <c r="FH104" s="83"/>
      <c r="FI104" s="310">
        <f>FJ104</f>
        <v>-820</v>
      </c>
      <c r="FJ104" s="2">
        <f t="shared" si="208"/>
        <v>-820</v>
      </c>
      <c r="FK104" s="273"/>
      <c r="FL104" s="310"/>
      <c r="FM104" s="115"/>
      <c r="FN104" s="115"/>
      <c r="FO104" s="115"/>
      <c r="FP104" s="115"/>
      <c r="FQ104" s="115"/>
      <c r="FR104" s="115"/>
      <c r="FS104" s="1051"/>
      <c r="FT104" s="310"/>
      <c r="FU104" s="115"/>
      <c r="FV104" s="115"/>
      <c r="FW104" s="115"/>
      <c r="FX104" s="115"/>
      <c r="FY104" s="115"/>
      <c r="FZ104" s="115"/>
      <c r="GA104" s="115"/>
      <c r="GB104" s="115"/>
      <c r="GC104" s="115"/>
      <c r="GD104" s="115"/>
      <c r="GE104" s="115"/>
      <c r="GF104" s="115"/>
      <c r="GG104" s="115"/>
      <c r="GH104" s="115"/>
      <c r="GI104" s="115"/>
      <c r="GJ104" s="115"/>
      <c r="GK104" s="1055">
        <f>DataUK4!X256+DataUK4!AH256</f>
        <v>-2191</v>
      </c>
      <c r="GL104" s="115"/>
      <c r="GM104" s="115"/>
      <c r="GN104" s="115"/>
      <c r="GO104" s="115"/>
      <c r="GP104" s="310">
        <f t="shared" si="209"/>
        <v>30.25</v>
      </c>
      <c r="GQ104" s="115"/>
      <c r="GR104" s="115"/>
      <c r="GS104" s="115"/>
      <c r="GT104" s="115"/>
      <c r="GU104" s="991">
        <f t="shared" si="225"/>
        <v>-2221.25</v>
      </c>
      <c r="GW104" s="1063">
        <f>DataUK4!D256+DataUK4!F256</f>
        <v>474.9</v>
      </c>
      <c r="GX104" s="115"/>
      <c r="GY104" s="615">
        <f t="shared" si="210"/>
        <v>398.44551083591341</v>
      </c>
      <c r="GZ104" s="115"/>
      <c r="HA104" s="115"/>
      <c r="HB104" s="115"/>
      <c r="HC104" s="1051"/>
      <c r="HD104" s="170">
        <f t="shared" si="147"/>
        <v>80</v>
      </c>
      <c r="HE104" s="301">
        <f t="shared" si="233"/>
        <v>310</v>
      </c>
      <c r="HF104" s="301">
        <f t="shared" si="234"/>
        <v>230</v>
      </c>
      <c r="HG104" s="170">
        <f>HH104-HI104</f>
        <v>0</v>
      </c>
      <c r="HH104" s="301">
        <v>0</v>
      </c>
      <c r="HI104" s="301">
        <v>0</v>
      </c>
      <c r="HJ104" s="2">
        <v>0</v>
      </c>
      <c r="HK104" s="2">
        <v>0</v>
      </c>
      <c r="HL104" s="2">
        <v>0</v>
      </c>
      <c r="HM104" s="2">
        <f t="shared" si="212"/>
        <v>0</v>
      </c>
      <c r="HN104" s="2">
        <v>0</v>
      </c>
      <c r="HO104" s="2">
        <v>0</v>
      </c>
      <c r="HP104" s="2">
        <v>0</v>
      </c>
      <c r="HQ104" s="2">
        <v>0</v>
      </c>
      <c r="HR104" s="2">
        <v>0</v>
      </c>
      <c r="HS104" s="1052">
        <v>0</v>
      </c>
      <c r="HT104" s="1002">
        <v>26.2</v>
      </c>
      <c r="HU104" s="1002">
        <f t="shared" si="213"/>
        <v>3.2012861736334401</v>
      </c>
      <c r="HV104" s="1002">
        <f t="shared" si="214"/>
        <v>3.7067524115755628</v>
      </c>
    </row>
    <row r="105" spans="1:230">
      <c r="A105" s="110">
        <f t="shared" si="228"/>
        <v>1946</v>
      </c>
      <c r="B105" s="176">
        <f t="shared" si="158"/>
        <v>9257</v>
      </c>
      <c r="C105" s="177">
        <f t="shared" si="145"/>
        <v>56</v>
      </c>
      <c r="D105" s="176">
        <f t="shared" si="159"/>
        <v>9201</v>
      </c>
      <c r="E105" s="154">
        <f t="shared" si="160"/>
        <v>9891</v>
      </c>
      <c r="F105" s="995">
        <f t="shared" si="161"/>
        <v>690</v>
      </c>
      <c r="G105" s="531">
        <f t="shared" si="162"/>
        <v>9387</v>
      </c>
      <c r="H105" s="531">
        <f t="shared" si="163"/>
        <v>9331</v>
      </c>
      <c r="I105" s="531">
        <f t="shared" si="164"/>
        <v>10021</v>
      </c>
      <c r="J105" s="548">
        <f t="shared" si="165"/>
        <v>0.98702724279014076</v>
      </c>
      <c r="K105" s="178">
        <f t="shared" ref="K105:K136" si="242">L105-M105</f>
        <v>959</v>
      </c>
      <c r="L105" s="2">
        <v>1345</v>
      </c>
      <c r="M105" s="2">
        <v>386</v>
      </c>
      <c r="N105" s="2">
        <v>759</v>
      </c>
      <c r="O105" s="170">
        <f>P105+Q105+R105</f>
        <v>200</v>
      </c>
      <c r="P105" s="175">
        <v>0</v>
      </c>
      <c r="Q105" s="175">
        <f t="shared" ref="Q105:Q145" si="243">K105-N105-R105</f>
        <v>200</v>
      </c>
      <c r="R105" s="175">
        <f>DO105-DP105</f>
        <v>0</v>
      </c>
      <c r="S105" s="532">
        <f t="shared" si="229"/>
        <v>0.11557001687153531</v>
      </c>
      <c r="T105" s="1008">
        <f t="shared" si="166"/>
        <v>117.79000000000002</v>
      </c>
      <c r="U105" s="1010">
        <f t="shared" si="167"/>
        <v>117.79000000000002</v>
      </c>
      <c r="V105" s="511">
        <f t="shared" si="168"/>
        <v>216.70000000000002</v>
      </c>
      <c r="W105" s="2">
        <f>0.55*AR105</f>
        <v>216.70000000000002</v>
      </c>
      <c r="X105" s="169">
        <f t="shared" si="170"/>
        <v>98.91</v>
      </c>
      <c r="Y105" s="113">
        <f t="shared" si="171"/>
        <v>0.45643747115828331</v>
      </c>
      <c r="Z105" s="113">
        <f t="shared" si="172"/>
        <v>0.45643747115828331</v>
      </c>
      <c r="AA105" s="113"/>
      <c r="AB105" s="1019">
        <v>0.01</v>
      </c>
      <c r="AC105" s="113"/>
      <c r="AD105" s="113"/>
      <c r="AE105" s="113"/>
      <c r="AF105" s="113"/>
      <c r="AG105" s="113"/>
      <c r="AH105" s="113"/>
      <c r="AI105" s="113"/>
      <c r="AJ105" s="171">
        <f t="shared" si="173"/>
        <v>1368.060681151793</v>
      </c>
      <c r="AK105" s="1026">
        <f t="shared" si="174"/>
        <v>441.75</v>
      </c>
      <c r="AL105" s="169">
        <f t="shared" si="175"/>
        <v>1440.0638748966242</v>
      </c>
      <c r="AM105" s="169">
        <f t="shared" si="216"/>
        <v>465</v>
      </c>
      <c r="AN105" s="169">
        <f t="shared" si="176"/>
        <v>854.13013958850206</v>
      </c>
      <c r="AO105" s="1028">
        <f t="shared" si="239"/>
        <v>926.13333333333321</v>
      </c>
      <c r="AP105" s="169">
        <v>429</v>
      </c>
      <c r="AQ105" s="169">
        <v>35</v>
      </c>
      <c r="AR105" s="78">
        <f t="shared" si="217"/>
        <v>394</v>
      </c>
      <c r="AS105" s="169">
        <v>1126</v>
      </c>
      <c r="AT105" s="169">
        <v>233</v>
      </c>
      <c r="AU105" s="169">
        <f t="shared" si="240"/>
        <v>893</v>
      </c>
      <c r="AV105" s="112"/>
      <c r="AW105" s="175">
        <f t="shared" si="143"/>
        <v>1496</v>
      </c>
      <c r="AX105" s="169">
        <v>1476</v>
      </c>
      <c r="AY105" s="169">
        <v>20</v>
      </c>
      <c r="AZ105" s="358">
        <v>86</v>
      </c>
      <c r="BA105" s="113">
        <f t="shared" si="219"/>
        <v>0.13545490398325394</v>
      </c>
      <c r="BB105" s="358"/>
      <c r="BC105" s="112"/>
      <c r="BD105" s="112"/>
      <c r="BE105" s="112"/>
      <c r="BF105" s="170">
        <v>247</v>
      </c>
      <c r="BG105" s="113">
        <f>BF105/AR105</f>
        <v>0.62690355329949243</v>
      </c>
      <c r="BH105" s="112"/>
      <c r="BI105" s="273">
        <v>5775</v>
      </c>
      <c r="BJ105" s="2">
        <f t="shared" si="177"/>
        <v>5795</v>
      </c>
      <c r="BK105" s="169">
        <v>197</v>
      </c>
      <c r="BL105" s="169">
        <f t="shared" si="178"/>
        <v>465</v>
      </c>
      <c r="BM105" s="1031">
        <f t="shared" si="179"/>
        <v>513.93054156329094</v>
      </c>
      <c r="BN105" s="310">
        <f t="shared" si="180"/>
        <v>316.93054156329094</v>
      </c>
      <c r="BO105" s="262">
        <f t="shared" si="181"/>
        <v>9.226856860629816E-2</v>
      </c>
      <c r="BP105" s="262">
        <f t="shared" si="182"/>
        <v>0.10004681142198696</v>
      </c>
      <c r="BQ105" s="262">
        <f t="shared" si="183"/>
        <v>5.551804489178902E-2</v>
      </c>
      <c r="BR105" s="262">
        <f t="shared" si="184"/>
        <v>8.8992301569401036E-2</v>
      </c>
      <c r="BS105" s="988">
        <f t="shared" si="185"/>
        <v>0.55492068265543948</v>
      </c>
      <c r="BT105" s="534">
        <f t="shared" si="186"/>
        <v>72.003193744831208</v>
      </c>
      <c r="BU105" s="534">
        <f t="shared" si="187"/>
        <v>23.25</v>
      </c>
      <c r="BV105" s="113">
        <v>0.05</v>
      </c>
      <c r="BW105" s="276">
        <f t="shared" si="188"/>
        <v>7.2796677529907193E-3</v>
      </c>
      <c r="BX105" s="272">
        <f t="shared" si="189"/>
        <v>170.9131937448312</v>
      </c>
      <c r="BY105" s="113"/>
      <c r="BZ105" s="1013"/>
      <c r="CA105" s="1005"/>
      <c r="CB105" s="2">
        <f t="shared" si="221"/>
        <v>8298</v>
      </c>
      <c r="CC105" s="2">
        <f t="shared" si="222"/>
        <v>9257</v>
      </c>
      <c r="CD105" s="310">
        <f t="shared" si="190"/>
        <v>9257</v>
      </c>
      <c r="CE105" s="310">
        <f t="shared" si="191"/>
        <v>9201</v>
      </c>
      <c r="CF105" s="2"/>
      <c r="CG105" s="2"/>
      <c r="CH105" s="2"/>
      <c r="CI105" s="2">
        <v>690</v>
      </c>
      <c r="CJ105" s="2"/>
      <c r="CK105" s="2"/>
      <c r="CL105" s="171">
        <f t="shared" si="192"/>
        <v>5361.7493188482076</v>
      </c>
      <c r="CM105" s="169">
        <f t="shared" si="193"/>
        <v>5794.8361251033766</v>
      </c>
      <c r="CN105" s="170">
        <f t="shared" si="194"/>
        <v>1908.166666666667</v>
      </c>
      <c r="CO105" s="170">
        <f t="shared" si="195"/>
        <v>1908.166666666667</v>
      </c>
      <c r="CP105" s="170">
        <f t="shared" si="196"/>
        <v>3886.6694584367096</v>
      </c>
      <c r="CQ105" s="170">
        <f t="shared" si="197"/>
        <v>433.08680625516877</v>
      </c>
      <c r="CR105" s="170"/>
      <c r="CS105" s="113">
        <f t="shared" si="198"/>
        <v>4.3785947452751869E-2</v>
      </c>
      <c r="CT105" s="112"/>
      <c r="CU105" s="112"/>
      <c r="CV105" s="112"/>
      <c r="CW105" s="112"/>
      <c r="CX105" s="112"/>
      <c r="CY105" s="112"/>
      <c r="CZ105" s="112"/>
      <c r="DA105" s="112"/>
      <c r="DB105" s="112"/>
      <c r="DC105" s="169"/>
      <c r="DD105" s="2">
        <v>164</v>
      </c>
      <c r="DE105" s="169"/>
      <c r="DF105" s="112"/>
      <c r="DG105" s="112"/>
      <c r="DH105" s="171">
        <f t="shared" si="227"/>
        <v>1394.3999999999999</v>
      </c>
      <c r="DI105" s="2">
        <f>DJ105+DK105</f>
        <v>1480.3999999999999</v>
      </c>
      <c r="DJ105" s="169">
        <f t="shared" ref="DJ105:DJ121" si="244">DN105*DT105</f>
        <v>1394.3999999999999</v>
      </c>
      <c r="DK105" s="169">
        <f t="shared" si="223"/>
        <v>86</v>
      </c>
      <c r="DL105" s="113">
        <f t="shared" si="201"/>
        <v>0.15063195419682401</v>
      </c>
      <c r="DM105" s="113">
        <f t="shared" si="202"/>
        <v>0.24062122519413284</v>
      </c>
      <c r="DN105" s="113">
        <v>0.6</v>
      </c>
      <c r="DO105" s="113"/>
      <c r="DP105" s="113"/>
      <c r="DQ105" s="272">
        <v>2282</v>
      </c>
      <c r="DR105" s="2">
        <v>1831</v>
      </c>
      <c r="DS105" s="2">
        <v>493</v>
      </c>
      <c r="DT105" s="169">
        <f t="shared" ref="DT105:DT136" si="245">DR105+DS105</f>
        <v>2324</v>
      </c>
      <c r="DU105" s="175">
        <f t="shared" si="236"/>
        <v>6995.5</v>
      </c>
      <c r="DV105" s="170">
        <v>7273</v>
      </c>
      <c r="DW105" s="170">
        <f t="shared" si="203"/>
        <v>1076.5</v>
      </c>
      <c r="DX105" s="534">
        <f t="shared" si="230"/>
        <v>1202.5</v>
      </c>
      <c r="DY105" s="534">
        <f t="shared" si="231"/>
        <v>781.625</v>
      </c>
      <c r="DZ105" s="113">
        <f t="shared" si="226"/>
        <v>1.3</v>
      </c>
      <c r="EA105" s="170">
        <v>925</v>
      </c>
      <c r="EB105" s="179">
        <f t="shared" si="238"/>
        <v>601.25</v>
      </c>
      <c r="EC105" s="561">
        <f t="shared" si="218"/>
        <v>420.875</v>
      </c>
      <c r="ED105" s="175">
        <f t="shared" si="241"/>
        <v>146</v>
      </c>
      <c r="EE105" s="175">
        <f t="shared" si="204"/>
        <v>274.875</v>
      </c>
      <c r="EF105" s="561"/>
      <c r="EG105" s="170">
        <v>-126</v>
      </c>
      <c r="EH105" s="78">
        <f t="shared" si="205"/>
        <v>512.5</v>
      </c>
      <c r="EI105" s="2">
        <v>1425</v>
      </c>
      <c r="EJ105" s="2">
        <v>1800</v>
      </c>
      <c r="EK105" s="2"/>
      <c r="EL105" s="2"/>
      <c r="EM105" s="2"/>
      <c r="EN105" s="2"/>
      <c r="EO105" s="2">
        <v>1775</v>
      </c>
      <c r="EP105" s="2">
        <v>2085</v>
      </c>
      <c r="EQ105" s="175">
        <f t="shared" si="232"/>
        <v>10021</v>
      </c>
      <c r="ER105" s="2">
        <f t="shared" si="206"/>
        <v>9891</v>
      </c>
      <c r="ES105" s="262">
        <f t="shared" si="237"/>
        <v>0.98702724279014076</v>
      </c>
      <c r="ET105" s="262"/>
      <c r="EU105" s="262"/>
      <c r="EV105" s="262"/>
      <c r="EW105" s="2"/>
      <c r="EX105" s="2"/>
      <c r="EY105" s="273"/>
      <c r="EZ105" s="2"/>
      <c r="FA105" s="2"/>
      <c r="FB105" s="2"/>
      <c r="FC105" s="2"/>
      <c r="FD105" s="2">
        <v>269</v>
      </c>
      <c r="FE105" s="1052">
        <v>710</v>
      </c>
      <c r="FF105" s="1050"/>
      <c r="FG105" s="115"/>
      <c r="FH105" s="83"/>
      <c r="FI105" s="2">
        <v>-153</v>
      </c>
      <c r="FJ105" s="2">
        <f t="shared" si="208"/>
        <v>-319</v>
      </c>
      <c r="FK105" s="273">
        <f t="shared" si="224"/>
        <v>20</v>
      </c>
      <c r="FL105" s="310">
        <v>20</v>
      </c>
      <c r="FM105" s="115"/>
      <c r="FN105" s="115"/>
      <c r="FO105" s="115"/>
      <c r="FP105" s="115"/>
      <c r="FQ105" s="115"/>
      <c r="FR105" s="115"/>
      <c r="FS105" s="1051"/>
      <c r="FT105" s="310">
        <v>616</v>
      </c>
      <c r="FU105" s="115"/>
      <c r="FV105" s="115"/>
      <c r="FW105" s="115"/>
      <c r="FX105" s="115"/>
      <c r="FY105" s="115"/>
      <c r="FZ105" s="115"/>
      <c r="GA105" s="115"/>
      <c r="GB105" s="115"/>
      <c r="GC105" s="115"/>
      <c r="GD105" s="115"/>
      <c r="GE105" s="115"/>
      <c r="GF105" s="115"/>
      <c r="GG105" s="115"/>
      <c r="GH105" s="115"/>
      <c r="GI105" s="115"/>
      <c r="GJ105" s="115"/>
      <c r="GK105" s="1055">
        <f>DataUK4!X257+DataUK4!AH257</f>
        <v>-569</v>
      </c>
      <c r="GL105" s="115"/>
      <c r="GM105" s="115"/>
      <c r="GN105" s="115"/>
      <c r="GO105" s="115"/>
      <c r="GP105" s="310">
        <f t="shared" ref="GP105:GP144" si="246">GQ105</f>
        <v>293</v>
      </c>
      <c r="GQ105" s="2">
        <v>293</v>
      </c>
      <c r="GR105" s="115"/>
      <c r="GS105" s="115"/>
      <c r="GT105" s="115"/>
      <c r="GU105" s="2">
        <f t="shared" si="225"/>
        <v>-862</v>
      </c>
      <c r="GV105" s="1063">
        <v>559</v>
      </c>
      <c r="GW105" s="1063">
        <f>DataUK4!D257+DataUK4!F257</f>
        <v>501.9</v>
      </c>
      <c r="GX105" s="615"/>
      <c r="GY105" s="615">
        <f t="shared" si="210"/>
        <v>421.09876160990723</v>
      </c>
      <c r="GZ105" s="115"/>
      <c r="HA105" s="115"/>
      <c r="HB105" s="115"/>
      <c r="HC105" s="1051"/>
      <c r="HD105" s="170">
        <f>HE105-HF105</f>
        <v>76</v>
      </c>
      <c r="HE105" s="2">
        <v>194</v>
      </c>
      <c r="HF105" s="2">
        <v>118</v>
      </c>
      <c r="HG105" s="170">
        <f>HH105-HI105</f>
        <v>-20</v>
      </c>
      <c r="HH105" s="2">
        <v>5</v>
      </c>
      <c r="HI105" s="2">
        <v>25</v>
      </c>
      <c r="HJ105" s="2">
        <v>0</v>
      </c>
      <c r="HK105" s="2">
        <v>0</v>
      </c>
      <c r="HL105" s="2">
        <v>0</v>
      </c>
      <c r="HM105" s="2">
        <f t="shared" ref="HM105:HM168" si="247">HJ105-(-HK105-HL105)</f>
        <v>0</v>
      </c>
      <c r="HN105" s="2">
        <v>0</v>
      </c>
      <c r="HO105" s="2">
        <v>0</v>
      </c>
      <c r="HP105" s="2">
        <v>0</v>
      </c>
      <c r="HQ105" s="2">
        <v>0</v>
      </c>
      <c r="HR105" s="2">
        <v>0</v>
      </c>
      <c r="HS105" s="1052">
        <v>0</v>
      </c>
      <c r="HT105" s="1002">
        <v>27</v>
      </c>
      <c r="HU105" s="1002">
        <f t="shared" si="213"/>
        <v>3.2990353697749191</v>
      </c>
      <c r="HV105" s="1002">
        <f t="shared" si="214"/>
        <v>3.819935691318328</v>
      </c>
    </row>
    <row r="106" spans="1:230">
      <c r="A106" s="110">
        <f t="shared" si="228"/>
        <v>1947</v>
      </c>
      <c r="B106" s="176">
        <f t="shared" ref="B106:B137" si="248">C106+D106</f>
        <v>10236.999999999998</v>
      </c>
      <c r="C106" s="177">
        <f t="shared" si="145"/>
        <v>121</v>
      </c>
      <c r="D106" s="176">
        <f t="shared" si="159"/>
        <v>10115.999999999998</v>
      </c>
      <c r="E106" s="154">
        <f t="shared" si="160"/>
        <v>10886</v>
      </c>
      <c r="F106" s="995">
        <f>CI106</f>
        <v>770</v>
      </c>
      <c r="G106" s="531">
        <f t="shared" si="162"/>
        <v>10083</v>
      </c>
      <c r="H106" s="531">
        <f t="shared" si="163"/>
        <v>9962</v>
      </c>
      <c r="I106" s="531">
        <f t="shared" si="164"/>
        <v>10732</v>
      </c>
      <c r="J106" s="548">
        <f t="shared" si="165"/>
        <v>1.0143496086470369</v>
      </c>
      <c r="K106" s="178">
        <f t="shared" si="242"/>
        <v>1090</v>
      </c>
      <c r="L106" s="2">
        <v>1561</v>
      </c>
      <c r="M106" s="2">
        <v>471</v>
      </c>
      <c r="N106" s="2">
        <v>872</v>
      </c>
      <c r="O106" s="170">
        <f>P106+Q106+R106</f>
        <v>218</v>
      </c>
      <c r="P106" s="175">
        <v>0</v>
      </c>
      <c r="Q106" s="175">
        <f t="shared" si="243"/>
        <v>218</v>
      </c>
      <c r="R106" s="175">
        <f>DO106-DP106</f>
        <v>0</v>
      </c>
      <c r="S106" s="532">
        <f t="shared" si="229"/>
        <v>0.11916475347108342</v>
      </c>
      <c r="T106" s="1008">
        <f>V106-$X106</f>
        <v>109.64</v>
      </c>
      <c r="U106" s="1010">
        <f>W106-$X106</f>
        <v>109.64</v>
      </c>
      <c r="V106" s="511">
        <f>W106+AI106</f>
        <v>218.5</v>
      </c>
      <c r="W106" s="2">
        <f>0.5*AR106</f>
        <v>218.5</v>
      </c>
      <c r="X106" s="169">
        <f t="shared" si="170"/>
        <v>108.86</v>
      </c>
      <c r="Y106" s="113">
        <f>X106/V106</f>
        <v>0.49821510297482835</v>
      </c>
      <c r="Z106" s="113">
        <f>X106/W106</f>
        <v>0.49821510297482835</v>
      </c>
      <c r="AA106" s="113"/>
      <c r="AB106" s="1020">
        <v>0.01</v>
      </c>
      <c r="AC106" s="113"/>
      <c r="AD106" s="113"/>
      <c r="AE106" s="113"/>
      <c r="AF106" s="113"/>
      <c r="AG106" s="113"/>
      <c r="AH106" s="113"/>
      <c r="AI106" s="113"/>
      <c r="AJ106" s="171">
        <f t="shared" ref="AJ106:AJ146" si="249">AL106-BT106</f>
        <v>1419.0478261033004</v>
      </c>
      <c r="AK106" s="561"/>
      <c r="AL106" s="169">
        <f t="shared" si="175"/>
        <v>1493.7345537929477</v>
      </c>
      <c r="AM106" s="169"/>
      <c r="AN106" s="169">
        <f t="shared" si="176"/>
        <v>885.96327231035264</v>
      </c>
      <c r="AO106" s="1028">
        <f>0.765*AS106+AQ106</f>
        <v>960.65</v>
      </c>
      <c r="AP106" s="169">
        <v>472</v>
      </c>
      <c r="AQ106" s="169">
        <v>35</v>
      </c>
      <c r="AR106" s="78">
        <f>AP106-AQ106</f>
        <v>437</v>
      </c>
      <c r="AS106" s="169">
        <v>1210</v>
      </c>
      <c r="AT106" s="169">
        <v>233</v>
      </c>
      <c r="AU106" s="169">
        <f t="shared" si="240"/>
        <v>977</v>
      </c>
      <c r="AV106" s="112"/>
      <c r="AW106" s="175">
        <f t="shared" si="143"/>
        <v>1730</v>
      </c>
      <c r="AX106" s="169">
        <v>1694</v>
      </c>
      <c r="AY106" s="169">
        <v>36</v>
      </c>
      <c r="AZ106" s="358">
        <v>119</v>
      </c>
      <c r="BA106" s="358"/>
      <c r="BB106" s="358"/>
      <c r="BC106" s="112"/>
      <c r="BD106" s="112"/>
      <c r="BE106" s="112"/>
      <c r="BF106" s="170">
        <v>280</v>
      </c>
      <c r="BG106" s="113">
        <f>BF106/AR106</f>
        <v>0.6407322654462243</v>
      </c>
      <c r="BH106" s="112"/>
      <c r="BI106" s="273">
        <v>6246</v>
      </c>
      <c r="BJ106" s="2">
        <f t="shared" si="177"/>
        <v>6265</v>
      </c>
      <c r="BK106" s="169"/>
      <c r="BL106" s="112"/>
      <c r="BM106" s="1031">
        <f t="shared" si="179"/>
        <v>533.08455379294787</v>
      </c>
      <c r="BN106" s="310"/>
      <c r="BO106" s="262">
        <f t="shared" si="181"/>
        <v>8.6545205852334925E-2</v>
      </c>
      <c r="BP106" s="262">
        <f t="shared" si="182"/>
        <v>9.3840969033896646E-2</v>
      </c>
      <c r="BQ106" s="262">
        <f t="shared" si="183"/>
        <v>5.2074294597337881E-2</v>
      </c>
      <c r="BR106" s="262">
        <f t="shared" si="184"/>
        <v>8.5348151423782881E-2</v>
      </c>
      <c r="BS106" s="988">
        <f t="shared" si="185"/>
        <v>0.55492068265543948</v>
      </c>
      <c r="BT106" s="534">
        <f t="shared" si="186"/>
        <v>74.686727689647384</v>
      </c>
      <c r="BU106" s="534"/>
      <c r="BV106" s="113">
        <v>0.05</v>
      </c>
      <c r="BW106" s="276">
        <f t="shared" si="188"/>
        <v>6.8608054096681408E-3</v>
      </c>
      <c r="BX106" s="272">
        <f t="shared" si="189"/>
        <v>183.54672768964738</v>
      </c>
      <c r="BY106" s="113"/>
      <c r="BZ106" s="1013"/>
      <c r="CA106" s="1005"/>
      <c r="CB106" s="2">
        <f t="shared" si="221"/>
        <v>9147</v>
      </c>
      <c r="CC106" s="2">
        <f t="shared" si="222"/>
        <v>10237</v>
      </c>
      <c r="CD106" s="310">
        <f t="shared" si="190"/>
        <v>10237</v>
      </c>
      <c r="CE106" s="310">
        <f t="shared" si="191"/>
        <v>10116</v>
      </c>
      <c r="CF106" s="2"/>
      <c r="CG106" s="2"/>
      <c r="CH106" s="2"/>
      <c r="CI106" s="2">
        <v>770</v>
      </c>
      <c r="CJ106" s="2"/>
      <c r="CK106" s="2"/>
      <c r="CL106" s="171">
        <f t="shared" si="192"/>
        <v>6422.712173896698</v>
      </c>
      <c r="CM106" s="169">
        <f t="shared" si="193"/>
        <v>6890.165446207051</v>
      </c>
      <c r="CN106" s="170">
        <f>CO106</f>
        <v>2232.85</v>
      </c>
      <c r="CO106" s="170">
        <f t="shared" si="195"/>
        <v>2232.85</v>
      </c>
      <c r="CP106" s="170">
        <f t="shared" si="196"/>
        <v>4657.3154462070515</v>
      </c>
      <c r="CQ106" s="170">
        <f t="shared" si="197"/>
        <v>467.45327231035265</v>
      </c>
      <c r="CR106" s="170"/>
      <c r="CS106" s="113">
        <f t="shared" si="198"/>
        <v>4.2940774601355196E-2</v>
      </c>
      <c r="CT106" s="112"/>
      <c r="CU106" s="112"/>
      <c r="CV106" s="112"/>
      <c r="CW106" s="112"/>
      <c r="CX106" s="112"/>
      <c r="CY106" s="112"/>
      <c r="CZ106" s="112"/>
      <c r="DA106" s="112"/>
      <c r="DB106" s="112"/>
      <c r="DC106" s="169"/>
      <c r="DD106" s="2">
        <v>177</v>
      </c>
      <c r="DE106" s="169"/>
      <c r="DF106" s="112"/>
      <c r="DG106" s="112"/>
      <c r="DH106" s="171">
        <f t="shared" si="227"/>
        <v>1074.5999999999999</v>
      </c>
      <c r="DI106" s="2">
        <f t="shared" ref="DI106:DI121" si="250">DJ106+DK106</f>
        <v>1193.5999999999999</v>
      </c>
      <c r="DJ106" s="169">
        <f t="shared" si="244"/>
        <v>1074.5999999999999</v>
      </c>
      <c r="DK106" s="169">
        <f t="shared" si="223"/>
        <v>119</v>
      </c>
      <c r="DL106" s="113">
        <f t="shared" si="201"/>
        <v>0.10497215981244504</v>
      </c>
      <c r="DM106" s="113">
        <f t="shared" si="202"/>
        <v>0.17152434158020749</v>
      </c>
      <c r="DN106" s="113">
        <v>0.6</v>
      </c>
      <c r="DO106" s="113"/>
      <c r="DP106" s="113"/>
      <c r="DQ106" s="272">
        <v>1735</v>
      </c>
      <c r="DR106" s="2">
        <v>1237</v>
      </c>
      <c r="DS106" s="2">
        <v>554</v>
      </c>
      <c r="DT106" s="169">
        <f t="shared" si="245"/>
        <v>1791</v>
      </c>
      <c r="DU106" s="175">
        <f t="shared" si="236"/>
        <v>7668.3</v>
      </c>
      <c r="DV106" s="170">
        <v>8028</v>
      </c>
      <c r="DW106" s="170">
        <f t="shared" si="203"/>
        <v>1827.7</v>
      </c>
      <c r="DX106" s="534">
        <f t="shared" si="230"/>
        <v>1558.7</v>
      </c>
      <c r="DY106" s="534">
        <f t="shared" si="231"/>
        <v>1013.1550000000001</v>
      </c>
      <c r="DZ106" s="549">
        <v>1.3</v>
      </c>
      <c r="EA106" s="170">
        <v>1199</v>
      </c>
      <c r="EB106" s="179">
        <f t="shared" si="238"/>
        <v>779.35</v>
      </c>
      <c r="EC106" s="561">
        <f t="shared" si="218"/>
        <v>545.54499999999996</v>
      </c>
      <c r="ED106" s="175">
        <f t="shared" si="241"/>
        <v>163</v>
      </c>
      <c r="EE106" s="175">
        <f t="shared" si="204"/>
        <v>382.54499999999996</v>
      </c>
      <c r="EF106" s="561"/>
      <c r="EG106" s="170">
        <v>269</v>
      </c>
      <c r="EH106" s="78">
        <f t="shared" si="205"/>
        <v>788.7</v>
      </c>
      <c r="EI106" s="2">
        <v>1647</v>
      </c>
      <c r="EJ106" s="2">
        <v>2202</v>
      </c>
      <c r="EK106" s="2"/>
      <c r="EL106" s="2"/>
      <c r="EM106" s="2"/>
      <c r="EN106" s="2"/>
      <c r="EO106" s="2">
        <v>2067</v>
      </c>
      <c r="EP106" s="2">
        <v>2493</v>
      </c>
      <c r="EQ106" s="175">
        <f t="shared" si="232"/>
        <v>10732</v>
      </c>
      <c r="ER106" s="2">
        <f t="shared" si="206"/>
        <v>10886</v>
      </c>
      <c r="ES106" s="262">
        <f t="shared" si="237"/>
        <v>1.0143496086470369</v>
      </c>
      <c r="ET106" s="262"/>
      <c r="EU106" s="262"/>
      <c r="EV106" s="262"/>
      <c r="EW106" s="2"/>
      <c r="EX106" s="2"/>
      <c r="EY106" s="273"/>
      <c r="EZ106" s="2"/>
      <c r="FA106" s="2"/>
      <c r="FB106" s="2"/>
      <c r="FC106" s="2"/>
      <c r="FD106" s="2">
        <v>344</v>
      </c>
      <c r="FE106" s="1052">
        <v>778</v>
      </c>
      <c r="FF106" s="1050"/>
      <c r="FG106" s="115"/>
      <c r="FH106" s="83"/>
      <c r="FI106" s="2">
        <v>-311</v>
      </c>
      <c r="FJ106" s="2">
        <f t="shared" si="208"/>
        <v>-434</v>
      </c>
      <c r="FK106" s="273">
        <f t="shared" si="224"/>
        <v>30</v>
      </c>
      <c r="FL106" s="310">
        <v>30</v>
      </c>
      <c r="FM106" s="115"/>
      <c r="FN106" s="115"/>
      <c r="FO106" s="115"/>
      <c r="FP106" s="115"/>
      <c r="FQ106" s="115"/>
      <c r="FR106" s="115"/>
      <c r="FS106" s="1051"/>
      <c r="FT106" s="310">
        <v>791</v>
      </c>
      <c r="FU106" s="115"/>
      <c r="FV106" s="115"/>
      <c r="FW106" s="115"/>
      <c r="FX106" s="115"/>
      <c r="FY106" s="115"/>
      <c r="FZ106" s="115"/>
      <c r="GA106" s="115"/>
      <c r="GB106" s="115"/>
      <c r="GC106" s="115"/>
      <c r="GD106" s="115"/>
      <c r="GE106" s="115"/>
      <c r="GF106" s="115"/>
      <c r="GG106" s="115"/>
      <c r="GH106" s="115"/>
      <c r="GI106" s="115"/>
      <c r="GJ106" s="115"/>
      <c r="GK106" s="1422">
        <f>DataUK4!X258+DataUK4!AH258</f>
        <v>657</v>
      </c>
      <c r="GL106" s="115"/>
      <c r="GM106" s="115"/>
      <c r="GN106" s="115"/>
      <c r="GO106" s="115"/>
      <c r="GP106" s="310">
        <f t="shared" si="246"/>
        <v>421</v>
      </c>
      <c r="GQ106" s="2">
        <v>421</v>
      </c>
      <c r="GR106" s="115"/>
      <c r="GS106" s="115"/>
      <c r="GT106" s="115"/>
      <c r="GU106" s="2">
        <f t="shared" si="225"/>
        <v>236</v>
      </c>
      <c r="GV106" s="1063">
        <v>592</v>
      </c>
      <c r="GW106" s="1063">
        <f>DataUK4!D258+DataUK4!F258</f>
        <v>511.4</v>
      </c>
      <c r="GX106" s="615"/>
      <c r="GY106" s="615">
        <f t="shared" si="210"/>
        <v>429.06934984520137</v>
      </c>
      <c r="GZ106" s="115"/>
      <c r="HA106" s="115"/>
      <c r="HB106" s="115"/>
      <c r="HC106" s="1051"/>
      <c r="HD106" s="170">
        <f>HE106-HF106</f>
        <v>140</v>
      </c>
      <c r="HE106" s="2">
        <v>256</v>
      </c>
      <c r="HF106" s="2">
        <v>116</v>
      </c>
      <c r="HG106" s="170">
        <f>HH106-HI106</f>
        <v>-19</v>
      </c>
      <c r="HH106" s="2">
        <v>7</v>
      </c>
      <c r="HI106" s="2">
        <v>26</v>
      </c>
      <c r="HJ106" s="2">
        <v>0</v>
      </c>
      <c r="HK106" s="2"/>
      <c r="HL106" s="2"/>
      <c r="HM106" s="2">
        <f t="shared" si="247"/>
        <v>0</v>
      </c>
      <c r="HN106" s="2">
        <v>0</v>
      </c>
      <c r="HO106" s="2">
        <v>0</v>
      </c>
      <c r="HP106" s="2">
        <v>0</v>
      </c>
      <c r="HQ106" s="2">
        <v>0</v>
      </c>
      <c r="HR106" s="2">
        <v>0</v>
      </c>
      <c r="HS106" s="1052">
        <v>0</v>
      </c>
      <c r="HT106" s="1002">
        <v>28.9</v>
      </c>
      <c r="HU106" s="1002">
        <f>$HT106*HU$107/HT$107</f>
        <v>3.5311897106109322</v>
      </c>
      <c r="HV106" s="1002">
        <f>$HT106*HV$107/HT$107</f>
        <v>4.0887459807073956</v>
      </c>
    </row>
    <row r="107" spans="1:230">
      <c r="A107" s="110">
        <v>1948</v>
      </c>
      <c r="B107" s="176">
        <f t="shared" si="248"/>
        <v>11285</v>
      </c>
      <c r="C107" s="177">
        <f t="shared" si="145"/>
        <v>203</v>
      </c>
      <c r="D107" s="176">
        <f t="shared" si="159"/>
        <v>11082</v>
      </c>
      <c r="E107" s="154">
        <f t="shared" ref="E107:E138" si="251">K107+V107+AL107+CM107+DI107</f>
        <v>12047</v>
      </c>
      <c r="F107" s="995">
        <f t="shared" ref="F107:F138" si="252">X107+BT107+CQ107+DK107</f>
        <v>965</v>
      </c>
      <c r="G107" s="531">
        <f t="shared" si="162"/>
        <v>11145</v>
      </c>
      <c r="H107" s="531">
        <f t="shared" si="163"/>
        <v>10942</v>
      </c>
      <c r="I107" s="531">
        <f t="shared" si="164"/>
        <v>11907</v>
      </c>
      <c r="J107" s="548">
        <f t="shared" si="165"/>
        <v>1.0117577895355674</v>
      </c>
      <c r="K107" s="178">
        <f t="shared" si="242"/>
        <v>1285</v>
      </c>
      <c r="L107" s="2">
        <v>1858</v>
      </c>
      <c r="M107" s="2">
        <v>573</v>
      </c>
      <c r="N107" s="2">
        <v>1049</v>
      </c>
      <c r="O107" s="170">
        <f>P107+Q107+R107</f>
        <v>236</v>
      </c>
      <c r="P107" s="175">
        <v>0</v>
      </c>
      <c r="Q107" s="175">
        <f t="shared" si="243"/>
        <v>236</v>
      </c>
      <c r="R107" s="175">
        <f>DO107-DP107</f>
        <v>0</v>
      </c>
      <c r="S107" s="532">
        <f t="shared" si="229"/>
        <v>0.13073557839047717</v>
      </c>
      <c r="T107" s="1008">
        <f t="shared" ref="T107:T168" si="253">U107+AI107</f>
        <v>79</v>
      </c>
      <c r="U107" s="1010">
        <v>79</v>
      </c>
      <c r="V107" s="511">
        <f>W107+AI107</f>
        <v>191</v>
      </c>
      <c r="W107" s="2">
        <v>191</v>
      </c>
      <c r="X107" s="169">
        <f t="shared" ref="X107:X168" si="254">W107-U107</f>
        <v>112</v>
      </c>
      <c r="Y107" s="113">
        <f t="shared" ref="Y107:Y168" si="255">X107/V107</f>
        <v>0.58638743455497377</v>
      </c>
      <c r="Z107" s="113">
        <f t="shared" ref="Z107:Z138" si="256">X107/W107</f>
        <v>0.58638743455497377</v>
      </c>
      <c r="AA107" s="276">
        <f>X107/DataUK3!D107</f>
        <v>9.7296808152307797E-3</v>
      </c>
      <c r="AB107" s="1019">
        <f t="shared" ref="AB107:AB138" si="257">X107/E107</f>
        <v>9.2969203951191164E-3</v>
      </c>
      <c r="AC107" s="113"/>
      <c r="AD107" s="113"/>
      <c r="AE107" s="113"/>
      <c r="AF107" s="113"/>
      <c r="AG107" s="113"/>
      <c r="AH107" s="113"/>
      <c r="AI107" s="1010">
        <f>AD107*DataUK3!BG107</f>
        <v>0</v>
      </c>
      <c r="AJ107" s="171">
        <f t="shared" si="249"/>
        <v>1493.6781445004135</v>
      </c>
      <c r="AK107" s="561"/>
      <c r="AL107" s="169">
        <f t="shared" si="175"/>
        <v>1604.6781445004135</v>
      </c>
      <c r="AM107" s="169"/>
      <c r="AN107" s="2">
        <v>921</v>
      </c>
      <c r="AO107" s="1029">
        <f t="shared" ref="AO107:AO145" si="258">AN107+BT107</f>
        <v>1032</v>
      </c>
      <c r="AP107" s="170">
        <v>456</v>
      </c>
      <c r="AQ107" s="169">
        <v>35</v>
      </c>
      <c r="AR107" s="78">
        <f>AP107-AQ107</f>
        <v>421</v>
      </c>
      <c r="AS107" s="170">
        <v>1305</v>
      </c>
      <c r="AT107" s="170"/>
      <c r="AU107" s="170"/>
      <c r="AV107" s="116"/>
      <c r="AW107" s="175">
        <f t="shared" si="143"/>
        <v>1910</v>
      </c>
      <c r="AX107" s="170">
        <v>1793</v>
      </c>
      <c r="AY107" s="170">
        <v>117</v>
      </c>
      <c r="AZ107" s="358">
        <v>103</v>
      </c>
      <c r="BA107" s="358"/>
      <c r="BB107" s="203">
        <f t="shared" ref="BB107:BB124" si="259">V107/AP107</f>
        <v>0.41885964912280704</v>
      </c>
      <c r="BC107" s="203">
        <f t="shared" ref="BC107:BC124" si="260">AO107/AS107</f>
        <v>0.79080459770114941</v>
      </c>
      <c r="BD107" s="203">
        <f t="shared" ref="BD107:BD124" si="261">CN107/AW107</f>
        <v>1.2973821989528795</v>
      </c>
      <c r="BE107" s="203">
        <f t="shared" ref="BE107:BE124" si="262">(V107+AO107+CN107)/(AP107+AS107+AW107)</f>
        <v>1.0081721601743394</v>
      </c>
      <c r="BF107" s="170">
        <v>308</v>
      </c>
      <c r="BG107" s="113">
        <f>BF107/AR107</f>
        <v>0.73159144893111638</v>
      </c>
      <c r="BH107" s="203">
        <f t="shared" ref="BH107:BH124" si="263">CN107/(AW107+BF107)</f>
        <v>1.1172227231740306</v>
      </c>
      <c r="BI107" s="273">
        <v>6806</v>
      </c>
      <c r="BJ107" s="2">
        <f t="shared" si="177"/>
        <v>6826</v>
      </c>
      <c r="BK107" s="83"/>
      <c r="BL107" s="170"/>
      <c r="BM107" s="1031">
        <f t="shared" si="179"/>
        <v>572.67814450041351</v>
      </c>
      <c r="BN107" s="310"/>
      <c r="BO107" s="262">
        <f>AN107/$B107</f>
        <v>8.1612760301284892E-2</v>
      </c>
      <c r="BP107" s="262">
        <f t="shared" ref="BP107:BP138" si="264">AO107/B107</f>
        <v>9.1448825875055387E-2</v>
      </c>
      <c r="BQ107" s="262">
        <f>BM107/$B107</f>
        <v>5.0746844882624147E-2</v>
      </c>
      <c r="BR107" s="262">
        <f t="shared" si="184"/>
        <v>8.4143130252778947E-2</v>
      </c>
      <c r="BS107" s="988">
        <f t="shared" si="185"/>
        <v>0.55492068265543948</v>
      </c>
      <c r="BT107" s="519">
        <f t="shared" ref="BT107:BT145" si="265">BX107-X107</f>
        <v>111</v>
      </c>
      <c r="BU107" s="519"/>
      <c r="BV107" s="113">
        <f t="shared" ref="BV107:BV138" si="266">BT107/AL107</f>
        <v>6.9172749925224264E-2</v>
      </c>
      <c r="BW107" s="276">
        <f t="shared" si="188"/>
        <v>9.2139121773055534E-3</v>
      </c>
      <c r="BX107" s="273">
        <v>223</v>
      </c>
      <c r="BY107" s="113"/>
      <c r="BZ107" s="1013"/>
      <c r="CA107" s="1005">
        <f>$BJ107+$K107+$T107+$AN107+$CN107-$CQ107+$C107</f>
        <v>11285</v>
      </c>
      <c r="CB107" s="2">
        <f t="shared" si="221"/>
        <v>9829</v>
      </c>
      <c r="CC107" s="2">
        <f t="shared" si="222"/>
        <v>11114</v>
      </c>
      <c r="CD107" s="2"/>
      <c r="CE107" s="2"/>
      <c r="CF107" s="2">
        <v>11973</v>
      </c>
      <c r="CG107" s="2">
        <v>-66</v>
      </c>
      <c r="CH107" s="2">
        <f t="shared" ref="CH107:CH138" si="267">E107-CF107+CG107</f>
        <v>8</v>
      </c>
      <c r="CI107" s="2">
        <v>974</v>
      </c>
      <c r="CJ107" s="2"/>
      <c r="CK107" s="2"/>
      <c r="CL107" s="171">
        <f t="shared" si="192"/>
        <v>7028.5218554995863</v>
      </c>
      <c r="CM107" s="169">
        <f t="shared" si="193"/>
        <v>7535.5218554995863</v>
      </c>
      <c r="CN107" s="170">
        <f t="shared" ref="CN107:CN168" si="268">CU107+DB107</f>
        <v>2478</v>
      </c>
      <c r="CO107" s="170">
        <f t="shared" ref="CO107:CO168" si="269">CU107+DC107</f>
        <v>2478</v>
      </c>
      <c r="CP107" s="170">
        <f>CV107+DD107</f>
        <v>5057.5218554995863</v>
      </c>
      <c r="CQ107" s="170">
        <f>CW107+DE107</f>
        <v>507</v>
      </c>
      <c r="CR107" s="170">
        <v>164</v>
      </c>
      <c r="CS107" s="113">
        <f t="shared" si="198"/>
        <v>4.2085166431476716E-2</v>
      </c>
      <c r="CT107" s="170">
        <f t="shared" ref="CT107:CT139" si="270">CU107+CV107</f>
        <v>7316.5218554995863</v>
      </c>
      <c r="CU107" s="2">
        <v>2452</v>
      </c>
      <c r="CV107" s="169">
        <f t="shared" ref="CV107:CV145" si="271">BJ107-BM107-DD107-DJ107</f>
        <v>4864.5218554995863</v>
      </c>
      <c r="CW107" s="2">
        <v>500</v>
      </c>
      <c r="CX107" s="2"/>
      <c r="CY107" s="2"/>
      <c r="CZ107" s="170">
        <f t="shared" ref="CZ107:CZ168" si="272">DB107+DD107</f>
        <v>219</v>
      </c>
      <c r="DA107" s="170">
        <f t="shared" ref="DA107:DA168" si="273">DC107+DD107</f>
        <v>219</v>
      </c>
      <c r="DB107" s="170">
        <f t="shared" ref="DB107:DB138" si="274">DC107-AI107</f>
        <v>26</v>
      </c>
      <c r="DC107" s="2">
        <v>26</v>
      </c>
      <c r="DD107" s="2">
        <v>193</v>
      </c>
      <c r="DE107" s="2">
        <v>7</v>
      </c>
      <c r="DF107" s="2"/>
      <c r="DG107" s="2"/>
      <c r="DH107" s="171">
        <f t="shared" si="227"/>
        <v>1195.8</v>
      </c>
      <c r="DI107" s="2">
        <f t="shared" si="250"/>
        <v>1430.8</v>
      </c>
      <c r="DJ107" s="169">
        <f t="shared" si="244"/>
        <v>1195.8</v>
      </c>
      <c r="DK107" s="2">
        <v>235</v>
      </c>
      <c r="DL107" s="113">
        <f t="shared" ref="DL107:DL138" si="275">DJ107/B107</f>
        <v>0.1059636685866194</v>
      </c>
      <c r="DM107" s="113">
        <f t="shared" si="202"/>
        <v>0.17518312335188982</v>
      </c>
      <c r="DN107" s="113">
        <v>0.6</v>
      </c>
      <c r="DO107" s="2"/>
      <c r="DP107" s="2">
        <v>0</v>
      </c>
      <c r="DQ107" s="273">
        <v>1756</v>
      </c>
      <c r="DR107" s="2">
        <v>1409</v>
      </c>
      <c r="DS107" s="2">
        <v>584</v>
      </c>
      <c r="DT107" s="169">
        <f t="shared" si="245"/>
        <v>1993</v>
      </c>
      <c r="DU107" s="2">
        <v>8453</v>
      </c>
      <c r="DV107" s="2"/>
      <c r="DW107" s="2">
        <v>1677</v>
      </c>
      <c r="DX107" s="2">
        <v>1422</v>
      </c>
      <c r="DY107" s="2">
        <v>757</v>
      </c>
      <c r="DZ107" s="2"/>
      <c r="EA107" s="2">
        <v>1422</v>
      </c>
      <c r="EB107" s="2">
        <v>757</v>
      </c>
      <c r="EC107" s="175">
        <f t="shared" si="218"/>
        <v>665</v>
      </c>
      <c r="ED107" s="175">
        <v>180</v>
      </c>
      <c r="EE107" s="175">
        <f t="shared" si="204"/>
        <v>485</v>
      </c>
      <c r="EF107" s="175">
        <f>GP107</f>
        <v>512</v>
      </c>
      <c r="EG107" s="2">
        <v>175</v>
      </c>
      <c r="EH107" s="78">
        <f t="shared" si="205"/>
        <v>448</v>
      </c>
      <c r="EI107" s="2">
        <v>2191</v>
      </c>
      <c r="EJ107" s="2">
        <v>2407</v>
      </c>
      <c r="EK107" s="2"/>
      <c r="EL107" s="2"/>
      <c r="EM107" s="2"/>
      <c r="EN107" s="2"/>
      <c r="EO107" s="2">
        <v>2758</v>
      </c>
      <c r="EP107" s="2">
        <v>2761</v>
      </c>
      <c r="EQ107" s="175">
        <f t="shared" si="232"/>
        <v>11907</v>
      </c>
      <c r="ER107" s="2">
        <f t="shared" si="206"/>
        <v>11885</v>
      </c>
      <c r="ES107" s="262">
        <f t="shared" si="237"/>
        <v>0.99815234735869651</v>
      </c>
      <c r="ET107" s="2">
        <f t="shared" ref="ET107:ET138" si="276">DT107+DU107+DW107+EI107-EJ107</f>
        <v>11907</v>
      </c>
      <c r="EU107" s="2">
        <f t="shared" ref="EU107:EU138" si="277">$BJ107+$K107+$T107+$AN107+$CN107-$CQ107+$CI107</f>
        <v>12056</v>
      </c>
      <c r="EV107" s="262">
        <f>EU107/ET107</f>
        <v>1.0125136474342824</v>
      </c>
      <c r="EW107" s="2">
        <v>11973</v>
      </c>
      <c r="EX107" s="1042">
        <v>67</v>
      </c>
      <c r="EY107" s="273">
        <f t="shared" ref="EY107:EY138" si="278">B107+GY107-EZ107+FE107</f>
        <v>8748.0715170278636</v>
      </c>
      <c r="EZ107" s="2">
        <f t="shared" ref="EZ107:EZ145" si="279">FC107+FD107+K107</f>
        <v>3729</v>
      </c>
      <c r="FA107" s="1714"/>
      <c r="FB107" s="1714"/>
      <c r="FC107" s="2">
        <v>1989</v>
      </c>
      <c r="FD107" s="2">
        <v>455</v>
      </c>
      <c r="FE107" s="1052">
        <v>775</v>
      </c>
      <c r="FF107" s="1050"/>
      <c r="FG107" s="115"/>
      <c r="FH107" s="83"/>
      <c r="FI107" s="2">
        <v>83</v>
      </c>
      <c r="FJ107" s="2">
        <f t="shared" si="208"/>
        <v>83</v>
      </c>
      <c r="FK107" s="273">
        <f t="shared" si="224"/>
        <v>41</v>
      </c>
      <c r="FL107" s="310">
        <v>41</v>
      </c>
      <c r="FM107" s="310">
        <v>-267.70324846356453</v>
      </c>
      <c r="FN107" s="115"/>
      <c r="FO107" s="115"/>
      <c r="FP107" s="115"/>
      <c r="FQ107" s="115"/>
      <c r="FR107" s="115"/>
      <c r="FS107" s="1051"/>
      <c r="FT107" s="310">
        <f>FU107</f>
        <v>1304.7032484635645</v>
      </c>
      <c r="FU107" s="310">
        <v>1304.7032484635645</v>
      </c>
      <c r="FV107" s="310"/>
      <c r="FW107" s="513">
        <f t="shared" ref="FW107:FW122" si="280">FU107</f>
        <v>1304.7032484635645</v>
      </c>
      <c r="FX107" s="115"/>
      <c r="FY107" s="115"/>
      <c r="FZ107" s="115"/>
      <c r="GA107" s="115"/>
      <c r="GB107" s="115"/>
      <c r="GC107" s="115"/>
      <c r="GD107" s="115"/>
      <c r="GE107" s="115"/>
      <c r="GF107" s="115"/>
      <c r="GG107" s="115"/>
      <c r="GH107" s="115"/>
      <c r="GI107" s="115"/>
      <c r="GJ107" s="115"/>
      <c r="GK107" s="1055">
        <f t="shared" ref="GK107:GK144" si="281">GO107</f>
        <v>863</v>
      </c>
      <c r="GL107" s="115"/>
      <c r="GM107" s="115"/>
      <c r="GN107" s="115"/>
      <c r="GO107" s="310">
        <v>863</v>
      </c>
      <c r="GP107" s="310">
        <f t="shared" si="246"/>
        <v>512</v>
      </c>
      <c r="GQ107" s="2">
        <v>512</v>
      </c>
      <c r="GR107" s="115"/>
      <c r="GS107" s="115"/>
      <c r="GT107" s="115"/>
      <c r="GU107" s="2">
        <f t="shared" si="225"/>
        <v>351</v>
      </c>
      <c r="GV107" s="1063">
        <v>588</v>
      </c>
      <c r="GW107" s="1063">
        <f>DataUK4!D259+DataUK4!F259</f>
        <v>497.1</v>
      </c>
      <c r="GX107" s="615"/>
      <c r="GY107" s="615">
        <f t="shared" si="210"/>
        <v>417.07151702786399</v>
      </c>
      <c r="GZ107" s="254"/>
      <c r="HA107" s="254"/>
      <c r="HB107" s="2">
        <v>192</v>
      </c>
      <c r="HC107" s="1052"/>
      <c r="HD107" s="170">
        <f>HE107-HF107</f>
        <v>223</v>
      </c>
      <c r="HE107" s="2">
        <v>353</v>
      </c>
      <c r="HF107" s="2">
        <v>130</v>
      </c>
      <c r="HG107" s="170">
        <f>HH107-HI107</f>
        <v>-20</v>
      </c>
      <c r="HH107" s="2">
        <v>7</v>
      </c>
      <c r="HI107" s="2">
        <v>27</v>
      </c>
      <c r="HJ107" s="2">
        <f t="shared" ref="HJ107:HJ138" si="282">FI107-(EI107-EJ107)-HO107-HD107-HG107</f>
        <v>0</v>
      </c>
      <c r="HK107" s="2"/>
      <c r="HL107" s="2"/>
      <c r="HM107" s="2">
        <f t="shared" si="247"/>
        <v>0</v>
      </c>
      <c r="HN107" s="2">
        <f t="shared" ref="HN107:HN168" si="283">HO107+HR107-HS107</f>
        <v>96</v>
      </c>
      <c r="HO107" s="2">
        <f t="shared" ref="HO107:HO138" si="284">HQ107-HP107</f>
        <v>96</v>
      </c>
      <c r="HP107" s="2">
        <v>12177</v>
      </c>
      <c r="HQ107" s="2">
        <v>12273</v>
      </c>
      <c r="HR107" s="115"/>
      <c r="HS107" s="1051"/>
      <c r="HT107" s="1002">
        <v>31.1</v>
      </c>
      <c r="HU107" s="1002">
        <v>3.8</v>
      </c>
      <c r="HV107" s="1002">
        <v>4.4000000000000004</v>
      </c>
    </row>
    <row r="108" spans="1:230">
      <c r="A108" s="110">
        <v>1949</v>
      </c>
      <c r="B108" s="176">
        <f t="shared" si="248"/>
        <v>12003</v>
      </c>
      <c r="C108" s="177">
        <f t="shared" si="145"/>
        <v>186</v>
      </c>
      <c r="D108" s="176">
        <f t="shared" ref="D108:D139" si="285">K108+T108+AJ108+CL108+DH108</f>
        <v>11817</v>
      </c>
      <c r="E108" s="154">
        <f t="shared" si="251"/>
        <v>12849</v>
      </c>
      <c r="F108" s="995">
        <f t="shared" si="252"/>
        <v>1032</v>
      </c>
      <c r="G108" s="531">
        <f t="shared" si="162"/>
        <v>11737</v>
      </c>
      <c r="H108" s="531">
        <f t="shared" si="163"/>
        <v>11551</v>
      </c>
      <c r="I108" s="531">
        <f t="shared" si="164"/>
        <v>12583</v>
      </c>
      <c r="J108" s="548">
        <f t="shared" si="165"/>
        <v>1.0211396328379561</v>
      </c>
      <c r="K108" s="178">
        <f t="shared" si="242"/>
        <v>1306</v>
      </c>
      <c r="L108" s="2">
        <v>1832</v>
      </c>
      <c r="M108" s="2">
        <v>526</v>
      </c>
      <c r="N108" s="2">
        <v>1045</v>
      </c>
      <c r="O108" s="170">
        <f t="shared" ref="O108:O169" si="286">P108+Q108+R108</f>
        <v>261</v>
      </c>
      <c r="P108" s="175">
        <v>0</v>
      </c>
      <c r="Q108" s="175">
        <f t="shared" si="243"/>
        <v>261</v>
      </c>
      <c r="R108" s="175">
        <f t="shared" ref="R108:R169" si="287">DO108-DP108</f>
        <v>0</v>
      </c>
      <c r="S108" s="532">
        <f t="shared" si="229"/>
        <v>0.12595235799016299</v>
      </c>
      <c r="T108" s="1008">
        <f t="shared" si="253"/>
        <v>80</v>
      </c>
      <c r="U108" s="1010">
        <v>80</v>
      </c>
      <c r="V108" s="511">
        <f t="shared" ref="V108:V169" si="288">W108+AI108</f>
        <v>194</v>
      </c>
      <c r="W108" s="2">
        <v>194</v>
      </c>
      <c r="X108" s="169">
        <f t="shared" si="254"/>
        <v>114</v>
      </c>
      <c r="Y108" s="113">
        <f t="shared" si="255"/>
        <v>0.58762886597938147</v>
      </c>
      <c r="Z108" s="113">
        <f t="shared" si="256"/>
        <v>0.58762886597938147</v>
      </c>
      <c r="AA108" s="276">
        <f>X108/DataUK3!D108</f>
        <v>1.0189100839988415E-2</v>
      </c>
      <c r="AB108" s="1019">
        <f t="shared" si="257"/>
        <v>8.8722857809946307E-3</v>
      </c>
      <c r="AC108" s="113"/>
      <c r="AD108" s="113"/>
      <c r="AE108" s="113"/>
      <c r="AF108" s="113"/>
      <c r="AG108" s="113"/>
      <c r="AH108" s="113"/>
      <c r="AI108" s="1010">
        <f>AD108*DataUK3!BG108</f>
        <v>0</v>
      </c>
      <c r="AJ108" s="171">
        <f t="shared" si="249"/>
        <v>1562.7537027291182</v>
      </c>
      <c r="AK108" s="561"/>
      <c r="AL108" s="169">
        <f t="shared" si="175"/>
        <v>1691.7537027291182</v>
      </c>
      <c r="AM108" s="169"/>
      <c r="AN108" s="2">
        <v>959</v>
      </c>
      <c r="AO108" s="1029">
        <f t="shared" si="258"/>
        <v>1088</v>
      </c>
      <c r="AP108" s="170">
        <v>463</v>
      </c>
      <c r="AQ108" s="170"/>
      <c r="AR108" s="170"/>
      <c r="AS108" s="170">
        <v>1375</v>
      </c>
      <c r="AT108" s="170"/>
      <c r="AU108" s="170"/>
      <c r="AV108" s="83"/>
      <c r="AW108" s="175">
        <f t="shared" si="143"/>
        <v>1998</v>
      </c>
      <c r="AX108" s="170">
        <v>1843</v>
      </c>
      <c r="AY108" s="170">
        <v>155</v>
      </c>
      <c r="AZ108" s="358">
        <v>103</v>
      </c>
      <c r="BA108" s="358"/>
      <c r="BB108" s="203">
        <f t="shared" si="259"/>
        <v>0.41900647948164149</v>
      </c>
      <c r="BC108" s="203">
        <f t="shared" si="260"/>
        <v>0.79127272727272724</v>
      </c>
      <c r="BD108" s="203">
        <f t="shared" si="261"/>
        <v>1.3653653653653655</v>
      </c>
      <c r="BE108" s="203">
        <f t="shared" si="262"/>
        <v>1.0453597497393117</v>
      </c>
      <c r="BF108" s="170">
        <v>307</v>
      </c>
      <c r="BG108" s="113"/>
      <c r="BH108" s="203">
        <f t="shared" si="263"/>
        <v>1.1835140997830802</v>
      </c>
      <c r="BI108" s="273">
        <v>7267</v>
      </c>
      <c r="BJ108" s="2">
        <f t="shared" si="177"/>
        <v>7287</v>
      </c>
      <c r="BK108" s="83"/>
      <c r="BL108" s="170"/>
      <c r="BM108" s="1031">
        <f t="shared" si="179"/>
        <v>603.75370272911812</v>
      </c>
      <c r="BN108" s="310"/>
      <c r="BO108" s="262">
        <f t="shared" ref="BO108:BO139" si="289">AN108/$CA108</f>
        <v>7.9896692493543281E-2</v>
      </c>
      <c r="BP108" s="262">
        <f t="shared" si="264"/>
        <v>9.0644005665250355E-2</v>
      </c>
      <c r="BQ108" s="262">
        <f t="shared" ref="BQ108:BQ139" si="290">BM108/$CA108</f>
        <v>5.0300233502384245E-2</v>
      </c>
      <c r="BR108" s="262">
        <f t="shared" si="184"/>
        <v>8.3081560854426598E-2</v>
      </c>
      <c r="BS108" s="988">
        <f t="shared" si="185"/>
        <v>0.55492068265543948</v>
      </c>
      <c r="BT108" s="519">
        <f t="shared" si="265"/>
        <v>129</v>
      </c>
      <c r="BU108" s="519"/>
      <c r="BV108" s="113">
        <f t="shared" si="266"/>
        <v>7.6252234466458471E-2</v>
      </c>
      <c r="BW108" s="276">
        <f t="shared" si="188"/>
        <v>1.0039691804809714E-2</v>
      </c>
      <c r="BX108" s="273">
        <v>243</v>
      </c>
      <c r="BY108" s="113"/>
      <c r="BZ108" s="1013"/>
      <c r="CA108" s="1005">
        <f t="shared" ref="CA108:CA139" si="291">BJ108+K108+T108+AN108+CN108-CQ108+C108</f>
        <v>12003</v>
      </c>
      <c r="CB108" s="2">
        <f t="shared" si="221"/>
        <v>10369</v>
      </c>
      <c r="CC108" s="2">
        <f t="shared" si="222"/>
        <v>11675</v>
      </c>
      <c r="CD108" s="2"/>
      <c r="CE108" s="2"/>
      <c r="CF108" s="2">
        <v>12726</v>
      </c>
      <c r="CG108" s="2">
        <v>-119</v>
      </c>
      <c r="CH108" s="2">
        <f t="shared" si="267"/>
        <v>4</v>
      </c>
      <c r="CI108" s="2">
        <v>1043</v>
      </c>
      <c r="CJ108" s="2"/>
      <c r="CK108" s="2"/>
      <c r="CL108" s="171">
        <f t="shared" si="192"/>
        <v>7533.2462972708818</v>
      </c>
      <c r="CM108" s="169">
        <f t="shared" si="193"/>
        <v>8076.2462972708818</v>
      </c>
      <c r="CN108" s="170">
        <f t="shared" si="268"/>
        <v>2728</v>
      </c>
      <c r="CO108" s="170">
        <f t="shared" si="269"/>
        <v>2728</v>
      </c>
      <c r="CP108" s="170">
        <f>CV108+DD108</f>
        <v>5348.2462972708818</v>
      </c>
      <c r="CQ108" s="170">
        <f>CW108+DE108</f>
        <v>543</v>
      </c>
      <c r="CR108" s="170">
        <v>179</v>
      </c>
      <c r="CS108" s="113">
        <f t="shared" si="198"/>
        <v>4.2260098062106004E-2</v>
      </c>
      <c r="CT108" s="170">
        <f t="shared" si="270"/>
        <v>7846.2462972708818</v>
      </c>
      <c r="CU108" s="2">
        <v>2704</v>
      </c>
      <c r="CV108" s="169">
        <f t="shared" si="271"/>
        <v>5142.2462972708818</v>
      </c>
      <c r="CW108" s="2">
        <v>536</v>
      </c>
      <c r="CX108" s="2"/>
      <c r="CY108" s="2"/>
      <c r="CZ108" s="170">
        <f t="shared" si="272"/>
        <v>230</v>
      </c>
      <c r="DA108" s="170">
        <f t="shared" si="273"/>
        <v>230</v>
      </c>
      <c r="DB108" s="170">
        <f t="shared" si="274"/>
        <v>24</v>
      </c>
      <c r="DC108" s="2">
        <v>24</v>
      </c>
      <c r="DD108" s="2">
        <v>206</v>
      </c>
      <c r="DE108" s="2">
        <v>7</v>
      </c>
      <c r="DF108" s="2"/>
      <c r="DG108" s="2"/>
      <c r="DH108" s="171">
        <f t="shared" si="227"/>
        <v>1335</v>
      </c>
      <c r="DI108" s="2">
        <f t="shared" si="250"/>
        <v>1581</v>
      </c>
      <c r="DJ108" s="169">
        <f t="shared" si="244"/>
        <v>1335</v>
      </c>
      <c r="DK108" s="2">
        <v>246</v>
      </c>
      <c r="DL108" s="113">
        <f t="shared" si="275"/>
        <v>0.11122219445138715</v>
      </c>
      <c r="DM108" s="113">
        <f t="shared" si="202"/>
        <v>0.18320296418279128</v>
      </c>
      <c r="DN108" s="113">
        <v>0.6</v>
      </c>
      <c r="DO108" s="2"/>
      <c r="DP108" s="2">
        <v>0</v>
      </c>
      <c r="DQ108" s="273">
        <v>1975</v>
      </c>
      <c r="DR108" s="2">
        <v>1619</v>
      </c>
      <c r="DS108" s="2">
        <v>606</v>
      </c>
      <c r="DT108" s="169">
        <f t="shared" si="245"/>
        <v>2225</v>
      </c>
      <c r="DU108" s="2">
        <v>8811</v>
      </c>
      <c r="DV108" s="2"/>
      <c r="DW108" s="2">
        <v>1727</v>
      </c>
      <c r="DX108" s="2">
        <v>1577</v>
      </c>
      <c r="DY108" s="2">
        <v>816</v>
      </c>
      <c r="DZ108" s="2"/>
      <c r="EA108" s="2">
        <v>1577</v>
      </c>
      <c r="EB108" s="2">
        <v>816</v>
      </c>
      <c r="EC108" s="175">
        <f t="shared" si="218"/>
        <v>761</v>
      </c>
      <c r="ED108" s="175">
        <v>264</v>
      </c>
      <c r="EE108" s="175">
        <f t="shared" si="204"/>
        <v>497</v>
      </c>
      <c r="EF108" s="175">
        <f>GP108</f>
        <v>523</v>
      </c>
      <c r="EG108" s="2">
        <v>65</v>
      </c>
      <c r="EH108" s="78">
        <f t="shared" si="205"/>
        <v>534</v>
      </c>
      <c r="EI108" s="2">
        <v>2489</v>
      </c>
      <c r="EJ108" s="2">
        <v>2669</v>
      </c>
      <c r="EK108" s="2"/>
      <c r="EL108" s="2"/>
      <c r="EM108" s="2"/>
      <c r="EN108" s="2"/>
      <c r="EO108" s="2">
        <v>3067</v>
      </c>
      <c r="EP108" s="2">
        <v>3050</v>
      </c>
      <c r="EQ108" s="175">
        <f t="shared" si="232"/>
        <v>12583</v>
      </c>
      <c r="ER108" s="2">
        <f t="shared" si="206"/>
        <v>12532</v>
      </c>
      <c r="ES108" s="262">
        <f t="shared" si="237"/>
        <v>0.99594691250099343</v>
      </c>
      <c r="ET108" s="2">
        <f t="shared" si="276"/>
        <v>12583</v>
      </c>
      <c r="EU108" s="2">
        <f t="shared" si="277"/>
        <v>12860</v>
      </c>
      <c r="EV108" s="262">
        <f t="shared" ref="EV108:EV169" si="292">EU108/ET108</f>
        <v>1.022013828180879</v>
      </c>
      <c r="EW108" s="2">
        <v>12726</v>
      </c>
      <c r="EX108" s="1042">
        <v>143</v>
      </c>
      <c r="EY108" s="273">
        <f t="shared" si="278"/>
        <v>9121.2529411764699</v>
      </c>
      <c r="EZ108" s="2">
        <f t="shared" si="279"/>
        <v>4086</v>
      </c>
      <c r="FA108" s="1714"/>
      <c r="FB108" s="1714"/>
      <c r="FC108" s="2">
        <v>2218</v>
      </c>
      <c r="FD108" s="2">
        <v>562</v>
      </c>
      <c r="FE108" s="1052">
        <v>785</v>
      </c>
      <c r="FF108" s="1050"/>
      <c r="FG108" s="115"/>
      <c r="FH108" s="83"/>
      <c r="FI108" s="2">
        <v>35</v>
      </c>
      <c r="FJ108" s="2">
        <f t="shared" si="208"/>
        <v>35</v>
      </c>
      <c r="FK108" s="273">
        <f t="shared" si="224"/>
        <v>126</v>
      </c>
      <c r="FL108" s="310">
        <v>126</v>
      </c>
      <c r="FM108" s="310">
        <v>-210.55311676909571</v>
      </c>
      <c r="FN108" s="115"/>
      <c r="FO108" s="115"/>
      <c r="FP108" s="115"/>
      <c r="FQ108" s="115"/>
      <c r="FR108" s="115"/>
      <c r="FS108" s="1051"/>
      <c r="FT108" s="310">
        <f t="shared" ref="FT108:FT123" si="293">FU108</f>
        <v>1225.5531167690958</v>
      </c>
      <c r="FU108" s="310">
        <v>1225.5531167690958</v>
      </c>
      <c r="FV108" s="310"/>
      <c r="FW108" s="513">
        <f t="shared" si="280"/>
        <v>1225.5531167690958</v>
      </c>
      <c r="FX108" s="115"/>
      <c r="FY108" s="115"/>
      <c r="FZ108" s="115"/>
      <c r="GA108" s="115"/>
      <c r="GB108" s="115"/>
      <c r="GC108" s="115"/>
      <c r="GD108" s="115"/>
      <c r="GE108" s="115"/>
      <c r="GF108" s="115"/>
      <c r="GG108" s="115"/>
      <c r="GH108" s="115"/>
      <c r="GI108" s="115"/>
      <c r="GJ108" s="115"/>
      <c r="GK108" s="1055">
        <f t="shared" si="281"/>
        <v>993</v>
      </c>
      <c r="GL108" s="115"/>
      <c r="GM108" s="115"/>
      <c r="GN108" s="115"/>
      <c r="GO108" s="310">
        <v>993</v>
      </c>
      <c r="GP108" s="310">
        <f t="shared" si="246"/>
        <v>523</v>
      </c>
      <c r="GQ108" s="2">
        <v>523</v>
      </c>
      <c r="GR108" s="115"/>
      <c r="GS108" s="115"/>
      <c r="GT108" s="115"/>
      <c r="GU108" s="2">
        <f t="shared" si="225"/>
        <v>470</v>
      </c>
      <c r="GV108" s="1063">
        <v>593</v>
      </c>
      <c r="GW108" s="1063">
        <f>DataUK4!D260+DataUK4!F260</f>
        <v>499.7</v>
      </c>
      <c r="GX108" s="615"/>
      <c r="GY108" s="615">
        <f t="shared" si="210"/>
        <v>419.25294117647076</v>
      </c>
      <c r="GZ108" s="254"/>
      <c r="HA108" s="254"/>
      <c r="HB108" s="2">
        <v>201</v>
      </c>
      <c r="HC108" s="1052"/>
      <c r="HD108" s="170">
        <f t="shared" ref="HD108:HD139" si="294">HE108-HF108</f>
        <v>206</v>
      </c>
      <c r="HE108" s="2">
        <v>344</v>
      </c>
      <c r="HF108" s="2">
        <v>138</v>
      </c>
      <c r="HG108" s="170">
        <f t="shared" ref="HG108:HG139" si="295">HH108-HI108</f>
        <v>-20</v>
      </c>
      <c r="HH108" s="2">
        <v>8</v>
      </c>
      <c r="HI108" s="2">
        <v>28</v>
      </c>
      <c r="HJ108" s="2">
        <f t="shared" si="282"/>
        <v>0</v>
      </c>
      <c r="HK108" s="2"/>
      <c r="HL108" s="2"/>
      <c r="HM108" s="2">
        <f t="shared" si="247"/>
        <v>0</v>
      </c>
      <c r="HN108" s="2">
        <f t="shared" si="283"/>
        <v>29</v>
      </c>
      <c r="HO108" s="2">
        <f t="shared" si="284"/>
        <v>29</v>
      </c>
      <c r="HP108" s="2">
        <v>12912</v>
      </c>
      <c r="HQ108" s="2">
        <v>12941</v>
      </c>
      <c r="HR108" s="115"/>
      <c r="HS108" s="1051"/>
      <c r="HT108" s="1002">
        <v>32</v>
      </c>
      <c r="HU108" s="1002">
        <v>3.9</v>
      </c>
      <c r="HV108" s="1002">
        <v>4.5</v>
      </c>
    </row>
    <row r="109" spans="1:230">
      <c r="A109" s="110">
        <f t="shared" ref="A109:A140" si="296">A108+1</f>
        <v>1950</v>
      </c>
      <c r="B109" s="176">
        <f t="shared" si="248"/>
        <v>12639</v>
      </c>
      <c r="C109" s="177">
        <f t="shared" si="145"/>
        <v>357</v>
      </c>
      <c r="D109" s="176">
        <f t="shared" si="285"/>
        <v>12282</v>
      </c>
      <c r="E109" s="154">
        <f t="shared" si="251"/>
        <v>13395</v>
      </c>
      <c r="F109" s="995">
        <f t="shared" si="252"/>
        <v>1113</v>
      </c>
      <c r="G109" s="531">
        <f t="shared" ref="G109:G140" si="297">H109+C109</f>
        <v>12391</v>
      </c>
      <c r="H109" s="531">
        <f t="shared" ref="H109:H140" si="298">I109-F109</f>
        <v>12034</v>
      </c>
      <c r="I109" s="531">
        <f t="shared" ref="I109:I140" si="299">DT109+DU109+DW109+EI109-EJ109</f>
        <v>13147</v>
      </c>
      <c r="J109" s="548">
        <f t="shared" ref="J109:J140" si="300">E109/I109</f>
        <v>1.0188636190765954</v>
      </c>
      <c r="K109" s="178">
        <f t="shared" si="242"/>
        <v>1419</v>
      </c>
      <c r="L109" s="2">
        <v>1895</v>
      </c>
      <c r="M109" s="2">
        <v>476</v>
      </c>
      <c r="N109" s="2">
        <v>1160</v>
      </c>
      <c r="O109" s="170">
        <f t="shared" si="286"/>
        <v>259</v>
      </c>
      <c r="P109" s="175">
        <v>0</v>
      </c>
      <c r="Q109" s="175">
        <f t="shared" si="243"/>
        <v>259</v>
      </c>
      <c r="R109" s="175">
        <f t="shared" si="287"/>
        <v>0</v>
      </c>
      <c r="S109" s="532">
        <f t="shared" si="229"/>
        <v>0.12567531662385972</v>
      </c>
      <c r="T109" s="1008">
        <f t="shared" si="253"/>
        <v>111</v>
      </c>
      <c r="U109" s="1010">
        <v>111</v>
      </c>
      <c r="V109" s="511">
        <f t="shared" si="288"/>
        <v>227</v>
      </c>
      <c r="W109" s="2">
        <v>227</v>
      </c>
      <c r="X109" s="169">
        <f t="shared" si="254"/>
        <v>116</v>
      </c>
      <c r="Y109" s="113">
        <f t="shared" si="255"/>
        <v>0.51101321585903081</v>
      </c>
      <c r="Z109" s="113">
        <f t="shared" si="256"/>
        <v>0.51101321585903081</v>
      </c>
      <c r="AA109" s="276">
        <f>X109/DataUK3!D109</f>
        <v>9.8023375226172441E-3</v>
      </c>
      <c r="AB109" s="1019">
        <f t="shared" si="257"/>
        <v>8.6599477416946617E-3</v>
      </c>
      <c r="AC109" s="113"/>
      <c r="AD109" s="113"/>
      <c r="AE109" s="113"/>
      <c r="AF109" s="113"/>
      <c r="AG109" s="113"/>
      <c r="AH109" s="113"/>
      <c r="AI109" s="1010">
        <f>AD109*DataUK3!BG109</f>
        <v>0</v>
      </c>
      <c r="AJ109" s="171">
        <f t="shared" si="249"/>
        <v>1577.9619577475378</v>
      </c>
      <c r="AK109" s="561"/>
      <c r="AL109" s="169">
        <f t="shared" ref="AL109:AL140" si="301">AO109+BM109</f>
        <v>1725.9619577475378</v>
      </c>
      <c r="AM109" s="169"/>
      <c r="AN109" s="2">
        <v>962</v>
      </c>
      <c r="AO109" s="1029">
        <f t="shared" si="258"/>
        <v>1110</v>
      </c>
      <c r="AP109" s="170">
        <v>539</v>
      </c>
      <c r="AQ109" s="170"/>
      <c r="AR109" s="170"/>
      <c r="AS109" s="170">
        <v>1389</v>
      </c>
      <c r="AT109" s="170"/>
      <c r="AU109" s="170"/>
      <c r="AV109" s="83"/>
      <c r="AW109" s="175">
        <f t="shared" si="143"/>
        <v>2322</v>
      </c>
      <c r="AX109" s="170">
        <v>2126</v>
      </c>
      <c r="AY109" s="170">
        <v>196</v>
      </c>
      <c r="AZ109" s="358">
        <v>139</v>
      </c>
      <c r="BA109" s="358"/>
      <c r="BB109" s="203">
        <f t="shared" si="259"/>
        <v>0.42115027829313545</v>
      </c>
      <c r="BC109" s="203">
        <f t="shared" si="260"/>
        <v>0.79913606911447088</v>
      </c>
      <c r="BD109" s="203">
        <f t="shared" si="261"/>
        <v>1.1705426356589148</v>
      </c>
      <c r="BE109" s="203">
        <f t="shared" si="262"/>
        <v>0.95411764705882351</v>
      </c>
      <c r="BF109" s="170">
        <v>332</v>
      </c>
      <c r="BG109" s="113"/>
      <c r="BH109" s="203">
        <f t="shared" si="263"/>
        <v>1.0241145440844008</v>
      </c>
      <c r="BI109" s="273">
        <v>7648</v>
      </c>
      <c r="BJ109" s="2">
        <f t="shared" ref="BJ109:BJ140" si="302">BI109-HG109</f>
        <v>7669</v>
      </c>
      <c r="BK109" s="83"/>
      <c r="BL109" s="170"/>
      <c r="BM109" s="1031">
        <f t="shared" ref="BM109:BM145" si="303">BS109*AO109</f>
        <v>615.96195774753778</v>
      </c>
      <c r="BN109" s="310"/>
      <c r="BO109" s="262">
        <f t="shared" si="289"/>
        <v>7.6113616583590477E-2</v>
      </c>
      <c r="BP109" s="262">
        <f t="shared" si="264"/>
        <v>8.7823403750296694E-2</v>
      </c>
      <c r="BQ109" s="262">
        <f t="shared" si="290"/>
        <v>4.8735023162238926E-2</v>
      </c>
      <c r="BR109" s="262">
        <f t="shared" ref="BR109:BR140" si="304">BM109/BI109</f>
        <v>8.0538958910504416E-2</v>
      </c>
      <c r="BS109" s="988">
        <f t="shared" si="185"/>
        <v>0.55492068265543948</v>
      </c>
      <c r="BT109" s="519">
        <f t="shared" si="265"/>
        <v>148</v>
      </c>
      <c r="BU109" s="519"/>
      <c r="BV109" s="113">
        <f t="shared" si="266"/>
        <v>8.5749282790187925E-2</v>
      </c>
      <c r="BW109" s="276">
        <f t="shared" ref="BW109:BW140" si="305">BT109/E109</f>
        <v>1.1048898842851811E-2</v>
      </c>
      <c r="BX109" s="273">
        <v>264</v>
      </c>
      <c r="BY109" s="113"/>
      <c r="BZ109" s="1013"/>
      <c r="CA109" s="1005">
        <f t="shared" si="291"/>
        <v>12639</v>
      </c>
      <c r="CB109" s="2">
        <f t="shared" si="221"/>
        <v>11291</v>
      </c>
      <c r="CC109" s="2">
        <f t="shared" si="222"/>
        <v>12710</v>
      </c>
      <c r="CD109" s="2"/>
      <c r="CE109" s="2"/>
      <c r="CF109" s="2">
        <v>13308</v>
      </c>
      <c r="CG109" s="2">
        <v>-81</v>
      </c>
      <c r="CH109" s="2">
        <f t="shared" si="267"/>
        <v>6</v>
      </c>
      <c r="CI109" s="2">
        <v>1124</v>
      </c>
      <c r="CJ109" s="2"/>
      <c r="CK109" s="2"/>
      <c r="CL109" s="171">
        <f t="shared" ref="CL109:CL140" si="306">CM109-CQ109</f>
        <v>7785.0380422524613</v>
      </c>
      <c r="CM109" s="169">
        <f t="shared" ref="CM109:CM140" si="307">CN109+CP109</f>
        <v>8382.0380422524613</v>
      </c>
      <c r="CN109" s="170">
        <f t="shared" si="268"/>
        <v>2718</v>
      </c>
      <c r="CO109" s="170">
        <f t="shared" si="269"/>
        <v>2718</v>
      </c>
      <c r="CP109" s="170">
        <f t="shared" ref="CP109:CP169" si="308">CV109+DD109</f>
        <v>5664.0380422524622</v>
      </c>
      <c r="CQ109" s="170">
        <f t="shared" ref="CQ109:CQ169" si="309">CW109+DE109</f>
        <v>597</v>
      </c>
      <c r="CR109" s="170">
        <v>194</v>
      </c>
      <c r="CS109" s="113">
        <f t="shared" ref="CS109:CS140" si="310">CQ109/E109</f>
        <v>4.4568868980963045E-2</v>
      </c>
      <c r="CT109" s="170">
        <f t="shared" si="270"/>
        <v>8132.0380422524622</v>
      </c>
      <c r="CU109" s="2">
        <v>2685</v>
      </c>
      <c r="CV109" s="169">
        <f t="shared" si="271"/>
        <v>5447.0380422524622</v>
      </c>
      <c r="CW109" s="2">
        <v>590</v>
      </c>
      <c r="CX109" s="2"/>
      <c r="CY109" s="2"/>
      <c r="CZ109" s="170">
        <f t="shared" si="272"/>
        <v>250</v>
      </c>
      <c r="DA109" s="170">
        <f t="shared" si="273"/>
        <v>250</v>
      </c>
      <c r="DB109" s="170">
        <f t="shared" si="274"/>
        <v>33</v>
      </c>
      <c r="DC109" s="2">
        <v>33</v>
      </c>
      <c r="DD109" s="2">
        <v>217</v>
      </c>
      <c r="DE109" s="2">
        <v>7</v>
      </c>
      <c r="DF109" s="2"/>
      <c r="DG109" s="2"/>
      <c r="DH109" s="171">
        <f t="shared" si="227"/>
        <v>1389</v>
      </c>
      <c r="DI109" s="2">
        <f t="shared" si="250"/>
        <v>1641</v>
      </c>
      <c r="DJ109" s="169">
        <f t="shared" si="244"/>
        <v>1389</v>
      </c>
      <c r="DK109" s="2">
        <v>252</v>
      </c>
      <c r="DL109" s="113">
        <f t="shared" si="275"/>
        <v>0.10989793496320911</v>
      </c>
      <c r="DM109" s="113">
        <f t="shared" ref="DM109:DM140" si="311">DJ109/BJ109</f>
        <v>0.1811187899334985</v>
      </c>
      <c r="DN109" s="113">
        <v>0.6</v>
      </c>
      <c r="DO109" s="2"/>
      <c r="DP109" s="2">
        <v>0</v>
      </c>
      <c r="DQ109" s="273">
        <v>2062</v>
      </c>
      <c r="DR109" s="2">
        <v>1682</v>
      </c>
      <c r="DS109" s="2">
        <v>633</v>
      </c>
      <c r="DT109" s="169">
        <f t="shared" si="245"/>
        <v>2315</v>
      </c>
      <c r="DU109" s="2">
        <v>9301</v>
      </c>
      <c r="DV109" s="2"/>
      <c r="DW109" s="2">
        <v>1589</v>
      </c>
      <c r="DX109" s="2">
        <v>1700</v>
      </c>
      <c r="DY109" s="2">
        <v>880</v>
      </c>
      <c r="DZ109" s="2"/>
      <c r="EA109" s="2">
        <v>1700</v>
      </c>
      <c r="EB109" s="2">
        <v>880</v>
      </c>
      <c r="EC109" s="175">
        <f t="shared" si="218"/>
        <v>820</v>
      </c>
      <c r="ED109" s="175">
        <v>288</v>
      </c>
      <c r="EE109" s="175">
        <f t="shared" ref="EE109:EE124" si="312">EC109-ED109</f>
        <v>532</v>
      </c>
      <c r="EF109" s="175">
        <f>GP109</f>
        <v>556</v>
      </c>
      <c r="EG109" s="2">
        <v>-210</v>
      </c>
      <c r="EH109" s="78">
        <f t="shared" ref="EH109:EH124" si="313">DX109-CI109</f>
        <v>576</v>
      </c>
      <c r="EI109" s="2">
        <v>2988</v>
      </c>
      <c r="EJ109" s="2">
        <v>3046</v>
      </c>
      <c r="EK109" s="2"/>
      <c r="EL109" s="2"/>
      <c r="EM109" s="2"/>
      <c r="EN109" s="2"/>
      <c r="EO109" s="2">
        <v>3807</v>
      </c>
      <c r="EP109" s="2">
        <v>3492</v>
      </c>
      <c r="EQ109" s="175">
        <f t="shared" si="232"/>
        <v>13147</v>
      </c>
      <c r="ER109" s="2">
        <f t="shared" si="206"/>
        <v>13477</v>
      </c>
      <c r="ES109" s="262">
        <f t="shared" si="237"/>
        <v>1.0251007834486956</v>
      </c>
      <c r="ET109" s="2">
        <f t="shared" si="276"/>
        <v>13147</v>
      </c>
      <c r="EU109" s="2">
        <f t="shared" si="277"/>
        <v>13406</v>
      </c>
      <c r="EV109" s="262">
        <f t="shared" si="292"/>
        <v>1.0197003118582186</v>
      </c>
      <c r="EW109" s="2">
        <v>13308</v>
      </c>
      <c r="EX109" s="1042">
        <v>161</v>
      </c>
      <c r="EY109" s="273">
        <f t="shared" si="278"/>
        <v>9704.0058823529416</v>
      </c>
      <c r="EZ109" s="2">
        <f t="shared" si="279"/>
        <v>4172</v>
      </c>
      <c r="FA109" s="1714"/>
      <c r="FB109" s="1714"/>
      <c r="FC109" s="2">
        <v>2179</v>
      </c>
      <c r="FD109" s="2">
        <v>574</v>
      </c>
      <c r="FE109" s="1052">
        <v>805</v>
      </c>
      <c r="FF109" s="1050"/>
      <c r="FG109" s="115"/>
      <c r="FH109" s="83"/>
      <c r="FI109" s="2">
        <v>338</v>
      </c>
      <c r="FJ109" s="2">
        <f t="shared" ref="FJ109:FJ140" si="314">EI109-EJ109+C109+HO109</f>
        <v>338</v>
      </c>
      <c r="FK109" s="273">
        <f t="shared" si="224"/>
        <v>128</v>
      </c>
      <c r="FL109" s="310">
        <v>128</v>
      </c>
      <c r="FM109" s="310">
        <v>-191.50307287093943</v>
      </c>
      <c r="FN109" s="115"/>
      <c r="FO109" s="115"/>
      <c r="FP109" s="115"/>
      <c r="FQ109" s="115"/>
      <c r="FR109" s="115"/>
      <c r="FS109" s="1051"/>
      <c r="FT109" s="310">
        <f t="shared" si="293"/>
        <v>1223.5030728709394</v>
      </c>
      <c r="FU109" s="310">
        <v>1223.5030728709394</v>
      </c>
      <c r="FV109" s="310"/>
      <c r="FW109" s="513">
        <f t="shared" si="280"/>
        <v>1223.5030728709394</v>
      </c>
      <c r="FX109" s="115"/>
      <c r="FY109" s="115"/>
      <c r="FZ109" s="115"/>
      <c r="GA109" s="115"/>
      <c r="GB109" s="115"/>
      <c r="GC109" s="115"/>
      <c r="GD109" s="115"/>
      <c r="GE109" s="115"/>
      <c r="GF109" s="115"/>
      <c r="GG109" s="115"/>
      <c r="GH109" s="115"/>
      <c r="GI109" s="115"/>
      <c r="GJ109" s="115"/>
      <c r="GK109" s="1055">
        <f t="shared" si="281"/>
        <v>999</v>
      </c>
      <c r="GL109" s="115"/>
      <c r="GM109" s="115"/>
      <c r="GN109" s="115"/>
      <c r="GO109" s="310">
        <v>999</v>
      </c>
      <c r="GP109" s="310">
        <f t="shared" si="246"/>
        <v>556</v>
      </c>
      <c r="GQ109" s="2">
        <v>556</v>
      </c>
      <c r="GR109" s="115"/>
      <c r="GS109" s="115"/>
      <c r="GT109" s="115"/>
      <c r="GU109" s="2">
        <f t="shared" si="225"/>
        <v>443</v>
      </c>
      <c r="GV109" s="1063">
        <v>603</v>
      </c>
      <c r="GW109" s="1063">
        <f>DataUK4!D261+DataUK4!F261</f>
        <v>514.9</v>
      </c>
      <c r="GX109" s="615"/>
      <c r="GY109" s="615">
        <f t="shared" si="210"/>
        <v>432.00588235294134</v>
      </c>
      <c r="GZ109" s="254"/>
      <c r="HA109" s="254"/>
      <c r="HB109" s="2">
        <v>203</v>
      </c>
      <c r="HC109" s="1052"/>
      <c r="HD109" s="170">
        <f t="shared" si="294"/>
        <v>378</v>
      </c>
      <c r="HE109" s="2">
        <v>547</v>
      </c>
      <c r="HF109" s="2">
        <v>169</v>
      </c>
      <c r="HG109" s="170">
        <f t="shared" si="295"/>
        <v>-21</v>
      </c>
      <c r="HH109" s="2">
        <v>9</v>
      </c>
      <c r="HI109" s="2">
        <v>30</v>
      </c>
      <c r="HJ109" s="2">
        <f t="shared" si="282"/>
        <v>0</v>
      </c>
      <c r="HK109" s="2"/>
      <c r="HL109" s="2"/>
      <c r="HM109" s="2">
        <f t="shared" si="247"/>
        <v>0</v>
      </c>
      <c r="HN109" s="2">
        <f t="shared" si="283"/>
        <v>39</v>
      </c>
      <c r="HO109" s="2">
        <f t="shared" si="284"/>
        <v>39</v>
      </c>
      <c r="HP109" s="2">
        <v>13665</v>
      </c>
      <c r="HQ109" s="2">
        <v>13704</v>
      </c>
      <c r="HR109" s="115"/>
      <c r="HS109" s="1051"/>
      <c r="HT109" s="1002">
        <v>33</v>
      </c>
      <c r="HU109" s="1002">
        <v>4</v>
      </c>
      <c r="HV109" s="1002">
        <v>4.7</v>
      </c>
    </row>
    <row r="110" spans="1:230">
      <c r="A110" s="110">
        <f t="shared" si="296"/>
        <v>1951</v>
      </c>
      <c r="B110" s="176">
        <f t="shared" si="248"/>
        <v>13885.000000000002</v>
      </c>
      <c r="C110" s="177">
        <f t="shared" si="145"/>
        <v>301</v>
      </c>
      <c r="D110" s="176">
        <f t="shared" si="285"/>
        <v>13584.000000000002</v>
      </c>
      <c r="E110" s="154">
        <f t="shared" si="251"/>
        <v>14887.000000000002</v>
      </c>
      <c r="F110" s="995">
        <f t="shared" si="252"/>
        <v>1303</v>
      </c>
      <c r="G110" s="531">
        <f t="shared" si="297"/>
        <v>13671</v>
      </c>
      <c r="H110" s="531">
        <f t="shared" si="298"/>
        <v>13370</v>
      </c>
      <c r="I110" s="531">
        <f t="shared" si="299"/>
        <v>14673</v>
      </c>
      <c r="J110" s="548">
        <f t="shared" si="300"/>
        <v>1.0145846111906223</v>
      </c>
      <c r="K110" s="178">
        <f t="shared" si="242"/>
        <v>1616</v>
      </c>
      <c r="L110" s="2">
        <v>2086</v>
      </c>
      <c r="M110" s="2">
        <v>470</v>
      </c>
      <c r="N110" s="2">
        <v>1345</v>
      </c>
      <c r="O110" s="170">
        <f t="shared" si="286"/>
        <v>271</v>
      </c>
      <c r="P110" s="175">
        <v>0</v>
      </c>
      <c r="Q110" s="175">
        <f t="shared" si="243"/>
        <v>271</v>
      </c>
      <c r="R110" s="175">
        <f t="shared" si="287"/>
        <v>0</v>
      </c>
      <c r="S110" s="532">
        <f t="shared" si="229"/>
        <v>0.13054366265449552</v>
      </c>
      <c r="T110" s="1008">
        <f t="shared" si="253"/>
        <v>97</v>
      </c>
      <c r="U110" s="1010">
        <v>97</v>
      </c>
      <c r="V110" s="511">
        <f t="shared" si="288"/>
        <v>233</v>
      </c>
      <c r="W110" s="2">
        <v>233</v>
      </c>
      <c r="X110" s="169">
        <f t="shared" si="254"/>
        <v>136</v>
      </c>
      <c r="Y110" s="113">
        <f t="shared" si="255"/>
        <v>0.58369098712446355</v>
      </c>
      <c r="Z110" s="113">
        <f t="shared" si="256"/>
        <v>0.58369098712446355</v>
      </c>
      <c r="AA110" s="276">
        <f>X110/DataUK3!D110</f>
        <v>1.0623222930915239E-2</v>
      </c>
      <c r="AB110" s="1019">
        <f t="shared" si="257"/>
        <v>9.1354873379458582E-3</v>
      </c>
      <c r="AC110" s="113"/>
      <c r="AD110" s="113"/>
      <c r="AE110" s="113"/>
      <c r="AF110" s="113"/>
      <c r="AG110" s="113"/>
      <c r="AH110" s="113"/>
      <c r="AI110" s="1010">
        <f>AD110*DataUK3!BG110</f>
        <v>0</v>
      </c>
      <c r="AJ110" s="171">
        <f t="shared" si="249"/>
        <v>1619.4883091496881</v>
      </c>
      <c r="AK110" s="561"/>
      <c r="AL110" s="169">
        <f t="shared" si="301"/>
        <v>1797.4883091496881</v>
      </c>
      <c r="AM110" s="169"/>
      <c r="AN110" s="2">
        <v>978</v>
      </c>
      <c r="AO110" s="1029">
        <f t="shared" si="258"/>
        <v>1156</v>
      </c>
      <c r="AP110" s="170">
        <v>552</v>
      </c>
      <c r="AQ110" s="170"/>
      <c r="AR110" s="170"/>
      <c r="AS110" s="170">
        <v>1437</v>
      </c>
      <c r="AT110" s="170"/>
      <c r="AU110" s="170"/>
      <c r="AV110" s="83"/>
      <c r="AW110" s="175">
        <f t="shared" si="143"/>
        <v>2743</v>
      </c>
      <c r="AX110" s="170">
        <v>2483</v>
      </c>
      <c r="AY110" s="170">
        <v>260</v>
      </c>
      <c r="AZ110" s="358">
        <v>117</v>
      </c>
      <c r="BA110" s="358"/>
      <c r="BB110" s="203">
        <f t="shared" si="259"/>
        <v>0.42210144927536231</v>
      </c>
      <c r="BC110" s="203">
        <f t="shared" si="260"/>
        <v>0.80445372303409879</v>
      </c>
      <c r="BD110" s="203">
        <f t="shared" si="261"/>
        <v>1.1144732045205978</v>
      </c>
      <c r="BE110" s="203">
        <f t="shared" si="262"/>
        <v>0.93956043956043955</v>
      </c>
      <c r="BF110" s="170">
        <v>357</v>
      </c>
      <c r="BG110" s="113"/>
      <c r="BH110" s="203">
        <f t="shared" si="263"/>
        <v>0.98612903225806448</v>
      </c>
      <c r="BI110" s="273">
        <v>8522</v>
      </c>
      <c r="BJ110" s="2">
        <f t="shared" si="302"/>
        <v>8543</v>
      </c>
      <c r="BK110" s="83"/>
      <c r="BL110" s="170"/>
      <c r="BM110" s="1031">
        <f t="shared" si="303"/>
        <v>641.48830914968801</v>
      </c>
      <c r="BN110" s="310"/>
      <c r="BO110" s="262">
        <f t="shared" si="289"/>
        <v>7.0435722002160611E-2</v>
      </c>
      <c r="BP110" s="262">
        <f t="shared" si="264"/>
        <v>8.3255311487216405E-2</v>
      </c>
      <c r="BQ110" s="262">
        <f t="shared" si="290"/>
        <v>4.6200094285177386E-2</v>
      </c>
      <c r="BR110" s="262">
        <f t="shared" si="304"/>
        <v>7.5274385021085188E-2</v>
      </c>
      <c r="BS110" s="988">
        <f t="shared" si="185"/>
        <v>0.55492068265543948</v>
      </c>
      <c r="BT110" s="519">
        <f t="shared" si="265"/>
        <v>178</v>
      </c>
      <c r="BU110" s="519"/>
      <c r="BV110" s="113">
        <f t="shared" si="266"/>
        <v>9.9027069658218753E-2</v>
      </c>
      <c r="BW110" s="276">
        <f t="shared" si="305"/>
        <v>1.1956740780546784E-2</v>
      </c>
      <c r="BX110" s="273">
        <v>314</v>
      </c>
      <c r="BY110" s="113"/>
      <c r="BZ110" s="1013"/>
      <c r="CA110" s="1005">
        <f t="shared" si="291"/>
        <v>13885</v>
      </c>
      <c r="CB110" s="2">
        <f t="shared" si="221"/>
        <v>12379</v>
      </c>
      <c r="CC110" s="2">
        <f t="shared" si="222"/>
        <v>13995</v>
      </c>
      <c r="CD110" s="2"/>
      <c r="CE110" s="2"/>
      <c r="CF110" s="2">
        <v>14784</v>
      </c>
      <c r="CG110" s="2">
        <v>-96</v>
      </c>
      <c r="CH110" s="2">
        <f t="shared" si="267"/>
        <v>7.000000000001819</v>
      </c>
      <c r="CI110" s="2">
        <v>1314</v>
      </c>
      <c r="CJ110" s="2"/>
      <c r="CK110" s="2"/>
      <c r="CL110" s="171">
        <f t="shared" si="306"/>
        <v>8630.9116908503129</v>
      </c>
      <c r="CM110" s="169">
        <f t="shared" si="307"/>
        <v>9337.9116908503129</v>
      </c>
      <c r="CN110" s="170">
        <f t="shared" si="268"/>
        <v>3057</v>
      </c>
      <c r="CO110" s="170">
        <f t="shared" si="269"/>
        <v>3057</v>
      </c>
      <c r="CP110" s="170">
        <f t="shared" si="308"/>
        <v>6280.9116908503129</v>
      </c>
      <c r="CQ110" s="170">
        <f t="shared" si="309"/>
        <v>707</v>
      </c>
      <c r="CR110" s="170">
        <v>231</v>
      </c>
      <c r="CS110" s="113">
        <f t="shared" si="310"/>
        <v>4.7491099617115597E-2</v>
      </c>
      <c r="CT110" s="170">
        <f t="shared" si="270"/>
        <v>9063.9116908503129</v>
      </c>
      <c r="CU110" s="2">
        <v>3025</v>
      </c>
      <c r="CV110" s="169">
        <f t="shared" si="271"/>
        <v>6038.9116908503129</v>
      </c>
      <c r="CW110" s="2">
        <v>699</v>
      </c>
      <c r="CX110" s="2"/>
      <c r="CY110" s="2"/>
      <c r="CZ110" s="170">
        <f t="shared" si="272"/>
        <v>274</v>
      </c>
      <c r="DA110" s="170">
        <f t="shared" si="273"/>
        <v>274</v>
      </c>
      <c r="DB110" s="170">
        <f t="shared" si="274"/>
        <v>32</v>
      </c>
      <c r="DC110" s="2">
        <v>32</v>
      </c>
      <c r="DD110" s="2">
        <v>242</v>
      </c>
      <c r="DE110" s="2">
        <v>8</v>
      </c>
      <c r="DF110" s="2"/>
      <c r="DG110" s="2"/>
      <c r="DH110" s="171">
        <f t="shared" si="227"/>
        <v>1620.6</v>
      </c>
      <c r="DI110" s="2">
        <f t="shared" si="250"/>
        <v>1902.6</v>
      </c>
      <c r="DJ110" s="169">
        <f t="shared" si="244"/>
        <v>1620.6</v>
      </c>
      <c r="DK110" s="2">
        <v>282</v>
      </c>
      <c r="DL110" s="113">
        <f t="shared" si="275"/>
        <v>0.11671588044652501</v>
      </c>
      <c r="DM110" s="113">
        <f t="shared" si="311"/>
        <v>0.18969916891021887</v>
      </c>
      <c r="DN110" s="113">
        <v>0.6</v>
      </c>
      <c r="DO110" s="2"/>
      <c r="DP110" s="2">
        <v>0</v>
      </c>
      <c r="DQ110" s="273">
        <v>2423</v>
      </c>
      <c r="DR110" s="2">
        <v>1997</v>
      </c>
      <c r="DS110" s="2">
        <v>704</v>
      </c>
      <c r="DT110" s="169">
        <f t="shared" si="245"/>
        <v>2701</v>
      </c>
      <c r="DU110" s="2">
        <v>10046</v>
      </c>
      <c r="DV110" s="2"/>
      <c r="DW110" s="2">
        <v>2586</v>
      </c>
      <c r="DX110" s="2">
        <v>1889</v>
      </c>
      <c r="DY110" s="2">
        <v>901</v>
      </c>
      <c r="DZ110" s="2"/>
      <c r="EA110" s="2">
        <v>1889</v>
      </c>
      <c r="EB110" s="2">
        <v>901</v>
      </c>
      <c r="EC110" s="175">
        <f t="shared" si="218"/>
        <v>988</v>
      </c>
      <c r="ED110" s="175">
        <v>358</v>
      </c>
      <c r="EE110" s="175">
        <f t="shared" si="312"/>
        <v>630</v>
      </c>
      <c r="EF110" s="175">
        <f t="shared" ref="EF110:EF169" si="315">GP110</f>
        <v>662</v>
      </c>
      <c r="EG110" s="2"/>
      <c r="EH110" s="78">
        <f t="shared" si="313"/>
        <v>575</v>
      </c>
      <c r="EI110" s="2">
        <v>3639</v>
      </c>
      <c r="EJ110" s="2">
        <v>4299</v>
      </c>
      <c r="EK110" s="2"/>
      <c r="EL110" s="2"/>
      <c r="EM110" s="2"/>
      <c r="EN110" s="2"/>
      <c r="EO110" s="2"/>
      <c r="EP110" s="2"/>
      <c r="EQ110" s="2"/>
      <c r="ER110" s="2"/>
      <c r="ES110" s="2"/>
      <c r="ET110" s="2">
        <f t="shared" si="276"/>
        <v>14673</v>
      </c>
      <c r="EU110" s="2">
        <f t="shared" si="277"/>
        <v>14898</v>
      </c>
      <c r="EV110" s="262">
        <f t="shared" si="292"/>
        <v>1.0153342874667757</v>
      </c>
      <c r="EW110" s="2">
        <v>14784</v>
      </c>
      <c r="EX110" s="1042">
        <v>111</v>
      </c>
      <c r="EY110" s="273">
        <f t="shared" si="278"/>
        <v>10677.935913312696</v>
      </c>
      <c r="EZ110" s="2">
        <f t="shared" si="279"/>
        <v>4520</v>
      </c>
      <c r="FA110" s="1714"/>
      <c r="FB110" s="1714"/>
      <c r="FC110" s="2">
        <v>2312</v>
      </c>
      <c r="FD110" s="2">
        <v>592</v>
      </c>
      <c r="FE110" s="1052">
        <v>842</v>
      </c>
      <c r="FF110" s="1050"/>
      <c r="FG110" s="115"/>
      <c r="FH110" s="83"/>
      <c r="FI110" s="2">
        <v>-330</v>
      </c>
      <c r="FJ110" s="2">
        <f t="shared" si="314"/>
        <v>-330</v>
      </c>
      <c r="FK110" s="273">
        <f t="shared" si="224"/>
        <v>114</v>
      </c>
      <c r="FL110" s="310">
        <v>114</v>
      </c>
      <c r="FM110" s="310">
        <v>-202.53204565408254</v>
      </c>
      <c r="FN110" s="115"/>
      <c r="FO110" s="115"/>
      <c r="FP110" s="115"/>
      <c r="FQ110" s="115"/>
      <c r="FR110" s="115"/>
      <c r="FS110" s="1051"/>
      <c r="FT110" s="310">
        <f t="shared" si="293"/>
        <v>1608.5320456540833</v>
      </c>
      <c r="FU110" s="310">
        <v>1608.5320456540833</v>
      </c>
      <c r="FV110" s="310"/>
      <c r="FW110" s="513">
        <f t="shared" si="280"/>
        <v>1608.5320456540833</v>
      </c>
      <c r="FX110" s="115"/>
      <c r="FY110" s="115"/>
      <c r="FZ110" s="115"/>
      <c r="GA110" s="115"/>
      <c r="GB110" s="115"/>
      <c r="GC110" s="115"/>
      <c r="GD110" s="115"/>
      <c r="GE110" s="115"/>
      <c r="GF110" s="115"/>
      <c r="GG110" s="115"/>
      <c r="GH110" s="115"/>
      <c r="GI110" s="115"/>
      <c r="GJ110" s="115"/>
      <c r="GK110" s="1055">
        <f t="shared" si="281"/>
        <v>929</v>
      </c>
      <c r="GL110" s="115"/>
      <c r="GM110" s="115"/>
      <c r="GN110" s="115"/>
      <c r="GO110" s="310">
        <v>929</v>
      </c>
      <c r="GP110" s="310">
        <f t="shared" si="246"/>
        <v>662</v>
      </c>
      <c r="GQ110" s="2">
        <v>662</v>
      </c>
      <c r="GR110" s="115"/>
      <c r="GS110" s="115"/>
      <c r="GT110" s="115"/>
      <c r="GU110" s="2">
        <f t="shared" si="225"/>
        <v>267</v>
      </c>
      <c r="GV110" s="1063">
        <v>655</v>
      </c>
      <c r="GW110" s="1063">
        <f>DataUK4!D262+DataUK4!F262</f>
        <v>561.29999999999995</v>
      </c>
      <c r="GX110" s="615"/>
      <c r="GY110" s="615">
        <f t="shared" si="210"/>
        <v>470.93591331269363</v>
      </c>
      <c r="GZ110" s="254"/>
      <c r="HA110" s="254"/>
      <c r="HB110" s="2">
        <v>224</v>
      </c>
      <c r="HC110" s="1052"/>
      <c r="HD110" s="170">
        <f t="shared" si="294"/>
        <v>322</v>
      </c>
      <c r="HE110" s="2">
        <v>542</v>
      </c>
      <c r="HF110" s="2">
        <v>220</v>
      </c>
      <c r="HG110" s="170">
        <f t="shared" si="295"/>
        <v>-21</v>
      </c>
      <c r="HH110" s="2">
        <v>11</v>
      </c>
      <c r="HI110" s="2">
        <v>32</v>
      </c>
      <c r="HJ110" s="2">
        <f t="shared" si="282"/>
        <v>0</v>
      </c>
      <c r="HK110" s="2"/>
      <c r="HL110" s="2"/>
      <c r="HM110" s="2">
        <f t="shared" si="247"/>
        <v>0</v>
      </c>
      <c r="HN110" s="2">
        <f t="shared" si="283"/>
        <v>29</v>
      </c>
      <c r="HO110" s="2">
        <f t="shared" si="284"/>
        <v>29</v>
      </c>
      <c r="HP110" s="2">
        <v>15085</v>
      </c>
      <c r="HQ110" s="2">
        <v>15114</v>
      </c>
      <c r="HR110" s="115"/>
      <c r="HS110" s="1051"/>
      <c r="HT110" s="1002">
        <v>36</v>
      </c>
      <c r="HU110" s="1002">
        <v>4.3</v>
      </c>
      <c r="HV110" s="1002">
        <v>5.0999999999999996</v>
      </c>
    </row>
    <row r="111" spans="1:230">
      <c r="A111" s="110">
        <f t="shared" si="296"/>
        <v>1952</v>
      </c>
      <c r="B111" s="176">
        <f t="shared" si="248"/>
        <v>14894</v>
      </c>
      <c r="C111" s="177">
        <f t="shared" si="145"/>
        <v>209</v>
      </c>
      <c r="D111" s="176">
        <f t="shared" si="285"/>
        <v>14685</v>
      </c>
      <c r="E111" s="154">
        <f t="shared" si="251"/>
        <v>16150</v>
      </c>
      <c r="F111" s="995">
        <f t="shared" si="252"/>
        <v>1465</v>
      </c>
      <c r="G111" s="531">
        <f t="shared" si="297"/>
        <v>14675</v>
      </c>
      <c r="H111" s="531">
        <f t="shared" si="298"/>
        <v>14466</v>
      </c>
      <c r="I111" s="531">
        <f t="shared" si="299"/>
        <v>15931</v>
      </c>
      <c r="J111" s="548">
        <f t="shared" si="300"/>
        <v>1.0137467830016949</v>
      </c>
      <c r="K111" s="178">
        <f t="shared" si="242"/>
        <v>1674</v>
      </c>
      <c r="L111" s="2">
        <v>2095</v>
      </c>
      <c r="M111" s="2">
        <v>421</v>
      </c>
      <c r="N111" s="2">
        <v>1386</v>
      </c>
      <c r="O111" s="170">
        <f t="shared" si="286"/>
        <v>288</v>
      </c>
      <c r="P111" s="175">
        <v>0</v>
      </c>
      <c r="Q111" s="175">
        <f t="shared" si="243"/>
        <v>288</v>
      </c>
      <c r="R111" s="175">
        <f t="shared" si="287"/>
        <v>0</v>
      </c>
      <c r="S111" s="532">
        <f t="shared" si="229"/>
        <v>0.13429602888086642</v>
      </c>
      <c r="T111" s="1008">
        <f t="shared" si="253"/>
        <v>101</v>
      </c>
      <c r="U111" s="1010">
        <v>101</v>
      </c>
      <c r="V111" s="511">
        <f t="shared" si="288"/>
        <v>251</v>
      </c>
      <c r="W111" s="2">
        <v>251</v>
      </c>
      <c r="X111" s="169">
        <f t="shared" si="254"/>
        <v>150</v>
      </c>
      <c r="Y111" s="113">
        <f t="shared" si="255"/>
        <v>0.59760956175298807</v>
      </c>
      <c r="Z111" s="113">
        <f t="shared" si="256"/>
        <v>0.59760956175298807</v>
      </c>
      <c r="AA111" s="276">
        <f>X111/DataUK3!D111</f>
        <v>1.1917077005834402E-2</v>
      </c>
      <c r="AB111" s="1019">
        <f t="shared" si="257"/>
        <v>9.2879256965944269E-3</v>
      </c>
      <c r="AC111" s="113"/>
      <c r="AD111" s="113"/>
      <c r="AE111" s="113"/>
      <c r="AF111" s="113"/>
      <c r="AG111" s="113"/>
      <c r="AH111" s="113"/>
      <c r="AI111" s="1010">
        <f>AD111*DataUK3!BG111</f>
        <v>0</v>
      </c>
      <c r="AJ111" s="171">
        <f t="shared" si="249"/>
        <v>1682.6794225998046</v>
      </c>
      <c r="AK111" s="561"/>
      <c r="AL111" s="169">
        <f t="shared" si="301"/>
        <v>1873.6794225998046</v>
      </c>
      <c r="AM111" s="169"/>
      <c r="AN111" s="2">
        <v>1014</v>
      </c>
      <c r="AO111" s="1029">
        <f t="shared" si="258"/>
        <v>1205</v>
      </c>
      <c r="AP111" s="170">
        <v>598</v>
      </c>
      <c r="AQ111" s="170"/>
      <c r="AR111" s="170"/>
      <c r="AS111" s="170">
        <v>1490</v>
      </c>
      <c r="AT111" s="170"/>
      <c r="AU111" s="170"/>
      <c r="AV111" s="83"/>
      <c r="AW111" s="175">
        <f t="shared" si="143"/>
        <v>2457</v>
      </c>
      <c r="AX111" s="170">
        <v>2180</v>
      </c>
      <c r="AY111" s="170">
        <v>277</v>
      </c>
      <c r="AZ111" s="358">
        <v>40</v>
      </c>
      <c r="BA111" s="358"/>
      <c r="BB111" s="203">
        <f t="shared" si="259"/>
        <v>0.4197324414715719</v>
      </c>
      <c r="BC111" s="203">
        <f t="shared" si="260"/>
        <v>0.8087248322147651</v>
      </c>
      <c r="BD111" s="203">
        <f t="shared" si="261"/>
        <v>1.4481074481074481</v>
      </c>
      <c r="BE111" s="203">
        <f t="shared" si="262"/>
        <v>1.1031903190319032</v>
      </c>
      <c r="BF111" s="170">
        <v>407</v>
      </c>
      <c r="BG111" s="113"/>
      <c r="BH111" s="203">
        <f t="shared" si="263"/>
        <v>1.2423184357541899</v>
      </c>
      <c r="BI111" s="273">
        <v>9129</v>
      </c>
      <c r="BJ111" s="2">
        <f t="shared" si="302"/>
        <v>9151</v>
      </c>
      <c r="BK111" s="83"/>
      <c r="BL111" s="170"/>
      <c r="BM111" s="1031">
        <f t="shared" si="303"/>
        <v>668.67942259980452</v>
      </c>
      <c r="BN111" s="310"/>
      <c r="BO111" s="262">
        <f t="shared" si="289"/>
        <v>6.8081106485833223E-2</v>
      </c>
      <c r="BP111" s="262">
        <f t="shared" si="264"/>
        <v>8.0905062441251507E-2</v>
      </c>
      <c r="BQ111" s="262">
        <f t="shared" si="290"/>
        <v>4.4895892480180243E-2</v>
      </c>
      <c r="BR111" s="262">
        <f t="shared" si="304"/>
        <v>7.3247828086296915E-2</v>
      </c>
      <c r="BS111" s="988">
        <f t="shared" si="185"/>
        <v>0.55492068265543948</v>
      </c>
      <c r="BT111" s="519">
        <f t="shared" si="265"/>
        <v>191</v>
      </c>
      <c r="BU111" s="519"/>
      <c r="BV111" s="113">
        <f t="shared" si="266"/>
        <v>0.10193846273605327</v>
      </c>
      <c r="BW111" s="276">
        <f t="shared" si="305"/>
        <v>1.1826625386996904E-2</v>
      </c>
      <c r="BX111" s="273">
        <v>341</v>
      </c>
      <c r="BY111" s="113"/>
      <c r="BZ111" s="1013"/>
      <c r="CA111" s="1005">
        <f t="shared" si="291"/>
        <v>14894</v>
      </c>
      <c r="CB111" s="2">
        <f t="shared" si="221"/>
        <v>12465</v>
      </c>
      <c r="CC111" s="2">
        <f t="shared" si="222"/>
        <v>14139</v>
      </c>
      <c r="CD111" s="2"/>
      <c r="CE111" s="2"/>
      <c r="CF111" s="2">
        <v>15983</v>
      </c>
      <c r="CG111" s="2">
        <v>-162</v>
      </c>
      <c r="CH111" s="2">
        <f t="shared" si="267"/>
        <v>5</v>
      </c>
      <c r="CI111" s="2">
        <v>1480</v>
      </c>
      <c r="CJ111" s="2"/>
      <c r="CK111" s="2"/>
      <c r="CL111" s="171">
        <f t="shared" si="306"/>
        <v>9316.3205774001963</v>
      </c>
      <c r="CM111" s="169">
        <f t="shared" si="307"/>
        <v>10129.320577400196</v>
      </c>
      <c r="CN111" s="170">
        <f t="shared" si="268"/>
        <v>3558</v>
      </c>
      <c r="CO111" s="170">
        <f t="shared" si="269"/>
        <v>3558</v>
      </c>
      <c r="CP111" s="170">
        <f t="shared" si="308"/>
        <v>6571.3205774001963</v>
      </c>
      <c r="CQ111" s="170">
        <f t="shared" si="309"/>
        <v>813</v>
      </c>
      <c r="CR111" s="170">
        <v>262</v>
      </c>
      <c r="CS111" s="113">
        <f t="shared" si="310"/>
        <v>5.0340557275541799E-2</v>
      </c>
      <c r="CT111" s="170">
        <f t="shared" si="270"/>
        <v>9836.3205774001963</v>
      </c>
      <c r="CU111" s="2">
        <v>3524</v>
      </c>
      <c r="CV111" s="169">
        <f t="shared" si="271"/>
        <v>6312.3205774001963</v>
      </c>
      <c r="CW111" s="2">
        <v>804</v>
      </c>
      <c r="CX111" s="2"/>
      <c r="CY111" s="2"/>
      <c r="CZ111" s="170">
        <f t="shared" si="272"/>
        <v>293</v>
      </c>
      <c r="DA111" s="170">
        <f t="shared" si="273"/>
        <v>293</v>
      </c>
      <c r="DB111" s="170">
        <f t="shared" si="274"/>
        <v>34</v>
      </c>
      <c r="DC111" s="2">
        <v>34</v>
      </c>
      <c r="DD111" s="2">
        <v>259</v>
      </c>
      <c r="DE111" s="2">
        <v>9</v>
      </c>
      <c r="DF111" s="2"/>
      <c r="DG111" s="2"/>
      <c r="DH111" s="171">
        <f t="shared" si="227"/>
        <v>1911</v>
      </c>
      <c r="DI111" s="2">
        <f t="shared" si="250"/>
        <v>2222</v>
      </c>
      <c r="DJ111" s="169">
        <f t="shared" si="244"/>
        <v>1911</v>
      </c>
      <c r="DK111" s="2">
        <v>311</v>
      </c>
      <c r="DL111" s="113">
        <f t="shared" si="275"/>
        <v>0.12830670068483954</v>
      </c>
      <c r="DM111" s="113">
        <f t="shared" si="311"/>
        <v>0.20882963610534369</v>
      </c>
      <c r="DN111" s="113">
        <v>0.6</v>
      </c>
      <c r="DO111" s="2"/>
      <c r="DP111" s="2">
        <v>0</v>
      </c>
      <c r="DQ111" s="273">
        <v>2883</v>
      </c>
      <c r="DR111" s="2">
        <v>2411</v>
      </c>
      <c r="DS111" s="2">
        <v>774</v>
      </c>
      <c r="DT111" s="169">
        <f t="shared" si="245"/>
        <v>3185</v>
      </c>
      <c r="DU111" s="2">
        <v>10580</v>
      </c>
      <c r="DV111" s="2"/>
      <c r="DW111" s="2">
        <v>2315</v>
      </c>
      <c r="DX111" s="2">
        <v>2106</v>
      </c>
      <c r="DY111" s="2">
        <v>938</v>
      </c>
      <c r="DZ111" s="2"/>
      <c r="EA111" s="2">
        <v>2106</v>
      </c>
      <c r="EB111" s="2">
        <v>938</v>
      </c>
      <c r="EC111" s="175">
        <f t="shared" si="218"/>
        <v>1168</v>
      </c>
      <c r="ED111" s="175">
        <v>414</v>
      </c>
      <c r="EE111" s="175">
        <f t="shared" si="312"/>
        <v>754</v>
      </c>
      <c r="EF111" s="175">
        <f t="shared" si="315"/>
        <v>800</v>
      </c>
      <c r="EG111" s="2"/>
      <c r="EH111" s="78">
        <f t="shared" si="313"/>
        <v>626</v>
      </c>
      <c r="EI111" s="2">
        <v>3750</v>
      </c>
      <c r="EJ111" s="2">
        <v>3899</v>
      </c>
      <c r="EK111" s="2"/>
      <c r="EL111" s="2"/>
      <c r="EM111" s="2"/>
      <c r="EN111" s="2"/>
      <c r="EO111" s="2"/>
      <c r="EP111" s="2"/>
      <c r="EQ111" s="2"/>
      <c r="ER111" s="2"/>
      <c r="ES111" s="2"/>
      <c r="ET111" s="2">
        <f t="shared" si="276"/>
        <v>15931</v>
      </c>
      <c r="EU111" s="2">
        <f t="shared" si="277"/>
        <v>16165</v>
      </c>
      <c r="EV111" s="262">
        <f t="shared" si="292"/>
        <v>1.014688343481263</v>
      </c>
      <c r="EW111" s="2">
        <v>15983</v>
      </c>
      <c r="EX111" s="1042">
        <v>52</v>
      </c>
      <c r="EY111" s="273">
        <f t="shared" si="278"/>
        <v>11626.469349845202</v>
      </c>
      <c r="EZ111" s="2">
        <f t="shared" si="279"/>
        <v>4835</v>
      </c>
      <c r="FA111" s="1714"/>
      <c r="FB111" s="1714"/>
      <c r="FC111" s="2">
        <v>2537</v>
      </c>
      <c r="FD111" s="2">
        <v>624</v>
      </c>
      <c r="FE111" s="1052">
        <v>1030</v>
      </c>
      <c r="FF111" s="1050"/>
      <c r="FG111" s="115"/>
      <c r="FH111" s="83"/>
      <c r="FI111" s="2">
        <v>229</v>
      </c>
      <c r="FJ111" s="2">
        <f t="shared" si="314"/>
        <v>229</v>
      </c>
      <c r="FK111" s="273">
        <f t="shared" si="224"/>
        <v>380</v>
      </c>
      <c r="FL111" s="310">
        <v>380</v>
      </c>
      <c r="FM111" s="310">
        <v>-7.0184372256365233</v>
      </c>
      <c r="FN111" s="115"/>
      <c r="FO111" s="115"/>
      <c r="FP111" s="115"/>
      <c r="FQ111" s="115"/>
      <c r="FR111" s="115"/>
      <c r="FS111" s="1051"/>
      <c r="FT111" s="310">
        <f t="shared" si="293"/>
        <v>1894.0184372256367</v>
      </c>
      <c r="FU111" s="310">
        <v>1894.0184372256367</v>
      </c>
      <c r="FV111" s="310"/>
      <c r="FW111" s="513">
        <f t="shared" si="280"/>
        <v>1894.0184372256367</v>
      </c>
      <c r="FX111" s="115"/>
      <c r="FY111" s="115"/>
      <c r="FZ111" s="115"/>
      <c r="GA111" s="115"/>
      <c r="GB111" s="115"/>
      <c r="GC111" s="115"/>
      <c r="GD111" s="115"/>
      <c r="GE111" s="115"/>
      <c r="GF111" s="115"/>
      <c r="GG111" s="115"/>
      <c r="GH111" s="115"/>
      <c r="GI111" s="115"/>
      <c r="GJ111" s="115"/>
      <c r="GK111" s="1055">
        <f t="shared" si="281"/>
        <v>677</v>
      </c>
      <c r="GL111" s="115"/>
      <c r="GM111" s="115"/>
      <c r="GN111" s="115"/>
      <c r="GO111" s="310">
        <v>677</v>
      </c>
      <c r="GP111" s="310">
        <f t="shared" si="246"/>
        <v>800</v>
      </c>
      <c r="GQ111" s="2">
        <v>800</v>
      </c>
      <c r="GR111" s="115"/>
      <c r="GS111" s="115"/>
      <c r="GT111" s="115"/>
      <c r="GU111" s="2">
        <f t="shared" si="225"/>
        <v>-123</v>
      </c>
      <c r="GV111" s="1063">
        <v>732</v>
      </c>
      <c r="GW111" s="1063">
        <f>DataUK4!D263+DataUK4!F263</f>
        <v>640.6</v>
      </c>
      <c r="GX111" s="615"/>
      <c r="GY111" s="615">
        <f t="shared" si="210"/>
        <v>537.46934984520146</v>
      </c>
      <c r="GZ111" s="254"/>
      <c r="HA111" s="254"/>
      <c r="HB111" s="2">
        <v>248</v>
      </c>
      <c r="HC111" s="1052"/>
      <c r="HD111" s="170">
        <f t="shared" si="294"/>
        <v>231</v>
      </c>
      <c r="HE111" s="2">
        <v>490</v>
      </c>
      <c r="HF111" s="2">
        <v>259</v>
      </c>
      <c r="HG111" s="170">
        <f t="shared" si="295"/>
        <v>-22</v>
      </c>
      <c r="HH111" s="2">
        <v>12</v>
      </c>
      <c r="HI111" s="2">
        <v>34</v>
      </c>
      <c r="HJ111" s="2">
        <f t="shared" si="282"/>
        <v>0</v>
      </c>
      <c r="HK111" s="2"/>
      <c r="HL111" s="2"/>
      <c r="HM111" s="2">
        <f t="shared" si="247"/>
        <v>0</v>
      </c>
      <c r="HN111" s="2">
        <f t="shared" si="283"/>
        <v>169</v>
      </c>
      <c r="HO111" s="2">
        <f t="shared" si="284"/>
        <v>169</v>
      </c>
      <c r="HP111" s="2">
        <v>16192</v>
      </c>
      <c r="HQ111" s="2">
        <v>16361</v>
      </c>
      <c r="HR111" s="115"/>
      <c r="HS111" s="1051"/>
      <c r="HT111" s="1002">
        <v>39.299999999999997</v>
      </c>
      <c r="HU111" s="1002">
        <v>4.5999999999999996</v>
      </c>
      <c r="HV111" s="1002">
        <v>5.4</v>
      </c>
    </row>
    <row r="112" spans="1:230">
      <c r="A112" s="110">
        <f t="shared" si="296"/>
        <v>1953</v>
      </c>
      <c r="B112" s="176">
        <f t="shared" si="248"/>
        <v>15848</v>
      </c>
      <c r="C112" s="177">
        <f t="shared" si="145"/>
        <v>182</v>
      </c>
      <c r="D112" s="176">
        <f t="shared" si="285"/>
        <v>15666</v>
      </c>
      <c r="E112" s="154">
        <f t="shared" si="251"/>
        <v>17177</v>
      </c>
      <c r="F112" s="995">
        <f t="shared" si="252"/>
        <v>1511</v>
      </c>
      <c r="G112" s="531">
        <f t="shared" si="297"/>
        <v>15804</v>
      </c>
      <c r="H112" s="531">
        <f t="shared" si="298"/>
        <v>15622</v>
      </c>
      <c r="I112" s="531">
        <f t="shared" si="299"/>
        <v>17133</v>
      </c>
      <c r="J112" s="548">
        <f t="shared" si="300"/>
        <v>1.0025681433490925</v>
      </c>
      <c r="K112" s="178">
        <f t="shared" si="242"/>
        <v>1782</v>
      </c>
      <c r="L112" s="2">
        <v>2148</v>
      </c>
      <c r="M112" s="2">
        <v>366</v>
      </c>
      <c r="N112" s="2">
        <v>1476</v>
      </c>
      <c r="O112" s="170">
        <f t="shared" si="286"/>
        <v>306</v>
      </c>
      <c r="P112" s="175">
        <v>0</v>
      </c>
      <c r="Q112" s="175">
        <f t="shared" si="243"/>
        <v>306</v>
      </c>
      <c r="R112" s="175">
        <f t="shared" si="287"/>
        <v>0</v>
      </c>
      <c r="S112" s="532">
        <f t="shared" si="229"/>
        <v>0.13456165521407537</v>
      </c>
      <c r="T112" s="1008">
        <f t="shared" si="253"/>
        <v>130</v>
      </c>
      <c r="U112" s="1010">
        <v>130</v>
      </c>
      <c r="V112" s="511">
        <f t="shared" si="288"/>
        <v>278</v>
      </c>
      <c r="W112" s="2">
        <v>278</v>
      </c>
      <c r="X112" s="169">
        <f t="shared" si="254"/>
        <v>148</v>
      </c>
      <c r="Y112" s="113">
        <f t="shared" si="255"/>
        <v>0.53237410071942448</v>
      </c>
      <c r="Z112" s="113">
        <f t="shared" si="256"/>
        <v>0.53237410071942448</v>
      </c>
      <c r="AA112" s="276">
        <f>X112/DataUK3!D112</f>
        <v>1.2283101513870744E-2</v>
      </c>
      <c r="AB112" s="1019">
        <f t="shared" si="257"/>
        <v>8.6161727891948536E-3</v>
      </c>
      <c r="AC112" s="113"/>
      <c r="AD112" s="113"/>
      <c r="AE112" s="113"/>
      <c r="AF112" s="113"/>
      <c r="AG112" s="113"/>
      <c r="AH112" s="113"/>
      <c r="AI112" s="1010">
        <f>AD112*DataUK3!BG112</f>
        <v>0</v>
      </c>
      <c r="AJ112" s="171">
        <f t="shared" si="249"/>
        <v>1743.2057740019548</v>
      </c>
      <c r="AK112" s="561"/>
      <c r="AL112" s="169">
        <f t="shared" si="301"/>
        <v>1945.2057740019548</v>
      </c>
      <c r="AM112" s="169"/>
      <c r="AN112" s="2">
        <v>1049</v>
      </c>
      <c r="AO112" s="1029">
        <f t="shared" si="258"/>
        <v>1251</v>
      </c>
      <c r="AP112" s="170">
        <v>671</v>
      </c>
      <c r="AQ112" s="170"/>
      <c r="AR112" s="170"/>
      <c r="AS112" s="170">
        <v>1539</v>
      </c>
      <c r="AT112" s="170"/>
      <c r="AU112" s="170"/>
      <c r="AV112" s="83"/>
      <c r="AW112" s="175">
        <f t="shared" ref="AW112:AW124" si="316">AX112+AY112</f>
        <v>2634</v>
      </c>
      <c r="AX112" s="170">
        <v>2313</v>
      </c>
      <c r="AY112" s="170">
        <v>321</v>
      </c>
      <c r="AZ112" s="358">
        <v>63</v>
      </c>
      <c r="BA112" s="358"/>
      <c r="BB112" s="203">
        <f t="shared" si="259"/>
        <v>0.41430700447093888</v>
      </c>
      <c r="BC112" s="203">
        <f t="shared" si="260"/>
        <v>0.8128654970760234</v>
      </c>
      <c r="BD112" s="203">
        <f t="shared" si="261"/>
        <v>1.4734244495064541</v>
      </c>
      <c r="BE112" s="203">
        <f t="shared" si="262"/>
        <v>1.1168455821635013</v>
      </c>
      <c r="BF112" s="170">
        <v>449</v>
      </c>
      <c r="BG112" s="113"/>
      <c r="BH112" s="203">
        <f t="shared" si="263"/>
        <v>1.2588387933830685</v>
      </c>
      <c r="BI112" s="273">
        <v>9653</v>
      </c>
      <c r="BJ112" s="2">
        <f t="shared" si="302"/>
        <v>9678</v>
      </c>
      <c r="BK112" s="83"/>
      <c r="BL112" s="170"/>
      <c r="BM112" s="1031">
        <f t="shared" si="303"/>
        <v>694.20577400195475</v>
      </c>
      <c r="BN112" s="310"/>
      <c r="BO112" s="262">
        <f t="shared" si="289"/>
        <v>6.6191317516405862E-2</v>
      </c>
      <c r="BP112" s="262">
        <f t="shared" si="264"/>
        <v>7.8937405350832907E-2</v>
      </c>
      <c r="BQ112" s="262">
        <f t="shared" si="290"/>
        <v>4.3803998864333338E-2</v>
      </c>
      <c r="BR112" s="262">
        <f t="shared" si="304"/>
        <v>7.191606485050811E-2</v>
      </c>
      <c r="BS112" s="988">
        <f t="shared" si="185"/>
        <v>0.55492068265543948</v>
      </c>
      <c r="BT112" s="519">
        <f t="shared" si="265"/>
        <v>202</v>
      </c>
      <c r="BU112" s="519"/>
      <c r="BV112" s="113">
        <f t="shared" si="266"/>
        <v>0.1038450546979494</v>
      </c>
      <c r="BW112" s="276">
        <f t="shared" si="305"/>
        <v>1.1759911509576759E-2</v>
      </c>
      <c r="BX112" s="273">
        <v>350</v>
      </c>
      <c r="BY112" s="113"/>
      <c r="BZ112" s="1013"/>
      <c r="CA112" s="1005">
        <f t="shared" si="291"/>
        <v>15848</v>
      </c>
      <c r="CB112" s="2">
        <f t="shared" si="221"/>
        <v>13243</v>
      </c>
      <c r="CC112" s="2">
        <f t="shared" si="222"/>
        <v>15025</v>
      </c>
      <c r="CD112" s="2"/>
      <c r="CE112" s="2"/>
      <c r="CF112" s="2">
        <v>17120</v>
      </c>
      <c r="CG112" s="2">
        <v>-49</v>
      </c>
      <c r="CH112" s="2">
        <f t="shared" si="267"/>
        <v>8</v>
      </c>
      <c r="CI112" s="2">
        <v>1524</v>
      </c>
      <c r="CJ112" s="2"/>
      <c r="CK112" s="2"/>
      <c r="CL112" s="171">
        <f t="shared" si="306"/>
        <v>10027.794225998045</v>
      </c>
      <c r="CM112" s="169">
        <f t="shared" si="307"/>
        <v>10881.794225998045</v>
      </c>
      <c r="CN112" s="170">
        <f t="shared" si="268"/>
        <v>3881</v>
      </c>
      <c r="CO112" s="170">
        <f t="shared" si="269"/>
        <v>3881</v>
      </c>
      <c r="CP112" s="170">
        <f t="shared" si="308"/>
        <v>7000.7942259980446</v>
      </c>
      <c r="CQ112" s="170">
        <f t="shared" si="309"/>
        <v>854</v>
      </c>
      <c r="CR112" s="170">
        <v>276</v>
      </c>
      <c r="CS112" s="113">
        <f t="shared" si="310"/>
        <v>4.9717645689002735E-2</v>
      </c>
      <c r="CT112" s="170">
        <f t="shared" si="270"/>
        <v>10562.794225998045</v>
      </c>
      <c r="CU112" s="2">
        <v>3836</v>
      </c>
      <c r="CV112" s="169">
        <f t="shared" si="271"/>
        <v>6726.7942259980446</v>
      </c>
      <c r="CW112" s="2">
        <v>846</v>
      </c>
      <c r="CX112" s="2"/>
      <c r="CY112" s="2"/>
      <c r="CZ112" s="170">
        <f t="shared" si="272"/>
        <v>319</v>
      </c>
      <c r="DA112" s="170">
        <f t="shared" si="273"/>
        <v>319</v>
      </c>
      <c r="DB112" s="170">
        <f t="shared" si="274"/>
        <v>45</v>
      </c>
      <c r="DC112" s="2">
        <v>45</v>
      </c>
      <c r="DD112" s="2">
        <v>274</v>
      </c>
      <c r="DE112" s="2">
        <v>8</v>
      </c>
      <c r="DF112" s="2"/>
      <c r="DG112" s="2"/>
      <c r="DH112" s="171">
        <f t="shared" si="227"/>
        <v>1983</v>
      </c>
      <c r="DI112" s="2">
        <f t="shared" si="250"/>
        <v>2290</v>
      </c>
      <c r="DJ112" s="169">
        <f t="shared" si="244"/>
        <v>1983</v>
      </c>
      <c r="DK112" s="2">
        <v>307</v>
      </c>
      <c r="DL112" s="113">
        <f t="shared" si="275"/>
        <v>0.12512619888944979</v>
      </c>
      <c r="DM112" s="113">
        <f t="shared" si="311"/>
        <v>0.20489770613763175</v>
      </c>
      <c r="DN112" s="113">
        <v>0.6</v>
      </c>
      <c r="DO112" s="2"/>
      <c r="DP112" s="2">
        <v>0</v>
      </c>
      <c r="DQ112" s="273">
        <v>3025</v>
      </c>
      <c r="DR112" s="2">
        <v>2496</v>
      </c>
      <c r="DS112" s="2">
        <v>809</v>
      </c>
      <c r="DT112" s="169">
        <f t="shared" si="245"/>
        <v>3305</v>
      </c>
      <c r="DU112" s="2">
        <v>11284</v>
      </c>
      <c r="DV112" s="2"/>
      <c r="DW112" s="2">
        <v>2665</v>
      </c>
      <c r="DX112" s="2">
        <v>2359</v>
      </c>
      <c r="DY112" s="2">
        <v>1046</v>
      </c>
      <c r="DZ112" s="2"/>
      <c r="EA112" s="2">
        <v>2359</v>
      </c>
      <c r="EB112" s="2">
        <v>1046</v>
      </c>
      <c r="EC112" s="175">
        <f t="shared" si="218"/>
        <v>1313</v>
      </c>
      <c r="ED112" s="175">
        <v>488</v>
      </c>
      <c r="EE112" s="175">
        <f t="shared" si="312"/>
        <v>825</v>
      </c>
      <c r="EF112" s="175">
        <f t="shared" si="315"/>
        <v>873</v>
      </c>
      <c r="EG112" s="2"/>
      <c r="EH112" s="78">
        <f t="shared" si="313"/>
        <v>835</v>
      </c>
      <c r="EI112" s="2">
        <v>3677</v>
      </c>
      <c r="EJ112" s="2">
        <v>3798</v>
      </c>
      <c r="EK112" s="2"/>
      <c r="EL112" s="2"/>
      <c r="EM112" s="2"/>
      <c r="EN112" s="2"/>
      <c r="EO112" s="2"/>
      <c r="EP112" s="2"/>
      <c r="EQ112" s="2"/>
      <c r="ER112" s="2"/>
      <c r="ES112" s="2"/>
      <c r="ET112" s="2">
        <f t="shared" si="276"/>
        <v>17133</v>
      </c>
      <c r="EU112" s="2">
        <f t="shared" si="277"/>
        <v>17190</v>
      </c>
      <c r="EV112" s="262">
        <f t="shared" si="292"/>
        <v>1.0033269129749607</v>
      </c>
      <c r="EW112" s="2">
        <v>17120</v>
      </c>
      <c r="EX112" s="1042">
        <v>-12</v>
      </c>
      <c r="EY112" s="273">
        <f t="shared" si="278"/>
        <v>12549.703095975234</v>
      </c>
      <c r="EZ112" s="2">
        <f t="shared" si="279"/>
        <v>4970</v>
      </c>
      <c r="FA112" s="1714"/>
      <c r="FB112" s="1714"/>
      <c r="FC112" s="2">
        <v>2507</v>
      </c>
      <c r="FD112" s="2">
        <v>681</v>
      </c>
      <c r="FE112" s="1052">
        <v>1112</v>
      </c>
      <c r="FF112" s="1050"/>
      <c r="FG112" s="115"/>
      <c r="FH112" s="83"/>
      <c r="FI112" s="2">
        <v>204</v>
      </c>
      <c r="FJ112" s="2">
        <f t="shared" si="314"/>
        <v>204</v>
      </c>
      <c r="FK112" s="273">
        <f t="shared" si="224"/>
        <v>431</v>
      </c>
      <c r="FL112" s="310">
        <v>431</v>
      </c>
      <c r="FM112" s="310">
        <v>39.102721685689204</v>
      </c>
      <c r="FN112" s="115"/>
      <c r="FO112" s="115"/>
      <c r="FP112" s="115"/>
      <c r="FQ112" s="115"/>
      <c r="FR112" s="115"/>
      <c r="FS112" s="1051"/>
      <c r="FT112" s="310">
        <f t="shared" si="293"/>
        <v>2044.8972783143101</v>
      </c>
      <c r="FU112" s="310">
        <v>2044.8972783143101</v>
      </c>
      <c r="FV112" s="310"/>
      <c r="FW112" s="513">
        <f t="shared" si="280"/>
        <v>2044.8972783143101</v>
      </c>
      <c r="FX112" s="115"/>
      <c r="FY112" s="115"/>
      <c r="FZ112" s="115"/>
      <c r="GA112" s="115"/>
      <c r="GB112" s="115"/>
      <c r="GC112" s="115"/>
      <c r="GD112" s="115"/>
      <c r="GE112" s="115"/>
      <c r="GF112" s="115"/>
      <c r="GG112" s="115"/>
      <c r="GH112" s="115"/>
      <c r="GI112" s="115"/>
      <c r="GJ112" s="115"/>
      <c r="GK112" s="1055">
        <f t="shared" si="281"/>
        <v>581</v>
      </c>
      <c r="GL112" s="115"/>
      <c r="GM112" s="115"/>
      <c r="GN112" s="115"/>
      <c r="GO112" s="310">
        <v>581</v>
      </c>
      <c r="GP112" s="310">
        <f t="shared" si="246"/>
        <v>873</v>
      </c>
      <c r="GQ112" s="2">
        <v>873</v>
      </c>
      <c r="GR112" s="115"/>
      <c r="GS112" s="115"/>
      <c r="GT112" s="115"/>
      <c r="GU112" s="2">
        <f t="shared" si="225"/>
        <v>-292</v>
      </c>
      <c r="GV112" s="1063">
        <v>784</v>
      </c>
      <c r="GW112" s="1063">
        <f>DataUK4!D264+DataUK4!F264</f>
        <v>667.1</v>
      </c>
      <c r="GX112" s="615"/>
      <c r="GY112" s="615">
        <f t="shared" si="210"/>
        <v>559.70309597523249</v>
      </c>
      <c r="GZ112" s="254"/>
      <c r="HA112" s="254"/>
      <c r="HB112" s="2">
        <v>243</v>
      </c>
      <c r="HC112" s="1052"/>
      <c r="HD112" s="170">
        <f t="shared" si="294"/>
        <v>207</v>
      </c>
      <c r="HE112" s="2">
        <v>485</v>
      </c>
      <c r="HF112" s="2">
        <v>278</v>
      </c>
      <c r="HG112" s="170">
        <f t="shared" si="295"/>
        <v>-25</v>
      </c>
      <c r="HH112" s="2">
        <v>12</v>
      </c>
      <c r="HI112" s="2">
        <v>37</v>
      </c>
      <c r="HJ112" s="2">
        <f t="shared" si="282"/>
        <v>0</v>
      </c>
      <c r="HK112" s="2"/>
      <c r="HL112" s="2"/>
      <c r="HM112" s="2">
        <f t="shared" si="247"/>
        <v>0</v>
      </c>
      <c r="HN112" s="2">
        <f t="shared" si="283"/>
        <v>143</v>
      </c>
      <c r="HO112" s="2">
        <f t="shared" si="284"/>
        <v>143</v>
      </c>
      <c r="HP112" s="2">
        <v>17302</v>
      </c>
      <c r="HQ112" s="2">
        <v>17445</v>
      </c>
      <c r="HR112" s="115"/>
      <c r="HS112" s="1051"/>
      <c r="HT112" s="1002">
        <v>40.5</v>
      </c>
      <c r="HU112" s="1002">
        <v>4.8</v>
      </c>
      <c r="HV112" s="1002">
        <v>5.5</v>
      </c>
    </row>
    <row r="113" spans="1:230">
      <c r="A113" s="110">
        <f t="shared" si="296"/>
        <v>1954</v>
      </c>
      <c r="B113" s="176">
        <f t="shared" si="248"/>
        <v>16845</v>
      </c>
      <c r="C113" s="177">
        <f t="shared" si="145"/>
        <v>200</v>
      </c>
      <c r="D113" s="176">
        <f t="shared" si="285"/>
        <v>16645</v>
      </c>
      <c r="E113" s="154">
        <f t="shared" si="251"/>
        <v>18234</v>
      </c>
      <c r="F113" s="995">
        <f t="shared" si="252"/>
        <v>1589</v>
      </c>
      <c r="G113" s="531">
        <f t="shared" si="297"/>
        <v>16669</v>
      </c>
      <c r="H113" s="531">
        <f t="shared" si="298"/>
        <v>16469</v>
      </c>
      <c r="I113" s="531">
        <f t="shared" si="299"/>
        <v>18058</v>
      </c>
      <c r="J113" s="548">
        <f t="shared" si="300"/>
        <v>1.0097463727987595</v>
      </c>
      <c r="K113" s="178">
        <f t="shared" si="242"/>
        <v>1847</v>
      </c>
      <c r="L113" s="2">
        <v>2270</v>
      </c>
      <c r="M113" s="2">
        <v>423</v>
      </c>
      <c r="N113" s="2">
        <v>1493</v>
      </c>
      <c r="O113" s="170">
        <f t="shared" si="286"/>
        <v>354</v>
      </c>
      <c r="P113" s="175">
        <v>0</v>
      </c>
      <c r="Q113" s="175">
        <f t="shared" si="243"/>
        <v>354</v>
      </c>
      <c r="R113" s="175">
        <f t="shared" si="287"/>
        <v>0</v>
      </c>
      <c r="S113" s="532">
        <f t="shared" si="229"/>
        <v>0.12930551666199944</v>
      </c>
      <c r="T113" s="1008">
        <f t="shared" si="253"/>
        <v>154</v>
      </c>
      <c r="U113" s="1010">
        <v>154</v>
      </c>
      <c r="V113" s="511">
        <f t="shared" si="288"/>
        <v>302</v>
      </c>
      <c r="W113" s="2">
        <v>302</v>
      </c>
      <c r="X113" s="169">
        <f t="shared" si="254"/>
        <v>148</v>
      </c>
      <c r="Y113" s="113">
        <f t="shared" si="255"/>
        <v>0.49006622516556292</v>
      </c>
      <c r="Z113" s="113">
        <f t="shared" si="256"/>
        <v>0.49006622516556292</v>
      </c>
      <c r="AA113" s="276">
        <f>X113/DataUK3!D113</f>
        <v>1.250643063230476E-2</v>
      </c>
      <c r="AB113" s="1019">
        <f t="shared" si="257"/>
        <v>8.1167050564878804E-3</v>
      </c>
      <c r="AC113" s="113"/>
      <c r="AD113" s="113"/>
      <c r="AE113" s="113"/>
      <c r="AF113" s="113"/>
      <c r="AG113" s="113"/>
      <c r="AH113" s="113"/>
      <c r="AI113" s="1010">
        <f>AD113*DataUK3!BG113</f>
        <v>0</v>
      </c>
      <c r="AJ113" s="171">
        <f t="shared" si="249"/>
        <v>1785.2927599428615</v>
      </c>
      <c r="AK113" s="561"/>
      <c r="AL113" s="169">
        <f t="shared" si="301"/>
        <v>2004.2927599428615</v>
      </c>
      <c r="AM113" s="169"/>
      <c r="AN113" s="2">
        <v>1070</v>
      </c>
      <c r="AO113" s="1029">
        <f t="shared" si="258"/>
        <v>1289</v>
      </c>
      <c r="AP113" s="170">
        <v>737</v>
      </c>
      <c r="AQ113" s="170"/>
      <c r="AR113" s="170"/>
      <c r="AS113" s="170">
        <v>1578</v>
      </c>
      <c r="AT113" s="170"/>
      <c r="AU113" s="170"/>
      <c r="AV113" s="83"/>
      <c r="AW113" s="175">
        <f t="shared" si="316"/>
        <v>2930</v>
      </c>
      <c r="AX113" s="170">
        <v>2576</v>
      </c>
      <c r="AY113" s="170">
        <v>354</v>
      </c>
      <c r="AZ113" s="358">
        <v>108</v>
      </c>
      <c r="BA113" s="358"/>
      <c r="BB113" s="203">
        <f t="shared" si="259"/>
        <v>0.40976933514246949</v>
      </c>
      <c r="BC113" s="203">
        <f t="shared" si="260"/>
        <v>0.8168567807351077</v>
      </c>
      <c r="BD113" s="203">
        <f t="shared" si="261"/>
        <v>1.4156996587030717</v>
      </c>
      <c r="BE113" s="203">
        <f t="shared" si="262"/>
        <v>1.094184938036225</v>
      </c>
      <c r="BF113" s="170">
        <v>488</v>
      </c>
      <c r="BG113" s="113"/>
      <c r="BH113" s="203">
        <f t="shared" si="263"/>
        <v>1.2135751901696898</v>
      </c>
      <c r="BI113" s="273">
        <v>10305</v>
      </c>
      <c r="BJ113" s="2">
        <f t="shared" si="302"/>
        <v>10332</v>
      </c>
      <c r="BK113" s="83"/>
      <c r="BL113" s="170"/>
      <c r="BM113" s="1031">
        <f t="shared" si="303"/>
        <v>715.29275994286149</v>
      </c>
      <c r="BN113" s="310"/>
      <c r="BO113" s="262">
        <f t="shared" si="289"/>
        <v>6.3520332442861385E-2</v>
      </c>
      <c r="BP113" s="262">
        <f t="shared" si="264"/>
        <v>7.6521222914811518E-2</v>
      </c>
      <c r="BQ113" s="262">
        <f t="shared" si="290"/>
        <v>4.2463209257516267E-2</v>
      </c>
      <c r="BR113" s="262">
        <f t="shared" si="304"/>
        <v>6.9412203779025863E-2</v>
      </c>
      <c r="BS113" s="988">
        <f t="shared" si="185"/>
        <v>0.55492068265543948</v>
      </c>
      <c r="BT113" s="519">
        <f t="shared" si="265"/>
        <v>219</v>
      </c>
      <c r="BU113" s="519"/>
      <c r="BV113" s="113">
        <f t="shared" si="266"/>
        <v>0.10926547477337756</v>
      </c>
      <c r="BW113" s="276">
        <f t="shared" si="305"/>
        <v>1.2010529779532741E-2</v>
      </c>
      <c r="BX113" s="273">
        <v>367</v>
      </c>
      <c r="BY113" s="113"/>
      <c r="BZ113" s="1013"/>
      <c r="CA113" s="1005">
        <f t="shared" si="291"/>
        <v>16845</v>
      </c>
      <c r="CB113" s="2">
        <f t="shared" si="221"/>
        <v>14284</v>
      </c>
      <c r="CC113" s="2">
        <f t="shared" si="222"/>
        <v>16131</v>
      </c>
      <c r="CD113" s="2"/>
      <c r="CE113" s="2"/>
      <c r="CF113" s="2">
        <v>18125</v>
      </c>
      <c r="CG113" s="2">
        <v>-100</v>
      </c>
      <c r="CH113" s="2">
        <f t="shared" si="267"/>
        <v>9</v>
      </c>
      <c r="CI113" s="2">
        <v>1601</v>
      </c>
      <c r="CJ113" s="2"/>
      <c r="CK113" s="2"/>
      <c r="CL113" s="171">
        <f t="shared" si="306"/>
        <v>10825.307240057138</v>
      </c>
      <c r="CM113" s="169">
        <f t="shared" si="307"/>
        <v>11731.307240057138</v>
      </c>
      <c r="CN113" s="170">
        <f t="shared" si="268"/>
        <v>4148</v>
      </c>
      <c r="CO113" s="170">
        <f t="shared" si="269"/>
        <v>4148</v>
      </c>
      <c r="CP113" s="170">
        <f t="shared" si="308"/>
        <v>7583.3072400571382</v>
      </c>
      <c r="CQ113" s="170">
        <f t="shared" si="309"/>
        <v>906</v>
      </c>
      <c r="CR113" s="170">
        <v>293</v>
      </c>
      <c r="CS113" s="113">
        <f t="shared" si="310"/>
        <v>4.9687397170121751E-2</v>
      </c>
      <c r="CT113" s="170">
        <f t="shared" si="270"/>
        <v>11389.307240057138</v>
      </c>
      <c r="CU113" s="2">
        <v>4099</v>
      </c>
      <c r="CV113" s="169">
        <f t="shared" si="271"/>
        <v>7290.3072400571382</v>
      </c>
      <c r="CW113" s="2">
        <v>895</v>
      </c>
      <c r="CX113" s="2"/>
      <c r="CY113" s="2"/>
      <c r="CZ113" s="170">
        <f t="shared" si="272"/>
        <v>342</v>
      </c>
      <c r="DA113" s="170">
        <f t="shared" si="273"/>
        <v>342</v>
      </c>
      <c r="DB113" s="170">
        <f t="shared" si="274"/>
        <v>49</v>
      </c>
      <c r="DC113" s="2">
        <v>49</v>
      </c>
      <c r="DD113" s="2">
        <v>293</v>
      </c>
      <c r="DE113" s="2">
        <v>11</v>
      </c>
      <c r="DF113" s="2"/>
      <c r="DG113" s="2"/>
      <c r="DH113" s="171">
        <f t="shared" si="227"/>
        <v>2033.3999999999996</v>
      </c>
      <c r="DI113" s="2">
        <f t="shared" si="250"/>
        <v>2349.3999999999996</v>
      </c>
      <c r="DJ113" s="169">
        <f t="shared" si="244"/>
        <v>2033.3999999999999</v>
      </c>
      <c r="DK113" s="2">
        <v>316</v>
      </c>
      <c r="DL113" s="113">
        <f t="shared" si="275"/>
        <v>0.12071237756010685</v>
      </c>
      <c r="DM113" s="113">
        <f t="shared" si="311"/>
        <v>0.1968060394889663</v>
      </c>
      <c r="DN113" s="113">
        <v>0.6</v>
      </c>
      <c r="DO113" s="2"/>
      <c r="DP113" s="2">
        <v>0</v>
      </c>
      <c r="DQ113" s="273">
        <v>3108</v>
      </c>
      <c r="DR113" s="2">
        <v>2529</v>
      </c>
      <c r="DS113" s="2">
        <v>860</v>
      </c>
      <c r="DT113" s="169">
        <f t="shared" si="245"/>
        <v>3389</v>
      </c>
      <c r="DU113" s="2">
        <v>11967</v>
      </c>
      <c r="DV113" s="2"/>
      <c r="DW113" s="2">
        <v>2797</v>
      </c>
      <c r="DX113" s="2">
        <v>2552</v>
      </c>
      <c r="DY113" s="2">
        <v>1255</v>
      </c>
      <c r="DZ113" s="2"/>
      <c r="EA113" s="2">
        <v>2552</v>
      </c>
      <c r="EB113" s="2">
        <v>1255</v>
      </c>
      <c r="EC113" s="175">
        <f t="shared" si="218"/>
        <v>1297</v>
      </c>
      <c r="ED113" s="175">
        <v>538</v>
      </c>
      <c r="EE113" s="175">
        <f t="shared" si="312"/>
        <v>759</v>
      </c>
      <c r="EF113" s="175">
        <f t="shared" si="315"/>
        <v>805</v>
      </c>
      <c r="EG113" s="2"/>
      <c r="EH113" s="78">
        <f t="shared" si="313"/>
        <v>951</v>
      </c>
      <c r="EI113" s="2">
        <v>3827</v>
      </c>
      <c r="EJ113" s="2">
        <v>3922</v>
      </c>
      <c r="EK113" s="2"/>
      <c r="EL113" s="2"/>
      <c r="EM113" s="2"/>
      <c r="EN113" s="2"/>
      <c r="EO113" s="2"/>
      <c r="EP113" s="2"/>
      <c r="EQ113" s="2"/>
      <c r="ER113" s="2"/>
      <c r="ES113" s="2"/>
      <c r="ET113" s="2">
        <f t="shared" si="276"/>
        <v>18058</v>
      </c>
      <c r="EU113" s="2">
        <f t="shared" si="277"/>
        <v>18246</v>
      </c>
      <c r="EV113" s="262">
        <f t="shared" si="292"/>
        <v>1.0104108982168567</v>
      </c>
      <c r="EW113" s="2">
        <v>18125</v>
      </c>
      <c r="EX113" s="1042">
        <v>68</v>
      </c>
      <c r="EY113" s="273">
        <f t="shared" si="278"/>
        <v>13384.240557275542</v>
      </c>
      <c r="EZ113" s="2">
        <f t="shared" si="279"/>
        <v>5119</v>
      </c>
      <c r="FA113" s="1714"/>
      <c r="FB113" s="1714"/>
      <c r="FC113" s="2">
        <v>2574</v>
      </c>
      <c r="FD113" s="2">
        <v>698</v>
      </c>
      <c r="FE113" s="1052">
        <v>1093</v>
      </c>
      <c r="FF113" s="1050"/>
      <c r="FG113" s="115"/>
      <c r="FH113" s="83"/>
      <c r="FI113" s="2">
        <v>160</v>
      </c>
      <c r="FJ113" s="2">
        <f t="shared" si="314"/>
        <v>160</v>
      </c>
      <c r="FK113" s="273">
        <f t="shared" si="224"/>
        <v>379</v>
      </c>
      <c r="FL113" s="310">
        <v>379</v>
      </c>
      <c r="FM113" s="310">
        <v>-63.165935030728711</v>
      </c>
      <c r="FN113" s="115"/>
      <c r="FO113" s="115"/>
      <c r="FP113" s="115"/>
      <c r="FQ113" s="115"/>
      <c r="FR113" s="115"/>
      <c r="FS113" s="1051"/>
      <c r="FT113" s="310">
        <f t="shared" si="293"/>
        <v>2270.1659350307291</v>
      </c>
      <c r="FU113" s="310">
        <v>2270.1659350307291</v>
      </c>
      <c r="FV113" s="310"/>
      <c r="FW113" s="513">
        <f t="shared" si="280"/>
        <v>2270.1659350307291</v>
      </c>
      <c r="FX113" s="115"/>
      <c r="FY113" s="115"/>
      <c r="FZ113" s="115"/>
      <c r="GA113" s="115"/>
      <c r="GB113" s="115"/>
      <c r="GC113" s="115"/>
      <c r="GD113" s="115"/>
      <c r="GE113" s="115"/>
      <c r="GF113" s="115"/>
      <c r="GG113" s="115"/>
      <c r="GH113" s="115"/>
      <c r="GI113" s="115"/>
      <c r="GJ113" s="115"/>
      <c r="GK113" s="1055">
        <f t="shared" si="281"/>
        <v>637</v>
      </c>
      <c r="GL113" s="115"/>
      <c r="GM113" s="115"/>
      <c r="GN113" s="115"/>
      <c r="GO113" s="310">
        <v>637</v>
      </c>
      <c r="GP113" s="310">
        <f t="shared" si="246"/>
        <v>805</v>
      </c>
      <c r="GQ113" s="2">
        <v>805</v>
      </c>
      <c r="GR113" s="115"/>
      <c r="GS113" s="115"/>
      <c r="GT113" s="115"/>
      <c r="GU113" s="2">
        <f t="shared" si="225"/>
        <v>-168</v>
      </c>
      <c r="GV113" s="1063">
        <v>801</v>
      </c>
      <c r="GW113" s="1063">
        <f>DataUK4!D265+DataUK4!F265</f>
        <v>673.7</v>
      </c>
      <c r="GX113" s="615"/>
      <c r="GY113" s="615">
        <f t="shared" si="210"/>
        <v>565.24055727554207</v>
      </c>
      <c r="GZ113" s="254"/>
      <c r="HA113" s="254"/>
      <c r="HB113" s="2">
        <v>250</v>
      </c>
      <c r="HC113" s="1052"/>
      <c r="HD113" s="170">
        <f t="shared" si="294"/>
        <v>227</v>
      </c>
      <c r="HE113" s="2">
        <v>530</v>
      </c>
      <c r="HF113" s="2">
        <v>303</v>
      </c>
      <c r="HG113" s="170">
        <f t="shared" si="295"/>
        <v>-27</v>
      </c>
      <c r="HH113" s="2">
        <v>12</v>
      </c>
      <c r="HI113" s="2">
        <v>39</v>
      </c>
      <c r="HJ113" s="2">
        <f t="shared" si="282"/>
        <v>0</v>
      </c>
      <c r="HK113" s="2"/>
      <c r="HL113" s="2"/>
      <c r="HM113" s="2">
        <f t="shared" si="247"/>
        <v>0</v>
      </c>
      <c r="HN113" s="2">
        <f t="shared" si="283"/>
        <v>55</v>
      </c>
      <c r="HO113" s="2">
        <f t="shared" si="284"/>
        <v>55</v>
      </c>
      <c r="HP113" s="2">
        <v>18324</v>
      </c>
      <c r="HQ113" s="2">
        <v>18379</v>
      </c>
      <c r="HR113" s="115"/>
      <c r="HS113" s="1051"/>
      <c r="HT113" s="1002">
        <v>41.3</v>
      </c>
      <c r="HU113" s="1002">
        <v>4.9000000000000004</v>
      </c>
      <c r="HV113" s="1002">
        <v>5.6</v>
      </c>
    </row>
    <row r="114" spans="1:230">
      <c r="A114" s="110">
        <f t="shared" si="296"/>
        <v>1955</v>
      </c>
      <c r="B114" s="176">
        <f t="shared" si="248"/>
        <v>17945</v>
      </c>
      <c r="C114" s="177">
        <f t="shared" si="145"/>
        <v>122</v>
      </c>
      <c r="D114" s="176">
        <f t="shared" si="285"/>
        <v>17823</v>
      </c>
      <c r="E114" s="154">
        <f t="shared" si="251"/>
        <v>19579</v>
      </c>
      <c r="F114" s="995">
        <f t="shared" si="252"/>
        <v>1756</v>
      </c>
      <c r="G114" s="531">
        <f t="shared" si="297"/>
        <v>17800</v>
      </c>
      <c r="H114" s="531">
        <f t="shared" si="298"/>
        <v>17678</v>
      </c>
      <c r="I114" s="531">
        <f t="shared" si="299"/>
        <v>19434</v>
      </c>
      <c r="J114" s="548">
        <f t="shared" si="300"/>
        <v>1.0074611505608726</v>
      </c>
      <c r="K114" s="178">
        <f t="shared" si="242"/>
        <v>2029</v>
      </c>
      <c r="L114" s="2">
        <v>2386</v>
      </c>
      <c r="M114" s="2">
        <v>357</v>
      </c>
      <c r="N114" s="2">
        <v>1678</v>
      </c>
      <c r="O114" s="170">
        <f t="shared" si="286"/>
        <v>351</v>
      </c>
      <c r="P114" s="175">
        <v>0</v>
      </c>
      <c r="Q114" s="175">
        <f t="shared" si="243"/>
        <v>284</v>
      </c>
      <c r="R114" s="175">
        <f t="shared" si="287"/>
        <v>67</v>
      </c>
      <c r="S114" s="532">
        <f t="shared" si="229"/>
        <v>0.13195031540612603</v>
      </c>
      <c r="T114" s="1008">
        <f t="shared" si="253"/>
        <v>162</v>
      </c>
      <c r="U114" s="1010">
        <v>162</v>
      </c>
      <c r="V114" s="511">
        <f t="shared" si="288"/>
        <v>343</v>
      </c>
      <c r="W114" s="2">
        <v>343</v>
      </c>
      <c r="X114" s="169">
        <f t="shared" si="254"/>
        <v>181</v>
      </c>
      <c r="Y114" s="113">
        <f t="shared" si="255"/>
        <v>0.5276967930029155</v>
      </c>
      <c r="Z114" s="113">
        <f t="shared" si="256"/>
        <v>0.5276967930029155</v>
      </c>
      <c r="AA114" s="276">
        <f>X114/DataUK3!D114</f>
        <v>1.437993958704018E-2</v>
      </c>
      <c r="AB114" s="1019">
        <f t="shared" si="257"/>
        <v>9.244598804841922E-3</v>
      </c>
      <c r="AC114" s="113"/>
      <c r="AD114" s="113"/>
      <c r="AE114" s="113"/>
      <c r="AF114" s="113"/>
      <c r="AG114" s="113"/>
      <c r="AH114" s="113"/>
      <c r="AI114" s="1010">
        <f>AD114*DataUK3!BG114</f>
        <v>0</v>
      </c>
      <c r="AJ114" s="171">
        <f t="shared" si="249"/>
        <v>1854.8191113450116</v>
      </c>
      <c r="AK114" s="561"/>
      <c r="AL114" s="169">
        <f t="shared" si="301"/>
        <v>2075.8191113450116</v>
      </c>
      <c r="AM114" s="169"/>
      <c r="AN114" s="2">
        <v>1114</v>
      </c>
      <c r="AO114" s="1029">
        <f t="shared" si="258"/>
        <v>1335</v>
      </c>
      <c r="AP114" s="170">
        <v>791</v>
      </c>
      <c r="AQ114" s="170"/>
      <c r="AR114" s="170"/>
      <c r="AS114" s="170">
        <v>1611</v>
      </c>
      <c r="AT114" s="170"/>
      <c r="AU114" s="170"/>
      <c r="AV114" s="83"/>
      <c r="AW114" s="175">
        <f t="shared" si="316"/>
        <v>3201</v>
      </c>
      <c r="AX114" s="170">
        <v>2886</v>
      </c>
      <c r="AY114" s="170">
        <v>315</v>
      </c>
      <c r="AZ114" s="358">
        <v>112</v>
      </c>
      <c r="BA114" s="358"/>
      <c r="BB114" s="203">
        <f t="shared" si="259"/>
        <v>0.4336283185840708</v>
      </c>
      <c r="BC114" s="203">
        <f t="shared" si="260"/>
        <v>0.82867783985102417</v>
      </c>
      <c r="BD114" s="203">
        <f t="shared" si="261"/>
        <v>1.3211496407372696</v>
      </c>
      <c r="BE114" s="203">
        <f t="shared" si="262"/>
        <v>1.0542566482241655</v>
      </c>
      <c r="BF114" s="170">
        <v>571</v>
      </c>
      <c r="BG114" s="113"/>
      <c r="BH114" s="203">
        <f t="shared" si="263"/>
        <v>1.1211558854718982</v>
      </c>
      <c r="BI114" s="273">
        <v>11269</v>
      </c>
      <c r="BJ114" s="2">
        <f t="shared" si="302"/>
        <v>11296</v>
      </c>
      <c r="BK114" s="83"/>
      <c r="BL114" s="170"/>
      <c r="BM114" s="1031">
        <f t="shared" si="303"/>
        <v>740.81911134501172</v>
      </c>
      <c r="BN114" s="310"/>
      <c r="BO114" s="262">
        <f t="shared" si="289"/>
        <v>6.2078573418779606E-2</v>
      </c>
      <c r="BP114" s="262">
        <f t="shared" si="264"/>
        <v>7.4393981610476459E-2</v>
      </c>
      <c r="BQ114" s="262">
        <f t="shared" si="290"/>
        <v>4.128275906074181E-2</v>
      </c>
      <c r="BR114" s="262">
        <f t="shared" si="304"/>
        <v>6.5739560861213214E-2</v>
      </c>
      <c r="BS114" s="988">
        <f t="shared" si="185"/>
        <v>0.55492068265543948</v>
      </c>
      <c r="BT114" s="519">
        <f t="shared" si="265"/>
        <v>221</v>
      </c>
      <c r="BU114" s="519"/>
      <c r="BV114" s="113">
        <f t="shared" si="266"/>
        <v>0.10646399717208725</v>
      </c>
      <c r="BW114" s="276">
        <f t="shared" si="305"/>
        <v>1.128760406558047E-2</v>
      </c>
      <c r="BX114" s="273">
        <v>402</v>
      </c>
      <c r="BY114" s="113"/>
      <c r="BZ114" s="1013"/>
      <c r="CA114" s="1005">
        <f t="shared" si="291"/>
        <v>17945</v>
      </c>
      <c r="CB114" s="2">
        <f t="shared" si="221"/>
        <v>15377</v>
      </c>
      <c r="CC114" s="2">
        <f t="shared" si="222"/>
        <v>17406</v>
      </c>
      <c r="CD114" s="2"/>
      <c r="CE114" s="2"/>
      <c r="CF114" s="2">
        <v>19490</v>
      </c>
      <c r="CG114" s="2">
        <v>-89</v>
      </c>
      <c r="CH114" s="2">
        <f t="shared" si="267"/>
        <v>0</v>
      </c>
      <c r="CI114" s="2">
        <v>1756</v>
      </c>
      <c r="CJ114" s="2"/>
      <c r="CK114" s="2"/>
      <c r="CL114" s="171">
        <f t="shared" si="306"/>
        <v>11697.580888654988</v>
      </c>
      <c r="CM114" s="169">
        <f t="shared" si="307"/>
        <v>12704.580888654988</v>
      </c>
      <c r="CN114" s="170">
        <f t="shared" si="268"/>
        <v>4229</v>
      </c>
      <c r="CO114" s="170">
        <f t="shared" si="269"/>
        <v>4229</v>
      </c>
      <c r="CP114" s="170">
        <f t="shared" si="308"/>
        <v>8475.5808886549876</v>
      </c>
      <c r="CQ114" s="170">
        <f t="shared" si="309"/>
        <v>1007</v>
      </c>
      <c r="CR114" s="170">
        <v>326</v>
      </c>
      <c r="CS114" s="113">
        <f t="shared" si="310"/>
        <v>5.1432657439092908E-2</v>
      </c>
      <c r="CT114" s="170">
        <f t="shared" si="270"/>
        <v>12327.580888654988</v>
      </c>
      <c r="CU114" s="2">
        <v>4172</v>
      </c>
      <c r="CV114" s="169">
        <f t="shared" si="271"/>
        <v>8155.5808886549876</v>
      </c>
      <c r="CW114" s="2">
        <v>996</v>
      </c>
      <c r="CX114" s="2"/>
      <c r="CY114" s="2"/>
      <c r="CZ114" s="170">
        <f t="shared" si="272"/>
        <v>377</v>
      </c>
      <c r="DA114" s="170">
        <f t="shared" si="273"/>
        <v>377</v>
      </c>
      <c r="DB114" s="170">
        <f t="shared" si="274"/>
        <v>57</v>
      </c>
      <c r="DC114" s="2">
        <v>57</v>
      </c>
      <c r="DD114" s="2">
        <v>320</v>
      </c>
      <c r="DE114" s="2">
        <v>11</v>
      </c>
      <c r="DF114" s="2"/>
      <c r="DG114" s="2"/>
      <c r="DH114" s="171">
        <f t="shared" si="227"/>
        <v>2079.6</v>
      </c>
      <c r="DI114" s="2">
        <f t="shared" si="250"/>
        <v>2426.6</v>
      </c>
      <c r="DJ114" s="169">
        <f t="shared" si="244"/>
        <v>2079.6</v>
      </c>
      <c r="DK114" s="2">
        <v>347</v>
      </c>
      <c r="DL114" s="113">
        <f t="shared" si="275"/>
        <v>0.11588743382557815</v>
      </c>
      <c r="DM114" s="113">
        <f t="shared" si="311"/>
        <v>0.18410056657223794</v>
      </c>
      <c r="DN114" s="113">
        <v>0.6</v>
      </c>
      <c r="DO114" s="2">
        <v>67</v>
      </c>
      <c r="DP114" s="2">
        <v>0</v>
      </c>
      <c r="DQ114" s="273">
        <v>3170</v>
      </c>
      <c r="DR114" s="2">
        <v>2535</v>
      </c>
      <c r="DS114" s="2">
        <v>931</v>
      </c>
      <c r="DT114" s="169">
        <f t="shared" si="245"/>
        <v>3466</v>
      </c>
      <c r="DU114" s="2">
        <v>12915</v>
      </c>
      <c r="DV114" s="2"/>
      <c r="DW114" s="2">
        <v>3326</v>
      </c>
      <c r="DX114" s="2">
        <v>2829</v>
      </c>
      <c r="DY114" s="2">
        <v>1503</v>
      </c>
      <c r="DZ114" s="2"/>
      <c r="EA114" s="2">
        <v>2829</v>
      </c>
      <c r="EB114" s="2">
        <v>1503</v>
      </c>
      <c r="EC114" s="175">
        <f t="shared" si="218"/>
        <v>1326</v>
      </c>
      <c r="ED114" s="175">
        <v>571</v>
      </c>
      <c r="EE114" s="175">
        <f t="shared" si="312"/>
        <v>755</v>
      </c>
      <c r="EF114" s="175">
        <f t="shared" si="315"/>
        <v>795</v>
      </c>
      <c r="EG114" s="2"/>
      <c r="EH114" s="78">
        <f t="shared" si="313"/>
        <v>1073</v>
      </c>
      <c r="EI114" s="2">
        <v>4166</v>
      </c>
      <c r="EJ114" s="2">
        <v>4439</v>
      </c>
      <c r="EK114" s="2"/>
      <c r="EL114" s="2"/>
      <c r="EM114" s="2"/>
      <c r="EN114" s="2"/>
      <c r="EO114" s="2"/>
      <c r="EP114" s="2"/>
      <c r="EQ114" s="2"/>
      <c r="ER114" s="2"/>
      <c r="ES114" s="2"/>
      <c r="ET114" s="2">
        <f t="shared" si="276"/>
        <v>19434</v>
      </c>
      <c r="EU114" s="2">
        <f t="shared" si="277"/>
        <v>19579</v>
      </c>
      <c r="EV114" s="262">
        <f t="shared" si="292"/>
        <v>1.0074611505608726</v>
      </c>
      <c r="EW114" s="2">
        <v>19490</v>
      </c>
      <c r="EX114" s="1042">
        <v>56</v>
      </c>
      <c r="EY114" s="273">
        <f t="shared" si="278"/>
        <v>14103.213931888546</v>
      </c>
      <c r="EZ114" s="2">
        <f t="shared" si="279"/>
        <v>5583</v>
      </c>
      <c r="FA114" s="1714"/>
      <c r="FB114" s="1714"/>
      <c r="FC114" s="2">
        <v>2781</v>
      </c>
      <c r="FD114" s="2">
        <v>773</v>
      </c>
      <c r="FE114" s="1052">
        <v>1106</v>
      </c>
      <c r="FF114" s="1050"/>
      <c r="FG114" s="115"/>
      <c r="FH114" s="83"/>
      <c r="FI114" s="2">
        <v>-108</v>
      </c>
      <c r="FJ114" s="2">
        <f t="shared" si="314"/>
        <v>-108</v>
      </c>
      <c r="FK114" s="273">
        <f t="shared" si="224"/>
        <v>486</v>
      </c>
      <c r="FL114" s="310">
        <v>486</v>
      </c>
      <c r="FM114" s="310">
        <v>1.0026338893766462</v>
      </c>
      <c r="FN114" s="115"/>
      <c r="FO114" s="115"/>
      <c r="FP114" s="115"/>
      <c r="FQ114" s="115"/>
      <c r="FR114" s="115"/>
      <c r="FS114" s="1051"/>
      <c r="FT114" s="310">
        <f t="shared" si="293"/>
        <v>2131.9973661106228</v>
      </c>
      <c r="FU114" s="310">
        <v>2131.9973661106228</v>
      </c>
      <c r="FV114" s="310"/>
      <c r="FW114" s="513">
        <f t="shared" si="280"/>
        <v>2131.9973661106228</v>
      </c>
      <c r="FX114" s="115"/>
      <c r="FY114" s="115"/>
      <c r="FZ114" s="115"/>
      <c r="GA114" s="115"/>
      <c r="GB114" s="115"/>
      <c r="GC114" s="115"/>
      <c r="GD114" s="115"/>
      <c r="GE114" s="115"/>
      <c r="GF114" s="115"/>
      <c r="GG114" s="115"/>
      <c r="GH114" s="115"/>
      <c r="GI114" s="115"/>
      <c r="GJ114" s="115"/>
      <c r="GK114" s="1055">
        <f t="shared" si="281"/>
        <v>989</v>
      </c>
      <c r="GL114" s="115"/>
      <c r="GM114" s="115"/>
      <c r="GN114" s="115"/>
      <c r="GO114" s="310">
        <v>989</v>
      </c>
      <c r="GP114" s="310">
        <f t="shared" si="246"/>
        <v>795</v>
      </c>
      <c r="GQ114" s="2">
        <v>795</v>
      </c>
      <c r="GR114" s="115"/>
      <c r="GS114" s="115"/>
      <c r="GT114" s="115"/>
      <c r="GU114" s="2">
        <f t="shared" si="225"/>
        <v>194</v>
      </c>
      <c r="GV114" s="1063">
        <v>891</v>
      </c>
      <c r="GW114" s="1063">
        <f>DataUK4!D266+DataUK4!F266</f>
        <v>757.1</v>
      </c>
      <c r="GX114" s="615"/>
      <c r="GY114" s="615">
        <f t="shared" si="210"/>
        <v>635.21393188854518</v>
      </c>
      <c r="GZ114" s="254"/>
      <c r="HA114" s="254"/>
      <c r="HB114" s="2">
        <v>261</v>
      </c>
      <c r="HC114" s="1052"/>
      <c r="HD114" s="170">
        <f t="shared" si="294"/>
        <v>149</v>
      </c>
      <c r="HE114" s="2">
        <v>507</v>
      </c>
      <c r="HF114" s="2">
        <v>358</v>
      </c>
      <c r="HG114" s="170">
        <f t="shared" si="295"/>
        <v>-27</v>
      </c>
      <c r="HH114" s="2">
        <v>15</v>
      </c>
      <c r="HI114" s="2">
        <v>42</v>
      </c>
      <c r="HJ114" s="2">
        <f t="shared" si="282"/>
        <v>0</v>
      </c>
      <c r="HK114" s="2"/>
      <c r="HL114" s="2"/>
      <c r="HM114" s="2">
        <f t="shared" si="247"/>
        <v>0</v>
      </c>
      <c r="HN114" s="2">
        <f t="shared" si="283"/>
        <v>43</v>
      </c>
      <c r="HO114" s="2">
        <f t="shared" si="284"/>
        <v>43</v>
      </c>
      <c r="HP114" s="2">
        <v>19612</v>
      </c>
      <c r="HQ114" s="2">
        <v>19655</v>
      </c>
      <c r="HR114" s="115"/>
      <c r="HS114" s="1051"/>
      <c r="HT114" s="1002">
        <v>43.1</v>
      </c>
      <c r="HU114" s="1002">
        <v>5.0999999999999996</v>
      </c>
      <c r="HV114" s="1002">
        <v>5.8</v>
      </c>
    </row>
    <row r="115" spans="1:230">
      <c r="A115" s="110">
        <f t="shared" si="296"/>
        <v>1956</v>
      </c>
      <c r="B115" s="176">
        <f t="shared" si="248"/>
        <v>19235.000000000004</v>
      </c>
      <c r="C115" s="177">
        <f t="shared" si="145"/>
        <v>173</v>
      </c>
      <c r="D115" s="176">
        <f t="shared" si="285"/>
        <v>19062.000000000004</v>
      </c>
      <c r="E115" s="154">
        <f t="shared" si="251"/>
        <v>20986.000000000004</v>
      </c>
      <c r="F115" s="995">
        <f t="shared" si="252"/>
        <v>1924</v>
      </c>
      <c r="G115" s="531">
        <f t="shared" si="297"/>
        <v>19224</v>
      </c>
      <c r="H115" s="531">
        <f t="shared" si="298"/>
        <v>19051</v>
      </c>
      <c r="I115" s="531">
        <f t="shared" si="299"/>
        <v>20975</v>
      </c>
      <c r="J115" s="548">
        <f t="shared" si="300"/>
        <v>1.0005244338498214</v>
      </c>
      <c r="K115" s="178">
        <f t="shared" si="242"/>
        <v>2155</v>
      </c>
      <c r="L115" s="2">
        <v>2519</v>
      </c>
      <c r="M115" s="2">
        <v>364</v>
      </c>
      <c r="N115" s="2">
        <v>1789</v>
      </c>
      <c r="O115" s="170">
        <f t="shared" si="286"/>
        <v>366</v>
      </c>
      <c r="P115" s="175">
        <v>0</v>
      </c>
      <c r="Q115" s="175">
        <f t="shared" si="243"/>
        <v>292</v>
      </c>
      <c r="R115" s="175">
        <f t="shared" si="287"/>
        <v>74</v>
      </c>
      <c r="S115" s="532">
        <f t="shared" si="229"/>
        <v>0.13036902601330913</v>
      </c>
      <c r="T115" s="1008">
        <f t="shared" si="253"/>
        <v>172</v>
      </c>
      <c r="U115" s="1010">
        <v>172</v>
      </c>
      <c r="V115" s="511">
        <f t="shared" si="288"/>
        <v>363</v>
      </c>
      <c r="W115" s="2">
        <v>363</v>
      </c>
      <c r="X115" s="169">
        <f t="shared" si="254"/>
        <v>191</v>
      </c>
      <c r="Y115" s="113">
        <f t="shared" si="255"/>
        <v>0.52617079889807161</v>
      </c>
      <c r="Z115" s="113">
        <f t="shared" si="256"/>
        <v>0.52617079889807161</v>
      </c>
      <c r="AA115" s="276">
        <f>X115/DataUK3!D115</f>
        <v>1.4317791389751689E-2</v>
      </c>
      <c r="AB115" s="1019">
        <f t="shared" si="257"/>
        <v>9.1013056323263116E-3</v>
      </c>
      <c r="AC115" s="113"/>
      <c r="AD115" s="113"/>
      <c r="AE115" s="113"/>
      <c r="AF115" s="113"/>
      <c r="AG115" s="113"/>
      <c r="AH115" s="113"/>
      <c r="AI115" s="1010">
        <f>AD115*DataUK3!BG115</f>
        <v>0</v>
      </c>
      <c r="AJ115" s="171">
        <f t="shared" si="249"/>
        <v>1928.3397488910609</v>
      </c>
      <c r="AK115" s="561"/>
      <c r="AL115" s="169">
        <f t="shared" si="301"/>
        <v>2161.3397488910609</v>
      </c>
      <c r="AM115" s="169"/>
      <c r="AN115" s="2">
        <v>1157</v>
      </c>
      <c r="AO115" s="1029">
        <f t="shared" si="258"/>
        <v>1390</v>
      </c>
      <c r="AP115" s="170">
        <v>853</v>
      </c>
      <c r="AQ115" s="170"/>
      <c r="AR115" s="170"/>
      <c r="AS115" s="170">
        <v>1713</v>
      </c>
      <c r="AT115" s="170"/>
      <c r="AU115" s="170"/>
      <c r="AV115" s="83"/>
      <c r="AW115" s="175">
        <f t="shared" si="316"/>
        <v>3273</v>
      </c>
      <c r="AX115" s="170">
        <v>2928</v>
      </c>
      <c r="AY115" s="170">
        <v>345</v>
      </c>
      <c r="AZ115" s="358">
        <v>122</v>
      </c>
      <c r="BA115" s="358"/>
      <c r="BB115" s="203">
        <f t="shared" si="259"/>
        <v>0.42555685814771393</v>
      </c>
      <c r="BC115" s="203">
        <f t="shared" si="260"/>
        <v>0.81144191476941041</v>
      </c>
      <c r="BD115" s="203">
        <f t="shared" si="261"/>
        <v>1.3379162847540482</v>
      </c>
      <c r="BE115" s="203">
        <f t="shared" si="262"/>
        <v>1.0501798253125536</v>
      </c>
      <c r="BF115" s="170">
        <v>676</v>
      </c>
      <c r="BG115" s="113"/>
      <c r="BH115" s="203">
        <f t="shared" si="263"/>
        <v>1.1088883261585212</v>
      </c>
      <c r="BI115" s="273">
        <v>12290</v>
      </c>
      <c r="BJ115" s="2">
        <f t="shared" si="302"/>
        <v>12320</v>
      </c>
      <c r="BK115" s="83"/>
      <c r="BL115" s="170"/>
      <c r="BM115" s="1031">
        <f t="shared" si="303"/>
        <v>771.33974889106082</v>
      </c>
      <c r="BN115" s="310"/>
      <c r="BO115" s="262">
        <f t="shared" si="289"/>
        <v>6.0150766831297116E-2</v>
      </c>
      <c r="BP115" s="262">
        <f t="shared" si="264"/>
        <v>7.2264101897582519E-2</v>
      </c>
      <c r="BQ115" s="262">
        <f t="shared" si="290"/>
        <v>4.0100844756488736E-2</v>
      </c>
      <c r="BR115" s="262">
        <f t="shared" si="304"/>
        <v>6.2761574360541972E-2</v>
      </c>
      <c r="BS115" s="988">
        <f t="shared" si="185"/>
        <v>0.55492068265543948</v>
      </c>
      <c r="BT115" s="519">
        <f t="shared" si="265"/>
        <v>233</v>
      </c>
      <c r="BU115" s="519"/>
      <c r="BV115" s="113">
        <f t="shared" si="266"/>
        <v>0.10780350480277222</v>
      </c>
      <c r="BW115" s="276">
        <f t="shared" si="305"/>
        <v>1.1102639855141521E-2</v>
      </c>
      <c r="BX115" s="273">
        <v>424</v>
      </c>
      <c r="BY115" s="113"/>
      <c r="BZ115" s="1013"/>
      <c r="CA115" s="1005">
        <f t="shared" si="291"/>
        <v>19235</v>
      </c>
      <c r="CB115" s="2">
        <f t="shared" si="221"/>
        <v>16530</v>
      </c>
      <c r="CC115" s="2">
        <f t="shared" si="222"/>
        <v>18685</v>
      </c>
      <c r="CD115" s="2"/>
      <c r="CE115" s="2"/>
      <c r="CF115" s="2">
        <v>20955</v>
      </c>
      <c r="CG115" s="2">
        <v>-30</v>
      </c>
      <c r="CH115" s="2">
        <f t="shared" si="267"/>
        <v>1.000000000003638</v>
      </c>
      <c r="CI115" s="2">
        <v>1924</v>
      </c>
      <c r="CJ115" s="2"/>
      <c r="CK115" s="2"/>
      <c r="CL115" s="171">
        <f t="shared" si="306"/>
        <v>12561.46025110894</v>
      </c>
      <c r="CM115" s="169">
        <f t="shared" si="307"/>
        <v>13682.46025110894</v>
      </c>
      <c r="CN115" s="170">
        <f t="shared" si="268"/>
        <v>4379</v>
      </c>
      <c r="CO115" s="170">
        <f t="shared" si="269"/>
        <v>4379</v>
      </c>
      <c r="CP115" s="170">
        <f t="shared" si="308"/>
        <v>9303.4602511089397</v>
      </c>
      <c r="CQ115" s="170">
        <f t="shared" si="309"/>
        <v>1121</v>
      </c>
      <c r="CR115" s="170">
        <v>361</v>
      </c>
      <c r="CS115" s="113">
        <f t="shared" si="310"/>
        <v>5.3416563423234531E-2</v>
      </c>
      <c r="CT115" s="170">
        <f t="shared" si="270"/>
        <v>13270.46025110894</v>
      </c>
      <c r="CU115" s="2">
        <v>4316</v>
      </c>
      <c r="CV115" s="169">
        <f t="shared" si="271"/>
        <v>8954.4602511089397</v>
      </c>
      <c r="CW115" s="2">
        <v>1109</v>
      </c>
      <c r="CX115" s="2"/>
      <c r="CY115" s="2"/>
      <c r="CZ115" s="170">
        <f t="shared" si="272"/>
        <v>412</v>
      </c>
      <c r="DA115" s="170">
        <f t="shared" si="273"/>
        <v>412</v>
      </c>
      <c r="DB115" s="170">
        <f t="shared" si="274"/>
        <v>63</v>
      </c>
      <c r="DC115" s="2">
        <v>63</v>
      </c>
      <c r="DD115" s="2">
        <v>349</v>
      </c>
      <c r="DE115" s="2">
        <v>12</v>
      </c>
      <c r="DF115" s="2"/>
      <c r="DG115" s="2"/>
      <c r="DH115" s="171">
        <f t="shared" si="227"/>
        <v>2245.1999999999998</v>
      </c>
      <c r="DI115" s="2">
        <f t="shared" si="250"/>
        <v>2624.2</v>
      </c>
      <c r="DJ115" s="169">
        <f t="shared" si="244"/>
        <v>2245.1999999999998</v>
      </c>
      <c r="DK115" s="2">
        <v>379</v>
      </c>
      <c r="DL115" s="113">
        <f t="shared" si="275"/>
        <v>0.11672472056147644</v>
      </c>
      <c r="DM115" s="113">
        <f t="shared" si="311"/>
        <v>0.18224025974025973</v>
      </c>
      <c r="DN115" s="113">
        <v>0.6</v>
      </c>
      <c r="DO115" s="2">
        <v>74</v>
      </c>
      <c r="DP115" s="2">
        <v>0</v>
      </c>
      <c r="DQ115" s="273">
        <v>3427</v>
      </c>
      <c r="DR115" s="2">
        <v>2693</v>
      </c>
      <c r="DS115" s="2">
        <v>1049</v>
      </c>
      <c r="DT115" s="169">
        <f t="shared" si="245"/>
        <v>3742</v>
      </c>
      <c r="DU115" s="2">
        <v>13583</v>
      </c>
      <c r="DV115" s="2"/>
      <c r="DW115" s="2">
        <v>3574</v>
      </c>
      <c r="DX115" s="2">
        <v>3103</v>
      </c>
      <c r="DY115" s="2">
        <v>1726</v>
      </c>
      <c r="DZ115" s="2"/>
      <c r="EA115" s="2">
        <v>3103</v>
      </c>
      <c r="EB115" s="2">
        <v>1726</v>
      </c>
      <c r="EC115" s="175">
        <f t="shared" si="218"/>
        <v>1377</v>
      </c>
      <c r="ED115" s="175">
        <v>589</v>
      </c>
      <c r="EE115" s="175">
        <f t="shared" si="312"/>
        <v>788</v>
      </c>
      <c r="EF115" s="175">
        <f t="shared" si="315"/>
        <v>831</v>
      </c>
      <c r="EG115" s="2"/>
      <c r="EH115" s="78">
        <f t="shared" si="313"/>
        <v>1179</v>
      </c>
      <c r="EI115" s="2">
        <v>4586</v>
      </c>
      <c r="EJ115" s="2">
        <v>4510</v>
      </c>
      <c r="EK115" s="2"/>
      <c r="EL115" s="2"/>
      <c r="EM115" s="2"/>
      <c r="EN115" s="2"/>
      <c r="EO115" s="2"/>
      <c r="EP115" s="2"/>
      <c r="EQ115" s="2"/>
      <c r="ER115" s="2"/>
      <c r="ES115" s="2"/>
      <c r="ET115" s="2">
        <f t="shared" si="276"/>
        <v>20975</v>
      </c>
      <c r="EU115" s="2">
        <f t="shared" si="277"/>
        <v>20986</v>
      </c>
      <c r="EV115" s="262">
        <f t="shared" si="292"/>
        <v>1.0005244338498211</v>
      </c>
      <c r="EW115" s="2">
        <v>20955</v>
      </c>
      <c r="EX115" s="1042">
        <v>-19</v>
      </c>
      <c r="EY115" s="273">
        <f t="shared" si="278"/>
        <v>15382.366563467494</v>
      </c>
      <c r="EZ115" s="2">
        <f t="shared" si="279"/>
        <v>5833</v>
      </c>
      <c r="FA115" s="1714"/>
      <c r="FB115" s="1714"/>
      <c r="FC115" s="2">
        <v>2849</v>
      </c>
      <c r="FD115" s="2">
        <v>829</v>
      </c>
      <c r="FE115" s="1052">
        <v>1261</v>
      </c>
      <c r="FF115" s="1050"/>
      <c r="FG115" s="115"/>
      <c r="FH115" s="83"/>
      <c r="FI115" s="2">
        <v>251</v>
      </c>
      <c r="FJ115" s="2">
        <f t="shared" si="314"/>
        <v>251</v>
      </c>
      <c r="FK115" s="273">
        <f t="shared" si="224"/>
        <v>766</v>
      </c>
      <c r="FL115" s="310">
        <v>766</v>
      </c>
      <c r="FM115" s="310">
        <v>265.69798068481123</v>
      </c>
      <c r="FN115" s="115"/>
      <c r="FO115" s="115"/>
      <c r="FP115" s="115"/>
      <c r="FQ115" s="115"/>
      <c r="FR115" s="115"/>
      <c r="FS115" s="1051"/>
      <c r="FT115" s="310">
        <f t="shared" si="293"/>
        <v>2417.3020193151906</v>
      </c>
      <c r="FU115" s="310">
        <v>2417.3020193151906</v>
      </c>
      <c r="FV115" s="310"/>
      <c r="FW115" s="513">
        <f t="shared" si="280"/>
        <v>2417.3020193151906</v>
      </c>
      <c r="FX115" s="115"/>
      <c r="FY115" s="115"/>
      <c r="FZ115" s="115"/>
      <c r="GA115" s="115"/>
      <c r="GB115" s="115"/>
      <c r="GC115" s="115"/>
      <c r="GD115" s="115"/>
      <c r="GE115" s="115"/>
      <c r="GF115" s="115"/>
      <c r="GG115" s="115"/>
      <c r="GH115" s="115"/>
      <c r="GI115" s="115"/>
      <c r="GJ115" s="115"/>
      <c r="GK115" s="1055">
        <f t="shared" si="281"/>
        <v>817</v>
      </c>
      <c r="GL115" s="115"/>
      <c r="GM115" s="115"/>
      <c r="GN115" s="115"/>
      <c r="GO115" s="310">
        <v>817</v>
      </c>
      <c r="GP115" s="310">
        <f t="shared" si="246"/>
        <v>831</v>
      </c>
      <c r="GQ115" s="2">
        <v>831</v>
      </c>
      <c r="GR115" s="115"/>
      <c r="GS115" s="115"/>
      <c r="GT115" s="115"/>
      <c r="GU115" s="2">
        <f t="shared" si="225"/>
        <v>-14</v>
      </c>
      <c r="GV115" s="1063">
        <v>940</v>
      </c>
      <c r="GW115" s="1063">
        <f>DataUK4!D267+DataUK4!F267</f>
        <v>857.4</v>
      </c>
      <c r="GX115" s="615"/>
      <c r="GY115" s="615">
        <f t="shared" si="210"/>
        <v>719.36656346749248</v>
      </c>
      <c r="GZ115" s="254"/>
      <c r="HA115" s="254"/>
      <c r="HB115" s="2">
        <v>279</v>
      </c>
      <c r="HC115" s="1052"/>
      <c r="HD115" s="170">
        <f t="shared" si="294"/>
        <v>203</v>
      </c>
      <c r="HE115" s="2">
        <v>560</v>
      </c>
      <c r="HF115" s="2">
        <v>357</v>
      </c>
      <c r="HG115" s="170">
        <f t="shared" si="295"/>
        <v>-30</v>
      </c>
      <c r="HH115" s="2">
        <v>16</v>
      </c>
      <c r="HI115" s="2">
        <v>46</v>
      </c>
      <c r="HJ115" s="2">
        <f t="shared" si="282"/>
        <v>0</v>
      </c>
      <c r="HK115" s="2"/>
      <c r="HL115" s="2"/>
      <c r="HM115" s="2">
        <f t="shared" si="247"/>
        <v>0</v>
      </c>
      <c r="HN115" s="2">
        <f t="shared" si="283"/>
        <v>2</v>
      </c>
      <c r="HO115" s="2">
        <f t="shared" si="284"/>
        <v>2</v>
      </c>
      <c r="HP115" s="2">
        <v>21129</v>
      </c>
      <c r="HQ115" s="2">
        <v>21131</v>
      </c>
      <c r="HR115" s="115"/>
      <c r="HS115" s="1051"/>
      <c r="HT115" s="1002">
        <v>45.3</v>
      </c>
      <c r="HU115" s="1002">
        <v>5.4</v>
      </c>
      <c r="HV115" s="1002">
        <v>6.1</v>
      </c>
    </row>
    <row r="116" spans="1:230">
      <c r="A116" s="110">
        <f t="shared" si="296"/>
        <v>1957</v>
      </c>
      <c r="B116" s="176">
        <f t="shared" si="248"/>
        <v>20195</v>
      </c>
      <c r="C116" s="177">
        <f t="shared" si="145"/>
        <v>191</v>
      </c>
      <c r="D116" s="176">
        <f t="shared" si="285"/>
        <v>20004</v>
      </c>
      <c r="E116" s="154">
        <f t="shared" si="251"/>
        <v>22060</v>
      </c>
      <c r="F116" s="995">
        <f t="shared" si="252"/>
        <v>2056</v>
      </c>
      <c r="G116" s="531">
        <f t="shared" si="297"/>
        <v>20297</v>
      </c>
      <c r="H116" s="531">
        <f t="shared" si="298"/>
        <v>20106</v>
      </c>
      <c r="I116" s="531">
        <f t="shared" si="299"/>
        <v>22162</v>
      </c>
      <c r="J116" s="548">
        <f t="shared" si="300"/>
        <v>0.99539752729898023</v>
      </c>
      <c r="K116" s="178">
        <f t="shared" si="242"/>
        <v>2215</v>
      </c>
      <c r="L116" s="2">
        <v>2628</v>
      </c>
      <c r="M116" s="2">
        <v>413</v>
      </c>
      <c r="N116" s="2">
        <v>1799</v>
      </c>
      <c r="O116" s="170">
        <f t="shared" si="286"/>
        <v>416</v>
      </c>
      <c r="P116" s="175">
        <v>0</v>
      </c>
      <c r="Q116" s="175">
        <f t="shared" si="243"/>
        <v>333</v>
      </c>
      <c r="R116" s="175">
        <f t="shared" si="287"/>
        <v>83</v>
      </c>
      <c r="S116" s="532">
        <f t="shared" si="229"/>
        <v>0.12757012037090365</v>
      </c>
      <c r="T116" s="1008">
        <f t="shared" si="253"/>
        <v>187</v>
      </c>
      <c r="U116" s="1010">
        <v>187</v>
      </c>
      <c r="V116" s="511">
        <f t="shared" si="288"/>
        <v>386</v>
      </c>
      <c r="W116" s="2">
        <v>386</v>
      </c>
      <c r="X116" s="169">
        <f t="shared" si="254"/>
        <v>199</v>
      </c>
      <c r="Y116" s="113">
        <f t="shared" si="255"/>
        <v>0.51554404145077726</v>
      </c>
      <c r="Z116" s="113">
        <f t="shared" si="256"/>
        <v>0.51554404145077726</v>
      </c>
      <c r="AA116" s="276">
        <f>X116/DataUK3!D116</f>
        <v>1.4680703911473142E-2</v>
      </c>
      <c r="AB116" s="1019">
        <f t="shared" si="257"/>
        <v>9.0208522212148687E-3</v>
      </c>
      <c r="AC116" s="113"/>
      <c r="AD116" s="113"/>
      <c r="AE116" s="113"/>
      <c r="AF116" s="113"/>
      <c r="AG116" s="113"/>
      <c r="AH116" s="113"/>
      <c r="AI116" s="1010">
        <f>AD116*DataUK3!BG116</f>
        <v>0</v>
      </c>
      <c r="AJ116" s="171">
        <f t="shared" si="249"/>
        <v>2004.8603864371098</v>
      </c>
      <c r="AK116" s="561"/>
      <c r="AL116" s="169">
        <f t="shared" si="301"/>
        <v>2246.8603864371098</v>
      </c>
      <c r="AM116" s="169"/>
      <c r="AN116" s="2">
        <v>1203</v>
      </c>
      <c r="AO116" s="1029">
        <f t="shared" si="258"/>
        <v>1445</v>
      </c>
      <c r="AP116" s="170">
        <v>913</v>
      </c>
      <c r="AQ116" s="170"/>
      <c r="AR116" s="170"/>
      <c r="AS116" s="170">
        <v>1772</v>
      </c>
      <c r="AT116" s="170"/>
      <c r="AU116" s="170"/>
      <c r="AV116" s="83"/>
      <c r="AW116" s="175">
        <f t="shared" si="316"/>
        <v>3398</v>
      </c>
      <c r="AX116" s="170">
        <v>3075</v>
      </c>
      <c r="AY116" s="170">
        <v>323</v>
      </c>
      <c r="AZ116" s="358">
        <v>128</v>
      </c>
      <c r="BA116" s="358"/>
      <c r="BB116" s="203">
        <f t="shared" si="259"/>
        <v>0.42278203723986857</v>
      </c>
      <c r="BC116" s="203">
        <f t="shared" si="260"/>
        <v>0.81546275395033863</v>
      </c>
      <c r="BD116" s="203">
        <f t="shared" si="261"/>
        <v>1.3543260741612713</v>
      </c>
      <c r="BE116" s="203">
        <f t="shared" si="262"/>
        <v>1.0575373993095512</v>
      </c>
      <c r="BF116" s="170">
        <v>763</v>
      </c>
      <c r="BG116" s="113"/>
      <c r="BH116" s="203">
        <f t="shared" si="263"/>
        <v>1.1059841384282625</v>
      </c>
      <c r="BI116" s="273">
        <v>12985</v>
      </c>
      <c r="BJ116" s="2">
        <f t="shared" si="302"/>
        <v>13017</v>
      </c>
      <c r="BK116" s="83"/>
      <c r="BL116" s="170"/>
      <c r="BM116" s="1031">
        <f t="shared" si="303"/>
        <v>801.86038643711004</v>
      </c>
      <c r="BN116" s="310"/>
      <c r="BO116" s="262">
        <f t="shared" si="289"/>
        <v>5.9569200297103241E-2</v>
      </c>
      <c r="BP116" s="262">
        <f t="shared" si="264"/>
        <v>7.1552364446645214E-2</v>
      </c>
      <c r="BQ116" s="262">
        <f t="shared" si="290"/>
        <v>3.9705886924343153E-2</v>
      </c>
      <c r="BR116" s="262">
        <f t="shared" si="304"/>
        <v>6.1752821442981137E-2</v>
      </c>
      <c r="BS116" s="988">
        <f t="shared" si="185"/>
        <v>0.55492068265543948</v>
      </c>
      <c r="BT116" s="519">
        <f t="shared" si="265"/>
        <v>242</v>
      </c>
      <c r="BU116" s="519"/>
      <c r="BV116" s="113">
        <f t="shared" si="266"/>
        <v>0.10770584654961321</v>
      </c>
      <c r="BW116" s="276">
        <f t="shared" si="305"/>
        <v>1.0970081595648232E-2</v>
      </c>
      <c r="BX116" s="273">
        <v>441</v>
      </c>
      <c r="BY116" s="113"/>
      <c r="BZ116" s="1013"/>
      <c r="CA116" s="1005">
        <f t="shared" si="291"/>
        <v>20195</v>
      </c>
      <c r="CB116" s="2">
        <f t="shared" si="221"/>
        <v>17363</v>
      </c>
      <c r="CC116" s="2">
        <f t="shared" si="222"/>
        <v>19578</v>
      </c>
      <c r="CD116" s="2"/>
      <c r="CE116" s="2"/>
      <c r="CF116" s="2">
        <v>22105</v>
      </c>
      <c r="CG116" s="2">
        <v>45</v>
      </c>
      <c r="CH116" s="2">
        <f t="shared" si="267"/>
        <v>0</v>
      </c>
      <c r="CI116" s="2">
        <v>2056</v>
      </c>
      <c r="CJ116" s="2"/>
      <c r="CK116" s="2"/>
      <c r="CL116" s="171">
        <f t="shared" si="306"/>
        <v>13252.33961356289</v>
      </c>
      <c r="CM116" s="169">
        <f t="shared" si="307"/>
        <v>14472.33961356289</v>
      </c>
      <c r="CN116" s="170">
        <f t="shared" si="268"/>
        <v>4602</v>
      </c>
      <c r="CO116" s="170">
        <f t="shared" si="269"/>
        <v>4602</v>
      </c>
      <c r="CP116" s="170">
        <f t="shared" si="308"/>
        <v>9870.33961356289</v>
      </c>
      <c r="CQ116" s="170">
        <f t="shared" si="309"/>
        <v>1220</v>
      </c>
      <c r="CR116" s="170">
        <v>394</v>
      </c>
      <c r="CS116" s="113">
        <f t="shared" si="310"/>
        <v>5.5303717135086132E-2</v>
      </c>
      <c r="CT116" s="170">
        <f t="shared" si="270"/>
        <v>14031.33961356289</v>
      </c>
      <c r="CU116" s="2">
        <v>4530</v>
      </c>
      <c r="CV116" s="169">
        <f t="shared" si="271"/>
        <v>9501.33961356289</v>
      </c>
      <c r="CW116" s="2">
        <v>1207</v>
      </c>
      <c r="CX116" s="2"/>
      <c r="CY116" s="2"/>
      <c r="CZ116" s="170">
        <f t="shared" si="272"/>
        <v>441</v>
      </c>
      <c r="DA116" s="170">
        <f t="shared" si="273"/>
        <v>441</v>
      </c>
      <c r="DB116" s="170">
        <f t="shared" si="274"/>
        <v>72</v>
      </c>
      <c r="DC116" s="2">
        <v>72</v>
      </c>
      <c r="DD116" s="2">
        <v>369</v>
      </c>
      <c r="DE116" s="2">
        <v>13</v>
      </c>
      <c r="DF116" s="2"/>
      <c r="DG116" s="2"/>
      <c r="DH116" s="171">
        <f t="shared" si="227"/>
        <v>2344.7999999999997</v>
      </c>
      <c r="DI116" s="2">
        <f t="shared" si="250"/>
        <v>2739.7999999999997</v>
      </c>
      <c r="DJ116" s="169">
        <f t="shared" si="244"/>
        <v>2344.7999999999997</v>
      </c>
      <c r="DK116" s="2">
        <v>395</v>
      </c>
      <c r="DL116" s="113">
        <f t="shared" si="275"/>
        <v>0.11610794751176032</v>
      </c>
      <c r="DM116" s="113">
        <f t="shared" si="311"/>
        <v>0.18013367135284625</v>
      </c>
      <c r="DN116" s="113">
        <v>0.6</v>
      </c>
      <c r="DO116" s="2">
        <v>83</v>
      </c>
      <c r="DP116" s="2">
        <v>0</v>
      </c>
      <c r="DQ116" s="273">
        <v>3584</v>
      </c>
      <c r="DR116" s="2">
        <v>2759</v>
      </c>
      <c r="DS116" s="2">
        <v>1149</v>
      </c>
      <c r="DT116" s="169">
        <f t="shared" si="245"/>
        <v>3908</v>
      </c>
      <c r="DU116" s="2">
        <v>14324</v>
      </c>
      <c r="DV116" s="2"/>
      <c r="DW116" s="2">
        <v>3838</v>
      </c>
      <c r="DX116" s="2">
        <v>3381</v>
      </c>
      <c r="DY116" s="2">
        <v>1907</v>
      </c>
      <c r="DZ116" s="2"/>
      <c r="EA116" s="2">
        <v>3381</v>
      </c>
      <c r="EB116" s="2">
        <v>1907</v>
      </c>
      <c r="EC116" s="175">
        <f t="shared" si="218"/>
        <v>1474</v>
      </c>
      <c r="ED116" s="175">
        <v>660</v>
      </c>
      <c r="EE116" s="175">
        <f t="shared" si="312"/>
        <v>814</v>
      </c>
      <c r="EF116" s="175">
        <f t="shared" si="315"/>
        <v>849</v>
      </c>
      <c r="EG116" s="2"/>
      <c r="EH116" s="78">
        <f t="shared" si="313"/>
        <v>1325</v>
      </c>
      <c r="EI116" s="2">
        <v>4823</v>
      </c>
      <c r="EJ116" s="2">
        <v>4731</v>
      </c>
      <c r="EK116" s="2"/>
      <c r="EL116" s="2"/>
      <c r="EM116" s="2"/>
      <c r="EN116" s="2"/>
      <c r="EO116" s="2"/>
      <c r="EP116" s="2"/>
      <c r="EQ116" s="2"/>
      <c r="ER116" s="2"/>
      <c r="ES116" s="2"/>
      <c r="ET116" s="2">
        <f t="shared" si="276"/>
        <v>22162</v>
      </c>
      <c r="EU116" s="2">
        <f t="shared" si="277"/>
        <v>22060</v>
      </c>
      <c r="EV116" s="262">
        <f t="shared" si="292"/>
        <v>0.99539752729898023</v>
      </c>
      <c r="EW116" s="2">
        <v>22105</v>
      </c>
      <c r="EX116" s="1042">
        <v>-57</v>
      </c>
      <c r="EY116" s="273">
        <f t="shared" si="278"/>
        <v>16022.391331269351</v>
      </c>
      <c r="EZ116" s="2">
        <f t="shared" si="279"/>
        <v>6188</v>
      </c>
      <c r="FA116" s="1714"/>
      <c r="FB116" s="1714"/>
      <c r="FC116" s="2">
        <v>3118</v>
      </c>
      <c r="FD116" s="2">
        <v>855</v>
      </c>
      <c r="FE116" s="1052">
        <v>1317</v>
      </c>
      <c r="FF116" s="1050"/>
      <c r="FG116" s="115"/>
      <c r="FH116" s="83"/>
      <c r="FI116" s="2">
        <v>278</v>
      </c>
      <c r="FJ116" s="2">
        <f t="shared" si="314"/>
        <v>278</v>
      </c>
      <c r="FK116" s="273">
        <f t="shared" si="224"/>
        <v>759</v>
      </c>
      <c r="FL116" s="310">
        <v>759</v>
      </c>
      <c r="FM116" s="310">
        <v>223.58735733099212</v>
      </c>
      <c r="FN116" s="115"/>
      <c r="FO116" s="115"/>
      <c r="FP116" s="115"/>
      <c r="FQ116" s="115"/>
      <c r="FR116" s="115"/>
      <c r="FS116" s="1051"/>
      <c r="FT116" s="310">
        <f t="shared" si="293"/>
        <v>2499.4126426690073</v>
      </c>
      <c r="FU116" s="310">
        <v>2499.4126426690073</v>
      </c>
      <c r="FV116" s="310"/>
      <c r="FW116" s="513">
        <f t="shared" si="280"/>
        <v>2499.4126426690073</v>
      </c>
      <c r="FX116" s="115"/>
      <c r="FY116" s="115"/>
      <c r="FZ116" s="115"/>
      <c r="GA116" s="115"/>
      <c r="GB116" s="115"/>
      <c r="GC116" s="115"/>
      <c r="GD116" s="115"/>
      <c r="GE116" s="115"/>
      <c r="GF116" s="115"/>
      <c r="GG116" s="115"/>
      <c r="GH116" s="115"/>
      <c r="GI116" s="115"/>
      <c r="GJ116" s="115"/>
      <c r="GK116" s="1055">
        <f t="shared" si="281"/>
        <v>981</v>
      </c>
      <c r="GL116" s="115"/>
      <c r="GM116" s="115"/>
      <c r="GN116" s="115"/>
      <c r="GO116" s="310">
        <v>981</v>
      </c>
      <c r="GP116" s="310">
        <f t="shared" si="246"/>
        <v>849</v>
      </c>
      <c r="GQ116" s="2">
        <v>849</v>
      </c>
      <c r="GR116" s="115"/>
      <c r="GS116" s="115"/>
      <c r="GT116" s="115"/>
      <c r="GU116" s="2">
        <f t="shared" si="225"/>
        <v>132</v>
      </c>
      <c r="GV116" s="1063">
        <v>954</v>
      </c>
      <c r="GW116" s="1063">
        <f>DataUK4!D268+DataUK4!F268</f>
        <v>832.4</v>
      </c>
      <c r="GX116" s="615"/>
      <c r="GY116" s="615">
        <f t="shared" si="210"/>
        <v>698.39133126935008</v>
      </c>
      <c r="GZ116" s="254"/>
      <c r="HA116" s="254"/>
      <c r="HB116" s="2">
        <v>288</v>
      </c>
      <c r="HC116" s="1052"/>
      <c r="HD116" s="170">
        <f t="shared" si="294"/>
        <v>223</v>
      </c>
      <c r="HE116" s="2">
        <v>572</v>
      </c>
      <c r="HF116" s="2">
        <v>349</v>
      </c>
      <c r="HG116" s="170">
        <f t="shared" si="295"/>
        <v>-32</v>
      </c>
      <c r="HH116" s="2">
        <v>17</v>
      </c>
      <c r="HI116" s="2">
        <v>49</v>
      </c>
      <c r="HJ116" s="2">
        <f t="shared" si="282"/>
        <v>0</v>
      </c>
      <c r="HK116" s="2"/>
      <c r="HL116" s="2"/>
      <c r="HM116" s="2">
        <f t="shared" si="247"/>
        <v>0</v>
      </c>
      <c r="HN116" s="2">
        <f t="shared" si="283"/>
        <v>-5</v>
      </c>
      <c r="HO116" s="2">
        <f t="shared" si="284"/>
        <v>-5</v>
      </c>
      <c r="HP116" s="2">
        <v>22296</v>
      </c>
      <c r="HQ116" s="2">
        <v>22291</v>
      </c>
      <c r="HR116" s="115"/>
      <c r="HS116" s="1051"/>
      <c r="HT116" s="1002">
        <v>46.9</v>
      </c>
      <c r="HU116" s="1002">
        <v>5.6</v>
      </c>
      <c r="HV116" s="1002">
        <v>6.3</v>
      </c>
    </row>
    <row r="117" spans="1:230">
      <c r="A117" s="110">
        <f t="shared" si="296"/>
        <v>1958</v>
      </c>
      <c r="B117" s="176">
        <f t="shared" si="248"/>
        <v>21062</v>
      </c>
      <c r="C117" s="177">
        <f t="shared" si="145"/>
        <v>227</v>
      </c>
      <c r="D117" s="176">
        <f t="shared" si="285"/>
        <v>20835</v>
      </c>
      <c r="E117" s="154">
        <f t="shared" si="251"/>
        <v>23011</v>
      </c>
      <c r="F117" s="995">
        <f t="shared" si="252"/>
        <v>2176</v>
      </c>
      <c r="G117" s="531">
        <f t="shared" si="297"/>
        <v>21139</v>
      </c>
      <c r="H117" s="531">
        <f t="shared" si="298"/>
        <v>20912</v>
      </c>
      <c r="I117" s="531">
        <f t="shared" si="299"/>
        <v>23088</v>
      </c>
      <c r="J117" s="548">
        <f t="shared" si="300"/>
        <v>0.99666493416493418</v>
      </c>
      <c r="K117" s="178">
        <f t="shared" si="242"/>
        <v>2290</v>
      </c>
      <c r="L117" s="2">
        <v>2681</v>
      </c>
      <c r="M117" s="2">
        <v>391</v>
      </c>
      <c r="N117" s="2">
        <v>1858</v>
      </c>
      <c r="O117" s="170">
        <f t="shared" si="286"/>
        <v>432</v>
      </c>
      <c r="P117" s="175">
        <v>0</v>
      </c>
      <c r="Q117" s="175">
        <f t="shared" si="243"/>
        <v>350</v>
      </c>
      <c r="R117" s="175">
        <f t="shared" si="287"/>
        <v>82</v>
      </c>
      <c r="S117" s="532">
        <f t="shared" si="229"/>
        <v>0.12795440576632955</v>
      </c>
      <c r="T117" s="1008">
        <f t="shared" si="253"/>
        <v>239</v>
      </c>
      <c r="U117" s="1010">
        <v>239</v>
      </c>
      <c r="V117" s="511">
        <f t="shared" si="288"/>
        <v>444</v>
      </c>
      <c r="W117" s="2">
        <v>444</v>
      </c>
      <c r="X117" s="169">
        <f t="shared" si="254"/>
        <v>205</v>
      </c>
      <c r="Y117" s="113">
        <f t="shared" si="255"/>
        <v>0.46171171171171171</v>
      </c>
      <c r="Z117" s="113">
        <f t="shared" si="256"/>
        <v>0.46171171171171171</v>
      </c>
      <c r="AA117" s="276">
        <f>X117/DataUK3!D117</f>
        <v>1.4771632660720317E-2</v>
      </c>
      <c r="AB117" s="1019">
        <f t="shared" si="257"/>
        <v>8.908782756073182E-3</v>
      </c>
      <c r="AC117" s="113"/>
      <c r="AD117" s="113"/>
      <c r="AE117" s="113"/>
      <c r="AF117" s="113"/>
      <c r="AG117" s="113"/>
      <c r="AH117" s="113"/>
      <c r="AI117" s="1010">
        <f>AD117*DataUK3!BG117</f>
        <v>0</v>
      </c>
      <c r="AJ117" s="171">
        <f t="shared" si="249"/>
        <v>2015.8489587249078</v>
      </c>
      <c r="AK117" s="561"/>
      <c r="AL117" s="169">
        <f t="shared" si="301"/>
        <v>2274.8489587249078</v>
      </c>
      <c r="AM117" s="169"/>
      <c r="AN117" s="2">
        <v>1204</v>
      </c>
      <c r="AO117" s="1029">
        <f t="shared" si="258"/>
        <v>1463</v>
      </c>
      <c r="AP117" s="170">
        <v>1061</v>
      </c>
      <c r="AQ117" s="170"/>
      <c r="AR117" s="170"/>
      <c r="AS117" s="170">
        <v>1780</v>
      </c>
      <c r="AT117" s="170"/>
      <c r="AU117" s="170"/>
      <c r="AV117" s="83"/>
      <c r="AW117" s="175">
        <f t="shared" si="316"/>
        <v>3323</v>
      </c>
      <c r="AX117" s="170">
        <v>2983</v>
      </c>
      <c r="AY117" s="170">
        <v>340</v>
      </c>
      <c r="AZ117" s="358">
        <v>155</v>
      </c>
      <c r="BA117" s="358"/>
      <c r="BB117" s="203">
        <f t="shared" si="259"/>
        <v>0.41847313854853913</v>
      </c>
      <c r="BC117" s="203">
        <f t="shared" si="260"/>
        <v>0.82191011235955058</v>
      </c>
      <c r="BD117" s="203">
        <f t="shared" si="261"/>
        <v>1.4682515798976827</v>
      </c>
      <c r="BE117" s="203">
        <f t="shared" si="262"/>
        <v>1.1009085009733939</v>
      </c>
      <c r="BF117" s="170">
        <v>795</v>
      </c>
      <c r="BG117" s="113"/>
      <c r="BH117" s="203">
        <f t="shared" si="263"/>
        <v>1.1847984458474987</v>
      </c>
      <c r="BI117" s="273">
        <v>13493</v>
      </c>
      <c r="BJ117" s="2">
        <f t="shared" si="302"/>
        <v>13527</v>
      </c>
      <c r="BK117" s="83"/>
      <c r="BL117" s="170"/>
      <c r="BM117" s="1031">
        <f t="shared" si="303"/>
        <v>811.8489587249079</v>
      </c>
      <c r="BN117" s="310"/>
      <c r="BO117" s="262">
        <f t="shared" si="289"/>
        <v>5.7164561770012341E-2</v>
      </c>
      <c r="BP117" s="262">
        <f t="shared" si="264"/>
        <v>6.9461589592631282E-2</v>
      </c>
      <c r="BQ117" s="262">
        <f t="shared" si="290"/>
        <v>3.8545672715074919E-2</v>
      </c>
      <c r="BR117" s="262">
        <f t="shared" si="304"/>
        <v>6.0168158209805672E-2</v>
      </c>
      <c r="BS117" s="988">
        <f t="shared" si="185"/>
        <v>0.55492068265543948</v>
      </c>
      <c r="BT117" s="519">
        <f t="shared" si="265"/>
        <v>259</v>
      </c>
      <c r="BU117" s="519"/>
      <c r="BV117" s="113">
        <f t="shared" si="266"/>
        <v>0.11385371279558446</v>
      </c>
      <c r="BW117" s="276">
        <f t="shared" si="305"/>
        <v>1.1255486506453435E-2</v>
      </c>
      <c r="BX117" s="273">
        <v>464</v>
      </c>
      <c r="BY117" s="113"/>
      <c r="BZ117" s="1013"/>
      <c r="CA117" s="1005">
        <f t="shared" si="291"/>
        <v>21062</v>
      </c>
      <c r="CB117" s="2">
        <f t="shared" si="221"/>
        <v>17897</v>
      </c>
      <c r="CC117" s="2">
        <f t="shared" si="222"/>
        <v>20187</v>
      </c>
      <c r="CD117" s="2"/>
      <c r="CE117" s="2"/>
      <c r="CF117" s="2">
        <v>23050</v>
      </c>
      <c r="CG117" s="2">
        <v>39</v>
      </c>
      <c r="CH117" s="2">
        <f t="shared" si="267"/>
        <v>0</v>
      </c>
      <c r="CI117" s="2">
        <v>2176</v>
      </c>
      <c r="CJ117" s="2"/>
      <c r="CK117" s="2"/>
      <c r="CL117" s="171">
        <f t="shared" si="306"/>
        <v>13899.751041275093</v>
      </c>
      <c r="CM117" s="169">
        <f t="shared" si="307"/>
        <v>15203.751041275093</v>
      </c>
      <c r="CN117" s="170">
        <f t="shared" si="268"/>
        <v>4879</v>
      </c>
      <c r="CO117" s="170">
        <f t="shared" si="269"/>
        <v>4879</v>
      </c>
      <c r="CP117" s="170">
        <f t="shared" si="308"/>
        <v>10324.751041275093</v>
      </c>
      <c r="CQ117" s="170">
        <f t="shared" si="309"/>
        <v>1304</v>
      </c>
      <c r="CR117" s="170">
        <v>422</v>
      </c>
      <c r="CS117" s="113">
        <f t="shared" si="310"/>
        <v>5.6668549823997216E-2</v>
      </c>
      <c r="CT117" s="170">
        <f t="shared" si="270"/>
        <v>14729.751041275093</v>
      </c>
      <c r="CU117" s="2">
        <v>4788</v>
      </c>
      <c r="CV117" s="169">
        <f t="shared" si="271"/>
        <v>9941.7510412750926</v>
      </c>
      <c r="CW117" s="2">
        <v>1291</v>
      </c>
      <c r="CX117" s="2"/>
      <c r="CY117" s="2"/>
      <c r="CZ117" s="170">
        <f t="shared" si="272"/>
        <v>474</v>
      </c>
      <c r="DA117" s="170">
        <f t="shared" si="273"/>
        <v>474</v>
      </c>
      <c r="DB117" s="170">
        <f t="shared" si="274"/>
        <v>91</v>
      </c>
      <c r="DC117" s="2">
        <v>91</v>
      </c>
      <c r="DD117" s="2">
        <v>383</v>
      </c>
      <c r="DE117" s="2">
        <v>13</v>
      </c>
      <c r="DF117" s="2"/>
      <c r="DG117" s="2"/>
      <c r="DH117" s="171">
        <f t="shared" si="227"/>
        <v>2390.4</v>
      </c>
      <c r="DI117" s="2">
        <f t="shared" si="250"/>
        <v>2798.4</v>
      </c>
      <c r="DJ117" s="169">
        <f t="shared" si="244"/>
        <v>2390.4</v>
      </c>
      <c r="DK117" s="2">
        <v>408</v>
      </c>
      <c r="DL117" s="113">
        <f t="shared" si="275"/>
        <v>0.11349349539454943</v>
      </c>
      <c r="DM117" s="113">
        <f t="shared" si="311"/>
        <v>0.17671324018629408</v>
      </c>
      <c r="DN117" s="113">
        <v>0.6</v>
      </c>
      <c r="DO117" s="2">
        <v>82</v>
      </c>
      <c r="DP117" s="2">
        <v>0</v>
      </c>
      <c r="DQ117" s="273">
        <v>3672</v>
      </c>
      <c r="DR117" s="2">
        <v>2764</v>
      </c>
      <c r="DS117" s="2">
        <v>1220</v>
      </c>
      <c r="DT117" s="169">
        <f t="shared" si="245"/>
        <v>3984</v>
      </c>
      <c r="DU117" s="2">
        <v>15116</v>
      </c>
      <c r="DV117" s="2"/>
      <c r="DW117" s="2">
        <v>3835</v>
      </c>
      <c r="DX117" s="2">
        <v>3492</v>
      </c>
      <c r="DY117" s="2">
        <v>2009</v>
      </c>
      <c r="DZ117" s="2"/>
      <c r="EA117" s="2">
        <v>3492</v>
      </c>
      <c r="EB117" s="2">
        <v>2009</v>
      </c>
      <c r="EC117" s="175">
        <f t="shared" si="218"/>
        <v>1483</v>
      </c>
      <c r="ED117" s="175">
        <v>694</v>
      </c>
      <c r="EE117" s="175">
        <f t="shared" si="312"/>
        <v>789</v>
      </c>
      <c r="EF117" s="175">
        <f t="shared" si="315"/>
        <v>821</v>
      </c>
      <c r="EG117" s="2"/>
      <c r="EH117" s="78">
        <f t="shared" si="313"/>
        <v>1316</v>
      </c>
      <c r="EI117" s="2">
        <v>4688</v>
      </c>
      <c r="EJ117" s="2">
        <v>4535</v>
      </c>
      <c r="EK117" s="2"/>
      <c r="EL117" s="2"/>
      <c r="EM117" s="2"/>
      <c r="EN117" s="2"/>
      <c r="EO117" s="2"/>
      <c r="EP117" s="2"/>
      <c r="EQ117" s="2"/>
      <c r="ER117" s="2"/>
      <c r="ES117" s="2"/>
      <c r="ET117" s="2">
        <f t="shared" si="276"/>
        <v>23088</v>
      </c>
      <c r="EU117" s="2">
        <f t="shared" si="277"/>
        <v>23011</v>
      </c>
      <c r="EV117" s="262">
        <f t="shared" si="292"/>
        <v>0.99666493416493418</v>
      </c>
      <c r="EW117" s="2">
        <v>23050</v>
      </c>
      <c r="EX117" s="1042">
        <v>-38</v>
      </c>
      <c r="EY117" s="273">
        <f t="shared" si="278"/>
        <v>16705.931269349847</v>
      </c>
      <c r="EZ117" s="2">
        <f t="shared" si="279"/>
        <v>6637</v>
      </c>
      <c r="FA117" s="1714"/>
      <c r="FB117" s="1714"/>
      <c r="FC117" s="2">
        <v>3279</v>
      </c>
      <c r="FD117" s="2">
        <v>1068</v>
      </c>
      <c r="FE117" s="1052">
        <v>1552</v>
      </c>
      <c r="FF117" s="1050"/>
      <c r="FG117" s="115"/>
      <c r="FH117" s="83"/>
      <c r="FI117" s="2">
        <v>384</v>
      </c>
      <c r="FJ117" s="2">
        <f t="shared" si="314"/>
        <v>384</v>
      </c>
      <c r="FK117" s="273">
        <f t="shared" si="224"/>
        <v>616</v>
      </c>
      <c r="FL117" s="310">
        <v>616</v>
      </c>
      <c r="FM117" s="310">
        <v>100.26338893766462</v>
      </c>
      <c r="FN117" s="115"/>
      <c r="FO117" s="115"/>
      <c r="FP117" s="115"/>
      <c r="FQ117" s="115"/>
      <c r="FR117" s="115"/>
      <c r="FS117" s="1051"/>
      <c r="FT117" s="310">
        <f t="shared" si="293"/>
        <v>2606.7366110623348</v>
      </c>
      <c r="FU117" s="310">
        <v>2606.7366110623348</v>
      </c>
      <c r="FV117" s="310"/>
      <c r="FW117" s="513">
        <f t="shared" si="280"/>
        <v>2606.7366110623348</v>
      </c>
      <c r="FX117" s="115"/>
      <c r="FY117" s="115"/>
      <c r="FZ117" s="115"/>
      <c r="GA117" s="115"/>
      <c r="GB117" s="115"/>
      <c r="GC117" s="115"/>
      <c r="GD117" s="115"/>
      <c r="GE117" s="115"/>
      <c r="GF117" s="115"/>
      <c r="GG117" s="115"/>
      <c r="GH117" s="115"/>
      <c r="GI117" s="115"/>
      <c r="GJ117" s="115"/>
      <c r="GK117" s="1055">
        <f t="shared" si="281"/>
        <v>1090</v>
      </c>
      <c r="GL117" s="115"/>
      <c r="GM117" s="115"/>
      <c r="GN117" s="115"/>
      <c r="GO117" s="310">
        <v>1090</v>
      </c>
      <c r="GP117" s="310">
        <f t="shared" si="246"/>
        <v>821</v>
      </c>
      <c r="GQ117" s="2">
        <v>821</v>
      </c>
      <c r="GR117" s="115"/>
      <c r="GS117" s="115"/>
      <c r="GT117" s="115"/>
      <c r="GU117" s="2">
        <f t="shared" si="225"/>
        <v>269</v>
      </c>
      <c r="GV117" s="1063">
        <v>1050</v>
      </c>
      <c r="GW117" s="1063">
        <f>DataUK4!D269+DataUK4!F269</f>
        <v>868.8</v>
      </c>
      <c r="GX117" s="615"/>
      <c r="GY117" s="615">
        <f t="shared" si="210"/>
        <v>728.93126934984537</v>
      </c>
      <c r="GZ117" s="254"/>
      <c r="HA117" s="254"/>
      <c r="HB117" s="2">
        <v>296</v>
      </c>
      <c r="HC117" s="1052"/>
      <c r="HD117" s="170">
        <f t="shared" si="294"/>
        <v>261</v>
      </c>
      <c r="HE117" s="2">
        <v>668</v>
      </c>
      <c r="HF117" s="2">
        <v>407</v>
      </c>
      <c r="HG117" s="170">
        <f t="shared" si="295"/>
        <v>-34</v>
      </c>
      <c r="HH117" s="2">
        <v>17</v>
      </c>
      <c r="HI117" s="2">
        <v>51</v>
      </c>
      <c r="HJ117" s="2">
        <f t="shared" si="282"/>
        <v>0</v>
      </c>
      <c r="HK117" s="2"/>
      <c r="HL117" s="2"/>
      <c r="HM117" s="2">
        <f t="shared" si="247"/>
        <v>0</v>
      </c>
      <c r="HN117" s="2">
        <f t="shared" si="283"/>
        <v>4</v>
      </c>
      <c r="HO117" s="2">
        <f t="shared" si="284"/>
        <v>4</v>
      </c>
      <c r="HP117" s="2">
        <v>23277</v>
      </c>
      <c r="HQ117" s="2">
        <v>23281</v>
      </c>
      <c r="HR117" s="115"/>
      <c r="HS117" s="1051"/>
      <c r="HT117" s="1002">
        <v>48.4</v>
      </c>
      <c r="HU117" s="1002">
        <v>5.8</v>
      </c>
      <c r="HV117" s="1002">
        <v>6.5</v>
      </c>
    </row>
    <row r="118" spans="1:230">
      <c r="A118" s="110">
        <f t="shared" si="296"/>
        <v>1959</v>
      </c>
      <c r="B118" s="176">
        <f t="shared" si="248"/>
        <v>22290</v>
      </c>
      <c r="C118" s="177">
        <f t="shared" si="145"/>
        <v>196</v>
      </c>
      <c r="D118" s="176">
        <f t="shared" si="285"/>
        <v>22094</v>
      </c>
      <c r="E118" s="154">
        <f t="shared" si="251"/>
        <v>24340</v>
      </c>
      <c r="F118" s="995">
        <f t="shared" si="252"/>
        <v>2246</v>
      </c>
      <c r="G118" s="531">
        <f t="shared" si="297"/>
        <v>22255</v>
      </c>
      <c r="H118" s="531">
        <f t="shared" si="298"/>
        <v>22059</v>
      </c>
      <c r="I118" s="531">
        <f t="shared" si="299"/>
        <v>24305</v>
      </c>
      <c r="J118" s="548">
        <f t="shared" si="300"/>
        <v>1.0014400329150381</v>
      </c>
      <c r="K118" s="178">
        <f t="shared" si="242"/>
        <v>2432</v>
      </c>
      <c r="L118" s="2">
        <v>2806</v>
      </c>
      <c r="M118" s="2">
        <v>374</v>
      </c>
      <c r="N118" s="2">
        <v>1969</v>
      </c>
      <c r="O118" s="170">
        <f t="shared" si="286"/>
        <v>463</v>
      </c>
      <c r="P118" s="175">
        <v>0</v>
      </c>
      <c r="Q118" s="175">
        <f t="shared" si="243"/>
        <v>377</v>
      </c>
      <c r="R118" s="175">
        <f t="shared" si="287"/>
        <v>86</v>
      </c>
      <c r="S118" s="532">
        <f t="shared" si="229"/>
        <v>0.12781836337835706</v>
      </c>
      <c r="T118" s="1008">
        <f t="shared" si="253"/>
        <v>271</v>
      </c>
      <c r="U118" s="1010">
        <v>271</v>
      </c>
      <c r="V118" s="511">
        <f t="shared" si="288"/>
        <v>477</v>
      </c>
      <c r="W118" s="2">
        <v>477</v>
      </c>
      <c r="X118" s="169">
        <f t="shared" si="254"/>
        <v>206</v>
      </c>
      <c r="Y118" s="113">
        <f t="shared" si="255"/>
        <v>0.43186582809224316</v>
      </c>
      <c r="Z118" s="113">
        <f t="shared" si="256"/>
        <v>0.43186582809224316</v>
      </c>
      <c r="AA118" s="276">
        <f>X118/DataUK3!D118</f>
        <v>1.407967598012847E-2</v>
      </c>
      <c r="AB118" s="1019">
        <f t="shared" si="257"/>
        <v>8.4634346754313885E-3</v>
      </c>
      <c r="AC118" s="113"/>
      <c r="AD118" s="113"/>
      <c r="AE118" s="113"/>
      <c r="AF118" s="113"/>
      <c r="AG118" s="113"/>
      <c r="AH118" s="113"/>
      <c r="AI118" s="1010">
        <f>AD118*DataUK3!BG118</f>
        <v>0</v>
      </c>
      <c r="AJ118" s="171">
        <f t="shared" si="249"/>
        <v>2111.3581685587551</v>
      </c>
      <c r="AK118" s="561"/>
      <c r="AL118" s="169">
        <f t="shared" si="301"/>
        <v>2388.3581685587551</v>
      </c>
      <c r="AM118" s="169"/>
      <c r="AN118" s="2">
        <v>1259</v>
      </c>
      <c r="AO118" s="1029">
        <f t="shared" si="258"/>
        <v>1536</v>
      </c>
      <c r="AP118" s="170">
        <v>1153</v>
      </c>
      <c r="AQ118" s="170"/>
      <c r="AR118" s="170"/>
      <c r="AS118" s="170">
        <v>1883</v>
      </c>
      <c r="AT118" s="170"/>
      <c r="AU118" s="170"/>
      <c r="AV118" s="83"/>
      <c r="AW118" s="175">
        <f t="shared" si="316"/>
        <v>3708</v>
      </c>
      <c r="AX118" s="170">
        <v>3317</v>
      </c>
      <c r="AY118" s="170">
        <v>391</v>
      </c>
      <c r="AZ118" s="358">
        <v>164</v>
      </c>
      <c r="BA118" s="358"/>
      <c r="BB118" s="203">
        <f t="shared" si="259"/>
        <v>0.41370338248048572</v>
      </c>
      <c r="BC118" s="203">
        <f t="shared" si="260"/>
        <v>0.81571959638874136</v>
      </c>
      <c r="BD118" s="203">
        <f t="shared" si="261"/>
        <v>1.4331175836030206</v>
      </c>
      <c r="BE118" s="203">
        <f t="shared" si="262"/>
        <v>1.086447212336892</v>
      </c>
      <c r="BF118" s="170">
        <v>786</v>
      </c>
      <c r="BG118" s="113"/>
      <c r="BH118" s="203">
        <f t="shared" si="263"/>
        <v>1.1824655095683132</v>
      </c>
      <c r="BI118" s="273">
        <v>14132</v>
      </c>
      <c r="BJ118" s="2">
        <f t="shared" si="302"/>
        <v>14169</v>
      </c>
      <c r="BK118" s="83"/>
      <c r="BL118" s="170"/>
      <c r="BM118" s="1031">
        <f t="shared" si="303"/>
        <v>852.3581685587551</v>
      </c>
      <c r="BN118" s="310"/>
      <c r="BO118" s="262">
        <f t="shared" si="289"/>
        <v>5.6482727680574246E-2</v>
      </c>
      <c r="BP118" s="262">
        <f t="shared" si="264"/>
        <v>6.8909825033647371E-2</v>
      </c>
      <c r="BQ118" s="262">
        <f t="shared" si="290"/>
        <v>3.8239487149338496E-2</v>
      </c>
      <c r="BR118" s="262">
        <f t="shared" si="304"/>
        <v>6.0314050987740953E-2</v>
      </c>
      <c r="BS118" s="988">
        <f t="shared" si="185"/>
        <v>0.55492068265543948</v>
      </c>
      <c r="BT118" s="519">
        <f t="shared" si="265"/>
        <v>277</v>
      </c>
      <c r="BU118" s="519"/>
      <c r="BV118" s="113">
        <f t="shared" si="266"/>
        <v>0.11597925455508816</v>
      </c>
      <c r="BW118" s="276">
        <f t="shared" si="305"/>
        <v>1.1380443714050946E-2</v>
      </c>
      <c r="BX118" s="273">
        <v>483</v>
      </c>
      <c r="BY118" s="113"/>
      <c r="BZ118" s="1013"/>
      <c r="CA118" s="1005">
        <f t="shared" si="291"/>
        <v>22290</v>
      </c>
      <c r="CB118" s="2">
        <f t="shared" si="221"/>
        <v>19027</v>
      </c>
      <c r="CC118" s="2">
        <f t="shared" si="222"/>
        <v>21459</v>
      </c>
      <c r="CD118" s="2"/>
      <c r="CE118" s="2"/>
      <c r="CF118" s="2">
        <v>24349</v>
      </c>
      <c r="CG118" s="2">
        <v>8</v>
      </c>
      <c r="CH118" s="2">
        <f t="shared" si="267"/>
        <v>-1</v>
      </c>
      <c r="CI118" s="2">
        <v>2246</v>
      </c>
      <c r="CJ118" s="2"/>
      <c r="CK118" s="2"/>
      <c r="CL118" s="171">
        <f t="shared" si="306"/>
        <v>14740.441831441243</v>
      </c>
      <c r="CM118" s="169">
        <f t="shared" si="307"/>
        <v>16091.441831441243</v>
      </c>
      <c r="CN118" s="170">
        <f t="shared" si="268"/>
        <v>5314</v>
      </c>
      <c r="CO118" s="170">
        <f t="shared" si="269"/>
        <v>5314</v>
      </c>
      <c r="CP118" s="170">
        <f t="shared" si="308"/>
        <v>10777.441831441243</v>
      </c>
      <c r="CQ118" s="170">
        <f t="shared" si="309"/>
        <v>1351</v>
      </c>
      <c r="CR118" s="170">
        <v>436</v>
      </c>
      <c r="CS118" s="113">
        <f t="shared" si="310"/>
        <v>5.5505341002465076E-2</v>
      </c>
      <c r="CT118" s="170">
        <f t="shared" si="270"/>
        <v>15582.441831441243</v>
      </c>
      <c r="CU118" s="2">
        <v>5206</v>
      </c>
      <c r="CV118" s="169">
        <f t="shared" si="271"/>
        <v>10376.441831441243</v>
      </c>
      <c r="CW118" s="2">
        <v>1337</v>
      </c>
      <c r="CX118" s="2"/>
      <c r="CY118" s="2"/>
      <c r="CZ118" s="170">
        <f t="shared" si="272"/>
        <v>509</v>
      </c>
      <c r="DA118" s="170">
        <f t="shared" si="273"/>
        <v>509</v>
      </c>
      <c r="DB118" s="170">
        <f t="shared" si="274"/>
        <v>108</v>
      </c>
      <c r="DC118" s="2">
        <v>108</v>
      </c>
      <c r="DD118" s="2">
        <v>401</v>
      </c>
      <c r="DE118" s="2">
        <v>14</v>
      </c>
      <c r="DF118" s="2"/>
      <c r="DG118" s="2"/>
      <c r="DH118" s="171">
        <f t="shared" si="227"/>
        <v>2539.1999999999998</v>
      </c>
      <c r="DI118" s="2">
        <f t="shared" si="250"/>
        <v>2951.2</v>
      </c>
      <c r="DJ118" s="169">
        <f t="shared" si="244"/>
        <v>2539.1999999999998</v>
      </c>
      <c r="DK118" s="2">
        <v>412</v>
      </c>
      <c r="DL118" s="113">
        <f t="shared" si="275"/>
        <v>0.11391655450874831</v>
      </c>
      <c r="DM118" s="113">
        <f t="shared" si="311"/>
        <v>0.17920813042557696</v>
      </c>
      <c r="DN118" s="113">
        <v>0.6</v>
      </c>
      <c r="DO118" s="2">
        <v>86</v>
      </c>
      <c r="DP118" s="2">
        <v>0</v>
      </c>
      <c r="DQ118" s="273">
        <v>3919</v>
      </c>
      <c r="DR118" s="2">
        <v>2932</v>
      </c>
      <c r="DS118" s="2">
        <v>1300</v>
      </c>
      <c r="DT118" s="169">
        <f t="shared" si="245"/>
        <v>4232</v>
      </c>
      <c r="DU118" s="2">
        <v>15913</v>
      </c>
      <c r="DV118" s="2"/>
      <c r="DW118" s="2">
        <v>4158</v>
      </c>
      <c r="DX118" s="2">
        <v>3736</v>
      </c>
      <c r="DY118" s="2">
        <v>2144</v>
      </c>
      <c r="DZ118" s="2"/>
      <c r="EA118" s="2">
        <v>3736</v>
      </c>
      <c r="EB118" s="2">
        <v>2144</v>
      </c>
      <c r="EC118" s="175">
        <f t="shared" si="218"/>
        <v>1592</v>
      </c>
      <c r="ED118" s="175">
        <v>758</v>
      </c>
      <c r="EE118" s="175">
        <f t="shared" si="312"/>
        <v>834</v>
      </c>
      <c r="EF118" s="175">
        <f t="shared" si="315"/>
        <v>868</v>
      </c>
      <c r="EG118" s="2"/>
      <c r="EH118" s="78">
        <f t="shared" si="313"/>
        <v>1490</v>
      </c>
      <c r="EI118" s="2">
        <v>4836</v>
      </c>
      <c r="EJ118" s="2">
        <v>4834</v>
      </c>
      <c r="EK118" s="2"/>
      <c r="EL118" s="2"/>
      <c r="EM118" s="2"/>
      <c r="EN118" s="2"/>
      <c r="EO118" s="2"/>
      <c r="EP118" s="2"/>
      <c r="EQ118" s="2"/>
      <c r="ER118" s="2"/>
      <c r="ES118" s="2"/>
      <c r="ET118" s="2">
        <f t="shared" si="276"/>
        <v>24305</v>
      </c>
      <c r="EU118" s="2">
        <f t="shared" si="277"/>
        <v>24340</v>
      </c>
      <c r="EV118" s="262">
        <f t="shared" si="292"/>
        <v>1.0014400329150381</v>
      </c>
      <c r="EW118" s="2">
        <v>24349</v>
      </c>
      <c r="EX118" s="1042">
        <v>43</v>
      </c>
      <c r="EY118" s="273">
        <f t="shared" si="278"/>
        <v>17775.121671826626</v>
      </c>
      <c r="EZ118" s="2">
        <f t="shared" si="279"/>
        <v>6928</v>
      </c>
      <c r="FA118" s="1714"/>
      <c r="FB118" s="1714"/>
      <c r="FC118" s="2">
        <v>3376</v>
      </c>
      <c r="FD118" s="2">
        <v>1120</v>
      </c>
      <c r="FE118" s="1052">
        <v>1693</v>
      </c>
      <c r="FF118" s="1050"/>
      <c r="FG118" s="115"/>
      <c r="FH118" s="83"/>
      <c r="FI118" s="2">
        <v>198</v>
      </c>
      <c r="FJ118" s="2">
        <f t="shared" si="314"/>
        <v>198</v>
      </c>
      <c r="FK118" s="273">
        <f t="shared" si="224"/>
        <v>822</v>
      </c>
      <c r="FL118" s="310">
        <v>822</v>
      </c>
      <c r="FM118" s="310">
        <v>242.6374012291484</v>
      </c>
      <c r="FN118" s="115"/>
      <c r="FO118" s="115"/>
      <c r="FP118" s="115"/>
      <c r="FQ118" s="115"/>
      <c r="FR118" s="115"/>
      <c r="FS118" s="1051"/>
      <c r="FT118" s="310">
        <f t="shared" si="293"/>
        <v>3146.3625987708506</v>
      </c>
      <c r="FU118" s="310">
        <v>3146.3625987708506</v>
      </c>
      <c r="FV118" s="310"/>
      <c r="FW118" s="513">
        <f t="shared" si="280"/>
        <v>3146.3625987708506</v>
      </c>
      <c r="FX118" s="115"/>
      <c r="FY118" s="115"/>
      <c r="FZ118" s="115"/>
      <c r="GA118" s="115"/>
      <c r="GB118" s="115"/>
      <c r="GC118" s="115"/>
      <c r="GD118" s="115"/>
      <c r="GE118" s="115"/>
      <c r="GF118" s="115"/>
      <c r="GG118" s="115"/>
      <c r="GH118" s="115"/>
      <c r="GI118" s="115"/>
      <c r="GJ118" s="115"/>
      <c r="GK118" s="1055">
        <f t="shared" si="281"/>
        <v>1032</v>
      </c>
      <c r="GL118" s="115"/>
      <c r="GM118" s="115"/>
      <c r="GN118" s="115"/>
      <c r="GO118" s="310">
        <v>1032</v>
      </c>
      <c r="GP118" s="310">
        <f t="shared" si="246"/>
        <v>868</v>
      </c>
      <c r="GQ118" s="2">
        <v>868</v>
      </c>
      <c r="GR118" s="115"/>
      <c r="GS118" s="115"/>
      <c r="GT118" s="115"/>
      <c r="GU118" s="2">
        <f t="shared" si="225"/>
        <v>164</v>
      </c>
      <c r="GV118" s="1063">
        <v>1067</v>
      </c>
      <c r="GW118" s="1063">
        <f>DataUK4!D270+DataUK4!F270</f>
        <v>858.3</v>
      </c>
      <c r="GX118" s="615"/>
      <c r="GY118" s="615">
        <f t="shared" si="210"/>
        <v>720.12167182662552</v>
      </c>
      <c r="GZ118" s="254"/>
      <c r="HA118" s="254"/>
      <c r="HB118" s="2">
        <v>300</v>
      </c>
      <c r="HC118" s="1052"/>
      <c r="HD118" s="170">
        <f t="shared" si="294"/>
        <v>233</v>
      </c>
      <c r="HE118" s="2">
        <v>646</v>
      </c>
      <c r="HF118" s="2">
        <v>413</v>
      </c>
      <c r="HG118" s="170">
        <f t="shared" si="295"/>
        <v>-37</v>
      </c>
      <c r="HH118" s="2">
        <v>17</v>
      </c>
      <c r="HI118" s="2">
        <v>54</v>
      </c>
      <c r="HJ118" s="2">
        <f t="shared" si="282"/>
        <v>0</v>
      </c>
      <c r="HK118" s="2"/>
      <c r="HL118" s="2"/>
      <c r="HM118" s="2">
        <f t="shared" si="247"/>
        <v>0</v>
      </c>
      <c r="HN118" s="2">
        <f t="shared" si="283"/>
        <v>0</v>
      </c>
      <c r="HO118" s="2">
        <f t="shared" si="284"/>
        <v>0</v>
      </c>
      <c r="HP118" s="2">
        <v>24542</v>
      </c>
      <c r="HQ118" s="2">
        <v>24542</v>
      </c>
      <c r="HR118" s="115"/>
      <c r="HS118" s="1051"/>
      <c r="HT118" s="1002">
        <v>48.6</v>
      </c>
      <c r="HU118" s="1002">
        <v>5.9</v>
      </c>
      <c r="HV118" s="1002">
        <v>6.5</v>
      </c>
    </row>
    <row r="119" spans="1:230">
      <c r="A119" s="110">
        <f t="shared" si="296"/>
        <v>1960</v>
      </c>
      <c r="B119" s="176">
        <f t="shared" si="248"/>
        <v>24104</v>
      </c>
      <c r="C119" s="177">
        <f t="shared" ref="C119:C168" si="317">HD119+HG119+HJ119</f>
        <v>166</v>
      </c>
      <c r="D119" s="176">
        <f t="shared" si="285"/>
        <v>23938</v>
      </c>
      <c r="E119" s="154">
        <f t="shared" si="251"/>
        <v>26299</v>
      </c>
      <c r="F119" s="995">
        <f t="shared" si="252"/>
        <v>2361</v>
      </c>
      <c r="G119" s="531">
        <f t="shared" si="297"/>
        <v>23533</v>
      </c>
      <c r="H119" s="531">
        <f t="shared" si="298"/>
        <v>23367</v>
      </c>
      <c r="I119" s="531">
        <f t="shared" si="299"/>
        <v>25728</v>
      </c>
      <c r="J119" s="548">
        <f t="shared" si="300"/>
        <v>1.0221937189054726</v>
      </c>
      <c r="K119" s="178">
        <f t="shared" si="242"/>
        <v>2471</v>
      </c>
      <c r="L119" s="2">
        <v>2964</v>
      </c>
      <c r="M119" s="2">
        <v>493</v>
      </c>
      <c r="N119" s="2">
        <v>1967</v>
      </c>
      <c r="O119" s="170">
        <f t="shared" si="286"/>
        <v>504</v>
      </c>
      <c r="P119" s="175">
        <v>0</v>
      </c>
      <c r="Q119" s="175">
        <f t="shared" si="243"/>
        <v>413</v>
      </c>
      <c r="R119" s="175">
        <f t="shared" si="287"/>
        <v>91</v>
      </c>
      <c r="S119" s="532">
        <f t="shared" si="229"/>
        <v>0.11921072944808954</v>
      </c>
      <c r="T119" s="1008">
        <f t="shared" si="253"/>
        <v>297</v>
      </c>
      <c r="U119" s="1010">
        <v>297</v>
      </c>
      <c r="V119" s="511">
        <f t="shared" si="288"/>
        <v>508</v>
      </c>
      <c r="W119" s="2">
        <v>508</v>
      </c>
      <c r="X119" s="169">
        <f t="shared" si="254"/>
        <v>211</v>
      </c>
      <c r="Y119" s="113">
        <f t="shared" si="255"/>
        <v>0.4153543307086614</v>
      </c>
      <c r="Z119" s="113">
        <f t="shared" si="256"/>
        <v>0.4153543307086614</v>
      </c>
      <c r="AA119" s="276">
        <f>X119/DataUK3!D119</f>
        <v>1.3252111713650176E-2</v>
      </c>
      <c r="AB119" s="1019">
        <f t="shared" si="257"/>
        <v>8.0231187497623487E-3</v>
      </c>
      <c r="AC119" s="113"/>
      <c r="AD119" s="113"/>
      <c r="AE119" s="113"/>
      <c r="AF119" s="113"/>
      <c r="AG119" s="113"/>
      <c r="AH119" s="113"/>
      <c r="AI119" s="1010">
        <f>AD119*DataUK3!BG119</f>
        <v>0</v>
      </c>
      <c r="AJ119" s="171">
        <f t="shared" si="249"/>
        <v>2262.2896022855425</v>
      </c>
      <c r="AK119" s="561"/>
      <c r="AL119" s="169">
        <f t="shared" si="301"/>
        <v>2556.2896022855425</v>
      </c>
      <c r="AM119" s="169"/>
      <c r="AN119" s="2">
        <v>1350</v>
      </c>
      <c r="AO119" s="1029">
        <f t="shared" si="258"/>
        <v>1644</v>
      </c>
      <c r="AP119" s="170">
        <v>1244</v>
      </c>
      <c r="AQ119" s="170"/>
      <c r="AR119" s="170"/>
      <c r="AS119" s="170">
        <v>2004</v>
      </c>
      <c r="AT119" s="170"/>
      <c r="AU119" s="170"/>
      <c r="AV119" s="83"/>
      <c r="AW119" s="175">
        <f t="shared" si="316"/>
        <v>4278</v>
      </c>
      <c r="AX119" s="170">
        <v>3739</v>
      </c>
      <c r="AY119" s="170">
        <v>539</v>
      </c>
      <c r="AZ119" s="358">
        <v>179</v>
      </c>
      <c r="BA119" s="358"/>
      <c r="BB119" s="203">
        <f t="shared" si="259"/>
        <v>0.40836012861736337</v>
      </c>
      <c r="BC119" s="203">
        <f t="shared" si="260"/>
        <v>0.82035928143712578</v>
      </c>
      <c r="BD119" s="203">
        <f t="shared" si="261"/>
        <v>1.4107059373539037</v>
      </c>
      <c r="BE119" s="203">
        <f t="shared" si="262"/>
        <v>1.0878288599521657</v>
      </c>
      <c r="BF119" s="170">
        <v>916</v>
      </c>
      <c r="BG119" s="113"/>
      <c r="BH119" s="203">
        <f t="shared" si="263"/>
        <v>1.1619175972275704</v>
      </c>
      <c r="BI119" s="273">
        <v>15183</v>
      </c>
      <c r="BJ119" s="2">
        <f t="shared" si="302"/>
        <v>15218</v>
      </c>
      <c r="BK119" s="83"/>
      <c r="BL119" s="170"/>
      <c r="BM119" s="1031">
        <f t="shared" si="303"/>
        <v>912.28960228554251</v>
      </c>
      <c r="BN119" s="310"/>
      <c r="BO119" s="262">
        <f t="shared" si="289"/>
        <v>5.6007301692665115E-2</v>
      </c>
      <c r="BP119" s="262">
        <f t="shared" si="264"/>
        <v>6.8204447394623294E-2</v>
      </c>
      <c r="BQ119" s="262">
        <f t="shared" si="290"/>
        <v>3.7848058508361371E-2</v>
      </c>
      <c r="BR119" s="262">
        <f t="shared" si="304"/>
        <v>6.0086254513965785E-2</v>
      </c>
      <c r="BS119" s="988">
        <f t="shared" si="185"/>
        <v>0.55492068265543948</v>
      </c>
      <c r="BT119" s="519">
        <f t="shared" si="265"/>
        <v>294</v>
      </c>
      <c r="BU119" s="519"/>
      <c r="BV119" s="113">
        <f t="shared" si="266"/>
        <v>0.11501044315837249</v>
      </c>
      <c r="BW119" s="276">
        <f t="shared" si="305"/>
        <v>1.1179132286398722E-2</v>
      </c>
      <c r="BX119" s="273">
        <v>505</v>
      </c>
      <c r="BY119" s="113"/>
      <c r="BZ119" s="1013"/>
      <c r="CA119" s="1005">
        <f t="shared" si="291"/>
        <v>24104</v>
      </c>
      <c r="CB119" s="2">
        <f t="shared" si="221"/>
        <v>20728</v>
      </c>
      <c r="CC119" s="2">
        <f t="shared" si="222"/>
        <v>23199</v>
      </c>
      <c r="CD119" s="2"/>
      <c r="CE119" s="2"/>
      <c r="CF119" s="2">
        <v>25977</v>
      </c>
      <c r="CG119" s="2">
        <v>-322</v>
      </c>
      <c r="CH119" s="2">
        <f t="shared" si="267"/>
        <v>0</v>
      </c>
      <c r="CI119" s="2">
        <v>2361</v>
      </c>
      <c r="CJ119" s="2"/>
      <c r="CK119" s="2"/>
      <c r="CL119" s="171">
        <f t="shared" si="306"/>
        <v>16226.310397714456</v>
      </c>
      <c r="CM119" s="169">
        <f t="shared" si="307"/>
        <v>17659.310397714456</v>
      </c>
      <c r="CN119" s="170">
        <f t="shared" si="268"/>
        <v>6035</v>
      </c>
      <c r="CO119" s="170">
        <f t="shared" si="269"/>
        <v>6035</v>
      </c>
      <c r="CP119" s="170">
        <f t="shared" si="308"/>
        <v>11624.310397714458</v>
      </c>
      <c r="CQ119" s="170">
        <f t="shared" si="309"/>
        <v>1433</v>
      </c>
      <c r="CR119" s="170">
        <v>458</v>
      </c>
      <c r="CS119" s="113">
        <f t="shared" si="310"/>
        <v>5.4488763831324387E-2</v>
      </c>
      <c r="CT119" s="170">
        <f t="shared" si="270"/>
        <v>17305.310397714456</v>
      </c>
      <c r="CU119" s="2">
        <v>6112</v>
      </c>
      <c r="CV119" s="169">
        <f t="shared" si="271"/>
        <v>11193.310397714458</v>
      </c>
      <c r="CW119" s="2">
        <v>1418</v>
      </c>
      <c r="CX119" s="2"/>
      <c r="CY119" s="2"/>
      <c r="CZ119" s="170">
        <f t="shared" si="272"/>
        <v>354</v>
      </c>
      <c r="DA119" s="170">
        <f t="shared" si="273"/>
        <v>354</v>
      </c>
      <c r="DB119" s="170">
        <f t="shared" si="274"/>
        <v>-77</v>
      </c>
      <c r="DC119" s="2">
        <v>-77</v>
      </c>
      <c r="DD119" s="2">
        <v>431</v>
      </c>
      <c r="DE119" s="2">
        <v>15</v>
      </c>
      <c r="DF119" s="2"/>
      <c r="DG119" s="2"/>
      <c r="DH119" s="171">
        <f t="shared" ref="DH119:DH150" si="318">DI119-DK119</f>
        <v>2681.4</v>
      </c>
      <c r="DI119" s="2">
        <f t="shared" si="250"/>
        <v>3104.4</v>
      </c>
      <c r="DJ119" s="169">
        <f t="shared" si="244"/>
        <v>2681.4</v>
      </c>
      <c r="DK119" s="2">
        <v>423</v>
      </c>
      <c r="DL119" s="113">
        <f t="shared" si="275"/>
        <v>0.11124294722867574</v>
      </c>
      <c r="DM119" s="113">
        <f t="shared" si="311"/>
        <v>0.17619923774477592</v>
      </c>
      <c r="DN119" s="113">
        <v>0.6</v>
      </c>
      <c r="DO119" s="2">
        <v>91</v>
      </c>
      <c r="DP119" s="2">
        <v>0</v>
      </c>
      <c r="DQ119" s="273">
        <v>4163</v>
      </c>
      <c r="DR119" s="2">
        <v>3085</v>
      </c>
      <c r="DS119" s="2">
        <v>1384</v>
      </c>
      <c r="DT119" s="169">
        <f t="shared" si="245"/>
        <v>4469</v>
      </c>
      <c r="DU119" s="2">
        <v>16694</v>
      </c>
      <c r="DV119" s="2"/>
      <c r="DW119" s="2">
        <v>4930</v>
      </c>
      <c r="DX119" s="2">
        <v>4120</v>
      </c>
      <c r="DY119" s="2">
        <v>2472</v>
      </c>
      <c r="DZ119" s="2"/>
      <c r="EA119" s="2">
        <v>4120</v>
      </c>
      <c r="EB119" s="2">
        <v>2472</v>
      </c>
      <c r="EC119" s="175">
        <f t="shared" si="218"/>
        <v>1648</v>
      </c>
      <c r="ED119" s="175">
        <v>788</v>
      </c>
      <c r="EE119" s="175">
        <f t="shared" si="312"/>
        <v>860</v>
      </c>
      <c r="EF119" s="175">
        <f t="shared" si="315"/>
        <v>897</v>
      </c>
      <c r="EG119" s="2"/>
      <c r="EH119" s="78">
        <f t="shared" si="313"/>
        <v>1759</v>
      </c>
      <c r="EI119" s="2">
        <v>5134</v>
      </c>
      <c r="EJ119" s="2">
        <v>5499</v>
      </c>
      <c r="EK119" s="2"/>
      <c r="EL119" s="2"/>
      <c r="EM119" s="2"/>
      <c r="EN119" s="2"/>
      <c r="EO119" s="2"/>
      <c r="EP119" s="2"/>
      <c r="EQ119" s="2"/>
      <c r="ER119" s="2"/>
      <c r="ES119" s="2"/>
      <c r="ET119" s="2">
        <f t="shared" si="276"/>
        <v>25728</v>
      </c>
      <c r="EU119" s="2">
        <f t="shared" si="277"/>
        <v>26299</v>
      </c>
      <c r="EV119" s="262">
        <f t="shared" si="292"/>
        <v>1.0221937189054726</v>
      </c>
      <c r="EW119" s="2">
        <v>25977</v>
      </c>
      <c r="EX119" s="1042">
        <v>249</v>
      </c>
      <c r="EY119" s="273">
        <f t="shared" si="278"/>
        <v>19608.888080495355</v>
      </c>
      <c r="EZ119" s="2">
        <f t="shared" si="279"/>
        <v>7106.25</v>
      </c>
      <c r="FA119" s="1714"/>
      <c r="FB119" s="1714"/>
      <c r="FC119" s="2">
        <v>3401</v>
      </c>
      <c r="FD119" s="2">
        <f t="shared" ref="FD119:FE121" si="319">FD118+(FD$122-FD$118)/4</f>
        <v>1234.25</v>
      </c>
      <c r="FE119" s="1052">
        <f t="shared" si="319"/>
        <v>1827</v>
      </c>
      <c r="FF119" s="1050"/>
      <c r="FG119" s="115"/>
      <c r="FH119" s="83"/>
      <c r="FI119" s="2">
        <v>-205</v>
      </c>
      <c r="FJ119" s="2">
        <f t="shared" si="314"/>
        <v>-205</v>
      </c>
      <c r="FK119" s="273">
        <f t="shared" si="224"/>
        <v>1217</v>
      </c>
      <c r="FL119" s="310">
        <v>1217</v>
      </c>
      <c r="FM119" s="310">
        <v>717.88586479367871</v>
      </c>
      <c r="FN119" s="115"/>
      <c r="FO119" s="115"/>
      <c r="FP119" s="115"/>
      <c r="FQ119" s="115"/>
      <c r="FR119" s="115"/>
      <c r="FS119" s="1051"/>
      <c r="FT119" s="310">
        <f t="shared" si="293"/>
        <v>3703.1141352063214</v>
      </c>
      <c r="FU119" s="310">
        <v>3703.1141352063214</v>
      </c>
      <c r="FV119" s="310"/>
      <c r="FW119" s="513">
        <f t="shared" si="280"/>
        <v>3703.1141352063214</v>
      </c>
      <c r="FX119" s="115"/>
      <c r="FY119" s="115"/>
      <c r="FZ119" s="115"/>
      <c r="GA119" s="115"/>
      <c r="GB119" s="115"/>
      <c r="GC119" s="115"/>
      <c r="GD119" s="115"/>
      <c r="GE119" s="115"/>
      <c r="GF119" s="115"/>
      <c r="GG119" s="115"/>
      <c r="GH119" s="115"/>
      <c r="GI119" s="115"/>
      <c r="GJ119" s="115"/>
      <c r="GK119" s="1055">
        <f t="shared" si="281"/>
        <v>817</v>
      </c>
      <c r="GL119" s="115"/>
      <c r="GM119" s="115"/>
      <c r="GN119" s="115"/>
      <c r="GO119" s="310">
        <v>817</v>
      </c>
      <c r="GP119" s="310">
        <f t="shared" si="246"/>
        <v>897</v>
      </c>
      <c r="GQ119" s="2">
        <v>897</v>
      </c>
      <c r="GR119" s="115"/>
      <c r="GS119" s="115"/>
      <c r="GT119" s="115"/>
      <c r="GU119" s="2">
        <f t="shared" si="225"/>
        <v>-80</v>
      </c>
      <c r="GV119" s="1063">
        <v>1182</v>
      </c>
      <c r="GW119" s="1063">
        <f>DataUK4!D271+DataUK4!F271</f>
        <v>934.6</v>
      </c>
      <c r="GX119" s="615"/>
      <c r="GY119" s="615">
        <f t="shared" si="210"/>
        <v>784.13808049535612</v>
      </c>
      <c r="GZ119" s="254"/>
      <c r="HA119" s="254"/>
      <c r="HB119" s="2">
        <v>306</v>
      </c>
      <c r="HC119" s="1052"/>
      <c r="HD119" s="170">
        <f t="shared" si="294"/>
        <v>201</v>
      </c>
      <c r="HE119" s="2">
        <v>658</v>
      </c>
      <c r="HF119" s="2">
        <v>457</v>
      </c>
      <c r="HG119" s="170">
        <f t="shared" si="295"/>
        <v>-35</v>
      </c>
      <c r="HH119" s="2">
        <v>17</v>
      </c>
      <c r="HI119" s="2">
        <v>52</v>
      </c>
      <c r="HJ119" s="2">
        <f t="shared" si="282"/>
        <v>0</v>
      </c>
      <c r="HK119" s="2"/>
      <c r="HL119" s="2"/>
      <c r="HM119" s="2">
        <f t="shared" si="247"/>
        <v>0</v>
      </c>
      <c r="HN119" s="2">
        <f t="shared" si="283"/>
        <v>-6</v>
      </c>
      <c r="HO119" s="2">
        <f t="shared" si="284"/>
        <v>-6</v>
      </c>
      <c r="HP119" s="2">
        <v>26140</v>
      </c>
      <c r="HQ119" s="2">
        <v>26134</v>
      </c>
      <c r="HR119" s="115"/>
      <c r="HS119" s="1051"/>
      <c r="HT119" s="1002">
        <v>49.1</v>
      </c>
      <c r="HU119" s="1002">
        <v>6</v>
      </c>
      <c r="HV119" s="1002">
        <v>6.6</v>
      </c>
    </row>
    <row r="120" spans="1:230">
      <c r="A120" s="110">
        <f t="shared" si="296"/>
        <v>1961</v>
      </c>
      <c r="B120" s="176">
        <f t="shared" si="248"/>
        <v>25447.999999999996</v>
      </c>
      <c r="C120" s="177">
        <f t="shared" si="317"/>
        <v>188</v>
      </c>
      <c r="D120" s="176">
        <f t="shared" si="285"/>
        <v>25259.999999999996</v>
      </c>
      <c r="E120" s="154">
        <f t="shared" si="251"/>
        <v>27802.999999999996</v>
      </c>
      <c r="F120" s="995">
        <f t="shared" si="252"/>
        <v>2543</v>
      </c>
      <c r="G120" s="531">
        <f t="shared" si="297"/>
        <v>25029</v>
      </c>
      <c r="H120" s="531">
        <f t="shared" si="298"/>
        <v>24841</v>
      </c>
      <c r="I120" s="531">
        <f t="shared" si="299"/>
        <v>27384</v>
      </c>
      <c r="J120" s="548">
        <f t="shared" si="300"/>
        <v>1.0153009056383289</v>
      </c>
      <c r="K120" s="178">
        <f t="shared" si="242"/>
        <v>2584</v>
      </c>
      <c r="L120" s="2">
        <v>3177</v>
      </c>
      <c r="M120" s="2">
        <v>593</v>
      </c>
      <c r="N120" s="2">
        <v>2044</v>
      </c>
      <c r="O120" s="170">
        <f t="shared" si="286"/>
        <v>540</v>
      </c>
      <c r="P120" s="175">
        <v>0</v>
      </c>
      <c r="Q120" s="175">
        <f t="shared" si="243"/>
        <v>445</v>
      </c>
      <c r="R120" s="175">
        <f t="shared" si="287"/>
        <v>95</v>
      </c>
      <c r="S120" s="532">
        <f t="shared" si="229"/>
        <v>0.11781334062827703</v>
      </c>
      <c r="T120" s="1008">
        <f t="shared" si="253"/>
        <v>327.76923076923077</v>
      </c>
      <c r="U120" s="1010">
        <v>319</v>
      </c>
      <c r="V120" s="511">
        <f t="shared" si="288"/>
        <v>543.76923076923072</v>
      </c>
      <c r="W120" s="2">
        <v>535</v>
      </c>
      <c r="X120" s="169">
        <f t="shared" si="254"/>
        <v>216</v>
      </c>
      <c r="Y120" s="113">
        <f t="shared" si="255"/>
        <v>0.39722733059838738</v>
      </c>
      <c r="Z120" s="113">
        <f t="shared" si="256"/>
        <v>0.40373831775700936</v>
      </c>
      <c r="AA120" s="276">
        <f>X120/DataUK3!D120</f>
        <v>1.2095115264716749E-2</v>
      </c>
      <c r="AB120" s="1019">
        <f t="shared" si="257"/>
        <v>7.7689457972161284E-3</v>
      </c>
      <c r="AC120" s="2"/>
      <c r="AD120" s="2">
        <v>19</v>
      </c>
      <c r="AE120" s="2"/>
      <c r="AF120" s="2"/>
      <c r="AG120" s="2"/>
      <c r="AH120" s="2"/>
      <c r="AI120" s="1010">
        <f>AD120*DataUK3!BG120</f>
        <v>8.7692307692307701</v>
      </c>
      <c r="AJ120" s="171">
        <f t="shared" si="249"/>
        <v>2394.1111946470191</v>
      </c>
      <c r="AK120" s="561"/>
      <c r="AL120" s="169">
        <f t="shared" si="301"/>
        <v>2721.1111946470191</v>
      </c>
      <c r="AM120" s="169"/>
      <c r="AN120" s="2">
        <v>1423</v>
      </c>
      <c r="AO120" s="1029">
        <f t="shared" si="258"/>
        <v>1750</v>
      </c>
      <c r="AP120" s="170">
        <v>1340</v>
      </c>
      <c r="AQ120" s="170"/>
      <c r="AR120" s="170"/>
      <c r="AS120" s="170">
        <v>2104</v>
      </c>
      <c r="AT120" s="170"/>
      <c r="AU120" s="170"/>
      <c r="AV120" s="83"/>
      <c r="AW120" s="175">
        <f t="shared" si="316"/>
        <v>4291</v>
      </c>
      <c r="AX120" s="170">
        <v>3646</v>
      </c>
      <c r="AY120" s="170">
        <v>645</v>
      </c>
      <c r="AZ120" s="358">
        <v>96</v>
      </c>
      <c r="BA120" s="358"/>
      <c r="BB120" s="203">
        <f t="shared" si="259"/>
        <v>0.40579793340987369</v>
      </c>
      <c r="BC120" s="203">
        <f t="shared" si="260"/>
        <v>0.83174904942965777</v>
      </c>
      <c r="BD120" s="203">
        <f t="shared" si="261"/>
        <v>1.4190703260850079</v>
      </c>
      <c r="BE120" s="203">
        <f t="shared" si="262"/>
        <v>1.0837750484809308</v>
      </c>
      <c r="BF120" s="170">
        <v>987</v>
      </c>
      <c r="BG120" s="113"/>
      <c r="BH120" s="203">
        <f t="shared" si="263"/>
        <v>1.1537004109948408</v>
      </c>
      <c r="BI120" s="273">
        <v>16422</v>
      </c>
      <c r="BJ120" s="2">
        <f t="shared" si="302"/>
        <v>16457</v>
      </c>
      <c r="BK120" s="83"/>
      <c r="BL120" s="170"/>
      <c r="BM120" s="1031">
        <f t="shared" si="303"/>
        <v>971.11119464701903</v>
      </c>
      <c r="BN120" s="310"/>
      <c r="BO120" s="262">
        <f t="shared" si="289"/>
        <v>5.5917950330084877E-2</v>
      </c>
      <c r="BP120" s="262">
        <f t="shared" si="264"/>
        <v>6.8767683118516193E-2</v>
      </c>
      <c r="BQ120" s="262">
        <f t="shared" si="290"/>
        <v>3.8160609660759945E-2</v>
      </c>
      <c r="BR120" s="262">
        <f t="shared" si="304"/>
        <v>5.9134770103947083E-2</v>
      </c>
      <c r="BS120" s="988">
        <f t="shared" si="185"/>
        <v>0.55492068265543948</v>
      </c>
      <c r="BT120" s="519">
        <f t="shared" si="265"/>
        <v>327</v>
      </c>
      <c r="BU120" s="519"/>
      <c r="BV120" s="113">
        <f t="shared" si="266"/>
        <v>0.12017149488167764</v>
      </c>
      <c r="BW120" s="276">
        <f t="shared" si="305"/>
        <v>1.1761320720785529E-2</v>
      </c>
      <c r="BX120" s="273">
        <v>543</v>
      </c>
      <c r="BY120" s="113"/>
      <c r="BZ120" s="1013"/>
      <c r="CA120" s="1005">
        <f t="shared" si="291"/>
        <v>25448</v>
      </c>
      <c r="CB120" s="2">
        <f t="shared" si="221"/>
        <v>21933</v>
      </c>
      <c r="CC120" s="2">
        <f t="shared" si="222"/>
        <v>24517</v>
      </c>
      <c r="CD120" s="2"/>
      <c r="CE120" s="2"/>
      <c r="CF120" s="2">
        <v>27412</v>
      </c>
      <c r="CG120" s="2">
        <v>-378</v>
      </c>
      <c r="CH120" s="2">
        <f t="shared" si="267"/>
        <v>12.999999999996362</v>
      </c>
      <c r="CI120" s="2">
        <v>2543</v>
      </c>
      <c r="CJ120" s="2"/>
      <c r="CK120" s="2"/>
      <c r="CL120" s="171">
        <f t="shared" si="306"/>
        <v>17103.519574583748</v>
      </c>
      <c r="CM120" s="169">
        <f t="shared" si="307"/>
        <v>18724.519574583748</v>
      </c>
      <c r="CN120" s="170">
        <f t="shared" si="268"/>
        <v>6089.2307692307695</v>
      </c>
      <c r="CO120" s="170">
        <f t="shared" si="269"/>
        <v>6098</v>
      </c>
      <c r="CP120" s="170">
        <f t="shared" si="308"/>
        <v>12635.28880535298</v>
      </c>
      <c r="CQ120" s="170">
        <f t="shared" si="309"/>
        <v>1621</v>
      </c>
      <c r="CR120" s="170">
        <v>564</v>
      </c>
      <c r="CS120" s="113">
        <f t="shared" si="310"/>
        <v>5.8303060820774744E-2</v>
      </c>
      <c r="CT120" s="170">
        <f t="shared" si="270"/>
        <v>18285.288805352982</v>
      </c>
      <c r="CU120" s="2">
        <v>6116</v>
      </c>
      <c r="CV120" s="169">
        <f t="shared" si="271"/>
        <v>12169.28880535298</v>
      </c>
      <c r="CW120" s="2">
        <v>1603</v>
      </c>
      <c r="CX120" s="2"/>
      <c r="CY120" s="2"/>
      <c r="CZ120" s="170">
        <f t="shared" si="272"/>
        <v>439.23076923076923</v>
      </c>
      <c r="DA120" s="170">
        <f t="shared" si="273"/>
        <v>448</v>
      </c>
      <c r="DB120" s="170">
        <f t="shared" si="274"/>
        <v>-26.76923076923077</v>
      </c>
      <c r="DC120" s="2">
        <v>-18</v>
      </c>
      <c r="DD120" s="2">
        <v>466</v>
      </c>
      <c r="DE120" s="2">
        <v>18</v>
      </c>
      <c r="DF120" s="2"/>
      <c r="DG120" s="2"/>
      <c r="DH120" s="171">
        <f t="shared" si="318"/>
        <v>2850.6</v>
      </c>
      <c r="DI120" s="2">
        <f t="shared" si="250"/>
        <v>3229.6</v>
      </c>
      <c r="DJ120" s="169">
        <f t="shared" si="244"/>
        <v>2850.6</v>
      </c>
      <c r="DK120" s="2">
        <v>379</v>
      </c>
      <c r="DL120" s="113">
        <f t="shared" si="275"/>
        <v>0.11201666142722416</v>
      </c>
      <c r="DM120" s="113">
        <f t="shared" si="311"/>
        <v>0.17321504526949019</v>
      </c>
      <c r="DN120" s="113">
        <v>0.6</v>
      </c>
      <c r="DO120" s="2">
        <v>95</v>
      </c>
      <c r="DP120" s="2">
        <v>0</v>
      </c>
      <c r="DQ120" s="273">
        <v>4497</v>
      </c>
      <c r="DR120" s="2">
        <v>3227</v>
      </c>
      <c r="DS120" s="2">
        <v>1524</v>
      </c>
      <c r="DT120" s="169">
        <f t="shared" si="245"/>
        <v>4751</v>
      </c>
      <c r="DU120" s="2">
        <v>17558</v>
      </c>
      <c r="DV120" s="2"/>
      <c r="DW120" s="2">
        <v>5168</v>
      </c>
      <c r="DX120" s="2">
        <v>4619</v>
      </c>
      <c r="DY120" s="2">
        <v>2795</v>
      </c>
      <c r="DZ120" s="2"/>
      <c r="EA120" s="2">
        <v>4619</v>
      </c>
      <c r="EB120" s="2">
        <v>2795</v>
      </c>
      <c r="EC120" s="175">
        <f t="shared" si="218"/>
        <v>1824</v>
      </c>
      <c r="ED120" s="175">
        <v>905</v>
      </c>
      <c r="EE120" s="175">
        <f t="shared" si="312"/>
        <v>919</v>
      </c>
      <c r="EF120" s="175">
        <f t="shared" si="315"/>
        <v>958</v>
      </c>
      <c r="EG120" s="2"/>
      <c r="EH120" s="78">
        <f t="shared" si="313"/>
        <v>2076</v>
      </c>
      <c r="EI120" s="2">
        <v>5366</v>
      </c>
      <c r="EJ120" s="2">
        <v>5459</v>
      </c>
      <c r="EK120" s="2"/>
      <c r="EL120" s="2"/>
      <c r="EM120" s="2"/>
      <c r="EN120" s="2"/>
      <c r="EO120" s="2"/>
      <c r="EP120" s="2"/>
      <c r="EQ120" s="2"/>
      <c r="ER120" s="2"/>
      <c r="ES120" s="2"/>
      <c r="ET120" s="2">
        <f t="shared" si="276"/>
        <v>27384</v>
      </c>
      <c r="EU120" s="2">
        <f t="shared" si="277"/>
        <v>27803</v>
      </c>
      <c r="EV120" s="262">
        <f t="shared" si="292"/>
        <v>1.0153009056383289</v>
      </c>
      <c r="EW120" s="2">
        <v>27412</v>
      </c>
      <c r="EX120" s="1042">
        <v>29</v>
      </c>
      <c r="EY120" s="273">
        <f t="shared" si="278"/>
        <v>20535.545820433432</v>
      </c>
      <c r="EZ120" s="2">
        <f t="shared" si="279"/>
        <v>7742.5</v>
      </c>
      <c r="FA120" s="1714"/>
      <c r="FB120" s="1714"/>
      <c r="FC120" s="2">
        <v>3810</v>
      </c>
      <c r="FD120" s="2">
        <f t="shared" si="319"/>
        <v>1348.5</v>
      </c>
      <c r="FE120" s="1052">
        <f t="shared" si="319"/>
        <v>1961</v>
      </c>
      <c r="FF120" s="1050"/>
      <c r="FG120" s="115"/>
      <c r="FH120" s="83"/>
      <c r="FI120" s="2">
        <v>86</v>
      </c>
      <c r="FJ120" s="2">
        <f t="shared" si="314"/>
        <v>86</v>
      </c>
      <c r="FK120" s="273">
        <f t="shared" si="224"/>
        <v>1118.9394205443373</v>
      </c>
      <c r="FL120" s="310">
        <v>1118.9394205443373</v>
      </c>
      <c r="FM120" s="310"/>
      <c r="FN120" s="115"/>
      <c r="FO120" s="115"/>
      <c r="FP120" s="115"/>
      <c r="FQ120" s="115"/>
      <c r="FR120" s="115"/>
      <c r="FS120" s="1051"/>
      <c r="FT120" s="310">
        <f t="shared" si="293"/>
        <v>3496.0605794556595</v>
      </c>
      <c r="FU120" s="310">
        <v>3496.0605794556595</v>
      </c>
      <c r="FV120" s="310"/>
      <c r="FW120" s="513">
        <f t="shared" si="280"/>
        <v>3496.0605794556595</v>
      </c>
      <c r="FX120" s="115"/>
      <c r="FY120" s="115"/>
      <c r="FZ120" s="115"/>
      <c r="GA120" s="115"/>
      <c r="GB120" s="115"/>
      <c r="GC120" s="115"/>
      <c r="GD120" s="115"/>
      <c r="GE120" s="115"/>
      <c r="GF120" s="115"/>
      <c r="GG120" s="115"/>
      <c r="GH120" s="115"/>
      <c r="GI120" s="115"/>
      <c r="GJ120" s="115"/>
      <c r="GK120" s="1055">
        <f t="shared" si="281"/>
        <v>953</v>
      </c>
      <c r="GL120" s="115"/>
      <c r="GM120" s="115"/>
      <c r="GN120" s="115"/>
      <c r="GO120" s="310">
        <v>953</v>
      </c>
      <c r="GP120" s="310">
        <f t="shared" si="246"/>
        <v>958</v>
      </c>
      <c r="GQ120" s="2">
        <v>958</v>
      </c>
      <c r="GR120" s="115"/>
      <c r="GS120" s="115"/>
      <c r="GT120" s="115"/>
      <c r="GU120" s="2">
        <f t="shared" si="225"/>
        <v>-5</v>
      </c>
      <c r="GV120" s="1063">
        <v>1271</v>
      </c>
      <c r="GW120" s="1063">
        <f>DataUK4!D272+DataUK4!F272</f>
        <v>1035.8</v>
      </c>
      <c r="GX120" s="615"/>
      <c r="GY120" s="615">
        <f t="shared" si="210"/>
        <v>869.04582043343657</v>
      </c>
      <c r="GZ120" s="254"/>
      <c r="HA120" s="254"/>
      <c r="HB120" s="2">
        <v>254</v>
      </c>
      <c r="HC120" s="1052"/>
      <c r="HD120" s="170">
        <f t="shared" si="294"/>
        <v>223</v>
      </c>
      <c r="HE120" s="2">
        <v>663</v>
      </c>
      <c r="HF120" s="2">
        <v>440</v>
      </c>
      <c r="HG120" s="170">
        <f t="shared" si="295"/>
        <v>-35</v>
      </c>
      <c r="HH120" s="2">
        <v>19</v>
      </c>
      <c r="HI120" s="2">
        <v>54</v>
      </c>
      <c r="HJ120" s="2">
        <f t="shared" si="282"/>
        <v>0</v>
      </c>
      <c r="HK120" s="2"/>
      <c r="HL120" s="2"/>
      <c r="HM120" s="2">
        <f t="shared" si="247"/>
        <v>0</v>
      </c>
      <c r="HN120" s="2">
        <f t="shared" si="283"/>
        <v>-9</v>
      </c>
      <c r="HO120" s="2">
        <f t="shared" si="284"/>
        <v>-9</v>
      </c>
      <c r="HP120" s="2">
        <v>27592</v>
      </c>
      <c r="HQ120" s="2">
        <v>27583</v>
      </c>
      <c r="HR120" s="115"/>
      <c r="HS120" s="1051"/>
      <c r="HT120" s="1002">
        <v>50.8</v>
      </c>
      <c r="HU120" s="1002">
        <v>6.1</v>
      </c>
      <c r="HV120" s="1002">
        <v>6.8</v>
      </c>
    </row>
    <row r="121" spans="1:230">
      <c r="A121" s="110">
        <f t="shared" si="296"/>
        <v>1962</v>
      </c>
      <c r="B121" s="176">
        <f t="shared" si="248"/>
        <v>26854</v>
      </c>
      <c r="C121" s="177">
        <f t="shared" si="317"/>
        <v>264</v>
      </c>
      <c r="D121" s="176">
        <f t="shared" si="285"/>
        <v>26590</v>
      </c>
      <c r="E121" s="154">
        <f t="shared" si="251"/>
        <v>29268</v>
      </c>
      <c r="F121" s="995">
        <f t="shared" si="252"/>
        <v>2678</v>
      </c>
      <c r="G121" s="531">
        <f t="shared" si="297"/>
        <v>26226</v>
      </c>
      <c r="H121" s="531">
        <f t="shared" si="298"/>
        <v>25962</v>
      </c>
      <c r="I121" s="531">
        <f t="shared" si="299"/>
        <v>28640</v>
      </c>
      <c r="J121" s="548">
        <f t="shared" si="300"/>
        <v>1.0219273743016759</v>
      </c>
      <c r="K121" s="178">
        <f t="shared" si="242"/>
        <v>2774</v>
      </c>
      <c r="L121" s="2">
        <v>3382</v>
      </c>
      <c r="M121" s="2">
        <v>608</v>
      </c>
      <c r="N121" s="2">
        <v>2213</v>
      </c>
      <c r="O121" s="170">
        <f t="shared" si="286"/>
        <v>561</v>
      </c>
      <c r="P121" s="175">
        <v>0</v>
      </c>
      <c r="Q121" s="175">
        <f t="shared" si="243"/>
        <v>458</v>
      </c>
      <c r="R121" s="175">
        <f t="shared" si="287"/>
        <v>103</v>
      </c>
      <c r="S121" s="532">
        <f t="shared" si="229"/>
        <v>0.12085039644506404</v>
      </c>
      <c r="T121" s="1008">
        <f t="shared" si="253"/>
        <v>387.5</v>
      </c>
      <c r="U121" s="1010">
        <v>351</v>
      </c>
      <c r="V121" s="511">
        <f t="shared" si="288"/>
        <v>587.5</v>
      </c>
      <c r="W121" s="2">
        <v>551</v>
      </c>
      <c r="X121" s="169">
        <f t="shared" si="254"/>
        <v>200</v>
      </c>
      <c r="Y121" s="113">
        <f t="shared" si="255"/>
        <v>0.34042553191489361</v>
      </c>
      <c r="Z121" s="113">
        <f t="shared" si="256"/>
        <v>0.36297640653357532</v>
      </c>
      <c r="AA121" s="276">
        <f>X121/DataUK3!D121</f>
        <v>1.0158819742678507E-2</v>
      </c>
      <c r="AB121" s="1019">
        <f t="shared" si="257"/>
        <v>6.8334016673500071E-3</v>
      </c>
      <c r="AC121" s="2"/>
      <c r="AD121" s="2">
        <v>73</v>
      </c>
      <c r="AE121" s="2"/>
      <c r="AF121" s="2"/>
      <c r="AG121" s="2"/>
      <c r="AH121" s="2"/>
      <c r="AI121" s="1010">
        <f>AD121*DataUK3!BG121</f>
        <v>36.5</v>
      </c>
      <c r="AJ121" s="171">
        <f t="shared" si="249"/>
        <v>2502.2737388166306</v>
      </c>
      <c r="AK121" s="561"/>
      <c r="AL121" s="169">
        <f t="shared" si="301"/>
        <v>2867.2737388166306</v>
      </c>
      <c r="AM121" s="169"/>
      <c r="AN121" s="2">
        <v>1479</v>
      </c>
      <c r="AO121" s="1029">
        <f t="shared" si="258"/>
        <v>1844</v>
      </c>
      <c r="AP121" s="170">
        <v>1446</v>
      </c>
      <c r="AQ121" s="170"/>
      <c r="AR121" s="170"/>
      <c r="AS121" s="170">
        <v>2142</v>
      </c>
      <c r="AT121" s="170"/>
      <c r="AU121" s="170"/>
      <c r="AV121" s="83"/>
      <c r="AW121" s="175">
        <f t="shared" si="316"/>
        <v>4350</v>
      </c>
      <c r="AX121" s="170">
        <v>3599</v>
      </c>
      <c r="AY121" s="170">
        <v>751</v>
      </c>
      <c r="AZ121" s="358">
        <v>71</v>
      </c>
      <c r="BA121" s="358"/>
      <c r="BB121" s="203">
        <f t="shared" si="259"/>
        <v>0.40629322268326418</v>
      </c>
      <c r="BC121" s="203">
        <f t="shared" si="260"/>
        <v>0.86087768440709622</v>
      </c>
      <c r="BD121" s="203">
        <f t="shared" si="261"/>
        <v>1.4548275862068965</v>
      </c>
      <c r="BE121" s="203">
        <f t="shared" si="262"/>
        <v>1.1035525321239608</v>
      </c>
      <c r="BF121" s="170">
        <v>986</v>
      </c>
      <c r="BG121" s="113"/>
      <c r="BH121" s="203">
        <f t="shared" si="263"/>
        <v>1.1860007496251874</v>
      </c>
      <c r="BI121" s="273">
        <v>17322</v>
      </c>
      <c r="BJ121" s="2">
        <f t="shared" si="302"/>
        <v>17359</v>
      </c>
      <c r="BK121" s="83"/>
      <c r="BL121" s="170"/>
      <c r="BM121" s="1031">
        <f t="shared" si="303"/>
        <v>1023.2737388166304</v>
      </c>
      <c r="BN121" s="310"/>
      <c r="BO121" s="262">
        <f t="shared" si="289"/>
        <v>5.5075593952483799E-2</v>
      </c>
      <c r="BP121" s="262">
        <f t="shared" si="264"/>
        <v>6.8667610039472707E-2</v>
      </c>
      <c r="BQ121" s="262">
        <f t="shared" si="290"/>
        <v>3.8105077039421703E-2</v>
      </c>
      <c r="BR121" s="262">
        <f t="shared" si="304"/>
        <v>5.9073648471113634E-2</v>
      </c>
      <c r="BS121" s="988">
        <f t="shared" si="185"/>
        <v>0.55492068265543948</v>
      </c>
      <c r="BT121" s="519">
        <f t="shared" si="265"/>
        <v>365</v>
      </c>
      <c r="BU121" s="519"/>
      <c r="BV121" s="113">
        <f t="shared" si="266"/>
        <v>0.12729862344801487</v>
      </c>
      <c r="BW121" s="276">
        <f t="shared" si="305"/>
        <v>1.2470958042913762E-2</v>
      </c>
      <c r="BX121" s="273">
        <v>565</v>
      </c>
      <c r="BY121" s="113"/>
      <c r="BZ121" s="1013"/>
      <c r="CA121" s="1005">
        <f t="shared" si="291"/>
        <v>26854</v>
      </c>
      <c r="CB121" s="2">
        <f t="shared" si="221"/>
        <v>22954</v>
      </c>
      <c r="CC121" s="2">
        <f t="shared" si="222"/>
        <v>25728</v>
      </c>
      <c r="CD121" s="2"/>
      <c r="CE121" s="2"/>
      <c r="CF121" s="2">
        <v>28710</v>
      </c>
      <c r="CG121" s="2">
        <v>-509</v>
      </c>
      <c r="CH121" s="2">
        <f t="shared" si="267"/>
        <v>49</v>
      </c>
      <c r="CI121" s="2">
        <v>2678</v>
      </c>
      <c r="CJ121" s="2"/>
      <c r="CK121" s="2"/>
      <c r="CL121" s="171">
        <f t="shared" si="306"/>
        <v>17892.62626118337</v>
      </c>
      <c r="CM121" s="169">
        <f t="shared" si="307"/>
        <v>19630.62626118337</v>
      </c>
      <c r="CN121" s="170">
        <f t="shared" si="268"/>
        <v>6328.5</v>
      </c>
      <c r="CO121" s="170">
        <f t="shared" si="269"/>
        <v>6365</v>
      </c>
      <c r="CP121" s="170">
        <f t="shared" si="308"/>
        <v>13302.12626118337</v>
      </c>
      <c r="CQ121" s="170">
        <f t="shared" si="309"/>
        <v>1738</v>
      </c>
      <c r="CR121" s="170">
        <v>615</v>
      </c>
      <c r="CS121" s="113">
        <f t="shared" si="310"/>
        <v>5.938226048927156E-2</v>
      </c>
      <c r="CT121" s="170">
        <f t="shared" si="270"/>
        <v>19106.12626118337</v>
      </c>
      <c r="CU121" s="2">
        <v>6296</v>
      </c>
      <c r="CV121" s="169">
        <f t="shared" si="271"/>
        <v>12810.12626118337</v>
      </c>
      <c r="CW121" s="2">
        <v>1718</v>
      </c>
      <c r="CX121" s="2"/>
      <c r="CY121" s="2"/>
      <c r="CZ121" s="170">
        <f t="shared" si="272"/>
        <v>524.5</v>
      </c>
      <c r="DA121" s="170">
        <f t="shared" si="273"/>
        <v>561</v>
      </c>
      <c r="DB121" s="170">
        <f t="shared" si="274"/>
        <v>32.5</v>
      </c>
      <c r="DC121" s="2">
        <v>69</v>
      </c>
      <c r="DD121" s="2">
        <v>492</v>
      </c>
      <c r="DE121" s="2">
        <v>20</v>
      </c>
      <c r="DF121" s="2"/>
      <c r="DG121" s="2"/>
      <c r="DH121" s="171">
        <f t="shared" si="318"/>
        <v>3033.6</v>
      </c>
      <c r="DI121" s="2">
        <f t="shared" si="250"/>
        <v>3408.6</v>
      </c>
      <c r="DJ121" s="169">
        <f t="shared" si="244"/>
        <v>3033.6</v>
      </c>
      <c r="DK121" s="2">
        <v>375</v>
      </c>
      <c r="DL121" s="113">
        <f t="shared" si="275"/>
        <v>0.11296641096298503</v>
      </c>
      <c r="DM121" s="113">
        <f t="shared" si="311"/>
        <v>0.17475661040382509</v>
      </c>
      <c r="DN121" s="113">
        <v>0.6</v>
      </c>
      <c r="DO121" s="2">
        <v>103</v>
      </c>
      <c r="DP121" s="2">
        <v>0</v>
      </c>
      <c r="DQ121" s="273">
        <v>4822</v>
      </c>
      <c r="DR121" s="2">
        <v>3372</v>
      </c>
      <c r="DS121" s="2">
        <v>1684</v>
      </c>
      <c r="DT121" s="169">
        <f t="shared" si="245"/>
        <v>5056</v>
      </c>
      <c r="DU121" s="2">
        <v>18597</v>
      </c>
      <c r="DV121" s="2"/>
      <c r="DW121" s="2">
        <v>5041</v>
      </c>
      <c r="DX121" s="2">
        <v>4731</v>
      </c>
      <c r="DY121" s="2">
        <v>2769</v>
      </c>
      <c r="DZ121" s="2"/>
      <c r="EA121" s="2">
        <v>4731</v>
      </c>
      <c r="EB121" s="2">
        <v>2769</v>
      </c>
      <c r="EC121" s="175">
        <f t="shared" si="218"/>
        <v>1962</v>
      </c>
      <c r="ED121" s="175">
        <v>933</v>
      </c>
      <c r="EE121" s="175">
        <f t="shared" si="312"/>
        <v>1029</v>
      </c>
      <c r="EF121" s="175">
        <f t="shared" si="315"/>
        <v>1068</v>
      </c>
      <c r="EG121" s="2"/>
      <c r="EH121" s="78">
        <f t="shared" si="313"/>
        <v>2053</v>
      </c>
      <c r="EI121" s="2">
        <v>5500</v>
      </c>
      <c r="EJ121" s="2">
        <v>5554</v>
      </c>
      <c r="EK121" s="2"/>
      <c r="EL121" s="2"/>
      <c r="EM121" s="2"/>
      <c r="EN121" s="2"/>
      <c r="EO121" s="2"/>
      <c r="EP121" s="2"/>
      <c r="EQ121" s="2"/>
      <c r="ER121" s="2"/>
      <c r="ES121" s="2"/>
      <c r="ET121" s="2">
        <f t="shared" si="276"/>
        <v>28640</v>
      </c>
      <c r="EU121" s="2">
        <f t="shared" si="277"/>
        <v>29268</v>
      </c>
      <c r="EV121" s="262">
        <f t="shared" si="292"/>
        <v>1.0219273743016759</v>
      </c>
      <c r="EW121" s="2">
        <v>28710</v>
      </c>
      <c r="EX121" s="1042">
        <v>71</v>
      </c>
      <c r="EY121" s="273">
        <f t="shared" si="278"/>
        <v>21288.905417956656</v>
      </c>
      <c r="EZ121" s="2">
        <f t="shared" si="279"/>
        <v>8483.75</v>
      </c>
      <c r="FA121" s="1714"/>
      <c r="FB121" s="1714"/>
      <c r="FC121" s="2">
        <v>4247</v>
      </c>
      <c r="FD121" s="2">
        <f t="shared" si="319"/>
        <v>1462.75</v>
      </c>
      <c r="FE121" s="1052">
        <f t="shared" si="319"/>
        <v>2095</v>
      </c>
      <c r="FF121" s="1050"/>
      <c r="FG121" s="115"/>
      <c r="FH121" s="83"/>
      <c r="FI121" s="2">
        <v>196</v>
      </c>
      <c r="FJ121" s="2">
        <f t="shared" si="314"/>
        <v>196</v>
      </c>
      <c r="FK121" s="273">
        <f t="shared" si="224"/>
        <v>978.57067603160669</v>
      </c>
      <c r="FL121" s="310">
        <v>978.57067603160669</v>
      </c>
      <c r="FM121" s="310"/>
      <c r="FN121" s="115"/>
      <c r="FO121" s="115"/>
      <c r="FP121" s="115"/>
      <c r="FQ121" s="115"/>
      <c r="FR121" s="115"/>
      <c r="FS121" s="1051"/>
      <c r="FT121" s="310">
        <f t="shared" si="293"/>
        <v>3415.4293239683948</v>
      </c>
      <c r="FU121" s="310">
        <v>3415.4293239683948</v>
      </c>
      <c r="FV121" s="310"/>
      <c r="FW121" s="513">
        <f t="shared" si="280"/>
        <v>3415.4293239683948</v>
      </c>
      <c r="FX121" s="115"/>
      <c r="FY121" s="115"/>
      <c r="FZ121" s="115"/>
      <c r="GA121" s="115"/>
      <c r="GB121" s="115"/>
      <c r="GC121" s="115"/>
      <c r="GD121" s="115"/>
      <c r="GE121" s="115"/>
      <c r="GF121" s="115"/>
      <c r="GG121" s="115"/>
      <c r="GH121" s="115"/>
      <c r="GI121" s="115"/>
      <c r="GJ121" s="115"/>
      <c r="GK121" s="1055">
        <f t="shared" si="281"/>
        <v>1301</v>
      </c>
      <c r="GL121" s="115"/>
      <c r="GM121" s="115"/>
      <c r="GN121" s="115"/>
      <c r="GO121" s="310">
        <v>1301</v>
      </c>
      <c r="GP121" s="310">
        <f t="shared" si="246"/>
        <v>1068</v>
      </c>
      <c r="GQ121" s="2">
        <v>1068</v>
      </c>
      <c r="GR121" s="115"/>
      <c r="GS121" s="115"/>
      <c r="GT121" s="115"/>
      <c r="GU121" s="2">
        <f t="shared" si="225"/>
        <v>233</v>
      </c>
      <c r="GV121" s="1063">
        <v>1283</v>
      </c>
      <c r="GW121" s="1357">
        <f>DataUK4!D273+DataUK4!F273</f>
        <v>981.7</v>
      </c>
      <c r="GX121" s="615"/>
      <c r="GY121" s="1421">
        <f>GY122*GW121/GW122</f>
        <v>823.65541795665649</v>
      </c>
      <c r="GZ121" s="254"/>
      <c r="HA121" s="254"/>
      <c r="HB121" s="2">
        <v>239</v>
      </c>
      <c r="HC121" s="1052"/>
      <c r="HD121" s="170">
        <f t="shared" si="294"/>
        <v>301</v>
      </c>
      <c r="HE121" s="2">
        <v>739</v>
      </c>
      <c r="HF121" s="2">
        <v>438</v>
      </c>
      <c r="HG121" s="170">
        <f t="shared" si="295"/>
        <v>-37</v>
      </c>
      <c r="HH121" s="2">
        <v>19</v>
      </c>
      <c r="HI121" s="2">
        <v>56</v>
      </c>
      <c r="HJ121" s="2">
        <f t="shared" si="282"/>
        <v>0</v>
      </c>
      <c r="HK121" s="2"/>
      <c r="HL121" s="2"/>
      <c r="HM121" s="2">
        <f t="shared" si="247"/>
        <v>0</v>
      </c>
      <c r="HN121" s="2">
        <f t="shared" si="283"/>
        <v>-14</v>
      </c>
      <c r="HO121" s="2">
        <f t="shared" si="284"/>
        <v>-14</v>
      </c>
      <c r="HP121" s="2">
        <v>28955</v>
      </c>
      <c r="HQ121" s="2">
        <v>28941</v>
      </c>
      <c r="HR121" s="115"/>
      <c r="HS121" s="1051"/>
      <c r="HT121" s="1002">
        <v>53</v>
      </c>
      <c r="HU121" s="1002">
        <v>6.4</v>
      </c>
      <c r="HV121" s="1002">
        <v>7.1</v>
      </c>
    </row>
    <row r="122" spans="1:230">
      <c r="A122" s="110">
        <f t="shared" si="296"/>
        <v>1963</v>
      </c>
      <c r="B122" s="176">
        <f t="shared" si="248"/>
        <v>28002</v>
      </c>
      <c r="C122" s="177">
        <f t="shared" si="317"/>
        <v>326</v>
      </c>
      <c r="D122" s="176">
        <f t="shared" si="285"/>
        <v>27676</v>
      </c>
      <c r="E122" s="154">
        <f t="shared" si="251"/>
        <v>30511</v>
      </c>
      <c r="F122" s="995">
        <f t="shared" si="252"/>
        <v>2835</v>
      </c>
      <c r="G122" s="531">
        <f t="shared" si="297"/>
        <v>27849</v>
      </c>
      <c r="H122" s="531">
        <f t="shared" si="298"/>
        <v>27523</v>
      </c>
      <c r="I122" s="531">
        <f t="shared" si="299"/>
        <v>30358</v>
      </c>
      <c r="J122" s="548">
        <f t="shared" si="300"/>
        <v>1.0050398576981356</v>
      </c>
      <c r="K122" s="178">
        <f t="shared" si="242"/>
        <v>2920</v>
      </c>
      <c r="L122" s="2">
        <v>3489</v>
      </c>
      <c r="M122" s="2">
        <v>569</v>
      </c>
      <c r="N122" s="2">
        <v>2268</v>
      </c>
      <c r="O122" s="170">
        <f t="shared" si="286"/>
        <v>652</v>
      </c>
      <c r="P122" s="175">
        <v>0</v>
      </c>
      <c r="Q122" s="175">
        <f t="shared" si="243"/>
        <v>543</v>
      </c>
      <c r="R122" s="175">
        <f t="shared" si="287"/>
        <v>109</v>
      </c>
      <c r="S122" s="532">
        <f t="shared" si="229"/>
        <v>0.11898940505297473</v>
      </c>
      <c r="T122" s="1008">
        <f t="shared" si="253"/>
        <v>400.01369863013701</v>
      </c>
      <c r="U122" s="1010">
        <v>362</v>
      </c>
      <c r="V122" s="511">
        <f t="shared" si="288"/>
        <v>619.01369863013701</v>
      </c>
      <c r="W122" s="2">
        <v>581</v>
      </c>
      <c r="X122" s="169">
        <f t="shared" si="254"/>
        <v>219</v>
      </c>
      <c r="Y122" s="113">
        <f t="shared" si="255"/>
        <v>0.35378861644684428</v>
      </c>
      <c r="Z122" s="113">
        <f t="shared" si="256"/>
        <v>0.37693631669535282</v>
      </c>
      <c r="AA122" s="276">
        <f>X122/DataUK3!D122</f>
        <v>1.0127736786749416E-2</v>
      </c>
      <c r="AB122" s="1019">
        <f t="shared" si="257"/>
        <v>7.1777391760348723E-3</v>
      </c>
      <c r="AC122" s="2"/>
      <c r="AD122" s="2">
        <v>75</v>
      </c>
      <c r="AE122" s="2"/>
      <c r="AF122" s="2"/>
      <c r="AG122" s="2"/>
      <c r="AH122" s="2"/>
      <c r="AI122" s="1010">
        <f>AD122*DataUK3!BG122</f>
        <v>38.013698630136986</v>
      </c>
      <c r="AJ122" s="171">
        <f t="shared" si="249"/>
        <v>2666.5346966393504</v>
      </c>
      <c r="AK122" s="561"/>
      <c r="AL122" s="169">
        <f t="shared" si="301"/>
        <v>3044.5346966393504</v>
      </c>
      <c r="AM122" s="169"/>
      <c r="AN122" s="2">
        <v>1580</v>
      </c>
      <c r="AO122" s="1029">
        <f t="shared" si="258"/>
        <v>1958</v>
      </c>
      <c r="AP122" s="170">
        <v>1553</v>
      </c>
      <c r="AQ122" s="170"/>
      <c r="AR122" s="170"/>
      <c r="AS122" s="170">
        <v>2202</v>
      </c>
      <c r="AT122" s="170"/>
      <c r="AU122" s="170"/>
      <c r="AV122" s="83"/>
      <c r="AW122" s="175">
        <f t="shared" si="316"/>
        <v>4959</v>
      </c>
      <c r="AX122" s="170">
        <v>4113</v>
      </c>
      <c r="AY122" s="170">
        <v>846</v>
      </c>
      <c r="AZ122" s="358">
        <v>78</v>
      </c>
      <c r="BA122" s="358"/>
      <c r="BB122" s="203">
        <f t="shared" si="259"/>
        <v>0.39859220774638571</v>
      </c>
      <c r="BC122" s="203">
        <f t="shared" si="260"/>
        <v>0.88919164396003636</v>
      </c>
      <c r="BD122" s="203">
        <f t="shared" si="261"/>
        <v>1.2831188347186657</v>
      </c>
      <c r="BE122" s="203">
        <f t="shared" si="262"/>
        <v>1.0259352765664449</v>
      </c>
      <c r="BF122" s="170">
        <v>994</v>
      </c>
      <c r="BG122" s="113"/>
      <c r="BH122" s="203">
        <f t="shared" si="263"/>
        <v>1.0688705360943831</v>
      </c>
      <c r="BI122" s="273">
        <v>18219</v>
      </c>
      <c r="BJ122" s="2">
        <f t="shared" si="302"/>
        <v>18257</v>
      </c>
      <c r="BK122" s="83"/>
      <c r="BL122" s="170"/>
      <c r="BM122" s="1031">
        <f t="shared" si="303"/>
        <v>1086.5346966393504</v>
      </c>
      <c r="BN122" s="310"/>
      <c r="BO122" s="262">
        <f t="shared" si="289"/>
        <v>5.6424541104206839E-2</v>
      </c>
      <c r="BP122" s="262">
        <f t="shared" si="264"/>
        <v>6.9923576887365183E-2</v>
      </c>
      <c r="BQ122" s="262">
        <f t="shared" si="290"/>
        <v>3.8802039020046794E-2</v>
      </c>
      <c r="BR122" s="262">
        <f t="shared" si="304"/>
        <v>5.9637449730465468E-2</v>
      </c>
      <c r="BS122" s="988">
        <f t="shared" si="185"/>
        <v>0.55492068265543948</v>
      </c>
      <c r="BT122" s="519">
        <f t="shared" si="265"/>
        <v>378</v>
      </c>
      <c r="BU122" s="519"/>
      <c r="BV122" s="113">
        <f t="shared" si="266"/>
        <v>0.12415690332491459</v>
      </c>
      <c r="BW122" s="276">
        <f t="shared" si="305"/>
        <v>1.2388974468224574E-2</v>
      </c>
      <c r="BX122" s="273">
        <v>597</v>
      </c>
      <c r="BY122" s="113"/>
      <c r="BZ122" s="1013"/>
      <c r="CA122" s="1005">
        <f t="shared" si="291"/>
        <v>28002</v>
      </c>
      <c r="CB122" s="2">
        <f t="shared" si="221"/>
        <v>24540</v>
      </c>
      <c r="CC122" s="2">
        <f t="shared" si="222"/>
        <v>27460</v>
      </c>
      <c r="CD122" s="2"/>
      <c r="CE122" s="2"/>
      <c r="CF122" s="2">
        <v>30409</v>
      </c>
      <c r="CG122" s="2">
        <v>-51</v>
      </c>
      <c r="CH122" s="2">
        <f t="shared" si="267"/>
        <v>51</v>
      </c>
      <c r="CI122" s="2">
        <v>2835</v>
      </c>
      <c r="CJ122" s="2"/>
      <c r="CK122" s="2"/>
      <c r="CL122" s="171">
        <f t="shared" si="306"/>
        <v>18526.451604730511</v>
      </c>
      <c r="CM122" s="169">
        <f t="shared" si="307"/>
        <v>20370.451604730511</v>
      </c>
      <c r="CN122" s="170">
        <f t="shared" si="268"/>
        <v>6362.9863013698632</v>
      </c>
      <c r="CO122" s="170">
        <f t="shared" si="269"/>
        <v>6401</v>
      </c>
      <c r="CP122" s="170">
        <f t="shared" si="308"/>
        <v>14007.465303360648</v>
      </c>
      <c r="CQ122" s="170">
        <f t="shared" si="309"/>
        <v>1844</v>
      </c>
      <c r="CR122" s="170">
        <v>661</v>
      </c>
      <c r="CS122" s="113">
        <f t="shared" si="310"/>
        <v>6.0437219363508245E-2</v>
      </c>
      <c r="CT122" s="170">
        <f t="shared" si="270"/>
        <v>19803.465303360648</v>
      </c>
      <c r="CU122" s="2">
        <v>6313</v>
      </c>
      <c r="CV122" s="169">
        <f t="shared" si="271"/>
        <v>13490.465303360648</v>
      </c>
      <c r="CW122" s="2">
        <v>1821</v>
      </c>
      <c r="CX122" s="2"/>
      <c r="CY122" s="2"/>
      <c r="CZ122" s="170">
        <f t="shared" si="272"/>
        <v>566.98630136986299</v>
      </c>
      <c r="DA122" s="170">
        <f t="shared" si="273"/>
        <v>605</v>
      </c>
      <c r="DB122" s="170">
        <f t="shared" si="274"/>
        <v>49.986301369863014</v>
      </c>
      <c r="DC122" s="2">
        <v>88</v>
      </c>
      <c r="DD122" s="2">
        <v>517</v>
      </c>
      <c r="DE122" s="2">
        <v>23</v>
      </c>
      <c r="DF122" s="2"/>
      <c r="DG122" s="2"/>
      <c r="DH122" s="171">
        <f t="shared" si="318"/>
        <v>3163</v>
      </c>
      <c r="DI122" s="2">
        <f t="shared" ref="DI122:DI169" si="320">DJ122+DK122</f>
        <v>3557</v>
      </c>
      <c r="DJ122" s="2">
        <v>3163</v>
      </c>
      <c r="DK122" s="2">
        <v>394</v>
      </c>
      <c r="DL122" s="113">
        <f t="shared" si="275"/>
        <v>0.11295621741304193</v>
      </c>
      <c r="DM122" s="113">
        <f t="shared" si="311"/>
        <v>0.17324861696883387</v>
      </c>
      <c r="DN122" s="113">
        <f t="shared" ref="DN122:DN169" si="321">DJ122/(DR122+DS122)</f>
        <v>0.61026432568010802</v>
      </c>
      <c r="DO122" s="2">
        <v>109</v>
      </c>
      <c r="DP122" s="2">
        <v>0</v>
      </c>
      <c r="DQ122" s="273">
        <v>5080</v>
      </c>
      <c r="DR122" s="2">
        <v>3337</v>
      </c>
      <c r="DS122" s="2">
        <v>1846</v>
      </c>
      <c r="DT122" s="169">
        <f t="shared" si="245"/>
        <v>5183</v>
      </c>
      <c r="DU122" s="2">
        <v>19838</v>
      </c>
      <c r="DV122" s="2"/>
      <c r="DW122" s="2">
        <v>5456</v>
      </c>
      <c r="DX122" s="2">
        <v>4906</v>
      </c>
      <c r="DY122" s="2">
        <v>2774</v>
      </c>
      <c r="DZ122" s="2"/>
      <c r="EA122" s="2">
        <v>4906</v>
      </c>
      <c r="EB122" s="2">
        <v>2774</v>
      </c>
      <c r="EC122" s="175">
        <f t="shared" si="218"/>
        <v>2132</v>
      </c>
      <c r="ED122" s="175">
        <v>1024</v>
      </c>
      <c r="EE122" s="175">
        <f t="shared" si="312"/>
        <v>1108</v>
      </c>
      <c r="EF122" s="175">
        <f t="shared" si="315"/>
        <v>1158</v>
      </c>
      <c r="EG122" s="2"/>
      <c r="EH122" s="78">
        <f t="shared" si="313"/>
        <v>2071</v>
      </c>
      <c r="EI122" s="2">
        <v>5852</v>
      </c>
      <c r="EJ122" s="2">
        <v>5971</v>
      </c>
      <c r="EK122" s="2"/>
      <c r="EL122" s="2"/>
      <c r="EM122" s="2"/>
      <c r="EN122" s="2"/>
      <c r="EO122" s="2"/>
      <c r="EP122" s="2"/>
      <c r="EQ122" s="2"/>
      <c r="ER122" s="2"/>
      <c r="ES122" s="2"/>
      <c r="ET122" s="2">
        <f t="shared" si="276"/>
        <v>30358</v>
      </c>
      <c r="EU122" s="2">
        <f t="shared" si="277"/>
        <v>30511</v>
      </c>
      <c r="EV122" s="262">
        <f t="shared" si="292"/>
        <v>1.0050398576981356</v>
      </c>
      <c r="EW122" s="2">
        <v>30409</v>
      </c>
      <c r="EX122" s="1042">
        <v>51</v>
      </c>
      <c r="EY122" s="273">
        <f t="shared" si="278"/>
        <v>22275</v>
      </c>
      <c r="EZ122" s="2">
        <f t="shared" si="279"/>
        <v>8769</v>
      </c>
      <c r="FA122" s="1714"/>
      <c r="FB122" s="1714"/>
      <c r="FC122" s="2">
        <v>4272</v>
      </c>
      <c r="FD122" s="2">
        <v>1577</v>
      </c>
      <c r="FE122" s="1052">
        <v>2229</v>
      </c>
      <c r="FF122" s="1050"/>
      <c r="FG122" s="115"/>
      <c r="FH122" s="83"/>
      <c r="FI122" s="2">
        <v>170</v>
      </c>
      <c r="FJ122" s="2">
        <f t="shared" si="314"/>
        <v>170</v>
      </c>
      <c r="FK122" s="273">
        <f t="shared" si="224"/>
        <v>1142</v>
      </c>
      <c r="FL122" s="310">
        <v>1142</v>
      </c>
      <c r="FM122" s="310"/>
      <c r="FN122" s="115"/>
      <c r="FO122" s="115"/>
      <c r="FP122" s="115"/>
      <c r="FQ122" s="2">
        <v>36</v>
      </c>
      <c r="FR122" s="115"/>
      <c r="FS122" s="1051"/>
      <c r="FT122" s="310">
        <f t="shared" si="293"/>
        <v>3196</v>
      </c>
      <c r="FU122" s="310">
        <v>3196</v>
      </c>
      <c r="FV122" s="310"/>
      <c r="FW122" s="513">
        <f t="shared" si="280"/>
        <v>3196</v>
      </c>
      <c r="FX122" s="115"/>
      <c r="FY122" s="115"/>
      <c r="FZ122" s="115"/>
      <c r="GA122" s="2"/>
      <c r="GB122" s="115"/>
      <c r="GC122" s="115"/>
      <c r="GD122" s="115"/>
      <c r="GE122" s="115"/>
      <c r="GF122" s="115"/>
      <c r="GG122" s="115"/>
      <c r="GH122" s="2"/>
      <c r="GI122" s="115"/>
      <c r="GJ122" s="115"/>
      <c r="GK122" s="1055">
        <f t="shared" si="281"/>
        <v>1134</v>
      </c>
      <c r="GL122" s="115"/>
      <c r="GM122" s="115"/>
      <c r="GN122" s="115"/>
      <c r="GO122" s="310">
        <v>1134</v>
      </c>
      <c r="GP122" s="310">
        <f t="shared" si="246"/>
        <v>1158</v>
      </c>
      <c r="GQ122" s="2">
        <v>1158</v>
      </c>
      <c r="GR122" s="2">
        <v>36</v>
      </c>
      <c r="GS122" s="115"/>
      <c r="GT122" s="115"/>
      <c r="GU122" s="2">
        <f t="shared" si="225"/>
        <v>-60</v>
      </c>
      <c r="GV122" s="1063">
        <v>1371</v>
      </c>
      <c r="GW122" s="615">
        <v>969</v>
      </c>
      <c r="GX122" s="615">
        <v>558</v>
      </c>
      <c r="GY122" s="615">
        <f t="shared" ref="GY122:GY140" si="322">GV122-GX122</f>
        <v>813</v>
      </c>
      <c r="GZ122" s="310">
        <f t="shared" ref="GZ122:GZ144" si="323">HA122+HB122</f>
        <v>525</v>
      </c>
      <c r="HA122" s="2">
        <v>280</v>
      </c>
      <c r="HB122" s="2">
        <v>245</v>
      </c>
      <c r="HC122" s="1052"/>
      <c r="HD122" s="170">
        <f t="shared" si="294"/>
        <v>364</v>
      </c>
      <c r="HE122" s="2">
        <v>826</v>
      </c>
      <c r="HF122" s="2">
        <v>462</v>
      </c>
      <c r="HG122" s="170">
        <f t="shared" si="295"/>
        <v>-38</v>
      </c>
      <c r="HH122" s="2">
        <v>20</v>
      </c>
      <c r="HI122" s="2">
        <v>58</v>
      </c>
      <c r="HJ122" s="2">
        <f t="shared" si="282"/>
        <v>0</v>
      </c>
      <c r="HK122" s="2"/>
      <c r="HL122" s="2"/>
      <c r="HM122" s="2">
        <f t="shared" si="247"/>
        <v>0</v>
      </c>
      <c r="HN122" s="2">
        <f t="shared" si="283"/>
        <v>-37</v>
      </c>
      <c r="HO122" s="2">
        <f t="shared" si="284"/>
        <v>-37</v>
      </c>
      <c r="HP122" s="2">
        <v>30692</v>
      </c>
      <c r="HQ122" s="2">
        <v>30655</v>
      </c>
      <c r="HR122" s="115"/>
      <c r="HS122" s="1051"/>
      <c r="HT122" s="1002">
        <v>54</v>
      </c>
      <c r="HU122" s="1002">
        <v>6.5</v>
      </c>
      <c r="HV122" s="1002">
        <v>7.2</v>
      </c>
    </row>
    <row r="123" spans="1:230">
      <c r="A123" s="110">
        <f t="shared" si="296"/>
        <v>1964</v>
      </c>
      <c r="B123" s="176">
        <f t="shared" si="248"/>
        <v>30527</v>
      </c>
      <c r="C123" s="177">
        <f t="shared" si="317"/>
        <v>332</v>
      </c>
      <c r="D123" s="176">
        <f t="shared" si="285"/>
        <v>30195</v>
      </c>
      <c r="E123" s="154">
        <f t="shared" si="251"/>
        <v>33256</v>
      </c>
      <c r="F123" s="995">
        <f t="shared" si="252"/>
        <v>3061</v>
      </c>
      <c r="G123" s="531">
        <f t="shared" si="297"/>
        <v>30381</v>
      </c>
      <c r="H123" s="531">
        <f t="shared" si="298"/>
        <v>30049</v>
      </c>
      <c r="I123" s="531">
        <f t="shared" si="299"/>
        <v>33110</v>
      </c>
      <c r="J123" s="548">
        <f t="shared" si="300"/>
        <v>1.0044095439444276</v>
      </c>
      <c r="K123" s="178">
        <f t="shared" si="242"/>
        <v>3332</v>
      </c>
      <c r="L123" s="2">
        <v>3848</v>
      </c>
      <c r="M123" s="2">
        <v>516</v>
      </c>
      <c r="N123" s="2">
        <v>2633</v>
      </c>
      <c r="O123" s="170">
        <f t="shared" si="286"/>
        <v>699</v>
      </c>
      <c r="P123" s="175">
        <v>0</v>
      </c>
      <c r="Q123" s="175">
        <f t="shared" si="243"/>
        <v>585</v>
      </c>
      <c r="R123" s="175">
        <f t="shared" si="287"/>
        <v>114</v>
      </c>
      <c r="S123" s="532">
        <f t="shared" si="229"/>
        <v>0.12478466032506928</v>
      </c>
      <c r="T123" s="1008">
        <f t="shared" si="253"/>
        <v>470.35</v>
      </c>
      <c r="U123" s="1010">
        <v>421</v>
      </c>
      <c r="V123" s="511">
        <f t="shared" si="288"/>
        <v>700.35</v>
      </c>
      <c r="W123" s="2">
        <v>651</v>
      </c>
      <c r="X123" s="169">
        <f t="shared" si="254"/>
        <v>230</v>
      </c>
      <c r="Y123" s="113">
        <f t="shared" si="255"/>
        <v>0.32840722495894908</v>
      </c>
      <c r="Z123" s="113">
        <f t="shared" si="256"/>
        <v>0.35330261136712748</v>
      </c>
      <c r="AA123" s="276">
        <f>X123/DataUK3!D123</f>
        <v>9.255080583751912E-3</v>
      </c>
      <c r="AB123" s="1019">
        <f t="shared" si="257"/>
        <v>6.916045224921819E-3</v>
      </c>
      <c r="AC123" s="2"/>
      <c r="AD123" s="2">
        <v>94</v>
      </c>
      <c r="AE123" s="2"/>
      <c r="AF123" s="2"/>
      <c r="AG123" s="2"/>
      <c r="AH123" s="2"/>
      <c r="AI123" s="1010">
        <f>AD123*DataUK3!BG123</f>
        <v>49.35</v>
      </c>
      <c r="AJ123" s="171">
        <f t="shared" si="249"/>
        <v>2785.1366062702054</v>
      </c>
      <c r="AK123" s="561"/>
      <c r="AL123" s="169">
        <f t="shared" si="301"/>
        <v>3203.1366062702054</v>
      </c>
      <c r="AM123" s="169"/>
      <c r="AN123" s="2">
        <v>1642</v>
      </c>
      <c r="AO123" s="1029">
        <f t="shared" si="258"/>
        <v>2060</v>
      </c>
      <c r="AP123" s="170">
        <v>1676</v>
      </c>
      <c r="AQ123" s="170"/>
      <c r="AR123" s="170"/>
      <c r="AS123" s="170">
        <v>2326</v>
      </c>
      <c r="AT123" s="170"/>
      <c r="AU123" s="170"/>
      <c r="AV123" s="83"/>
      <c r="AW123" s="175">
        <f t="shared" si="316"/>
        <v>5547</v>
      </c>
      <c r="AX123" s="170">
        <v>4616</v>
      </c>
      <c r="AY123" s="170">
        <v>931</v>
      </c>
      <c r="AZ123" s="358">
        <v>91</v>
      </c>
      <c r="BA123" s="358"/>
      <c r="BB123" s="203">
        <f t="shared" si="259"/>
        <v>0.41786992840095466</v>
      </c>
      <c r="BC123" s="203">
        <f t="shared" si="260"/>
        <v>0.88564058469475493</v>
      </c>
      <c r="BD123" s="203">
        <f t="shared" si="261"/>
        <v>1.2541283576708129</v>
      </c>
      <c r="BE123" s="203">
        <f t="shared" si="262"/>
        <v>1.017593465284323</v>
      </c>
      <c r="BF123" s="170">
        <v>1136</v>
      </c>
      <c r="BG123" s="113"/>
      <c r="BH123" s="203">
        <f t="shared" si="263"/>
        <v>1.0409471794104443</v>
      </c>
      <c r="BI123" s="273">
        <v>19758</v>
      </c>
      <c r="BJ123" s="2">
        <f t="shared" si="302"/>
        <v>19791</v>
      </c>
      <c r="BK123" s="83"/>
      <c r="BL123" s="170"/>
      <c r="BM123" s="1031">
        <f t="shared" si="303"/>
        <v>1143.1366062702052</v>
      </c>
      <c r="BN123" s="310"/>
      <c r="BO123" s="262">
        <f t="shared" si="289"/>
        <v>5.3788449569233794E-2</v>
      </c>
      <c r="BP123" s="262">
        <f t="shared" si="264"/>
        <v>6.7481246110000989E-2</v>
      </c>
      <c r="BQ123" s="262">
        <f t="shared" si="290"/>
        <v>3.7446739157801459E-2</v>
      </c>
      <c r="BR123" s="262">
        <f t="shared" si="304"/>
        <v>5.7856898788855408E-2</v>
      </c>
      <c r="BS123" s="988">
        <f t="shared" si="185"/>
        <v>0.55492068265543948</v>
      </c>
      <c r="BT123" s="519">
        <f t="shared" si="265"/>
        <v>418</v>
      </c>
      <c r="BU123" s="519"/>
      <c r="BV123" s="113">
        <f t="shared" si="266"/>
        <v>0.13049708812972774</v>
      </c>
      <c r="BW123" s="276">
        <f t="shared" si="305"/>
        <v>1.2569160452249218E-2</v>
      </c>
      <c r="BX123" s="273">
        <v>648</v>
      </c>
      <c r="BY123" s="113"/>
      <c r="BZ123" s="1013"/>
      <c r="CA123" s="1005">
        <f t="shared" si="291"/>
        <v>30527</v>
      </c>
      <c r="CB123" s="2">
        <f t="shared" si="221"/>
        <v>26702</v>
      </c>
      <c r="CC123" s="2">
        <f t="shared" si="222"/>
        <v>30034</v>
      </c>
      <c r="CD123" s="2"/>
      <c r="CE123" s="2"/>
      <c r="CF123" s="2">
        <v>33227</v>
      </c>
      <c r="CG123" s="2">
        <v>36</v>
      </c>
      <c r="CH123" s="2">
        <f t="shared" si="267"/>
        <v>65</v>
      </c>
      <c r="CI123" s="2">
        <v>3061</v>
      </c>
      <c r="CJ123" s="2"/>
      <c r="CK123" s="2"/>
      <c r="CL123" s="171">
        <f t="shared" si="306"/>
        <v>20229.513393729794</v>
      </c>
      <c r="CM123" s="169">
        <f t="shared" si="307"/>
        <v>22226.513393729794</v>
      </c>
      <c r="CN123" s="170">
        <f t="shared" si="268"/>
        <v>6956.65</v>
      </c>
      <c r="CO123" s="170">
        <f t="shared" si="269"/>
        <v>7006</v>
      </c>
      <c r="CP123" s="170">
        <f t="shared" si="308"/>
        <v>15269.863393729796</v>
      </c>
      <c r="CQ123" s="170">
        <f t="shared" si="309"/>
        <v>1997</v>
      </c>
      <c r="CR123" s="170">
        <v>717</v>
      </c>
      <c r="CS123" s="113">
        <f t="shared" si="310"/>
        <v>6.0049314409429878E-2</v>
      </c>
      <c r="CT123" s="170">
        <f t="shared" si="270"/>
        <v>21653.863393729796</v>
      </c>
      <c r="CU123" s="2">
        <v>6962</v>
      </c>
      <c r="CV123" s="169">
        <f t="shared" si="271"/>
        <v>14691.863393729796</v>
      </c>
      <c r="CW123" s="2">
        <v>1970</v>
      </c>
      <c r="CX123" s="2"/>
      <c r="CY123" s="2"/>
      <c r="CZ123" s="170">
        <f t="shared" si="272"/>
        <v>572.65</v>
      </c>
      <c r="DA123" s="170">
        <f t="shared" si="273"/>
        <v>622</v>
      </c>
      <c r="DB123" s="170">
        <f t="shared" si="274"/>
        <v>-5.3500000000000014</v>
      </c>
      <c r="DC123" s="2">
        <v>44</v>
      </c>
      <c r="DD123" s="2">
        <v>578</v>
      </c>
      <c r="DE123" s="2">
        <v>27</v>
      </c>
      <c r="DF123" s="2"/>
      <c r="DG123" s="2"/>
      <c r="DH123" s="171">
        <f t="shared" si="318"/>
        <v>3378</v>
      </c>
      <c r="DI123" s="2">
        <f t="shared" si="320"/>
        <v>3794</v>
      </c>
      <c r="DJ123" s="2">
        <v>3378</v>
      </c>
      <c r="DK123" s="2">
        <v>416</v>
      </c>
      <c r="DL123" s="113">
        <f t="shared" si="275"/>
        <v>0.11065614046581715</v>
      </c>
      <c r="DM123" s="113">
        <f t="shared" si="311"/>
        <v>0.17068364408064271</v>
      </c>
      <c r="DN123" s="113">
        <f t="shared" si="321"/>
        <v>0.61129207383279049</v>
      </c>
      <c r="DO123" s="2">
        <v>114</v>
      </c>
      <c r="DP123" s="2">
        <v>0</v>
      </c>
      <c r="DQ123" s="273">
        <v>5395</v>
      </c>
      <c r="DR123" s="2">
        <v>3541</v>
      </c>
      <c r="DS123" s="2">
        <v>1985</v>
      </c>
      <c r="DT123" s="169">
        <f t="shared" si="245"/>
        <v>5526</v>
      </c>
      <c r="DU123" s="2">
        <v>21190</v>
      </c>
      <c r="DV123" s="2"/>
      <c r="DW123" s="2">
        <v>6979</v>
      </c>
      <c r="DX123" s="2">
        <v>5860</v>
      </c>
      <c r="DY123" s="2">
        <v>3280</v>
      </c>
      <c r="DZ123" s="2"/>
      <c r="EA123" s="2">
        <v>5860</v>
      </c>
      <c r="EB123" s="2">
        <v>3280</v>
      </c>
      <c r="EC123" s="175">
        <f t="shared" si="218"/>
        <v>2580</v>
      </c>
      <c r="ED123" s="175">
        <v>1187</v>
      </c>
      <c r="EE123" s="175">
        <f t="shared" si="312"/>
        <v>1393</v>
      </c>
      <c r="EF123" s="175">
        <f t="shared" si="315"/>
        <v>1433</v>
      </c>
      <c r="EG123" s="2"/>
      <c r="EH123" s="78">
        <f t="shared" si="313"/>
        <v>2799</v>
      </c>
      <c r="EI123" s="2">
        <v>6183</v>
      </c>
      <c r="EJ123" s="2">
        <v>6768</v>
      </c>
      <c r="EK123" s="2"/>
      <c r="EL123" s="2"/>
      <c r="EM123" s="2"/>
      <c r="EN123" s="2"/>
      <c r="EO123" s="2"/>
      <c r="EP123" s="2"/>
      <c r="EQ123" s="2"/>
      <c r="ER123" s="2"/>
      <c r="ES123" s="2"/>
      <c r="ET123" s="2">
        <f t="shared" si="276"/>
        <v>33110</v>
      </c>
      <c r="EU123" s="2">
        <f t="shared" si="277"/>
        <v>33256</v>
      </c>
      <c r="EV123" s="262">
        <f t="shared" si="292"/>
        <v>1.0044095439444276</v>
      </c>
      <c r="EW123" s="2">
        <v>33227</v>
      </c>
      <c r="EX123" s="1042">
        <v>118</v>
      </c>
      <c r="EY123" s="273">
        <f t="shared" si="278"/>
        <v>24104</v>
      </c>
      <c r="EZ123" s="2">
        <f t="shared" si="279"/>
        <v>9604</v>
      </c>
      <c r="FA123" s="1714"/>
      <c r="FB123" s="1714"/>
      <c r="FC123" s="2">
        <v>4532</v>
      </c>
      <c r="FD123" s="2">
        <v>1740</v>
      </c>
      <c r="FE123" s="1052">
        <v>2371</v>
      </c>
      <c r="FF123" s="1050"/>
      <c r="FG123" s="115"/>
      <c r="FH123" s="83"/>
      <c r="FI123" s="2">
        <v>-327</v>
      </c>
      <c r="FJ123" s="2">
        <f t="shared" si="314"/>
        <v>-327</v>
      </c>
      <c r="FK123" s="273">
        <f t="shared" si="224"/>
        <v>1474</v>
      </c>
      <c r="FL123" s="310">
        <v>1474</v>
      </c>
      <c r="FM123" s="310"/>
      <c r="FN123" s="115"/>
      <c r="FO123" s="115"/>
      <c r="FP123" s="115"/>
      <c r="FQ123" s="2">
        <v>-580</v>
      </c>
      <c r="FR123" s="115"/>
      <c r="FS123" s="1051"/>
      <c r="FT123" s="310">
        <f t="shared" si="293"/>
        <v>3462</v>
      </c>
      <c r="FU123" s="310">
        <v>3462</v>
      </c>
      <c r="FV123" s="310"/>
      <c r="FW123" s="513">
        <f>FU123</f>
        <v>3462</v>
      </c>
      <c r="FX123" s="115"/>
      <c r="FY123" s="115"/>
      <c r="FZ123" s="115"/>
      <c r="GA123" s="2"/>
      <c r="GB123" s="115"/>
      <c r="GC123" s="115"/>
      <c r="GD123" s="115"/>
      <c r="GE123" s="115"/>
      <c r="GF123" s="115"/>
      <c r="GG123" s="115"/>
      <c r="GH123" s="2"/>
      <c r="GI123" s="115"/>
      <c r="GJ123" s="115"/>
      <c r="GK123" s="1055">
        <f t="shared" si="281"/>
        <v>1514</v>
      </c>
      <c r="GL123" s="115"/>
      <c r="GM123" s="115"/>
      <c r="GN123" s="115"/>
      <c r="GO123" s="310">
        <v>1514</v>
      </c>
      <c r="GP123" s="310">
        <f t="shared" si="246"/>
        <v>1433</v>
      </c>
      <c r="GQ123" s="2">
        <v>1433</v>
      </c>
      <c r="GR123" s="2">
        <v>-580</v>
      </c>
      <c r="GS123" s="115"/>
      <c r="GT123" s="115"/>
      <c r="GU123" s="2">
        <f t="shared" si="225"/>
        <v>661</v>
      </c>
      <c r="GV123" s="1063">
        <v>1436</v>
      </c>
      <c r="GW123" s="615">
        <v>980</v>
      </c>
      <c r="GX123" s="615">
        <v>626</v>
      </c>
      <c r="GY123" s="615">
        <f t="shared" si="322"/>
        <v>810</v>
      </c>
      <c r="GZ123" s="310">
        <f t="shared" si="323"/>
        <v>841</v>
      </c>
      <c r="HA123" s="2">
        <v>587</v>
      </c>
      <c r="HB123" s="2">
        <v>254</v>
      </c>
      <c r="HC123" s="1052"/>
      <c r="HD123" s="170">
        <f t="shared" si="294"/>
        <v>365</v>
      </c>
      <c r="HE123" s="2">
        <v>883</v>
      </c>
      <c r="HF123" s="2">
        <v>518</v>
      </c>
      <c r="HG123" s="170">
        <f t="shared" si="295"/>
        <v>-33</v>
      </c>
      <c r="HH123" s="2">
        <v>25</v>
      </c>
      <c r="HI123" s="2">
        <v>58</v>
      </c>
      <c r="HJ123" s="2">
        <f t="shared" si="282"/>
        <v>0</v>
      </c>
      <c r="HK123" s="2"/>
      <c r="HL123" s="2"/>
      <c r="HM123" s="2">
        <f t="shared" si="247"/>
        <v>0</v>
      </c>
      <c r="HN123" s="2">
        <f t="shared" si="283"/>
        <v>-74</v>
      </c>
      <c r="HO123" s="2">
        <f t="shared" si="284"/>
        <v>-74</v>
      </c>
      <c r="HP123" s="2">
        <v>33494</v>
      </c>
      <c r="HQ123" s="2">
        <v>33420</v>
      </c>
      <c r="HR123" s="115"/>
      <c r="HS123" s="1051"/>
      <c r="HT123" s="1002">
        <v>55.8</v>
      </c>
      <c r="HU123" s="1002">
        <v>6.7</v>
      </c>
      <c r="HV123" s="1002">
        <v>7.5</v>
      </c>
    </row>
    <row r="124" spans="1:230">
      <c r="A124" s="110">
        <f t="shared" si="296"/>
        <v>1965</v>
      </c>
      <c r="B124" s="176">
        <f t="shared" si="248"/>
        <v>33006</v>
      </c>
      <c r="C124" s="177">
        <f t="shared" si="317"/>
        <v>371</v>
      </c>
      <c r="D124" s="176">
        <f t="shared" si="285"/>
        <v>32635</v>
      </c>
      <c r="E124" s="154">
        <f t="shared" si="251"/>
        <v>35948</v>
      </c>
      <c r="F124" s="995">
        <f t="shared" si="252"/>
        <v>3313</v>
      </c>
      <c r="G124" s="531">
        <f t="shared" si="297"/>
        <v>32777</v>
      </c>
      <c r="H124" s="531">
        <f t="shared" si="298"/>
        <v>32406</v>
      </c>
      <c r="I124" s="531">
        <f t="shared" si="299"/>
        <v>35719</v>
      </c>
      <c r="J124" s="548">
        <f t="shared" si="300"/>
        <v>1.0064111537277078</v>
      </c>
      <c r="K124" s="178">
        <f t="shared" si="242"/>
        <v>3718</v>
      </c>
      <c r="L124" s="2">
        <v>4289</v>
      </c>
      <c r="M124" s="2">
        <v>571</v>
      </c>
      <c r="N124" s="2">
        <v>2977</v>
      </c>
      <c r="O124" s="170">
        <f t="shared" si="286"/>
        <v>741</v>
      </c>
      <c r="P124" s="175">
        <v>0</v>
      </c>
      <c r="Q124" s="175">
        <f t="shared" si="243"/>
        <v>617</v>
      </c>
      <c r="R124" s="175">
        <f t="shared" si="287"/>
        <v>124</v>
      </c>
      <c r="S124" s="532">
        <f t="shared" si="229"/>
        <v>0.12957864287456872</v>
      </c>
      <c r="T124" s="1008">
        <f t="shared" si="253"/>
        <v>559.17592592592598</v>
      </c>
      <c r="U124" s="1010">
        <v>507</v>
      </c>
      <c r="V124" s="511">
        <f t="shared" si="288"/>
        <v>798.17592592592598</v>
      </c>
      <c r="W124" s="2">
        <v>746</v>
      </c>
      <c r="X124" s="169">
        <f t="shared" si="254"/>
        <v>239</v>
      </c>
      <c r="Y124" s="113">
        <f t="shared" si="255"/>
        <v>0.29943273435959306</v>
      </c>
      <c r="Z124" s="113">
        <f t="shared" si="256"/>
        <v>0.32037533512064342</v>
      </c>
      <c r="AA124" s="276">
        <f>X124/DataUK3!D124</f>
        <v>8.6780527165142545E-3</v>
      </c>
      <c r="AB124" s="1019">
        <f t="shared" si="257"/>
        <v>6.6484922666073219E-3</v>
      </c>
      <c r="AC124" s="2"/>
      <c r="AD124" s="2">
        <v>115</v>
      </c>
      <c r="AE124" s="2"/>
      <c r="AF124" s="2"/>
      <c r="AG124" s="2"/>
      <c r="AH124" s="2"/>
      <c r="AI124" s="1010">
        <f>AD124*DataUK3!BG124</f>
        <v>52.175925925925931</v>
      </c>
      <c r="AJ124" s="171">
        <f t="shared" si="249"/>
        <v>3049.3461393880161</v>
      </c>
      <c r="AK124" s="561"/>
      <c r="AL124" s="169">
        <f t="shared" si="301"/>
        <v>3506.3461393880161</v>
      </c>
      <c r="AM124" s="169"/>
      <c r="AN124" s="2">
        <v>1798</v>
      </c>
      <c r="AO124" s="1029">
        <f t="shared" si="258"/>
        <v>2255</v>
      </c>
      <c r="AP124" s="170">
        <v>1831</v>
      </c>
      <c r="AQ124" s="170"/>
      <c r="AR124" s="170"/>
      <c r="AS124" s="170">
        <v>2518</v>
      </c>
      <c r="AT124" s="170"/>
      <c r="AU124" s="170"/>
      <c r="AV124" s="83"/>
      <c r="AW124" s="175">
        <f t="shared" si="316"/>
        <v>5815</v>
      </c>
      <c r="AX124" s="170">
        <v>4820</v>
      </c>
      <c r="AY124" s="170">
        <v>995</v>
      </c>
      <c r="AZ124" s="358">
        <v>96</v>
      </c>
      <c r="BA124" s="358"/>
      <c r="BB124" s="203">
        <f t="shared" si="259"/>
        <v>0.4359234985941704</v>
      </c>
      <c r="BC124" s="203">
        <f t="shared" si="260"/>
        <v>0.89555202541699763</v>
      </c>
      <c r="BD124" s="203">
        <f t="shared" si="261"/>
        <v>1.2663497977771407</v>
      </c>
      <c r="BE124" s="203">
        <f t="shared" si="262"/>
        <v>1.024891774891775</v>
      </c>
      <c r="BF124" s="170">
        <v>1320</v>
      </c>
      <c r="BG124" s="113"/>
      <c r="BH124" s="203">
        <f t="shared" si="263"/>
        <v>1.032070648083262</v>
      </c>
      <c r="BI124" s="273">
        <v>21341</v>
      </c>
      <c r="BJ124" s="2">
        <f t="shared" si="302"/>
        <v>21375</v>
      </c>
      <c r="BK124" s="83"/>
      <c r="BL124" s="170"/>
      <c r="BM124" s="1031">
        <f t="shared" si="303"/>
        <v>1251.3461393880161</v>
      </c>
      <c r="BN124" s="310"/>
      <c r="BO124" s="262">
        <f t="shared" si="289"/>
        <v>5.4474943949584922E-2</v>
      </c>
      <c r="BP124" s="262">
        <f t="shared" si="264"/>
        <v>6.8320911349451618E-2</v>
      </c>
      <c r="BQ124" s="262">
        <f t="shared" si="290"/>
        <v>3.7912686765679458E-2</v>
      </c>
      <c r="BR124" s="262">
        <f t="shared" si="304"/>
        <v>5.863577805107615E-2</v>
      </c>
      <c r="BS124" s="988">
        <f t="shared" si="185"/>
        <v>0.55492068265543948</v>
      </c>
      <c r="BT124" s="519">
        <f t="shared" si="265"/>
        <v>457</v>
      </c>
      <c r="BU124" s="519"/>
      <c r="BV124" s="113">
        <f t="shared" si="266"/>
        <v>0.13033510721213706</v>
      </c>
      <c r="BW124" s="276">
        <f t="shared" si="305"/>
        <v>1.2712807388449984E-2</v>
      </c>
      <c r="BX124" s="273">
        <v>696</v>
      </c>
      <c r="BY124" s="113"/>
      <c r="BZ124" s="1013"/>
      <c r="CA124" s="1005">
        <f t="shared" si="291"/>
        <v>33006</v>
      </c>
      <c r="CB124" s="2">
        <f t="shared" si="221"/>
        <v>28693</v>
      </c>
      <c r="CC124" s="2">
        <f t="shared" si="222"/>
        <v>32411</v>
      </c>
      <c r="CD124" s="2"/>
      <c r="CE124" s="2"/>
      <c r="CF124" s="2">
        <v>35889</v>
      </c>
      <c r="CG124" s="2">
        <v>17</v>
      </c>
      <c r="CH124" s="2">
        <f t="shared" si="267"/>
        <v>76</v>
      </c>
      <c r="CI124" s="2">
        <v>3313</v>
      </c>
      <c r="CJ124" s="2"/>
      <c r="CK124" s="2"/>
      <c r="CL124" s="171">
        <f t="shared" si="306"/>
        <v>21661.477934686056</v>
      </c>
      <c r="CM124" s="169">
        <f t="shared" si="307"/>
        <v>23840.477934686056</v>
      </c>
      <c r="CN124" s="170">
        <f t="shared" si="268"/>
        <v>7363.8240740740739</v>
      </c>
      <c r="CO124" s="170">
        <f t="shared" si="269"/>
        <v>7416</v>
      </c>
      <c r="CP124" s="170">
        <f t="shared" si="308"/>
        <v>16476.653860611983</v>
      </c>
      <c r="CQ124" s="170">
        <f t="shared" si="309"/>
        <v>2179</v>
      </c>
      <c r="CR124" s="170">
        <v>774</v>
      </c>
      <c r="CS124" s="113">
        <f t="shared" si="310"/>
        <v>6.061533325915211E-2</v>
      </c>
      <c r="CT124" s="170">
        <f t="shared" si="270"/>
        <v>23181.653860611983</v>
      </c>
      <c r="CU124" s="2">
        <v>7333</v>
      </c>
      <c r="CV124" s="169">
        <f t="shared" si="271"/>
        <v>15848.653860611983</v>
      </c>
      <c r="CW124" s="2">
        <v>2146</v>
      </c>
      <c r="CX124" s="2"/>
      <c r="CY124" s="2"/>
      <c r="CZ124" s="170">
        <f t="shared" si="272"/>
        <v>658.82407407407402</v>
      </c>
      <c r="DA124" s="170">
        <f t="shared" si="273"/>
        <v>711</v>
      </c>
      <c r="DB124" s="170">
        <f t="shared" si="274"/>
        <v>30.824074074074069</v>
      </c>
      <c r="DC124" s="2">
        <v>83</v>
      </c>
      <c r="DD124" s="2">
        <v>628</v>
      </c>
      <c r="DE124" s="2">
        <v>33</v>
      </c>
      <c r="DF124" s="2"/>
      <c r="DG124" s="2"/>
      <c r="DH124" s="171">
        <f t="shared" si="318"/>
        <v>3647</v>
      </c>
      <c r="DI124" s="2">
        <f t="shared" si="320"/>
        <v>4085</v>
      </c>
      <c r="DJ124" s="2">
        <v>3647</v>
      </c>
      <c r="DK124" s="2">
        <v>438</v>
      </c>
      <c r="DL124" s="113">
        <f t="shared" si="275"/>
        <v>0.11049506150396897</v>
      </c>
      <c r="DM124" s="113">
        <f t="shared" si="311"/>
        <v>0.17061988304093567</v>
      </c>
      <c r="DN124" s="113">
        <f t="shared" si="321"/>
        <v>0.5840807174887892</v>
      </c>
      <c r="DO124" s="2">
        <v>124</v>
      </c>
      <c r="DP124" s="2">
        <v>0</v>
      </c>
      <c r="DQ124" s="273">
        <v>5919</v>
      </c>
      <c r="DR124" s="2">
        <v>4039</v>
      </c>
      <c r="DS124" s="2">
        <v>2205</v>
      </c>
      <c r="DT124" s="169">
        <f t="shared" si="245"/>
        <v>6244</v>
      </c>
      <c r="DU124" s="2">
        <v>22539</v>
      </c>
      <c r="DV124" s="2"/>
      <c r="DW124" s="2">
        <v>7265</v>
      </c>
      <c r="DX124" s="2">
        <v>6331</v>
      </c>
      <c r="DY124" s="2">
        <v>3533</v>
      </c>
      <c r="DZ124" s="2"/>
      <c r="EA124" s="2">
        <v>6331</v>
      </c>
      <c r="EB124" s="2">
        <v>3533</v>
      </c>
      <c r="EC124" s="175">
        <f t="shared" si="218"/>
        <v>2798</v>
      </c>
      <c r="ED124" s="175">
        <v>1293</v>
      </c>
      <c r="EE124" s="175">
        <f t="shared" si="312"/>
        <v>1505</v>
      </c>
      <c r="EF124" s="175">
        <f t="shared" si="315"/>
        <v>1525</v>
      </c>
      <c r="EG124" s="2"/>
      <c r="EH124" s="78">
        <f t="shared" si="313"/>
        <v>3018</v>
      </c>
      <c r="EI124" s="2">
        <v>6596</v>
      </c>
      <c r="EJ124" s="2">
        <v>6925</v>
      </c>
      <c r="EK124" s="2"/>
      <c r="EL124" s="2"/>
      <c r="EM124" s="2"/>
      <c r="EN124" s="2"/>
      <c r="EO124" s="2"/>
      <c r="EP124" s="2"/>
      <c r="EQ124" s="2"/>
      <c r="ER124" s="2"/>
      <c r="ES124" s="2"/>
      <c r="ET124" s="2">
        <f t="shared" si="276"/>
        <v>35719</v>
      </c>
      <c r="EU124" s="2">
        <f t="shared" si="277"/>
        <v>35948</v>
      </c>
      <c r="EV124" s="262">
        <f t="shared" si="292"/>
        <v>1.0064111537277078</v>
      </c>
      <c r="EW124" s="2">
        <v>35889</v>
      </c>
      <c r="EX124" s="1042">
        <v>169</v>
      </c>
      <c r="EY124" s="273">
        <f t="shared" si="278"/>
        <v>25747</v>
      </c>
      <c r="EZ124" s="2">
        <f t="shared" si="279"/>
        <v>10846</v>
      </c>
      <c r="FA124" s="1714"/>
      <c r="FB124" s="1714"/>
      <c r="FC124" s="2">
        <v>5108</v>
      </c>
      <c r="FD124" s="2">
        <v>2020</v>
      </c>
      <c r="FE124" s="1052">
        <v>2739</v>
      </c>
      <c r="FF124" s="1050"/>
      <c r="FG124" s="115"/>
      <c r="FH124" s="83"/>
      <c r="FI124" s="2">
        <v>-33</v>
      </c>
      <c r="FJ124" s="2">
        <f t="shared" si="314"/>
        <v>-33</v>
      </c>
      <c r="FK124" s="273">
        <f t="shared" si="224"/>
        <v>1652</v>
      </c>
      <c r="FL124" s="310">
        <v>1652</v>
      </c>
      <c r="FM124" s="310"/>
      <c r="FN124" s="115"/>
      <c r="FO124" s="115"/>
      <c r="FP124" s="115"/>
      <c r="FQ124" s="2">
        <v>-99</v>
      </c>
      <c r="FR124" s="115"/>
      <c r="FS124" s="1051"/>
      <c r="FT124" s="310">
        <f>FW124</f>
        <v>3679</v>
      </c>
      <c r="FU124" s="310">
        <v>3695</v>
      </c>
      <c r="FV124" s="310"/>
      <c r="FW124" s="2">
        <v>3679</v>
      </c>
      <c r="FX124" s="115"/>
      <c r="FY124" s="115"/>
      <c r="FZ124" s="115"/>
      <c r="GA124" s="2"/>
      <c r="GB124" s="115"/>
      <c r="GC124" s="115"/>
      <c r="GD124" s="2"/>
      <c r="GE124" s="115"/>
      <c r="GF124" s="115"/>
      <c r="GG124" s="115"/>
      <c r="GH124" s="2"/>
      <c r="GI124" s="115"/>
      <c r="GJ124" s="115"/>
      <c r="GK124" s="1055">
        <f t="shared" si="281"/>
        <v>1680</v>
      </c>
      <c r="GL124" s="115"/>
      <c r="GM124" s="115"/>
      <c r="GN124" s="115"/>
      <c r="GO124" s="310">
        <v>1680</v>
      </c>
      <c r="GP124" s="310">
        <f t="shared" si="246"/>
        <v>1525</v>
      </c>
      <c r="GQ124" s="2">
        <v>1525</v>
      </c>
      <c r="GR124" s="2">
        <v>-99</v>
      </c>
      <c r="GS124" s="115"/>
      <c r="GT124" s="115"/>
      <c r="GU124" s="2">
        <f t="shared" si="225"/>
        <v>254</v>
      </c>
      <c r="GV124" s="1063">
        <v>1546</v>
      </c>
      <c r="GW124" s="615">
        <v>1011</v>
      </c>
      <c r="GX124" s="615">
        <v>698</v>
      </c>
      <c r="GY124" s="615">
        <f t="shared" si="322"/>
        <v>848</v>
      </c>
      <c r="GZ124" s="310">
        <f t="shared" si="323"/>
        <v>1057</v>
      </c>
      <c r="HA124" s="2">
        <v>790</v>
      </c>
      <c r="HB124" s="2">
        <v>267</v>
      </c>
      <c r="HC124" s="1052"/>
      <c r="HD124" s="170">
        <f t="shared" si="294"/>
        <v>405</v>
      </c>
      <c r="HE124" s="2">
        <v>987</v>
      </c>
      <c r="HF124" s="2">
        <v>582</v>
      </c>
      <c r="HG124" s="170">
        <f t="shared" si="295"/>
        <v>-34</v>
      </c>
      <c r="HH124" s="2">
        <v>24</v>
      </c>
      <c r="HI124" s="2">
        <v>58</v>
      </c>
      <c r="HJ124" s="2">
        <f t="shared" si="282"/>
        <v>0</v>
      </c>
      <c r="HK124" s="2"/>
      <c r="HL124" s="2"/>
      <c r="HM124" s="2">
        <f t="shared" si="247"/>
        <v>0</v>
      </c>
      <c r="HN124" s="2">
        <f t="shared" si="283"/>
        <v>-75</v>
      </c>
      <c r="HO124" s="2">
        <f t="shared" si="284"/>
        <v>-75</v>
      </c>
      <c r="HP124" s="2">
        <v>36173</v>
      </c>
      <c r="HQ124" s="2">
        <v>36098</v>
      </c>
      <c r="HR124" s="115"/>
      <c r="HS124" s="1051"/>
      <c r="HT124" s="1002">
        <v>58.4</v>
      </c>
      <c r="HU124" s="1002">
        <v>7.1</v>
      </c>
      <c r="HV124" s="1002">
        <v>7.9</v>
      </c>
    </row>
    <row r="125" spans="1:230">
      <c r="A125" s="110">
        <f t="shared" si="296"/>
        <v>1966</v>
      </c>
      <c r="B125" s="176">
        <f t="shared" si="248"/>
        <v>34913</v>
      </c>
      <c r="C125" s="177">
        <f t="shared" si="317"/>
        <v>319</v>
      </c>
      <c r="D125" s="176">
        <f t="shared" si="285"/>
        <v>34594</v>
      </c>
      <c r="E125" s="154">
        <f t="shared" si="251"/>
        <v>38176</v>
      </c>
      <c r="F125" s="995">
        <f t="shared" si="252"/>
        <v>3582</v>
      </c>
      <c r="G125" s="531">
        <f t="shared" si="297"/>
        <v>34828</v>
      </c>
      <c r="H125" s="531">
        <f t="shared" si="298"/>
        <v>34509</v>
      </c>
      <c r="I125" s="531">
        <f t="shared" si="299"/>
        <v>38091</v>
      </c>
      <c r="J125" s="548">
        <f t="shared" si="300"/>
        <v>1.0022314982541807</v>
      </c>
      <c r="K125" s="178">
        <f t="shared" si="242"/>
        <v>4110</v>
      </c>
      <c r="L125" s="2">
        <v>4669</v>
      </c>
      <c r="M125" s="2">
        <v>559</v>
      </c>
      <c r="N125" s="2">
        <v>3282</v>
      </c>
      <c r="O125" s="170">
        <f t="shared" si="286"/>
        <v>828</v>
      </c>
      <c r="P125" s="175">
        <v>0</v>
      </c>
      <c r="Q125" s="175">
        <f t="shared" si="243"/>
        <v>692</v>
      </c>
      <c r="R125" s="175">
        <f t="shared" si="287"/>
        <v>136</v>
      </c>
      <c r="S125" s="532"/>
      <c r="T125" s="1008">
        <f t="shared" si="253"/>
        <v>618.7037037037037</v>
      </c>
      <c r="U125" s="1010">
        <v>557</v>
      </c>
      <c r="V125" s="511">
        <f t="shared" si="288"/>
        <v>881.7037037037037</v>
      </c>
      <c r="W125" s="2">
        <v>820</v>
      </c>
      <c r="X125" s="169">
        <f t="shared" si="254"/>
        <v>263</v>
      </c>
      <c r="Y125" s="113">
        <f t="shared" si="255"/>
        <v>0.29828614634965978</v>
      </c>
      <c r="Z125" s="113">
        <f t="shared" si="256"/>
        <v>0.32073170731707318</v>
      </c>
      <c r="AA125" s="276">
        <f>X125/DataUK3!D125</f>
        <v>9.0209194722393696E-3</v>
      </c>
      <c r="AB125" s="1019">
        <f t="shared" si="257"/>
        <v>6.8891450125733444E-3</v>
      </c>
      <c r="AC125" s="2"/>
      <c r="AD125" s="2">
        <v>119</v>
      </c>
      <c r="AE125" s="2"/>
      <c r="AF125" s="2"/>
      <c r="AG125" s="2"/>
      <c r="AH125" s="2"/>
      <c r="AI125" s="1010">
        <f>AD125*DataUK3!BG125</f>
        <v>61.703703703703702</v>
      </c>
      <c r="AJ125" s="171">
        <f t="shared" si="249"/>
        <v>3254.9194797383657</v>
      </c>
      <c r="AK125" s="561"/>
      <c r="AL125" s="169">
        <f t="shared" si="301"/>
        <v>3734.9194797383657</v>
      </c>
      <c r="AM125" s="169"/>
      <c r="AN125" s="2">
        <v>1922</v>
      </c>
      <c r="AO125" s="1029">
        <f t="shared" si="258"/>
        <v>2402</v>
      </c>
      <c r="AP125" s="170"/>
      <c r="AQ125" s="170"/>
      <c r="AR125" s="170"/>
      <c r="AS125" s="170"/>
      <c r="AT125" s="170"/>
      <c r="AU125" s="170"/>
      <c r="AV125" s="170"/>
      <c r="AW125" s="170"/>
      <c r="AX125" s="170"/>
      <c r="AY125" s="170"/>
      <c r="AZ125" s="83"/>
      <c r="BA125" s="83"/>
      <c r="BB125" s="83"/>
      <c r="BC125" s="170"/>
      <c r="BD125" s="170"/>
      <c r="BE125" s="170"/>
      <c r="BF125" s="170"/>
      <c r="BG125" s="170"/>
      <c r="BH125" s="170"/>
      <c r="BI125" s="273">
        <v>22875</v>
      </c>
      <c r="BJ125" s="2">
        <f t="shared" si="302"/>
        <v>22914</v>
      </c>
      <c r="BK125" s="170"/>
      <c r="BL125" s="170"/>
      <c r="BM125" s="1031">
        <f t="shared" si="303"/>
        <v>1332.9194797383657</v>
      </c>
      <c r="BN125" s="254"/>
      <c r="BO125" s="262">
        <f t="shared" si="289"/>
        <v>5.505112708733137E-2</v>
      </c>
      <c r="BP125" s="262">
        <f t="shared" si="264"/>
        <v>6.8799587546186231E-2</v>
      </c>
      <c r="BQ125" s="262">
        <f t="shared" si="290"/>
        <v>3.8178314087542339E-2</v>
      </c>
      <c r="BR125" s="262">
        <f t="shared" si="304"/>
        <v>5.8269704032278283E-2</v>
      </c>
      <c r="BS125" s="988">
        <f t="shared" si="185"/>
        <v>0.55492068265543948</v>
      </c>
      <c r="BT125" s="519">
        <f t="shared" si="265"/>
        <v>480</v>
      </c>
      <c r="BU125" s="519"/>
      <c r="BV125" s="113">
        <f t="shared" si="266"/>
        <v>0.12851682682959056</v>
      </c>
      <c r="BW125" s="276">
        <f t="shared" si="305"/>
        <v>1.2573344509639563E-2</v>
      </c>
      <c r="BX125" s="273">
        <v>743</v>
      </c>
      <c r="BY125" s="113"/>
      <c r="BZ125" s="1013"/>
      <c r="CA125" s="1005">
        <f t="shared" si="291"/>
        <v>34913</v>
      </c>
      <c r="CB125" s="2"/>
      <c r="CC125" s="2"/>
      <c r="CD125" s="2"/>
      <c r="CE125" s="2"/>
      <c r="CF125" s="2">
        <v>38189</v>
      </c>
      <c r="CG125" s="2">
        <v>97</v>
      </c>
      <c r="CH125" s="2">
        <f t="shared" si="267"/>
        <v>84</v>
      </c>
      <c r="CI125" s="2">
        <v>3582</v>
      </c>
      <c r="CJ125" s="2"/>
      <c r="CK125" s="2"/>
      <c r="CL125" s="171">
        <f t="shared" si="306"/>
        <v>22676.376816557931</v>
      </c>
      <c r="CM125" s="169">
        <f t="shared" si="307"/>
        <v>25052.376816557931</v>
      </c>
      <c r="CN125" s="170">
        <f t="shared" si="268"/>
        <v>7405.2962962962965</v>
      </c>
      <c r="CO125" s="170">
        <f t="shared" si="269"/>
        <v>7467</v>
      </c>
      <c r="CP125" s="170">
        <f t="shared" si="308"/>
        <v>17647.080520261636</v>
      </c>
      <c r="CQ125" s="170">
        <f t="shared" si="309"/>
        <v>2376</v>
      </c>
      <c r="CR125" s="170">
        <v>850</v>
      </c>
      <c r="CS125" s="113">
        <f t="shared" si="310"/>
        <v>6.2238055322715841E-2</v>
      </c>
      <c r="CT125" s="170">
        <f t="shared" si="270"/>
        <v>24373.080520261636</v>
      </c>
      <c r="CU125" s="2">
        <v>7399</v>
      </c>
      <c r="CV125" s="169">
        <f t="shared" si="271"/>
        <v>16974.080520261636</v>
      </c>
      <c r="CW125" s="2">
        <v>2338</v>
      </c>
      <c r="CX125" s="2"/>
      <c r="CY125" s="2"/>
      <c r="CZ125" s="170">
        <f t="shared" si="272"/>
        <v>679.2962962962963</v>
      </c>
      <c r="DA125" s="170">
        <f t="shared" si="273"/>
        <v>741</v>
      </c>
      <c r="DB125" s="170">
        <f t="shared" si="274"/>
        <v>6.2962962962962976</v>
      </c>
      <c r="DC125" s="2">
        <v>68</v>
      </c>
      <c r="DD125" s="2">
        <v>673</v>
      </c>
      <c r="DE125" s="2">
        <v>38</v>
      </c>
      <c r="DF125" s="2"/>
      <c r="DG125" s="2"/>
      <c r="DH125" s="171">
        <f t="shared" si="318"/>
        <v>3934</v>
      </c>
      <c r="DI125" s="2">
        <f t="shared" si="320"/>
        <v>4397</v>
      </c>
      <c r="DJ125" s="2">
        <v>3934</v>
      </c>
      <c r="DK125" s="2">
        <v>463</v>
      </c>
      <c r="DL125" s="113">
        <f t="shared" si="275"/>
        <v>0.11268009051069802</v>
      </c>
      <c r="DM125" s="113">
        <f t="shared" si="311"/>
        <v>0.17168543248668935</v>
      </c>
      <c r="DN125" s="113">
        <f t="shared" si="321"/>
        <v>0.57929612722721247</v>
      </c>
      <c r="DO125" s="2">
        <v>136</v>
      </c>
      <c r="DP125" s="2">
        <v>0</v>
      </c>
      <c r="DQ125" s="274"/>
      <c r="DR125" s="2">
        <v>4324</v>
      </c>
      <c r="DS125" s="2">
        <v>2467</v>
      </c>
      <c r="DT125" s="169">
        <f t="shared" si="245"/>
        <v>6791</v>
      </c>
      <c r="DU125" s="2">
        <v>23818</v>
      </c>
      <c r="DV125" s="2"/>
      <c r="DW125" s="2">
        <v>7549</v>
      </c>
      <c r="DX125" s="2"/>
      <c r="DY125" s="2"/>
      <c r="DZ125" s="2"/>
      <c r="EA125" s="2"/>
      <c r="EB125" s="2"/>
      <c r="EC125" s="2"/>
      <c r="ED125" s="175">
        <v>1463</v>
      </c>
      <c r="EE125" s="2"/>
      <c r="EF125" s="175">
        <f t="shared" si="315"/>
        <v>1719</v>
      </c>
      <c r="EG125" s="2"/>
      <c r="EH125" s="2"/>
      <c r="EI125" s="2">
        <v>7148</v>
      </c>
      <c r="EJ125" s="2">
        <v>7215</v>
      </c>
      <c r="EK125" s="2"/>
      <c r="EL125" s="2"/>
      <c r="EM125" s="2"/>
      <c r="EN125" s="2"/>
      <c r="EO125" s="2"/>
      <c r="EP125" s="2"/>
      <c r="EQ125" s="2"/>
      <c r="ER125" s="2"/>
      <c r="ES125" s="2"/>
      <c r="ET125" s="2">
        <f t="shared" si="276"/>
        <v>38091</v>
      </c>
      <c r="EU125" s="2">
        <f t="shared" si="277"/>
        <v>38176</v>
      </c>
      <c r="EV125" s="262">
        <f t="shared" si="292"/>
        <v>1.0022314982541807</v>
      </c>
      <c r="EW125" s="2">
        <v>38189</v>
      </c>
      <c r="EX125" s="1042">
        <v>98</v>
      </c>
      <c r="EY125" s="273">
        <f t="shared" si="278"/>
        <v>26725</v>
      </c>
      <c r="EZ125" s="2">
        <f t="shared" si="279"/>
        <v>12029</v>
      </c>
      <c r="FA125" s="1714"/>
      <c r="FB125" s="1714"/>
      <c r="FC125" s="2">
        <v>5747</v>
      </c>
      <c r="FD125" s="2">
        <v>2172</v>
      </c>
      <c r="FE125" s="1052">
        <v>2962</v>
      </c>
      <c r="FF125" s="1050"/>
      <c r="FG125" s="115"/>
      <c r="FH125" s="83"/>
      <c r="FI125" s="2">
        <v>161</v>
      </c>
      <c r="FJ125" s="2">
        <f t="shared" si="314"/>
        <v>161</v>
      </c>
      <c r="FK125" s="273">
        <f t="shared" si="224"/>
        <v>1829</v>
      </c>
      <c r="FL125" s="310">
        <v>1829</v>
      </c>
      <c r="FM125" s="310"/>
      <c r="FN125" s="115"/>
      <c r="FO125" s="115"/>
      <c r="FP125" s="115"/>
      <c r="FQ125" s="2">
        <v>-841</v>
      </c>
      <c r="FR125" s="115"/>
      <c r="FS125" s="1051"/>
      <c r="FT125" s="310">
        <f t="shared" ref="FT125:FT145" si="324">FW125</f>
        <v>3438</v>
      </c>
      <c r="FU125" s="310">
        <v>3460</v>
      </c>
      <c r="FV125" s="310"/>
      <c r="FW125" s="2">
        <v>3438</v>
      </c>
      <c r="FX125" s="115"/>
      <c r="FY125" s="115"/>
      <c r="FZ125" s="115"/>
      <c r="GA125" s="2"/>
      <c r="GB125" s="115"/>
      <c r="GC125" s="115"/>
      <c r="GD125" s="2"/>
      <c r="GE125" s="115"/>
      <c r="GF125" s="115"/>
      <c r="GG125" s="115"/>
      <c r="GH125" s="2"/>
      <c r="GI125" s="115"/>
      <c r="GJ125" s="115"/>
      <c r="GK125" s="1055">
        <f t="shared" si="281"/>
        <v>2100</v>
      </c>
      <c r="GL125" s="115"/>
      <c r="GM125" s="115"/>
      <c r="GN125" s="115"/>
      <c r="GO125" s="310">
        <v>2100</v>
      </c>
      <c r="GP125" s="310">
        <f t="shared" si="246"/>
        <v>1719</v>
      </c>
      <c r="GQ125" s="2">
        <v>1719</v>
      </c>
      <c r="GR125" s="2">
        <v>-841</v>
      </c>
      <c r="GS125" s="115"/>
      <c r="GT125" s="115"/>
      <c r="GU125" s="2">
        <f t="shared" si="225"/>
        <v>1222</v>
      </c>
      <c r="GV125" s="615">
        <v>1703</v>
      </c>
      <c r="GW125" s="615">
        <v>1088</v>
      </c>
      <c r="GX125" s="615">
        <v>824</v>
      </c>
      <c r="GY125" s="615">
        <f t="shared" si="322"/>
        <v>879</v>
      </c>
      <c r="GZ125" s="310">
        <f t="shared" si="323"/>
        <v>1322</v>
      </c>
      <c r="HA125" s="2">
        <v>1043</v>
      </c>
      <c r="HB125" s="2">
        <v>279</v>
      </c>
      <c r="HC125" s="1052"/>
      <c r="HD125" s="170">
        <f t="shared" si="294"/>
        <v>358</v>
      </c>
      <c r="HE125" s="2">
        <v>960</v>
      </c>
      <c r="HF125" s="2">
        <v>602</v>
      </c>
      <c r="HG125" s="170">
        <f t="shared" si="295"/>
        <v>-39</v>
      </c>
      <c r="HH125" s="2">
        <v>25</v>
      </c>
      <c r="HI125" s="2">
        <v>64</v>
      </c>
      <c r="HJ125" s="2">
        <f t="shared" si="282"/>
        <v>0</v>
      </c>
      <c r="HK125" s="2"/>
      <c r="HL125" s="2"/>
      <c r="HM125" s="2">
        <f t="shared" si="247"/>
        <v>0</v>
      </c>
      <c r="HN125" s="2">
        <f t="shared" si="283"/>
        <v>-91</v>
      </c>
      <c r="HO125" s="2">
        <f t="shared" si="284"/>
        <v>-91</v>
      </c>
      <c r="HP125" s="2">
        <v>38418</v>
      </c>
      <c r="HQ125" s="2">
        <v>38327</v>
      </c>
      <c r="HR125" s="115"/>
      <c r="HS125" s="1051"/>
      <c r="HT125" s="1002">
        <v>60.7</v>
      </c>
      <c r="HU125" s="1002">
        <v>7.4</v>
      </c>
      <c r="HV125" s="1002">
        <v>8.1999999999999993</v>
      </c>
    </row>
    <row r="126" spans="1:230">
      <c r="A126" s="110">
        <f t="shared" si="296"/>
        <v>1967</v>
      </c>
      <c r="B126" s="176">
        <f t="shared" si="248"/>
        <v>36659</v>
      </c>
      <c r="C126" s="177">
        <f t="shared" si="317"/>
        <v>315</v>
      </c>
      <c r="D126" s="176">
        <f t="shared" si="285"/>
        <v>36344</v>
      </c>
      <c r="E126" s="154">
        <f t="shared" si="251"/>
        <v>40125</v>
      </c>
      <c r="F126" s="995">
        <f t="shared" si="252"/>
        <v>3781</v>
      </c>
      <c r="G126" s="531">
        <f t="shared" si="297"/>
        <v>36852</v>
      </c>
      <c r="H126" s="531">
        <f t="shared" si="298"/>
        <v>36537</v>
      </c>
      <c r="I126" s="531">
        <f t="shared" si="299"/>
        <v>40318</v>
      </c>
      <c r="J126" s="548">
        <f t="shared" si="300"/>
        <v>0.99521305620318468</v>
      </c>
      <c r="K126" s="178">
        <f t="shared" si="242"/>
        <v>4407</v>
      </c>
      <c r="L126" s="2">
        <v>5208</v>
      </c>
      <c r="M126" s="2">
        <v>801</v>
      </c>
      <c r="N126" s="2">
        <v>3175</v>
      </c>
      <c r="O126" s="170">
        <f t="shared" si="286"/>
        <v>1232</v>
      </c>
      <c r="P126" s="175">
        <v>0</v>
      </c>
      <c r="Q126" s="175">
        <f t="shared" si="243"/>
        <v>1088</v>
      </c>
      <c r="R126" s="175">
        <f t="shared" si="287"/>
        <v>144</v>
      </c>
      <c r="S126" s="532"/>
      <c r="T126" s="1008">
        <f t="shared" si="253"/>
        <v>687.81751824817525</v>
      </c>
      <c r="U126" s="1010">
        <v>623</v>
      </c>
      <c r="V126" s="511">
        <f t="shared" si="288"/>
        <v>961.81751824817525</v>
      </c>
      <c r="W126" s="2">
        <v>897</v>
      </c>
      <c r="X126" s="169">
        <f t="shared" si="254"/>
        <v>274</v>
      </c>
      <c r="Y126" s="113">
        <f t="shared" si="255"/>
        <v>0.28487732319437803</v>
      </c>
      <c r="Z126" s="113">
        <f t="shared" si="256"/>
        <v>0.30546265328874023</v>
      </c>
      <c r="AA126" s="276">
        <f>X126/DataUK3!D126</f>
        <v>8.5754804635923519E-3</v>
      </c>
      <c r="AB126" s="1019">
        <f t="shared" si="257"/>
        <v>6.8286604361370721E-3</v>
      </c>
      <c r="AC126" s="2"/>
      <c r="AD126" s="2">
        <v>120</v>
      </c>
      <c r="AE126" s="2"/>
      <c r="AF126" s="2"/>
      <c r="AG126" s="2"/>
      <c r="AH126" s="2"/>
      <c r="AI126" s="1010">
        <f>AD126*DataUK3!BG126</f>
        <v>64.81751824817519</v>
      </c>
      <c r="AJ126" s="171">
        <f t="shared" si="249"/>
        <v>3419.7296443876403</v>
      </c>
      <c r="AK126" s="561"/>
      <c r="AL126" s="169">
        <f t="shared" si="301"/>
        <v>3927.7296443876403</v>
      </c>
      <c r="AM126" s="169"/>
      <c r="AN126" s="2">
        <v>2018</v>
      </c>
      <c r="AO126" s="1029">
        <f t="shared" si="258"/>
        <v>2526</v>
      </c>
      <c r="AP126" s="170"/>
      <c r="AQ126" s="170"/>
      <c r="AR126" s="170"/>
      <c r="AS126" s="170"/>
      <c r="AT126" s="170"/>
      <c r="AU126" s="170"/>
      <c r="AV126" s="170"/>
      <c r="AW126" s="170"/>
      <c r="AX126" s="170"/>
      <c r="AY126" s="170"/>
      <c r="AZ126" s="83"/>
      <c r="BA126" s="83"/>
      <c r="BB126" s="83"/>
      <c r="BC126" s="170"/>
      <c r="BD126" s="170"/>
      <c r="BE126" s="170"/>
      <c r="BF126" s="170"/>
      <c r="BG126" s="170"/>
      <c r="BH126" s="170"/>
      <c r="BI126" s="273">
        <v>23833</v>
      </c>
      <c r="BJ126" s="2">
        <f t="shared" si="302"/>
        <v>23872</v>
      </c>
      <c r="BK126" s="170"/>
      <c r="BL126" s="170"/>
      <c r="BM126" s="1031">
        <f t="shared" si="303"/>
        <v>1401.7296443876401</v>
      </c>
      <c r="BN126" s="254"/>
      <c r="BO126" s="262">
        <f t="shared" si="289"/>
        <v>5.5047873646307866E-2</v>
      </c>
      <c r="BP126" s="262">
        <f t="shared" si="264"/>
        <v>6.8905316566191116E-2</v>
      </c>
      <c r="BQ126" s="262">
        <f t="shared" si="290"/>
        <v>3.8236985307499936E-2</v>
      </c>
      <c r="BR126" s="262">
        <f t="shared" si="304"/>
        <v>5.8814653815618685E-2</v>
      </c>
      <c r="BS126" s="988">
        <f t="shared" si="185"/>
        <v>0.55492068265543948</v>
      </c>
      <c r="BT126" s="519">
        <f t="shared" si="265"/>
        <v>508</v>
      </c>
      <c r="BU126" s="519"/>
      <c r="BV126" s="113">
        <f t="shared" si="266"/>
        <v>0.12933680420847821</v>
      </c>
      <c r="BW126" s="276">
        <f t="shared" si="305"/>
        <v>1.2660436137071652E-2</v>
      </c>
      <c r="BX126" s="273">
        <v>782</v>
      </c>
      <c r="BY126" s="113"/>
      <c r="BZ126" s="1013"/>
      <c r="CA126" s="1005">
        <f t="shared" si="291"/>
        <v>36659</v>
      </c>
      <c r="CB126" s="2"/>
      <c r="CC126" s="2"/>
      <c r="CD126" s="2"/>
      <c r="CE126" s="2"/>
      <c r="CF126" s="2">
        <v>40280</v>
      </c>
      <c r="CG126" s="2">
        <v>248</v>
      </c>
      <c r="CH126" s="2">
        <f t="shared" si="267"/>
        <v>93</v>
      </c>
      <c r="CI126" s="2">
        <v>3781</v>
      </c>
      <c r="CJ126" s="2"/>
      <c r="CK126" s="2"/>
      <c r="CL126" s="171">
        <f t="shared" si="306"/>
        <v>23574.452837364184</v>
      </c>
      <c r="CM126" s="169">
        <f t="shared" si="307"/>
        <v>26088.452837364184</v>
      </c>
      <c r="CN126" s="170">
        <f t="shared" si="268"/>
        <v>7873.1824817518245</v>
      </c>
      <c r="CO126" s="170">
        <f t="shared" si="269"/>
        <v>7938</v>
      </c>
      <c r="CP126" s="170">
        <f t="shared" si="308"/>
        <v>18215.27035561236</v>
      </c>
      <c r="CQ126" s="170">
        <f t="shared" si="309"/>
        <v>2514</v>
      </c>
      <c r="CR126" s="170">
        <v>933</v>
      </c>
      <c r="CS126" s="113">
        <f t="shared" si="310"/>
        <v>6.2654205607476629E-2</v>
      </c>
      <c r="CT126" s="170">
        <f t="shared" si="270"/>
        <v>25289.27035561236</v>
      </c>
      <c r="CU126" s="2">
        <v>7820</v>
      </c>
      <c r="CV126" s="169">
        <f t="shared" si="271"/>
        <v>17469.27035561236</v>
      </c>
      <c r="CW126" s="2">
        <v>2473</v>
      </c>
      <c r="CX126" s="2"/>
      <c r="CY126" s="2"/>
      <c r="CZ126" s="170">
        <f t="shared" si="272"/>
        <v>799.18248175182475</v>
      </c>
      <c r="DA126" s="170">
        <f t="shared" si="273"/>
        <v>864</v>
      </c>
      <c r="DB126" s="170">
        <f t="shared" si="274"/>
        <v>53.18248175182481</v>
      </c>
      <c r="DC126" s="2">
        <v>118</v>
      </c>
      <c r="DD126" s="2">
        <v>746</v>
      </c>
      <c r="DE126" s="2">
        <v>41</v>
      </c>
      <c r="DF126" s="2"/>
      <c r="DG126" s="2"/>
      <c r="DH126" s="171">
        <f t="shared" si="318"/>
        <v>4255</v>
      </c>
      <c r="DI126" s="2">
        <f t="shared" si="320"/>
        <v>4740</v>
      </c>
      <c r="DJ126" s="2">
        <v>4255</v>
      </c>
      <c r="DK126" s="2">
        <v>485</v>
      </c>
      <c r="DL126" s="113">
        <f t="shared" si="275"/>
        <v>0.11606972366949453</v>
      </c>
      <c r="DM126" s="113">
        <f t="shared" si="311"/>
        <v>0.17824229222520108</v>
      </c>
      <c r="DN126" s="113">
        <f t="shared" si="321"/>
        <v>0.56740898786504868</v>
      </c>
      <c r="DO126" s="2">
        <v>144</v>
      </c>
      <c r="DP126" s="2">
        <v>0</v>
      </c>
      <c r="DQ126" s="275"/>
      <c r="DR126" s="2">
        <v>4733</v>
      </c>
      <c r="DS126" s="2">
        <v>2766</v>
      </c>
      <c r="DT126" s="169">
        <f t="shared" si="245"/>
        <v>7499</v>
      </c>
      <c r="DU126" s="2">
        <v>25032</v>
      </c>
      <c r="DV126" s="2"/>
      <c r="DW126" s="2">
        <v>8231</v>
      </c>
      <c r="DX126" s="2"/>
      <c r="DY126" s="2"/>
      <c r="DZ126" s="83"/>
      <c r="EA126" s="2"/>
      <c r="EB126" s="2"/>
      <c r="EC126" s="2"/>
      <c r="ED126" s="175">
        <v>1673</v>
      </c>
      <c r="EE126" s="2"/>
      <c r="EF126" s="175">
        <f t="shared" si="315"/>
        <v>1999</v>
      </c>
      <c r="EG126" s="2"/>
      <c r="EH126" s="2"/>
      <c r="EI126" s="2">
        <v>7370</v>
      </c>
      <c r="EJ126" s="2">
        <v>7814</v>
      </c>
      <c r="EK126" s="2"/>
      <c r="EL126" s="2"/>
      <c r="EM126" s="2"/>
      <c r="EN126" s="2"/>
      <c r="EO126" s="2"/>
      <c r="EP126" s="2"/>
      <c r="EQ126" s="2"/>
      <c r="ER126" s="2"/>
      <c r="ES126" s="2"/>
      <c r="ET126" s="2">
        <f t="shared" si="276"/>
        <v>40318</v>
      </c>
      <c r="EU126" s="2">
        <f t="shared" si="277"/>
        <v>40125</v>
      </c>
      <c r="EV126" s="262">
        <f t="shared" si="292"/>
        <v>0.99521305620318468</v>
      </c>
      <c r="EW126" s="2">
        <v>40280</v>
      </c>
      <c r="EX126" s="1042">
        <v>-37</v>
      </c>
      <c r="EY126" s="273">
        <f t="shared" si="278"/>
        <v>27710</v>
      </c>
      <c r="EZ126" s="2">
        <f t="shared" si="279"/>
        <v>13238</v>
      </c>
      <c r="FA126" s="1714"/>
      <c r="FB126" s="1714"/>
      <c r="FC126" s="2">
        <v>6505</v>
      </c>
      <c r="FD126" s="2">
        <v>2326</v>
      </c>
      <c r="FE126" s="1052">
        <v>3344</v>
      </c>
      <c r="FF126" s="1050"/>
      <c r="FG126" s="115"/>
      <c r="FH126" s="83"/>
      <c r="FI126" s="2">
        <v>-247</v>
      </c>
      <c r="FJ126" s="2">
        <f t="shared" si="314"/>
        <v>-247</v>
      </c>
      <c r="FK126" s="273">
        <f t="shared" si="224"/>
        <v>1711</v>
      </c>
      <c r="FL126" s="310">
        <v>1711</v>
      </c>
      <c r="FM126" s="310"/>
      <c r="FN126" s="115"/>
      <c r="FO126" s="115"/>
      <c r="FP126" s="115"/>
      <c r="FQ126" s="2">
        <v>-1043</v>
      </c>
      <c r="FR126" s="115"/>
      <c r="FS126" s="1051"/>
      <c r="FT126" s="310">
        <f t="shared" si="324"/>
        <v>3475</v>
      </c>
      <c r="FU126" s="310">
        <v>3420</v>
      </c>
      <c r="FV126" s="310"/>
      <c r="FW126" s="2">
        <v>3475</v>
      </c>
      <c r="FX126" s="115"/>
      <c r="FY126" s="115"/>
      <c r="FZ126" s="115"/>
      <c r="GA126" s="2"/>
      <c r="GB126" s="115"/>
      <c r="GC126" s="115"/>
      <c r="GD126" s="2"/>
      <c r="GE126" s="115"/>
      <c r="GF126" s="115"/>
      <c r="GG126" s="115"/>
      <c r="GH126" s="2"/>
      <c r="GI126" s="115"/>
      <c r="GJ126" s="115"/>
      <c r="GK126" s="1055">
        <f t="shared" si="281"/>
        <v>2206</v>
      </c>
      <c r="GL126" s="115"/>
      <c r="GM126" s="115"/>
      <c r="GN126" s="115"/>
      <c r="GO126" s="310">
        <v>2206</v>
      </c>
      <c r="GP126" s="310">
        <f t="shared" si="246"/>
        <v>1999</v>
      </c>
      <c r="GQ126" s="2">
        <v>1999</v>
      </c>
      <c r="GR126" s="2">
        <v>-1043</v>
      </c>
      <c r="GS126" s="115"/>
      <c r="GT126" s="115"/>
      <c r="GU126" s="2">
        <f t="shared" si="225"/>
        <v>1250</v>
      </c>
      <c r="GV126" s="615">
        <v>1846</v>
      </c>
      <c r="GW126" s="615">
        <v>1158</v>
      </c>
      <c r="GX126" s="615">
        <v>901</v>
      </c>
      <c r="GY126" s="615">
        <f t="shared" si="322"/>
        <v>945</v>
      </c>
      <c r="GZ126" s="310">
        <f t="shared" si="323"/>
        <v>1423</v>
      </c>
      <c r="HA126" s="2">
        <v>1133</v>
      </c>
      <c r="HB126" s="2">
        <v>290</v>
      </c>
      <c r="HC126" s="1052"/>
      <c r="HD126" s="170">
        <f t="shared" si="294"/>
        <v>354</v>
      </c>
      <c r="HE126" s="2">
        <v>982</v>
      </c>
      <c r="HF126" s="2">
        <v>628</v>
      </c>
      <c r="HG126" s="170">
        <f t="shared" si="295"/>
        <v>-39</v>
      </c>
      <c r="HH126" s="2">
        <v>24</v>
      </c>
      <c r="HI126" s="2">
        <v>63</v>
      </c>
      <c r="HJ126" s="2">
        <f t="shared" si="282"/>
        <v>0</v>
      </c>
      <c r="HK126" s="2"/>
      <c r="HL126" s="2"/>
      <c r="HM126" s="2">
        <f t="shared" si="247"/>
        <v>0</v>
      </c>
      <c r="HN126" s="2">
        <f t="shared" si="283"/>
        <v>-118</v>
      </c>
      <c r="HO126" s="2">
        <f t="shared" si="284"/>
        <v>-118</v>
      </c>
      <c r="HP126" s="2">
        <v>40506</v>
      </c>
      <c r="HQ126" s="2">
        <v>40388</v>
      </c>
      <c r="HR126" s="115"/>
      <c r="HS126" s="1051"/>
      <c r="HT126" s="1002">
        <v>62.3</v>
      </c>
      <c r="HU126" s="1002">
        <v>7.6</v>
      </c>
      <c r="HV126" s="1002">
        <v>8.4</v>
      </c>
    </row>
    <row r="127" spans="1:230">
      <c r="A127" s="110">
        <f t="shared" si="296"/>
        <v>1968</v>
      </c>
      <c r="B127" s="176">
        <f t="shared" si="248"/>
        <v>39596</v>
      </c>
      <c r="C127" s="177">
        <f t="shared" si="317"/>
        <v>255</v>
      </c>
      <c r="D127" s="176">
        <f t="shared" si="285"/>
        <v>39341</v>
      </c>
      <c r="E127" s="154">
        <f t="shared" si="251"/>
        <v>43455</v>
      </c>
      <c r="F127" s="995">
        <f t="shared" si="252"/>
        <v>4114</v>
      </c>
      <c r="G127" s="531">
        <f t="shared" si="297"/>
        <v>39909</v>
      </c>
      <c r="H127" s="531">
        <f t="shared" si="298"/>
        <v>39654</v>
      </c>
      <c r="I127" s="531">
        <f t="shared" si="299"/>
        <v>43768</v>
      </c>
      <c r="J127" s="548">
        <f t="shared" si="300"/>
        <v>0.99284865655273258</v>
      </c>
      <c r="K127" s="178">
        <f t="shared" si="242"/>
        <v>5045</v>
      </c>
      <c r="L127" s="2">
        <v>5940</v>
      </c>
      <c r="M127" s="2">
        <v>895</v>
      </c>
      <c r="N127" s="2">
        <v>3666</v>
      </c>
      <c r="O127" s="170">
        <f t="shared" si="286"/>
        <v>1379</v>
      </c>
      <c r="P127" s="175">
        <v>0</v>
      </c>
      <c r="Q127" s="175">
        <f t="shared" si="243"/>
        <v>1230</v>
      </c>
      <c r="R127" s="175">
        <f t="shared" si="287"/>
        <v>149</v>
      </c>
      <c r="S127" s="532"/>
      <c r="T127" s="1008">
        <f t="shared" si="253"/>
        <v>778.5</v>
      </c>
      <c r="U127" s="1010">
        <v>691</v>
      </c>
      <c r="V127" s="511">
        <f t="shared" si="288"/>
        <v>1074.5</v>
      </c>
      <c r="W127" s="2">
        <v>987</v>
      </c>
      <c r="X127" s="169">
        <f t="shared" si="254"/>
        <v>296</v>
      </c>
      <c r="Y127" s="113">
        <f t="shared" si="255"/>
        <v>0.27547696603071198</v>
      </c>
      <c r="Z127" s="113">
        <f t="shared" si="256"/>
        <v>0.29989868287740629</v>
      </c>
      <c r="AA127" s="276">
        <f>X127/DataUK3!D127</f>
        <v>8.4399225125983031E-3</v>
      </c>
      <c r="AB127" s="1019">
        <f t="shared" si="257"/>
        <v>6.8116442296628698E-3</v>
      </c>
      <c r="AC127" s="2"/>
      <c r="AD127" s="2">
        <v>150</v>
      </c>
      <c r="AE127" s="2"/>
      <c r="AF127" s="2"/>
      <c r="AG127" s="2"/>
      <c r="AH127" s="2"/>
      <c r="AI127" s="1010">
        <f>AD127*DataUK3!BG127</f>
        <v>87.5</v>
      </c>
      <c r="AJ127" s="171">
        <f t="shared" si="249"/>
        <v>3699.5982256973166</v>
      </c>
      <c r="AK127" s="561"/>
      <c r="AL127" s="169">
        <f t="shared" si="301"/>
        <v>4249.5982256973166</v>
      </c>
      <c r="AM127" s="169"/>
      <c r="AN127" s="2">
        <v>2183</v>
      </c>
      <c r="AO127" s="1029">
        <f t="shared" si="258"/>
        <v>2733</v>
      </c>
      <c r="AP127" s="170"/>
      <c r="AQ127" s="170"/>
      <c r="AR127" s="170"/>
      <c r="AS127" s="170"/>
      <c r="AT127" s="170"/>
      <c r="AU127" s="170"/>
      <c r="AV127" s="170"/>
      <c r="AW127" s="170"/>
      <c r="AX127" s="170"/>
      <c r="AY127" s="170"/>
      <c r="AZ127" s="83"/>
      <c r="BA127" s="83"/>
      <c r="BB127" s="83"/>
      <c r="BC127" s="170"/>
      <c r="BD127" s="170"/>
      <c r="BE127" s="170"/>
      <c r="BF127" s="170"/>
      <c r="BG127" s="170"/>
      <c r="BH127" s="170"/>
      <c r="BI127" s="273">
        <v>25494</v>
      </c>
      <c r="BJ127" s="2">
        <f t="shared" si="302"/>
        <v>25542</v>
      </c>
      <c r="BK127" s="170"/>
      <c r="BL127" s="170"/>
      <c r="BM127" s="1031">
        <f t="shared" si="303"/>
        <v>1516.5982256973161</v>
      </c>
      <c r="BN127" s="254"/>
      <c r="BO127" s="262">
        <f t="shared" si="289"/>
        <v>5.5131831498131126E-2</v>
      </c>
      <c r="BP127" s="262">
        <f t="shared" si="264"/>
        <v>6.9022123446812814E-2</v>
      </c>
      <c r="BQ127" s="262">
        <f t="shared" si="290"/>
        <v>3.8301803861433378E-2</v>
      </c>
      <c r="BR127" s="262">
        <f t="shared" si="304"/>
        <v>5.9488437502836597E-2</v>
      </c>
      <c r="BS127" s="988">
        <f t="shared" si="185"/>
        <v>0.55492068265543948</v>
      </c>
      <c r="BT127" s="519">
        <f t="shared" si="265"/>
        <v>550</v>
      </c>
      <c r="BU127" s="519"/>
      <c r="BV127" s="113">
        <f t="shared" si="266"/>
        <v>0.1294239998205361</v>
      </c>
      <c r="BW127" s="276">
        <f t="shared" si="305"/>
        <v>1.2656771372684386E-2</v>
      </c>
      <c r="BX127" s="273">
        <v>846</v>
      </c>
      <c r="BY127" s="113"/>
      <c r="BZ127" s="1013"/>
      <c r="CA127" s="1005">
        <f t="shared" si="291"/>
        <v>39596</v>
      </c>
      <c r="CB127" s="2"/>
      <c r="CC127" s="2"/>
      <c r="CD127" s="2"/>
      <c r="CE127" s="2"/>
      <c r="CF127" s="2">
        <v>43655</v>
      </c>
      <c r="CG127" s="2">
        <v>312</v>
      </c>
      <c r="CH127" s="2">
        <f t="shared" si="267"/>
        <v>112</v>
      </c>
      <c r="CI127" s="2">
        <v>4114</v>
      </c>
      <c r="CJ127" s="2"/>
      <c r="CK127" s="2"/>
      <c r="CL127" s="171">
        <f t="shared" si="306"/>
        <v>25247.901774302685</v>
      </c>
      <c r="CM127" s="169">
        <f t="shared" si="307"/>
        <v>27990.901774302685</v>
      </c>
      <c r="CN127" s="170">
        <f t="shared" si="268"/>
        <v>8535.5</v>
      </c>
      <c r="CO127" s="170">
        <f t="shared" si="269"/>
        <v>8623</v>
      </c>
      <c r="CP127" s="170">
        <f t="shared" si="308"/>
        <v>19455.401774302685</v>
      </c>
      <c r="CQ127" s="170">
        <f t="shared" si="309"/>
        <v>2743</v>
      </c>
      <c r="CR127" s="170">
        <v>1044</v>
      </c>
      <c r="CS127" s="113">
        <f t="shared" si="310"/>
        <v>6.3122770682315033E-2</v>
      </c>
      <c r="CT127" s="170">
        <f t="shared" si="270"/>
        <v>27073.401774302685</v>
      </c>
      <c r="CU127" s="2">
        <v>8457</v>
      </c>
      <c r="CV127" s="169">
        <f t="shared" si="271"/>
        <v>18616.401774302685</v>
      </c>
      <c r="CW127" s="2">
        <v>2698</v>
      </c>
      <c r="CX127" s="2"/>
      <c r="CY127" s="2"/>
      <c r="CZ127" s="170">
        <f t="shared" si="272"/>
        <v>917.5</v>
      </c>
      <c r="DA127" s="170">
        <f t="shared" si="273"/>
        <v>1005</v>
      </c>
      <c r="DB127" s="170">
        <f t="shared" si="274"/>
        <v>78.5</v>
      </c>
      <c r="DC127" s="2">
        <v>166</v>
      </c>
      <c r="DD127" s="2">
        <v>839</v>
      </c>
      <c r="DE127" s="2">
        <v>45</v>
      </c>
      <c r="DF127" s="2"/>
      <c r="DG127" s="2"/>
      <c r="DH127" s="171">
        <f t="shared" si="318"/>
        <v>4570</v>
      </c>
      <c r="DI127" s="2">
        <f t="shared" si="320"/>
        <v>5095</v>
      </c>
      <c r="DJ127" s="2">
        <v>4570</v>
      </c>
      <c r="DK127" s="2">
        <v>525</v>
      </c>
      <c r="DL127" s="113">
        <f t="shared" si="275"/>
        <v>0.11541569855540963</v>
      </c>
      <c r="DM127" s="113">
        <f t="shared" si="311"/>
        <v>0.17892099287448124</v>
      </c>
      <c r="DN127" s="113">
        <f t="shared" si="321"/>
        <v>0.57253821097469304</v>
      </c>
      <c r="DO127" s="2">
        <v>149</v>
      </c>
      <c r="DP127" s="2">
        <v>0</v>
      </c>
      <c r="DQ127" s="275"/>
      <c r="DR127" s="2">
        <v>4989</v>
      </c>
      <c r="DS127" s="2">
        <v>2993</v>
      </c>
      <c r="DT127" s="169">
        <f t="shared" si="245"/>
        <v>7982</v>
      </c>
      <c r="DU127" s="2">
        <v>26973</v>
      </c>
      <c r="DV127" s="2"/>
      <c r="DW127" s="2">
        <v>9180</v>
      </c>
      <c r="DX127" s="2"/>
      <c r="DY127" s="2"/>
      <c r="DZ127" s="2"/>
      <c r="EA127" s="2"/>
      <c r="EB127" s="2"/>
      <c r="EC127" s="2"/>
      <c r="ED127" s="175">
        <v>1622</v>
      </c>
      <c r="EE127" s="2"/>
      <c r="EF127" s="175">
        <f t="shared" si="315"/>
        <v>2197</v>
      </c>
      <c r="EG127" s="2"/>
      <c r="EH127" s="2"/>
      <c r="EI127" s="2">
        <v>8962</v>
      </c>
      <c r="EJ127" s="2">
        <v>9329</v>
      </c>
      <c r="EK127" s="2"/>
      <c r="EL127" s="2"/>
      <c r="EM127" s="2"/>
      <c r="EN127" s="2"/>
      <c r="EO127" s="2"/>
      <c r="EP127" s="2"/>
      <c r="EQ127" s="2"/>
      <c r="ER127" s="2"/>
      <c r="ES127" s="2"/>
      <c r="ET127" s="2">
        <f t="shared" si="276"/>
        <v>43768</v>
      </c>
      <c r="EU127" s="2">
        <f t="shared" si="277"/>
        <v>43455</v>
      </c>
      <c r="EV127" s="262">
        <f t="shared" si="292"/>
        <v>0.99284865655273258</v>
      </c>
      <c r="EW127" s="2">
        <v>43655</v>
      </c>
      <c r="EX127" s="1042">
        <v>-112</v>
      </c>
      <c r="EY127" s="273">
        <f t="shared" si="278"/>
        <v>29573</v>
      </c>
      <c r="EZ127" s="2">
        <f t="shared" si="279"/>
        <v>14921</v>
      </c>
      <c r="FA127" s="1714"/>
      <c r="FB127" s="1714"/>
      <c r="FC127" s="2">
        <v>7278</v>
      </c>
      <c r="FD127" s="2">
        <v>2598</v>
      </c>
      <c r="FE127" s="1052">
        <v>3825</v>
      </c>
      <c r="FF127" s="1050"/>
      <c r="FG127" s="115"/>
      <c r="FH127" s="83"/>
      <c r="FI127" s="2">
        <v>-231</v>
      </c>
      <c r="FJ127" s="2">
        <f t="shared" si="314"/>
        <v>-231</v>
      </c>
      <c r="FK127" s="273">
        <f t="shared" si="224"/>
        <v>1588</v>
      </c>
      <c r="FL127" s="310">
        <v>1588</v>
      </c>
      <c r="FM127" s="310"/>
      <c r="FN127" s="115"/>
      <c r="FO127" s="115"/>
      <c r="FP127" s="115"/>
      <c r="FQ127" s="2">
        <v>-699</v>
      </c>
      <c r="FR127" s="115"/>
      <c r="FS127" s="1051"/>
      <c r="FT127" s="310">
        <f t="shared" si="324"/>
        <v>3901</v>
      </c>
      <c r="FU127" s="310">
        <v>3559</v>
      </c>
      <c r="FV127" s="310"/>
      <c r="FW127" s="2">
        <v>3901</v>
      </c>
      <c r="FX127" s="115"/>
      <c r="FY127" s="115"/>
      <c r="FZ127" s="115"/>
      <c r="GA127" s="2"/>
      <c r="GB127" s="115"/>
      <c r="GC127" s="115"/>
      <c r="GD127" s="2"/>
      <c r="GE127" s="115"/>
      <c r="GF127" s="115"/>
      <c r="GG127" s="115"/>
      <c r="GH127" s="2"/>
      <c r="GI127" s="115"/>
      <c r="GJ127" s="115"/>
      <c r="GK127" s="1055">
        <f t="shared" si="281"/>
        <v>2933</v>
      </c>
      <c r="GL127" s="115"/>
      <c r="GM127" s="115"/>
      <c r="GN127" s="115"/>
      <c r="GO127" s="310">
        <v>2933</v>
      </c>
      <c r="GP127" s="310">
        <f t="shared" si="246"/>
        <v>2197</v>
      </c>
      <c r="GQ127" s="2">
        <v>2197</v>
      </c>
      <c r="GR127" s="2">
        <v>-699</v>
      </c>
      <c r="GS127" s="115"/>
      <c r="GT127" s="115"/>
      <c r="GU127" s="2">
        <f t="shared" si="225"/>
        <v>1435</v>
      </c>
      <c r="GV127" s="615">
        <v>2106</v>
      </c>
      <c r="GW127" s="615">
        <v>1295</v>
      </c>
      <c r="GX127" s="615">
        <v>1033</v>
      </c>
      <c r="GY127" s="615">
        <f t="shared" si="322"/>
        <v>1073</v>
      </c>
      <c r="GZ127" s="310">
        <f t="shared" si="323"/>
        <v>2046</v>
      </c>
      <c r="HA127" s="2">
        <v>1739</v>
      </c>
      <c r="HB127" s="2">
        <v>307</v>
      </c>
      <c r="HC127" s="1052"/>
      <c r="HD127" s="170">
        <f t="shared" si="294"/>
        <v>303</v>
      </c>
      <c r="HE127" s="2">
        <v>1113</v>
      </c>
      <c r="HF127" s="2">
        <v>810</v>
      </c>
      <c r="HG127" s="170">
        <f t="shared" si="295"/>
        <v>-48</v>
      </c>
      <c r="HH127" s="2">
        <v>26</v>
      </c>
      <c r="HI127" s="2">
        <v>74</v>
      </c>
      <c r="HJ127" s="2">
        <f t="shared" si="282"/>
        <v>0</v>
      </c>
      <c r="HK127" s="2"/>
      <c r="HL127" s="2"/>
      <c r="HM127" s="2">
        <f t="shared" si="247"/>
        <v>0</v>
      </c>
      <c r="HN127" s="2">
        <f t="shared" si="283"/>
        <v>-119</v>
      </c>
      <c r="HO127" s="2">
        <f t="shared" si="284"/>
        <v>-119</v>
      </c>
      <c r="HP127" s="2">
        <v>43785</v>
      </c>
      <c r="HQ127" s="2">
        <v>43666</v>
      </c>
      <c r="HR127" s="115"/>
      <c r="HS127" s="1051"/>
      <c r="HT127" s="1002">
        <v>65.2</v>
      </c>
      <c r="HU127" s="1002">
        <v>7.9</v>
      </c>
      <c r="HV127" s="1002">
        <v>8.8000000000000007</v>
      </c>
    </row>
    <row r="128" spans="1:230">
      <c r="A128" s="110">
        <f t="shared" si="296"/>
        <v>1969</v>
      </c>
      <c r="B128" s="176">
        <f t="shared" si="248"/>
        <v>43217</v>
      </c>
      <c r="C128" s="177">
        <f t="shared" si="317"/>
        <v>421</v>
      </c>
      <c r="D128" s="176">
        <f t="shared" si="285"/>
        <v>42796</v>
      </c>
      <c r="E128" s="154">
        <f t="shared" si="251"/>
        <v>47274</v>
      </c>
      <c r="F128" s="995">
        <f t="shared" si="252"/>
        <v>4478</v>
      </c>
      <c r="G128" s="531">
        <f t="shared" si="297"/>
        <v>42732</v>
      </c>
      <c r="H128" s="531">
        <f t="shared" si="298"/>
        <v>42311</v>
      </c>
      <c r="I128" s="531">
        <f t="shared" si="299"/>
        <v>46789</v>
      </c>
      <c r="J128" s="548">
        <f t="shared" si="300"/>
        <v>1.0103656842420228</v>
      </c>
      <c r="K128" s="178">
        <f t="shared" si="242"/>
        <v>6003</v>
      </c>
      <c r="L128" s="2">
        <v>6845</v>
      </c>
      <c r="M128" s="2">
        <v>842</v>
      </c>
      <c r="N128" s="2">
        <v>4271</v>
      </c>
      <c r="O128" s="170">
        <f t="shared" si="286"/>
        <v>1732</v>
      </c>
      <c r="P128" s="175">
        <v>0</v>
      </c>
      <c r="Q128" s="175">
        <f t="shared" si="243"/>
        <v>1573</v>
      </c>
      <c r="R128" s="175">
        <f t="shared" si="287"/>
        <v>159</v>
      </c>
      <c r="S128" s="532"/>
      <c r="T128" s="1008">
        <f t="shared" si="253"/>
        <v>913.46153846153845</v>
      </c>
      <c r="U128" s="1010">
        <v>805</v>
      </c>
      <c r="V128" s="511">
        <f t="shared" si="288"/>
        <v>1230.4615384615386</v>
      </c>
      <c r="W128" s="2">
        <v>1122</v>
      </c>
      <c r="X128" s="169">
        <f t="shared" si="254"/>
        <v>317</v>
      </c>
      <c r="Y128" s="113">
        <f t="shared" si="255"/>
        <v>0.25762690672668165</v>
      </c>
      <c r="Z128" s="113">
        <f t="shared" si="256"/>
        <v>0.28253119429590018</v>
      </c>
      <c r="AA128" s="276">
        <f>X128/DataUK3!D128</f>
        <v>7.9854104619583033E-3</v>
      </c>
      <c r="AB128" s="1019">
        <f t="shared" si="257"/>
        <v>6.7055886956889623E-3</v>
      </c>
      <c r="AC128" s="2"/>
      <c r="AD128" s="2">
        <v>165</v>
      </c>
      <c r="AE128" s="2"/>
      <c r="AF128" s="2"/>
      <c r="AG128" s="2"/>
      <c r="AH128" s="2"/>
      <c r="AI128" s="1010">
        <f>AD128*DataUK3!BG128</f>
        <v>108.46153846153845</v>
      </c>
      <c r="AJ128" s="171">
        <f t="shared" si="249"/>
        <v>3964.0331554018494</v>
      </c>
      <c r="AK128" s="561"/>
      <c r="AL128" s="169">
        <f t="shared" si="301"/>
        <v>4545.0331554018494</v>
      </c>
      <c r="AM128" s="169"/>
      <c r="AN128" s="2">
        <v>2342</v>
      </c>
      <c r="AO128" s="1029">
        <f t="shared" si="258"/>
        <v>2923</v>
      </c>
      <c r="AP128" s="170"/>
      <c r="AQ128" s="170"/>
      <c r="AR128" s="170"/>
      <c r="AS128" s="170"/>
      <c r="AT128" s="170"/>
      <c r="AU128" s="170"/>
      <c r="AV128" s="170"/>
      <c r="AW128" s="170"/>
      <c r="AX128" s="170"/>
      <c r="AY128" s="170"/>
      <c r="AZ128" s="83"/>
      <c r="BA128" s="83"/>
      <c r="BB128" s="83"/>
      <c r="BC128" s="170"/>
      <c r="BD128" s="170"/>
      <c r="BE128" s="170"/>
      <c r="BF128" s="170"/>
      <c r="BG128" s="170"/>
      <c r="BH128" s="170"/>
      <c r="BI128" s="273">
        <v>27268</v>
      </c>
      <c r="BJ128" s="2">
        <f t="shared" si="302"/>
        <v>27315</v>
      </c>
      <c r="BK128" s="170"/>
      <c r="BL128" s="170"/>
      <c r="BM128" s="1031">
        <f t="shared" si="303"/>
        <v>1622.0331554018496</v>
      </c>
      <c r="BN128" s="254"/>
      <c r="BO128" s="262">
        <f t="shared" si="289"/>
        <v>5.4191637550038183E-2</v>
      </c>
      <c r="BP128" s="262">
        <f t="shared" si="264"/>
        <v>6.7635421246268826E-2</v>
      </c>
      <c r="BQ128" s="262">
        <f t="shared" si="290"/>
        <v>3.7532294129667715E-2</v>
      </c>
      <c r="BR128" s="262">
        <f t="shared" si="304"/>
        <v>5.9484859740422828E-2</v>
      </c>
      <c r="BS128" s="988">
        <f t="shared" si="185"/>
        <v>0.55492068265543948</v>
      </c>
      <c r="BT128" s="519">
        <f t="shared" si="265"/>
        <v>581</v>
      </c>
      <c r="BU128" s="519"/>
      <c r="BV128" s="113">
        <f t="shared" si="266"/>
        <v>0.12783185075547174</v>
      </c>
      <c r="BW128" s="276">
        <f t="shared" si="305"/>
        <v>1.2290053729322672E-2</v>
      </c>
      <c r="BX128" s="273">
        <v>898</v>
      </c>
      <c r="BY128" s="113"/>
      <c r="BZ128" s="1013"/>
      <c r="CA128" s="1005">
        <f t="shared" si="291"/>
        <v>43217</v>
      </c>
      <c r="CB128" s="2"/>
      <c r="CC128" s="2"/>
      <c r="CD128" s="2"/>
      <c r="CE128" s="2"/>
      <c r="CF128" s="2">
        <v>47023</v>
      </c>
      <c r="CG128" s="2">
        <v>-122</v>
      </c>
      <c r="CH128" s="2">
        <f t="shared" si="267"/>
        <v>129</v>
      </c>
      <c r="CI128" s="2">
        <v>4478</v>
      </c>
      <c r="CJ128" s="2"/>
      <c r="CK128" s="2"/>
      <c r="CL128" s="171">
        <f t="shared" si="306"/>
        <v>27021.505306136612</v>
      </c>
      <c r="CM128" s="169">
        <f t="shared" si="307"/>
        <v>30029.505306136612</v>
      </c>
      <c r="CN128" s="170">
        <f t="shared" si="268"/>
        <v>9230.538461538461</v>
      </c>
      <c r="CO128" s="170">
        <f t="shared" si="269"/>
        <v>9339</v>
      </c>
      <c r="CP128" s="170">
        <f t="shared" si="308"/>
        <v>20798.966844598152</v>
      </c>
      <c r="CQ128" s="170">
        <f t="shared" si="309"/>
        <v>3008</v>
      </c>
      <c r="CR128" s="170">
        <v>1125</v>
      </c>
      <c r="CS128" s="113">
        <f t="shared" si="310"/>
        <v>6.3629056140796211E-2</v>
      </c>
      <c r="CT128" s="170">
        <f t="shared" si="270"/>
        <v>29094.966844598152</v>
      </c>
      <c r="CU128" s="2">
        <v>9206</v>
      </c>
      <c r="CV128" s="169">
        <f t="shared" si="271"/>
        <v>19888.966844598152</v>
      </c>
      <c r="CW128" s="2">
        <v>2953</v>
      </c>
      <c r="CX128" s="2"/>
      <c r="CY128" s="2"/>
      <c r="CZ128" s="170">
        <f t="shared" si="272"/>
        <v>934.53846153846155</v>
      </c>
      <c r="DA128" s="170">
        <f t="shared" si="273"/>
        <v>1043</v>
      </c>
      <c r="DB128" s="170">
        <f t="shared" si="274"/>
        <v>24.538461538461547</v>
      </c>
      <c r="DC128" s="2">
        <v>133</v>
      </c>
      <c r="DD128" s="2">
        <v>910</v>
      </c>
      <c r="DE128" s="2">
        <v>55</v>
      </c>
      <c r="DF128" s="2"/>
      <c r="DG128" s="2"/>
      <c r="DH128" s="171">
        <f t="shared" si="318"/>
        <v>4894</v>
      </c>
      <c r="DI128" s="2">
        <f t="shared" si="320"/>
        <v>5466</v>
      </c>
      <c r="DJ128" s="2">
        <v>4894</v>
      </c>
      <c r="DK128" s="2">
        <v>572</v>
      </c>
      <c r="DL128" s="113">
        <f t="shared" si="275"/>
        <v>0.11324247402642479</v>
      </c>
      <c r="DM128" s="113">
        <f t="shared" si="311"/>
        <v>0.17916895478674721</v>
      </c>
      <c r="DN128" s="113">
        <f t="shared" si="321"/>
        <v>0.5840792457333811</v>
      </c>
      <c r="DO128" s="2">
        <v>159</v>
      </c>
      <c r="DP128" s="2">
        <v>0</v>
      </c>
      <c r="DQ128" s="275"/>
      <c r="DR128" s="2">
        <v>5155</v>
      </c>
      <c r="DS128" s="2">
        <v>3224</v>
      </c>
      <c r="DT128" s="169">
        <f t="shared" si="245"/>
        <v>8379</v>
      </c>
      <c r="DU128" s="2">
        <v>28629</v>
      </c>
      <c r="DV128" s="2"/>
      <c r="DW128" s="2">
        <v>9603</v>
      </c>
      <c r="DX128" s="2"/>
      <c r="DY128" s="2"/>
      <c r="DZ128" s="2"/>
      <c r="EA128" s="2"/>
      <c r="EB128" s="2"/>
      <c r="EC128" s="2"/>
      <c r="ED128" s="175">
        <v>1489</v>
      </c>
      <c r="EE128" s="2"/>
      <c r="EF128" s="175">
        <f t="shared" si="315"/>
        <v>2265</v>
      </c>
      <c r="EG128" s="2"/>
      <c r="EH128" s="2"/>
      <c r="EI128" s="2">
        <v>10064</v>
      </c>
      <c r="EJ128" s="2">
        <v>9886</v>
      </c>
      <c r="EK128" s="2"/>
      <c r="EL128" s="2"/>
      <c r="EM128" s="2"/>
      <c r="EN128" s="2"/>
      <c r="EO128" s="2"/>
      <c r="EP128" s="2"/>
      <c r="EQ128" s="2"/>
      <c r="ER128" s="2"/>
      <c r="ES128" s="2"/>
      <c r="ET128" s="2">
        <f t="shared" si="276"/>
        <v>46789</v>
      </c>
      <c r="EU128" s="2">
        <f t="shared" si="277"/>
        <v>47274</v>
      </c>
      <c r="EV128" s="262">
        <f t="shared" si="292"/>
        <v>1.0103656842420228</v>
      </c>
      <c r="EW128" s="2">
        <v>47023</v>
      </c>
      <c r="EX128" s="1042">
        <v>234</v>
      </c>
      <c r="EY128" s="273">
        <f t="shared" si="278"/>
        <v>31520</v>
      </c>
      <c r="EZ128" s="2">
        <f t="shared" si="279"/>
        <v>16915</v>
      </c>
      <c r="FA128" s="1714"/>
      <c r="FB128" s="1714"/>
      <c r="FC128" s="2">
        <v>8193</v>
      </c>
      <c r="FD128" s="2">
        <v>2719</v>
      </c>
      <c r="FE128" s="1052">
        <v>4122</v>
      </c>
      <c r="FF128" s="1050"/>
      <c r="FG128" s="115"/>
      <c r="FH128" s="83"/>
      <c r="FI128" s="2">
        <v>490</v>
      </c>
      <c r="FJ128" s="2">
        <f t="shared" si="314"/>
        <v>490</v>
      </c>
      <c r="FK128" s="273">
        <f t="shared" si="224"/>
        <v>1739</v>
      </c>
      <c r="FL128" s="310">
        <v>1739</v>
      </c>
      <c r="FM128" s="310"/>
      <c r="FN128" s="115"/>
      <c r="FO128" s="115"/>
      <c r="FP128" s="115"/>
      <c r="FQ128" s="2">
        <v>753</v>
      </c>
      <c r="FR128" s="115"/>
      <c r="FS128" s="1051"/>
      <c r="FT128" s="310">
        <f t="shared" si="324"/>
        <v>4374</v>
      </c>
      <c r="FU128" s="310">
        <v>4039</v>
      </c>
      <c r="FV128" s="310"/>
      <c r="FW128" s="2">
        <v>4374</v>
      </c>
      <c r="FX128" s="115"/>
      <c r="FY128" s="115"/>
      <c r="FZ128" s="115"/>
      <c r="GA128" s="2"/>
      <c r="GB128" s="115"/>
      <c r="GC128" s="115"/>
      <c r="GD128" s="2"/>
      <c r="GE128" s="115"/>
      <c r="GF128" s="115"/>
      <c r="GG128" s="115"/>
      <c r="GH128" s="2"/>
      <c r="GI128" s="115"/>
      <c r="GJ128" s="115"/>
      <c r="GK128" s="1056">
        <f t="shared" si="281"/>
        <v>4303</v>
      </c>
      <c r="GL128" s="1057"/>
      <c r="GM128" s="1057"/>
      <c r="GN128" s="1057"/>
      <c r="GO128" s="1058">
        <v>4303</v>
      </c>
      <c r="GP128" s="1058">
        <f t="shared" si="246"/>
        <v>2265</v>
      </c>
      <c r="GQ128" s="2">
        <v>2265</v>
      </c>
      <c r="GR128" s="2">
        <v>753</v>
      </c>
      <c r="GS128" s="115"/>
      <c r="GT128" s="115"/>
      <c r="GU128" s="2">
        <f t="shared" si="225"/>
        <v>1285</v>
      </c>
      <c r="GV128" s="615">
        <v>2286</v>
      </c>
      <c r="GW128" s="615">
        <v>1333</v>
      </c>
      <c r="GX128" s="615">
        <v>1190</v>
      </c>
      <c r="GY128" s="615">
        <f t="shared" si="322"/>
        <v>1096</v>
      </c>
      <c r="GZ128" s="310">
        <f t="shared" si="323"/>
        <v>3333</v>
      </c>
      <c r="HA128" s="2">
        <v>3002</v>
      </c>
      <c r="HB128" s="2">
        <v>331</v>
      </c>
      <c r="HC128" s="1052"/>
      <c r="HD128" s="170">
        <f t="shared" si="294"/>
        <v>468</v>
      </c>
      <c r="HE128" s="2">
        <v>1349</v>
      </c>
      <c r="HF128" s="2">
        <v>881</v>
      </c>
      <c r="HG128" s="170">
        <f t="shared" si="295"/>
        <v>-47</v>
      </c>
      <c r="HH128" s="2">
        <v>33</v>
      </c>
      <c r="HI128" s="2">
        <v>80</v>
      </c>
      <c r="HJ128" s="2">
        <f t="shared" si="282"/>
        <v>0</v>
      </c>
      <c r="HK128" s="2"/>
      <c r="HL128" s="2"/>
      <c r="HM128" s="2">
        <f t="shared" si="247"/>
        <v>0</v>
      </c>
      <c r="HN128" s="2">
        <f t="shared" si="283"/>
        <v>-109</v>
      </c>
      <c r="HO128" s="2">
        <f t="shared" si="284"/>
        <v>-109</v>
      </c>
      <c r="HP128" s="2">
        <v>47304</v>
      </c>
      <c r="HQ128" s="2">
        <v>47195</v>
      </c>
      <c r="HR128" s="115"/>
      <c r="HS128" s="1051"/>
      <c r="HT128" s="1002">
        <v>68.7</v>
      </c>
      <c r="HU128" s="1002">
        <v>8.4</v>
      </c>
      <c r="HV128" s="1002">
        <v>9.1999999999999993</v>
      </c>
    </row>
    <row r="129" spans="1:230">
      <c r="A129" s="110">
        <f t="shared" si="296"/>
        <v>1970</v>
      </c>
      <c r="B129" s="176">
        <f t="shared" si="248"/>
        <v>47384</v>
      </c>
      <c r="C129" s="177">
        <f t="shared" si="317"/>
        <v>471</v>
      </c>
      <c r="D129" s="176">
        <f t="shared" si="285"/>
        <v>46913</v>
      </c>
      <c r="E129" s="154">
        <f t="shared" si="251"/>
        <v>52003</v>
      </c>
      <c r="F129" s="995">
        <f t="shared" si="252"/>
        <v>5090</v>
      </c>
      <c r="G129" s="531">
        <f t="shared" si="297"/>
        <v>46907</v>
      </c>
      <c r="H129" s="531">
        <f t="shared" si="298"/>
        <v>46436</v>
      </c>
      <c r="I129" s="531">
        <f t="shared" si="299"/>
        <v>51526</v>
      </c>
      <c r="J129" s="548">
        <f t="shared" si="300"/>
        <v>1.0092574622520669</v>
      </c>
      <c r="K129" s="178">
        <f t="shared" si="242"/>
        <v>6533</v>
      </c>
      <c r="L129" s="2">
        <v>7444</v>
      </c>
      <c r="M129" s="2">
        <v>911</v>
      </c>
      <c r="N129" s="2">
        <v>4636</v>
      </c>
      <c r="O129" s="170">
        <f t="shared" si="286"/>
        <v>1897</v>
      </c>
      <c r="P129" s="175">
        <v>0</v>
      </c>
      <c r="Q129" s="175">
        <f t="shared" si="243"/>
        <v>1722</v>
      </c>
      <c r="R129" s="175">
        <f t="shared" si="287"/>
        <v>175</v>
      </c>
      <c r="S129" s="532"/>
      <c r="T129" s="1008">
        <f t="shared" si="253"/>
        <v>1068.4213836477988</v>
      </c>
      <c r="U129" s="1010">
        <v>957</v>
      </c>
      <c r="V129" s="511">
        <f t="shared" si="288"/>
        <v>1434.4213836477988</v>
      </c>
      <c r="W129" s="2">
        <v>1323</v>
      </c>
      <c r="X129" s="169">
        <f t="shared" si="254"/>
        <v>366</v>
      </c>
      <c r="Y129" s="113">
        <f t="shared" si="255"/>
        <v>0.2551551476939401</v>
      </c>
      <c r="Z129" s="113">
        <f t="shared" si="256"/>
        <v>0.27664399092970521</v>
      </c>
      <c r="AA129" s="276">
        <f>X129/DataUK3!D129</f>
        <v>8.569489026764748E-3</v>
      </c>
      <c r="AB129" s="1019">
        <f t="shared" si="257"/>
        <v>7.0380554967982619E-3</v>
      </c>
      <c r="AC129" s="2"/>
      <c r="AD129" s="2">
        <v>172</v>
      </c>
      <c r="AE129" s="2"/>
      <c r="AF129" s="2"/>
      <c r="AG129" s="2"/>
      <c r="AH129" s="2"/>
      <c r="AI129" s="1010">
        <f>AD129*DataUK3!BG129</f>
        <v>111.42138364779873</v>
      </c>
      <c r="AJ129" s="171">
        <f t="shared" si="249"/>
        <v>4337.3011051800622</v>
      </c>
      <c r="AK129" s="561"/>
      <c r="AL129" s="169">
        <f t="shared" si="301"/>
        <v>4977.3011051800622</v>
      </c>
      <c r="AM129" s="169"/>
      <c r="AN129" s="2">
        <v>2561</v>
      </c>
      <c r="AO129" s="1029">
        <f t="shared" si="258"/>
        <v>3201</v>
      </c>
      <c r="AP129" s="170"/>
      <c r="AQ129" s="170"/>
      <c r="AR129" s="170"/>
      <c r="AS129" s="170"/>
      <c r="AT129" s="170"/>
      <c r="AU129" s="170"/>
      <c r="AV129" s="170"/>
      <c r="AW129" s="170"/>
      <c r="AX129" s="170"/>
      <c r="AY129" s="170"/>
      <c r="AZ129" s="83"/>
      <c r="BA129" s="83"/>
      <c r="BB129" s="83"/>
      <c r="BC129" s="170"/>
      <c r="BD129" s="170"/>
      <c r="BE129" s="170"/>
      <c r="BF129" s="170"/>
      <c r="BG129" s="170"/>
      <c r="BH129" s="170"/>
      <c r="BI129" s="273">
        <v>30600</v>
      </c>
      <c r="BJ129" s="2">
        <f t="shared" si="302"/>
        <v>30656</v>
      </c>
      <c r="BK129" s="170"/>
      <c r="BL129" s="170"/>
      <c r="BM129" s="1031">
        <f t="shared" si="303"/>
        <v>1776.3011051800618</v>
      </c>
      <c r="BN129" s="254"/>
      <c r="BO129" s="262">
        <f t="shared" si="289"/>
        <v>5.4047779841296641E-2</v>
      </c>
      <c r="BP129" s="262">
        <f t="shared" si="264"/>
        <v>6.7554448759074792E-2</v>
      </c>
      <c r="BQ129" s="262">
        <f t="shared" si="290"/>
        <v>3.748736082179769E-2</v>
      </c>
      <c r="BR129" s="262">
        <f t="shared" si="304"/>
        <v>5.8049055724838622E-2</v>
      </c>
      <c r="BS129" s="988">
        <f t="shared" si="185"/>
        <v>0.55492068265543948</v>
      </c>
      <c r="BT129" s="519">
        <f t="shared" si="265"/>
        <v>640</v>
      </c>
      <c r="BU129" s="519"/>
      <c r="BV129" s="113">
        <f t="shared" si="266"/>
        <v>0.12858374176598</v>
      </c>
      <c r="BW129" s="276">
        <f t="shared" si="305"/>
        <v>1.2306982289483299E-2</v>
      </c>
      <c r="BX129" s="273">
        <v>1006</v>
      </c>
      <c r="BY129" s="113"/>
      <c r="BZ129" s="1013"/>
      <c r="CA129" s="1005">
        <f t="shared" si="291"/>
        <v>47384</v>
      </c>
      <c r="CB129" s="2"/>
      <c r="CC129" s="2"/>
      <c r="CD129" s="2"/>
      <c r="CE129" s="2"/>
      <c r="CF129" s="2">
        <v>51695</v>
      </c>
      <c r="CG129" s="2">
        <v>-168</v>
      </c>
      <c r="CH129" s="2">
        <f t="shared" si="267"/>
        <v>140</v>
      </c>
      <c r="CI129" s="2">
        <v>5090</v>
      </c>
      <c r="CJ129" s="2"/>
      <c r="CK129" s="2"/>
      <c r="CL129" s="171">
        <f t="shared" si="306"/>
        <v>29355.277511172142</v>
      </c>
      <c r="CM129" s="169">
        <f t="shared" si="307"/>
        <v>32804.277511172142</v>
      </c>
      <c r="CN129" s="170">
        <f t="shared" si="268"/>
        <v>9543.5786163522007</v>
      </c>
      <c r="CO129" s="170">
        <f t="shared" si="269"/>
        <v>9655</v>
      </c>
      <c r="CP129" s="170">
        <f t="shared" si="308"/>
        <v>23260.69889481994</v>
      </c>
      <c r="CQ129" s="170">
        <f t="shared" si="309"/>
        <v>3449</v>
      </c>
      <c r="CR129" s="170">
        <v>1282</v>
      </c>
      <c r="CS129" s="113">
        <f t="shared" si="310"/>
        <v>6.6323096744418594E-2</v>
      </c>
      <c r="CT129" s="170">
        <f t="shared" si="270"/>
        <v>31732.69889481994</v>
      </c>
      <c r="CU129" s="2">
        <v>9506</v>
      </c>
      <c r="CV129" s="169">
        <f t="shared" si="271"/>
        <v>22226.69889481994</v>
      </c>
      <c r="CW129" s="2">
        <v>3384</v>
      </c>
      <c r="CX129" s="2"/>
      <c r="CY129" s="2"/>
      <c r="CZ129" s="170">
        <f t="shared" si="272"/>
        <v>1071.5786163522012</v>
      </c>
      <c r="DA129" s="170">
        <f t="shared" si="273"/>
        <v>1183</v>
      </c>
      <c r="DB129" s="170">
        <f t="shared" si="274"/>
        <v>37.578616352201266</v>
      </c>
      <c r="DC129" s="2">
        <v>149</v>
      </c>
      <c r="DD129" s="2">
        <v>1034</v>
      </c>
      <c r="DE129" s="2">
        <v>65</v>
      </c>
      <c r="DF129" s="2"/>
      <c r="DG129" s="2"/>
      <c r="DH129" s="171">
        <f t="shared" si="318"/>
        <v>5619</v>
      </c>
      <c r="DI129" s="2">
        <f t="shared" si="320"/>
        <v>6254</v>
      </c>
      <c r="DJ129" s="2">
        <v>5619</v>
      </c>
      <c r="DK129" s="2">
        <v>635</v>
      </c>
      <c r="DL129" s="113">
        <f t="shared" si="275"/>
        <v>0.11858433226405538</v>
      </c>
      <c r="DM129" s="113">
        <f t="shared" si="311"/>
        <v>0.1832920146137787</v>
      </c>
      <c r="DN129" s="113">
        <f t="shared" si="321"/>
        <v>0.59637019741031627</v>
      </c>
      <c r="DO129" s="2">
        <v>175</v>
      </c>
      <c r="DP129" s="2">
        <v>0</v>
      </c>
      <c r="DQ129" s="274"/>
      <c r="DR129" s="2">
        <v>5751</v>
      </c>
      <c r="DS129" s="2">
        <v>3671</v>
      </c>
      <c r="DT129" s="169">
        <f t="shared" si="245"/>
        <v>9422</v>
      </c>
      <c r="DU129" s="2">
        <v>31218</v>
      </c>
      <c r="DV129" s="2"/>
      <c r="DW129" s="2">
        <v>10449</v>
      </c>
      <c r="DX129" s="2"/>
      <c r="DY129" s="2"/>
      <c r="DZ129" s="2"/>
      <c r="EA129" s="2"/>
      <c r="EB129" s="2"/>
      <c r="EC129" s="2"/>
      <c r="ED129" s="175">
        <v>1689</v>
      </c>
      <c r="EE129" s="2"/>
      <c r="EF129" s="175">
        <f t="shared" si="315"/>
        <v>2457</v>
      </c>
      <c r="EG129" s="2"/>
      <c r="EH129" s="2"/>
      <c r="EI129" s="2">
        <v>11489</v>
      </c>
      <c r="EJ129" s="2">
        <v>11052</v>
      </c>
      <c r="EK129" s="2"/>
      <c r="EL129" s="2"/>
      <c r="EM129" s="2"/>
      <c r="EN129" s="2"/>
      <c r="EO129" s="2"/>
      <c r="EP129" s="2"/>
      <c r="EQ129" s="2"/>
      <c r="ER129" s="2"/>
      <c r="ES129" s="2"/>
      <c r="ET129" s="2">
        <f t="shared" si="276"/>
        <v>51526</v>
      </c>
      <c r="EU129" s="2">
        <f t="shared" si="277"/>
        <v>52003</v>
      </c>
      <c r="EV129" s="262">
        <f t="shared" si="292"/>
        <v>1.0092574622520669</v>
      </c>
      <c r="EW129" s="2">
        <v>51695</v>
      </c>
      <c r="EX129" s="1042">
        <v>168</v>
      </c>
      <c r="EY129" s="273">
        <f t="shared" si="278"/>
        <v>34110</v>
      </c>
      <c r="EZ129" s="2">
        <f t="shared" si="279"/>
        <v>18933</v>
      </c>
      <c r="FA129" s="1714"/>
      <c r="FB129" s="1714"/>
      <c r="FC129" s="2">
        <v>9183</v>
      </c>
      <c r="FD129" s="2">
        <v>3217</v>
      </c>
      <c r="FE129" s="1052">
        <v>4558</v>
      </c>
      <c r="FF129" s="1050"/>
      <c r="FG129" s="115"/>
      <c r="FH129" s="83"/>
      <c r="FI129" s="2">
        <v>819</v>
      </c>
      <c r="FJ129" s="2">
        <f t="shared" si="314"/>
        <v>819</v>
      </c>
      <c r="FK129" s="273">
        <f t="shared" si="224"/>
        <v>2191</v>
      </c>
      <c r="FL129" s="310">
        <v>2191</v>
      </c>
      <c r="FM129" s="310"/>
      <c r="FN129" s="115"/>
      <c r="FO129" s="115"/>
      <c r="FP129" s="115"/>
      <c r="FQ129" s="2">
        <v>-589</v>
      </c>
      <c r="FR129" s="115"/>
      <c r="FS129" s="1051"/>
      <c r="FT129" s="310">
        <f t="shared" si="324"/>
        <v>4195</v>
      </c>
      <c r="FU129" s="310">
        <v>4104</v>
      </c>
      <c r="FV129" s="310"/>
      <c r="FW129" s="2">
        <v>4195</v>
      </c>
      <c r="FX129" s="115"/>
      <c r="FY129" s="115"/>
      <c r="FZ129" s="115"/>
      <c r="GA129" s="2"/>
      <c r="GB129" s="115"/>
      <c r="GC129" s="115"/>
      <c r="GD129" s="2"/>
      <c r="GE129" s="115"/>
      <c r="GF129" s="115"/>
      <c r="GG129" s="115"/>
      <c r="GH129" s="2"/>
      <c r="GI129" s="115"/>
      <c r="GJ129" s="115"/>
      <c r="GK129" s="1056">
        <f t="shared" si="281"/>
        <v>4999</v>
      </c>
      <c r="GL129" s="1059">
        <v>4584</v>
      </c>
      <c r="GM129" s="1059">
        <v>405</v>
      </c>
      <c r="GN129" s="1059">
        <v>1080</v>
      </c>
      <c r="GO129" s="1059">
        <v>4999</v>
      </c>
      <c r="GP129" s="1058">
        <f t="shared" si="246"/>
        <v>2457</v>
      </c>
      <c r="GQ129" s="2">
        <v>2457</v>
      </c>
      <c r="GR129" s="2">
        <v>-589</v>
      </c>
      <c r="GS129" s="115"/>
      <c r="GT129" s="115"/>
      <c r="GU129" s="2">
        <f t="shared" si="225"/>
        <v>3131</v>
      </c>
      <c r="GV129" s="615">
        <v>2457</v>
      </c>
      <c r="GW129" s="615">
        <v>1362</v>
      </c>
      <c r="GX129" s="615">
        <v>1356</v>
      </c>
      <c r="GY129" s="615">
        <f t="shared" si="322"/>
        <v>1101</v>
      </c>
      <c r="GZ129" s="310">
        <f t="shared" si="323"/>
        <v>4045</v>
      </c>
      <c r="HA129" s="2">
        <v>3679</v>
      </c>
      <c r="HB129" s="2">
        <v>366</v>
      </c>
      <c r="HC129" s="1052"/>
      <c r="HD129" s="170">
        <f t="shared" si="294"/>
        <v>527</v>
      </c>
      <c r="HE129" s="2">
        <v>1465</v>
      </c>
      <c r="HF129" s="2">
        <v>938</v>
      </c>
      <c r="HG129" s="170">
        <f t="shared" si="295"/>
        <v>-56</v>
      </c>
      <c r="HH129" s="2">
        <v>33</v>
      </c>
      <c r="HI129" s="2">
        <v>89</v>
      </c>
      <c r="HJ129" s="2">
        <f t="shared" si="282"/>
        <v>0</v>
      </c>
      <c r="HK129" s="2"/>
      <c r="HL129" s="2"/>
      <c r="HM129" s="2">
        <f t="shared" si="247"/>
        <v>0</v>
      </c>
      <c r="HN129" s="2">
        <f t="shared" si="283"/>
        <v>-89</v>
      </c>
      <c r="HO129" s="2">
        <f t="shared" si="284"/>
        <v>-89</v>
      </c>
      <c r="HP129" s="2">
        <v>52025</v>
      </c>
      <c r="HQ129" s="2">
        <v>51936</v>
      </c>
      <c r="HR129" s="115"/>
      <c r="HS129" s="1051"/>
      <c r="HT129" s="1002">
        <v>73.099999999999994</v>
      </c>
      <c r="HU129" s="1002">
        <v>9</v>
      </c>
      <c r="HV129" s="1002">
        <v>9.8000000000000007</v>
      </c>
    </row>
    <row r="130" spans="1:230">
      <c r="A130" s="110">
        <f t="shared" si="296"/>
        <v>1971</v>
      </c>
      <c r="B130" s="176">
        <f t="shared" si="248"/>
        <v>51948</v>
      </c>
      <c r="C130" s="177">
        <f t="shared" si="317"/>
        <v>391</v>
      </c>
      <c r="D130" s="176">
        <f t="shared" si="285"/>
        <v>51557</v>
      </c>
      <c r="E130" s="154">
        <f t="shared" si="251"/>
        <v>57484</v>
      </c>
      <c r="F130" s="995">
        <f t="shared" si="252"/>
        <v>5927</v>
      </c>
      <c r="G130" s="531">
        <f t="shared" si="297"/>
        <v>52401</v>
      </c>
      <c r="H130" s="531">
        <f t="shared" si="298"/>
        <v>52010</v>
      </c>
      <c r="I130" s="531">
        <f t="shared" si="299"/>
        <v>57937</v>
      </c>
      <c r="J130" s="548">
        <f t="shared" si="300"/>
        <v>0.99218116229697773</v>
      </c>
      <c r="K130" s="178">
        <f t="shared" si="242"/>
        <v>6661</v>
      </c>
      <c r="L130" s="2">
        <v>7626</v>
      </c>
      <c r="M130" s="2">
        <v>965</v>
      </c>
      <c r="N130" s="2">
        <v>4808</v>
      </c>
      <c r="O130" s="170">
        <f t="shared" si="286"/>
        <v>1853</v>
      </c>
      <c r="P130" s="175">
        <v>0</v>
      </c>
      <c r="Q130" s="175">
        <f t="shared" si="243"/>
        <v>1659</v>
      </c>
      <c r="R130" s="175">
        <f t="shared" si="287"/>
        <v>194</v>
      </c>
      <c r="S130" s="532"/>
      <c r="T130" s="1008">
        <f t="shared" si="253"/>
        <v>1203.2568306010928</v>
      </c>
      <c r="U130" s="1010">
        <v>1087</v>
      </c>
      <c r="V130" s="511">
        <f t="shared" si="288"/>
        <v>1638.2568306010928</v>
      </c>
      <c r="W130" s="2">
        <v>1522</v>
      </c>
      <c r="X130" s="169">
        <f t="shared" si="254"/>
        <v>435</v>
      </c>
      <c r="Y130" s="113">
        <f t="shared" si="255"/>
        <v>0.26552613233444855</v>
      </c>
      <c r="Z130" s="113">
        <f t="shared" si="256"/>
        <v>0.28580814717477004</v>
      </c>
      <c r="AA130" s="276">
        <f>X130/DataUK3!D130</f>
        <v>8.6956219958701352E-3</v>
      </c>
      <c r="AB130" s="1019">
        <f t="shared" si="257"/>
        <v>7.5673230812052048E-3</v>
      </c>
      <c r="AC130" s="2"/>
      <c r="AD130" s="2">
        <v>185</v>
      </c>
      <c r="AE130" s="2"/>
      <c r="AF130" s="2"/>
      <c r="AG130" s="2"/>
      <c r="AH130" s="2"/>
      <c r="AI130" s="1010">
        <f>AD130*DataUK3!BG130</f>
        <v>116.2568306010929</v>
      </c>
      <c r="AJ130" s="171">
        <f t="shared" si="249"/>
        <v>5113.623035861965</v>
      </c>
      <c r="AK130" s="561"/>
      <c r="AL130" s="169">
        <f t="shared" si="301"/>
        <v>5821.623035861965</v>
      </c>
      <c r="AM130" s="169"/>
      <c r="AN130" s="2">
        <v>3036</v>
      </c>
      <c r="AO130" s="1029">
        <f t="shared" si="258"/>
        <v>3744</v>
      </c>
      <c r="AP130" s="170"/>
      <c r="AQ130" s="170"/>
      <c r="AR130" s="170"/>
      <c r="AS130" s="170"/>
      <c r="AT130" s="170"/>
      <c r="AU130" s="170"/>
      <c r="AV130" s="170"/>
      <c r="AW130" s="170"/>
      <c r="AX130" s="170"/>
      <c r="AY130" s="170"/>
      <c r="AZ130" s="170"/>
      <c r="BA130" s="170"/>
      <c r="BB130" s="170"/>
      <c r="BC130" s="170"/>
      <c r="BD130" s="170"/>
      <c r="BE130" s="170"/>
      <c r="BF130" s="170"/>
      <c r="BG130" s="170"/>
      <c r="BH130" s="170"/>
      <c r="BI130" s="273">
        <v>33562</v>
      </c>
      <c r="BJ130" s="2">
        <f t="shared" si="302"/>
        <v>33625</v>
      </c>
      <c r="BK130" s="170"/>
      <c r="BL130" s="170"/>
      <c r="BM130" s="1031">
        <f t="shared" si="303"/>
        <v>2077.6230358619655</v>
      </c>
      <c r="BN130" s="254"/>
      <c r="BO130" s="262">
        <f t="shared" si="289"/>
        <v>5.8443058443058443E-2</v>
      </c>
      <c r="BP130" s="262">
        <f t="shared" si="264"/>
        <v>7.2072072072072071E-2</v>
      </c>
      <c r="BQ130" s="262">
        <f t="shared" si="290"/>
        <v>3.9994283434626271E-2</v>
      </c>
      <c r="BR130" s="262">
        <f t="shared" si="304"/>
        <v>6.1904029433942125E-2</v>
      </c>
      <c r="BS130" s="988">
        <f t="shared" si="185"/>
        <v>0.55492068265543948</v>
      </c>
      <c r="BT130" s="519">
        <f t="shared" si="265"/>
        <v>708</v>
      </c>
      <c r="BU130" s="519"/>
      <c r="BV130" s="113">
        <f t="shared" si="266"/>
        <v>0.12161556934185307</v>
      </c>
      <c r="BW130" s="276">
        <f t="shared" si="305"/>
        <v>1.2316470670099507E-2</v>
      </c>
      <c r="BX130" s="273">
        <v>1143</v>
      </c>
      <c r="BY130" s="113"/>
      <c r="BZ130" s="1013"/>
      <c r="CA130" s="1005">
        <f t="shared" si="291"/>
        <v>51948</v>
      </c>
      <c r="CB130" s="2"/>
      <c r="CC130" s="2"/>
      <c r="CD130" s="2"/>
      <c r="CE130" s="2"/>
      <c r="CF130" s="2">
        <v>57669</v>
      </c>
      <c r="CG130" s="2">
        <v>336</v>
      </c>
      <c r="CH130" s="2">
        <f t="shared" si="267"/>
        <v>151</v>
      </c>
      <c r="CI130" s="2">
        <v>5927</v>
      </c>
      <c r="CJ130" s="2"/>
      <c r="CK130" s="2"/>
      <c r="CL130" s="171">
        <f t="shared" si="306"/>
        <v>31963.120133536941</v>
      </c>
      <c r="CM130" s="169">
        <f t="shared" si="307"/>
        <v>36015.120133536941</v>
      </c>
      <c r="CN130" s="170">
        <f t="shared" si="268"/>
        <v>11083.743169398907</v>
      </c>
      <c r="CO130" s="170">
        <f t="shared" si="269"/>
        <v>11200</v>
      </c>
      <c r="CP130" s="170">
        <f t="shared" si="308"/>
        <v>24931.376964138035</v>
      </c>
      <c r="CQ130" s="170">
        <f t="shared" si="309"/>
        <v>4052</v>
      </c>
      <c r="CR130" s="170">
        <v>1480</v>
      </c>
      <c r="CS130" s="113">
        <f t="shared" si="310"/>
        <v>7.0489179597801127E-2</v>
      </c>
      <c r="CT130" s="170">
        <f t="shared" si="270"/>
        <v>34557.376964138035</v>
      </c>
      <c r="CU130" s="2">
        <v>10797</v>
      </c>
      <c r="CV130" s="169">
        <f t="shared" si="271"/>
        <v>23760.376964138035</v>
      </c>
      <c r="CW130" s="2">
        <v>3963</v>
      </c>
      <c r="CX130" s="2"/>
      <c r="CY130" s="2"/>
      <c r="CZ130" s="170">
        <f t="shared" si="272"/>
        <v>1457.743169398907</v>
      </c>
      <c r="DA130" s="170">
        <f t="shared" si="273"/>
        <v>1574</v>
      </c>
      <c r="DB130" s="170">
        <f t="shared" si="274"/>
        <v>286.74316939890707</v>
      </c>
      <c r="DC130" s="2">
        <v>403</v>
      </c>
      <c r="DD130" s="2">
        <v>1171</v>
      </c>
      <c r="DE130" s="2">
        <v>89</v>
      </c>
      <c r="DF130" s="2"/>
      <c r="DG130" s="2"/>
      <c r="DH130" s="171">
        <f t="shared" si="318"/>
        <v>6616</v>
      </c>
      <c r="DI130" s="2">
        <f t="shared" si="320"/>
        <v>7348</v>
      </c>
      <c r="DJ130" s="2">
        <v>6616</v>
      </c>
      <c r="DK130" s="2">
        <v>732</v>
      </c>
      <c r="DL130" s="113">
        <f t="shared" si="275"/>
        <v>0.12735812735812735</v>
      </c>
      <c r="DM130" s="113">
        <f t="shared" si="311"/>
        <v>0.19675836431226765</v>
      </c>
      <c r="DN130" s="113">
        <f t="shared" si="321"/>
        <v>0.6167039522744221</v>
      </c>
      <c r="DO130" s="2">
        <v>194</v>
      </c>
      <c r="DP130" s="2">
        <v>0</v>
      </c>
      <c r="DQ130" s="274"/>
      <c r="DR130" s="2">
        <v>6513</v>
      </c>
      <c r="DS130" s="2">
        <v>4215</v>
      </c>
      <c r="DT130" s="169">
        <f t="shared" si="245"/>
        <v>10728</v>
      </c>
      <c r="DU130" s="2">
        <v>34987</v>
      </c>
      <c r="DV130" s="2"/>
      <c r="DW130" s="2">
        <v>11400</v>
      </c>
      <c r="DX130" s="2"/>
      <c r="DY130" s="2"/>
      <c r="DZ130" s="2"/>
      <c r="EA130" s="2"/>
      <c r="EB130" s="2"/>
      <c r="EC130" s="2"/>
      <c r="ED130" s="175">
        <v>1872</v>
      </c>
      <c r="EE130" s="2"/>
      <c r="EF130" s="175">
        <f t="shared" si="315"/>
        <v>2605</v>
      </c>
      <c r="EG130" s="2"/>
      <c r="EH130" s="2"/>
      <c r="EI130" s="2">
        <v>12917</v>
      </c>
      <c r="EJ130" s="2">
        <v>12095</v>
      </c>
      <c r="EK130" s="2"/>
      <c r="EL130" s="2"/>
      <c r="EM130" s="2"/>
      <c r="EN130" s="2"/>
      <c r="EO130" s="2"/>
      <c r="EP130" s="2"/>
      <c r="EQ130" s="2"/>
      <c r="ER130" s="2"/>
      <c r="ES130" s="2"/>
      <c r="ET130" s="2">
        <f t="shared" si="276"/>
        <v>57937</v>
      </c>
      <c r="EU130" s="2">
        <f t="shared" si="277"/>
        <v>57484</v>
      </c>
      <c r="EV130" s="262">
        <f t="shared" si="292"/>
        <v>0.99218116229697773</v>
      </c>
      <c r="EW130" s="2">
        <v>57669</v>
      </c>
      <c r="EX130" s="1042">
        <v>-267</v>
      </c>
      <c r="EY130" s="273">
        <f t="shared" si="278"/>
        <v>37909</v>
      </c>
      <c r="EZ130" s="2">
        <f t="shared" si="279"/>
        <v>20063</v>
      </c>
      <c r="FA130" s="1714"/>
      <c r="FB130" s="1714"/>
      <c r="FC130" s="2">
        <v>9913</v>
      </c>
      <c r="FD130" s="2">
        <v>3489</v>
      </c>
      <c r="FE130" s="1052">
        <v>5021</v>
      </c>
      <c r="FF130" s="1050"/>
      <c r="FG130" s="115"/>
      <c r="FH130" s="83"/>
      <c r="FI130" s="2">
        <v>1123</v>
      </c>
      <c r="FJ130" s="2">
        <f t="shared" si="314"/>
        <v>1123</v>
      </c>
      <c r="FK130" s="273">
        <f t="shared" si="224"/>
        <v>1839</v>
      </c>
      <c r="FL130" s="310">
        <v>1839</v>
      </c>
      <c r="FM130" s="310"/>
      <c r="FN130" s="115"/>
      <c r="FO130" s="115"/>
      <c r="FP130" s="115"/>
      <c r="FQ130" s="2">
        <v>-1099</v>
      </c>
      <c r="FR130" s="115"/>
      <c r="FS130" s="1051"/>
      <c r="FT130" s="310">
        <f t="shared" si="324"/>
        <v>5180</v>
      </c>
      <c r="FU130" s="310">
        <v>5237</v>
      </c>
      <c r="FV130" s="310"/>
      <c r="FW130" s="2">
        <v>5180</v>
      </c>
      <c r="FX130" s="115"/>
      <c r="FY130" s="115"/>
      <c r="FZ130" s="115"/>
      <c r="GA130" s="2"/>
      <c r="GB130" s="115"/>
      <c r="GC130" s="115"/>
      <c r="GD130" s="2"/>
      <c r="GE130" s="115"/>
      <c r="GF130" s="115"/>
      <c r="GG130" s="115"/>
      <c r="GH130" s="2"/>
      <c r="GI130" s="115"/>
      <c r="GJ130" s="115"/>
      <c r="GK130" s="1056">
        <f t="shared" si="281"/>
        <v>4521</v>
      </c>
      <c r="GL130" s="1059">
        <v>4095</v>
      </c>
      <c r="GM130" s="1059">
        <v>417</v>
      </c>
      <c r="GN130" s="1059">
        <v>941</v>
      </c>
      <c r="GO130" s="1059">
        <v>4521</v>
      </c>
      <c r="GP130" s="1058">
        <f t="shared" si="246"/>
        <v>2605</v>
      </c>
      <c r="GQ130" s="2">
        <v>2605</v>
      </c>
      <c r="GR130" s="2">
        <v>-1099</v>
      </c>
      <c r="GS130" s="115"/>
      <c r="GT130" s="115"/>
      <c r="GU130" s="2">
        <f t="shared" si="225"/>
        <v>3015</v>
      </c>
      <c r="GV130" s="615">
        <v>2613</v>
      </c>
      <c r="GW130" s="615">
        <v>1481</v>
      </c>
      <c r="GX130" s="615">
        <v>1610</v>
      </c>
      <c r="GY130" s="615">
        <f t="shared" si="322"/>
        <v>1003</v>
      </c>
      <c r="GZ130" s="310">
        <f t="shared" si="323"/>
        <v>3365</v>
      </c>
      <c r="HA130" s="2">
        <v>2952</v>
      </c>
      <c r="HB130" s="2">
        <v>413</v>
      </c>
      <c r="HC130" s="1052"/>
      <c r="HD130" s="170">
        <f t="shared" si="294"/>
        <v>454</v>
      </c>
      <c r="HE130" s="2">
        <v>1504</v>
      </c>
      <c r="HF130" s="2">
        <v>1050</v>
      </c>
      <c r="HG130" s="170">
        <f t="shared" si="295"/>
        <v>-63</v>
      </c>
      <c r="HH130" s="2">
        <v>39</v>
      </c>
      <c r="HI130" s="2">
        <v>102</v>
      </c>
      <c r="HJ130" s="2">
        <f t="shared" si="282"/>
        <v>0</v>
      </c>
      <c r="HK130" s="2"/>
      <c r="HL130" s="2"/>
      <c r="HM130" s="2">
        <f t="shared" si="247"/>
        <v>0</v>
      </c>
      <c r="HN130" s="2">
        <f t="shared" si="283"/>
        <v>-90</v>
      </c>
      <c r="HO130" s="2">
        <f t="shared" si="284"/>
        <v>-90</v>
      </c>
      <c r="HP130" s="2">
        <v>57926</v>
      </c>
      <c r="HQ130" s="2">
        <v>57836</v>
      </c>
      <c r="HR130" s="115"/>
      <c r="HS130" s="1051"/>
      <c r="HT130" s="1002">
        <v>80</v>
      </c>
      <c r="HU130" s="1002">
        <v>9.8000000000000007</v>
      </c>
      <c r="HV130" s="1002">
        <v>10.6</v>
      </c>
    </row>
    <row r="131" spans="1:230">
      <c r="A131" s="110">
        <f t="shared" si="296"/>
        <v>1972</v>
      </c>
      <c r="B131" s="176">
        <f t="shared" si="248"/>
        <v>58063</v>
      </c>
      <c r="C131" s="177">
        <f t="shared" si="317"/>
        <v>298</v>
      </c>
      <c r="D131" s="176">
        <f t="shared" si="285"/>
        <v>57765</v>
      </c>
      <c r="E131" s="154">
        <f t="shared" si="251"/>
        <v>64654</v>
      </c>
      <c r="F131" s="995">
        <f t="shared" si="252"/>
        <v>6889</v>
      </c>
      <c r="G131" s="531">
        <f t="shared" si="297"/>
        <v>57698</v>
      </c>
      <c r="H131" s="531">
        <f t="shared" si="298"/>
        <v>57400</v>
      </c>
      <c r="I131" s="531">
        <f t="shared" si="299"/>
        <v>64289</v>
      </c>
      <c r="J131" s="548">
        <f t="shared" si="300"/>
        <v>1.0056774875950785</v>
      </c>
      <c r="K131" s="178">
        <f t="shared" si="242"/>
        <v>6858</v>
      </c>
      <c r="L131" s="2">
        <v>8033</v>
      </c>
      <c r="M131" s="2">
        <v>1175</v>
      </c>
      <c r="N131" s="2">
        <v>5022</v>
      </c>
      <c r="O131" s="170">
        <f t="shared" si="286"/>
        <v>1836</v>
      </c>
      <c r="P131" s="175">
        <v>0</v>
      </c>
      <c r="Q131" s="175">
        <f t="shared" si="243"/>
        <v>1622</v>
      </c>
      <c r="R131" s="175">
        <f t="shared" si="287"/>
        <v>214</v>
      </c>
      <c r="S131" s="532"/>
      <c r="T131" s="1008">
        <f t="shared" si="253"/>
        <v>1466.57</v>
      </c>
      <c r="U131" s="1010">
        <v>1295</v>
      </c>
      <c r="V131" s="511">
        <f t="shared" si="288"/>
        <v>1978.57</v>
      </c>
      <c r="W131" s="2">
        <v>1807</v>
      </c>
      <c r="X131" s="169">
        <f t="shared" si="254"/>
        <v>512</v>
      </c>
      <c r="Y131" s="113">
        <f t="shared" si="255"/>
        <v>0.25877275001642602</v>
      </c>
      <c r="Z131" s="113">
        <f t="shared" si="256"/>
        <v>0.28334255672385167</v>
      </c>
      <c r="AA131" s="276">
        <f>X131/DataUK3!D131</f>
        <v>7.4478933850548159E-3</v>
      </c>
      <c r="AB131" s="1019">
        <f t="shared" si="257"/>
        <v>7.9190769325950452E-3</v>
      </c>
      <c r="AC131" s="2"/>
      <c r="AD131" s="2">
        <v>258</v>
      </c>
      <c r="AE131" s="2"/>
      <c r="AF131" s="2"/>
      <c r="AG131" s="2"/>
      <c r="AH131" s="2"/>
      <c r="AI131" s="1010">
        <f>AD131*DataUK3!BG131</f>
        <v>171.57000000000002</v>
      </c>
      <c r="AJ131" s="171">
        <f t="shared" si="249"/>
        <v>6041.2814825952937</v>
      </c>
      <c r="AK131" s="561"/>
      <c r="AL131" s="169">
        <f t="shared" si="301"/>
        <v>6930.2814825952937</v>
      </c>
      <c r="AM131" s="169"/>
      <c r="AN131" s="2">
        <v>3568</v>
      </c>
      <c r="AO131" s="1029">
        <f t="shared" si="258"/>
        <v>4457</v>
      </c>
      <c r="AP131" s="170"/>
      <c r="AQ131" s="170"/>
      <c r="AR131" s="170"/>
      <c r="AS131" s="170"/>
      <c r="AT131" s="170"/>
      <c r="AU131" s="170"/>
      <c r="AV131" s="170"/>
      <c r="AW131" s="170"/>
      <c r="AX131" s="170"/>
      <c r="AY131" s="170"/>
      <c r="AZ131" s="170"/>
      <c r="BA131" s="170"/>
      <c r="BB131" s="170"/>
      <c r="BC131" s="170"/>
      <c r="BD131" s="170"/>
      <c r="BE131" s="170"/>
      <c r="BF131" s="170"/>
      <c r="BG131" s="170"/>
      <c r="BH131" s="170"/>
      <c r="BI131" s="273">
        <v>37929</v>
      </c>
      <c r="BJ131" s="2">
        <f t="shared" si="302"/>
        <v>37981</v>
      </c>
      <c r="BK131" s="170"/>
      <c r="BL131" s="170"/>
      <c r="BM131" s="1031">
        <f t="shared" si="303"/>
        <v>2473.2814825952937</v>
      </c>
      <c r="BN131" s="254"/>
      <c r="BO131" s="262">
        <f t="shared" si="289"/>
        <v>6.1450493429550661E-2</v>
      </c>
      <c r="BP131" s="262">
        <f t="shared" si="264"/>
        <v>7.6761448771162352E-2</v>
      </c>
      <c r="BQ131" s="262">
        <f t="shared" si="290"/>
        <v>4.2596515553713958E-2</v>
      </c>
      <c r="BR131" s="262">
        <f t="shared" si="304"/>
        <v>6.5208191162310997E-2</v>
      </c>
      <c r="BS131" s="988">
        <f t="shared" si="185"/>
        <v>0.55492068265543948</v>
      </c>
      <c r="BT131" s="519">
        <f t="shared" si="265"/>
        <v>889</v>
      </c>
      <c r="BU131" s="519"/>
      <c r="BV131" s="113">
        <f t="shared" si="266"/>
        <v>0.1282776179052228</v>
      </c>
      <c r="BW131" s="276">
        <f t="shared" si="305"/>
        <v>1.3750116002103505E-2</v>
      </c>
      <c r="BX131" s="273">
        <v>1401</v>
      </c>
      <c r="BY131" s="113"/>
      <c r="BZ131" s="1013"/>
      <c r="CA131" s="1005">
        <f t="shared" si="291"/>
        <v>58063</v>
      </c>
      <c r="CB131" s="2"/>
      <c r="CC131" s="2"/>
      <c r="CD131" s="2"/>
      <c r="CE131" s="2"/>
      <c r="CF131" s="2">
        <v>64620</v>
      </c>
      <c r="CG131" s="2">
        <v>152</v>
      </c>
      <c r="CH131" s="2">
        <f t="shared" si="267"/>
        <v>186</v>
      </c>
      <c r="CI131" s="2">
        <v>6889</v>
      </c>
      <c r="CJ131" s="2"/>
      <c r="CK131" s="2"/>
      <c r="CL131" s="171">
        <f t="shared" si="306"/>
        <v>35679.148517404705</v>
      </c>
      <c r="CM131" s="169">
        <f t="shared" si="307"/>
        <v>40313.148517404705</v>
      </c>
      <c r="CN131" s="170">
        <f t="shared" si="268"/>
        <v>12525.43</v>
      </c>
      <c r="CO131" s="170">
        <f t="shared" si="269"/>
        <v>12697</v>
      </c>
      <c r="CP131" s="170">
        <f t="shared" si="308"/>
        <v>27787.718517404704</v>
      </c>
      <c r="CQ131" s="170">
        <f t="shared" si="309"/>
        <v>4634</v>
      </c>
      <c r="CR131" s="170">
        <v>1647</v>
      </c>
      <c r="CS131" s="113">
        <f t="shared" si="310"/>
        <v>7.1673833018838742E-2</v>
      </c>
      <c r="CT131" s="170">
        <f t="shared" si="270"/>
        <v>38892.718517404704</v>
      </c>
      <c r="CU131" s="2">
        <v>12423</v>
      </c>
      <c r="CV131" s="169">
        <f t="shared" si="271"/>
        <v>26469.718517404704</v>
      </c>
      <c r="CW131" s="2">
        <v>4525</v>
      </c>
      <c r="CX131" s="2"/>
      <c r="CY131" s="2"/>
      <c r="CZ131" s="170">
        <f t="shared" si="272"/>
        <v>1420.43</v>
      </c>
      <c r="DA131" s="170">
        <f t="shared" si="273"/>
        <v>1592</v>
      </c>
      <c r="DB131" s="170">
        <f t="shared" si="274"/>
        <v>102.42999999999998</v>
      </c>
      <c r="DC131" s="2">
        <v>274</v>
      </c>
      <c r="DD131" s="2">
        <v>1318</v>
      </c>
      <c r="DE131" s="2">
        <v>109</v>
      </c>
      <c r="DF131" s="2"/>
      <c r="DG131" s="2"/>
      <c r="DH131" s="171">
        <f t="shared" si="318"/>
        <v>7720</v>
      </c>
      <c r="DI131" s="2">
        <f t="shared" si="320"/>
        <v>8574</v>
      </c>
      <c r="DJ131" s="2">
        <v>7720</v>
      </c>
      <c r="DK131" s="2">
        <v>854</v>
      </c>
      <c r="DL131" s="113">
        <f t="shared" si="275"/>
        <v>0.13295902726348965</v>
      </c>
      <c r="DM131" s="113">
        <f t="shared" si="311"/>
        <v>0.20325952449909165</v>
      </c>
      <c r="DN131" s="113">
        <f t="shared" si="321"/>
        <v>0.63102828183750204</v>
      </c>
      <c r="DO131" s="2">
        <v>214</v>
      </c>
      <c r="DP131" s="2">
        <v>0</v>
      </c>
      <c r="DQ131" s="274"/>
      <c r="DR131" s="2">
        <v>7314</v>
      </c>
      <c r="DS131" s="2">
        <v>4920</v>
      </c>
      <c r="DT131" s="169">
        <f t="shared" si="245"/>
        <v>12234</v>
      </c>
      <c r="DU131" s="2">
        <v>39655</v>
      </c>
      <c r="DV131" s="2"/>
      <c r="DW131" s="2">
        <v>12414</v>
      </c>
      <c r="DX131" s="2"/>
      <c r="DY131" s="2"/>
      <c r="DZ131" s="2"/>
      <c r="EA131" s="2"/>
      <c r="EB131" s="2"/>
      <c r="EC131" s="2"/>
      <c r="ED131" s="175">
        <v>1787</v>
      </c>
      <c r="EE131" s="2"/>
      <c r="EF131" s="175">
        <f t="shared" si="315"/>
        <v>2776</v>
      </c>
      <c r="EG131" s="2"/>
      <c r="EH131" s="2"/>
      <c r="EI131" s="2">
        <v>13644</v>
      </c>
      <c r="EJ131" s="2">
        <v>13658</v>
      </c>
      <c r="EK131" s="2"/>
      <c r="EL131" s="2"/>
      <c r="EM131" s="2"/>
      <c r="EN131" s="2"/>
      <c r="EO131" s="2"/>
      <c r="EP131" s="2"/>
      <c r="EQ131" s="2"/>
      <c r="ER131" s="2"/>
      <c r="ES131" s="2"/>
      <c r="ET131" s="2">
        <f t="shared" si="276"/>
        <v>64289</v>
      </c>
      <c r="EU131" s="2">
        <f t="shared" si="277"/>
        <v>64654</v>
      </c>
      <c r="EV131" s="262">
        <f t="shared" si="292"/>
        <v>1.0056774875950785</v>
      </c>
      <c r="EW131" s="2">
        <v>64620</v>
      </c>
      <c r="EX131" s="1042">
        <v>332</v>
      </c>
      <c r="EY131" s="273">
        <f t="shared" si="278"/>
        <v>43978</v>
      </c>
      <c r="EZ131" s="2">
        <f t="shared" si="279"/>
        <v>21242</v>
      </c>
      <c r="FA131" s="1714"/>
      <c r="FB131" s="1714"/>
      <c r="FC131" s="2">
        <v>10258</v>
      </c>
      <c r="FD131" s="2">
        <v>4126</v>
      </c>
      <c r="FE131" s="1052">
        <v>6041</v>
      </c>
      <c r="FF131" s="1050"/>
      <c r="FG131" s="115"/>
      <c r="FH131" s="83"/>
      <c r="FI131" s="2">
        <v>142</v>
      </c>
      <c r="FJ131" s="2">
        <f t="shared" si="314"/>
        <v>142</v>
      </c>
      <c r="FK131" s="273">
        <f t="shared" si="224"/>
        <v>3141</v>
      </c>
      <c r="FL131" s="310">
        <v>3141</v>
      </c>
      <c r="FM131" s="310"/>
      <c r="FN131" s="115"/>
      <c r="FO131" s="115"/>
      <c r="FP131" s="115"/>
      <c r="FQ131" s="2">
        <v>-404</v>
      </c>
      <c r="FR131" s="115"/>
      <c r="FS131" s="1051"/>
      <c r="FT131" s="310">
        <f t="shared" si="324"/>
        <v>6479</v>
      </c>
      <c r="FU131" s="310">
        <v>6143</v>
      </c>
      <c r="FV131" s="310"/>
      <c r="FW131" s="2">
        <v>6479</v>
      </c>
      <c r="FX131" s="115"/>
      <c r="FY131" s="115"/>
      <c r="FZ131" s="115"/>
      <c r="GA131" s="2"/>
      <c r="GB131" s="115"/>
      <c r="GC131" s="115"/>
      <c r="GD131" s="2"/>
      <c r="GE131" s="115"/>
      <c r="GF131" s="115"/>
      <c r="GG131" s="115"/>
      <c r="GH131" s="2"/>
      <c r="GI131" s="115"/>
      <c r="GJ131" s="115"/>
      <c r="GK131" s="1056">
        <f t="shared" si="281"/>
        <v>3044</v>
      </c>
      <c r="GL131" s="1059">
        <v>2545</v>
      </c>
      <c r="GM131" s="1059">
        <v>490</v>
      </c>
      <c r="GN131" s="1059">
        <v>1199</v>
      </c>
      <c r="GO131" s="1059">
        <v>3044</v>
      </c>
      <c r="GP131" s="1058">
        <f t="shared" si="246"/>
        <v>2776</v>
      </c>
      <c r="GQ131" s="2">
        <v>2776</v>
      </c>
      <c r="GR131" s="2">
        <v>-404</v>
      </c>
      <c r="GS131" s="115"/>
      <c r="GT131" s="115"/>
      <c r="GU131" s="2">
        <f t="shared" si="225"/>
        <v>672</v>
      </c>
      <c r="GV131" s="615">
        <v>2898</v>
      </c>
      <c r="GW131" s="615">
        <v>1725</v>
      </c>
      <c r="GX131" s="615">
        <v>1782</v>
      </c>
      <c r="GY131" s="615">
        <f t="shared" si="322"/>
        <v>1116</v>
      </c>
      <c r="GZ131" s="310">
        <f t="shared" si="323"/>
        <v>1797</v>
      </c>
      <c r="HA131" s="2">
        <v>1324</v>
      </c>
      <c r="HB131" s="2">
        <v>473</v>
      </c>
      <c r="HC131" s="1052"/>
      <c r="HD131" s="170">
        <f t="shared" si="294"/>
        <v>350</v>
      </c>
      <c r="HE131" s="2">
        <v>3323</v>
      </c>
      <c r="HF131" s="2">
        <v>2973</v>
      </c>
      <c r="HG131" s="170">
        <f t="shared" si="295"/>
        <v>-52</v>
      </c>
      <c r="HH131" s="2">
        <v>49</v>
      </c>
      <c r="HI131" s="2">
        <v>101</v>
      </c>
      <c r="HJ131" s="2">
        <f t="shared" si="282"/>
        <v>0</v>
      </c>
      <c r="HK131" s="2"/>
      <c r="HL131" s="2"/>
      <c r="HM131" s="2">
        <f t="shared" si="247"/>
        <v>0</v>
      </c>
      <c r="HN131" s="2">
        <f t="shared" si="283"/>
        <v>-142</v>
      </c>
      <c r="HO131" s="2">
        <f t="shared" si="284"/>
        <v>-142</v>
      </c>
      <c r="HP131" s="2">
        <v>64740</v>
      </c>
      <c r="HQ131" s="2">
        <v>64598</v>
      </c>
      <c r="HR131" s="115"/>
      <c r="HS131" s="1051"/>
      <c r="HT131" s="1002">
        <v>85.7</v>
      </c>
      <c r="HU131" s="1002">
        <v>10.6</v>
      </c>
      <c r="HV131" s="1002">
        <v>11.3</v>
      </c>
    </row>
    <row r="132" spans="1:230">
      <c r="A132" s="110">
        <f t="shared" si="296"/>
        <v>1973</v>
      </c>
      <c r="B132" s="176">
        <f t="shared" si="248"/>
        <v>67056</v>
      </c>
      <c r="C132" s="177">
        <f t="shared" si="317"/>
        <v>748</v>
      </c>
      <c r="D132" s="176">
        <f t="shared" si="285"/>
        <v>66308</v>
      </c>
      <c r="E132" s="154">
        <f t="shared" si="251"/>
        <v>74609</v>
      </c>
      <c r="F132" s="995">
        <f t="shared" si="252"/>
        <v>8301</v>
      </c>
      <c r="G132" s="531">
        <f t="shared" si="297"/>
        <v>67142</v>
      </c>
      <c r="H132" s="531">
        <f t="shared" si="298"/>
        <v>66394</v>
      </c>
      <c r="I132" s="531">
        <f t="shared" si="299"/>
        <v>74695</v>
      </c>
      <c r="J132" s="548">
        <f t="shared" si="300"/>
        <v>0.99884865118147137</v>
      </c>
      <c r="K132" s="178">
        <f t="shared" si="242"/>
        <v>6948</v>
      </c>
      <c r="L132" s="2">
        <v>8423</v>
      </c>
      <c r="M132" s="2">
        <v>1475</v>
      </c>
      <c r="N132" s="2">
        <v>5336</v>
      </c>
      <c r="O132" s="170">
        <f t="shared" si="286"/>
        <v>1612</v>
      </c>
      <c r="P132" s="175">
        <v>0</v>
      </c>
      <c r="Q132" s="175">
        <f t="shared" si="243"/>
        <v>1373</v>
      </c>
      <c r="R132" s="175">
        <f t="shared" si="287"/>
        <v>239</v>
      </c>
      <c r="S132" s="532"/>
      <c r="T132" s="1008">
        <f t="shared" si="253"/>
        <v>1790.8649789029537</v>
      </c>
      <c r="U132" s="1010">
        <v>1494</v>
      </c>
      <c r="V132" s="511">
        <f t="shared" si="288"/>
        <v>2446.8649789029537</v>
      </c>
      <c r="W132" s="2">
        <v>2150</v>
      </c>
      <c r="X132" s="169">
        <f t="shared" si="254"/>
        <v>656</v>
      </c>
      <c r="Y132" s="113">
        <f t="shared" si="255"/>
        <v>0.26809816056712543</v>
      </c>
      <c r="Z132" s="113">
        <f t="shared" si="256"/>
        <v>0.30511627906976746</v>
      </c>
      <c r="AA132" s="276">
        <f>X132/DataUK3!D132</f>
        <v>6.7752555137170515E-3</v>
      </c>
      <c r="AB132" s="1019">
        <f t="shared" si="257"/>
        <v>8.7925049256792082E-3</v>
      </c>
      <c r="AC132" s="2"/>
      <c r="AD132" s="2">
        <v>437</v>
      </c>
      <c r="AE132" s="2"/>
      <c r="AF132" s="2"/>
      <c r="AG132" s="2"/>
      <c r="AH132" s="2"/>
      <c r="AI132" s="1010">
        <f>AD132*DataUK3!BG132</f>
        <v>296.86497890295362</v>
      </c>
      <c r="AJ132" s="171">
        <f t="shared" si="249"/>
        <v>7441.2834373355399</v>
      </c>
      <c r="AK132" s="561"/>
      <c r="AL132" s="169">
        <f t="shared" si="301"/>
        <v>8558.2834373355399</v>
      </c>
      <c r="AM132" s="169"/>
      <c r="AN132" s="2">
        <v>4387</v>
      </c>
      <c r="AO132" s="1029">
        <f t="shared" si="258"/>
        <v>5504</v>
      </c>
      <c r="AP132" s="170"/>
      <c r="AQ132" s="170"/>
      <c r="AR132" s="170"/>
      <c r="AS132" s="170"/>
      <c r="AT132" s="170"/>
      <c r="AU132" s="170"/>
      <c r="AV132" s="170"/>
      <c r="AW132" s="170"/>
      <c r="AX132" s="170"/>
      <c r="AY132" s="170"/>
      <c r="AZ132" s="170"/>
      <c r="BA132" s="170"/>
      <c r="BB132" s="170"/>
      <c r="BC132" s="170"/>
      <c r="BD132" s="170"/>
      <c r="BE132" s="170"/>
      <c r="BF132" s="170"/>
      <c r="BG132" s="170"/>
      <c r="BH132" s="170"/>
      <c r="BI132" s="273">
        <v>43954</v>
      </c>
      <c r="BJ132" s="2">
        <f t="shared" si="302"/>
        <v>44022</v>
      </c>
      <c r="BK132" s="170"/>
      <c r="BL132" s="170"/>
      <c r="BM132" s="1031">
        <f t="shared" si="303"/>
        <v>3054.283437335539</v>
      </c>
      <c r="BN132" s="254"/>
      <c r="BO132" s="262">
        <f t="shared" si="289"/>
        <v>6.5422930088284426E-2</v>
      </c>
      <c r="BP132" s="262">
        <f t="shared" si="264"/>
        <v>8.2080649009782874E-2</v>
      </c>
      <c r="BQ132" s="262">
        <f t="shared" si="290"/>
        <v>4.5548249781310231E-2</v>
      </c>
      <c r="BR132" s="262">
        <f t="shared" si="304"/>
        <v>6.9488179399725597E-2</v>
      </c>
      <c r="BS132" s="988">
        <f t="shared" si="185"/>
        <v>0.55492068265543948</v>
      </c>
      <c r="BT132" s="519">
        <f t="shared" si="265"/>
        <v>1117</v>
      </c>
      <c r="BU132" s="519"/>
      <c r="BV132" s="113">
        <f t="shared" si="266"/>
        <v>0.13051682713931673</v>
      </c>
      <c r="BW132" s="276">
        <f t="shared" si="305"/>
        <v>1.4971384149365358E-2</v>
      </c>
      <c r="BX132" s="273">
        <v>1773</v>
      </c>
      <c r="BY132" s="113"/>
      <c r="BZ132" s="1013"/>
      <c r="CA132" s="1005">
        <f t="shared" si="291"/>
        <v>67056</v>
      </c>
      <c r="CB132" s="2"/>
      <c r="CC132" s="2"/>
      <c r="CD132" s="2"/>
      <c r="CE132" s="2"/>
      <c r="CF132" s="2">
        <v>74544</v>
      </c>
      <c r="CG132" s="2">
        <v>209</v>
      </c>
      <c r="CH132" s="2">
        <f t="shared" si="267"/>
        <v>274</v>
      </c>
      <c r="CI132" s="2">
        <v>8301</v>
      </c>
      <c r="CJ132" s="2"/>
      <c r="CK132" s="2"/>
      <c r="CL132" s="171">
        <f t="shared" si="306"/>
        <v>41392.851583761512</v>
      </c>
      <c r="CM132" s="169">
        <f t="shared" si="307"/>
        <v>46893.851583761512</v>
      </c>
      <c r="CN132" s="170">
        <f t="shared" si="268"/>
        <v>14661.135021097047</v>
      </c>
      <c r="CO132" s="170">
        <f t="shared" si="269"/>
        <v>14958</v>
      </c>
      <c r="CP132" s="170">
        <f t="shared" si="308"/>
        <v>32232.716562664464</v>
      </c>
      <c r="CQ132" s="170">
        <f t="shared" si="309"/>
        <v>5501</v>
      </c>
      <c r="CR132" s="170">
        <v>1910</v>
      </c>
      <c r="CS132" s="113">
        <f t="shared" si="310"/>
        <v>7.3731051213660553E-2</v>
      </c>
      <c r="CT132" s="170">
        <f t="shared" si="270"/>
        <v>45038.716562664464</v>
      </c>
      <c r="CU132" s="2">
        <v>14344</v>
      </c>
      <c r="CV132" s="169">
        <f t="shared" si="271"/>
        <v>30694.716562664464</v>
      </c>
      <c r="CW132" s="2">
        <v>5353</v>
      </c>
      <c r="CX132" s="2"/>
      <c r="CY132" s="2"/>
      <c r="CZ132" s="170">
        <f t="shared" si="272"/>
        <v>1855.1350210970463</v>
      </c>
      <c r="DA132" s="170">
        <f t="shared" si="273"/>
        <v>2152</v>
      </c>
      <c r="DB132" s="170">
        <f t="shared" si="274"/>
        <v>317.13502109704638</v>
      </c>
      <c r="DC132" s="2">
        <v>614</v>
      </c>
      <c r="DD132" s="2">
        <v>1538</v>
      </c>
      <c r="DE132" s="2">
        <v>148</v>
      </c>
      <c r="DF132" s="2"/>
      <c r="DG132" s="2"/>
      <c r="DH132" s="171">
        <f t="shared" si="318"/>
        <v>8735</v>
      </c>
      <c r="DI132" s="2">
        <f t="shared" si="320"/>
        <v>9762</v>
      </c>
      <c r="DJ132" s="2">
        <v>8735</v>
      </c>
      <c r="DK132" s="2">
        <v>1027</v>
      </c>
      <c r="DL132" s="113">
        <f t="shared" si="275"/>
        <v>0.13026425674063469</v>
      </c>
      <c r="DM132" s="113">
        <f t="shared" si="311"/>
        <v>0.19842351551496978</v>
      </c>
      <c r="DN132" s="113">
        <f t="shared" si="321"/>
        <v>0.6235722444317533</v>
      </c>
      <c r="DO132" s="2">
        <v>239</v>
      </c>
      <c r="DP132" s="2">
        <v>0</v>
      </c>
      <c r="DQ132" s="274"/>
      <c r="DR132" s="2">
        <v>8219</v>
      </c>
      <c r="DS132" s="2">
        <v>5789</v>
      </c>
      <c r="DT132" s="169">
        <f t="shared" si="245"/>
        <v>14008</v>
      </c>
      <c r="DU132" s="2">
        <v>45539</v>
      </c>
      <c r="DV132" s="2"/>
      <c r="DW132" s="2">
        <v>16814</v>
      </c>
      <c r="DX132" s="2"/>
      <c r="DY132" s="2"/>
      <c r="DZ132" s="2"/>
      <c r="EA132" s="2"/>
      <c r="EB132" s="2"/>
      <c r="EC132" s="2"/>
      <c r="ED132" s="175">
        <v>2085</v>
      </c>
      <c r="EE132" s="2"/>
      <c r="EF132" s="175">
        <f t="shared" si="315"/>
        <v>3681</v>
      </c>
      <c r="EG132" s="2"/>
      <c r="EH132" s="2"/>
      <c r="EI132" s="2">
        <v>17174</v>
      </c>
      <c r="EJ132" s="2">
        <v>18840</v>
      </c>
      <c r="EK132" s="2"/>
      <c r="EL132" s="2"/>
      <c r="EM132" s="2"/>
      <c r="EN132" s="2"/>
      <c r="EO132" s="2"/>
      <c r="EP132" s="2"/>
      <c r="EQ132" s="2"/>
      <c r="ER132" s="2"/>
      <c r="ES132" s="2"/>
      <c r="ET132" s="2">
        <f t="shared" si="276"/>
        <v>74695</v>
      </c>
      <c r="EU132" s="2">
        <f t="shared" si="277"/>
        <v>74609</v>
      </c>
      <c r="EV132" s="262">
        <f t="shared" si="292"/>
        <v>0.99884865118147137</v>
      </c>
      <c r="EW132" s="2">
        <v>74544</v>
      </c>
      <c r="EX132" s="1042">
        <v>-150</v>
      </c>
      <c r="EY132" s="273">
        <f t="shared" si="278"/>
        <v>51664</v>
      </c>
      <c r="EZ132" s="2">
        <f t="shared" si="279"/>
        <v>23389</v>
      </c>
      <c r="FA132" s="1714"/>
      <c r="FB132" s="1714"/>
      <c r="FC132" s="2">
        <v>11570</v>
      </c>
      <c r="FD132" s="2">
        <v>4871</v>
      </c>
      <c r="FE132" s="1052">
        <v>6685</v>
      </c>
      <c r="FF132" s="1050"/>
      <c r="FG132" s="115"/>
      <c r="FH132" s="83"/>
      <c r="FI132" s="2">
        <v>-1100</v>
      </c>
      <c r="FJ132" s="2">
        <f t="shared" si="314"/>
        <v>-1100</v>
      </c>
      <c r="FK132" s="273">
        <f t="shared" si="224"/>
        <v>4045</v>
      </c>
      <c r="FL132" s="310">
        <v>4045</v>
      </c>
      <c r="FM132" s="310"/>
      <c r="FN132" s="115"/>
      <c r="FO132" s="115"/>
      <c r="FP132" s="115"/>
      <c r="FQ132" s="2">
        <v>-220</v>
      </c>
      <c r="FR132" s="115"/>
      <c r="FS132" s="1051"/>
      <c r="FT132" s="310">
        <f t="shared" si="324"/>
        <v>7920</v>
      </c>
      <c r="FU132" s="310">
        <v>7921</v>
      </c>
      <c r="FV132" s="310"/>
      <c r="FW132" s="2">
        <v>7920</v>
      </c>
      <c r="FX132" s="115"/>
      <c r="FY132" s="115"/>
      <c r="FZ132" s="115"/>
      <c r="GA132" s="2"/>
      <c r="GB132" s="115"/>
      <c r="GC132" s="115"/>
      <c r="GD132" s="2"/>
      <c r="GE132" s="115"/>
      <c r="GF132" s="115"/>
      <c r="GG132" s="115"/>
      <c r="GH132" s="2"/>
      <c r="GI132" s="115"/>
      <c r="GJ132" s="115"/>
      <c r="GK132" s="1056">
        <f t="shared" si="281"/>
        <v>2747</v>
      </c>
      <c r="GL132" s="1059">
        <v>2332</v>
      </c>
      <c r="GM132" s="1059">
        <v>420</v>
      </c>
      <c r="GN132" s="1059">
        <v>1572</v>
      </c>
      <c r="GO132" s="1059">
        <v>2747</v>
      </c>
      <c r="GP132" s="1058">
        <f t="shared" si="246"/>
        <v>3681</v>
      </c>
      <c r="GQ132" s="2">
        <v>3681</v>
      </c>
      <c r="GR132" s="2">
        <v>-220</v>
      </c>
      <c r="GS132" s="115"/>
      <c r="GT132" s="115"/>
      <c r="GU132" s="2">
        <f t="shared" si="225"/>
        <v>-714</v>
      </c>
      <c r="GV132" s="615">
        <v>3405</v>
      </c>
      <c r="GW132" s="615">
        <v>1925</v>
      </c>
      <c r="GX132" s="615">
        <v>2093</v>
      </c>
      <c r="GY132" s="615">
        <f t="shared" si="322"/>
        <v>1312</v>
      </c>
      <c r="GZ132" s="310">
        <f t="shared" si="323"/>
        <v>1763</v>
      </c>
      <c r="HA132" s="2">
        <v>1207</v>
      </c>
      <c r="HB132" s="2">
        <v>556</v>
      </c>
      <c r="HC132" s="1052"/>
      <c r="HD132" s="170">
        <f t="shared" si="294"/>
        <v>970</v>
      </c>
      <c r="HE132" s="2">
        <v>4787</v>
      </c>
      <c r="HF132" s="2">
        <v>3817</v>
      </c>
      <c r="HG132" s="170">
        <f t="shared" si="295"/>
        <v>-68</v>
      </c>
      <c r="HH132" s="2">
        <v>59</v>
      </c>
      <c r="HI132" s="2">
        <v>127</v>
      </c>
      <c r="HJ132" s="2">
        <f t="shared" si="282"/>
        <v>-154</v>
      </c>
      <c r="HK132" s="2"/>
      <c r="HL132" s="2"/>
      <c r="HM132" s="2">
        <f t="shared" si="247"/>
        <v>-154</v>
      </c>
      <c r="HN132" s="2">
        <f t="shared" si="283"/>
        <v>-182</v>
      </c>
      <c r="HO132" s="2">
        <f t="shared" si="284"/>
        <v>-182</v>
      </c>
      <c r="HP132" s="2">
        <v>74926</v>
      </c>
      <c r="HQ132" s="2">
        <v>74744</v>
      </c>
      <c r="HR132" s="115"/>
      <c r="HS132" s="1051"/>
      <c r="HT132" s="1002">
        <v>93.5</v>
      </c>
      <c r="HU132" s="1002">
        <v>11.4</v>
      </c>
      <c r="HV132" s="1002">
        <v>12.4</v>
      </c>
    </row>
    <row r="133" spans="1:230">
      <c r="A133" s="110">
        <f t="shared" si="296"/>
        <v>1974</v>
      </c>
      <c r="B133" s="176">
        <f t="shared" si="248"/>
        <v>74314</v>
      </c>
      <c r="C133" s="177">
        <f t="shared" si="317"/>
        <v>811</v>
      </c>
      <c r="D133" s="176">
        <f t="shared" si="285"/>
        <v>73503</v>
      </c>
      <c r="E133" s="154">
        <f t="shared" si="251"/>
        <v>83740</v>
      </c>
      <c r="F133" s="995">
        <f t="shared" si="252"/>
        <v>10237</v>
      </c>
      <c r="G133" s="531">
        <f t="shared" si="297"/>
        <v>75836</v>
      </c>
      <c r="H133" s="531">
        <f t="shared" si="298"/>
        <v>75025</v>
      </c>
      <c r="I133" s="531">
        <f t="shared" si="299"/>
        <v>85262</v>
      </c>
      <c r="J133" s="548">
        <f t="shared" si="300"/>
        <v>0.98214914029696698</v>
      </c>
      <c r="K133" s="178">
        <f t="shared" si="242"/>
        <v>6758</v>
      </c>
      <c r="L133" s="2">
        <v>9819</v>
      </c>
      <c r="M133" s="2">
        <v>3061</v>
      </c>
      <c r="N133" s="2">
        <v>5294</v>
      </c>
      <c r="O133" s="170">
        <f t="shared" si="286"/>
        <v>1464</v>
      </c>
      <c r="P133" s="175">
        <v>0</v>
      </c>
      <c r="Q133" s="175">
        <f t="shared" si="243"/>
        <v>1180</v>
      </c>
      <c r="R133" s="175">
        <f t="shared" si="287"/>
        <v>284</v>
      </c>
      <c r="S133" s="532"/>
      <c r="T133" s="1008">
        <f t="shared" si="253"/>
        <v>2351.5956678700359</v>
      </c>
      <c r="U133" s="1010">
        <v>1986</v>
      </c>
      <c r="V133" s="511">
        <f t="shared" si="288"/>
        <v>3226.5956678700359</v>
      </c>
      <c r="W133" s="2">
        <v>2861</v>
      </c>
      <c r="X133" s="169">
        <f t="shared" si="254"/>
        <v>875</v>
      </c>
      <c r="Y133" s="113">
        <f t="shared" si="255"/>
        <v>0.27118365301023645</v>
      </c>
      <c r="Z133" s="113">
        <f t="shared" si="256"/>
        <v>0.30583711988815099</v>
      </c>
      <c r="AA133" s="276">
        <f>X133/DataUK3!D133</f>
        <v>8.0848956823876533E-3</v>
      </c>
      <c r="AB133" s="1019">
        <f t="shared" si="257"/>
        <v>1.0449008836876045E-2</v>
      </c>
      <c r="AC133" s="2"/>
      <c r="AD133" s="2">
        <v>533</v>
      </c>
      <c r="AE133" s="2"/>
      <c r="AF133" s="2"/>
      <c r="AG133" s="2"/>
      <c r="AH133" s="2"/>
      <c r="AI133" s="1010">
        <f>AD133*DataUK3!BG133</f>
        <v>365.5956678700361</v>
      </c>
      <c r="AJ133" s="171">
        <f t="shared" si="249"/>
        <v>8156.7437786632581</v>
      </c>
      <c r="AK133" s="561"/>
      <c r="AL133" s="169">
        <f t="shared" si="301"/>
        <v>9335.7437786632581</v>
      </c>
      <c r="AM133" s="169"/>
      <c r="AN133" s="2">
        <v>4825</v>
      </c>
      <c r="AO133" s="1029">
        <f t="shared" si="258"/>
        <v>6004</v>
      </c>
      <c r="AP133" s="170"/>
      <c r="AQ133" s="170"/>
      <c r="AR133" s="170"/>
      <c r="AS133" s="170"/>
      <c r="AT133" s="170"/>
      <c r="AU133" s="170"/>
      <c r="AV133" s="170"/>
      <c r="AW133" s="170"/>
      <c r="AX133" s="170"/>
      <c r="AY133" s="170"/>
      <c r="AZ133" s="170"/>
      <c r="BA133" s="170"/>
      <c r="BB133" s="170"/>
      <c r="BC133" s="170"/>
      <c r="BD133" s="170"/>
      <c r="BE133" s="170"/>
      <c r="BF133" s="170"/>
      <c r="BG133" s="170"/>
      <c r="BH133" s="170"/>
      <c r="BI133" s="273">
        <v>52521</v>
      </c>
      <c r="BJ133" s="2">
        <f t="shared" si="302"/>
        <v>52613</v>
      </c>
      <c r="BK133" s="170"/>
      <c r="BL133" s="170"/>
      <c r="BM133" s="1031">
        <f t="shared" si="303"/>
        <v>3331.7437786632586</v>
      </c>
      <c r="BN133" s="254"/>
      <c r="BO133" s="262">
        <f t="shared" si="289"/>
        <v>6.4927200796619733E-2</v>
      </c>
      <c r="BP133" s="262">
        <f t="shared" si="264"/>
        <v>8.0792313695938853E-2</v>
      </c>
      <c r="BQ133" s="262">
        <f t="shared" si="290"/>
        <v>4.4833325869462794E-2</v>
      </c>
      <c r="BR133" s="262">
        <f t="shared" si="304"/>
        <v>6.3436411695574318E-2</v>
      </c>
      <c r="BS133" s="988">
        <f t="shared" si="185"/>
        <v>0.55492068265543948</v>
      </c>
      <c r="BT133" s="519">
        <f t="shared" si="265"/>
        <v>1179</v>
      </c>
      <c r="BU133" s="519"/>
      <c r="BV133" s="113">
        <f t="shared" si="266"/>
        <v>0.12628881297005942</v>
      </c>
      <c r="BW133" s="276">
        <f t="shared" si="305"/>
        <v>1.4079293049916407E-2</v>
      </c>
      <c r="BX133" s="273">
        <v>2054</v>
      </c>
      <c r="BY133" s="113"/>
      <c r="BZ133" s="1013"/>
      <c r="CA133" s="1005">
        <f t="shared" si="291"/>
        <v>74314.000000000015</v>
      </c>
      <c r="CB133" s="2"/>
      <c r="CC133" s="2"/>
      <c r="CD133" s="2"/>
      <c r="CE133" s="2"/>
      <c r="CF133" s="2">
        <v>84512</v>
      </c>
      <c r="CG133" s="2">
        <v>1102</v>
      </c>
      <c r="CH133" s="2">
        <f t="shared" si="267"/>
        <v>330</v>
      </c>
      <c r="CI133" s="2">
        <v>10237</v>
      </c>
      <c r="CJ133" s="2"/>
      <c r="CK133" s="2"/>
      <c r="CL133" s="171">
        <f t="shared" si="306"/>
        <v>45302.660553466703</v>
      </c>
      <c r="CM133" s="169">
        <f t="shared" si="307"/>
        <v>52258.660553466703</v>
      </c>
      <c r="CN133" s="170">
        <f t="shared" si="268"/>
        <v>13911.404332129963</v>
      </c>
      <c r="CO133" s="170">
        <f t="shared" si="269"/>
        <v>14277</v>
      </c>
      <c r="CP133" s="170">
        <f t="shared" si="308"/>
        <v>38347.256221336742</v>
      </c>
      <c r="CQ133" s="170">
        <f t="shared" si="309"/>
        <v>6956</v>
      </c>
      <c r="CR133" s="170">
        <v>2429</v>
      </c>
      <c r="CS133" s="113">
        <f t="shared" si="310"/>
        <v>8.3066634822068303E-2</v>
      </c>
      <c r="CT133" s="170">
        <f t="shared" si="270"/>
        <v>50508.256221336742</v>
      </c>
      <c r="CU133" s="2">
        <v>13937</v>
      </c>
      <c r="CV133" s="169">
        <f t="shared" si="271"/>
        <v>36571.256221336742</v>
      </c>
      <c r="CW133" s="2">
        <v>6756</v>
      </c>
      <c r="CX133" s="2"/>
      <c r="CY133" s="2"/>
      <c r="CZ133" s="170">
        <f t="shared" si="272"/>
        <v>1750.4043321299639</v>
      </c>
      <c r="DA133" s="170">
        <f t="shared" si="273"/>
        <v>2116</v>
      </c>
      <c r="DB133" s="170">
        <f t="shared" si="274"/>
        <v>-25.595667870036095</v>
      </c>
      <c r="DC133" s="2">
        <v>340</v>
      </c>
      <c r="DD133" s="2">
        <v>1776</v>
      </c>
      <c r="DE133" s="2">
        <v>200</v>
      </c>
      <c r="DF133" s="2"/>
      <c r="DG133" s="2"/>
      <c r="DH133" s="171">
        <f t="shared" si="318"/>
        <v>10934</v>
      </c>
      <c r="DI133" s="2">
        <f t="shared" si="320"/>
        <v>12161</v>
      </c>
      <c r="DJ133" s="2">
        <v>10934</v>
      </c>
      <c r="DK133" s="2">
        <v>1227</v>
      </c>
      <c r="DL133" s="113">
        <f t="shared" si="275"/>
        <v>0.14713243803321044</v>
      </c>
      <c r="DM133" s="113">
        <f t="shared" si="311"/>
        <v>0.20781936023416267</v>
      </c>
      <c r="DN133" s="113">
        <f t="shared" si="321"/>
        <v>0.63012909174734899</v>
      </c>
      <c r="DO133" s="2">
        <v>284</v>
      </c>
      <c r="DP133" s="2">
        <v>0</v>
      </c>
      <c r="DQ133" s="273"/>
      <c r="DR133" s="2">
        <v>10468</v>
      </c>
      <c r="DS133" s="2">
        <v>6884</v>
      </c>
      <c r="DT133" s="169">
        <f t="shared" si="245"/>
        <v>17352</v>
      </c>
      <c r="DU133" s="2">
        <v>52613</v>
      </c>
      <c r="DV133" s="2"/>
      <c r="DW133" s="2">
        <v>19246</v>
      </c>
      <c r="DX133" s="2"/>
      <c r="DY133" s="2"/>
      <c r="DZ133" s="2"/>
      <c r="EA133" s="2"/>
      <c r="EB133" s="2"/>
      <c r="EC133" s="2"/>
      <c r="ED133" s="175">
        <v>4667</v>
      </c>
      <c r="EE133" s="2"/>
      <c r="EF133" s="175">
        <f t="shared" si="315"/>
        <v>4395</v>
      </c>
      <c r="EG133" s="2"/>
      <c r="EH133" s="2"/>
      <c r="EI133" s="2">
        <v>23058</v>
      </c>
      <c r="EJ133" s="2">
        <v>27007</v>
      </c>
      <c r="EK133" s="2"/>
      <c r="EL133" s="2"/>
      <c r="EM133" s="2"/>
      <c r="EN133" s="2"/>
      <c r="EO133" s="2"/>
      <c r="EP133" s="2"/>
      <c r="EQ133" s="2"/>
      <c r="ER133" s="2"/>
      <c r="ES133" s="2"/>
      <c r="ET133" s="2">
        <f t="shared" si="276"/>
        <v>85262</v>
      </c>
      <c r="EU133" s="2">
        <f t="shared" si="277"/>
        <v>83740.000000000015</v>
      </c>
      <c r="EV133" s="262">
        <f t="shared" si="292"/>
        <v>0.9821491402969672</v>
      </c>
      <c r="EW133" s="2">
        <v>84512</v>
      </c>
      <c r="EX133" s="1042">
        <v>-749</v>
      </c>
      <c r="EY133" s="273">
        <f t="shared" si="278"/>
        <v>56022</v>
      </c>
      <c r="EZ133" s="2">
        <f t="shared" si="279"/>
        <v>28189</v>
      </c>
      <c r="FA133" s="1714"/>
      <c r="FB133" s="1714"/>
      <c r="FC133" s="2">
        <v>15278</v>
      </c>
      <c r="FD133" s="2">
        <v>6153</v>
      </c>
      <c r="FE133" s="1052">
        <v>8160</v>
      </c>
      <c r="FF133" s="1050"/>
      <c r="FG133" s="115"/>
      <c r="FH133" s="83"/>
      <c r="FI133" s="2">
        <v>-3333</v>
      </c>
      <c r="FJ133" s="2">
        <f t="shared" si="314"/>
        <v>-3333</v>
      </c>
      <c r="FK133" s="273">
        <f t="shared" si="224"/>
        <v>4809</v>
      </c>
      <c r="FL133" s="310">
        <v>4809</v>
      </c>
      <c r="FM133" s="310"/>
      <c r="FN133" s="115"/>
      <c r="FO133" s="115"/>
      <c r="FP133" s="115"/>
      <c r="FQ133" s="2">
        <v>-1556</v>
      </c>
      <c r="FR133" s="115"/>
      <c r="FS133" s="1051"/>
      <c r="FT133" s="310">
        <f t="shared" si="324"/>
        <v>5772</v>
      </c>
      <c r="FU133" s="310">
        <v>5955</v>
      </c>
      <c r="FV133" s="310"/>
      <c r="FW133" s="2">
        <v>5772</v>
      </c>
      <c r="FX133" s="115"/>
      <c r="FY133" s="115"/>
      <c r="FZ133" s="115"/>
      <c r="GA133" s="2"/>
      <c r="GB133" s="115"/>
      <c r="GC133" s="115"/>
      <c r="GD133" s="2"/>
      <c r="GE133" s="115"/>
      <c r="GF133" s="115"/>
      <c r="GG133" s="115"/>
      <c r="GH133" s="2"/>
      <c r="GI133" s="115"/>
      <c r="GJ133" s="115"/>
      <c r="GK133" s="1056">
        <f t="shared" si="281"/>
        <v>953</v>
      </c>
      <c r="GL133" s="1059">
        <v>2337</v>
      </c>
      <c r="GM133" s="1059">
        <v>381</v>
      </c>
      <c r="GN133" s="1059">
        <v>1111</v>
      </c>
      <c r="GO133" s="1059">
        <v>953</v>
      </c>
      <c r="GP133" s="1058">
        <f t="shared" si="246"/>
        <v>4395</v>
      </c>
      <c r="GQ133" s="2">
        <v>4395</v>
      </c>
      <c r="GR133" s="2"/>
      <c r="GS133" s="115"/>
      <c r="GT133" s="115"/>
      <c r="GU133" s="2">
        <f t="shared" si="225"/>
        <v>-3442</v>
      </c>
      <c r="GV133" s="615">
        <v>4400</v>
      </c>
      <c r="GW133" s="615">
        <v>2303</v>
      </c>
      <c r="GX133" s="615">
        <v>2663</v>
      </c>
      <c r="GY133" s="615">
        <f t="shared" si="322"/>
        <v>1737</v>
      </c>
      <c r="GZ133" s="310">
        <f t="shared" si="323"/>
        <v>1718</v>
      </c>
      <c r="HA133" s="2">
        <v>1032</v>
      </c>
      <c r="HB133" s="2">
        <v>686</v>
      </c>
      <c r="HC133" s="1052"/>
      <c r="HD133" s="170">
        <f t="shared" si="294"/>
        <v>1010</v>
      </c>
      <c r="HE133" s="2">
        <v>6005</v>
      </c>
      <c r="HF133" s="2">
        <v>4995</v>
      </c>
      <c r="HG133" s="170">
        <f t="shared" si="295"/>
        <v>-92</v>
      </c>
      <c r="HH133" s="2">
        <v>69</v>
      </c>
      <c r="HI133" s="2">
        <v>161</v>
      </c>
      <c r="HJ133" s="2">
        <f t="shared" si="282"/>
        <v>-107</v>
      </c>
      <c r="HK133" s="2"/>
      <c r="HL133" s="2"/>
      <c r="HM133" s="2">
        <f t="shared" si="247"/>
        <v>-107</v>
      </c>
      <c r="HN133" s="2">
        <f t="shared" si="283"/>
        <v>-195</v>
      </c>
      <c r="HO133" s="2">
        <f t="shared" si="284"/>
        <v>-195</v>
      </c>
      <c r="HP133" s="2">
        <v>84844</v>
      </c>
      <c r="HQ133" s="2">
        <v>84649</v>
      </c>
      <c r="HR133" s="115"/>
      <c r="HS133" s="1051"/>
      <c r="HT133" s="1002">
        <v>108.5</v>
      </c>
      <c r="HU133" s="1002">
        <v>13.1</v>
      </c>
      <c r="HV133" s="1002">
        <v>14.5</v>
      </c>
    </row>
    <row r="134" spans="1:230">
      <c r="A134" s="110">
        <f t="shared" si="296"/>
        <v>1975</v>
      </c>
      <c r="B134" s="176">
        <f t="shared" si="248"/>
        <v>93095</v>
      </c>
      <c r="C134" s="177">
        <f t="shared" si="317"/>
        <v>118</v>
      </c>
      <c r="D134" s="176">
        <f t="shared" si="285"/>
        <v>92977</v>
      </c>
      <c r="E134" s="154">
        <f t="shared" si="251"/>
        <v>106210</v>
      </c>
      <c r="F134" s="995">
        <f t="shared" si="252"/>
        <v>13233</v>
      </c>
      <c r="G134" s="531">
        <f t="shared" si="297"/>
        <v>94462</v>
      </c>
      <c r="H134" s="531">
        <f t="shared" si="298"/>
        <v>94344</v>
      </c>
      <c r="I134" s="531">
        <f t="shared" si="299"/>
        <v>107577</v>
      </c>
      <c r="J134" s="548">
        <f t="shared" si="300"/>
        <v>0.98729282281528574</v>
      </c>
      <c r="K134" s="178">
        <f t="shared" si="242"/>
        <v>8334</v>
      </c>
      <c r="L134" s="2">
        <v>12106</v>
      </c>
      <c r="M134" s="2">
        <v>3772</v>
      </c>
      <c r="N134" s="2">
        <v>6507</v>
      </c>
      <c r="O134" s="170">
        <f t="shared" si="286"/>
        <v>1827</v>
      </c>
      <c r="P134" s="175">
        <v>0</v>
      </c>
      <c r="Q134" s="175">
        <f t="shared" si="243"/>
        <v>1457</v>
      </c>
      <c r="R134" s="175">
        <f t="shared" si="287"/>
        <v>370</v>
      </c>
      <c r="S134" s="532"/>
      <c r="T134" s="1008">
        <f t="shared" si="253"/>
        <v>2834.44966442953</v>
      </c>
      <c r="U134" s="1010">
        <v>2456</v>
      </c>
      <c r="V134" s="511">
        <f t="shared" si="288"/>
        <v>3959.44966442953</v>
      </c>
      <c r="W134" s="2">
        <v>3581</v>
      </c>
      <c r="X134" s="169">
        <f t="shared" si="254"/>
        <v>1125</v>
      </c>
      <c r="Y134" s="113">
        <f t="shared" si="255"/>
        <v>0.2841303957230854</v>
      </c>
      <c r="Z134" s="113">
        <f t="shared" si="256"/>
        <v>0.31415805640882433</v>
      </c>
      <c r="AA134" s="276">
        <f>X134/DataUK3!D134</f>
        <v>9.4379377911730043E-3</v>
      </c>
      <c r="AB134" s="1019">
        <f t="shared" si="257"/>
        <v>1.0592222954524055E-2</v>
      </c>
      <c r="AC134" s="2"/>
      <c r="AD134" s="2">
        <v>527</v>
      </c>
      <c r="AE134" s="2"/>
      <c r="AF134" s="2"/>
      <c r="AG134" s="2"/>
      <c r="AH134" s="2"/>
      <c r="AI134" s="1010">
        <f>AD134*DataUK3!BG134</f>
        <v>378.44966442953017</v>
      </c>
      <c r="AJ134" s="171">
        <f t="shared" si="249"/>
        <v>9616.1508157281405</v>
      </c>
      <c r="AK134" s="561"/>
      <c r="AL134" s="169">
        <f t="shared" si="301"/>
        <v>11060.150815728141</v>
      </c>
      <c r="AM134" s="169"/>
      <c r="AN134" s="2">
        <v>5669</v>
      </c>
      <c r="AO134" s="1029">
        <f t="shared" si="258"/>
        <v>7113</v>
      </c>
      <c r="AP134" s="170"/>
      <c r="AQ134" s="170"/>
      <c r="AR134" s="170"/>
      <c r="AS134" s="170"/>
      <c r="AT134" s="170"/>
      <c r="AU134" s="170"/>
      <c r="AV134" s="170"/>
      <c r="AW134" s="170"/>
      <c r="AX134" s="170"/>
      <c r="AY134" s="170"/>
      <c r="AZ134" s="170"/>
      <c r="BA134" s="170"/>
      <c r="BB134" s="170"/>
      <c r="BC134" s="170"/>
      <c r="BD134" s="170"/>
      <c r="BE134" s="170"/>
      <c r="BF134" s="170"/>
      <c r="BG134" s="170"/>
      <c r="BH134" s="170"/>
      <c r="BI134" s="273">
        <v>68710</v>
      </c>
      <c r="BJ134" s="2">
        <f t="shared" si="302"/>
        <v>68812</v>
      </c>
      <c r="BK134" s="170"/>
      <c r="BL134" s="170"/>
      <c r="BM134" s="1031">
        <f t="shared" si="303"/>
        <v>3947.150815728141</v>
      </c>
      <c r="BN134" s="254"/>
      <c r="BO134" s="262">
        <f t="shared" si="289"/>
        <v>6.0894784897148072E-2</v>
      </c>
      <c r="BP134" s="262">
        <f t="shared" si="264"/>
        <v>7.6405822009774957E-2</v>
      </c>
      <c r="BQ134" s="262">
        <f t="shared" si="290"/>
        <v>4.2399170908514326E-2</v>
      </c>
      <c r="BR134" s="262">
        <f t="shared" si="304"/>
        <v>5.7446526207657417E-2</v>
      </c>
      <c r="BS134" s="988">
        <f t="shared" si="185"/>
        <v>0.55492068265543948</v>
      </c>
      <c r="BT134" s="519">
        <f t="shared" si="265"/>
        <v>1444</v>
      </c>
      <c r="BU134" s="519"/>
      <c r="BV134" s="113">
        <f t="shared" si="266"/>
        <v>0.13055879834355902</v>
      </c>
      <c r="BW134" s="276">
        <f t="shared" si="305"/>
        <v>1.3595706618962432E-2</v>
      </c>
      <c r="BX134" s="273">
        <v>2569</v>
      </c>
      <c r="BY134" s="113"/>
      <c r="BZ134" s="1013"/>
      <c r="CA134" s="1005">
        <f t="shared" si="291"/>
        <v>93095</v>
      </c>
      <c r="CB134" s="2"/>
      <c r="CC134" s="2"/>
      <c r="CD134" s="2"/>
      <c r="CE134" s="2"/>
      <c r="CF134" s="2">
        <v>106717</v>
      </c>
      <c r="CG134" s="2">
        <v>860</v>
      </c>
      <c r="CH134" s="2">
        <f t="shared" si="267"/>
        <v>353</v>
      </c>
      <c r="CI134" s="2">
        <v>13233</v>
      </c>
      <c r="CJ134" s="2"/>
      <c r="CK134" s="2"/>
      <c r="CL134" s="171">
        <f t="shared" si="306"/>
        <v>56928.399519842322</v>
      </c>
      <c r="CM134" s="169">
        <f t="shared" si="307"/>
        <v>66052.399519842322</v>
      </c>
      <c r="CN134" s="170">
        <f t="shared" si="268"/>
        <v>16451.550335570471</v>
      </c>
      <c r="CO134" s="170">
        <f t="shared" si="269"/>
        <v>16830</v>
      </c>
      <c r="CP134" s="170">
        <f t="shared" si="308"/>
        <v>49600.849184271858</v>
      </c>
      <c r="CQ134" s="170">
        <f t="shared" si="309"/>
        <v>9124</v>
      </c>
      <c r="CR134" s="170">
        <v>3126</v>
      </c>
      <c r="CS134" s="113">
        <f t="shared" si="310"/>
        <v>8.5905281988513327E-2</v>
      </c>
      <c r="CT134" s="170">
        <f t="shared" si="270"/>
        <v>63147.849184271858</v>
      </c>
      <c r="CU134" s="2">
        <v>15862</v>
      </c>
      <c r="CV134" s="169">
        <f t="shared" si="271"/>
        <v>47285.849184271858</v>
      </c>
      <c r="CW134" s="2">
        <v>8866</v>
      </c>
      <c r="CX134" s="2"/>
      <c r="CY134" s="2"/>
      <c r="CZ134" s="170">
        <f t="shared" si="272"/>
        <v>2904.5503355704695</v>
      </c>
      <c r="DA134" s="170">
        <f t="shared" si="273"/>
        <v>3283</v>
      </c>
      <c r="DB134" s="170">
        <f t="shared" si="274"/>
        <v>589.55033557046977</v>
      </c>
      <c r="DC134" s="2">
        <v>968</v>
      </c>
      <c r="DD134" s="2">
        <v>2315</v>
      </c>
      <c r="DE134" s="2">
        <v>258</v>
      </c>
      <c r="DF134" s="2"/>
      <c r="DG134" s="2"/>
      <c r="DH134" s="171">
        <f t="shared" si="318"/>
        <v>15264</v>
      </c>
      <c r="DI134" s="2">
        <f t="shared" si="320"/>
        <v>16804</v>
      </c>
      <c r="DJ134" s="2">
        <v>15264</v>
      </c>
      <c r="DK134" s="2">
        <v>1540</v>
      </c>
      <c r="DL134" s="113">
        <f t="shared" si="275"/>
        <v>0.16396154465868198</v>
      </c>
      <c r="DM134" s="113">
        <f t="shared" si="311"/>
        <v>0.22182177527175492</v>
      </c>
      <c r="DN134" s="113">
        <f t="shared" si="321"/>
        <v>0.63804706767545871</v>
      </c>
      <c r="DO134" s="2">
        <v>370</v>
      </c>
      <c r="DP134" s="2">
        <v>0</v>
      </c>
      <c r="DQ134" s="273"/>
      <c r="DR134" s="2">
        <v>13947</v>
      </c>
      <c r="DS134" s="2">
        <v>9976</v>
      </c>
      <c r="DT134" s="169">
        <f t="shared" si="245"/>
        <v>23923</v>
      </c>
      <c r="DU134" s="2">
        <v>64610</v>
      </c>
      <c r="DV134" s="2"/>
      <c r="DW134" s="2">
        <v>20581</v>
      </c>
      <c r="DX134" s="2"/>
      <c r="DY134" s="2"/>
      <c r="DZ134" s="2"/>
      <c r="EA134" s="2"/>
      <c r="EB134" s="2"/>
      <c r="EC134" s="2"/>
      <c r="ED134" s="175">
        <v>6124</v>
      </c>
      <c r="EE134" s="2"/>
      <c r="EF134" s="175">
        <f t="shared" si="315"/>
        <v>5040</v>
      </c>
      <c r="EG134" s="2"/>
      <c r="EH134" s="2"/>
      <c r="EI134" s="2">
        <v>27119</v>
      </c>
      <c r="EJ134" s="2">
        <v>28656</v>
      </c>
      <c r="EK134" s="2"/>
      <c r="EL134" s="2"/>
      <c r="EM134" s="2"/>
      <c r="EN134" s="2"/>
      <c r="EO134" s="2"/>
      <c r="EP134" s="2"/>
      <c r="EQ134" s="2"/>
      <c r="ER134" s="2"/>
      <c r="ES134" s="2"/>
      <c r="ET134" s="2">
        <f t="shared" si="276"/>
        <v>107577</v>
      </c>
      <c r="EU134" s="2">
        <f t="shared" si="277"/>
        <v>106210</v>
      </c>
      <c r="EV134" s="262">
        <f t="shared" si="292"/>
        <v>0.98729282281528574</v>
      </c>
      <c r="EW134" s="2">
        <v>106717</v>
      </c>
      <c r="EX134" s="1042">
        <v>-860</v>
      </c>
      <c r="EY134" s="273">
        <f t="shared" si="278"/>
        <v>69299</v>
      </c>
      <c r="EZ134" s="2">
        <f t="shared" si="279"/>
        <v>36596</v>
      </c>
      <c r="FA134" s="1714"/>
      <c r="FB134" s="1714"/>
      <c r="FC134" s="2">
        <v>19780</v>
      </c>
      <c r="FD134" s="2">
        <v>8482</v>
      </c>
      <c r="FE134" s="1052">
        <v>10755</v>
      </c>
      <c r="FF134" s="1050"/>
      <c r="FG134" s="115"/>
      <c r="FH134" s="83"/>
      <c r="FI134" s="2">
        <v>-1695</v>
      </c>
      <c r="FJ134" s="2">
        <f t="shared" si="314"/>
        <v>-1695</v>
      </c>
      <c r="FK134" s="273">
        <f t="shared" si="224"/>
        <v>6539</v>
      </c>
      <c r="FL134" s="310">
        <v>6539</v>
      </c>
      <c r="FM134" s="310"/>
      <c r="FN134" s="115"/>
      <c r="FO134" s="115"/>
      <c r="FP134" s="115"/>
      <c r="FQ134" s="2">
        <v>-2598</v>
      </c>
      <c r="FR134" s="115"/>
      <c r="FS134" s="1051"/>
      <c r="FT134" s="310">
        <f t="shared" si="324"/>
        <v>7316</v>
      </c>
      <c r="FU134" s="310">
        <v>7795.0000000000055</v>
      </c>
      <c r="FV134" s="310"/>
      <c r="FW134" s="2">
        <v>7316</v>
      </c>
      <c r="FX134" s="115"/>
      <c r="FY134" s="115"/>
      <c r="FZ134" s="115"/>
      <c r="GA134" s="2"/>
      <c r="GB134" s="115"/>
      <c r="GC134" s="115"/>
      <c r="GD134" s="2"/>
      <c r="GE134" s="115"/>
      <c r="GF134" s="115"/>
      <c r="GG134" s="115"/>
      <c r="GH134" s="2"/>
      <c r="GI134" s="115"/>
      <c r="GJ134" s="115"/>
      <c r="GK134" s="1056">
        <f t="shared" si="281"/>
        <v>-236</v>
      </c>
      <c r="GL134" s="1059">
        <v>1610</v>
      </c>
      <c r="GM134" s="1059">
        <v>307</v>
      </c>
      <c r="GN134" s="1059">
        <v>1446</v>
      </c>
      <c r="GO134" s="1059">
        <v>-236</v>
      </c>
      <c r="GP134" s="1058">
        <f t="shared" si="246"/>
        <v>5040</v>
      </c>
      <c r="GQ134" s="2">
        <v>5040</v>
      </c>
      <c r="GR134" s="2"/>
      <c r="GS134" s="115"/>
      <c r="GT134" s="115"/>
      <c r="GU134" s="2">
        <f t="shared" si="225"/>
        <v>-5276</v>
      </c>
      <c r="GV134" s="615">
        <v>5283</v>
      </c>
      <c r="GW134" s="615">
        <v>2892</v>
      </c>
      <c r="GX134" s="615">
        <v>3238</v>
      </c>
      <c r="GY134" s="615">
        <f t="shared" si="322"/>
        <v>2045</v>
      </c>
      <c r="GZ134" s="310">
        <f t="shared" si="323"/>
        <v>298</v>
      </c>
      <c r="HA134" s="2">
        <v>-557</v>
      </c>
      <c r="HB134" s="2">
        <v>855</v>
      </c>
      <c r="HC134" s="1052"/>
      <c r="HD134" s="170">
        <f t="shared" si="294"/>
        <v>257</v>
      </c>
      <c r="HE134" s="2">
        <v>6308</v>
      </c>
      <c r="HF134" s="2">
        <v>6051</v>
      </c>
      <c r="HG134" s="170">
        <f t="shared" si="295"/>
        <v>-102</v>
      </c>
      <c r="HH134" s="2">
        <v>88</v>
      </c>
      <c r="HI134" s="2">
        <v>190</v>
      </c>
      <c r="HJ134" s="2">
        <f t="shared" si="282"/>
        <v>-37</v>
      </c>
      <c r="HK134" s="2"/>
      <c r="HL134" s="2"/>
      <c r="HM134" s="2">
        <f t="shared" si="247"/>
        <v>-37</v>
      </c>
      <c r="HN134" s="2">
        <f t="shared" si="283"/>
        <v>-276</v>
      </c>
      <c r="HO134" s="2">
        <f t="shared" si="284"/>
        <v>-276</v>
      </c>
      <c r="HP134" s="2">
        <v>106322</v>
      </c>
      <c r="HQ134" s="2">
        <v>106046</v>
      </c>
      <c r="HR134" s="115"/>
      <c r="HS134" s="1051"/>
      <c r="HT134" s="1002">
        <v>134.80000000000001</v>
      </c>
      <c r="HU134" s="1002">
        <v>16.7</v>
      </c>
      <c r="HV134" s="1002">
        <v>17.8</v>
      </c>
    </row>
    <row r="135" spans="1:230">
      <c r="A135" s="110">
        <f t="shared" si="296"/>
        <v>1976</v>
      </c>
      <c r="B135" s="176">
        <f t="shared" si="248"/>
        <v>109462</v>
      </c>
      <c r="C135" s="177">
        <f t="shared" si="317"/>
        <v>329</v>
      </c>
      <c r="D135" s="176">
        <f t="shared" si="285"/>
        <v>109133</v>
      </c>
      <c r="E135" s="154">
        <f t="shared" si="251"/>
        <v>125208</v>
      </c>
      <c r="F135" s="995">
        <f t="shared" si="252"/>
        <v>16075</v>
      </c>
      <c r="G135" s="531">
        <f t="shared" si="297"/>
        <v>112922</v>
      </c>
      <c r="H135" s="531">
        <f t="shared" si="298"/>
        <v>112593</v>
      </c>
      <c r="I135" s="531">
        <f t="shared" si="299"/>
        <v>128668</v>
      </c>
      <c r="J135" s="548">
        <f t="shared" si="300"/>
        <v>0.97310908695246678</v>
      </c>
      <c r="K135" s="178">
        <f t="shared" si="242"/>
        <v>10548</v>
      </c>
      <c r="L135" s="2">
        <v>14128</v>
      </c>
      <c r="M135" s="2">
        <v>3580</v>
      </c>
      <c r="N135" s="2">
        <v>8612</v>
      </c>
      <c r="O135" s="170">
        <f t="shared" si="286"/>
        <v>1936</v>
      </c>
      <c r="P135" s="175">
        <v>0</v>
      </c>
      <c r="Q135" s="175">
        <f t="shared" si="243"/>
        <v>1516</v>
      </c>
      <c r="R135" s="175">
        <f t="shared" si="287"/>
        <v>420</v>
      </c>
      <c r="S135" s="532"/>
      <c r="T135" s="1008">
        <f t="shared" si="253"/>
        <v>3404.8034682080925</v>
      </c>
      <c r="U135" s="1010">
        <v>2972</v>
      </c>
      <c r="V135" s="511">
        <f t="shared" si="288"/>
        <v>4715.8034682080925</v>
      </c>
      <c r="W135" s="2">
        <v>4283</v>
      </c>
      <c r="X135" s="169">
        <f t="shared" si="254"/>
        <v>1311</v>
      </c>
      <c r="Y135" s="113">
        <f t="shared" si="255"/>
        <v>0.27800140714900334</v>
      </c>
      <c r="Z135" s="113">
        <f t="shared" si="256"/>
        <v>0.30609385944431472</v>
      </c>
      <c r="AA135" s="276">
        <f>X135/DataUK3!D135</f>
        <v>9.8513860991318852E-3</v>
      </c>
      <c r="AB135" s="1019">
        <f t="shared" si="257"/>
        <v>1.0470576959938662E-2</v>
      </c>
      <c r="AC135" s="2"/>
      <c r="AD135" s="2">
        <v>599</v>
      </c>
      <c r="AE135" s="2"/>
      <c r="AF135" s="2"/>
      <c r="AG135" s="2"/>
      <c r="AH135" s="2"/>
      <c r="AI135" s="1010">
        <f>AD135*DataUK3!BG135</f>
        <v>432.80346820809251</v>
      </c>
      <c r="AJ135" s="171">
        <f t="shared" si="249"/>
        <v>11694.630253364408</v>
      </c>
      <c r="AK135" s="561"/>
      <c r="AL135" s="169">
        <f t="shared" si="301"/>
        <v>13423.630253364408</v>
      </c>
      <c r="AM135" s="169"/>
      <c r="AN135" s="2">
        <v>6904</v>
      </c>
      <c r="AO135" s="1029">
        <f t="shared" si="258"/>
        <v>8633</v>
      </c>
      <c r="AP135" s="170"/>
      <c r="AQ135" s="170"/>
      <c r="AR135" s="170"/>
      <c r="AS135" s="170"/>
      <c r="AT135" s="170"/>
      <c r="AU135" s="170"/>
      <c r="AV135" s="170"/>
      <c r="AW135" s="170"/>
      <c r="AX135" s="170"/>
      <c r="AY135" s="170"/>
      <c r="AZ135" s="170"/>
      <c r="BA135" s="170"/>
      <c r="BB135" s="170"/>
      <c r="BC135" s="170"/>
      <c r="BD135" s="170"/>
      <c r="BE135" s="170"/>
      <c r="BF135" s="170"/>
      <c r="BG135" s="170"/>
      <c r="BH135" s="170"/>
      <c r="BI135" s="273">
        <v>78158</v>
      </c>
      <c r="BJ135" s="2">
        <f t="shared" si="302"/>
        <v>78298</v>
      </c>
      <c r="BK135" s="170"/>
      <c r="BL135" s="170"/>
      <c r="BM135" s="1031">
        <f t="shared" si="303"/>
        <v>4790.6302533644093</v>
      </c>
      <c r="BN135" s="254"/>
      <c r="BO135" s="262">
        <f t="shared" si="289"/>
        <v>6.3072116350879753E-2</v>
      </c>
      <c r="BP135" s="262">
        <f t="shared" si="264"/>
        <v>7.8867552209899328E-2</v>
      </c>
      <c r="BQ135" s="262">
        <f t="shared" si="290"/>
        <v>4.3765235911680848E-2</v>
      </c>
      <c r="BR135" s="262">
        <f t="shared" si="304"/>
        <v>6.129417658287583E-2</v>
      </c>
      <c r="BS135" s="988">
        <f t="shared" si="185"/>
        <v>0.55492068265543948</v>
      </c>
      <c r="BT135" s="519">
        <f t="shared" si="265"/>
        <v>1729</v>
      </c>
      <c r="BU135" s="519"/>
      <c r="BV135" s="113">
        <f t="shared" si="266"/>
        <v>0.12880271337678234</v>
      </c>
      <c r="BW135" s="276">
        <f t="shared" si="305"/>
        <v>1.3809021787745191E-2</v>
      </c>
      <c r="BX135" s="273">
        <v>3040</v>
      </c>
      <c r="BY135" s="113"/>
      <c r="BZ135" s="1013"/>
      <c r="CA135" s="1005">
        <f t="shared" si="291"/>
        <v>109462</v>
      </c>
      <c r="CB135" s="2"/>
      <c r="CC135" s="2"/>
      <c r="CD135" s="2"/>
      <c r="CE135" s="2"/>
      <c r="CF135" s="2">
        <v>126273</v>
      </c>
      <c r="CG135" s="2">
        <v>1487</v>
      </c>
      <c r="CH135" s="2">
        <f t="shared" si="267"/>
        <v>422</v>
      </c>
      <c r="CI135" s="2">
        <v>16075</v>
      </c>
      <c r="CJ135" s="2"/>
      <c r="CK135" s="2"/>
      <c r="CL135" s="171">
        <f t="shared" si="306"/>
        <v>66005.566278427505</v>
      </c>
      <c r="CM135" s="169">
        <f t="shared" si="307"/>
        <v>77217.566278427505</v>
      </c>
      <c r="CN135" s="170">
        <f t="shared" si="268"/>
        <v>21190.196531791909</v>
      </c>
      <c r="CO135" s="170">
        <f t="shared" si="269"/>
        <v>21623</v>
      </c>
      <c r="CP135" s="170">
        <f t="shared" si="308"/>
        <v>56027.369746635595</v>
      </c>
      <c r="CQ135" s="170">
        <f t="shared" si="309"/>
        <v>11212</v>
      </c>
      <c r="CR135" s="170">
        <v>3744</v>
      </c>
      <c r="CS135" s="113">
        <f t="shared" si="310"/>
        <v>8.9546993802312957E-2</v>
      </c>
      <c r="CT135" s="170">
        <f t="shared" si="270"/>
        <v>73996.369746635595</v>
      </c>
      <c r="CU135" s="2">
        <v>20588</v>
      </c>
      <c r="CV135" s="169">
        <f t="shared" si="271"/>
        <v>53408.369746635595</v>
      </c>
      <c r="CW135" s="2">
        <v>10895</v>
      </c>
      <c r="CX135" s="2"/>
      <c r="CY135" s="2"/>
      <c r="CZ135" s="170">
        <f t="shared" si="272"/>
        <v>3221.1965317919075</v>
      </c>
      <c r="DA135" s="170">
        <f t="shared" si="273"/>
        <v>3654</v>
      </c>
      <c r="DB135" s="170">
        <f t="shared" si="274"/>
        <v>602.19653179190755</v>
      </c>
      <c r="DC135" s="2">
        <v>1035</v>
      </c>
      <c r="DD135" s="2">
        <v>2619</v>
      </c>
      <c r="DE135" s="2">
        <v>317</v>
      </c>
      <c r="DF135" s="2"/>
      <c r="DG135" s="2"/>
      <c r="DH135" s="171">
        <f t="shared" si="318"/>
        <v>17480</v>
      </c>
      <c r="DI135" s="2">
        <f t="shared" si="320"/>
        <v>19303</v>
      </c>
      <c r="DJ135" s="2">
        <v>17480</v>
      </c>
      <c r="DK135" s="2">
        <v>1823</v>
      </c>
      <c r="DL135" s="113">
        <f t="shared" si="275"/>
        <v>0.15969012077250552</v>
      </c>
      <c r="DM135" s="113">
        <f t="shared" si="311"/>
        <v>0.22324963600602826</v>
      </c>
      <c r="DN135" s="113">
        <f t="shared" si="321"/>
        <v>0.6235730593607306</v>
      </c>
      <c r="DO135" s="2">
        <v>420</v>
      </c>
      <c r="DP135" s="2">
        <v>0</v>
      </c>
      <c r="DQ135" s="273"/>
      <c r="DR135" s="2">
        <v>16683</v>
      </c>
      <c r="DS135" s="2">
        <v>11349</v>
      </c>
      <c r="DT135" s="169">
        <f t="shared" si="245"/>
        <v>28032</v>
      </c>
      <c r="DU135" s="2">
        <v>75153</v>
      </c>
      <c r="DV135" s="2"/>
      <c r="DW135" s="2">
        <v>26541</v>
      </c>
      <c r="DX135" s="2"/>
      <c r="DY135" s="2"/>
      <c r="DZ135" s="2"/>
      <c r="EA135" s="2"/>
      <c r="EB135" s="2"/>
      <c r="EC135" s="2"/>
      <c r="ED135" s="175">
        <v>7168</v>
      </c>
      <c r="EE135" s="2"/>
      <c r="EF135" s="175">
        <f t="shared" si="315"/>
        <v>5506</v>
      </c>
      <c r="EG135" s="2"/>
      <c r="EH135" s="2"/>
      <c r="EI135" s="2">
        <v>35445</v>
      </c>
      <c r="EJ135" s="2">
        <v>36503</v>
      </c>
      <c r="EK135" s="2"/>
      <c r="EL135" s="2"/>
      <c r="EM135" s="2"/>
      <c r="EN135" s="2"/>
      <c r="EO135" s="2"/>
      <c r="EP135" s="2"/>
      <c r="EQ135" s="2"/>
      <c r="ER135" s="2"/>
      <c r="ES135" s="2"/>
      <c r="ET135" s="2">
        <f t="shared" si="276"/>
        <v>128668</v>
      </c>
      <c r="EU135" s="2">
        <f t="shared" si="277"/>
        <v>125208</v>
      </c>
      <c r="EV135" s="262">
        <f t="shared" si="292"/>
        <v>0.97310908695246678</v>
      </c>
      <c r="EW135" s="2">
        <v>126273</v>
      </c>
      <c r="EX135" s="1042">
        <v>-2394</v>
      </c>
      <c r="EY135" s="273">
        <f t="shared" si="278"/>
        <v>82405</v>
      </c>
      <c r="EZ135" s="2">
        <f t="shared" si="279"/>
        <v>43262</v>
      </c>
      <c r="FA135" s="1714"/>
      <c r="FB135" s="1714"/>
      <c r="FC135" s="2">
        <v>22324</v>
      </c>
      <c r="FD135" s="2">
        <v>10390</v>
      </c>
      <c r="FE135" s="1052">
        <v>13386</v>
      </c>
      <c r="FF135" s="1050"/>
      <c r="FG135" s="115"/>
      <c r="FH135" s="83"/>
      <c r="FI135" s="2">
        <v>-972</v>
      </c>
      <c r="FJ135" s="2">
        <f t="shared" si="314"/>
        <v>-972</v>
      </c>
      <c r="FK135" s="273">
        <f t="shared" si="224"/>
        <v>7193</v>
      </c>
      <c r="FL135" s="310">
        <v>7193</v>
      </c>
      <c r="FM135" s="310"/>
      <c r="FN135" s="115"/>
      <c r="FO135" s="115"/>
      <c r="FP135" s="115"/>
      <c r="FQ135" s="2">
        <v>-2283</v>
      </c>
      <c r="FR135" s="115"/>
      <c r="FS135" s="1051"/>
      <c r="FT135" s="310">
        <f t="shared" si="324"/>
        <v>11074</v>
      </c>
      <c r="FU135" s="310">
        <v>11147</v>
      </c>
      <c r="FV135" s="310"/>
      <c r="FW135" s="2">
        <v>11074</v>
      </c>
      <c r="FX135" s="115"/>
      <c r="FY135" s="115"/>
      <c r="FZ135" s="115"/>
      <c r="GA135" s="2"/>
      <c r="GB135" s="115"/>
      <c r="GC135" s="115"/>
      <c r="GD135" s="2"/>
      <c r="GE135" s="115"/>
      <c r="GF135" s="115"/>
      <c r="GG135" s="115"/>
      <c r="GH135" s="2"/>
      <c r="GI135" s="115"/>
      <c r="GJ135" s="115"/>
      <c r="GK135" s="1056">
        <f t="shared" si="281"/>
        <v>-1049</v>
      </c>
      <c r="GL135" s="1059">
        <v>974</v>
      </c>
      <c r="GM135" s="1059">
        <v>406</v>
      </c>
      <c r="GN135" s="1059">
        <v>1470</v>
      </c>
      <c r="GO135" s="1059">
        <v>-1049</v>
      </c>
      <c r="GP135" s="1058">
        <f t="shared" si="246"/>
        <v>5506</v>
      </c>
      <c r="GQ135" s="2">
        <v>5506</v>
      </c>
      <c r="GR135" s="2"/>
      <c r="GS135" s="115"/>
      <c r="GT135" s="115"/>
      <c r="GU135" s="2">
        <f t="shared" si="225"/>
        <v>-6555</v>
      </c>
      <c r="GV135" s="615">
        <v>6783</v>
      </c>
      <c r="GW135" s="615">
        <v>3957</v>
      </c>
      <c r="GX135" s="615">
        <v>3964</v>
      </c>
      <c r="GY135" s="615">
        <f t="shared" si="322"/>
        <v>2819</v>
      </c>
      <c r="GZ135" s="310">
        <f t="shared" si="323"/>
        <v>-1356</v>
      </c>
      <c r="HA135" s="2">
        <v>-2371</v>
      </c>
      <c r="HB135" s="2">
        <v>1015</v>
      </c>
      <c r="HC135" s="1052"/>
      <c r="HD135" s="170">
        <f t="shared" si="294"/>
        <v>760</v>
      </c>
      <c r="HE135" s="2">
        <v>8060</v>
      </c>
      <c r="HF135" s="2">
        <v>7300</v>
      </c>
      <c r="HG135" s="170">
        <f t="shared" si="295"/>
        <v>-140</v>
      </c>
      <c r="HH135" s="2">
        <v>114</v>
      </c>
      <c r="HI135" s="2">
        <v>254</v>
      </c>
      <c r="HJ135" s="2">
        <f t="shared" si="282"/>
        <v>-291</v>
      </c>
      <c r="HK135" s="2"/>
      <c r="HL135" s="2"/>
      <c r="HM135" s="2">
        <f t="shared" si="247"/>
        <v>-291</v>
      </c>
      <c r="HN135" s="2">
        <f t="shared" si="283"/>
        <v>-243</v>
      </c>
      <c r="HO135" s="2">
        <f t="shared" si="284"/>
        <v>-243</v>
      </c>
      <c r="HP135" s="2">
        <v>125991</v>
      </c>
      <c r="HQ135" s="2">
        <v>125748</v>
      </c>
      <c r="HR135" s="115"/>
      <c r="HS135" s="1051"/>
      <c r="HT135" s="1002">
        <v>157.1</v>
      </c>
      <c r="HU135" s="1002">
        <v>19.2</v>
      </c>
      <c r="HV135" s="1002">
        <v>20.7</v>
      </c>
    </row>
    <row r="136" spans="1:230">
      <c r="A136" s="110">
        <f t="shared" si="296"/>
        <v>1977</v>
      </c>
      <c r="B136" s="176">
        <f t="shared" si="248"/>
        <v>126637</v>
      </c>
      <c r="C136" s="177">
        <f t="shared" si="317"/>
        <v>-1433</v>
      </c>
      <c r="D136" s="176">
        <f t="shared" si="285"/>
        <v>128070</v>
      </c>
      <c r="E136" s="154">
        <f t="shared" si="251"/>
        <v>147005</v>
      </c>
      <c r="F136" s="995">
        <f t="shared" si="252"/>
        <v>18935</v>
      </c>
      <c r="G136" s="531">
        <f t="shared" si="297"/>
        <v>127728</v>
      </c>
      <c r="H136" s="531">
        <f t="shared" si="298"/>
        <v>129161</v>
      </c>
      <c r="I136" s="531">
        <f t="shared" si="299"/>
        <v>148096</v>
      </c>
      <c r="J136" s="548">
        <f t="shared" si="300"/>
        <v>0.99263315687121867</v>
      </c>
      <c r="K136" s="178">
        <f t="shared" si="242"/>
        <v>13862</v>
      </c>
      <c r="L136" s="2">
        <v>17293</v>
      </c>
      <c r="M136" s="2">
        <v>3431</v>
      </c>
      <c r="N136" s="2">
        <v>10637</v>
      </c>
      <c r="O136" s="170">
        <f t="shared" si="286"/>
        <v>3225</v>
      </c>
      <c r="P136" s="175">
        <v>0</v>
      </c>
      <c r="Q136" s="175">
        <f t="shared" si="243"/>
        <v>2760</v>
      </c>
      <c r="R136" s="175">
        <f t="shared" si="287"/>
        <v>465</v>
      </c>
      <c r="S136" s="532"/>
      <c r="T136" s="1008">
        <f t="shared" si="253"/>
        <v>3920.3476070528968</v>
      </c>
      <c r="U136" s="1010">
        <v>3344</v>
      </c>
      <c r="V136" s="511">
        <f t="shared" si="288"/>
        <v>5354.3476070528968</v>
      </c>
      <c r="W136" s="2">
        <v>4778</v>
      </c>
      <c r="X136" s="169">
        <f t="shared" si="254"/>
        <v>1434</v>
      </c>
      <c r="Y136" s="113">
        <f t="shared" si="255"/>
        <v>0.26781974298999472</v>
      </c>
      <c r="Z136" s="113">
        <f t="shared" si="256"/>
        <v>0.30012557555462538</v>
      </c>
      <c r="AA136" s="276">
        <f>X136/DataUK3!D136</f>
        <v>9.7224573104054673E-3</v>
      </c>
      <c r="AB136" s="1019">
        <f t="shared" si="257"/>
        <v>9.7547702459100036E-3</v>
      </c>
      <c r="AC136" s="2"/>
      <c r="AD136" s="2">
        <v>789</v>
      </c>
      <c r="AE136" s="2"/>
      <c r="AF136" s="2"/>
      <c r="AG136" s="2"/>
      <c r="AH136" s="2"/>
      <c r="AI136" s="1010">
        <f>AD136*DataUK3!BG136</f>
        <v>576.34760705289671</v>
      </c>
      <c r="AJ136" s="171">
        <f t="shared" si="249"/>
        <v>12410.860762348697</v>
      </c>
      <c r="AK136" s="561"/>
      <c r="AL136" s="169">
        <f t="shared" si="301"/>
        <v>14491.860762348697</v>
      </c>
      <c r="AM136" s="169"/>
      <c r="AN136" s="2">
        <v>7239</v>
      </c>
      <c r="AO136" s="1029">
        <f t="shared" si="258"/>
        <v>9320</v>
      </c>
      <c r="AP136" s="170"/>
      <c r="AQ136" s="170"/>
      <c r="AR136" s="170"/>
      <c r="AS136" s="170"/>
      <c r="AT136" s="170"/>
      <c r="AU136" s="170"/>
      <c r="AV136" s="170"/>
      <c r="AW136" s="170"/>
      <c r="AX136" s="170"/>
      <c r="AY136" s="170"/>
      <c r="AZ136" s="170"/>
      <c r="BA136" s="170"/>
      <c r="BB136" s="170"/>
      <c r="BC136" s="170"/>
      <c r="BD136" s="170"/>
      <c r="BE136" s="170"/>
      <c r="BF136" s="170"/>
      <c r="BG136" s="170"/>
      <c r="BH136" s="170"/>
      <c r="BI136" s="273">
        <v>86643</v>
      </c>
      <c r="BJ136" s="2">
        <f t="shared" si="302"/>
        <v>86795</v>
      </c>
      <c r="BK136" s="170"/>
      <c r="BL136" s="170"/>
      <c r="BM136" s="1031">
        <f t="shared" si="303"/>
        <v>5171.860762348696</v>
      </c>
      <c r="BN136" s="254"/>
      <c r="BO136" s="262">
        <f t="shared" si="289"/>
        <v>5.716338826725207E-2</v>
      </c>
      <c r="BP136" s="262">
        <f t="shared" si="264"/>
        <v>7.3596184369497067E-2</v>
      </c>
      <c r="BQ136" s="262">
        <f t="shared" si="290"/>
        <v>4.0840044871156896E-2</v>
      </c>
      <c r="BR136" s="262">
        <f t="shared" si="304"/>
        <v>5.9691616891713074E-2</v>
      </c>
      <c r="BS136" s="988">
        <f t="shared" si="185"/>
        <v>0.55492068265543948</v>
      </c>
      <c r="BT136" s="519">
        <f t="shared" si="265"/>
        <v>2081</v>
      </c>
      <c r="BU136" s="519"/>
      <c r="BV136" s="113">
        <f t="shared" si="266"/>
        <v>0.14359784668968434</v>
      </c>
      <c r="BW136" s="276">
        <f t="shared" si="305"/>
        <v>1.4155981089078602E-2</v>
      </c>
      <c r="BX136" s="273">
        <v>3515</v>
      </c>
      <c r="BY136" s="113"/>
      <c r="BZ136" s="1013"/>
      <c r="CA136" s="1005">
        <f t="shared" si="291"/>
        <v>126637</v>
      </c>
      <c r="CB136" s="2"/>
      <c r="CC136" s="2"/>
      <c r="CD136" s="2"/>
      <c r="CE136" s="2"/>
      <c r="CF136" s="2">
        <v>146971</v>
      </c>
      <c r="CG136" s="2">
        <v>519</v>
      </c>
      <c r="CH136" s="2">
        <f t="shared" si="267"/>
        <v>553</v>
      </c>
      <c r="CI136" s="2">
        <v>18935</v>
      </c>
      <c r="CJ136" s="2"/>
      <c r="CK136" s="2"/>
      <c r="CL136" s="171">
        <f t="shared" si="306"/>
        <v>78974.791630598411</v>
      </c>
      <c r="CM136" s="169">
        <f t="shared" si="307"/>
        <v>92335.791630598411</v>
      </c>
      <c r="CN136" s="170">
        <f t="shared" si="268"/>
        <v>29614.652392947104</v>
      </c>
      <c r="CO136" s="170">
        <f t="shared" si="269"/>
        <v>30191</v>
      </c>
      <c r="CP136" s="170">
        <f t="shared" si="308"/>
        <v>62721.13923765131</v>
      </c>
      <c r="CQ136" s="170">
        <f t="shared" si="309"/>
        <v>13361</v>
      </c>
      <c r="CR136" s="170">
        <v>4359</v>
      </c>
      <c r="CS136" s="113">
        <f t="shared" si="310"/>
        <v>9.0888065031801635E-2</v>
      </c>
      <c r="CT136" s="170">
        <f t="shared" si="270"/>
        <v>87993.13923765131</v>
      </c>
      <c r="CU136" s="2">
        <v>28340</v>
      </c>
      <c r="CV136" s="169">
        <f t="shared" si="271"/>
        <v>59653.13923765131</v>
      </c>
      <c r="CW136" s="2">
        <v>12985</v>
      </c>
      <c r="CX136" s="2"/>
      <c r="CY136" s="2"/>
      <c r="CZ136" s="170">
        <f t="shared" si="272"/>
        <v>4342.6523929471032</v>
      </c>
      <c r="DA136" s="170">
        <f t="shared" si="273"/>
        <v>4919</v>
      </c>
      <c r="DB136" s="170">
        <f t="shared" si="274"/>
        <v>1274.6523929471032</v>
      </c>
      <c r="DC136" s="2">
        <v>1851</v>
      </c>
      <c r="DD136" s="2">
        <v>3068</v>
      </c>
      <c r="DE136" s="2">
        <v>376</v>
      </c>
      <c r="DF136" s="2"/>
      <c r="DG136" s="2"/>
      <c r="DH136" s="171">
        <f t="shared" si="318"/>
        <v>18902</v>
      </c>
      <c r="DI136" s="2">
        <f t="shared" si="320"/>
        <v>20961</v>
      </c>
      <c r="DJ136" s="2">
        <v>18902</v>
      </c>
      <c r="DK136" s="2">
        <v>2059</v>
      </c>
      <c r="DL136" s="113">
        <f t="shared" si="275"/>
        <v>0.14926127435109801</v>
      </c>
      <c r="DM136" s="113">
        <f t="shared" si="311"/>
        <v>0.21777752174664439</v>
      </c>
      <c r="DN136" s="113">
        <f t="shared" si="321"/>
        <v>0.61856142417697491</v>
      </c>
      <c r="DO136" s="2">
        <v>465</v>
      </c>
      <c r="DP136" s="2">
        <v>0</v>
      </c>
      <c r="DQ136" s="273"/>
      <c r="DR136" s="2">
        <v>18408</v>
      </c>
      <c r="DS136" s="2">
        <v>12150</v>
      </c>
      <c r="DT136" s="169">
        <f t="shared" si="245"/>
        <v>30558</v>
      </c>
      <c r="DU136" s="2">
        <v>85930</v>
      </c>
      <c r="DV136" s="2"/>
      <c r="DW136" s="2">
        <v>30175</v>
      </c>
      <c r="DX136" s="2"/>
      <c r="DY136" s="2"/>
      <c r="DZ136" s="2"/>
      <c r="EA136" s="2"/>
      <c r="EB136" s="2"/>
      <c r="EC136" s="2"/>
      <c r="ED136" s="175">
        <v>6765</v>
      </c>
      <c r="EE136" s="2"/>
      <c r="EF136" s="175">
        <f t="shared" si="315"/>
        <v>4865</v>
      </c>
      <c r="EG136" s="2"/>
      <c r="EH136" s="2"/>
      <c r="EI136" s="2">
        <v>43722</v>
      </c>
      <c r="EJ136" s="2">
        <v>42289</v>
      </c>
      <c r="EK136" s="2"/>
      <c r="EL136" s="2"/>
      <c r="EM136" s="2"/>
      <c r="EN136" s="2"/>
      <c r="EO136" s="2"/>
      <c r="EP136" s="2"/>
      <c r="EQ136" s="2"/>
      <c r="ER136" s="2"/>
      <c r="ES136" s="2"/>
      <c r="ET136" s="2">
        <f t="shared" si="276"/>
        <v>148096</v>
      </c>
      <c r="EU136" s="2">
        <f t="shared" si="277"/>
        <v>147005</v>
      </c>
      <c r="EV136" s="262">
        <f t="shared" si="292"/>
        <v>0.99263315687121867</v>
      </c>
      <c r="EW136" s="2">
        <v>146971</v>
      </c>
      <c r="EX136" s="1042">
        <v>-1123</v>
      </c>
      <c r="EY136" s="273">
        <f t="shared" si="278"/>
        <v>96116</v>
      </c>
      <c r="EZ136" s="2">
        <f t="shared" si="279"/>
        <v>49803</v>
      </c>
      <c r="FA136" s="1714"/>
      <c r="FB136" s="1714"/>
      <c r="FC136" s="2">
        <v>24274</v>
      </c>
      <c r="FD136" s="2">
        <v>11667</v>
      </c>
      <c r="FE136" s="1052">
        <v>15841</v>
      </c>
      <c r="FF136" s="1050"/>
      <c r="FG136" s="115"/>
      <c r="FH136" s="83"/>
      <c r="FI136" s="2">
        <v>-286</v>
      </c>
      <c r="FJ136" s="2">
        <f t="shared" si="314"/>
        <v>-286</v>
      </c>
      <c r="FK136" s="273">
        <f t="shared" si="224"/>
        <v>7039</v>
      </c>
      <c r="FL136" s="310">
        <v>7039</v>
      </c>
      <c r="FM136" s="310"/>
      <c r="FN136" s="115"/>
      <c r="FO136" s="115"/>
      <c r="FP136" s="115"/>
      <c r="FQ136" s="2">
        <v>-1123</v>
      </c>
      <c r="FR136" s="115"/>
      <c r="FS136" s="1051"/>
      <c r="FT136" s="310">
        <f t="shared" si="324"/>
        <v>16496</v>
      </c>
      <c r="FU136" s="310">
        <v>16538</v>
      </c>
      <c r="FV136" s="310"/>
      <c r="FW136" s="2">
        <v>16496</v>
      </c>
      <c r="FX136" s="115"/>
      <c r="FY136" s="115"/>
      <c r="FZ136" s="115"/>
      <c r="GA136" s="2"/>
      <c r="GB136" s="115"/>
      <c r="GC136" s="115"/>
      <c r="GD136" s="2"/>
      <c r="GE136" s="115"/>
      <c r="GF136" s="115"/>
      <c r="GG136" s="115"/>
      <c r="GH136" s="2"/>
      <c r="GI136" s="115"/>
      <c r="GJ136" s="115"/>
      <c r="GK136" s="1056">
        <f t="shared" si="281"/>
        <v>278</v>
      </c>
      <c r="GL136" s="1059">
        <v>1794</v>
      </c>
      <c r="GM136" s="1059">
        <v>429</v>
      </c>
      <c r="GN136" s="1059">
        <v>1805</v>
      </c>
      <c r="GO136" s="1059">
        <v>278</v>
      </c>
      <c r="GP136" s="1058">
        <f t="shared" si="246"/>
        <v>4865</v>
      </c>
      <c r="GQ136" s="2">
        <v>4865</v>
      </c>
      <c r="GR136" s="2"/>
      <c r="GS136" s="115"/>
      <c r="GT136" s="115"/>
      <c r="GU136" s="2">
        <f t="shared" si="225"/>
        <v>-4587</v>
      </c>
      <c r="GV136" s="615">
        <v>7926</v>
      </c>
      <c r="GW136" s="615">
        <v>4891</v>
      </c>
      <c r="GX136" s="615">
        <v>4485</v>
      </c>
      <c r="GY136" s="615">
        <f t="shared" si="322"/>
        <v>3441</v>
      </c>
      <c r="GZ136" s="310">
        <f t="shared" si="323"/>
        <v>-54</v>
      </c>
      <c r="HA136" s="2">
        <v>-1208</v>
      </c>
      <c r="HB136" s="2">
        <v>1154</v>
      </c>
      <c r="HC136" s="1052"/>
      <c r="HD136" s="170">
        <f t="shared" si="294"/>
        <v>-678</v>
      </c>
      <c r="HE136" s="2">
        <v>8449</v>
      </c>
      <c r="HF136" s="2">
        <v>9127</v>
      </c>
      <c r="HG136" s="170">
        <f t="shared" si="295"/>
        <v>-152</v>
      </c>
      <c r="HH136" s="2">
        <v>139</v>
      </c>
      <c r="HI136" s="2">
        <v>291</v>
      </c>
      <c r="HJ136" s="2">
        <f t="shared" si="282"/>
        <v>-603</v>
      </c>
      <c r="HK136" s="2"/>
      <c r="HL136" s="2"/>
      <c r="HM136" s="2">
        <f t="shared" si="247"/>
        <v>-603</v>
      </c>
      <c r="HN136" s="2">
        <f t="shared" si="283"/>
        <v>-286</v>
      </c>
      <c r="HO136" s="2">
        <f t="shared" si="284"/>
        <v>-286</v>
      </c>
      <c r="HP136" s="2">
        <v>144777</v>
      </c>
      <c r="HQ136" s="2">
        <v>144491</v>
      </c>
      <c r="HR136" s="115"/>
      <c r="HS136" s="1051"/>
      <c r="HT136" s="1002">
        <v>182</v>
      </c>
      <c r="HU136" s="1002">
        <v>21.8</v>
      </c>
      <c r="HV136" s="1002">
        <v>23.8</v>
      </c>
    </row>
    <row r="137" spans="1:230">
      <c r="A137" s="110">
        <f t="shared" si="296"/>
        <v>1978</v>
      </c>
      <c r="B137" s="176">
        <f t="shared" si="248"/>
        <v>144741</v>
      </c>
      <c r="C137" s="177">
        <f t="shared" si="317"/>
        <v>-1097</v>
      </c>
      <c r="D137" s="176">
        <f t="shared" si="285"/>
        <v>145838</v>
      </c>
      <c r="E137" s="154">
        <f t="shared" si="251"/>
        <v>167962</v>
      </c>
      <c r="F137" s="995">
        <f t="shared" si="252"/>
        <v>22124</v>
      </c>
      <c r="G137" s="531">
        <f t="shared" si="297"/>
        <v>147211</v>
      </c>
      <c r="H137" s="531">
        <f t="shared" si="298"/>
        <v>148308</v>
      </c>
      <c r="I137" s="531">
        <f t="shared" si="299"/>
        <v>170432</v>
      </c>
      <c r="J137" s="548">
        <f t="shared" si="300"/>
        <v>0.98550741644761553</v>
      </c>
      <c r="K137" s="178">
        <f t="shared" ref="K137:K168" si="325">L137-M137</f>
        <v>15972</v>
      </c>
      <c r="L137" s="2">
        <v>19784</v>
      </c>
      <c r="M137" s="2">
        <v>3812</v>
      </c>
      <c r="N137" s="2">
        <v>11769</v>
      </c>
      <c r="O137" s="170">
        <f t="shared" si="286"/>
        <v>4203</v>
      </c>
      <c r="P137" s="175">
        <v>0</v>
      </c>
      <c r="Q137" s="175">
        <f t="shared" si="243"/>
        <v>3685</v>
      </c>
      <c r="R137" s="175">
        <f t="shared" si="287"/>
        <v>518</v>
      </c>
      <c r="S137" s="532"/>
      <c r="T137" s="1008">
        <f t="shared" si="253"/>
        <v>4224.7724288840263</v>
      </c>
      <c r="U137" s="1010">
        <v>3863</v>
      </c>
      <c r="V137" s="511">
        <f t="shared" si="288"/>
        <v>6183.7724288840263</v>
      </c>
      <c r="W137" s="2">
        <v>5822</v>
      </c>
      <c r="X137" s="169">
        <f t="shared" si="254"/>
        <v>1959</v>
      </c>
      <c r="Y137" s="113">
        <f t="shared" si="255"/>
        <v>0.31679691038590452</v>
      </c>
      <c r="Z137" s="113">
        <f t="shared" si="256"/>
        <v>0.33648230848505667</v>
      </c>
      <c r="AA137" s="276">
        <f>X137/DataUK3!D137</f>
        <v>1.0897386000272343E-2</v>
      </c>
      <c r="AB137" s="1019">
        <f t="shared" si="257"/>
        <v>1.1663352424953264E-2</v>
      </c>
      <c r="AC137" s="2"/>
      <c r="AD137" s="2">
        <v>501</v>
      </c>
      <c r="AE137" s="2"/>
      <c r="AF137" s="2"/>
      <c r="AG137" s="2"/>
      <c r="AH137" s="2"/>
      <c r="AI137" s="1010">
        <f>AD137*DataUK3!BG137</f>
        <v>361.77242888402623</v>
      </c>
      <c r="AJ137" s="171">
        <f t="shared" si="249"/>
        <v>13624.982708067062</v>
      </c>
      <c r="AK137" s="561"/>
      <c r="AL137" s="169">
        <f t="shared" si="301"/>
        <v>15825.982708067062</v>
      </c>
      <c r="AM137" s="169"/>
      <c r="AN137" s="2">
        <v>7977</v>
      </c>
      <c r="AO137" s="1029">
        <f t="shared" si="258"/>
        <v>10178</v>
      </c>
      <c r="AP137" s="170"/>
      <c r="AQ137" s="170"/>
      <c r="AR137" s="170"/>
      <c r="AS137" s="170"/>
      <c r="AT137" s="170"/>
      <c r="AU137" s="170"/>
      <c r="AV137" s="170"/>
      <c r="AW137" s="170"/>
      <c r="AX137" s="170"/>
      <c r="AY137" s="170"/>
      <c r="AZ137" s="170"/>
      <c r="BA137" s="170"/>
      <c r="BB137" s="170"/>
      <c r="BC137" s="170"/>
      <c r="BD137" s="170"/>
      <c r="BE137" s="170"/>
      <c r="BF137" s="170"/>
      <c r="BG137" s="170"/>
      <c r="BH137" s="170"/>
      <c r="BI137" s="273">
        <v>98891</v>
      </c>
      <c r="BJ137" s="2">
        <f t="shared" si="302"/>
        <v>99031</v>
      </c>
      <c r="BK137" s="170"/>
      <c r="BL137" s="170"/>
      <c r="BM137" s="1031">
        <f t="shared" si="303"/>
        <v>5647.982708067063</v>
      </c>
      <c r="BN137" s="254"/>
      <c r="BO137" s="262">
        <f t="shared" si="289"/>
        <v>5.5112234957613943E-2</v>
      </c>
      <c r="BP137" s="262">
        <f t="shared" si="264"/>
        <v>7.0318707208047476E-2</v>
      </c>
      <c r="BQ137" s="262">
        <f t="shared" si="290"/>
        <v>3.9021305007337678E-2</v>
      </c>
      <c r="BR137" s="262">
        <f t="shared" si="304"/>
        <v>5.711321260849888E-2</v>
      </c>
      <c r="BS137" s="988">
        <f t="shared" si="185"/>
        <v>0.55492068265543948</v>
      </c>
      <c r="BT137" s="519">
        <f t="shared" si="265"/>
        <v>2201</v>
      </c>
      <c r="BU137" s="519"/>
      <c r="BV137" s="113">
        <f t="shared" si="266"/>
        <v>0.13907509192955661</v>
      </c>
      <c r="BW137" s="276">
        <f t="shared" si="305"/>
        <v>1.3104154511139424E-2</v>
      </c>
      <c r="BX137" s="273">
        <v>4160</v>
      </c>
      <c r="BY137" s="113"/>
      <c r="BZ137" s="1013"/>
      <c r="CA137" s="1005">
        <f t="shared" si="291"/>
        <v>144741</v>
      </c>
      <c r="CB137" s="2"/>
      <c r="CC137" s="2"/>
      <c r="CD137" s="2"/>
      <c r="CE137" s="2"/>
      <c r="CF137" s="2">
        <v>169343</v>
      </c>
      <c r="CG137" s="2">
        <v>1644</v>
      </c>
      <c r="CH137" s="2">
        <f t="shared" si="267"/>
        <v>263</v>
      </c>
      <c r="CI137" s="2">
        <v>22124</v>
      </c>
      <c r="CJ137" s="2"/>
      <c r="CK137" s="2"/>
      <c r="CL137" s="171">
        <f t="shared" si="306"/>
        <v>91008.244863048909</v>
      </c>
      <c r="CM137" s="169">
        <f t="shared" si="307"/>
        <v>106630.24486304891</v>
      </c>
      <c r="CN137" s="170">
        <f t="shared" si="268"/>
        <v>34255.227571115975</v>
      </c>
      <c r="CO137" s="170">
        <f t="shared" si="269"/>
        <v>34617</v>
      </c>
      <c r="CP137" s="170">
        <f t="shared" si="308"/>
        <v>72375.017291932934</v>
      </c>
      <c r="CQ137" s="170">
        <f t="shared" si="309"/>
        <v>15622</v>
      </c>
      <c r="CR137" s="170">
        <v>4928</v>
      </c>
      <c r="CS137" s="113">
        <f t="shared" si="310"/>
        <v>9.3009133018182685E-2</v>
      </c>
      <c r="CT137" s="170">
        <f t="shared" si="270"/>
        <v>102417.01729193293</v>
      </c>
      <c r="CU137" s="2">
        <v>33685</v>
      </c>
      <c r="CV137" s="169">
        <f t="shared" si="271"/>
        <v>68732.017291932934</v>
      </c>
      <c r="CW137" s="2">
        <v>15177</v>
      </c>
      <c r="CX137" s="2"/>
      <c r="CY137" s="2"/>
      <c r="CZ137" s="170">
        <f t="shared" si="272"/>
        <v>4213.2275711159737</v>
      </c>
      <c r="DA137" s="170">
        <f t="shared" si="273"/>
        <v>4575</v>
      </c>
      <c r="DB137" s="170">
        <f t="shared" si="274"/>
        <v>570.22757111597377</v>
      </c>
      <c r="DC137" s="2">
        <v>932</v>
      </c>
      <c r="DD137" s="2">
        <v>3643</v>
      </c>
      <c r="DE137" s="2">
        <v>445</v>
      </c>
      <c r="DF137" s="2"/>
      <c r="DG137" s="2"/>
      <c r="DH137" s="171">
        <f t="shared" si="318"/>
        <v>21008</v>
      </c>
      <c r="DI137" s="2">
        <f t="shared" si="320"/>
        <v>23350</v>
      </c>
      <c r="DJ137" s="2">
        <v>21008</v>
      </c>
      <c r="DK137" s="2">
        <v>2342</v>
      </c>
      <c r="DL137" s="113">
        <f t="shared" si="275"/>
        <v>0.14514201228401075</v>
      </c>
      <c r="DM137" s="113">
        <f t="shared" si="311"/>
        <v>0.21213559390493886</v>
      </c>
      <c r="DN137" s="113">
        <f t="shared" si="321"/>
        <v>0.60676428963405826</v>
      </c>
      <c r="DO137" s="2">
        <v>518</v>
      </c>
      <c r="DP137" s="2">
        <v>0</v>
      </c>
      <c r="DQ137" s="273"/>
      <c r="DR137" s="2">
        <v>20763</v>
      </c>
      <c r="DS137" s="2">
        <v>13860</v>
      </c>
      <c r="DT137" s="169">
        <f t="shared" ref="DT137:DT168" si="326">DR137+DS137</f>
        <v>34623</v>
      </c>
      <c r="DU137" s="2">
        <v>98937</v>
      </c>
      <c r="DV137" s="2"/>
      <c r="DW137" s="2">
        <v>34191</v>
      </c>
      <c r="DX137" s="2"/>
      <c r="DY137" s="2"/>
      <c r="DZ137" s="2"/>
      <c r="EA137" s="2"/>
      <c r="EB137" s="2"/>
      <c r="EC137" s="2"/>
      <c r="ED137" s="175">
        <v>6871</v>
      </c>
      <c r="EE137" s="2"/>
      <c r="EF137" s="175">
        <f t="shared" si="315"/>
        <v>4889</v>
      </c>
      <c r="EG137" s="2"/>
      <c r="EH137" s="2"/>
      <c r="EI137" s="2">
        <v>47946</v>
      </c>
      <c r="EJ137" s="2">
        <v>45265</v>
      </c>
      <c r="EK137" s="2"/>
      <c r="EL137" s="2"/>
      <c r="EM137" s="2"/>
      <c r="EN137" s="2"/>
      <c r="EO137" s="2"/>
      <c r="EP137" s="2"/>
      <c r="EQ137" s="2"/>
      <c r="ER137" s="2"/>
      <c r="ES137" s="2"/>
      <c r="ET137" s="2">
        <f t="shared" si="276"/>
        <v>170432</v>
      </c>
      <c r="EU137" s="2">
        <f t="shared" si="277"/>
        <v>167962</v>
      </c>
      <c r="EV137" s="262">
        <f t="shared" si="292"/>
        <v>0.98550741644761553</v>
      </c>
      <c r="EW137" s="2">
        <v>169343</v>
      </c>
      <c r="EX137" s="1042">
        <v>-1088</v>
      </c>
      <c r="EY137" s="273">
        <f t="shared" si="278"/>
        <v>112371</v>
      </c>
      <c r="EZ137" s="2">
        <f t="shared" si="279"/>
        <v>55281</v>
      </c>
      <c r="FA137" s="1714"/>
      <c r="FB137" s="1714"/>
      <c r="FC137" s="2">
        <v>26782</v>
      </c>
      <c r="FD137" s="2">
        <v>12527</v>
      </c>
      <c r="FE137" s="1052">
        <v>18862</v>
      </c>
      <c r="FF137" s="1050"/>
      <c r="FG137" s="115"/>
      <c r="FH137" s="83"/>
      <c r="FI137" s="2">
        <v>821</v>
      </c>
      <c r="FJ137" s="2">
        <f t="shared" si="314"/>
        <v>821</v>
      </c>
      <c r="FK137" s="273">
        <f t="shared" si="224"/>
        <v>10310</v>
      </c>
      <c r="FL137" s="310">
        <v>10310</v>
      </c>
      <c r="FM137" s="310"/>
      <c r="FN137" s="115"/>
      <c r="FO137" s="115"/>
      <c r="FP137" s="115"/>
      <c r="FQ137" s="2">
        <v>-1020</v>
      </c>
      <c r="FR137" s="115"/>
      <c r="FS137" s="1051"/>
      <c r="FT137" s="310">
        <f t="shared" si="324"/>
        <v>20212</v>
      </c>
      <c r="FU137" s="310">
        <v>18988</v>
      </c>
      <c r="FV137" s="310"/>
      <c r="FW137" s="2">
        <v>20212</v>
      </c>
      <c r="FX137" s="115"/>
      <c r="FY137" s="115"/>
      <c r="FZ137" s="115"/>
      <c r="GA137" s="2"/>
      <c r="GB137" s="115"/>
      <c r="GC137" s="115"/>
      <c r="GD137" s="2"/>
      <c r="GE137" s="115"/>
      <c r="GF137" s="115"/>
      <c r="GG137" s="115"/>
      <c r="GH137" s="2"/>
      <c r="GI137" s="115"/>
      <c r="GJ137" s="115"/>
      <c r="GK137" s="1056">
        <f t="shared" si="281"/>
        <v>-1784</v>
      </c>
      <c r="GL137" s="1059">
        <v>-445</v>
      </c>
      <c r="GM137" s="1059">
        <v>403</v>
      </c>
      <c r="GN137" s="1059">
        <v>2158</v>
      </c>
      <c r="GO137" s="1059">
        <v>-1784</v>
      </c>
      <c r="GP137" s="1058">
        <f t="shared" si="246"/>
        <v>4889</v>
      </c>
      <c r="GQ137" s="2">
        <v>4889</v>
      </c>
      <c r="GR137" s="2"/>
      <c r="GS137" s="115"/>
      <c r="GT137" s="115"/>
      <c r="GU137" s="2">
        <f t="shared" si="225"/>
        <v>-6673</v>
      </c>
      <c r="GV137" s="615">
        <v>8868</v>
      </c>
      <c r="GW137" s="615">
        <v>5886</v>
      </c>
      <c r="GX137" s="615">
        <v>4819</v>
      </c>
      <c r="GY137" s="615">
        <f t="shared" si="322"/>
        <v>4049</v>
      </c>
      <c r="GZ137" s="310">
        <f t="shared" si="323"/>
        <v>-2013</v>
      </c>
      <c r="HA137" s="2">
        <v>-3321</v>
      </c>
      <c r="HB137" s="2">
        <v>1308</v>
      </c>
      <c r="HC137" s="1052"/>
      <c r="HD137" s="170">
        <f t="shared" si="294"/>
        <v>-300</v>
      </c>
      <c r="HE137" s="2">
        <v>10747</v>
      </c>
      <c r="HF137" s="2">
        <v>11047</v>
      </c>
      <c r="HG137" s="170">
        <f t="shared" si="295"/>
        <v>-140</v>
      </c>
      <c r="HH137" s="2">
        <v>159</v>
      </c>
      <c r="HI137" s="2">
        <v>299</v>
      </c>
      <c r="HJ137" s="2">
        <f t="shared" si="282"/>
        <v>-657</v>
      </c>
      <c r="HK137" s="2"/>
      <c r="HL137" s="2"/>
      <c r="HM137" s="2">
        <f t="shared" si="247"/>
        <v>-657</v>
      </c>
      <c r="HN137" s="2">
        <f t="shared" si="283"/>
        <v>-763</v>
      </c>
      <c r="HO137" s="2">
        <f t="shared" si="284"/>
        <v>-763</v>
      </c>
      <c r="HP137" s="2">
        <v>167431</v>
      </c>
      <c r="HQ137" s="2">
        <v>166668</v>
      </c>
      <c r="HR137" s="115"/>
      <c r="HS137" s="1051"/>
      <c r="HT137" s="1002">
        <v>197.1</v>
      </c>
      <c r="HU137" s="1002">
        <v>24.4</v>
      </c>
      <c r="HV137" s="1002">
        <v>26</v>
      </c>
    </row>
    <row r="138" spans="1:230">
      <c r="A138" s="110">
        <f t="shared" si="296"/>
        <v>1979</v>
      </c>
      <c r="B138" s="176">
        <f t="shared" ref="B138:B169" si="327">C138+D138</f>
        <v>168817</v>
      </c>
      <c r="C138" s="177">
        <f t="shared" si="317"/>
        <v>-2090</v>
      </c>
      <c r="D138" s="176">
        <f t="shared" si="285"/>
        <v>170907</v>
      </c>
      <c r="E138" s="154">
        <f t="shared" si="251"/>
        <v>197253</v>
      </c>
      <c r="F138" s="995">
        <f t="shared" si="252"/>
        <v>26346</v>
      </c>
      <c r="G138" s="531">
        <f t="shared" si="297"/>
        <v>171046</v>
      </c>
      <c r="H138" s="531">
        <f t="shared" si="298"/>
        <v>173136</v>
      </c>
      <c r="I138" s="531">
        <f t="shared" si="299"/>
        <v>199482</v>
      </c>
      <c r="J138" s="548">
        <f t="shared" si="300"/>
        <v>0.98882605949408964</v>
      </c>
      <c r="K138" s="178">
        <f t="shared" si="325"/>
        <v>20957</v>
      </c>
      <c r="L138" s="2">
        <v>25532</v>
      </c>
      <c r="M138" s="2">
        <v>4575</v>
      </c>
      <c r="N138" s="2">
        <v>15423</v>
      </c>
      <c r="O138" s="170">
        <f t="shared" si="286"/>
        <v>5534</v>
      </c>
      <c r="P138" s="175">
        <v>0</v>
      </c>
      <c r="Q138" s="175">
        <f t="shared" si="243"/>
        <v>4929</v>
      </c>
      <c r="R138" s="175">
        <f t="shared" si="287"/>
        <v>605</v>
      </c>
      <c r="S138" s="532"/>
      <c r="T138" s="1008">
        <f t="shared" si="253"/>
        <v>4873.2777777777774</v>
      </c>
      <c r="U138" s="1010">
        <v>4627</v>
      </c>
      <c r="V138" s="511">
        <f t="shared" si="288"/>
        <v>7492.2777777777774</v>
      </c>
      <c r="W138" s="2">
        <v>7246</v>
      </c>
      <c r="X138" s="169">
        <f t="shared" si="254"/>
        <v>2619</v>
      </c>
      <c r="Y138" s="113">
        <f t="shared" si="255"/>
        <v>0.34955991724812957</v>
      </c>
      <c r="Z138" s="113">
        <f t="shared" si="256"/>
        <v>0.36144079492133591</v>
      </c>
      <c r="AA138" s="276">
        <f>X138/DataUK3!D138</f>
        <v>1.1737918635033092E-2</v>
      </c>
      <c r="AB138" s="1019">
        <f t="shared" si="257"/>
        <v>1.327736460281973E-2</v>
      </c>
      <c r="AC138" s="2"/>
      <c r="AD138" s="2">
        <v>341</v>
      </c>
      <c r="AE138" s="2"/>
      <c r="AF138" s="2"/>
      <c r="AG138" s="2"/>
      <c r="AH138" s="2"/>
      <c r="AI138" s="1010">
        <f>AD138*DataUK3!BG138</f>
        <v>246.27777777777777</v>
      </c>
      <c r="AJ138" s="171">
        <f t="shared" si="249"/>
        <v>15270.575144725961</v>
      </c>
      <c r="AK138" s="561"/>
      <c r="AL138" s="169">
        <f t="shared" si="301"/>
        <v>17640.575144725961</v>
      </c>
      <c r="AM138" s="169"/>
      <c r="AN138" s="2">
        <v>8975</v>
      </c>
      <c r="AO138" s="1029">
        <f t="shared" si="258"/>
        <v>11345</v>
      </c>
      <c r="AP138" s="170"/>
      <c r="AQ138" s="170"/>
      <c r="AR138" s="170"/>
      <c r="AS138" s="170"/>
      <c r="AT138" s="170"/>
      <c r="AU138" s="170"/>
      <c r="AV138" s="170"/>
      <c r="AW138" s="170"/>
      <c r="AX138" s="170"/>
      <c r="AY138" s="170"/>
      <c r="AZ138" s="170"/>
      <c r="BA138" s="170"/>
      <c r="BB138" s="170"/>
      <c r="BC138" s="170"/>
      <c r="BD138" s="170"/>
      <c r="BE138" s="170"/>
      <c r="BF138" s="170"/>
      <c r="BG138" s="170"/>
      <c r="BH138" s="170"/>
      <c r="BI138" s="273">
        <v>115958</v>
      </c>
      <c r="BJ138" s="2">
        <f t="shared" si="302"/>
        <v>116088</v>
      </c>
      <c r="BK138" s="170"/>
      <c r="BL138" s="170"/>
      <c r="BM138" s="1031">
        <f t="shared" si="303"/>
        <v>6295.5751447259609</v>
      </c>
      <c r="BN138" s="254"/>
      <c r="BO138" s="262">
        <f t="shared" si="289"/>
        <v>5.3164077077545509E-2</v>
      </c>
      <c r="BP138" s="262">
        <f t="shared" si="264"/>
        <v>6.7202947570446106E-2</v>
      </c>
      <c r="BQ138" s="262">
        <f t="shared" si="290"/>
        <v>3.729230554224966E-2</v>
      </c>
      <c r="BR138" s="262">
        <f t="shared" si="304"/>
        <v>5.4291856919970689E-2</v>
      </c>
      <c r="BS138" s="988">
        <f t="shared" si="185"/>
        <v>0.55492068265543948</v>
      </c>
      <c r="BT138" s="519">
        <f t="shared" si="265"/>
        <v>2370</v>
      </c>
      <c r="BU138" s="519"/>
      <c r="BV138" s="113">
        <f t="shared" si="266"/>
        <v>0.13434936109260381</v>
      </c>
      <c r="BW138" s="276">
        <f t="shared" si="305"/>
        <v>1.201502638743137E-2</v>
      </c>
      <c r="BX138" s="273">
        <v>4989</v>
      </c>
      <c r="BY138" s="113"/>
      <c r="BZ138" s="1013"/>
      <c r="CA138" s="1005">
        <f t="shared" si="291"/>
        <v>168817</v>
      </c>
      <c r="CB138" s="2"/>
      <c r="CC138" s="2"/>
      <c r="CD138" s="2"/>
      <c r="CE138" s="2"/>
      <c r="CF138" s="2">
        <v>199218</v>
      </c>
      <c r="CG138" s="2">
        <v>2055</v>
      </c>
      <c r="CH138" s="2">
        <f t="shared" si="267"/>
        <v>90</v>
      </c>
      <c r="CI138" s="2">
        <v>26346</v>
      </c>
      <c r="CJ138" s="2"/>
      <c r="CK138" s="2"/>
      <c r="CL138" s="171">
        <f t="shared" si="306"/>
        <v>105885.14707749625</v>
      </c>
      <c r="CM138" s="169">
        <f t="shared" si="307"/>
        <v>124457.14707749625</v>
      </c>
      <c r="CN138" s="170">
        <f t="shared" si="268"/>
        <v>38585.722222222219</v>
      </c>
      <c r="CO138" s="170">
        <f t="shared" si="269"/>
        <v>38832</v>
      </c>
      <c r="CP138" s="170">
        <f t="shared" si="308"/>
        <v>85871.424855274032</v>
      </c>
      <c r="CQ138" s="170">
        <f t="shared" si="309"/>
        <v>18572</v>
      </c>
      <c r="CR138" s="170">
        <v>5707</v>
      </c>
      <c r="CS138" s="113">
        <f t="shared" si="310"/>
        <v>9.4153194121255446E-2</v>
      </c>
      <c r="CT138" s="170">
        <f t="shared" si="270"/>
        <v>119280.42485527403</v>
      </c>
      <c r="CU138" s="2">
        <v>37766</v>
      </c>
      <c r="CV138" s="169">
        <f t="shared" si="271"/>
        <v>81514.424855274032</v>
      </c>
      <c r="CW138" s="2">
        <v>18018</v>
      </c>
      <c r="CX138" s="2"/>
      <c r="CY138" s="2"/>
      <c r="CZ138" s="170">
        <f t="shared" si="272"/>
        <v>5176.7222222222226</v>
      </c>
      <c r="DA138" s="170">
        <f t="shared" si="273"/>
        <v>5423</v>
      </c>
      <c r="DB138" s="170">
        <f t="shared" si="274"/>
        <v>819.72222222222217</v>
      </c>
      <c r="DC138" s="2">
        <v>1066</v>
      </c>
      <c r="DD138" s="2">
        <v>4357</v>
      </c>
      <c r="DE138" s="2">
        <v>554</v>
      </c>
      <c r="DF138" s="2"/>
      <c r="DG138" s="2"/>
      <c r="DH138" s="171">
        <f t="shared" si="318"/>
        <v>23921</v>
      </c>
      <c r="DI138" s="2">
        <f t="shared" si="320"/>
        <v>26706</v>
      </c>
      <c r="DJ138" s="2">
        <v>23921</v>
      </c>
      <c r="DK138" s="2">
        <v>2785</v>
      </c>
      <c r="DL138" s="113">
        <f t="shared" si="275"/>
        <v>0.14169781479353383</v>
      </c>
      <c r="DM138" s="113">
        <f t="shared" si="311"/>
        <v>0.2060591964716422</v>
      </c>
      <c r="DN138" s="113">
        <f t="shared" si="321"/>
        <v>0.5947390666567216</v>
      </c>
      <c r="DO138" s="2">
        <v>605</v>
      </c>
      <c r="DP138" s="2">
        <v>0</v>
      </c>
      <c r="DQ138" s="273"/>
      <c r="DR138" s="2">
        <v>23994</v>
      </c>
      <c r="DS138" s="2">
        <v>16227</v>
      </c>
      <c r="DT138" s="169">
        <f t="shared" si="326"/>
        <v>40221</v>
      </c>
      <c r="DU138" s="2">
        <v>117304</v>
      </c>
      <c r="DV138" s="2"/>
      <c r="DW138" s="2">
        <v>40710</v>
      </c>
      <c r="DX138" s="2"/>
      <c r="DY138" s="2"/>
      <c r="DZ138" s="2"/>
      <c r="EA138" s="2"/>
      <c r="EB138" s="2"/>
      <c r="EC138" s="2"/>
      <c r="ED138" s="175">
        <v>7642</v>
      </c>
      <c r="EE138" s="2"/>
      <c r="EF138" s="175">
        <f t="shared" si="315"/>
        <v>5483</v>
      </c>
      <c r="EG138" s="2"/>
      <c r="EH138" s="2"/>
      <c r="EI138" s="2">
        <v>55462</v>
      </c>
      <c r="EJ138" s="2">
        <v>54215</v>
      </c>
      <c r="EK138" s="2"/>
      <c r="EL138" s="2"/>
      <c r="EM138" s="2"/>
      <c r="EN138" s="2"/>
      <c r="EO138" s="2"/>
      <c r="EP138" s="2"/>
      <c r="EQ138" s="2"/>
      <c r="ER138" s="2"/>
      <c r="ES138" s="2"/>
      <c r="ET138" s="2">
        <f t="shared" si="276"/>
        <v>199482</v>
      </c>
      <c r="EU138" s="2">
        <f t="shared" si="277"/>
        <v>197253</v>
      </c>
      <c r="EV138" s="262">
        <f t="shared" si="292"/>
        <v>0.98882605949408964</v>
      </c>
      <c r="EW138" s="2">
        <v>199218</v>
      </c>
      <c r="EX138" s="1042">
        <v>-262</v>
      </c>
      <c r="EY138" s="273">
        <f t="shared" si="278"/>
        <v>130487</v>
      </c>
      <c r="EZ138" s="2">
        <f t="shared" si="279"/>
        <v>65645</v>
      </c>
      <c r="FA138" s="1714"/>
      <c r="FB138" s="1714"/>
      <c r="FC138" s="2">
        <v>30376</v>
      </c>
      <c r="FD138" s="2">
        <v>14312</v>
      </c>
      <c r="FE138" s="1052">
        <v>22369</v>
      </c>
      <c r="FF138" s="1050"/>
      <c r="FG138" s="115"/>
      <c r="FH138" s="83"/>
      <c r="FI138" s="2">
        <v>-1002</v>
      </c>
      <c r="FJ138" s="2">
        <f t="shared" si="314"/>
        <v>-1002</v>
      </c>
      <c r="FK138" s="273">
        <f t="shared" si="224"/>
        <v>14318</v>
      </c>
      <c r="FL138" s="310">
        <v>14318</v>
      </c>
      <c r="FM138" s="310"/>
      <c r="FN138" s="115"/>
      <c r="FO138" s="115"/>
      <c r="FP138" s="115"/>
      <c r="FQ138" s="2">
        <v>-2255</v>
      </c>
      <c r="FR138" s="115"/>
      <c r="FS138" s="1051"/>
      <c r="FT138" s="310">
        <f t="shared" si="324"/>
        <v>20357</v>
      </c>
      <c r="FU138" s="310">
        <v>19903</v>
      </c>
      <c r="FV138" s="310"/>
      <c r="FW138" s="2">
        <v>20357</v>
      </c>
      <c r="FX138" s="115"/>
      <c r="FY138" s="115"/>
      <c r="FZ138" s="115"/>
      <c r="GA138" s="2"/>
      <c r="GB138" s="115"/>
      <c r="GC138" s="115"/>
      <c r="GD138" s="2"/>
      <c r="GE138" s="115"/>
      <c r="GF138" s="115"/>
      <c r="GG138" s="115"/>
      <c r="GH138" s="2"/>
      <c r="GI138" s="115"/>
      <c r="GJ138" s="115"/>
      <c r="GK138" s="1056">
        <f t="shared" si="281"/>
        <v>-1148</v>
      </c>
      <c r="GL138" s="1059">
        <v>92</v>
      </c>
      <c r="GM138" s="1059">
        <v>474</v>
      </c>
      <c r="GN138" s="1059">
        <v>1959</v>
      </c>
      <c r="GO138" s="1059">
        <v>-1148</v>
      </c>
      <c r="GP138" s="1058">
        <f t="shared" si="246"/>
        <v>5483</v>
      </c>
      <c r="GQ138" s="2">
        <v>5483</v>
      </c>
      <c r="GR138" s="2"/>
      <c r="GS138" s="115"/>
      <c r="GT138" s="115"/>
      <c r="GU138" s="2">
        <f t="shared" si="225"/>
        <v>-6631</v>
      </c>
      <c r="GV138" s="615">
        <v>10682</v>
      </c>
      <c r="GW138" s="615">
        <v>7117</v>
      </c>
      <c r="GX138" s="615">
        <v>5736</v>
      </c>
      <c r="GY138" s="615">
        <f t="shared" si="322"/>
        <v>4946</v>
      </c>
      <c r="GZ138" s="310">
        <f t="shared" si="323"/>
        <v>-574</v>
      </c>
      <c r="HA138" s="2">
        <v>-2115</v>
      </c>
      <c r="HB138" s="2">
        <v>1541</v>
      </c>
      <c r="HC138" s="1052"/>
      <c r="HD138" s="170">
        <f t="shared" si="294"/>
        <v>-342</v>
      </c>
      <c r="HE138" s="2">
        <v>16911</v>
      </c>
      <c r="HF138" s="2">
        <v>17253</v>
      </c>
      <c r="HG138" s="170">
        <f t="shared" si="295"/>
        <v>-130</v>
      </c>
      <c r="HH138" s="2">
        <v>176</v>
      </c>
      <c r="HI138" s="2">
        <v>306</v>
      </c>
      <c r="HJ138" s="2">
        <f t="shared" si="282"/>
        <v>-1618</v>
      </c>
      <c r="HK138" s="2"/>
      <c r="HL138" s="2"/>
      <c r="HM138" s="2">
        <f t="shared" si="247"/>
        <v>-1618</v>
      </c>
      <c r="HN138" s="2">
        <f t="shared" si="283"/>
        <v>-159</v>
      </c>
      <c r="HO138" s="2">
        <f t="shared" si="284"/>
        <v>-159</v>
      </c>
      <c r="HP138" s="2">
        <v>196181</v>
      </c>
      <c r="HQ138" s="2">
        <v>196022</v>
      </c>
      <c r="HR138" s="115"/>
      <c r="HS138" s="1051"/>
      <c r="HT138" s="1002">
        <v>223.5</v>
      </c>
      <c r="HU138" s="1002">
        <v>27.9</v>
      </c>
      <c r="HV138" s="1002">
        <v>29.5</v>
      </c>
    </row>
    <row r="139" spans="1:230">
      <c r="A139" s="110">
        <f t="shared" si="296"/>
        <v>1980</v>
      </c>
      <c r="B139" s="176">
        <f t="shared" si="327"/>
        <v>197198.00000000003</v>
      </c>
      <c r="C139" s="177">
        <f t="shared" si="317"/>
        <v>-3704</v>
      </c>
      <c r="D139" s="176">
        <f t="shared" si="285"/>
        <v>200902.00000000003</v>
      </c>
      <c r="E139" s="154">
        <f t="shared" ref="E139:E169" si="328">K139+V139+AL139+CM139+DI139</f>
        <v>232701</v>
      </c>
      <c r="F139" s="995">
        <f t="shared" ref="F139:F169" si="329">X139+BT139+CQ139+DK139</f>
        <v>31799</v>
      </c>
      <c r="G139" s="531">
        <f t="shared" si="297"/>
        <v>198334</v>
      </c>
      <c r="H139" s="531">
        <f t="shared" si="298"/>
        <v>202038</v>
      </c>
      <c r="I139" s="531">
        <f t="shared" si="299"/>
        <v>233837</v>
      </c>
      <c r="J139" s="548">
        <f t="shared" si="300"/>
        <v>0.99514191509470273</v>
      </c>
      <c r="K139" s="178">
        <f t="shared" si="325"/>
        <v>26688</v>
      </c>
      <c r="L139" s="2">
        <v>32237</v>
      </c>
      <c r="M139" s="2">
        <v>5549</v>
      </c>
      <c r="N139" s="2">
        <v>20006</v>
      </c>
      <c r="O139" s="170">
        <f t="shared" si="286"/>
        <v>6682</v>
      </c>
      <c r="P139" s="175">
        <v>0</v>
      </c>
      <c r="Q139" s="175">
        <f t="shared" si="243"/>
        <v>5921</v>
      </c>
      <c r="R139" s="175">
        <f t="shared" si="287"/>
        <v>761</v>
      </c>
      <c r="S139" s="532"/>
      <c r="T139" s="1008">
        <f t="shared" si="253"/>
        <v>5807.6595092024536</v>
      </c>
      <c r="U139" s="1010">
        <v>5397</v>
      </c>
      <c r="V139" s="511">
        <f t="shared" si="288"/>
        <v>9045.6595092024545</v>
      </c>
      <c r="W139" s="2">
        <v>8635</v>
      </c>
      <c r="X139" s="169">
        <f t="shared" si="254"/>
        <v>3238</v>
      </c>
      <c r="Y139" s="113">
        <f t="shared" si="255"/>
        <v>0.35796173808066439</v>
      </c>
      <c r="Z139" s="113">
        <f t="shared" ref="Z139:Z169" si="330">X139/W139</f>
        <v>0.37498552403011004</v>
      </c>
      <c r="AA139" s="276">
        <f>X139/DataUK3!D139</f>
        <v>1.1289664804581994E-2</v>
      </c>
      <c r="AB139" s="1019">
        <f t="shared" ref="AB139:AB169" si="331">X139/E139</f>
        <v>1.3914852106351069E-2</v>
      </c>
      <c r="AC139" s="2"/>
      <c r="AD139" s="2">
        <v>595</v>
      </c>
      <c r="AE139" s="2"/>
      <c r="AF139" s="2"/>
      <c r="AG139" s="2"/>
      <c r="AH139" s="2"/>
      <c r="AI139" s="1010">
        <f>AD139*DataUK3!BG139</f>
        <v>410.65950920245399</v>
      </c>
      <c r="AJ139" s="171">
        <f t="shared" si="249"/>
        <v>16999.365686790468</v>
      </c>
      <c r="AK139" s="561"/>
      <c r="AL139" s="169">
        <f t="shared" si="301"/>
        <v>19786.365686790468</v>
      </c>
      <c r="AM139" s="169"/>
      <c r="AN139" s="2">
        <v>9938</v>
      </c>
      <c r="AO139" s="1029">
        <f t="shared" si="258"/>
        <v>12725</v>
      </c>
      <c r="AP139" s="170"/>
      <c r="AQ139" s="170"/>
      <c r="AR139" s="170"/>
      <c r="AS139" s="170"/>
      <c r="AT139" s="170"/>
      <c r="AU139" s="170"/>
      <c r="AV139" s="170"/>
      <c r="AW139" s="170"/>
      <c r="AX139" s="170"/>
      <c r="AY139" s="170"/>
      <c r="AZ139" s="170"/>
      <c r="BA139" s="170"/>
      <c r="BB139" s="170"/>
      <c r="BC139" s="170"/>
      <c r="BD139" s="170"/>
      <c r="BE139" s="170"/>
      <c r="BF139" s="170"/>
      <c r="BG139" s="170"/>
      <c r="BH139" s="170"/>
      <c r="BI139" s="273">
        <v>137941</v>
      </c>
      <c r="BJ139" s="2">
        <f t="shared" si="302"/>
        <v>138023</v>
      </c>
      <c r="BK139" s="170"/>
      <c r="BL139" s="170"/>
      <c r="BM139" s="1031">
        <f t="shared" si="303"/>
        <v>7061.3656867904674</v>
      </c>
      <c r="BN139" s="254"/>
      <c r="BO139" s="262">
        <f t="shared" si="289"/>
        <v>5.0396048641466955E-2</v>
      </c>
      <c r="BP139" s="262">
        <f t="shared" ref="BP139:BP169" si="332">AO139/B139</f>
        <v>6.4529052018783145E-2</v>
      </c>
      <c r="BQ139" s="262">
        <f t="shared" si="290"/>
        <v>3.5808505597371511E-2</v>
      </c>
      <c r="BR139" s="262">
        <f t="shared" si="304"/>
        <v>5.1191202664838356E-2</v>
      </c>
      <c r="BS139" s="988">
        <f t="shared" si="185"/>
        <v>0.55492068265543948</v>
      </c>
      <c r="BT139" s="519">
        <f t="shared" si="265"/>
        <v>2787</v>
      </c>
      <c r="BU139" s="519"/>
      <c r="BV139" s="113">
        <f t="shared" ref="BV139:BV169" si="333">BT139/AL139</f>
        <v>0.14085456844965838</v>
      </c>
      <c r="BW139" s="276">
        <f t="shared" si="305"/>
        <v>1.1976742686967396E-2</v>
      </c>
      <c r="BX139" s="273">
        <v>6025</v>
      </c>
      <c r="BY139" s="113"/>
      <c r="BZ139" s="1013"/>
      <c r="CA139" s="1005">
        <f t="shared" si="291"/>
        <v>197198</v>
      </c>
      <c r="CB139" s="2"/>
      <c r="CC139" s="2"/>
      <c r="CD139" s="2"/>
      <c r="CE139" s="2"/>
      <c r="CF139" s="2">
        <v>233184</v>
      </c>
      <c r="CG139" s="2">
        <v>654</v>
      </c>
      <c r="CH139" s="2">
        <f t="shared" ref="CH139:CH169" si="334">E139-CF139+CG139</f>
        <v>171</v>
      </c>
      <c r="CI139" s="2">
        <v>31799</v>
      </c>
      <c r="CJ139" s="2"/>
      <c r="CK139" s="2"/>
      <c r="CL139" s="171">
        <f t="shared" si="306"/>
        <v>121247.9748040071</v>
      </c>
      <c r="CM139" s="169">
        <f t="shared" si="307"/>
        <v>143588.9748040071</v>
      </c>
      <c r="CN139" s="170">
        <f t="shared" si="268"/>
        <v>42786.340490797549</v>
      </c>
      <c r="CO139" s="170">
        <f t="shared" si="269"/>
        <v>43197</v>
      </c>
      <c r="CP139" s="170">
        <f t="shared" si="308"/>
        <v>100802.63431320954</v>
      </c>
      <c r="CQ139" s="170">
        <f t="shared" si="309"/>
        <v>22341</v>
      </c>
      <c r="CR139" s="170">
        <v>6911</v>
      </c>
      <c r="CS139" s="113">
        <f t="shared" si="310"/>
        <v>9.6007322701664372E-2</v>
      </c>
      <c r="CT139" s="170">
        <f t="shared" si="270"/>
        <v>137771.63431320954</v>
      </c>
      <c r="CU139" s="2">
        <v>42655</v>
      </c>
      <c r="CV139" s="169">
        <f t="shared" si="271"/>
        <v>95116.634313209535</v>
      </c>
      <c r="CW139" s="2">
        <v>21642</v>
      </c>
      <c r="CX139" s="2"/>
      <c r="CY139" s="2"/>
      <c r="CZ139" s="170">
        <f t="shared" si="272"/>
        <v>5817.3404907975464</v>
      </c>
      <c r="DA139" s="170">
        <f t="shared" si="273"/>
        <v>6228</v>
      </c>
      <c r="DB139" s="170">
        <f t="shared" ref="DB139:DB169" si="335">DC139-AI139</f>
        <v>131.34049079754601</v>
      </c>
      <c r="DC139" s="2">
        <v>542</v>
      </c>
      <c r="DD139" s="2">
        <v>5686</v>
      </c>
      <c r="DE139" s="2">
        <v>699</v>
      </c>
      <c r="DF139" s="2"/>
      <c r="DG139" s="2"/>
      <c r="DH139" s="171">
        <f t="shared" si="318"/>
        <v>30159</v>
      </c>
      <c r="DI139" s="2">
        <f t="shared" si="320"/>
        <v>33592</v>
      </c>
      <c r="DJ139" s="2">
        <v>30159</v>
      </c>
      <c r="DK139" s="2">
        <v>3433</v>
      </c>
      <c r="DL139" s="113">
        <f t="shared" ref="DL139:DL169" si="336">DJ139/B139</f>
        <v>0.15293765656852501</v>
      </c>
      <c r="DM139" s="113">
        <f t="shared" si="311"/>
        <v>0.21850706041746665</v>
      </c>
      <c r="DN139" s="113">
        <f t="shared" si="321"/>
        <v>0.59567450128382382</v>
      </c>
      <c r="DO139" s="2">
        <v>761</v>
      </c>
      <c r="DP139" s="2">
        <v>0</v>
      </c>
      <c r="DQ139" s="273"/>
      <c r="DR139" s="2">
        <v>30628</v>
      </c>
      <c r="DS139" s="2">
        <v>20002</v>
      </c>
      <c r="DT139" s="169">
        <f t="shared" si="326"/>
        <v>50630</v>
      </c>
      <c r="DU139" s="2">
        <v>136424</v>
      </c>
      <c r="DV139" s="2"/>
      <c r="DW139" s="2">
        <v>41040</v>
      </c>
      <c r="DX139" s="2"/>
      <c r="DY139" s="2"/>
      <c r="DZ139" s="2"/>
      <c r="EA139" s="2"/>
      <c r="EB139" s="2"/>
      <c r="EC139" s="2"/>
      <c r="ED139" s="175">
        <v>8434</v>
      </c>
      <c r="EE139" s="2"/>
      <c r="EF139" s="175">
        <f t="shared" si="315"/>
        <v>6036</v>
      </c>
      <c r="EG139" s="2"/>
      <c r="EH139" s="2"/>
      <c r="EI139" s="2">
        <v>63288</v>
      </c>
      <c r="EJ139" s="2">
        <v>57545</v>
      </c>
      <c r="EK139" s="2"/>
      <c r="EL139" s="2"/>
      <c r="EM139" s="2"/>
      <c r="EN139" s="2"/>
      <c r="EO139" s="2"/>
      <c r="EP139" s="2"/>
      <c r="EQ139" s="2"/>
      <c r="ER139" s="2"/>
      <c r="ES139" s="2"/>
      <c r="ET139" s="2">
        <f t="shared" ref="ET139:ET169" si="337">DT139+DU139+DW139+EI139-EJ139</f>
        <v>233837</v>
      </c>
      <c r="EU139" s="2">
        <f t="shared" ref="EU139:EU169" si="338">$BJ139+$K139+$T139+$AN139+$CN139-$CQ139+$CI139</f>
        <v>232701</v>
      </c>
      <c r="EV139" s="262">
        <f t="shared" si="292"/>
        <v>0.99514191509470273</v>
      </c>
      <c r="EW139" s="2">
        <v>233184</v>
      </c>
      <c r="EX139" s="1042">
        <v>-653</v>
      </c>
      <c r="EY139" s="273">
        <f t="shared" ref="EY139:EY169" si="339">B139+GY139-EZ139+FE139</f>
        <v>148903.00000000003</v>
      </c>
      <c r="EZ139" s="2">
        <f t="shared" si="279"/>
        <v>81649</v>
      </c>
      <c r="FA139" s="1714"/>
      <c r="FB139" s="1714"/>
      <c r="FC139" s="2">
        <v>37458</v>
      </c>
      <c r="FD139" s="2">
        <v>17503</v>
      </c>
      <c r="FE139" s="1052">
        <v>27405</v>
      </c>
      <c r="FF139" s="1050"/>
      <c r="FG139" s="115"/>
      <c r="FH139" s="83"/>
      <c r="FI139" s="2">
        <v>1740</v>
      </c>
      <c r="FJ139" s="2">
        <f t="shared" si="314"/>
        <v>1740</v>
      </c>
      <c r="FK139" s="273">
        <f t="shared" si="224"/>
        <v>19211</v>
      </c>
      <c r="FL139" s="310">
        <v>19211</v>
      </c>
      <c r="FM139" s="310"/>
      <c r="FN139" s="115"/>
      <c r="FO139" s="115"/>
      <c r="FP139" s="115"/>
      <c r="FQ139" s="2">
        <v>-2450</v>
      </c>
      <c r="FR139" s="115"/>
      <c r="FS139" s="1051"/>
      <c r="FT139" s="310">
        <f t="shared" si="324"/>
        <v>19159</v>
      </c>
      <c r="FU139" s="310">
        <v>17702</v>
      </c>
      <c r="FV139" s="310"/>
      <c r="FW139" s="2">
        <v>19159</v>
      </c>
      <c r="FX139" s="115"/>
      <c r="FY139" s="115"/>
      <c r="FZ139" s="115"/>
      <c r="GA139" s="2"/>
      <c r="GB139" s="115"/>
      <c r="GC139" s="115"/>
      <c r="GD139" s="2"/>
      <c r="GE139" s="115"/>
      <c r="GF139" s="115"/>
      <c r="GG139" s="115"/>
      <c r="GH139" s="2"/>
      <c r="GI139" s="115"/>
      <c r="GJ139" s="115"/>
      <c r="GK139" s="1056">
        <f t="shared" si="281"/>
        <v>-303</v>
      </c>
      <c r="GL139" s="1059">
        <v>666</v>
      </c>
      <c r="GM139" s="1059">
        <v>567</v>
      </c>
      <c r="GN139" s="1059">
        <v>2428</v>
      </c>
      <c r="GO139" s="1059">
        <v>-303</v>
      </c>
      <c r="GP139" s="1058">
        <f t="shared" si="246"/>
        <v>6036</v>
      </c>
      <c r="GQ139" s="2">
        <v>6036</v>
      </c>
      <c r="GR139" s="2"/>
      <c r="GS139" s="115"/>
      <c r="GT139" s="115"/>
      <c r="GU139" s="2">
        <f t="shared" si="225"/>
        <v>-6339</v>
      </c>
      <c r="GV139" s="615">
        <v>13125</v>
      </c>
      <c r="GW139" s="615">
        <v>8780</v>
      </c>
      <c r="GX139" s="615">
        <v>7176</v>
      </c>
      <c r="GY139" s="615">
        <f t="shared" si="322"/>
        <v>5949</v>
      </c>
      <c r="GZ139" s="310">
        <f t="shared" si="323"/>
        <v>-679</v>
      </c>
      <c r="HA139" s="2">
        <v>-2557</v>
      </c>
      <c r="HB139" s="2">
        <v>1878</v>
      </c>
      <c r="HC139" s="1052"/>
      <c r="HD139" s="170">
        <f t="shared" si="294"/>
        <v>-2268</v>
      </c>
      <c r="HE139" s="2">
        <v>22905</v>
      </c>
      <c r="HF139" s="2">
        <v>25173</v>
      </c>
      <c r="HG139" s="170">
        <f t="shared" si="295"/>
        <v>-82</v>
      </c>
      <c r="HH139" s="2">
        <v>219</v>
      </c>
      <c r="HI139" s="2">
        <v>301</v>
      </c>
      <c r="HJ139" s="2">
        <f t="shared" ref="HJ139:HJ169" si="340">FI139-(EI139-EJ139)-HO139-HD139-HG139</f>
        <v>-1354</v>
      </c>
      <c r="HK139" s="2"/>
      <c r="HL139" s="2"/>
      <c r="HM139" s="2">
        <f t="shared" si="247"/>
        <v>-1354</v>
      </c>
      <c r="HN139" s="2">
        <f t="shared" si="283"/>
        <v>-299</v>
      </c>
      <c r="HO139" s="2">
        <f t="shared" ref="HO139:HO169" si="341">HQ139-HP139</f>
        <v>-299</v>
      </c>
      <c r="HP139" s="2">
        <v>228055</v>
      </c>
      <c r="HQ139" s="2">
        <v>227756</v>
      </c>
      <c r="HR139" s="115"/>
      <c r="HS139" s="1051"/>
      <c r="HT139" s="1002">
        <v>263.7</v>
      </c>
      <c r="HU139" s="1002">
        <v>33.4</v>
      </c>
      <c r="HV139" s="1002">
        <v>34.299999999999997</v>
      </c>
    </row>
    <row r="140" spans="1:230">
      <c r="A140" s="110">
        <f t="shared" si="296"/>
        <v>1981</v>
      </c>
      <c r="B140" s="176">
        <f t="shared" si="327"/>
        <v>215914.99999999997</v>
      </c>
      <c r="C140" s="177">
        <f t="shared" si="317"/>
        <v>-3476</v>
      </c>
      <c r="D140" s="176">
        <f t="shared" ref="D140:D169" si="342">K140+T140+AJ140+CL140+DH140</f>
        <v>219390.99999999997</v>
      </c>
      <c r="E140" s="154">
        <f t="shared" si="328"/>
        <v>255330.99999999997</v>
      </c>
      <c r="F140" s="995">
        <f t="shared" si="329"/>
        <v>35940</v>
      </c>
      <c r="G140" s="531">
        <f t="shared" si="297"/>
        <v>218624</v>
      </c>
      <c r="H140" s="531">
        <f t="shared" si="298"/>
        <v>222100</v>
      </c>
      <c r="I140" s="531">
        <f t="shared" si="299"/>
        <v>258040</v>
      </c>
      <c r="J140" s="548">
        <f t="shared" si="300"/>
        <v>0.98950162765462712</v>
      </c>
      <c r="K140" s="178">
        <f t="shared" si="325"/>
        <v>30066</v>
      </c>
      <c r="L140" s="2">
        <v>36302</v>
      </c>
      <c r="M140" s="2">
        <v>6236</v>
      </c>
      <c r="N140" s="2">
        <v>21455</v>
      </c>
      <c r="O140" s="170">
        <f t="shared" si="286"/>
        <v>8611</v>
      </c>
      <c r="P140" s="175">
        <v>0</v>
      </c>
      <c r="Q140" s="175">
        <f t="shared" si="243"/>
        <v>7683</v>
      </c>
      <c r="R140" s="175">
        <f t="shared" si="287"/>
        <v>928</v>
      </c>
      <c r="S140" s="532"/>
      <c r="T140" s="1008">
        <f t="shared" si="253"/>
        <v>7177.5032679738561</v>
      </c>
      <c r="U140" s="1010">
        <v>6272</v>
      </c>
      <c r="V140" s="511">
        <f t="shared" si="288"/>
        <v>10532.503267973856</v>
      </c>
      <c r="W140" s="2">
        <v>9627</v>
      </c>
      <c r="X140" s="169">
        <f t="shared" si="254"/>
        <v>3355</v>
      </c>
      <c r="Y140" s="113">
        <f t="shared" si="255"/>
        <v>0.3185377601734562</v>
      </c>
      <c r="Z140" s="113">
        <f t="shared" si="330"/>
        <v>0.348499013192064</v>
      </c>
      <c r="AA140" s="276">
        <f>X140/DataUK3!D140</f>
        <v>1.1254348183532315E-2</v>
      </c>
      <c r="AB140" s="1019">
        <f t="shared" si="331"/>
        <v>1.3139806760636195E-2</v>
      </c>
      <c r="AC140" s="2"/>
      <c r="AD140" s="2">
        <v>1307</v>
      </c>
      <c r="AE140" s="2"/>
      <c r="AF140" s="2"/>
      <c r="AG140" s="2"/>
      <c r="AH140" s="2"/>
      <c r="AI140" s="1010">
        <f>AD140*DataUK3!BG140</f>
        <v>905.50326797385617</v>
      </c>
      <c r="AJ140" s="171">
        <f t="shared" si="249"/>
        <v>18602.318773024585</v>
      </c>
      <c r="AK140" s="561"/>
      <c r="AL140" s="169">
        <f t="shared" si="301"/>
        <v>22078.318773024585</v>
      </c>
      <c r="AM140" s="169"/>
      <c r="AN140" s="2">
        <v>10723</v>
      </c>
      <c r="AO140" s="1029">
        <f t="shared" si="258"/>
        <v>14199</v>
      </c>
      <c r="AP140" s="170"/>
      <c r="AQ140" s="170"/>
      <c r="AR140" s="170"/>
      <c r="AS140" s="170"/>
      <c r="AT140" s="170"/>
      <c r="AU140" s="170"/>
      <c r="AV140" s="170"/>
      <c r="AW140" s="170"/>
      <c r="AX140" s="170"/>
      <c r="AY140" s="170"/>
      <c r="AZ140" s="170"/>
      <c r="BA140" s="170"/>
      <c r="BB140" s="170"/>
      <c r="BC140" s="170"/>
      <c r="BD140" s="170"/>
      <c r="BE140" s="170"/>
      <c r="BF140" s="170"/>
      <c r="BG140" s="170"/>
      <c r="BH140" s="170"/>
      <c r="BI140" s="273">
        <v>149771</v>
      </c>
      <c r="BJ140" s="2">
        <f t="shared" si="302"/>
        <v>149837</v>
      </c>
      <c r="BK140" s="170"/>
      <c r="BL140" s="170"/>
      <c r="BM140" s="1031">
        <f t="shared" si="303"/>
        <v>7879.3187730245854</v>
      </c>
      <c r="BN140" s="254"/>
      <c r="BO140" s="262">
        <f t="shared" ref="BO140:BO169" si="343">AN140/$CA140</f>
        <v>4.9663061853044019E-2</v>
      </c>
      <c r="BP140" s="262">
        <f t="shared" si="332"/>
        <v>6.5761989671861615E-2</v>
      </c>
      <c r="BQ140" s="262">
        <f t="shared" ref="BQ140:BQ169" si="344">BM140/$CA140</f>
        <v>3.6492688201489411E-2</v>
      </c>
      <c r="BR140" s="262">
        <f t="shared" si="304"/>
        <v>5.2609108392309492E-2</v>
      </c>
      <c r="BS140" s="988">
        <f t="shared" si="185"/>
        <v>0.55492068265543948</v>
      </c>
      <c r="BT140" s="519">
        <f t="shared" si="265"/>
        <v>3476</v>
      </c>
      <c r="BU140" s="519"/>
      <c r="BV140" s="113">
        <f t="shared" si="333"/>
        <v>0.15743952407494888</v>
      </c>
      <c r="BW140" s="276">
        <f t="shared" si="305"/>
        <v>1.3613701430691927E-2</v>
      </c>
      <c r="BX140" s="273">
        <v>6831</v>
      </c>
      <c r="BY140" s="113"/>
      <c r="BZ140" s="1013"/>
      <c r="CA140" s="1005">
        <f t="shared" ref="CA140:CA169" si="345">BJ140+K140+T140+AN140+CN140-CQ140+C140</f>
        <v>215915</v>
      </c>
      <c r="CB140" s="2"/>
      <c r="CC140" s="2"/>
      <c r="CD140" s="2"/>
      <c r="CE140" s="2"/>
      <c r="CF140" s="2">
        <v>256278</v>
      </c>
      <c r="CG140" s="2">
        <v>1550</v>
      </c>
      <c r="CH140" s="2">
        <f t="shared" si="334"/>
        <v>602.9999999999709</v>
      </c>
      <c r="CI140" s="2">
        <v>35940</v>
      </c>
      <c r="CJ140" s="2"/>
      <c r="CK140" s="2"/>
      <c r="CL140" s="171">
        <f t="shared" si="306"/>
        <v>129334.17795900154</v>
      </c>
      <c r="CM140" s="169">
        <f t="shared" si="307"/>
        <v>154595.17795900154</v>
      </c>
      <c r="CN140" s="170">
        <f t="shared" si="268"/>
        <v>46848.496732026142</v>
      </c>
      <c r="CO140" s="170">
        <f t="shared" si="269"/>
        <v>47754</v>
      </c>
      <c r="CP140" s="170">
        <f t="shared" si="308"/>
        <v>107746.6812269754</v>
      </c>
      <c r="CQ140" s="170">
        <f t="shared" si="309"/>
        <v>25261</v>
      </c>
      <c r="CR140" s="170">
        <v>7637</v>
      </c>
      <c r="CS140" s="113">
        <f t="shared" si="310"/>
        <v>9.8934324465106083E-2</v>
      </c>
      <c r="CT140" s="170">
        <f t="shared" ref="CT140:CT169" si="346">CU140+CV140</f>
        <v>148968.6812269754</v>
      </c>
      <c r="CU140" s="2">
        <v>47760</v>
      </c>
      <c r="CV140" s="169">
        <f t="shared" si="271"/>
        <v>101208.6812269754</v>
      </c>
      <c r="CW140" s="2">
        <v>24445</v>
      </c>
      <c r="CX140" s="2"/>
      <c r="CY140" s="2"/>
      <c r="CZ140" s="170">
        <f t="shared" si="272"/>
        <v>5626.4967320261439</v>
      </c>
      <c r="DA140" s="170">
        <f t="shared" si="273"/>
        <v>6532</v>
      </c>
      <c r="DB140" s="170">
        <f t="shared" si="335"/>
        <v>-911.50326797385617</v>
      </c>
      <c r="DC140" s="2">
        <v>-6</v>
      </c>
      <c r="DD140" s="2">
        <v>6538</v>
      </c>
      <c r="DE140" s="2">
        <v>816</v>
      </c>
      <c r="DF140" s="2"/>
      <c r="DG140" s="2"/>
      <c r="DH140" s="171">
        <f t="shared" si="318"/>
        <v>34211</v>
      </c>
      <c r="DI140" s="2">
        <f t="shared" si="320"/>
        <v>38059</v>
      </c>
      <c r="DJ140" s="2">
        <v>34211</v>
      </c>
      <c r="DK140" s="2">
        <v>3848</v>
      </c>
      <c r="DL140" s="113">
        <f t="shared" si="336"/>
        <v>0.15844661093485865</v>
      </c>
      <c r="DM140" s="113">
        <f t="shared" si="311"/>
        <v>0.2283214426343293</v>
      </c>
      <c r="DN140" s="113">
        <f t="shared" si="321"/>
        <v>0.59805258373540315</v>
      </c>
      <c r="DO140" s="2">
        <v>928</v>
      </c>
      <c r="DP140" s="2">
        <v>0</v>
      </c>
      <c r="DQ140" s="273"/>
      <c r="DR140" s="2">
        <v>34540</v>
      </c>
      <c r="DS140" s="2">
        <v>22664</v>
      </c>
      <c r="DT140" s="169">
        <f t="shared" si="326"/>
        <v>57204</v>
      </c>
      <c r="DU140" s="2">
        <v>151844</v>
      </c>
      <c r="DV140" s="2"/>
      <c r="DW140" s="2">
        <v>40978</v>
      </c>
      <c r="DX140" s="2"/>
      <c r="DY140" s="2"/>
      <c r="DZ140" s="2"/>
      <c r="EA140" s="2"/>
      <c r="EB140" s="2"/>
      <c r="EC140" s="2"/>
      <c r="ED140" s="175">
        <v>7607</v>
      </c>
      <c r="EE140" s="2"/>
      <c r="EF140" s="175">
        <f t="shared" si="315"/>
        <v>5324</v>
      </c>
      <c r="EG140" s="2"/>
      <c r="EH140" s="2"/>
      <c r="EI140" s="2">
        <v>68380</v>
      </c>
      <c r="EJ140" s="2">
        <v>60366</v>
      </c>
      <c r="EK140" s="2"/>
      <c r="EL140" s="2"/>
      <c r="EM140" s="2"/>
      <c r="EN140" s="2"/>
      <c r="EO140" s="2"/>
      <c r="EP140" s="2"/>
      <c r="EQ140" s="2"/>
      <c r="ER140" s="2"/>
      <c r="ES140" s="2"/>
      <c r="ET140" s="2">
        <f t="shared" si="337"/>
        <v>258040</v>
      </c>
      <c r="EU140" s="2">
        <f t="shared" si="338"/>
        <v>255331</v>
      </c>
      <c r="EV140" s="262">
        <f t="shared" si="292"/>
        <v>0.98950162765462724</v>
      </c>
      <c r="EW140" s="2">
        <v>256278</v>
      </c>
      <c r="EX140" s="1042">
        <v>-1761</v>
      </c>
      <c r="EY140" s="273">
        <f t="shared" si="339"/>
        <v>162649.99999999997</v>
      </c>
      <c r="EZ140" s="2">
        <f t="shared" si="279"/>
        <v>94229</v>
      </c>
      <c r="FA140" s="1714"/>
      <c r="FB140" s="1714"/>
      <c r="FC140" s="2">
        <v>43968</v>
      </c>
      <c r="FD140" s="2">
        <v>20195</v>
      </c>
      <c r="FE140" s="1052">
        <v>33776</v>
      </c>
      <c r="FF140" s="1050"/>
      <c r="FG140" s="115"/>
      <c r="FH140" s="83"/>
      <c r="FI140" s="2">
        <v>4846</v>
      </c>
      <c r="FJ140" s="2">
        <f t="shared" si="314"/>
        <v>4846</v>
      </c>
      <c r="FK140" s="273">
        <f t="shared" si="224"/>
        <v>20798</v>
      </c>
      <c r="FL140" s="310">
        <v>20798</v>
      </c>
      <c r="FM140" s="310"/>
      <c r="FN140" s="115"/>
      <c r="FO140" s="115"/>
      <c r="FP140" s="115"/>
      <c r="FQ140" s="2">
        <v>2327</v>
      </c>
      <c r="FR140" s="115"/>
      <c r="FS140" s="1051"/>
      <c r="FT140" s="310">
        <f t="shared" si="324"/>
        <v>23150</v>
      </c>
      <c r="FU140" s="310">
        <v>17078</v>
      </c>
      <c r="FV140" s="310"/>
      <c r="FW140" s="2">
        <v>23150</v>
      </c>
      <c r="FX140" s="115"/>
      <c r="FY140" s="115"/>
      <c r="FZ140" s="115"/>
      <c r="GA140" s="2"/>
      <c r="GB140" s="115"/>
      <c r="GC140" s="115"/>
      <c r="GD140" s="2"/>
      <c r="GE140" s="115"/>
      <c r="GF140" s="115"/>
      <c r="GG140" s="115"/>
      <c r="GH140" s="2"/>
      <c r="GI140" s="115"/>
      <c r="GJ140" s="115"/>
      <c r="GK140" s="1056">
        <f t="shared" si="281"/>
        <v>-315</v>
      </c>
      <c r="GL140" s="1059">
        <v>-598</v>
      </c>
      <c r="GM140" s="1059">
        <v>846</v>
      </c>
      <c r="GN140" s="1059">
        <v>6076</v>
      </c>
      <c r="GO140" s="1059">
        <v>-315</v>
      </c>
      <c r="GP140" s="1058">
        <f t="shared" si="246"/>
        <v>5324</v>
      </c>
      <c r="GQ140" s="2">
        <v>5324</v>
      </c>
      <c r="GR140" s="2"/>
      <c r="GS140" s="115"/>
      <c r="GT140" s="115"/>
      <c r="GU140" s="2">
        <f t="shared" si="225"/>
        <v>-5639</v>
      </c>
      <c r="GV140" s="615">
        <v>15309</v>
      </c>
      <c r="GW140" s="615">
        <v>10802</v>
      </c>
      <c r="GX140" s="615">
        <v>8121</v>
      </c>
      <c r="GY140" s="615">
        <f t="shared" si="322"/>
        <v>7188</v>
      </c>
      <c r="GZ140" s="310">
        <f t="shared" si="323"/>
        <v>-2239</v>
      </c>
      <c r="HA140" s="2">
        <v>-4333</v>
      </c>
      <c r="HB140" s="2">
        <v>2094</v>
      </c>
      <c r="HC140" s="1052"/>
      <c r="HD140" s="170">
        <f t="shared" ref="HD140:HD169" si="347">HE140-HF140</f>
        <v>-1883</v>
      </c>
      <c r="HE140" s="2">
        <v>36346</v>
      </c>
      <c r="HF140" s="2">
        <v>38229</v>
      </c>
      <c r="HG140" s="170">
        <f t="shared" ref="HG140:HG169" si="348">HH140-HI140</f>
        <v>-66</v>
      </c>
      <c r="HH140" s="2">
        <v>238</v>
      </c>
      <c r="HI140" s="2">
        <v>304</v>
      </c>
      <c r="HJ140" s="2">
        <f t="shared" si="340"/>
        <v>-1527</v>
      </c>
      <c r="HK140" s="2"/>
      <c r="HL140" s="2"/>
      <c r="HM140" s="2">
        <f t="shared" si="247"/>
        <v>-1527</v>
      </c>
      <c r="HN140" s="2">
        <f t="shared" si="283"/>
        <v>308</v>
      </c>
      <c r="HO140" s="2">
        <f t="shared" si="341"/>
        <v>308</v>
      </c>
      <c r="HP140" s="2">
        <v>250912</v>
      </c>
      <c r="HQ140" s="2">
        <v>251220</v>
      </c>
      <c r="HR140" s="115"/>
      <c r="HS140" s="1051"/>
      <c r="HT140" s="1002">
        <v>295</v>
      </c>
      <c r="HU140" s="1002">
        <v>37.200000000000003</v>
      </c>
      <c r="HV140" s="1002">
        <v>38.200000000000003</v>
      </c>
    </row>
    <row r="141" spans="1:230">
      <c r="A141" s="110">
        <f t="shared" ref="A141:A170" si="349">A140+1</f>
        <v>1982</v>
      </c>
      <c r="B141" s="176">
        <f t="shared" si="327"/>
        <v>238444</v>
      </c>
      <c r="C141" s="177">
        <f t="shared" si="317"/>
        <v>-4522</v>
      </c>
      <c r="D141" s="176">
        <f t="shared" si="342"/>
        <v>242966</v>
      </c>
      <c r="E141" s="154">
        <f t="shared" si="328"/>
        <v>281647</v>
      </c>
      <c r="F141" s="995">
        <f t="shared" si="329"/>
        <v>38681</v>
      </c>
      <c r="G141" s="531">
        <f t="shared" ref="G141:G169" si="350">H141+C141</f>
        <v>238437</v>
      </c>
      <c r="H141" s="531">
        <f t="shared" ref="H141:H169" si="351">I141-F141</f>
        <v>242959</v>
      </c>
      <c r="I141" s="531">
        <f t="shared" ref="I141:I169" si="352">DT141+DU141+DW141+EI141-EJ141</f>
        <v>281640</v>
      </c>
      <c r="J141" s="548">
        <f t="shared" ref="J141:J169" si="353">E141/I141</f>
        <v>1.0000248544240875</v>
      </c>
      <c r="K141" s="178">
        <f t="shared" si="325"/>
        <v>35196</v>
      </c>
      <c r="L141" s="2">
        <v>40862</v>
      </c>
      <c r="M141" s="2">
        <v>5666</v>
      </c>
      <c r="N141" s="2">
        <v>26006</v>
      </c>
      <c r="O141" s="170">
        <f t="shared" si="286"/>
        <v>9190</v>
      </c>
      <c r="P141" s="175">
        <v>0</v>
      </c>
      <c r="Q141" s="175">
        <f t="shared" si="243"/>
        <v>8148</v>
      </c>
      <c r="R141" s="175">
        <f t="shared" si="287"/>
        <v>1042</v>
      </c>
      <c r="S141" s="532"/>
      <c r="T141" s="1008">
        <f t="shared" si="253"/>
        <v>8319.8360655737706</v>
      </c>
      <c r="U141" s="1010">
        <v>7090</v>
      </c>
      <c r="V141" s="511">
        <f t="shared" si="288"/>
        <v>11764.836065573771</v>
      </c>
      <c r="W141" s="2">
        <v>10535</v>
      </c>
      <c r="X141" s="169">
        <f t="shared" si="254"/>
        <v>3445</v>
      </c>
      <c r="Y141" s="113">
        <f t="shared" si="255"/>
        <v>0.29282175975921576</v>
      </c>
      <c r="Z141" s="113">
        <f t="shared" si="330"/>
        <v>0.32700522069292831</v>
      </c>
      <c r="AA141" s="276">
        <f>X141/DataUK3!D141</f>
        <v>1.0575421936056019E-2</v>
      </c>
      <c r="AB141" s="1019">
        <f t="shared" si="331"/>
        <v>1.2231623273104276E-2</v>
      </c>
      <c r="AC141" s="2"/>
      <c r="AD141" s="2">
        <v>1815</v>
      </c>
      <c r="AE141" s="2"/>
      <c r="AF141" s="2"/>
      <c r="AG141" s="2"/>
      <c r="AH141" s="2"/>
      <c r="AI141" s="1010">
        <f>AD141*DataUK3!BG141</f>
        <v>1229.8360655737704</v>
      </c>
      <c r="AJ141" s="171">
        <f t="shared" si="249"/>
        <v>20725.839485752949</v>
      </c>
      <c r="AK141" s="561"/>
      <c r="AL141" s="169">
        <f t="shared" ref="AL141:AL169" si="354">AO141+BM141</f>
        <v>24612.839485752949</v>
      </c>
      <c r="AM141" s="169"/>
      <c r="AN141" s="2">
        <v>11942</v>
      </c>
      <c r="AO141" s="1029">
        <f t="shared" si="258"/>
        <v>15829</v>
      </c>
      <c r="AP141" s="170"/>
      <c r="AQ141" s="170"/>
      <c r="AR141" s="170"/>
      <c r="AS141" s="170"/>
      <c r="AT141" s="170"/>
      <c r="AU141" s="170"/>
      <c r="AV141" s="170"/>
      <c r="AW141" s="170"/>
      <c r="AX141" s="170"/>
      <c r="AY141" s="170"/>
      <c r="AZ141" s="170"/>
      <c r="BA141" s="170"/>
      <c r="BB141" s="170"/>
      <c r="BC141" s="170"/>
      <c r="BD141" s="170"/>
      <c r="BE141" s="170"/>
      <c r="BF141" s="170"/>
      <c r="BG141" s="170"/>
      <c r="BH141" s="170"/>
      <c r="BI141" s="273">
        <v>158848</v>
      </c>
      <c r="BJ141" s="2">
        <f t="shared" ref="BJ141:BJ169" si="355">BI141-HG141</f>
        <v>158943</v>
      </c>
      <c r="BK141" s="170"/>
      <c r="BL141" s="170"/>
      <c r="BM141" s="1031">
        <f t="shared" si="303"/>
        <v>8783.8394857529511</v>
      </c>
      <c r="BN141" s="254"/>
      <c r="BO141" s="262">
        <f t="shared" si="343"/>
        <v>5.0083038365402358E-2</v>
      </c>
      <c r="BP141" s="262">
        <f t="shared" si="332"/>
        <v>6.6384559896663364E-2</v>
      </c>
      <c r="BQ141" s="262">
        <f t="shared" si="344"/>
        <v>3.6838165295637347E-2</v>
      </c>
      <c r="BR141" s="262">
        <f t="shared" ref="BR141:BR169" si="356">BM141/BI141</f>
        <v>5.5297136166353691E-2</v>
      </c>
      <c r="BS141" s="988">
        <f>BS$146</f>
        <v>0.55492068265543948</v>
      </c>
      <c r="BT141" s="519">
        <f t="shared" si="265"/>
        <v>3887</v>
      </c>
      <c r="BU141" s="519"/>
      <c r="BV141" s="113">
        <f t="shared" si="333"/>
        <v>0.15792570386890856</v>
      </c>
      <c r="BW141" s="276">
        <f t="shared" ref="BW141:BW169" si="357">BT141/E141</f>
        <v>1.3800963617578032E-2</v>
      </c>
      <c r="BX141" s="273">
        <v>7332</v>
      </c>
      <c r="BY141" s="113"/>
      <c r="BZ141" s="1013"/>
      <c r="CA141" s="1005">
        <f t="shared" si="345"/>
        <v>238444</v>
      </c>
      <c r="CB141" s="2"/>
      <c r="CC141" s="2"/>
      <c r="CD141" s="2"/>
      <c r="CE141" s="2"/>
      <c r="CF141" s="2">
        <v>281023</v>
      </c>
      <c r="CG141" s="2">
        <v>163</v>
      </c>
      <c r="CH141" s="2">
        <f t="shared" si="334"/>
        <v>787</v>
      </c>
      <c r="CI141" s="2">
        <v>38681</v>
      </c>
      <c r="CJ141" s="2"/>
      <c r="CK141" s="2"/>
      <c r="CL141" s="171">
        <f t="shared" ref="CL141:CL169" si="358">CM141-CQ141</f>
        <v>141743.32444867329</v>
      </c>
      <c r="CM141" s="169">
        <f t="shared" ref="CM141:CM169" si="359">CN141+CP141</f>
        <v>169068.32444867329</v>
      </c>
      <c r="CN141" s="170">
        <f t="shared" si="268"/>
        <v>55890.163934426229</v>
      </c>
      <c r="CO141" s="170">
        <f t="shared" si="269"/>
        <v>57120</v>
      </c>
      <c r="CP141" s="170">
        <f t="shared" si="308"/>
        <v>113178.16051424705</v>
      </c>
      <c r="CQ141" s="170">
        <f t="shared" si="309"/>
        <v>27325</v>
      </c>
      <c r="CR141" s="170">
        <v>8001</v>
      </c>
      <c r="CS141" s="113">
        <f t="shared" ref="CS141:CS169" si="360">CQ141/E141</f>
        <v>9.7018608399876444E-2</v>
      </c>
      <c r="CT141" s="170">
        <f t="shared" si="346"/>
        <v>162291.16051424705</v>
      </c>
      <c r="CU141" s="2">
        <v>56630</v>
      </c>
      <c r="CV141" s="169">
        <f t="shared" si="271"/>
        <v>105661.16051424705</v>
      </c>
      <c r="CW141" s="2">
        <v>26407</v>
      </c>
      <c r="CX141" s="2"/>
      <c r="CY141" s="2"/>
      <c r="CZ141" s="170">
        <f t="shared" si="272"/>
        <v>6777.1639344262294</v>
      </c>
      <c r="DA141" s="170">
        <f t="shared" si="273"/>
        <v>8007</v>
      </c>
      <c r="DB141" s="170">
        <f t="shared" si="335"/>
        <v>-739.83606557377038</v>
      </c>
      <c r="DC141" s="2">
        <v>490</v>
      </c>
      <c r="DD141" s="2">
        <v>7517</v>
      </c>
      <c r="DE141" s="2">
        <v>918</v>
      </c>
      <c r="DF141" s="2"/>
      <c r="DG141" s="2"/>
      <c r="DH141" s="171">
        <f t="shared" si="318"/>
        <v>36981</v>
      </c>
      <c r="DI141" s="2">
        <f t="shared" si="320"/>
        <v>41005</v>
      </c>
      <c r="DJ141" s="2">
        <v>36981</v>
      </c>
      <c r="DK141" s="2">
        <v>4024</v>
      </c>
      <c r="DL141" s="113">
        <f t="shared" si="336"/>
        <v>0.15509301974467798</v>
      </c>
      <c r="DM141" s="113">
        <f t="shared" ref="DM141:DM169" si="361">DJ141/BJ141</f>
        <v>0.23266831505634095</v>
      </c>
      <c r="DN141" s="113">
        <f t="shared" si="321"/>
        <v>0.59361456226524123</v>
      </c>
      <c r="DO141" s="2">
        <v>1042</v>
      </c>
      <c r="DP141" s="2">
        <v>0</v>
      </c>
      <c r="DQ141" s="273"/>
      <c r="DR141" s="2">
        <v>37694</v>
      </c>
      <c r="DS141" s="2">
        <v>24604</v>
      </c>
      <c r="DT141" s="169">
        <f t="shared" si="326"/>
        <v>62298</v>
      </c>
      <c r="DU141" s="2">
        <v>166455</v>
      </c>
      <c r="DV141" s="2"/>
      <c r="DW141" s="2">
        <v>46747</v>
      </c>
      <c r="DX141" s="2"/>
      <c r="DY141" s="2"/>
      <c r="DZ141" s="2"/>
      <c r="EA141" s="2"/>
      <c r="EB141" s="2"/>
      <c r="EC141" s="2"/>
      <c r="ED141" s="175">
        <v>7065</v>
      </c>
      <c r="EE141" s="2"/>
      <c r="EF141" s="175">
        <f t="shared" si="315"/>
        <v>5235</v>
      </c>
      <c r="EG141" s="2"/>
      <c r="EH141" s="2"/>
      <c r="EI141" s="2">
        <v>73917</v>
      </c>
      <c r="EJ141" s="2">
        <v>67777</v>
      </c>
      <c r="EK141" s="2"/>
      <c r="EL141" s="2"/>
      <c r="EM141" s="2"/>
      <c r="EN141" s="2"/>
      <c r="EO141" s="2"/>
      <c r="EP141" s="2"/>
      <c r="EQ141" s="2"/>
      <c r="ER141" s="2"/>
      <c r="ES141" s="2"/>
      <c r="ET141" s="2">
        <f t="shared" si="337"/>
        <v>281640</v>
      </c>
      <c r="EU141" s="2">
        <f t="shared" si="338"/>
        <v>281647</v>
      </c>
      <c r="EV141" s="262">
        <f t="shared" si="292"/>
        <v>1.0000248544240875</v>
      </c>
      <c r="EW141" s="2">
        <v>281023</v>
      </c>
      <c r="EX141" s="1042">
        <v>-616</v>
      </c>
      <c r="EY141" s="273">
        <f t="shared" si="339"/>
        <v>177914</v>
      </c>
      <c r="EZ141" s="2">
        <f t="shared" si="279"/>
        <v>107172</v>
      </c>
      <c r="FA141" s="1714"/>
      <c r="FB141" s="1714"/>
      <c r="FC141" s="2">
        <v>49277</v>
      </c>
      <c r="FD141" s="2">
        <v>22699</v>
      </c>
      <c r="FE141" s="1052">
        <v>39246</v>
      </c>
      <c r="FF141" s="1050"/>
      <c r="FG141" s="115"/>
      <c r="FH141" s="83"/>
      <c r="FI141" s="2">
        <v>2233</v>
      </c>
      <c r="FJ141" s="2">
        <f t="shared" ref="FJ141:FJ169" si="362">EI141-EJ141+C141+HO141</f>
        <v>2233</v>
      </c>
      <c r="FK141" s="273">
        <f t="shared" si="224"/>
        <v>20204</v>
      </c>
      <c r="FL141" s="310">
        <v>20204</v>
      </c>
      <c r="FM141" s="310"/>
      <c r="FN141" s="115"/>
      <c r="FO141" s="115"/>
      <c r="FP141" s="115"/>
      <c r="FQ141" s="2">
        <v>103</v>
      </c>
      <c r="FR141" s="115"/>
      <c r="FS141" s="1051"/>
      <c r="FT141" s="310">
        <f t="shared" si="324"/>
        <v>27499</v>
      </c>
      <c r="FU141" s="310">
        <v>20679</v>
      </c>
      <c r="FV141" s="310"/>
      <c r="FW141" s="2">
        <v>27499</v>
      </c>
      <c r="FX141" s="115"/>
      <c r="FY141" s="115"/>
      <c r="FZ141" s="115"/>
      <c r="GA141" s="2"/>
      <c r="GB141" s="115"/>
      <c r="GC141" s="115"/>
      <c r="GD141" s="2"/>
      <c r="GE141" s="115"/>
      <c r="GF141" s="115"/>
      <c r="GG141" s="115"/>
      <c r="GH141" s="2"/>
      <c r="GI141" s="115"/>
      <c r="GJ141" s="115"/>
      <c r="GK141" s="1056">
        <f t="shared" si="281"/>
        <v>2257</v>
      </c>
      <c r="GL141" s="1059">
        <v>1132</v>
      </c>
      <c r="GM141" s="1059">
        <v>726</v>
      </c>
      <c r="GN141" s="1059">
        <v>3899</v>
      </c>
      <c r="GO141" s="1059">
        <v>2257</v>
      </c>
      <c r="GP141" s="1058">
        <f t="shared" si="246"/>
        <v>5235</v>
      </c>
      <c r="GQ141" s="2">
        <v>5235</v>
      </c>
      <c r="GR141" s="2"/>
      <c r="GS141" s="115"/>
      <c r="GT141" s="115"/>
      <c r="GU141" s="2">
        <f t="shared" si="225"/>
        <v>-2978</v>
      </c>
      <c r="GV141" s="615">
        <v>16654</v>
      </c>
      <c r="GW141" s="615">
        <v>12249</v>
      </c>
      <c r="GX141" s="615">
        <v>9258</v>
      </c>
      <c r="GY141" s="615">
        <f t="shared" ref="GY141:GY168" si="363">GV141-GX141</f>
        <v>7396</v>
      </c>
      <c r="GZ141" s="310">
        <f t="shared" si="323"/>
        <v>-2465</v>
      </c>
      <c r="HA141" s="2">
        <v>-4694</v>
      </c>
      <c r="HB141" s="2">
        <v>2229</v>
      </c>
      <c r="HC141" s="1052"/>
      <c r="HD141" s="170">
        <f t="shared" si="347"/>
        <v>-2336</v>
      </c>
      <c r="HE141" s="2">
        <v>42947</v>
      </c>
      <c r="HF141" s="2">
        <v>45283</v>
      </c>
      <c r="HG141" s="170">
        <f t="shared" si="348"/>
        <v>-95</v>
      </c>
      <c r="HH141" s="2">
        <v>252</v>
      </c>
      <c r="HI141" s="2">
        <v>347</v>
      </c>
      <c r="HJ141" s="2">
        <f t="shared" si="340"/>
        <v>-2091</v>
      </c>
      <c r="HK141" s="2"/>
      <c r="HL141" s="2"/>
      <c r="HM141" s="2">
        <f t="shared" si="247"/>
        <v>-2091</v>
      </c>
      <c r="HN141" s="2">
        <f t="shared" si="283"/>
        <v>615</v>
      </c>
      <c r="HO141" s="2">
        <f t="shared" si="341"/>
        <v>615</v>
      </c>
      <c r="HP141" s="2">
        <v>274261</v>
      </c>
      <c r="HQ141" s="2">
        <v>274876</v>
      </c>
      <c r="HR141" s="115"/>
      <c r="HS141" s="1051"/>
      <c r="HT141" s="1002">
        <v>320.39999999999998</v>
      </c>
      <c r="HU141" s="1002">
        <v>39.9</v>
      </c>
      <c r="HV141" s="1002">
        <v>41.4</v>
      </c>
    </row>
    <row r="142" spans="1:230">
      <c r="A142" s="110">
        <f t="shared" si="349"/>
        <v>1983</v>
      </c>
      <c r="B142" s="176">
        <f t="shared" si="327"/>
        <v>263571</v>
      </c>
      <c r="C142" s="177">
        <f t="shared" si="317"/>
        <v>-3066</v>
      </c>
      <c r="D142" s="176">
        <f t="shared" si="342"/>
        <v>266637</v>
      </c>
      <c r="E142" s="154">
        <f t="shared" si="328"/>
        <v>308156</v>
      </c>
      <c r="F142" s="995">
        <f t="shared" si="329"/>
        <v>41519</v>
      </c>
      <c r="G142" s="531">
        <f t="shared" si="350"/>
        <v>263060</v>
      </c>
      <c r="H142" s="531">
        <f t="shared" si="351"/>
        <v>266126</v>
      </c>
      <c r="I142" s="531">
        <f t="shared" si="352"/>
        <v>307645</v>
      </c>
      <c r="J142" s="548">
        <f t="shared" si="353"/>
        <v>1.0016610053795771</v>
      </c>
      <c r="K142" s="178">
        <f t="shared" si="325"/>
        <v>37023</v>
      </c>
      <c r="L142" s="2">
        <v>43355</v>
      </c>
      <c r="M142" s="2">
        <v>6332</v>
      </c>
      <c r="N142" s="2">
        <v>28060</v>
      </c>
      <c r="O142" s="170">
        <f t="shared" si="286"/>
        <v>8963</v>
      </c>
      <c r="P142" s="175">
        <v>0</v>
      </c>
      <c r="Q142" s="175">
        <f t="shared" si="243"/>
        <v>7819</v>
      </c>
      <c r="R142" s="175">
        <f t="shared" si="287"/>
        <v>1144</v>
      </c>
      <c r="S142" s="532"/>
      <c r="T142" s="1008">
        <f t="shared" si="253"/>
        <v>9267.373976342129</v>
      </c>
      <c r="U142" s="1010">
        <v>7876</v>
      </c>
      <c r="V142" s="511">
        <f t="shared" si="288"/>
        <v>13029.373976342129</v>
      </c>
      <c r="W142" s="2">
        <v>11638</v>
      </c>
      <c r="X142" s="169">
        <f t="shared" si="254"/>
        <v>3762</v>
      </c>
      <c r="Y142" s="113">
        <f t="shared" si="255"/>
        <v>0.28873221436661417</v>
      </c>
      <c r="Z142" s="113">
        <f t="shared" si="330"/>
        <v>0.32325141776937616</v>
      </c>
      <c r="AA142" s="276">
        <f>X142/DataUK3!D142</f>
        <v>1.0025514358612453E-2</v>
      </c>
      <c r="AB142" s="1019">
        <f t="shared" si="331"/>
        <v>1.2208102389698725E-2</v>
      </c>
      <c r="AC142" s="2"/>
      <c r="AD142" s="2">
        <v>2012</v>
      </c>
      <c r="AE142" s="2"/>
      <c r="AF142" s="2"/>
      <c r="AG142" s="2"/>
      <c r="AH142" s="2"/>
      <c r="AI142" s="1010">
        <f>AD142*DataUK3!BG142</f>
        <v>1391.3739763421293</v>
      </c>
      <c r="AJ142" s="171">
        <f t="shared" si="249"/>
        <v>22753.365912337416</v>
      </c>
      <c r="AK142" s="561"/>
      <c r="AL142" s="169">
        <f t="shared" si="354"/>
        <v>27133.365912337416</v>
      </c>
      <c r="AM142" s="169"/>
      <c r="AN142" s="2">
        <v>13070</v>
      </c>
      <c r="AO142" s="1029">
        <f t="shared" si="258"/>
        <v>17450</v>
      </c>
      <c r="AP142" s="170"/>
      <c r="AQ142" s="170"/>
      <c r="AR142" s="170"/>
      <c r="AS142" s="170"/>
      <c r="AT142" s="170"/>
      <c r="AU142" s="170"/>
      <c r="AV142" s="170"/>
      <c r="AW142" s="170"/>
      <c r="AX142" s="170"/>
      <c r="AY142" s="170"/>
      <c r="AZ142" s="170"/>
      <c r="BA142" s="170"/>
      <c r="BB142" s="170"/>
      <c r="BC142" s="170"/>
      <c r="BD142" s="170"/>
      <c r="BE142" s="170"/>
      <c r="BF142" s="170"/>
      <c r="BG142" s="170"/>
      <c r="BH142" s="170"/>
      <c r="BI142" s="273">
        <v>170124</v>
      </c>
      <c r="BJ142" s="2">
        <f t="shared" si="355"/>
        <v>170213</v>
      </c>
      <c r="BK142" s="170"/>
      <c r="BL142" s="170"/>
      <c r="BM142" s="1031">
        <f t="shared" si="303"/>
        <v>9683.3659123374182</v>
      </c>
      <c r="BN142" s="254"/>
      <c r="BO142" s="262">
        <f t="shared" si="343"/>
        <v>4.9588156511907608E-2</v>
      </c>
      <c r="BP142" s="262">
        <f t="shared" si="332"/>
        <v>6.6206069711766471E-2</v>
      </c>
      <c r="BQ142" s="262">
        <f t="shared" si="344"/>
        <v>3.6739117400387059E-2</v>
      </c>
      <c r="BR142" s="262">
        <f t="shared" si="356"/>
        <v>5.6919458232450558E-2</v>
      </c>
      <c r="BS142" s="988">
        <f>BS$146</f>
        <v>0.55492068265543948</v>
      </c>
      <c r="BT142" s="519">
        <f t="shared" si="265"/>
        <v>4380</v>
      </c>
      <c r="BU142" s="519"/>
      <c r="BV142" s="113">
        <f t="shared" si="333"/>
        <v>0.16142486760215893</v>
      </c>
      <c r="BW142" s="276">
        <f t="shared" si="357"/>
        <v>1.4213580134736951E-2</v>
      </c>
      <c r="BX142" s="273">
        <v>8142</v>
      </c>
      <c r="BY142" s="113"/>
      <c r="BZ142" s="1013"/>
      <c r="CA142" s="1005">
        <f t="shared" si="345"/>
        <v>263571</v>
      </c>
      <c r="CB142" s="2"/>
      <c r="CC142" s="2"/>
      <c r="CD142" s="2"/>
      <c r="CE142" s="2"/>
      <c r="CF142" s="2">
        <v>307206</v>
      </c>
      <c r="CG142" s="2">
        <v>-94</v>
      </c>
      <c r="CH142" s="2">
        <f t="shared" si="334"/>
        <v>856</v>
      </c>
      <c r="CI142" s="2">
        <v>41519</v>
      </c>
      <c r="CJ142" s="2"/>
      <c r="CK142" s="2"/>
      <c r="CL142" s="171">
        <f t="shared" si="358"/>
        <v>157492.26011132047</v>
      </c>
      <c r="CM142" s="169">
        <f t="shared" si="359"/>
        <v>186670.26011132047</v>
      </c>
      <c r="CN142" s="170">
        <f t="shared" si="268"/>
        <v>66241.626023657867</v>
      </c>
      <c r="CO142" s="170">
        <f t="shared" si="269"/>
        <v>67633</v>
      </c>
      <c r="CP142" s="170">
        <f t="shared" si="308"/>
        <v>120428.63408766259</v>
      </c>
      <c r="CQ142" s="170">
        <f t="shared" si="309"/>
        <v>29178</v>
      </c>
      <c r="CR142" s="170">
        <v>8279</v>
      </c>
      <c r="CS142" s="113">
        <f t="shared" si="360"/>
        <v>9.4685808486610679E-2</v>
      </c>
      <c r="CT142" s="170">
        <f t="shared" si="346"/>
        <v>176831.63408766259</v>
      </c>
      <c r="CU142" s="2">
        <v>65036</v>
      </c>
      <c r="CV142" s="169">
        <f t="shared" si="271"/>
        <v>111795.63408766259</v>
      </c>
      <c r="CW142" s="2">
        <v>28163</v>
      </c>
      <c r="CX142" s="2"/>
      <c r="CY142" s="2"/>
      <c r="CZ142" s="170">
        <f t="shared" si="272"/>
        <v>9838.626023657871</v>
      </c>
      <c r="DA142" s="170">
        <f t="shared" si="273"/>
        <v>11230</v>
      </c>
      <c r="DB142" s="170">
        <f t="shared" si="335"/>
        <v>1205.6260236578707</v>
      </c>
      <c r="DC142" s="2">
        <v>2597</v>
      </c>
      <c r="DD142" s="2">
        <v>8633</v>
      </c>
      <c r="DE142" s="2">
        <v>1015</v>
      </c>
      <c r="DF142" s="2"/>
      <c r="DG142" s="2"/>
      <c r="DH142" s="171">
        <f t="shared" si="318"/>
        <v>40101</v>
      </c>
      <c r="DI142" s="2">
        <f t="shared" si="320"/>
        <v>44300</v>
      </c>
      <c r="DJ142" s="2">
        <v>40101</v>
      </c>
      <c r="DK142" s="2">
        <v>4199</v>
      </c>
      <c r="DL142" s="113">
        <f t="shared" si="336"/>
        <v>0.15214496283733794</v>
      </c>
      <c r="DM142" s="113">
        <f t="shared" si="361"/>
        <v>0.2355930510595548</v>
      </c>
      <c r="DN142" s="113">
        <f t="shared" si="321"/>
        <v>0.59372825394945294</v>
      </c>
      <c r="DO142" s="2">
        <v>1144</v>
      </c>
      <c r="DP142" s="2">
        <v>0</v>
      </c>
      <c r="DQ142" s="273"/>
      <c r="DR142" s="2">
        <v>41226</v>
      </c>
      <c r="DS142" s="2">
        <v>26315</v>
      </c>
      <c r="DT142" s="169">
        <f t="shared" si="326"/>
        <v>67541</v>
      </c>
      <c r="DU142" s="2">
        <v>182752</v>
      </c>
      <c r="DV142" s="2"/>
      <c r="DW142" s="2">
        <v>53564</v>
      </c>
      <c r="DX142" s="2"/>
      <c r="DY142" s="2"/>
      <c r="DZ142" s="2"/>
      <c r="EA142" s="2"/>
      <c r="EB142" s="2"/>
      <c r="EC142" s="2"/>
      <c r="ED142" s="175">
        <v>8864</v>
      </c>
      <c r="EE142" s="2"/>
      <c r="EF142" s="175">
        <f t="shared" si="315"/>
        <v>6730</v>
      </c>
      <c r="EG142" s="2"/>
      <c r="EH142" s="2"/>
      <c r="EI142" s="2">
        <v>81393</v>
      </c>
      <c r="EJ142" s="2">
        <v>77605</v>
      </c>
      <c r="EK142" s="2"/>
      <c r="EL142" s="2"/>
      <c r="EM142" s="2"/>
      <c r="EN142" s="2"/>
      <c r="EO142" s="2"/>
      <c r="EP142" s="2"/>
      <c r="EQ142" s="2"/>
      <c r="ER142" s="2"/>
      <c r="ES142" s="2"/>
      <c r="ET142" s="2">
        <f t="shared" si="337"/>
        <v>307645</v>
      </c>
      <c r="EU142" s="2">
        <f t="shared" si="338"/>
        <v>308156</v>
      </c>
      <c r="EV142" s="262">
        <f t="shared" si="292"/>
        <v>1.0016610053795771</v>
      </c>
      <c r="EW142" s="2">
        <v>307206</v>
      </c>
      <c r="EX142" s="1042">
        <v>-438</v>
      </c>
      <c r="EY142" s="273">
        <f t="shared" si="339"/>
        <v>198471</v>
      </c>
      <c r="EZ142" s="2">
        <f t="shared" si="279"/>
        <v>115360</v>
      </c>
      <c r="FA142" s="1714"/>
      <c r="FB142" s="1714"/>
      <c r="FC142" s="2">
        <v>52614</v>
      </c>
      <c r="FD142" s="2">
        <v>25723</v>
      </c>
      <c r="FE142" s="1052">
        <v>42646</v>
      </c>
      <c r="FF142" s="1050"/>
      <c r="FG142" s="115"/>
      <c r="FH142" s="83"/>
      <c r="FI142" s="2">
        <v>1258</v>
      </c>
      <c r="FJ142" s="2">
        <f t="shared" si="362"/>
        <v>1258</v>
      </c>
      <c r="FK142" s="273">
        <f t="shared" si="224"/>
        <v>18051</v>
      </c>
      <c r="FL142" s="310">
        <v>18051</v>
      </c>
      <c r="FM142" s="310"/>
      <c r="FN142" s="115"/>
      <c r="FO142" s="115"/>
      <c r="FP142" s="115"/>
      <c r="FQ142" s="2">
        <v>-283</v>
      </c>
      <c r="FR142" s="115"/>
      <c r="FS142" s="1051"/>
      <c r="FT142" s="310">
        <f t="shared" si="324"/>
        <v>34952</v>
      </c>
      <c r="FU142" s="310">
        <v>29236</v>
      </c>
      <c r="FV142" s="310"/>
      <c r="FW142" s="2">
        <v>34952</v>
      </c>
      <c r="FX142" s="115"/>
      <c r="FY142" s="115"/>
      <c r="FZ142" s="115"/>
      <c r="GA142" s="2"/>
      <c r="GB142" s="115"/>
      <c r="GC142" s="115"/>
      <c r="GD142" s="2"/>
      <c r="GE142" s="115"/>
      <c r="GF142" s="115"/>
      <c r="GG142" s="115"/>
      <c r="GH142" s="2"/>
      <c r="GI142" s="115"/>
      <c r="GJ142" s="115"/>
      <c r="GK142" s="1056">
        <f t="shared" si="281"/>
        <v>-220</v>
      </c>
      <c r="GL142" s="1059">
        <v>-291</v>
      </c>
      <c r="GM142" s="1059">
        <v>707</v>
      </c>
      <c r="GN142" s="1059">
        <v>3682</v>
      </c>
      <c r="GO142" s="1059">
        <v>-220</v>
      </c>
      <c r="GP142" s="1058">
        <f t="shared" si="246"/>
        <v>6730</v>
      </c>
      <c r="GQ142" s="2">
        <v>6730</v>
      </c>
      <c r="GR142" s="2"/>
      <c r="GS142" s="115"/>
      <c r="GT142" s="115"/>
      <c r="GU142" s="2">
        <f t="shared" si="225"/>
        <v>-6950</v>
      </c>
      <c r="GV142" s="615">
        <v>17198</v>
      </c>
      <c r="GW142" s="615">
        <v>13204</v>
      </c>
      <c r="GX142" s="615">
        <v>9584</v>
      </c>
      <c r="GY142" s="615">
        <f t="shared" si="363"/>
        <v>7614</v>
      </c>
      <c r="GZ142" s="310">
        <f t="shared" si="323"/>
        <v>-2562</v>
      </c>
      <c r="HA142" s="2">
        <v>-4904</v>
      </c>
      <c r="HB142" s="2">
        <v>2342</v>
      </c>
      <c r="HC142" s="1052"/>
      <c r="HD142" s="170">
        <f t="shared" si="347"/>
        <v>-1050</v>
      </c>
      <c r="HE142" s="2">
        <v>40890</v>
      </c>
      <c r="HF142" s="2">
        <v>41940</v>
      </c>
      <c r="HG142" s="170">
        <f t="shared" si="348"/>
        <v>-89</v>
      </c>
      <c r="HH142" s="2">
        <v>290</v>
      </c>
      <c r="HI142" s="2">
        <v>379</v>
      </c>
      <c r="HJ142" s="2">
        <f t="shared" si="340"/>
        <v>-1927</v>
      </c>
      <c r="HK142" s="2"/>
      <c r="HL142" s="2"/>
      <c r="HM142" s="2">
        <f t="shared" si="247"/>
        <v>-1927</v>
      </c>
      <c r="HN142" s="2">
        <f t="shared" si="283"/>
        <v>536</v>
      </c>
      <c r="HO142" s="2">
        <f t="shared" si="341"/>
        <v>536</v>
      </c>
      <c r="HP142" s="2">
        <v>301840</v>
      </c>
      <c r="HQ142" s="2">
        <v>302376</v>
      </c>
      <c r="HR142" s="115"/>
      <c r="HS142" s="1051"/>
      <c r="HT142" s="1002">
        <v>335.1</v>
      </c>
      <c r="HU142" s="1002">
        <v>42.1</v>
      </c>
      <c r="HV142" s="1002">
        <v>43.6</v>
      </c>
    </row>
    <row r="143" spans="1:230">
      <c r="A143" s="110">
        <f t="shared" si="349"/>
        <v>1984</v>
      </c>
      <c r="B143" s="176">
        <f t="shared" si="327"/>
        <v>284327</v>
      </c>
      <c r="C143" s="177">
        <f t="shared" si="317"/>
        <v>-2336</v>
      </c>
      <c r="D143" s="176">
        <f t="shared" si="342"/>
        <v>286663</v>
      </c>
      <c r="E143" s="154">
        <f t="shared" si="328"/>
        <v>330918</v>
      </c>
      <c r="F143" s="995">
        <f t="shared" si="329"/>
        <v>44255</v>
      </c>
      <c r="G143" s="531">
        <f t="shared" si="350"/>
        <v>282865</v>
      </c>
      <c r="H143" s="531">
        <f t="shared" si="351"/>
        <v>285201</v>
      </c>
      <c r="I143" s="531">
        <f t="shared" si="352"/>
        <v>329456</v>
      </c>
      <c r="J143" s="548">
        <f t="shared" si="353"/>
        <v>1.0044376183769608</v>
      </c>
      <c r="K143" s="178">
        <f t="shared" si="325"/>
        <v>39851</v>
      </c>
      <c r="L143" s="2">
        <v>47271</v>
      </c>
      <c r="M143" s="2">
        <v>7420</v>
      </c>
      <c r="N143" s="2">
        <v>31331</v>
      </c>
      <c r="O143" s="170">
        <f t="shared" si="286"/>
        <v>8520</v>
      </c>
      <c r="P143" s="175">
        <v>0</v>
      </c>
      <c r="Q143" s="175">
        <f t="shared" si="243"/>
        <v>7308</v>
      </c>
      <c r="R143" s="175">
        <f t="shared" si="287"/>
        <v>1212</v>
      </c>
      <c r="S143" s="532"/>
      <c r="T143" s="1008">
        <f t="shared" si="253"/>
        <v>10279.953184957791</v>
      </c>
      <c r="U143" s="1010">
        <v>7933</v>
      </c>
      <c r="V143" s="511">
        <f t="shared" si="288"/>
        <v>13805.953184957791</v>
      </c>
      <c r="W143" s="2">
        <v>11459</v>
      </c>
      <c r="X143" s="169">
        <f t="shared" si="254"/>
        <v>3526</v>
      </c>
      <c r="Y143" s="113">
        <f t="shared" si="255"/>
        <v>0.25539707057979427</v>
      </c>
      <c r="Z143" s="113">
        <f t="shared" si="330"/>
        <v>0.30770573348459723</v>
      </c>
      <c r="AA143" s="276">
        <f>X143/DataUK3!D143</f>
        <v>8.3910134530481937E-3</v>
      </c>
      <c r="AB143" s="1019">
        <f t="shared" si="331"/>
        <v>1.065520763451973E-2</v>
      </c>
      <c r="AC143" s="2"/>
      <c r="AD143" s="2">
        <v>3324</v>
      </c>
      <c r="AE143" s="2"/>
      <c r="AF143" s="2"/>
      <c r="AG143" s="2"/>
      <c r="AH143" s="2"/>
      <c r="AI143" s="1010">
        <f>AD143*DataUK3!BG143</f>
        <v>2346.9531849577897</v>
      </c>
      <c r="AJ143" s="171">
        <f t="shared" si="249"/>
        <v>26307.006691226226</v>
      </c>
      <c r="AK143" s="561"/>
      <c r="AL143" s="169">
        <f t="shared" si="354"/>
        <v>31823.006691226226</v>
      </c>
      <c r="AM143" s="169"/>
      <c r="AN143" s="2">
        <v>14950</v>
      </c>
      <c r="AO143" s="1029">
        <f t="shared" si="258"/>
        <v>20466</v>
      </c>
      <c r="AP143" s="170"/>
      <c r="AQ143" s="170"/>
      <c r="AR143" s="170"/>
      <c r="AS143" s="170"/>
      <c r="AT143" s="170"/>
      <c r="AU143" s="170"/>
      <c r="AV143" s="170"/>
      <c r="AW143" s="170"/>
      <c r="AX143" s="170"/>
      <c r="AY143" s="170"/>
      <c r="AZ143" s="170"/>
      <c r="BA143" s="170"/>
      <c r="BB143" s="170"/>
      <c r="BC143" s="170"/>
      <c r="BD143" s="170"/>
      <c r="BE143" s="170"/>
      <c r="BF143" s="170"/>
      <c r="BG143" s="170"/>
      <c r="BH143" s="170"/>
      <c r="BI143" s="273">
        <v>181810</v>
      </c>
      <c r="BJ143" s="2">
        <f t="shared" si="355"/>
        <v>181904</v>
      </c>
      <c r="BK143" s="170"/>
      <c r="BL143" s="170"/>
      <c r="BM143" s="1031">
        <f t="shared" si="303"/>
        <v>11357.006691226225</v>
      </c>
      <c r="BN143" s="254"/>
      <c r="BO143" s="262">
        <f t="shared" si="343"/>
        <v>5.2580303664442704E-2</v>
      </c>
      <c r="BP143" s="262">
        <f t="shared" si="332"/>
        <v>7.198050132417956E-2</v>
      </c>
      <c r="BQ143" s="262">
        <f t="shared" si="344"/>
        <v>3.9943468932694487E-2</v>
      </c>
      <c r="BR143" s="262">
        <f t="shared" si="356"/>
        <v>6.2466347787394669E-2</v>
      </c>
      <c r="BS143" s="988">
        <f>BS$146</f>
        <v>0.55492068265543948</v>
      </c>
      <c r="BT143" s="519">
        <f t="shared" si="265"/>
        <v>5516</v>
      </c>
      <c r="BU143" s="519"/>
      <c r="BV143" s="113">
        <f t="shared" si="333"/>
        <v>0.17333371587169324</v>
      </c>
      <c r="BW143" s="276">
        <f t="shared" si="357"/>
        <v>1.666878199433092E-2</v>
      </c>
      <c r="BX143" s="273">
        <v>9042</v>
      </c>
      <c r="BY143" s="113"/>
      <c r="BZ143" s="1013"/>
      <c r="CA143" s="1005">
        <f t="shared" si="345"/>
        <v>284327</v>
      </c>
      <c r="CB143" s="2"/>
      <c r="CC143" s="2"/>
      <c r="CD143" s="2"/>
      <c r="CE143" s="2"/>
      <c r="CF143" s="2">
        <v>329912</v>
      </c>
      <c r="CG143" s="2">
        <v>705</v>
      </c>
      <c r="CH143" s="2">
        <f t="shared" si="334"/>
        <v>1711</v>
      </c>
      <c r="CI143" s="2">
        <v>44255</v>
      </c>
      <c r="CJ143" s="2"/>
      <c r="CK143" s="2"/>
      <c r="CL143" s="171">
        <f t="shared" si="358"/>
        <v>168366.040123816</v>
      </c>
      <c r="CM143" s="169">
        <f t="shared" si="359"/>
        <v>199182.040123816</v>
      </c>
      <c r="CN143" s="170">
        <f t="shared" si="268"/>
        <v>70494.046815042209</v>
      </c>
      <c r="CO143" s="170">
        <f t="shared" si="269"/>
        <v>72841</v>
      </c>
      <c r="CP143" s="170">
        <f t="shared" si="308"/>
        <v>128687.99330877379</v>
      </c>
      <c r="CQ143" s="170">
        <f t="shared" si="309"/>
        <v>30816</v>
      </c>
      <c r="CR143" s="170">
        <v>8518</v>
      </c>
      <c r="CS143" s="113">
        <f t="shared" si="360"/>
        <v>9.312276757384004E-2</v>
      </c>
      <c r="CT143" s="170">
        <f t="shared" si="346"/>
        <v>189096.99330877379</v>
      </c>
      <c r="CU143" s="2">
        <v>70623</v>
      </c>
      <c r="CV143" s="169">
        <f t="shared" si="271"/>
        <v>118473.99330877379</v>
      </c>
      <c r="CW143" s="2">
        <v>29709</v>
      </c>
      <c r="CX143" s="2"/>
      <c r="CY143" s="2"/>
      <c r="CZ143" s="170">
        <f t="shared" si="272"/>
        <v>10085.046815042209</v>
      </c>
      <c r="DA143" s="170">
        <f t="shared" si="273"/>
        <v>12432</v>
      </c>
      <c r="DB143" s="170">
        <f t="shared" si="335"/>
        <v>-128.95318495778974</v>
      </c>
      <c r="DC143" s="2">
        <v>2218</v>
      </c>
      <c r="DD143" s="2">
        <v>10214</v>
      </c>
      <c r="DE143" s="2">
        <v>1107</v>
      </c>
      <c r="DF143" s="2"/>
      <c r="DG143" s="2"/>
      <c r="DH143" s="171">
        <f t="shared" si="318"/>
        <v>41859</v>
      </c>
      <c r="DI143" s="2">
        <f t="shared" si="320"/>
        <v>46256</v>
      </c>
      <c r="DJ143" s="2">
        <v>41859</v>
      </c>
      <c r="DK143" s="2">
        <v>4397</v>
      </c>
      <c r="DL143" s="113">
        <f t="shared" si="336"/>
        <v>0.14722133318327138</v>
      </c>
      <c r="DM143" s="113">
        <f t="shared" si="361"/>
        <v>0.23011588530213739</v>
      </c>
      <c r="DN143" s="113">
        <f t="shared" si="321"/>
        <v>0.58513776087898572</v>
      </c>
      <c r="DO143" s="2">
        <v>1212</v>
      </c>
      <c r="DP143" s="2">
        <v>0</v>
      </c>
      <c r="DQ143" s="273"/>
      <c r="DR143" s="2">
        <v>43702</v>
      </c>
      <c r="DS143" s="2">
        <v>27835</v>
      </c>
      <c r="DT143" s="169">
        <f t="shared" si="326"/>
        <v>71537</v>
      </c>
      <c r="DU143" s="2">
        <v>196653</v>
      </c>
      <c r="DV143" s="2"/>
      <c r="DW143" s="2">
        <v>60574</v>
      </c>
      <c r="DX143" s="2"/>
      <c r="DY143" s="2"/>
      <c r="DZ143" s="2"/>
      <c r="EA143" s="2"/>
      <c r="EB143" s="2"/>
      <c r="EC143" s="2"/>
      <c r="ED143" s="175">
        <v>8582</v>
      </c>
      <c r="EE143" s="2"/>
      <c r="EF143" s="175">
        <f t="shared" si="315"/>
        <v>7780</v>
      </c>
      <c r="EG143" s="2"/>
      <c r="EH143" s="2"/>
      <c r="EI143" s="2">
        <v>93462</v>
      </c>
      <c r="EJ143" s="2">
        <v>92770</v>
      </c>
      <c r="EK143" s="2"/>
      <c r="EL143" s="2"/>
      <c r="EM143" s="2"/>
      <c r="EN143" s="2"/>
      <c r="EO143" s="2"/>
      <c r="EP143" s="2"/>
      <c r="EQ143" s="2"/>
      <c r="ER143" s="2"/>
      <c r="ES143" s="2"/>
      <c r="ET143" s="2">
        <f t="shared" si="337"/>
        <v>329456</v>
      </c>
      <c r="EU143" s="2">
        <f t="shared" si="338"/>
        <v>330918</v>
      </c>
      <c r="EV143" s="262">
        <f t="shared" si="292"/>
        <v>1.0044376183769608</v>
      </c>
      <c r="EW143" s="2">
        <v>329912</v>
      </c>
      <c r="EX143" s="1042">
        <v>457</v>
      </c>
      <c r="EY143" s="273">
        <f t="shared" si="339"/>
        <v>215200</v>
      </c>
      <c r="EZ143" s="2">
        <f t="shared" si="279"/>
        <v>123948</v>
      </c>
      <c r="FA143" s="1714"/>
      <c r="FB143" s="1714"/>
      <c r="FC143" s="2">
        <v>56521</v>
      </c>
      <c r="FD143" s="2">
        <v>27576</v>
      </c>
      <c r="FE143" s="1052">
        <v>45791</v>
      </c>
      <c r="FF143" s="1050"/>
      <c r="FG143" s="115"/>
      <c r="FH143" s="83"/>
      <c r="FI143" s="2">
        <v>-1294</v>
      </c>
      <c r="FJ143" s="2">
        <f t="shared" si="362"/>
        <v>-1294</v>
      </c>
      <c r="FK143" s="273">
        <f>FL143</f>
        <v>22317</v>
      </c>
      <c r="FL143" s="310">
        <v>22317</v>
      </c>
      <c r="FM143" s="310"/>
      <c r="FN143" s="115"/>
      <c r="FO143" s="115"/>
      <c r="FP143" s="115"/>
      <c r="FQ143" s="2">
        <v>-297</v>
      </c>
      <c r="FR143" s="115"/>
      <c r="FS143" s="1051"/>
      <c r="FT143" s="310">
        <f t="shared" si="324"/>
        <v>38679</v>
      </c>
      <c r="FU143" s="310">
        <v>31517</v>
      </c>
      <c r="FV143" s="310"/>
      <c r="FW143" s="2">
        <v>38679</v>
      </c>
      <c r="FX143" s="115"/>
      <c r="FY143" s="115"/>
      <c r="FZ143" s="115"/>
      <c r="GA143" s="2"/>
      <c r="GB143" s="115"/>
      <c r="GC143" s="115"/>
      <c r="GD143" s="2"/>
      <c r="GE143" s="115"/>
      <c r="GF143" s="115"/>
      <c r="GG143" s="115"/>
      <c r="GH143" s="2"/>
      <c r="GI143" s="115"/>
      <c r="GJ143" s="115"/>
      <c r="GK143" s="1056">
        <f t="shared" si="281"/>
        <v>-2546</v>
      </c>
      <c r="GL143" s="1059">
        <v>-943</v>
      </c>
      <c r="GM143" s="1059">
        <v>825</v>
      </c>
      <c r="GN143" s="1059">
        <v>3860</v>
      </c>
      <c r="GO143" s="1059">
        <v>-2546</v>
      </c>
      <c r="GP143" s="1058">
        <f t="shared" si="246"/>
        <v>7780</v>
      </c>
      <c r="GQ143" s="2">
        <v>7780</v>
      </c>
      <c r="GR143" s="2"/>
      <c r="GS143" s="115"/>
      <c r="GT143" s="115"/>
      <c r="GU143" s="2">
        <f t="shared" ref="GU143:GU168" si="364">GK143-GP143-GR143</f>
        <v>-10326</v>
      </c>
      <c r="GV143" s="615">
        <v>19342</v>
      </c>
      <c r="GW143" s="615">
        <v>15216</v>
      </c>
      <c r="GX143" s="615">
        <v>10312</v>
      </c>
      <c r="GY143" s="615">
        <f t="shared" si="363"/>
        <v>9030</v>
      </c>
      <c r="GZ143" s="310">
        <f t="shared" si="323"/>
        <v>-4079</v>
      </c>
      <c r="HA143" s="2">
        <v>-6524</v>
      </c>
      <c r="HB143" s="2">
        <v>2445</v>
      </c>
      <c r="HC143" s="1052"/>
      <c r="HD143" s="170">
        <f t="shared" si="347"/>
        <v>-326</v>
      </c>
      <c r="HE143" s="2">
        <v>49746</v>
      </c>
      <c r="HF143" s="2">
        <v>50072</v>
      </c>
      <c r="HG143" s="170">
        <f t="shared" si="348"/>
        <v>-94</v>
      </c>
      <c r="HH143" s="2">
        <v>323</v>
      </c>
      <c r="HI143" s="2">
        <v>417</v>
      </c>
      <c r="HJ143" s="2">
        <f t="shared" si="340"/>
        <v>-1916</v>
      </c>
      <c r="HK143" s="2"/>
      <c r="HL143" s="2"/>
      <c r="HM143" s="2">
        <f t="shared" si="247"/>
        <v>-1916</v>
      </c>
      <c r="HN143" s="2">
        <f t="shared" si="283"/>
        <v>350</v>
      </c>
      <c r="HO143" s="2">
        <f t="shared" si="341"/>
        <v>350</v>
      </c>
      <c r="HP143" s="2">
        <v>324597</v>
      </c>
      <c r="HQ143" s="2">
        <v>324947</v>
      </c>
      <c r="HR143" s="115"/>
      <c r="HS143" s="1051"/>
      <c r="HT143" s="1002">
        <v>351.8</v>
      </c>
      <c r="HU143" s="1002">
        <v>44.1</v>
      </c>
      <c r="HV143" s="1002">
        <v>45.9</v>
      </c>
    </row>
    <row r="144" spans="1:230">
      <c r="A144" s="110">
        <f t="shared" si="349"/>
        <v>1985</v>
      </c>
      <c r="B144" s="176">
        <f t="shared" si="327"/>
        <v>310561</v>
      </c>
      <c r="C144" s="177">
        <f t="shared" si="317"/>
        <v>-5219</v>
      </c>
      <c r="D144" s="176">
        <f t="shared" si="342"/>
        <v>315780</v>
      </c>
      <c r="E144" s="154">
        <f t="shared" si="328"/>
        <v>363526</v>
      </c>
      <c r="F144" s="995">
        <f t="shared" si="329"/>
        <v>47746</v>
      </c>
      <c r="G144" s="531">
        <f t="shared" si="350"/>
        <v>309180</v>
      </c>
      <c r="H144" s="531">
        <f t="shared" si="351"/>
        <v>314399</v>
      </c>
      <c r="I144" s="531">
        <f t="shared" si="352"/>
        <v>362145</v>
      </c>
      <c r="J144" s="548">
        <f t="shared" si="353"/>
        <v>1.0038133896643611</v>
      </c>
      <c r="K144" s="178">
        <f t="shared" si="325"/>
        <v>42546</v>
      </c>
      <c r="L144" s="2">
        <v>49728</v>
      </c>
      <c r="M144" s="2">
        <v>7182</v>
      </c>
      <c r="N144" s="2">
        <v>34489</v>
      </c>
      <c r="O144" s="170">
        <f t="shared" si="286"/>
        <v>8057</v>
      </c>
      <c r="P144" s="175">
        <v>0</v>
      </c>
      <c r="Q144" s="175">
        <f t="shared" si="243"/>
        <v>6783</v>
      </c>
      <c r="R144" s="175">
        <f t="shared" si="287"/>
        <v>1274</v>
      </c>
      <c r="S144" s="532"/>
      <c r="T144" s="1008">
        <f t="shared" si="253"/>
        <v>11465.505369551485</v>
      </c>
      <c r="U144" s="1010">
        <v>8515</v>
      </c>
      <c r="V144" s="511">
        <f t="shared" si="288"/>
        <v>15231.505369551485</v>
      </c>
      <c r="W144" s="2">
        <v>12281</v>
      </c>
      <c r="X144" s="169">
        <f t="shared" si="254"/>
        <v>3766</v>
      </c>
      <c r="Y144" s="113">
        <f t="shared" si="255"/>
        <v>0.24725067605782525</v>
      </c>
      <c r="Z144" s="113">
        <f t="shared" si="330"/>
        <v>0.30665255272371955</v>
      </c>
      <c r="AA144" s="276">
        <f>X144/DataUK3!D144</f>
        <v>7.8489182428471832E-3</v>
      </c>
      <c r="AB144" s="1019">
        <f t="shared" si="331"/>
        <v>1.0359644152000132E-2</v>
      </c>
      <c r="AC144" s="2"/>
      <c r="AD144" s="2">
        <v>4285</v>
      </c>
      <c r="AE144" s="2"/>
      <c r="AF144" s="2"/>
      <c r="AG144" s="2"/>
      <c r="AH144" s="2"/>
      <c r="AI144" s="1010">
        <f>AD144*DataUK3!BG144</f>
        <v>2950.5053695514848</v>
      </c>
      <c r="AJ144" s="171">
        <f t="shared" si="249"/>
        <v>28638.020750319527</v>
      </c>
      <c r="AK144" s="561"/>
      <c r="AL144" s="169">
        <f t="shared" si="354"/>
        <v>34782.020750319527</v>
      </c>
      <c r="AM144" s="169"/>
      <c r="AN144" s="2">
        <v>16225</v>
      </c>
      <c r="AO144" s="1029">
        <f t="shared" si="258"/>
        <v>22369</v>
      </c>
      <c r="AP144" s="170"/>
      <c r="AQ144" s="170"/>
      <c r="AR144" s="170"/>
      <c r="AS144" s="170"/>
      <c r="AT144" s="170"/>
      <c r="AU144" s="170"/>
      <c r="AV144" s="170"/>
      <c r="AW144" s="170"/>
      <c r="AX144" s="170"/>
      <c r="AY144" s="170"/>
      <c r="AZ144" s="170"/>
      <c r="BA144" s="170"/>
      <c r="BB144" s="170"/>
      <c r="BC144" s="170"/>
      <c r="BD144" s="170"/>
      <c r="BE144" s="170"/>
      <c r="BF144" s="170"/>
      <c r="BG144" s="170"/>
      <c r="BH144" s="170"/>
      <c r="BI144" s="273">
        <v>197241</v>
      </c>
      <c r="BJ144" s="2">
        <f t="shared" si="355"/>
        <v>197361</v>
      </c>
      <c r="BK144" s="170"/>
      <c r="BL144" s="170"/>
      <c r="BM144" s="1031">
        <f t="shared" si="303"/>
        <v>12413.020750319525</v>
      </c>
      <c r="BN144" s="254"/>
      <c r="BO144" s="262">
        <f t="shared" si="343"/>
        <v>5.2244164592463317E-2</v>
      </c>
      <c r="BP144" s="262">
        <f t="shared" si="332"/>
        <v>7.2027717582053119E-2</v>
      </c>
      <c r="BQ144" s="262">
        <f t="shared" si="344"/>
        <v>3.9969670210746121E-2</v>
      </c>
      <c r="BR144" s="262">
        <f t="shared" si="356"/>
        <v>6.2933268186226618E-2</v>
      </c>
      <c r="BS144" s="988">
        <f>BS$146</f>
        <v>0.55492068265543948</v>
      </c>
      <c r="BT144" s="519">
        <f t="shared" si="265"/>
        <v>6144</v>
      </c>
      <c r="BU144" s="519"/>
      <c r="BV144" s="113">
        <f t="shared" si="333"/>
        <v>0.1766429858720488</v>
      </c>
      <c r="BW144" s="276">
        <f t="shared" si="357"/>
        <v>1.6901129492801065E-2</v>
      </c>
      <c r="BX144" s="273">
        <v>9910</v>
      </c>
      <c r="BY144" s="113"/>
      <c r="BZ144" s="1013"/>
      <c r="CA144" s="1005">
        <f t="shared" si="345"/>
        <v>310561</v>
      </c>
      <c r="CB144" s="2"/>
      <c r="CC144" s="2"/>
      <c r="CD144" s="2"/>
      <c r="CE144" s="2"/>
      <c r="CF144" s="2">
        <v>361758</v>
      </c>
      <c r="CG144" s="2">
        <v>387</v>
      </c>
      <c r="CH144" s="2">
        <f t="shared" si="334"/>
        <v>2155</v>
      </c>
      <c r="CI144" s="2">
        <v>47746</v>
      </c>
      <c r="CJ144" s="2"/>
      <c r="CK144" s="2"/>
      <c r="CL144" s="171">
        <f t="shared" si="358"/>
        <v>189069.47388012899</v>
      </c>
      <c r="CM144" s="169">
        <f t="shared" si="359"/>
        <v>222165.47388012899</v>
      </c>
      <c r="CN144" s="170">
        <f t="shared" si="268"/>
        <v>81278.49463044852</v>
      </c>
      <c r="CO144" s="170">
        <f t="shared" si="269"/>
        <v>84229</v>
      </c>
      <c r="CP144" s="170">
        <f t="shared" si="308"/>
        <v>140886.97924968047</v>
      </c>
      <c r="CQ144" s="170">
        <f t="shared" si="309"/>
        <v>33096</v>
      </c>
      <c r="CR144" s="170">
        <v>7301</v>
      </c>
      <c r="CS144" s="113">
        <f t="shared" si="360"/>
        <v>9.1041631135049483E-2</v>
      </c>
      <c r="CT144" s="170">
        <f t="shared" si="346"/>
        <v>208116.97924968047</v>
      </c>
      <c r="CU144" s="2">
        <v>79619</v>
      </c>
      <c r="CV144" s="169">
        <f t="shared" si="271"/>
        <v>128497.97924968047</v>
      </c>
      <c r="CW144" s="2">
        <v>31840</v>
      </c>
      <c r="CX144" s="2"/>
      <c r="CY144" s="2"/>
      <c r="CZ144" s="170">
        <f t="shared" si="272"/>
        <v>14048.494630448515</v>
      </c>
      <c r="DA144" s="170">
        <f t="shared" si="273"/>
        <v>16999</v>
      </c>
      <c r="DB144" s="170">
        <f t="shared" si="335"/>
        <v>1659.4946304485152</v>
      </c>
      <c r="DC144" s="2">
        <v>4610</v>
      </c>
      <c r="DD144" s="2">
        <v>12389</v>
      </c>
      <c r="DE144" s="2">
        <v>1256</v>
      </c>
      <c r="DF144" s="2"/>
      <c r="DG144" s="2"/>
      <c r="DH144" s="171">
        <f t="shared" si="318"/>
        <v>44061</v>
      </c>
      <c r="DI144" s="2">
        <f t="shared" si="320"/>
        <v>48801</v>
      </c>
      <c r="DJ144" s="2">
        <v>44061</v>
      </c>
      <c r="DK144" s="2">
        <v>4740</v>
      </c>
      <c r="DL144" s="113">
        <f t="shared" si="336"/>
        <v>0.14187550915923119</v>
      </c>
      <c r="DM144" s="113">
        <f t="shared" si="361"/>
        <v>0.22325079422986305</v>
      </c>
      <c r="DN144" s="113">
        <f t="shared" si="321"/>
        <v>0.58221676048521365</v>
      </c>
      <c r="DO144" s="2">
        <v>1274</v>
      </c>
      <c r="DP144" s="2">
        <v>0</v>
      </c>
      <c r="DQ144" s="273"/>
      <c r="DR144" s="2">
        <v>46428</v>
      </c>
      <c r="DS144" s="2">
        <v>29250</v>
      </c>
      <c r="DT144" s="169">
        <f t="shared" si="326"/>
        <v>75678</v>
      </c>
      <c r="DU144" s="2">
        <v>215382</v>
      </c>
      <c r="DV144" s="2"/>
      <c r="DW144" s="2">
        <v>66002</v>
      </c>
      <c r="DX144" s="2"/>
      <c r="DY144" s="2"/>
      <c r="DZ144" s="2"/>
      <c r="EA144" s="2"/>
      <c r="EB144" s="2"/>
      <c r="EC144" s="2"/>
      <c r="ED144" s="175">
        <v>6916</v>
      </c>
      <c r="EE144" s="2"/>
      <c r="EF144" s="175">
        <f t="shared" si="315"/>
        <v>8184</v>
      </c>
      <c r="EG144" s="2"/>
      <c r="EH144" s="2"/>
      <c r="EI144" s="2">
        <v>104018</v>
      </c>
      <c r="EJ144" s="2">
        <v>98935</v>
      </c>
      <c r="EK144" s="2"/>
      <c r="EL144" s="2"/>
      <c r="EM144" s="2"/>
      <c r="EN144" s="2"/>
      <c r="EO144" s="2"/>
      <c r="EP144" s="2"/>
      <c r="EQ144" s="2"/>
      <c r="ER144" s="2"/>
      <c r="ES144" s="2"/>
      <c r="ET144" s="2">
        <f t="shared" si="337"/>
        <v>362145</v>
      </c>
      <c r="EU144" s="2">
        <f t="shared" si="338"/>
        <v>363526</v>
      </c>
      <c r="EV144" s="262">
        <f t="shared" si="292"/>
        <v>1.0038133896643611</v>
      </c>
      <c r="EW144" s="2">
        <v>361758</v>
      </c>
      <c r="EX144" s="1042">
        <v>-387</v>
      </c>
      <c r="EY144" s="273">
        <f t="shared" si="339"/>
        <v>235188</v>
      </c>
      <c r="EZ144" s="2">
        <f t="shared" si="279"/>
        <v>134903</v>
      </c>
      <c r="FA144" s="1714"/>
      <c r="FB144" s="1714"/>
      <c r="FC144" s="2">
        <v>62699</v>
      </c>
      <c r="FD144" s="2">
        <v>29658</v>
      </c>
      <c r="FE144" s="1052">
        <v>49996</v>
      </c>
      <c r="FF144" s="1050"/>
      <c r="FG144" s="115"/>
      <c r="FH144" s="83"/>
      <c r="FI144" s="2">
        <v>-570</v>
      </c>
      <c r="FJ144" s="2">
        <f t="shared" si="362"/>
        <v>-570</v>
      </c>
      <c r="FK144" s="273">
        <f>FL144</f>
        <v>23089</v>
      </c>
      <c r="FL144" s="310">
        <v>23089</v>
      </c>
      <c r="FM144" s="310"/>
      <c r="FN144" s="115"/>
      <c r="FO144" s="115"/>
      <c r="FP144" s="115"/>
      <c r="FQ144" s="2">
        <v>-96</v>
      </c>
      <c r="FR144" s="115"/>
      <c r="FS144" s="1051"/>
      <c r="FT144" s="310">
        <f t="shared" si="324"/>
        <v>43129</v>
      </c>
      <c r="FU144" s="310">
        <v>35954</v>
      </c>
      <c r="FV144" s="310"/>
      <c r="FW144" s="2">
        <v>43129</v>
      </c>
      <c r="FX144" s="115"/>
      <c r="FY144" s="115"/>
      <c r="FZ144" s="115"/>
      <c r="GA144" s="2"/>
      <c r="GB144" s="115"/>
      <c r="GC144" s="115"/>
      <c r="GD144" s="2"/>
      <c r="GE144" s="115"/>
      <c r="GF144" s="115"/>
      <c r="GG144" s="115"/>
      <c r="GH144" s="2"/>
      <c r="GI144" s="115"/>
      <c r="GJ144" s="115"/>
      <c r="GK144" s="1056">
        <f t="shared" si="281"/>
        <v>-945</v>
      </c>
      <c r="GL144" s="1059">
        <v>419</v>
      </c>
      <c r="GM144" s="1059">
        <v>1057</v>
      </c>
      <c r="GN144" s="1059">
        <v>3339</v>
      </c>
      <c r="GO144" s="1059">
        <v>-945</v>
      </c>
      <c r="GP144" s="1058">
        <f t="shared" si="246"/>
        <v>8184</v>
      </c>
      <c r="GQ144" s="2">
        <v>8184</v>
      </c>
      <c r="GR144" s="2"/>
      <c r="GS144" s="115"/>
      <c r="GT144" s="115"/>
      <c r="GU144" s="2">
        <f t="shared" si="364"/>
        <v>-9129</v>
      </c>
      <c r="GV144" s="615">
        <v>21223</v>
      </c>
      <c r="GW144" s="615">
        <v>16447</v>
      </c>
      <c r="GX144" s="615">
        <v>11689</v>
      </c>
      <c r="GY144" s="615">
        <f t="shared" si="363"/>
        <v>9534</v>
      </c>
      <c r="GZ144" s="310">
        <f t="shared" si="323"/>
        <v>-1537</v>
      </c>
      <c r="HA144" s="2">
        <v>-4168</v>
      </c>
      <c r="HB144" s="2">
        <v>2631</v>
      </c>
      <c r="HC144" s="1052"/>
      <c r="HD144" s="170">
        <f t="shared" si="347"/>
        <v>-2609</v>
      </c>
      <c r="HE144" s="2">
        <v>50092</v>
      </c>
      <c r="HF144" s="2">
        <v>52701</v>
      </c>
      <c r="HG144" s="170">
        <f t="shared" si="348"/>
        <v>-120</v>
      </c>
      <c r="HH144" s="2">
        <v>344</v>
      </c>
      <c r="HI144" s="2">
        <v>464</v>
      </c>
      <c r="HJ144" s="2">
        <f t="shared" si="340"/>
        <v>-2490</v>
      </c>
      <c r="HK144" s="2"/>
      <c r="HL144" s="2"/>
      <c r="HM144" s="2">
        <f t="shared" si="247"/>
        <v>-2490</v>
      </c>
      <c r="HN144" s="2">
        <f t="shared" si="283"/>
        <v>-434</v>
      </c>
      <c r="HO144" s="2">
        <f t="shared" si="341"/>
        <v>-434</v>
      </c>
      <c r="HP144" s="2">
        <v>352563</v>
      </c>
      <c r="HQ144" s="2">
        <v>352129</v>
      </c>
      <c r="HR144" s="115"/>
      <c r="HS144" s="1051"/>
      <c r="HT144" s="1002">
        <v>373.2</v>
      </c>
      <c r="HU144" s="1002">
        <v>46.6</v>
      </c>
      <c r="HV144" s="1002">
        <v>48.3</v>
      </c>
    </row>
    <row r="145" spans="1:230">
      <c r="A145" s="110">
        <f t="shared" si="349"/>
        <v>1986</v>
      </c>
      <c r="B145" s="176">
        <f t="shared" si="327"/>
        <v>336109.40399999998</v>
      </c>
      <c r="C145" s="177">
        <f t="shared" si="317"/>
        <v>-3213</v>
      </c>
      <c r="D145" s="176">
        <f t="shared" si="342"/>
        <v>339322.40399999998</v>
      </c>
      <c r="E145" s="154">
        <f t="shared" si="328"/>
        <v>390579.40399999998</v>
      </c>
      <c r="F145" s="995">
        <f t="shared" si="329"/>
        <v>51257</v>
      </c>
      <c r="G145" s="531">
        <f t="shared" si="350"/>
        <v>334679</v>
      </c>
      <c r="H145" s="531">
        <f t="shared" si="351"/>
        <v>337892</v>
      </c>
      <c r="I145" s="531">
        <f t="shared" si="352"/>
        <v>389149</v>
      </c>
      <c r="J145" s="548">
        <f t="shared" si="353"/>
        <v>1.0036757231805811</v>
      </c>
      <c r="K145" s="178">
        <f t="shared" si="325"/>
        <v>48419</v>
      </c>
      <c r="L145" s="2">
        <v>54609</v>
      </c>
      <c r="M145" s="2">
        <v>6190</v>
      </c>
      <c r="N145" s="2">
        <v>39405</v>
      </c>
      <c r="O145" s="170">
        <f t="shared" si="286"/>
        <v>9014</v>
      </c>
      <c r="P145" s="175">
        <v>0</v>
      </c>
      <c r="Q145" s="175">
        <f t="shared" si="243"/>
        <v>7712</v>
      </c>
      <c r="R145" s="175">
        <f t="shared" si="287"/>
        <v>1302</v>
      </c>
      <c r="S145" s="532"/>
      <c r="T145" s="1008">
        <f t="shared" si="253"/>
        <v>11456.766506753107</v>
      </c>
      <c r="U145" s="1010">
        <f>9154-0.004*CF145</f>
        <v>7597.4040000000005</v>
      </c>
      <c r="V145" s="511">
        <f t="shared" si="288"/>
        <v>16498.362506753107</v>
      </c>
      <c r="W145" s="2">
        <v>12639</v>
      </c>
      <c r="X145" s="301">
        <f>W145-U145</f>
        <v>5041.5959999999995</v>
      </c>
      <c r="Y145" s="113">
        <f t="shared" si="255"/>
        <v>0.30558159926091905</v>
      </c>
      <c r="Z145" s="113">
        <f t="shared" si="330"/>
        <v>0.39889200094944216</v>
      </c>
      <c r="AA145" s="276">
        <f>X145/DataUK3!D145</f>
        <v>9.0399784830554053E-3</v>
      </c>
      <c r="AB145" s="1019">
        <f t="shared" si="331"/>
        <v>1.290799245522941E-2</v>
      </c>
      <c r="AC145" s="2"/>
      <c r="AD145" s="2">
        <v>5581</v>
      </c>
      <c r="AE145" s="2"/>
      <c r="AF145" s="2"/>
      <c r="AG145" s="253"/>
      <c r="AH145" s="2"/>
      <c r="AI145" s="1010">
        <f>AD145*DataUK3!BG145</f>
        <v>3859.3625067531066</v>
      </c>
      <c r="AJ145" s="171">
        <f t="shared" si="249"/>
        <v>32868.264109766184</v>
      </c>
      <c r="AK145" s="561"/>
      <c r="AL145" s="169">
        <f t="shared" si="354"/>
        <v>38817.668109766186</v>
      </c>
      <c r="AM145" s="169"/>
      <c r="AN145" s="2">
        <v>19015</v>
      </c>
      <c r="AO145" s="1029">
        <f t="shared" si="258"/>
        <v>24964.404000000002</v>
      </c>
      <c r="AP145" s="170"/>
      <c r="AQ145" s="170"/>
      <c r="AR145" s="170"/>
      <c r="AS145" s="170"/>
      <c r="AT145" s="170"/>
      <c r="AU145" s="170"/>
      <c r="AV145" s="170"/>
      <c r="AW145" s="170"/>
      <c r="AX145" s="170"/>
      <c r="AY145" s="170"/>
      <c r="AZ145" s="170"/>
      <c r="BA145" s="170"/>
      <c r="BB145" s="170"/>
      <c r="BC145" s="170"/>
      <c r="BD145" s="170"/>
      <c r="BE145" s="170"/>
      <c r="BF145" s="170"/>
      <c r="BG145" s="170"/>
      <c r="BH145" s="170"/>
      <c r="BI145" s="273">
        <v>212729</v>
      </c>
      <c r="BJ145" s="2">
        <f t="shared" si="355"/>
        <v>212885</v>
      </c>
      <c r="BK145" s="170"/>
      <c r="BL145" s="170"/>
      <c r="BM145" s="1031">
        <f t="shared" si="303"/>
        <v>13853.264109766185</v>
      </c>
      <c r="BN145" s="254"/>
      <c r="BO145" s="262">
        <f t="shared" si="343"/>
        <v>5.6573841058014551E-2</v>
      </c>
      <c r="BP145" s="262">
        <f t="shared" si="332"/>
        <v>7.427463707620631E-2</v>
      </c>
      <c r="BQ145" s="262">
        <f t="shared" si="344"/>
        <v>4.1216532310313421E-2</v>
      </c>
      <c r="BR145" s="262">
        <f t="shared" si="356"/>
        <v>6.5121652947017966E-2</v>
      </c>
      <c r="BS145" s="2123">
        <f>BS$146</f>
        <v>0.55492068265543948</v>
      </c>
      <c r="BT145" s="519">
        <f t="shared" si="265"/>
        <v>5949.4040000000005</v>
      </c>
      <c r="BU145" s="519"/>
      <c r="BV145" s="113">
        <f t="shared" si="333"/>
        <v>0.15326536316340916</v>
      </c>
      <c r="BW145" s="276">
        <f t="shared" si="357"/>
        <v>1.5232252236218786E-2</v>
      </c>
      <c r="BX145" s="273">
        <v>10991</v>
      </c>
      <c r="BY145" s="113"/>
      <c r="BZ145" s="1013"/>
      <c r="CA145" s="1005">
        <f t="shared" si="345"/>
        <v>336109.40399999998</v>
      </c>
      <c r="CB145" s="2"/>
      <c r="CC145" s="2"/>
      <c r="CD145" s="2"/>
      <c r="CE145" s="2"/>
      <c r="CF145" s="2">
        <v>389149</v>
      </c>
      <c r="CG145" s="2">
        <v>0</v>
      </c>
      <c r="CH145" s="2">
        <f t="shared" si="334"/>
        <v>1430.4039999999804</v>
      </c>
      <c r="CI145" s="2">
        <v>51257</v>
      </c>
      <c r="CJ145" s="2"/>
      <c r="CK145" s="2"/>
      <c r="CL145" s="171">
        <f t="shared" si="358"/>
        <v>199231.37338348071</v>
      </c>
      <c r="CM145" s="169">
        <f t="shared" si="359"/>
        <v>234377.37338348071</v>
      </c>
      <c r="CN145" s="170">
        <f t="shared" si="268"/>
        <v>82692.63749324689</v>
      </c>
      <c r="CO145" s="170">
        <f t="shared" si="269"/>
        <v>86552</v>
      </c>
      <c r="CP145" s="170">
        <f t="shared" si="308"/>
        <v>151684.7358902338</v>
      </c>
      <c r="CQ145" s="170">
        <f t="shared" si="309"/>
        <v>35146</v>
      </c>
      <c r="CR145" s="170">
        <v>7655</v>
      </c>
      <c r="CS145" s="113">
        <f t="shared" si="360"/>
        <v>8.9984263481542925E-2</v>
      </c>
      <c r="CT145" s="170">
        <f t="shared" si="346"/>
        <v>217510.7358902338</v>
      </c>
      <c r="CU145" s="2">
        <v>79568</v>
      </c>
      <c r="CV145" s="169">
        <f t="shared" si="271"/>
        <v>137942.7358902338</v>
      </c>
      <c r="CW145" s="2">
        <v>33700</v>
      </c>
      <c r="CX145" s="2"/>
      <c r="CY145" s="2"/>
      <c r="CZ145" s="170">
        <f t="shared" si="272"/>
        <v>16866.637493246893</v>
      </c>
      <c r="DA145" s="170">
        <f t="shared" si="273"/>
        <v>20726</v>
      </c>
      <c r="DB145" s="170">
        <f t="shared" si="335"/>
        <v>3124.6374932468934</v>
      </c>
      <c r="DC145" s="2">
        <v>6984</v>
      </c>
      <c r="DD145" s="2">
        <v>13742</v>
      </c>
      <c r="DE145" s="2">
        <v>1446</v>
      </c>
      <c r="DF145" s="2"/>
      <c r="DG145" s="2"/>
      <c r="DH145" s="171">
        <f t="shared" si="318"/>
        <v>47347</v>
      </c>
      <c r="DI145" s="2">
        <f t="shared" si="320"/>
        <v>52467</v>
      </c>
      <c r="DJ145" s="2">
        <v>47347</v>
      </c>
      <c r="DK145" s="2">
        <v>5120</v>
      </c>
      <c r="DL145" s="113">
        <f t="shared" si="336"/>
        <v>0.14086782290685329</v>
      </c>
      <c r="DM145" s="113">
        <f t="shared" si="361"/>
        <v>0.22240646358362495</v>
      </c>
      <c r="DN145" s="113">
        <f t="shared" si="321"/>
        <v>0.58211616012589751</v>
      </c>
      <c r="DO145" s="2">
        <v>1302</v>
      </c>
      <c r="DP145" s="2">
        <v>0</v>
      </c>
      <c r="DQ145" s="273"/>
      <c r="DR145" s="2">
        <v>49430</v>
      </c>
      <c r="DS145" s="2">
        <v>31906</v>
      </c>
      <c r="DT145" s="169">
        <f t="shared" si="326"/>
        <v>81336</v>
      </c>
      <c r="DU145" s="2">
        <v>239008</v>
      </c>
      <c r="DV145" s="2"/>
      <c r="DW145" s="2">
        <v>70240</v>
      </c>
      <c r="DX145" s="2"/>
      <c r="DY145" s="2"/>
      <c r="DZ145" s="2"/>
      <c r="EA145" s="2"/>
      <c r="EB145" s="2"/>
      <c r="EC145" s="2"/>
      <c r="ED145" s="175">
        <v>7003</v>
      </c>
      <c r="EE145" s="2"/>
      <c r="EF145" s="175">
        <f t="shared" si="315"/>
        <v>9007</v>
      </c>
      <c r="EG145" s="2"/>
      <c r="EH145" s="2"/>
      <c r="EI145" s="2">
        <v>99706</v>
      </c>
      <c r="EJ145" s="2">
        <v>101141</v>
      </c>
      <c r="EK145" s="2"/>
      <c r="EL145" s="2"/>
      <c r="EM145" s="2"/>
      <c r="EN145" s="2"/>
      <c r="EO145" s="2"/>
      <c r="EP145" s="2"/>
      <c r="EQ145" s="2"/>
      <c r="ER145" s="2"/>
      <c r="ES145" s="2"/>
      <c r="ET145" s="2">
        <f t="shared" si="337"/>
        <v>389149</v>
      </c>
      <c r="EU145" s="2">
        <f t="shared" si="338"/>
        <v>390579.40399999998</v>
      </c>
      <c r="EV145" s="262">
        <f t="shared" si="292"/>
        <v>1.0036757231805811</v>
      </c>
      <c r="EW145" s="2">
        <v>389149</v>
      </c>
      <c r="EX145" s="1042">
        <v>0</v>
      </c>
      <c r="EY145" s="273">
        <f t="shared" si="339"/>
        <v>256528.40399999998</v>
      </c>
      <c r="EZ145" s="2">
        <f t="shared" si="279"/>
        <v>145139</v>
      </c>
      <c r="FA145" s="1714"/>
      <c r="FB145" s="1714"/>
      <c r="FC145" s="2">
        <v>64727</v>
      </c>
      <c r="FD145" s="2">
        <v>31993</v>
      </c>
      <c r="FE145" s="1052">
        <v>54100</v>
      </c>
      <c r="FF145" s="1050"/>
      <c r="FG145" s="115"/>
      <c r="FH145" s="83"/>
      <c r="FI145" s="2">
        <v>-3614</v>
      </c>
      <c r="FJ145" s="2">
        <f t="shared" si="362"/>
        <v>-3614</v>
      </c>
      <c r="FK145" s="273">
        <f>FL145</f>
        <v>21092</v>
      </c>
      <c r="FL145" s="310">
        <v>21092</v>
      </c>
      <c r="FM145" s="310"/>
      <c r="FN145" s="115"/>
      <c r="FO145" s="115"/>
      <c r="FP145" s="115"/>
      <c r="FQ145" s="2">
        <v>131</v>
      </c>
      <c r="FR145" s="115"/>
      <c r="FS145" s="1051"/>
      <c r="FT145" s="310">
        <f t="shared" si="324"/>
        <v>44498</v>
      </c>
      <c r="FU145" s="310">
        <v>39543</v>
      </c>
      <c r="FV145" s="310"/>
      <c r="FW145" s="2">
        <v>44498</v>
      </c>
      <c r="FX145" s="115"/>
      <c r="FY145" s="115"/>
      <c r="FZ145" s="115"/>
      <c r="GA145" s="2"/>
      <c r="GB145" s="115"/>
      <c r="GC145" s="115"/>
      <c r="GD145" s="2"/>
      <c r="GE145" s="115"/>
      <c r="GF145" s="115"/>
      <c r="GG145" s="115"/>
      <c r="GH145" s="2"/>
      <c r="GI145" s="115"/>
      <c r="GJ145" s="115"/>
      <c r="GK145" s="1426">
        <f>GO145</f>
        <v>-1244</v>
      </c>
      <c r="GL145" s="1059">
        <v>131</v>
      </c>
      <c r="GM145" s="1059">
        <v>1289</v>
      </c>
      <c r="GN145" s="1059">
        <v>3145</v>
      </c>
      <c r="GO145" s="1059">
        <v>-1244</v>
      </c>
      <c r="GP145" s="1058">
        <f>GQ145</f>
        <v>9007</v>
      </c>
      <c r="GQ145" s="2">
        <v>9007</v>
      </c>
      <c r="GR145" s="2"/>
      <c r="GS145" s="115"/>
      <c r="GT145" s="115"/>
      <c r="GU145" s="2">
        <f t="shared" si="364"/>
        <v>-10251</v>
      </c>
      <c r="GV145" s="615">
        <v>21787</v>
      </c>
      <c r="GW145" s="615">
        <v>17173</v>
      </c>
      <c r="GX145" s="615">
        <v>10329</v>
      </c>
      <c r="GY145" s="615">
        <f t="shared" si="363"/>
        <v>11458</v>
      </c>
      <c r="GZ145" s="310">
        <f>HA145+HB145</f>
        <v>-2024</v>
      </c>
      <c r="HA145" s="2">
        <v>-4855</v>
      </c>
      <c r="HB145" s="2">
        <v>2831</v>
      </c>
      <c r="HC145" s="1052"/>
      <c r="HD145" s="170">
        <f t="shared" si="347"/>
        <v>71</v>
      </c>
      <c r="HE145" s="2">
        <v>45530</v>
      </c>
      <c r="HF145" s="2">
        <v>45459</v>
      </c>
      <c r="HG145" s="170">
        <f t="shared" si="348"/>
        <v>-156</v>
      </c>
      <c r="HH145" s="2">
        <v>369</v>
      </c>
      <c r="HI145" s="2">
        <v>525</v>
      </c>
      <c r="HJ145" s="2">
        <f t="shared" si="340"/>
        <v>-3128</v>
      </c>
      <c r="HK145" s="2"/>
      <c r="HL145" s="2"/>
      <c r="HM145" s="2">
        <f t="shared" si="247"/>
        <v>-3128</v>
      </c>
      <c r="HN145" s="2">
        <f t="shared" si="283"/>
        <v>1034</v>
      </c>
      <c r="HO145" s="2">
        <f t="shared" si="341"/>
        <v>1034</v>
      </c>
      <c r="HP145" s="2">
        <v>381383</v>
      </c>
      <c r="HQ145" s="2">
        <v>382417</v>
      </c>
      <c r="HR145" s="115"/>
      <c r="HS145" s="1051"/>
      <c r="HT145" s="1002">
        <v>385.9</v>
      </c>
      <c r="HU145" s="1002">
        <v>48.2</v>
      </c>
      <c r="HV145" s="1002">
        <v>50.4</v>
      </c>
    </row>
    <row r="146" spans="1:230">
      <c r="A146" s="110">
        <f t="shared" si="349"/>
        <v>1987</v>
      </c>
      <c r="B146" s="176">
        <f t="shared" si="327"/>
        <v>367609</v>
      </c>
      <c r="C146" s="177">
        <f t="shared" si="317"/>
        <v>-4807</v>
      </c>
      <c r="D146" s="176">
        <f t="shared" si="342"/>
        <v>372416</v>
      </c>
      <c r="E146" s="154">
        <f t="shared" si="328"/>
        <v>428665</v>
      </c>
      <c r="F146" s="995">
        <f t="shared" si="329"/>
        <v>56249</v>
      </c>
      <c r="G146" s="531">
        <f t="shared" si="350"/>
        <v>367609</v>
      </c>
      <c r="H146" s="531">
        <f t="shared" si="351"/>
        <v>372416</v>
      </c>
      <c r="I146" s="531">
        <f t="shared" si="352"/>
        <v>428665</v>
      </c>
      <c r="J146" s="548">
        <f t="shared" si="353"/>
        <v>1</v>
      </c>
      <c r="K146" s="178">
        <f t="shared" si="325"/>
        <v>53833</v>
      </c>
      <c r="L146" s="2">
        <v>60076</v>
      </c>
      <c r="M146" s="2">
        <v>6243</v>
      </c>
      <c r="N146" s="2">
        <v>43917</v>
      </c>
      <c r="O146" s="170">
        <f t="shared" si="286"/>
        <v>9916</v>
      </c>
      <c r="P146" s="175">
        <f t="shared" ref="P146:P169" si="365">BY146-BZ146</f>
        <v>56</v>
      </c>
      <c r="Q146" s="175">
        <f t="shared" ref="Q146:Q169" si="366">CX146-CY146+DF146-DG146</f>
        <v>8516</v>
      </c>
      <c r="R146" s="175">
        <f t="shared" si="287"/>
        <v>1344</v>
      </c>
      <c r="S146" s="532"/>
      <c r="T146" s="1008">
        <f t="shared" si="253"/>
        <v>11534.44763670065</v>
      </c>
      <c r="U146" s="1010">
        <v>6781</v>
      </c>
      <c r="V146" s="511">
        <f t="shared" si="288"/>
        <v>18326.44763670065</v>
      </c>
      <c r="W146" s="2">
        <v>13573</v>
      </c>
      <c r="X146" s="301">
        <f t="shared" si="254"/>
        <v>6792</v>
      </c>
      <c r="Y146" s="113">
        <f t="shared" si="255"/>
        <v>0.37061192297836826</v>
      </c>
      <c r="Z146" s="113">
        <f t="shared" si="330"/>
        <v>0.50040521623811984</v>
      </c>
      <c r="AA146" s="276">
        <f>X146/DataUK3!D146</f>
        <v>1.040919540229885E-2</v>
      </c>
      <c r="AB146" s="1019">
        <f t="shared" si="331"/>
        <v>1.5844540608633783E-2</v>
      </c>
      <c r="AC146" s="2">
        <v>26401</v>
      </c>
      <c r="AD146" s="2">
        <v>6661</v>
      </c>
      <c r="AE146" s="2">
        <v>19740</v>
      </c>
      <c r="AF146" s="253"/>
      <c r="AG146" s="253"/>
      <c r="AH146" s="253"/>
      <c r="AI146" s="1010">
        <f>AD146*DataUK3!BG146</f>
        <v>4753.4476367006491</v>
      </c>
      <c r="AJ146" s="171">
        <f t="shared" si="249"/>
        <v>35611</v>
      </c>
      <c r="AK146" s="561"/>
      <c r="AL146" s="169">
        <f t="shared" si="354"/>
        <v>41364</v>
      </c>
      <c r="AM146" s="169"/>
      <c r="AN146" s="2">
        <v>20849</v>
      </c>
      <c r="AO146" s="1012">
        <v>26602</v>
      </c>
      <c r="AP146" s="2"/>
      <c r="AQ146" s="2"/>
      <c r="AR146" s="2"/>
      <c r="AS146" s="2"/>
      <c r="AT146" s="2"/>
      <c r="AU146" s="2"/>
      <c r="AV146" s="2"/>
      <c r="AW146" s="2"/>
      <c r="AX146" s="2"/>
      <c r="AY146" s="2"/>
      <c r="AZ146" s="170"/>
      <c r="BA146" s="170"/>
      <c r="BB146" s="170"/>
      <c r="BC146" s="2"/>
      <c r="BD146" s="2"/>
      <c r="BE146" s="2"/>
      <c r="BF146" s="2"/>
      <c r="BG146" s="2"/>
      <c r="BH146" s="2"/>
      <c r="BI146" s="273">
        <v>230200</v>
      </c>
      <c r="BJ146" s="2">
        <f t="shared" si="355"/>
        <v>230374</v>
      </c>
      <c r="BK146" s="2"/>
      <c r="BL146" s="2"/>
      <c r="BM146" s="1129">
        <v>14762</v>
      </c>
      <c r="BN146" s="2"/>
      <c r="BO146" s="262">
        <f t="shared" si="343"/>
        <v>5.6715151152447303E-2</v>
      </c>
      <c r="BP146" s="262">
        <f t="shared" si="332"/>
        <v>7.2364931217679659E-2</v>
      </c>
      <c r="BQ146" s="262">
        <f t="shared" si="344"/>
        <v>4.0156797031628715E-2</v>
      </c>
      <c r="BR146" s="262">
        <f t="shared" si="356"/>
        <v>6.4126846220677672E-2</v>
      </c>
      <c r="BS146" s="988">
        <f t="shared" ref="BS146:BS169" si="367">BM146/AO146</f>
        <v>0.55492068265543948</v>
      </c>
      <c r="BT146" s="519">
        <f t="shared" ref="BT146:BT169" si="368">AO146-AN146</f>
        <v>5753</v>
      </c>
      <c r="BU146" s="519"/>
      <c r="BV146" s="113">
        <f t="shared" si="333"/>
        <v>0.13908229378203268</v>
      </c>
      <c r="BW146" s="276">
        <f t="shared" si="357"/>
        <v>1.342073647253683E-2</v>
      </c>
      <c r="BX146" s="273">
        <v>12545</v>
      </c>
      <c r="BY146" s="2">
        <v>72</v>
      </c>
      <c r="BZ146" s="1012">
        <v>16</v>
      </c>
      <c r="CA146" s="1005">
        <f t="shared" si="345"/>
        <v>367609</v>
      </c>
      <c r="CB146" s="2"/>
      <c r="CC146" s="2"/>
      <c r="CD146" s="2"/>
      <c r="CE146" s="2"/>
      <c r="CF146" s="2">
        <v>428665</v>
      </c>
      <c r="CG146" s="2">
        <v>0</v>
      </c>
      <c r="CH146" s="2">
        <f t="shared" si="334"/>
        <v>0</v>
      </c>
      <c r="CI146" s="2">
        <v>56249</v>
      </c>
      <c r="CJ146" s="2"/>
      <c r="CK146" s="2"/>
      <c r="CL146" s="171">
        <f t="shared" si="358"/>
        <v>219846.55236329936</v>
      </c>
      <c r="CM146" s="169">
        <f t="shared" si="359"/>
        <v>258102.55236329936</v>
      </c>
      <c r="CN146" s="170">
        <f t="shared" si="268"/>
        <v>94081.552363299357</v>
      </c>
      <c r="CO146" s="170">
        <f t="shared" si="269"/>
        <v>98835</v>
      </c>
      <c r="CP146" s="170">
        <f t="shared" si="308"/>
        <v>164021</v>
      </c>
      <c r="CQ146" s="170">
        <f t="shared" si="309"/>
        <v>38256</v>
      </c>
      <c r="CR146" s="170">
        <v>7065</v>
      </c>
      <c r="CS146" s="113">
        <f t="shared" si="360"/>
        <v>8.9244514947569784E-2</v>
      </c>
      <c r="CT146" s="170">
        <f t="shared" si="346"/>
        <v>236967</v>
      </c>
      <c r="CU146" s="2">
        <v>87934</v>
      </c>
      <c r="CV146" s="991">
        <v>149033</v>
      </c>
      <c r="CW146" s="2">
        <v>36509</v>
      </c>
      <c r="CX146" s="2">
        <v>8789</v>
      </c>
      <c r="CY146" s="2">
        <v>1003</v>
      </c>
      <c r="CZ146" s="170">
        <f t="shared" si="272"/>
        <v>21135.55236329935</v>
      </c>
      <c r="DA146" s="170">
        <f t="shared" si="273"/>
        <v>25889</v>
      </c>
      <c r="DB146" s="170">
        <f t="shared" si="335"/>
        <v>6147.5523632993509</v>
      </c>
      <c r="DC146" s="2">
        <v>10901</v>
      </c>
      <c r="DD146" s="2">
        <v>14988</v>
      </c>
      <c r="DE146" s="2">
        <v>1747</v>
      </c>
      <c r="DF146" s="2">
        <v>730</v>
      </c>
      <c r="DG146" s="1040">
        <v>0</v>
      </c>
      <c r="DH146" s="171">
        <f t="shared" si="318"/>
        <v>51591</v>
      </c>
      <c r="DI146" s="2">
        <f t="shared" si="320"/>
        <v>57039</v>
      </c>
      <c r="DJ146" s="2">
        <v>51591</v>
      </c>
      <c r="DK146" s="2">
        <v>5448</v>
      </c>
      <c r="DL146" s="113">
        <f t="shared" si="336"/>
        <v>0.14034204820883059</v>
      </c>
      <c r="DM146" s="113">
        <f t="shared" si="361"/>
        <v>0.22394454235286967</v>
      </c>
      <c r="DN146" s="113">
        <f t="shared" si="321"/>
        <v>0.5914160925337888</v>
      </c>
      <c r="DO146" s="2">
        <v>1344</v>
      </c>
      <c r="DP146" s="2">
        <v>0</v>
      </c>
      <c r="DQ146" s="273"/>
      <c r="DR146" s="2">
        <v>52387</v>
      </c>
      <c r="DS146" s="2">
        <v>34846</v>
      </c>
      <c r="DT146" s="169">
        <f t="shared" si="326"/>
        <v>87233</v>
      </c>
      <c r="DU146" s="2">
        <v>263084</v>
      </c>
      <c r="DV146" s="2"/>
      <c r="DW146" s="2">
        <v>81442</v>
      </c>
      <c r="DX146" s="2"/>
      <c r="DY146" s="2"/>
      <c r="DZ146" s="2"/>
      <c r="EA146" s="2"/>
      <c r="EB146" s="2"/>
      <c r="EC146" s="2"/>
      <c r="ED146" s="175">
        <v>5333</v>
      </c>
      <c r="EE146" s="2"/>
      <c r="EF146" s="175">
        <f t="shared" si="315"/>
        <v>8660</v>
      </c>
      <c r="EG146" s="2"/>
      <c r="EH146" s="2"/>
      <c r="EI146" s="2">
        <v>108653</v>
      </c>
      <c r="EJ146" s="2">
        <v>111747</v>
      </c>
      <c r="EK146" s="2"/>
      <c r="EL146" s="2"/>
      <c r="EM146" s="2"/>
      <c r="EN146" s="2"/>
      <c r="EO146" s="2"/>
      <c r="EP146" s="2"/>
      <c r="EQ146" s="2"/>
      <c r="ER146" s="2"/>
      <c r="ES146" s="2"/>
      <c r="ET146" s="2">
        <f t="shared" si="337"/>
        <v>428665</v>
      </c>
      <c r="EU146" s="2">
        <f t="shared" si="338"/>
        <v>428665</v>
      </c>
      <c r="EV146" s="262">
        <f t="shared" si="292"/>
        <v>1</v>
      </c>
      <c r="EW146" s="2">
        <v>428665</v>
      </c>
      <c r="EX146" s="1042">
        <v>0</v>
      </c>
      <c r="EY146" s="273">
        <f t="shared" si="339"/>
        <v>277442</v>
      </c>
      <c r="EZ146" s="2">
        <f t="shared" ref="EZ146:EZ169" si="369">FA146+FB146+FD146+K146</f>
        <v>156942</v>
      </c>
      <c r="FA146" s="2">
        <v>14596</v>
      </c>
      <c r="FB146" s="2">
        <v>54558</v>
      </c>
      <c r="FC146" s="2">
        <v>69169</v>
      </c>
      <c r="FD146" s="2">
        <v>33955</v>
      </c>
      <c r="FE146" s="1052">
        <v>56742</v>
      </c>
      <c r="FF146" s="273">
        <v>74007</v>
      </c>
      <c r="FG146" s="2">
        <v>17758</v>
      </c>
      <c r="FH146" s="170">
        <f t="shared" ref="FH146:FH169" si="370">DW146+FI146</f>
        <v>74007</v>
      </c>
      <c r="FI146" s="2">
        <v>-7435</v>
      </c>
      <c r="FJ146" s="2">
        <f t="shared" si="362"/>
        <v>-7435</v>
      </c>
      <c r="FK146" s="273">
        <f>FL146+FN146-FO146</f>
        <v>16074</v>
      </c>
      <c r="FL146" s="2">
        <v>14917</v>
      </c>
      <c r="FM146" s="2"/>
      <c r="FN146" s="2">
        <v>2660</v>
      </c>
      <c r="FO146" s="2">
        <v>1503</v>
      </c>
      <c r="FP146" s="2">
        <v>20446</v>
      </c>
      <c r="FQ146" s="2">
        <v>128</v>
      </c>
      <c r="FR146" s="2">
        <v>-4500</v>
      </c>
      <c r="FS146" s="1052">
        <f>FL146+FN146-FO146-FP146-FQ146-FR146</f>
        <v>0</v>
      </c>
      <c r="FT146" s="2">
        <f>FW146+FX146-FY146+GD146+GE146-GF146</f>
        <v>59037</v>
      </c>
      <c r="FU146" s="511">
        <v>50356</v>
      </c>
      <c r="FV146" s="512">
        <f>FU146/(FW146+GD146)</f>
        <v>0.86689161272551996</v>
      </c>
      <c r="FW146" s="2">
        <v>54352</v>
      </c>
      <c r="FX146" s="2">
        <v>1225</v>
      </c>
      <c r="FY146" s="2">
        <v>276</v>
      </c>
      <c r="FZ146" s="2">
        <v>48298</v>
      </c>
      <c r="GA146" s="2">
        <v>485</v>
      </c>
      <c r="GB146" s="2">
        <v>6518</v>
      </c>
      <c r="GC146" s="2">
        <f t="shared" ref="GC146:GC169" si="371">FW146+FX146-FY146-FZ146-GA146-GB146</f>
        <v>0</v>
      </c>
      <c r="GD146" s="2">
        <v>3736</v>
      </c>
      <c r="GE146" s="2">
        <v>119</v>
      </c>
      <c r="GF146" s="2">
        <v>119</v>
      </c>
      <c r="GG146" s="2">
        <v>4038</v>
      </c>
      <c r="GH146" s="2">
        <v>-31</v>
      </c>
      <c r="GI146" s="2">
        <v>-271</v>
      </c>
      <c r="GJ146" s="2">
        <f t="shared" ref="GJ146:GJ169" si="372">GD146+GE146-GF146-GG146-GH146-GI146</f>
        <v>0</v>
      </c>
      <c r="GK146" s="1060">
        <f t="shared" ref="GK146:GK168" si="373">GL146+GM146-GN146</f>
        <v>-771</v>
      </c>
      <c r="GL146" s="1061">
        <v>1002</v>
      </c>
      <c r="GM146" s="1061">
        <v>2327</v>
      </c>
      <c r="GN146" s="1061">
        <v>4100</v>
      </c>
      <c r="GO146" s="1062">
        <v>737</v>
      </c>
      <c r="GP146" s="1061">
        <v>8660</v>
      </c>
      <c r="GQ146" s="2">
        <v>9158</v>
      </c>
      <c r="GR146" s="2">
        <v>-582</v>
      </c>
      <c r="GS146" s="2">
        <v>-8849</v>
      </c>
      <c r="GT146" s="2">
        <f>GL146+GM146-GN146-GP146-GR146-GS146</f>
        <v>0</v>
      </c>
      <c r="GU146" s="2">
        <f t="shared" si="364"/>
        <v>-8849</v>
      </c>
      <c r="GV146" s="615">
        <v>23007</v>
      </c>
      <c r="GW146" s="615">
        <v>18531</v>
      </c>
      <c r="GX146" s="615">
        <v>12974</v>
      </c>
      <c r="GY146" s="615">
        <f t="shared" si="363"/>
        <v>10033</v>
      </c>
      <c r="GZ146" s="2">
        <v>-437</v>
      </c>
      <c r="HA146" s="2">
        <v>-508</v>
      </c>
      <c r="HB146" s="2">
        <v>2991</v>
      </c>
      <c r="HC146" s="1052">
        <f t="shared" ref="HC146:HC168" si="374">GZ146-HA146-HB146</f>
        <v>-2920</v>
      </c>
      <c r="HD146" s="170">
        <f t="shared" si="347"/>
        <v>-730</v>
      </c>
      <c r="HE146" s="2">
        <v>46267</v>
      </c>
      <c r="HF146" s="2">
        <v>46997</v>
      </c>
      <c r="HG146" s="170">
        <f t="shared" si="348"/>
        <v>-174</v>
      </c>
      <c r="HH146" s="2">
        <v>413</v>
      </c>
      <c r="HI146" s="2">
        <v>587</v>
      </c>
      <c r="HJ146" s="2">
        <f t="shared" si="340"/>
        <v>-3903</v>
      </c>
      <c r="HK146" s="2">
        <v>3907</v>
      </c>
      <c r="HL146" s="2"/>
      <c r="HM146" s="2">
        <f t="shared" si="247"/>
        <v>4</v>
      </c>
      <c r="HN146" s="2">
        <f t="shared" si="283"/>
        <v>799</v>
      </c>
      <c r="HO146" s="2">
        <f t="shared" si="341"/>
        <v>466</v>
      </c>
      <c r="HP146" s="2">
        <v>423870</v>
      </c>
      <c r="HQ146" s="2">
        <v>424336</v>
      </c>
      <c r="HR146" s="2">
        <v>6331</v>
      </c>
      <c r="HS146" s="1052">
        <v>5998</v>
      </c>
      <c r="HT146" s="1002">
        <v>402</v>
      </c>
      <c r="HU146" s="1002">
        <v>50.8</v>
      </c>
      <c r="HV146" s="1002">
        <v>52.6</v>
      </c>
    </row>
    <row r="147" spans="1:230">
      <c r="A147" s="110">
        <f t="shared" si="349"/>
        <v>1988</v>
      </c>
      <c r="B147" s="176">
        <f t="shared" si="327"/>
        <v>412472</v>
      </c>
      <c r="C147" s="177">
        <f t="shared" si="317"/>
        <v>-4412</v>
      </c>
      <c r="D147" s="176">
        <f t="shared" si="342"/>
        <v>416884</v>
      </c>
      <c r="E147" s="154">
        <f t="shared" si="328"/>
        <v>478510</v>
      </c>
      <c r="F147" s="995">
        <f t="shared" si="329"/>
        <v>61626</v>
      </c>
      <c r="G147" s="531">
        <f t="shared" si="350"/>
        <v>412472</v>
      </c>
      <c r="H147" s="531">
        <f t="shared" si="351"/>
        <v>416884</v>
      </c>
      <c r="I147" s="531">
        <f t="shared" si="352"/>
        <v>478510</v>
      </c>
      <c r="J147" s="548">
        <f t="shared" si="353"/>
        <v>1</v>
      </c>
      <c r="K147" s="178">
        <f t="shared" si="325"/>
        <v>59954</v>
      </c>
      <c r="L147" s="2">
        <v>66048</v>
      </c>
      <c r="M147" s="2">
        <v>6094</v>
      </c>
      <c r="N147" s="2">
        <v>49199</v>
      </c>
      <c r="O147" s="170">
        <f t="shared" si="286"/>
        <v>10755</v>
      </c>
      <c r="P147" s="175">
        <f t="shared" si="365"/>
        <v>56</v>
      </c>
      <c r="Q147" s="175">
        <f t="shared" si="366"/>
        <v>9323</v>
      </c>
      <c r="R147" s="175">
        <f t="shared" si="287"/>
        <v>1376</v>
      </c>
      <c r="S147" s="532"/>
      <c r="T147" s="1008">
        <f t="shared" si="253"/>
        <v>12433.965869422778</v>
      </c>
      <c r="U147" s="1010">
        <v>6832</v>
      </c>
      <c r="V147" s="511">
        <f t="shared" si="288"/>
        <v>20160.965869422776</v>
      </c>
      <c r="W147" s="2">
        <v>14559</v>
      </c>
      <c r="X147" s="169">
        <f t="shared" si="254"/>
        <v>7727</v>
      </c>
      <c r="Y147" s="113">
        <f t="shared" si="255"/>
        <v>0.38326536784228132</v>
      </c>
      <c r="Z147" s="113">
        <f t="shared" si="330"/>
        <v>0.53073700116766265</v>
      </c>
      <c r="AA147" s="276">
        <f>X147/DataUK3!D147</f>
        <v>9.8099706983145185E-3</v>
      </c>
      <c r="AB147" s="1019">
        <f t="shared" si="331"/>
        <v>1.6148042883116342E-2</v>
      </c>
      <c r="AC147" s="2">
        <v>29937</v>
      </c>
      <c r="AD147" s="2">
        <v>8278</v>
      </c>
      <c r="AE147" s="2">
        <v>21659</v>
      </c>
      <c r="AF147" s="253">
        <f>AC147/DataUK3!$BE147</f>
        <v>0.11082072562643676</v>
      </c>
      <c r="AG147" s="253">
        <f>AD147/DataUK3!$BE147</f>
        <v>3.0643483539955357E-2</v>
      </c>
      <c r="AH147" s="253">
        <f>AE147/DataUK3!$BE147</f>
        <v>8.0177242086481401E-2</v>
      </c>
      <c r="AI147" s="1010">
        <f>AD147*DataUK3!BG147</f>
        <v>5601.9658694227783</v>
      </c>
      <c r="AJ147" s="171">
        <f t="shared" ref="AJ147:AJ169" si="375">AL147-BT147</f>
        <v>39246</v>
      </c>
      <c r="AK147" s="561"/>
      <c r="AL147" s="169">
        <f t="shared" si="354"/>
        <v>46279</v>
      </c>
      <c r="AM147" s="169"/>
      <c r="AN147" s="2">
        <v>22149</v>
      </c>
      <c r="AO147" s="1012">
        <v>29182</v>
      </c>
      <c r="AP147" s="2"/>
      <c r="AQ147" s="2"/>
      <c r="AR147" s="2"/>
      <c r="AS147" s="2"/>
      <c r="AT147" s="2"/>
      <c r="AU147" s="2"/>
      <c r="AV147" s="2"/>
      <c r="AW147" s="2"/>
      <c r="AX147" s="2"/>
      <c r="AY147" s="2"/>
      <c r="AZ147" s="170"/>
      <c r="BA147" s="170"/>
      <c r="BB147" s="170"/>
      <c r="BC147" s="2"/>
      <c r="BD147" s="2"/>
      <c r="BE147" s="2"/>
      <c r="BF147" s="2"/>
      <c r="BG147" s="2"/>
      <c r="BH147" s="2"/>
      <c r="BI147" s="273">
        <v>257192</v>
      </c>
      <c r="BJ147" s="2">
        <f t="shared" si="355"/>
        <v>257256</v>
      </c>
      <c r="BK147" s="2"/>
      <c r="BL147" s="2"/>
      <c r="BM147" s="1129">
        <v>17097</v>
      </c>
      <c r="BN147" s="2"/>
      <c r="BO147" s="262">
        <f t="shared" si="343"/>
        <v>5.3698190422622624E-2</v>
      </c>
      <c r="BP147" s="262">
        <f t="shared" si="332"/>
        <v>7.0749044783645923E-2</v>
      </c>
      <c r="BQ147" s="262">
        <f t="shared" si="344"/>
        <v>4.1450086308888849E-2</v>
      </c>
      <c r="BR147" s="262">
        <f t="shared" si="356"/>
        <v>6.6475629101993838E-2</v>
      </c>
      <c r="BS147" s="988">
        <f t="shared" si="367"/>
        <v>0.58587485436227815</v>
      </c>
      <c r="BT147" s="519">
        <f t="shared" si="368"/>
        <v>7033</v>
      </c>
      <c r="BU147" s="519"/>
      <c r="BV147" s="113">
        <f t="shared" si="333"/>
        <v>0.15196957583353141</v>
      </c>
      <c r="BW147" s="276">
        <f t="shared" si="357"/>
        <v>1.469770746692859E-2</v>
      </c>
      <c r="BX147" s="273">
        <v>14760</v>
      </c>
      <c r="BY147" s="2">
        <v>74</v>
      </c>
      <c r="BZ147" s="1012">
        <v>18</v>
      </c>
      <c r="CA147" s="1005">
        <f t="shared" si="345"/>
        <v>412472</v>
      </c>
      <c r="CB147" s="2"/>
      <c r="CC147" s="2"/>
      <c r="CD147" s="2"/>
      <c r="CE147" s="2"/>
      <c r="CF147" s="2">
        <v>478510</v>
      </c>
      <c r="CG147" s="2">
        <v>0</v>
      </c>
      <c r="CH147" s="2">
        <f t="shared" si="334"/>
        <v>0</v>
      </c>
      <c r="CI147" s="2">
        <v>61626</v>
      </c>
      <c r="CJ147" s="2"/>
      <c r="CK147" s="2"/>
      <c r="CL147" s="171">
        <f t="shared" si="358"/>
        <v>249434.03413057723</v>
      </c>
      <c r="CM147" s="169">
        <f t="shared" si="359"/>
        <v>290262.03413057723</v>
      </c>
      <c r="CN147" s="170">
        <f t="shared" si="268"/>
        <v>105919.03413057722</v>
      </c>
      <c r="CO147" s="170">
        <f t="shared" si="269"/>
        <v>111521</v>
      </c>
      <c r="CP147" s="170">
        <f t="shared" si="308"/>
        <v>184343</v>
      </c>
      <c r="CQ147" s="170">
        <f t="shared" si="309"/>
        <v>40828</v>
      </c>
      <c r="CR147" s="170">
        <v>7316</v>
      </c>
      <c r="CS147" s="113">
        <f t="shared" si="360"/>
        <v>8.5323190737915611E-2</v>
      </c>
      <c r="CT147" s="170">
        <f t="shared" si="346"/>
        <v>267573</v>
      </c>
      <c r="CU147" s="2">
        <v>100620</v>
      </c>
      <c r="CV147" s="991">
        <v>166953</v>
      </c>
      <c r="CW147" s="2">
        <v>38788</v>
      </c>
      <c r="CX147" s="2">
        <v>9577</v>
      </c>
      <c r="CY147" s="2">
        <v>1114</v>
      </c>
      <c r="CZ147" s="170">
        <f t="shared" si="272"/>
        <v>22689.034130577224</v>
      </c>
      <c r="DA147" s="170">
        <f t="shared" si="273"/>
        <v>28291</v>
      </c>
      <c r="DB147" s="170">
        <f t="shared" si="335"/>
        <v>5299.0341305772217</v>
      </c>
      <c r="DC147" s="2">
        <v>10901</v>
      </c>
      <c r="DD147" s="2">
        <v>17390</v>
      </c>
      <c r="DE147" s="2">
        <v>2040</v>
      </c>
      <c r="DF147" s="2">
        <v>860</v>
      </c>
      <c r="DG147" s="1040">
        <v>0</v>
      </c>
      <c r="DH147" s="171">
        <f t="shared" si="318"/>
        <v>55816</v>
      </c>
      <c r="DI147" s="2">
        <f t="shared" si="320"/>
        <v>61854</v>
      </c>
      <c r="DJ147" s="2">
        <v>55816</v>
      </c>
      <c r="DK147" s="2">
        <v>6038</v>
      </c>
      <c r="DL147" s="113">
        <f t="shared" si="336"/>
        <v>0.13532070055664386</v>
      </c>
      <c r="DM147" s="113">
        <f t="shared" si="361"/>
        <v>0.21696675684920858</v>
      </c>
      <c r="DN147" s="113">
        <f t="shared" si="321"/>
        <v>0.59385040961804447</v>
      </c>
      <c r="DO147" s="2">
        <v>1376</v>
      </c>
      <c r="DP147" s="2">
        <v>0</v>
      </c>
      <c r="DQ147" s="273"/>
      <c r="DR147" s="2">
        <v>56153</v>
      </c>
      <c r="DS147" s="2">
        <v>37837</v>
      </c>
      <c r="DT147" s="169">
        <f t="shared" si="326"/>
        <v>93990</v>
      </c>
      <c r="DU147" s="2">
        <v>297354</v>
      </c>
      <c r="DV147" s="2"/>
      <c r="DW147" s="2">
        <v>102331</v>
      </c>
      <c r="DX147" s="2"/>
      <c r="DY147" s="2"/>
      <c r="DZ147" s="2"/>
      <c r="EA147" s="2"/>
      <c r="EB147" s="2"/>
      <c r="EC147" s="2"/>
      <c r="ED147" s="175">
        <v>5376</v>
      </c>
      <c r="EE147" s="2"/>
      <c r="EF147" s="175">
        <f t="shared" si="315"/>
        <v>8106</v>
      </c>
      <c r="EG147" s="2"/>
      <c r="EH147" s="2"/>
      <c r="EI147" s="2">
        <v>109804</v>
      </c>
      <c r="EJ147" s="2">
        <v>124969</v>
      </c>
      <c r="EK147" s="2"/>
      <c r="EL147" s="2"/>
      <c r="EM147" s="2"/>
      <c r="EN147" s="2"/>
      <c r="EO147" s="2"/>
      <c r="EP147" s="2"/>
      <c r="EQ147" s="2"/>
      <c r="ER147" s="2"/>
      <c r="ES147" s="2"/>
      <c r="ET147" s="2">
        <f t="shared" si="337"/>
        <v>478510</v>
      </c>
      <c r="EU147" s="2">
        <f t="shared" si="338"/>
        <v>478510</v>
      </c>
      <c r="EV147" s="262">
        <f t="shared" si="292"/>
        <v>1</v>
      </c>
      <c r="EW147" s="2">
        <v>478510</v>
      </c>
      <c r="EX147" s="1042">
        <v>0</v>
      </c>
      <c r="EY147" s="273">
        <f t="shared" si="339"/>
        <v>307640</v>
      </c>
      <c r="EZ147" s="2">
        <f t="shared" si="369"/>
        <v>174995</v>
      </c>
      <c r="FA147" s="2">
        <v>16792</v>
      </c>
      <c r="FB147" s="2">
        <v>60786</v>
      </c>
      <c r="FC147" s="2">
        <v>77527</v>
      </c>
      <c r="FD147" s="2">
        <v>37463</v>
      </c>
      <c r="FE147" s="1052">
        <v>58507</v>
      </c>
      <c r="FF147" s="273">
        <v>82621</v>
      </c>
      <c r="FG147" s="2">
        <v>20995</v>
      </c>
      <c r="FH147" s="170">
        <f t="shared" si="370"/>
        <v>82621</v>
      </c>
      <c r="FI147" s="2">
        <v>-19710</v>
      </c>
      <c r="FJ147" s="2">
        <f t="shared" si="362"/>
        <v>-19710</v>
      </c>
      <c r="FK147" s="273">
        <f t="shared" ref="FK147:FK169" si="376">FL147+FN147-FO147</f>
        <v>13177</v>
      </c>
      <c r="FL147" s="2">
        <v>11972</v>
      </c>
      <c r="FM147" s="2"/>
      <c r="FN147" s="2">
        <v>2761</v>
      </c>
      <c r="FO147" s="2">
        <v>1556</v>
      </c>
      <c r="FP147" s="2">
        <v>26701</v>
      </c>
      <c r="FQ147" s="2">
        <v>-68</v>
      </c>
      <c r="FR147" s="2">
        <v>-13456</v>
      </c>
      <c r="FS147" s="1052">
        <f t="shared" ref="FS147:FS169" si="377">FL147+FN147-FO147-FP147-FQ147-FR147</f>
        <v>0</v>
      </c>
      <c r="FT147" s="2">
        <f t="shared" ref="FT147:FT169" si="378">FW147+FX147-FY147+GD147+GE147-GF147</f>
        <v>62790</v>
      </c>
      <c r="FU147" s="511">
        <v>52932</v>
      </c>
      <c r="FV147" s="512">
        <f t="shared" ref="FV147:FV155" si="379">FU147/(FW147+GD147)</f>
        <v>0.86442172649181825</v>
      </c>
      <c r="FW147" s="2">
        <v>57301</v>
      </c>
      <c r="FX147" s="2">
        <v>1844</v>
      </c>
      <c r="FY147" s="2">
        <v>288</v>
      </c>
      <c r="FZ147" s="2">
        <v>59925</v>
      </c>
      <c r="GA147" s="2">
        <v>774</v>
      </c>
      <c r="GB147" s="2">
        <v>-1842</v>
      </c>
      <c r="GC147" s="2">
        <f t="shared" si="371"/>
        <v>0</v>
      </c>
      <c r="GD147" s="2">
        <v>3933</v>
      </c>
      <c r="GE147" s="2">
        <v>158</v>
      </c>
      <c r="GF147" s="2">
        <v>158</v>
      </c>
      <c r="GG147" s="2">
        <v>7599</v>
      </c>
      <c r="GH147" s="2">
        <v>160</v>
      </c>
      <c r="GI147" s="2">
        <v>-3826</v>
      </c>
      <c r="GJ147" s="2">
        <f t="shared" si="372"/>
        <v>0</v>
      </c>
      <c r="GK147" s="1060">
        <f t="shared" si="373"/>
        <v>6889</v>
      </c>
      <c r="GL147" s="1061">
        <v>9415</v>
      </c>
      <c r="GM147" s="1061">
        <v>2375</v>
      </c>
      <c r="GN147" s="1061">
        <v>4901</v>
      </c>
      <c r="GO147" s="1062">
        <v>10500</v>
      </c>
      <c r="GP147" s="1061">
        <v>8106</v>
      </c>
      <c r="GQ147" s="2">
        <v>8428</v>
      </c>
      <c r="GR147" s="2">
        <v>-866</v>
      </c>
      <c r="GS147" s="2">
        <v>-351</v>
      </c>
      <c r="GT147" s="2">
        <f t="shared" ref="GT147:GT169" si="380">GL147+GM147-GN147-GP147-GR147-GS147</f>
        <v>0</v>
      </c>
      <c r="GU147" s="2">
        <f t="shared" si="364"/>
        <v>-351</v>
      </c>
      <c r="GV147" s="615">
        <v>23668</v>
      </c>
      <c r="GW147" s="615">
        <v>18860</v>
      </c>
      <c r="GX147" s="615">
        <v>12012</v>
      </c>
      <c r="GY147" s="615">
        <f t="shared" si="363"/>
        <v>11656</v>
      </c>
      <c r="GZ147" s="2">
        <v>10248</v>
      </c>
      <c r="HA147" s="2">
        <v>10126</v>
      </c>
      <c r="HB147" s="2">
        <v>3278</v>
      </c>
      <c r="HC147" s="1052">
        <f t="shared" si="374"/>
        <v>-3156</v>
      </c>
      <c r="HD147" s="170">
        <f t="shared" si="347"/>
        <v>-1188</v>
      </c>
      <c r="HE147" s="2">
        <v>54540</v>
      </c>
      <c r="HF147" s="2">
        <v>55728</v>
      </c>
      <c r="HG147" s="170">
        <f t="shared" si="348"/>
        <v>-64</v>
      </c>
      <c r="HH147" s="2">
        <v>445</v>
      </c>
      <c r="HI147" s="2">
        <v>509</v>
      </c>
      <c r="HJ147" s="2">
        <f t="shared" si="340"/>
        <v>-3160</v>
      </c>
      <c r="HK147" s="2">
        <v>3168</v>
      </c>
      <c r="HL147" s="2"/>
      <c r="HM147" s="2">
        <f t="shared" si="247"/>
        <v>8</v>
      </c>
      <c r="HN147" s="2">
        <f t="shared" si="283"/>
        <v>102</v>
      </c>
      <c r="HO147" s="2">
        <f t="shared" si="341"/>
        <v>-133</v>
      </c>
      <c r="HP147" s="2">
        <v>474108</v>
      </c>
      <c r="HQ147" s="2">
        <v>473975</v>
      </c>
      <c r="HR147" s="2">
        <v>7138</v>
      </c>
      <c r="HS147" s="1052">
        <v>6903</v>
      </c>
      <c r="HT147" s="1002">
        <v>421.7</v>
      </c>
      <c r="HU147" s="1002">
        <v>54</v>
      </c>
      <c r="HV147" s="1002">
        <v>55.1</v>
      </c>
    </row>
    <row r="148" spans="1:230">
      <c r="A148" s="110">
        <f t="shared" si="349"/>
        <v>1989</v>
      </c>
      <c r="B148" s="176">
        <f t="shared" si="327"/>
        <v>451490</v>
      </c>
      <c r="C148" s="177">
        <f t="shared" si="317"/>
        <v>-6628</v>
      </c>
      <c r="D148" s="176">
        <f t="shared" si="342"/>
        <v>458118</v>
      </c>
      <c r="E148" s="154">
        <f t="shared" si="328"/>
        <v>525274</v>
      </c>
      <c r="F148" s="995">
        <f t="shared" si="329"/>
        <v>67156</v>
      </c>
      <c r="G148" s="531">
        <f t="shared" si="350"/>
        <v>451490</v>
      </c>
      <c r="H148" s="531">
        <f t="shared" si="351"/>
        <v>458118</v>
      </c>
      <c r="I148" s="531">
        <f t="shared" si="352"/>
        <v>525274</v>
      </c>
      <c r="J148" s="548">
        <f t="shared" si="353"/>
        <v>1</v>
      </c>
      <c r="K148" s="178">
        <f t="shared" si="325"/>
        <v>64255</v>
      </c>
      <c r="L148" s="2">
        <v>69926</v>
      </c>
      <c r="M148" s="2">
        <v>5671</v>
      </c>
      <c r="N148" s="2">
        <v>52646</v>
      </c>
      <c r="O148" s="170">
        <f t="shared" si="286"/>
        <v>11609</v>
      </c>
      <c r="P148" s="175">
        <f t="shared" si="365"/>
        <v>42</v>
      </c>
      <c r="Q148" s="175">
        <f t="shared" si="366"/>
        <v>10139</v>
      </c>
      <c r="R148" s="175">
        <f t="shared" si="287"/>
        <v>1428</v>
      </c>
      <c r="S148" s="532"/>
      <c r="T148" s="1008">
        <f t="shared" si="253"/>
        <v>13490.009640872102</v>
      </c>
      <c r="U148" s="1010">
        <v>6533</v>
      </c>
      <c r="V148" s="511">
        <f t="shared" si="288"/>
        <v>22462.0096408721</v>
      </c>
      <c r="W148" s="2">
        <v>15505</v>
      </c>
      <c r="X148" s="169">
        <f t="shared" si="254"/>
        <v>8972</v>
      </c>
      <c r="Y148" s="113">
        <f t="shared" si="255"/>
        <v>0.39942997725699741</v>
      </c>
      <c r="Z148" s="113">
        <f t="shared" si="330"/>
        <v>0.57865204772653978</v>
      </c>
      <c r="AA148" s="276">
        <f>X148/DataUK3!D148</f>
        <v>8.3484462045369315E-3</v>
      </c>
      <c r="AB148" s="1019">
        <f t="shared" si="331"/>
        <v>1.7080609358163548E-2</v>
      </c>
      <c r="AC148" s="2">
        <v>42817</v>
      </c>
      <c r="AD148" s="2">
        <v>10096</v>
      </c>
      <c r="AE148" s="2">
        <v>32721</v>
      </c>
      <c r="AF148" s="253">
        <f>AC148/DataUK3!$BE148</f>
        <v>0.13243285876447136</v>
      </c>
      <c r="AG148" s="253">
        <f>AD148/DataUK3!$BE148</f>
        <v>3.122689917757206E-2</v>
      </c>
      <c r="AH148" s="253">
        <f>AE148/DataUK3!$BE148</f>
        <v>0.10120595958689931</v>
      </c>
      <c r="AI148" s="1010">
        <f>AD148*DataUK3!BG148</f>
        <v>6957.009640872102</v>
      </c>
      <c r="AJ148" s="171">
        <f t="shared" si="375"/>
        <v>44609</v>
      </c>
      <c r="AK148" s="561"/>
      <c r="AL148" s="169">
        <f t="shared" si="354"/>
        <v>51028</v>
      </c>
      <c r="AM148" s="169"/>
      <c r="AN148" s="2">
        <v>25095</v>
      </c>
      <c r="AO148" s="1012">
        <v>31514</v>
      </c>
      <c r="AP148" s="2"/>
      <c r="AQ148" s="2"/>
      <c r="AR148" s="2"/>
      <c r="AS148" s="2"/>
      <c r="AT148" s="2"/>
      <c r="AU148" s="2"/>
      <c r="AV148" s="2"/>
      <c r="AW148" s="2"/>
      <c r="AX148" s="2"/>
      <c r="AY148" s="2"/>
      <c r="AZ148" s="2"/>
      <c r="BA148" s="2"/>
      <c r="BB148" s="2"/>
      <c r="BC148" s="2"/>
      <c r="BD148" s="2"/>
      <c r="BE148" s="2"/>
      <c r="BF148" s="2"/>
      <c r="BG148" s="2"/>
      <c r="BH148" s="2"/>
      <c r="BI148" s="273">
        <v>286133</v>
      </c>
      <c r="BJ148" s="2">
        <f t="shared" si="355"/>
        <v>286271</v>
      </c>
      <c r="BK148" s="2"/>
      <c r="BL148" s="2"/>
      <c r="BM148" s="1129">
        <v>19514</v>
      </c>
      <c r="BN148" s="2"/>
      <c r="BO148" s="262">
        <f t="shared" si="343"/>
        <v>5.5582626414760014E-2</v>
      </c>
      <c r="BP148" s="262">
        <f t="shared" si="332"/>
        <v>6.9799995570223039E-2</v>
      </c>
      <c r="BQ148" s="262">
        <f t="shared" si="344"/>
        <v>4.3221333805842879E-2</v>
      </c>
      <c r="BR148" s="262">
        <f t="shared" si="356"/>
        <v>6.8199054285943944E-2</v>
      </c>
      <c r="BS148" s="988">
        <f t="shared" si="367"/>
        <v>0.61921685600050769</v>
      </c>
      <c r="BT148" s="519">
        <f t="shared" si="368"/>
        <v>6419</v>
      </c>
      <c r="BU148" s="519"/>
      <c r="BV148" s="113">
        <f t="shared" si="333"/>
        <v>0.12579368190013326</v>
      </c>
      <c r="BW148" s="276">
        <f t="shared" si="357"/>
        <v>1.222028883972936E-2</v>
      </c>
      <c r="BX148" s="273">
        <v>15391</v>
      </c>
      <c r="BY148" s="2">
        <v>77</v>
      </c>
      <c r="BZ148" s="1012">
        <v>35</v>
      </c>
      <c r="CA148" s="1005">
        <f t="shared" si="345"/>
        <v>451490</v>
      </c>
      <c r="CB148" s="2"/>
      <c r="CC148" s="2"/>
      <c r="CD148" s="2"/>
      <c r="CE148" s="2"/>
      <c r="CF148" s="2">
        <v>525274</v>
      </c>
      <c r="CG148" s="2">
        <v>0</v>
      </c>
      <c r="CH148" s="2">
        <f t="shared" si="334"/>
        <v>0</v>
      </c>
      <c r="CI148" s="2">
        <v>67156</v>
      </c>
      <c r="CJ148" s="2"/>
      <c r="CK148" s="2"/>
      <c r="CL148" s="171">
        <f t="shared" si="358"/>
        <v>276346.99035912787</v>
      </c>
      <c r="CM148" s="169">
        <f t="shared" si="359"/>
        <v>321322.99035912787</v>
      </c>
      <c r="CN148" s="170">
        <f t="shared" si="268"/>
        <v>113982.9903591279</v>
      </c>
      <c r="CO148" s="170">
        <f t="shared" si="269"/>
        <v>120940</v>
      </c>
      <c r="CP148" s="170">
        <f t="shared" si="308"/>
        <v>207340</v>
      </c>
      <c r="CQ148" s="170">
        <f t="shared" si="309"/>
        <v>44976</v>
      </c>
      <c r="CR148" s="170">
        <v>7429</v>
      </c>
      <c r="CS148" s="113">
        <f t="shared" si="360"/>
        <v>8.5623883915822985E-2</v>
      </c>
      <c r="CT148" s="170">
        <f t="shared" si="346"/>
        <v>298102</v>
      </c>
      <c r="CU148" s="2">
        <v>109348</v>
      </c>
      <c r="CV148" s="991">
        <v>188754</v>
      </c>
      <c r="CW148" s="2">
        <v>42400</v>
      </c>
      <c r="CX148" s="2">
        <v>10399</v>
      </c>
      <c r="CY148" s="2">
        <v>1191</v>
      </c>
      <c r="CZ148" s="170">
        <f t="shared" si="272"/>
        <v>23220.9903591279</v>
      </c>
      <c r="DA148" s="170">
        <f t="shared" si="273"/>
        <v>30178</v>
      </c>
      <c r="DB148" s="170">
        <f t="shared" si="335"/>
        <v>4634.990359127898</v>
      </c>
      <c r="DC148" s="2">
        <v>11592</v>
      </c>
      <c r="DD148" s="2">
        <v>18586</v>
      </c>
      <c r="DE148" s="2">
        <v>2576</v>
      </c>
      <c r="DF148" s="2">
        <v>931</v>
      </c>
      <c r="DG148" s="1040">
        <v>0</v>
      </c>
      <c r="DH148" s="171">
        <f t="shared" si="318"/>
        <v>59417</v>
      </c>
      <c r="DI148" s="2">
        <f t="shared" si="320"/>
        <v>66206</v>
      </c>
      <c r="DJ148" s="2">
        <v>59417</v>
      </c>
      <c r="DK148" s="2">
        <v>6789</v>
      </c>
      <c r="DL148" s="113">
        <f t="shared" si="336"/>
        <v>0.13160202883784802</v>
      </c>
      <c r="DM148" s="113">
        <f t="shared" si="361"/>
        <v>0.20755507892870742</v>
      </c>
      <c r="DN148" s="113">
        <f t="shared" si="321"/>
        <v>0.58412308297286675</v>
      </c>
      <c r="DO148" s="2">
        <v>1428</v>
      </c>
      <c r="DP148" s="2">
        <v>0</v>
      </c>
      <c r="DQ148" s="273"/>
      <c r="DR148" s="2">
        <v>61308</v>
      </c>
      <c r="DS148" s="2">
        <v>40412</v>
      </c>
      <c r="DT148" s="169">
        <f t="shared" si="326"/>
        <v>101720</v>
      </c>
      <c r="DU148" s="2">
        <v>326258</v>
      </c>
      <c r="DV148" s="2"/>
      <c r="DW148" s="2">
        <v>116154</v>
      </c>
      <c r="DX148" s="2"/>
      <c r="DY148" s="2"/>
      <c r="DZ148" s="2"/>
      <c r="EA148" s="2"/>
      <c r="EB148" s="2"/>
      <c r="EC148" s="2"/>
      <c r="ED148" s="175">
        <v>6152</v>
      </c>
      <c r="EE148" s="2"/>
      <c r="EF148" s="175">
        <f t="shared" si="315"/>
        <v>11394</v>
      </c>
      <c r="EG148" s="2"/>
      <c r="EH148" s="2"/>
      <c r="EI148" s="2">
        <v>124153</v>
      </c>
      <c r="EJ148" s="2">
        <v>143011</v>
      </c>
      <c r="EK148" s="2"/>
      <c r="EL148" s="2"/>
      <c r="EM148" s="2"/>
      <c r="EN148" s="2"/>
      <c r="EO148" s="2"/>
      <c r="EP148" s="2"/>
      <c r="EQ148" s="2"/>
      <c r="ER148" s="2"/>
      <c r="ES148" s="2"/>
      <c r="ET148" s="2">
        <f t="shared" si="337"/>
        <v>525274</v>
      </c>
      <c r="EU148" s="2">
        <f t="shared" si="338"/>
        <v>525274</v>
      </c>
      <c r="EV148" s="262">
        <f t="shared" si="292"/>
        <v>1</v>
      </c>
      <c r="EW148" s="2">
        <v>525274</v>
      </c>
      <c r="EX148" s="1042">
        <v>0</v>
      </c>
      <c r="EY148" s="273">
        <f t="shared" si="339"/>
        <v>332674</v>
      </c>
      <c r="EZ148" s="2">
        <f t="shared" si="369"/>
        <v>191638</v>
      </c>
      <c r="FA148" s="2">
        <v>21077</v>
      </c>
      <c r="FB148" s="2">
        <v>66291</v>
      </c>
      <c r="FC148" s="2">
        <v>87312</v>
      </c>
      <c r="FD148" s="2">
        <v>40015</v>
      </c>
      <c r="FE148" s="1052">
        <v>61081</v>
      </c>
      <c r="FF148" s="273">
        <v>90621</v>
      </c>
      <c r="FG148" s="2">
        <v>23465</v>
      </c>
      <c r="FH148" s="170">
        <f t="shared" si="370"/>
        <v>90621</v>
      </c>
      <c r="FI148" s="2">
        <v>-25533</v>
      </c>
      <c r="FJ148" s="2">
        <f t="shared" si="362"/>
        <v>-25533</v>
      </c>
      <c r="FK148" s="273">
        <f t="shared" si="376"/>
        <v>21481</v>
      </c>
      <c r="FL148" s="2">
        <v>19819</v>
      </c>
      <c r="FM148" s="2"/>
      <c r="FN148" s="2">
        <v>3372</v>
      </c>
      <c r="FO148" s="2">
        <v>1710</v>
      </c>
      <c r="FP148" s="2">
        <v>26689</v>
      </c>
      <c r="FQ148" s="2">
        <v>-181</v>
      </c>
      <c r="FR148" s="2">
        <v>-5027</v>
      </c>
      <c r="FS148" s="1052">
        <f t="shared" si="377"/>
        <v>0</v>
      </c>
      <c r="FT148" s="2">
        <f t="shared" si="378"/>
        <v>57688</v>
      </c>
      <c r="FU148" s="511">
        <v>48525</v>
      </c>
      <c r="FV148" s="512">
        <f t="shared" si="379"/>
        <v>0.86338807536964224</v>
      </c>
      <c r="FW148" s="2">
        <v>51694</v>
      </c>
      <c r="FX148" s="2">
        <v>1815</v>
      </c>
      <c r="FY148" s="2">
        <v>330</v>
      </c>
      <c r="FZ148" s="2">
        <v>68469</v>
      </c>
      <c r="GA148" s="2">
        <v>858</v>
      </c>
      <c r="GB148" s="2">
        <v>-16148</v>
      </c>
      <c r="GC148" s="2">
        <f t="shared" si="371"/>
        <v>0</v>
      </c>
      <c r="GD148" s="2">
        <v>4509</v>
      </c>
      <c r="GE148" s="2">
        <v>204</v>
      </c>
      <c r="GF148" s="2">
        <v>204</v>
      </c>
      <c r="GG148" s="2">
        <v>9602</v>
      </c>
      <c r="GH148" s="2">
        <v>165</v>
      </c>
      <c r="GI148" s="2">
        <v>-5258</v>
      </c>
      <c r="GJ148" s="2">
        <f t="shared" si="372"/>
        <v>0</v>
      </c>
      <c r="GK148" s="273">
        <f t="shared" si="373"/>
        <v>11722</v>
      </c>
      <c r="GL148" s="2">
        <v>14599</v>
      </c>
      <c r="GM148" s="2">
        <v>3640</v>
      </c>
      <c r="GN148" s="2">
        <v>6517</v>
      </c>
      <c r="GO148" s="511">
        <v>15781</v>
      </c>
      <c r="GP148" s="2">
        <v>11394</v>
      </c>
      <c r="GQ148" s="2">
        <v>11557</v>
      </c>
      <c r="GR148" s="2">
        <v>-842</v>
      </c>
      <c r="GS148" s="2">
        <v>1170</v>
      </c>
      <c r="GT148" s="2">
        <f t="shared" si="380"/>
        <v>0</v>
      </c>
      <c r="GU148" s="2">
        <f t="shared" si="364"/>
        <v>1170</v>
      </c>
      <c r="GV148" s="615">
        <v>25407</v>
      </c>
      <c r="GW148" s="615">
        <v>19979</v>
      </c>
      <c r="GX148" s="615">
        <v>13666</v>
      </c>
      <c r="GY148" s="615">
        <f t="shared" si="363"/>
        <v>11741</v>
      </c>
      <c r="GZ148" s="2">
        <v>15763</v>
      </c>
      <c r="HA148" s="2">
        <v>15662</v>
      </c>
      <c r="HB148" s="2">
        <v>3699</v>
      </c>
      <c r="HC148" s="1052">
        <f t="shared" si="374"/>
        <v>-3598</v>
      </c>
      <c r="HD148" s="170">
        <f t="shared" si="347"/>
        <v>-2309</v>
      </c>
      <c r="HE148" s="2">
        <v>71536</v>
      </c>
      <c r="HF148" s="2">
        <v>73845</v>
      </c>
      <c r="HG148" s="170">
        <f t="shared" si="348"/>
        <v>-138</v>
      </c>
      <c r="HH148" s="2">
        <v>476</v>
      </c>
      <c r="HI148" s="2">
        <v>614</v>
      </c>
      <c r="HJ148" s="2">
        <f t="shared" si="340"/>
        <v>-4181</v>
      </c>
      <c r="HK148" s="2">
        <v>4202</v>
      </c>
      <c r="HL148" s="2"/>
      <c r="HM148" s="2">
        <f t="shared" si="247"/>
        <v>21</v>
      </c>
      <c r="HN148" s="2">
        <f t="shared" si="283"/>
        <v>223</v>
      </c>
      <c r="HO148" s="2">
        <f t="shared" si="341"/>
        <v>-47</v>
      </c>
      <c r="HP148" s="2">
        <v>518660</v>
      </c>
      <c r="HQ148" s="2">
        <v>518613</v>
      </c>
      <c r="HR148" s="2">
        <v>9031</v>
      </c>
      <c r="HS148" s="1052">
        <v>8761</v>
      </c>
      <c r="HT148" s="1002">
        <v>454.5</v>
      </c>
      <c r="HU148" s="1002">
        <v>58</v>
      </c>
      <c r="HV148" s="1002">
        <v>58.5</v>
      </c>
    </row>
    <row r="149" spans="1:230">
      <c r="A149" s="110">
        <f t="shared" si="349"/>
        <v>1990</v>
      </c>
      <c r="B149" s="176">
        <f t="shared" si="327"/>
        <v>485815</v>
      </c>
      <c r="C149" s="177">
        <f t="shared" si="317"/>
        <v>-9843</v>
      </c>
      <c r="D149" s="176">
        <f t="shared" si="342"/>
        <v>495658</v>
      </c>
      <c r="E149" s="154">
        <f t="shared" si="328"/>
        <v>570283</v>
      </c>
      <c r="F149" s="995">
        <f t="shared" si="329"/>
        <v>74625</v>
      </c>
      <c r="G149" s="531">
        <f t="shared" si="350"/>
        <v>485815</v>
      </c>
      <c r="H149" s="531">
        <f t="shared" si="351"/>
        <v>495658</v>
      </c>
      <c r="I149" s="531">
        <f t="shared" si="352"/>
        <v>570283</v>
      </c>
      <c r="J149" s="548">
        <f t="shared" si="353"/>
        <v>1</v>
      </c>
      <c r="K149" s="178">
        <f t="shared" si="325"/>
        <v>67972</v>
      </c>
      <c r="L149" s="2">
        <v>74248</v>
      </c>
      <c r="M149" s="2">
        <v>6276</v>
      </c>
      <c r="N149" s="2">
        <v>55862</v>
      </c>
      <c r="O149" s="170">
        <f t="shared" si="286"/>
        <v>12110</v>
      </c>
      <c r="P149" s="175">
        <f t="shared" si="365"/>
        <v>39</v>
      </c>
      <c r="Q149" s="175">
        <f t="shared" si="366"/>
        <v>10468</v>
      </c>
      <c r="R149" s="175">
        <f t="shared" si="287"/>
        <v>1603</v>
      </c>
      <c r="S149" s="532"/>
      <c r="T149" s="1008">
        <f t="shared" si="253"/>
        <v>16219.398051771521</v>
      </c>
      <c r="U149" s="1010">
        <v>8322</v>
      </c>
      <c r="V149" s="511">
        <f t="shared" si="288"/>
        <v>26492.398051771521</v>
      </c>
      <c r="W149" s="2">
        <v>18595</v>
      </c>
      <c r="X149" s="169">
        <f t="shared" si="254"/>
        <v>10273</v>
      </c>
      <c r="Y149" s="113">
        <f t="shared" si="255"/>
        <v>0.38777161583955039</v>
      </c>
      <c r="Z149" s="113">
        <f t="shared" si="330"/>
        <v>0.55246033880075285</v>
      </c>
      <c r="AA149" s="276">
        <f>X149/DataUK3!D149</f>
        <v>8.8491839937703404E-3</v>
      </c>
      <c r="AB149" s="1019">
        <f t="shared" si="331"/>
        <v>1.8013863292435511E-2</v>
      </c>
      <c r="AC149" s="2">
        <v>52948</v>
      </c>
      <c r="AD149" s="2">
        <v>11431</v>
      </c>
      <c r="AE149" s="2">
        <v>41517</v>
      </c>
      <c r="AF149" s="253">
        <f>AC149/DataUK3!$BE149</f>
        <v>0.14251837735554496</v>
      </c>
      <c r="AG149" s="253">
        <f>AD149/DataUK3!$BE149</f>
        <v>3.0768443974299963E-2</v>
      </c>
      <c r="AH149" s="253">
        <f>AE149/DataUK3!$BE149</f>
        <v>0.111749933381245</v>
      </c>
      <c r="AI149" s="1010">
        <f>AD149*DataUK3!BG149</f>
        <v>7897.3980517715199</v>
      </c>
      <c r="AJ149" s="171">
        <f t="shared" si="375"/>
        <v>51846</v>
      </c>
      <c r="AK149" s="561"/>
      <c r="AL149" s="169">
        <f t="shared" si="354"/>
        <v>58509</v>
      </c>
      <c r="AM149" s="169"/>
      <c r="AN149" s="2">
        <v>29416</v>
      </c>
      <c r="AO149" s="1012">
        <v>36079</v>
      </c>
      <c r="AP149" s="2"/>
      <c r="AQ149" s="2"/>
      <c r="AR149" s="2"/>
      <c r="AS149" s="2"/>
      <c r="AT149" s="2"/>
      <c r="AU149" s="2"/>
      <c r="AV149" s="2"/>
      <c r="AW149" s="2"/>
      <c r="AX149" s="2"/>
      <c r="AY149" s="2"/>
      <c r="AZ149" s="2"/>
      <c r="BA149" s="2"/>
      <c r="BB149" s="2"/>
      <c r="BC149" s="2"/>
      <c r="BD149" s="2"/>
      <c r="BE149" s="2"/>
      <c r="BF149" s="2"/>
      <c r="BG149" s="2"/>
      <c r="BH149" s="2"/>
      <c r="BI149" s="273">
        <v>315992</v>
      </c>
      <c r="BJ149" s="2">
        <f t="shared" si="355"/>
        <v>316102</v>
      </c>
      <c r="BK149" s="2"/>
      <c r="BL149" s="2"/>
      <c r="BM149" s="1129">
        <v>22430</v>
      </c>
      <c r="BN149" s="2"/>
      <c r="BO149" s="262">
        <f t="shared" si="343"/>
        <v>6.054979776252277E-2</v>
      </c>
      <c r="BP149" s="262">
        <f t="shared" si="332"/>
        <v>7.4264895073227463E-2</v>
      </c>
      <c r="BQ149" s="262">
        <f t="shared" si="344"/>
        <v>4.6169838312938055E-2</v>
      </c>
      <c r="BR149" s="262">
        <f t="shared" si="356"/>
        <v>7.0982809691384596E-2</v>
      </c>
      <c r="BS149" s="988">
        <f t="shared" si="367"/>
        <v>0.62169128856121292</v>
      </c>
      <c r="BT149" s="519">
        <f t="shared" si="368"/>
        <v>6663</v>
      </c>
      <c r="BU149" s="519"/>
      <c r="BV149" s="113">
        <f t="shared" si="333"/>
        <v>0.11387991591037276</v>
      </c>
      <c r="BW149" s="276">
        <f t="shared" si="357"/>
        <v>1.168367284313227E-2</v>
      </c>
      <c r="BX149" s="273">
        <v>16936</v>
      </c>
      <c r="BY149" s="2">
        <v>82</v>
      </c>
      <c r="BZ149" s="1012">
        <v>43</v>
      </c>
      <c r="CA149" s="1005">
        <f t="shared" si="345"/>
        <v>485815</v>
      </c>
      <c r="CB149" s="2"/>
      <c r="CC149" s="2"/>
      <c r="CD149" s="2"/>
      <c r="CE149" s="2"/>
      <c r="CF149" s="2">
        <v>570283</v>
      </c>
      <c r="CG149" s="2">
        <v>0</v>
      </c>
      <c r="CH149" s="2">
        <f t="shared" si="334"/>
        <v>0</v>
      </c>
      <c r="CI149" s="2">
        <v>74625</v>
      </c>
      <c r="CJ149" s="2"/>
      <c r="CK149" s="2"/>
      <c r="CL149" s="171">
        <f t="shared" si="358"/>
        <v>294911.60194822849</v>
      </c>
      <c r="CM149" s="169">
        <f t="shared" si="359"/>
        <v>345208.60194822849</v>
      </c>
      <c r="CN149" s="170">
        <f t="shared" si="268"/>
        <v>116245.60194822848</v>
      </c>
      <c r="CO149" s="170">
        <f t="shared" si="269"/>
        <v>124143</v>
      </c>
      <c r="CP149" s="170">
        <f t="shared" si="308"/>
        <v>228963</v>
      </c>
      <c r="CQ149" s="170">
        <f t="shared" si="309"/>
        <v>50297</v>
      </c>
      <c r="CR149" s="170">
        <v>6916</v>
      </c>
      <c r="CS149" s="113">
        <f t="shared" si="360"/>
        <v>8.8196562057785352E-2</v>
      </c>
      <c r="CT149" s="170">
        <f t="shared" si="346"/>
        <v>318456</v>
      </c>
      <c r="CU149" s="2">
        <v>110297</v>
      </c>
      <c r="CV149" s="991">
        <v>208159</v>
      </c>
      <c r="CW149" s="2">
        <v>46926</v>
      </c>
      <c r="CX149" s="2">
        <v>10734</v>
      </c>
      <c r="CY149" s="2">
        <v>1261</v>
      </c>
      <c r="CZ149" s="170">
        <f t="shared" si="272"/>
        <v>26752.601948228479</v>
      </c>
      <c r="DA149" s="170">
        <f t="shared" si="273"/>
        <v>34650</v>
      </c>
      <c r="DB149" s="170">
        <f t="shared" si="335"/>
        <v>5948.6019482284801</v>
      </c>
      <c r="DC149" s="2">
        <v>13846</v>
      </c>
      <c r="DD149" s="2">
        <v>20804</v>
      </c>
      <c r="DE149" s="2">
        <v>3371</v>
      </c>
      <c r="DF149" s="2">
        <v>995</v>
      </c>
      <c r="DG149" s="1040">
        <v>0</v>
      </c>
      <c r="DH149" s="171">
        <f t="shared" si="318"/>
        <v>64709</v>
      </c>
      <c r="DI149" s="2">
        <f t="shared" si="320"/>
        <v>72101</v>
      </c>
      <c r="DJ149" s="2">
        <v>64709</v>
      </c>
      <c r="DK149" s="2">
        <v>7392</v>
      </c>
      <c r="DL149" s="113">
        <f t="shared" si="336"/>
        <v>0.13319679301791834</v>
      </c>
      <c r="DM149" s="113">
        <f t="shared" si="361"/>
        <v>0.20470923942271799</v>
      </c>
      <c r="DN149" s="113">
        <f t="shared" si="321"/>
        <v>0.57527804201523791</v>
      </c>
      <c r="DO149" s="2">
        <v>1603</v>
      </c>
      <c r="DP149" s="2">
        <v>0</v>
      </c>
      <c r="DQ149" s="273"/>
      <c r="DR149" s="2">
        <v>67774</v>
      </c>
      <c r="DS149" s="2">
        <v>44709</v>
      </c>
      <c r="DT149" s="169">
        <f t="shared" si="326"/>
        <v>112483</v>
      </c>
      <c r="DU149" s="2">
        <v>354764</v>
      </c>
      <c r="DV149" s="2"/>
      <c r="DW149" s="2">
        <v>115100</v>
      </c>
      <c r="DX149" s="2"/>
      <c r="DY149" s="2"/>
      <c r="DZ149" s="2"/>
      <c r="EA149" s="2"/>
      <c r="EB149" s="2"/>
      <c r="EC149" s="2"/>
      <c r="ED149" s="175">
        <v>5499</v>
      </c>
      <c r="EE149" s="2"/>
      <c r="EF149" s="175">
        <f t="shared" si="315"/>
        <v>14691</v>
      </c>
      <c r="EG149" s="2"/>
      <c r="EH149" s="2"/>
      <c r="EI149" s="2">
        <v>136583</v>
      </c>
      <c r="EJ149" s="2">
        <v>148647</v>
      </c>
      <c r="EK149" s="2"/>
      <c r="EL149" s="2"/>
      <c r="EM149" s="2"/>
      <c r="EN149" s="2"/>
      <c r="EO149" s="2"/>
      <c r="EP149" s="2"/>
      <c r="EQ149" s="2"/>
      <c r="ER149" s="2"/>
      <c r="ES149" s="2"/>
      <c r="ET149" s="2">
        <f t="shared" si="337"/>
        <v>570283</v>
      </c>
      <c r="EU149" s="2">
        <f t="shared" si="338"/>
        <v>570283</v>
      </c>
      <c r="EV149" s="262">
        <f t="shared" si="292"/>
        <v>1</v>
      </c>
      <c r="EW149" s="2">
        <v>570283</v>
      </c>
      <c r="EX149" s="1042">
        <v>0</v>
      </c>
      <c r="EY149" s="273">
        <f t="shared" si="339"/>
        <v>359058</v>
      </c>
      <c r="EZ149" s="2">
        <f t="shared" si="369"/>
        <v>205528</v>
      </c>
      <c r="FA149" s="2">
        <v>20547</v>
      </c>
      <c r="FB149" s="2">
        <v>75297</v>
      </c>
      <c r="FC149" s="2">
        <v>95759</v>
      </c>
      <c r="FD149" s="2">
        <v>41712</v>
      </c>
      <c r="FE149" s="1052">
        <v>66960</v>
      </c>
      <c r="FF149" s="273">
        <v>93538</v>
      </c>
      <c r="FG149" s="2">
        <v>18913</v>
      </c>
      <c r="FH149" s="170">
        <f t="shared" si="370"/>
        <v>93538</v>
      </c>
      <c r="FI149" s="2">
        <v>-21562</v>
      </c>
      <c r="FJ149" s="2">
        <f t="shared" si="362"/>
        <v>-21562</v>
      </c>
      <c r="FK149" s="273">
        <f t="shared" si="376"/>
        <v>33583</v>
      </c>
      <c r="FL149" s="2">
        <v>31172</v>
      </c>
      <c r="FM149" s="2"/>
      <c r="FN149" s="2">
        <v>4301</v>
      </c>
      <c r="FO149" s="2">
        <v>1890</v>
      </c>
      <c r="FP149" s="2">
        <v>24085</v>
      </c>
      <c r="FQ149" s="2">
        <v>148</v>
      </c>
      <c r="FR149" s="2">
        <v>9350</v>
      </c>
      <c r="FS149" s="1052">
        <f t="shared" si="377"/>
        <v>0</v>
      </c>
      <c r="FT149" s="2">
        <f t="shared" si="378"/>
        <v>57976</v>
      </c>
      <c r="FU149" s="511">
        <v>45084</v>
      </c>
      <c r="FV149" s="512">
        <f t="shared" si="379"/>
        <v>0.88368811007879577</v>
      </c>
      <c r="FW149" s="2">
        <v>48360</v>
      </c>
      <c r="FX149" s="2">
        <v>7283</v>
      </c>
      <c r="FY149" s="2">
        <v>325</v>
      </c>
      <c r="FZ149" s="2">
        <v>67866</v>
      </c>
      <c r="GA149" s="2">
        <v>391</v>
      </c>
      <c r="GB149" s="2">
        <v>-12939</v>
      </c>
      <c r="GC149" s="2">
        <f t="shared" si="371"/>
        <v>0</v>
      </c>
      <c r="GD149" s="2">
        <v>2658</v>
      </c>
      <c r="GE149" s="2">
        <v>259</v>
      </c>
      <c r="GF149" s="2">
        <v>259</v>
      </c>
      <c r="GG149" s="2">
        <v>8458</v>
      </c>
      <c r="GH149" s="2">
        <v>66</v>
      </c>
      <c r="GI149" s="2">
        <v>-5866</v>
      </c>
      <c r="GJ149" s="2">
        <f t="shared" si="372"/>
        <v>0</v>
      </c>
      <c r="GK149" s="273">
        <f t="shared" si="373"/>
        <v>2476</v>
      </c>
      <c r="GL149" s="2">
        <v>11348</v>
      </c>
      <c r="GM149" s="2">
        <v>3422</v>
      </c>
      <c r="GN149" s="2">
        <v>12294</v>
      </c>
      <c r="GO149" s="511">
        <v>12669</v>
      </c>
      <c r="GP149" s="2">
        <v>14691</v>
      </c>
      <c r="GQ149" s="2">
        <v>14535</v>
      </c>
      <c r="GR149" s="2">
        <v>-605</v>
      </c>
      <c r="GS149" s="2">
        <v>-11610</v>
      </c>
      <c r="GT149" s="2">
        <f t="shared" si="380"/>
        <v>0</v>
      </c>
      <c r="GU149" s="2">
        <f t="shared" si="364"/>
        <v>-11610</v>
      </c>
      <c r="GV149" s="615">
        <v>25638</v>
      </c>
      <c r="GW149" s="615">
        <v>20005</v>
      </c>
      <c r="GX149" s="615">
        <v>13827</v>
      </c>
      <c r="GY149" s="615">
        <f t="shared" si="363"/>
        <v>11811</v>
      </c>
      <c r="GZ149" s="2">
        <v>8926</v>
      </c>
      <c r="HA149" s="2">
        <v>8974</v>
      </c>
      <c r="HB149" s="2">
        <v>4027</v>
      </c>
      <c r="HC149" s="1052">
        <f t="shared" si="374"/>
        <v>-4075</v>
      </c>
      <c r="HD149" s="170">
        <f t="shared" si="347"/>
        <v>-4586</v>
      </c>
      <c r="HE149" s="2">
        <v>76353</v>
      </c>
      <c r="HF149" s="2">
        <v>80939</v>
      </c>
      <c r="HG149" s="170">
        <f t="shared" si="348"/>
        <v>-110</v>
      </c>
      <c r="HH149" s="2">
        <v>543</v>
      </c>
      <c r="HI149" s="2">
        <v>653</v>
      </c>
      <c r="HJ149" s="2">
        <f t="shared" si="340"/>
        <v>-5147</v>
      </c>
      <c r="HK149" s="2">
        <v>5181</v>
      </c>
      <c r="HL149" s="2"/>
      <c r="HM149" s="2">
        <f t="shared" si="247"/>
        <v>34</v>
      </c>
      <c r="HN149" s="2">
        <f t="shared" si="283"/>
        <v>842</v>
      </c>
      <c r="HO149" s="2">
        <f t="shared" si="341"/>
        <v>345</v>
      </c>
      <c r="HP149" s="2">
        <v>560449</v>
      </c>
      <c r="HQ149" s="2">
        <v>560794</v>
      </c>
      <c r="HR149" s="2">
        <v>15265</v>
      </c>
      <c r="HS149" s="1052">
        <v>14768</v>
      </c>
      <c r="HT149" s="1002">
        <v>497.5</v>
      </c>
      <c r="HU149" s="1002">
        <v>62.4</v>
      </c>
      <c r="HV149" s="1002">
        <v>63</v>
      </c>
    </row>
    <row r="150" spans="1:230">
      <c r="A150" s="110">
        <f t="shared" si="349"/>
        <v>1991</v>
      </c>
      <c r="B150" s="176">
        <f t="shared" si="327"/>
        <v>508980</v>
      </c>
      <c r="C150" s="177">
        <f t="shared" si="317"/>
        <v>-9223</v>
      </c>
      <c r="D150" s="176">
        <f t="shared" si="342"/>
        <v>518203</v>
      </c>
      <c r="E150" s="154">
        <f t="shared" si="328"/>
        <v>598664</v>
      </c>
      <c r="F150" s="995">
        <f t="shared" si="329"/>
        <v>80461</v>
      </c>
      <c r="G150" s="531">
        <f t="shared" si="350"/>
        <v>508980</v>
      </c>
      <c r="H150" s="531">
        <f t="shared" si="351"/>
        <v>518203</v>
      </c>
      <c r="I150" s="531">
        <f t="shared" si="352"/>
        <v>598664</v>
      </c>
      <c r="J150" s="548">
        <f t="shared" si="353"/>
        <v>1</v>
      </c>
      <c r="K150" s="178">
        <f t="shared" si="325"/>
        <v>75934</v>
      </c>
      <c r="L150" s="2">
        <v>82272</v>
      </c>
      <c r="M150" s="2">
        <v>6338</v>
      </c>
      <c r="N150" s="2">
        <v>62272</v>
      </c>
      <c r="O150" s="170">
        <f t="shared" si="286"/>
        <v>13662</v>
      </c>
      <c r="P150" s="175">
        <f t="shared" si="365"/>
        <v>30</v>
      </c>
      <c r="Q150" s="175">
        <f t="shared" si="366"/>
        <v>11862</v>
      </c>
      <c r="R150" s="175">
        <f t="shared" si="287"/>
        <v>1770</v>
      </c>
      <c r="S150" s="532"/>
      <c r="T150" s="1008">
        <f t="shared" si="253"/>
        <v>18899.949801362836</v>
      </c>
      <c r="U150" s="1010">
        <v>11304</v>
      </c>
      <c r="V150" s="511">
        <f t="shared" si="288"/>
        <v>29759.949801362836</v>
      </c>
      <c r="W150" s="2">
        <v>22164</v>
      </c>
      <c r="X150" s="169">
        <f t="shared" si="254"/>
        <v>10860</v>
      </c>
      <c r="Y150" s="113">
        <f t="shared" si="255"/>
        <v>0.36491997037920654</v>
      </c>
      <c r="Z150" s="113">
        <f t="shared" si="330"/>
        <v>0.48998375744450462</v>
      </c>
      <c r="AA150" s="276">
        <f>X150/DataUK3!D150</f>
        <v>9.4849563875416924E-3</v>
      </c>
      <c r="AB150" s="1019">
        <f t="shared" si="331"/>
        <v>1.8140392607539454E-2</v>
      </c>
      <c r="AC150" s="2">
        <v>49458</v>
      </c>
      <c r="AD150" s="2">
        <v>10824</v>
      </c>
      <c r="AE150" s="2">
        <v>38634</v>
      </c>
      <c r="AF150" s="253">
        <f>AC150/DataUK3!$BE150</f>
        <v>0.11829255750432315</v>
      </c>
      <c r="AG150" s="253">
        <f>AD150/DataUK3!$BE150</f>
        <v>2.5888605330316505E-2</v>
      </c>
      <c r="AH150" s="253">
        <f>AE150/DataUK3!$BE150</f>
        <v>9.240395217400664E-2</v>
      </c>
      <c r="AI150" s="1010">
        <f>AD150*DataUK3!BG150</f>
        <v>7595.9498013628354</v>
      </c>
      <c r="AJ150" s="171">
        <f t="shared" si="375"/>
        <v>53874</v>
      </c>
      <c r="AK150" s="561"/>
      <c r="AL150" s="169">
        <f t="shared" si="354"/>
        <v>60764</v>
      </c>
      <c r="AM150" s="169"/>
      <c r="AN150" s="2">
        <v>28885</v>
      </c>
      <c r="AO150" s="1012">
        <v>35775</v>
      </c>
      <c r="AP150" s="2"/>
      <c r="AQ150" s="2"/>
      <c r="AR150" s="2"/>
      <c r="AS150" s="2"/>
      <c r="AT150" s="2"/>
      <c r="AU150" s="2"/>
      <c r="AV150" s="2"/>
      <c r="AW150" s="2"/>
      <c r="AX150" s="2"/>
      <c r="AY150" s="2"/>
      <c r="AZ150" s="2"/>
      <c r="BA150" s="2"/>
      <c r="BB150" s="2"/>
      <c r="BC150" s="2"/>
      <c r="BD150" s="2"/>
      <c r="BE150" s="2"/>
      <c r="BF150" s="2"/>
      <c r="BG150" s="2"/>
      <c r="BH150" s="2"/>
      <c r="BI150" s="273">
        <v>335641</v>
      </c>
      <c r="BJ150" s="2">
        <f t="shared" si="355"/>
        <v>335704</v>
      </c>
      <c r="BK150" s="2"/>
      <c r="BL150" s="2"/>
      <c r="BM150" s="1129">
        <v>24989</v>
      </c>
      <c r="BN150" s="2"/>
      <c r="BO150" s="262">
        <f t="shared" si="343"/>
        <v>5.6750756414790368E-2</v>
      </c>
      <c r="BP150" s="262">
        <f t="shared" si="332"/>
        <v>7.0287634091712833E-2</v>
      </c>
      <c r="BQ150" s="262">
        <f t="shared" si="344"/>
        <v>4.9096231679044366E-2</v>
      </c>
      <c r="BR150" s="262">
        <f t="shared" si="356"/>
        <v>7.4451571768645669E-2</v>
      </c>
      <c r="BS150" s="988">
        <f t="shared" si="367"/>
        <v>0.69850454227812719</v>
      </c>
      <c r="BT150" s="519">
        <f t="shared" si="368"/>
        <v>6890</v>
      </c>
      <c r="BU150" s="519"/>
      <c r="BV150" s="113">
        <f t="shared" si="333"/>
        <v>0.11338950694490159</v>
      </c>
      <c r="BW150" s="276">
        <f t="shared" si="357"/>
        <v>1.1508959950823834E-2</v>
      </c>
      <c r="BX150" s="273">
        <v>17750</v>
      </c>
      <c r="BY150" s="2">
        <v>84</v>
      </c>
      <c r="BZ150" s="1012">
        <v>54</v>
      </c>
      <c r="CA150" s="1005">
        <f t="shared" si="345"/>
        <v>508980</v>
      </c>
      <c r="CB150" s="2"/>
      <c r="CC150" s="2"/>
      <c r="CD150" s="2"/>
      <c r="CE150" s="2"/>
      <c r="CF150" s="2">
        <v>598664</v>
      </c>
      <c r="CG150" s="2">
        <v>0</v>
      </c>
      <c r="CH150" s="2">
        <f t="shared" si="334"/>
        <v>0</v>
      </c>
      <c r="CI150" s="2">
        <v>80461</v>
      </c>
      <c r="CJ150" s="2"/>
      <c r="CK150" s="2"/>
      <c r="CL150" s="171">
        <f t="shared" si="358"/>
        <v>299095.05019863718</v>
      </c>
      <c r="CM150" s="169">
        <f t="shared" si="359"/>
        <v>354231.05019863718</v>
      </c>
      <c r="CN150" s="170">
        <f t="shared" si="268"/>
        <v>113916.05019863717</v>
      </c>
      <c r="CO150" s="170">
        <f t="shared" si="269"/>
        <v>121512</v>
      </c>
      <c r="CP150" s="170">
        <f t="shared" si="308"/>
        <v>240315</v>
      </c>
      <c r="CQ150" s="170">
        <f t="shared" si="309"/>
        <v>55136</v>
      </c>
      <c r="CR150" s="170">
        <v>5256</v>
      </c>
      <c r="CS150" s="113">
        <f t="shared" si="360"/>
        <v>9.2098405783544696E-2</v>
      </c>
      <c r="CT150" s="170">
        <f t="shared" si="346"/>
        <v>326470</v>
      </c>
      <c r="CU150" s="2">
        <v>109073</v>
      </c>
      <c r="CV150" s="991">
        <v>217397</v>
      </c>
      <c r="CW150" s="2">
        <v>51080</v>
      </c>
      <c r="CX150" s="2">
        <v>11975</v>
      </c>
      <c r="CY150" s="2">
        <v>1175</v>
      </c>
      <c r="CZ150" s="170">
        <f t="shared" si="272"/>
        <v>27761.050198637164</v>
      </c>
      <c r="DA150" s="170">
        <f t="shared" si="273"/>
        <v>35357</v>
      </c>
      <c r="DB150" s="170">
        <f t="shared" si="335"/>
        <v>4843.0501986371646</v>
      </c>
      <c r="DC150" s="2">
        <v>12439</v>
      </c>
      <c r="DD150" s="2">
        <v>22918</v>
      </c>
      <c r="DE150" s="2">
        <v>4056</v>
      </c>
      <c r="DF150" s="2">
        <v>1062</v>
      </c>
      <c r="DG150" s="1040">
        <v>0</v>
      </c>
      <c r="DH150" s="171">
        <f t="shared" si="318"/>
        <v>70400</v>
      </c>
      <c r="DI150" s="2">
        <f t="shared" si="320"/>
        <v>77975</v>
      </c>
      <c r="DJ150" s="2">
        <v>70400</v>
      </c>
      <c r="DK150" s="2">
        <v>7575</v>
      </c>
      <c r="DL150" s="113">
        <f t="shared" si="336"/>
        <v>0.13831584738103658</v>
      </c>
      <c r="DM150" s="113">
        <f t="shared" si="361"/>
        <v>0.20970855277268069</v>
      </c>
      <c r="DN150" s="113">
        <f t="shared" si="321"/>
        <v>0.56847086183089612</v>
      </c>
      <c r="DO150" s="2">
        <v>1770</v>
      </c>
      <c r="DP150" s="2">
        <v>0</v>
      </c>
      <c r="DQ150" s="273"/>
      <c r="DR150" s="2">
        <v>74556</v>
      </c>
      <c r="DS150" s="2">
        <v>49285</v>
      </c>
      <c r="DT150" s="169">
        <f t="shared" si="326"/>
        <v>123841</v>
      </c>
      <c r="DU150" s="2">
        <v>375920</v>
      </c>
      <c r="DV150" s="2"/>
      <c r="DW150" s="2">
        <v>102814</v>
      </c>
      <c r="DX150" s="2"/>
      <c r="DY150" s="2"/>
      <c r="DZ150" s="2"/>
      <c r="EA150" s="2"/>
      <c r="EB150" s="2"/>
      <c r="EC150" s="2"/>
      <c r="ED150" s="175">
        <v>4309</v>
      </c>
      <c r="EE150" s="2"/>
      <c r="EF150" s="175">
        <f t="shared" si="315"/>
        <v>14333</v>
      </c>
      <c r="EG150" s="2"/>
      <c r="EH150" s="2"/>
      <c r="EI150" s="2">
        <v>138662</v>
      </c>
      <c r="EJ150" s="2">
        <v>142573</v>
      </c>
      <c r="EK150" s="2"/>
      <c r="EL150" s="2"/>
      <c r="EM150" s="2"/>
      <c r="EN150" s="2"/>
      <c r="EO150" s="2"/>
      <c r="EP150" s="2"/>
      <c r="EQ150" s="2"/>
      <c r="ER150" s="2"/>
      <c r="ES150" s="2"/>
      <c r="ET150" s="2">
        <f t="shared" si="337"/>
        <v>598664</v>
      </c>
      <c r="EU150" s="2">
        <f t="shared" si="338"/>
        <v>598664</v>
      </c>
      <c r="EV150" s="262">
        <f t="shared" si="292"/>
        <v>1</v>
      </c>
      <c r="EW150" s="2">
        <v>598664</v>
      </c>
      <c r="EX150" s="1042">
        <v>0</v>
      </c>
      <c r="EY150" s="273">
        <f t="shared" si="339"/>
        <v>386670</v>
      </c>
      <c r="EZ150" s="2">
        <f t="shared" si="369"/>
        <v>215398</v>
      </c>
      <c r="FA150" s="2">
        <v>17177</v>
      </c>
      <c r="FB150" s="2">
        <v>77517</v>
      </c>
      <c r="FC150" s="2">
        <v>94616</v>
      </c>
      <c r="FD150" s="2">
        <v>44770</v>
      </c>
      <c r="FE150" s="1052">
        <v>83187</v>
      </c>
      <c r="FF150" s="273">
        <v>92199</v>
      </c>
      <c r="FG150" s="2">
        <v>11738</v>
      </c>
      <c r="FH150" s="170">
        <f t="shared" si="370"/>
        <v>92199</v>
      </c>
      <c r="FI150" s="2">
        <v>-10615</v>
      </c>
      <c r="FJ150" s="2">
        <f t="shared" si="362"/>
        <v>-10615</v>
      </c>
      <c r="FK150" s="273">
        <f t="shared" si="376"/>
        <v>46574</v>
      </c>
      <c r="FL150" s="2">
        <v>43100</v>
      </c>
      <c r="FM150" s="2"/>
      <c r="FN150" s="2">
        <v>5272</v>
      </c>
      <c r="FO150" s="2">
        <v>1798</v>
      </c>
      <c r="FP150" s="2">
        <v>21296</v>
      </c>
      <c r="FQ150" s="2">
        <v>443</v>
      </c>
      <c r="FR150" s="2">
        <v>24835</v>
      </c>
      <c r="FS150" s="1052">
        <f t="shared" si="377"/>
        <v>0</v>
      </c>
      <c r="FT150" s="2">
        <f t="shared" si="378"/>
        <v>52441</v>
      </c>
      <c r="FU150" s="511">
        <v>45438</v>
      </c>
      <c r="FV150" s="512">
        <f t="shared" si="379"/>
        <v>0.92808268142731676</v>
      </c>
      <c r="FW150" s="2">
        <v>47986</v>
      </c>
      <c r="FX150" s="2">
        <v>3701</v>
      </c>
      <c r="FY150" s="2">
        <v>219</v>
      </c>
      <c r="FZ150" s="2">
        <v>59282</v>
      </c>
      <c r="GA150" s="2">
        <v>-39</v>
      </c>
      <c r="GB150" s="2">
        <v>-7775</v>
      </c>
      <c r="GC150" s="2">
        <f t="shared" si="371"/>
        <v>0</v>
      </c>
      <c r="GD150" s="2">
        <v>973</v>
      </c>
      <c r="GE150" s="2">
        <v>323</v>
      </c>
      <c r="GF150" s="2">
        <v>323</v>
      </c>
      <c r="GG150" s="2">
        <v>7903</v>
      </c>
      <c r="GH150" s="2">
        <v>-8</v>
      </c>
      <c r="GI150" s="2">
        <v>-6922</v>
      </c>
      <c r="GJ150" s="2">
        <f t="shared" si="372"/>
        <v>0</v>
      </c>
      <c r="GK150" s="273">
        <f t="shared" si="373"/>
        <v>-6526</v>
      </c>
      <c r="GL150" s="2">
        <v>140</v>
      </c>
      <c r="GM150" s="2">
        <v>4034</v>
      </c>
      <c r="GN150" s="2">
        <v>10700</v>
      </c>
      <c r="GO150" s="511">
        <v>1403</v>
      </c>
      <c r="GP150" s="2">
        <v>14333</v>
      </c>
      <c r="GQ150" s="2">
        <v>14182</v>
      </c>
      <c r="GR150" s="2">
        <v>-396</v>
      </c>
      <c r="GS150" s="2">
        <v>-20463</v>
      </c>
      <c r="GT150" s="2">
        <f t="shared" si="380"/>
        <v>0</v>
      </c>
      <c r="GU150" s="2">
        <f t="shared" si="364"/>
        <v>-20463</v>
      </c>
      <c r="GV150" s="615">
        <v>23449</v>
      </c>
      <c r="GW150" s="615">
        <v>17928</v>
      </c>
      <c r="GX150" s="615">
        <v>13548</v>
      </c>
      <c r="GY150" s="615">
        <f t="shared" si="363"/>
        <v>9901</v>
      </c>
      <c r="GZ150" s="2">
        <v>-168</v>
      </c>
      <c r="HA150" s="2">
        <v>-472</v>
      </c>
      <c r="HB150" s="2">
        <v>4236</v>
      </c>
      <c r="HC150" s="1052">
        <f t="shared" si="374"/>
        <v>-3932</v>
      </c>
      <c r="HD150" s="170">
        <f t="shared" si="347"/>
        <v>-5642</v>
      </c>
      <c r="HE150" s="2">
        <v>73652</v>
      </c>
      <c r="HF150" s="2">
        <v>79294</v>
      </c>
      <c r="HG150" s="170">
        <f t="shared" si="348"/>
        <v>-63</v>
      </c>
      <c r="HH150" s="2">
        <v>551</v>
      </c>
      <c r="HI150" s="2">
        <v>614</v>
      </c>
      <c r="HJ150" s="2">
        <f t="shared" si="340"/>
        <v>-3518</v>
      </c>
      <c r="HK150" s="2">
        <v>3566</v>
      </c>
      <c r="HL150" s="2"/>
      <c r="HM150" s="2">
        <f t="shared" si="247"/>
        <v>48</v>
      </c>
      <c r="HN150" s="2">
        <f t="shared" si="283"/>
        <v>2809</v>
      </c>
      <c r="HO150" s="2">
        <f t="shared" si="341"/>
        <v>2519</v>
      </c>
      <c r="HP150" s="2">
        <v>589447</v>
      </c>
      <c r="HQ150" s="2">
        <v>591966</v>
      </c>
      <c r="HR150" s="2">
        <v>13330</v>
      </c>
      <c r="HS150" s="1052">
        <v>13040</v>
      </c>
      <c r="HT150" s="1002">
        <v>526.70000000000005</v>
      </c>
      <c r="HU150" s="1002">
        <v>66.5</v>
      </c>
      <c r="HV150" s="1002">
        <v>67.7</v>
      </c>
    </row>
    <row r="151" spans="1:230">
      <c r="A151" s="110">
        <f t="shared" si="349"/>
        <v>1992</v>
      </c>
      <c r="B151" s="176">
        <f t="shared" si="327"/>
        <v>534653</v>
      </c>
      <c r="C151" s="177">
        <f t="shared" si="317"/>
        <v>-5345</v>
      </c>
      <c r="D151" s="176">
        <f t="shared" si="342"/>
        <v>539998</v>
      </c>
      <c r="E151" s="154">
        <f t="shared" si="328"/>
        <v>622080</v>
      </c>
      <c r="F151" s="995">
        <f t="shared" si="329"/>
        <v>82082</v>
      </c>
      <c r="G151" s="531">
        <f t="shared" si="350"/>
        <v>534653</v>
      </c>
      <c r="H151" s="531">
        <f t="shared" si="351"/>
        <v>539998</v>
      </c>
      <c r="I151" s="531">
        <f t="shared" si="352"/>
        <v>622080</v>
      </c>
      <c r="J151" s="548">
        <f t="shared" si="353"/>
        <v>1</v>
      </c>
      <c r="K151" s="178">
        <f t="shared" si="325"/>
        <v>79061</v>
      </c>
      <c r="L151" s="2">
        <v>86050</v>
      </c>
      <c r="M151" s="2">
        <v>6989</v>
      </c>
      <c r="N151" s="2">
        <v>64479</v>
      </c>
      <c r="O151" s="170">
        <f t="shared" si="286"/>
        <v>14582</v>
      </c>
      <c r="P151" s="175">
        <f t="shared" si="365"/>
        <v>21</v>
      </c>
      <c r="Q151" s="175">
        <f t="shared" si="366"/>
        <v>12764</v>
      </c>
      <c r="R151" s="175">
        <f t="shared" si="287"/>
        <v>1797</v>
      </c>
      <c r="S151" s="532"/>
      <c r="T151" s="1008">
        <f t="shared" si="253"/>
        <v>22560.370284408342</v>
      </c>
      <c r="U151" s="1010">
        <v>16215</v>
      </c>
      <c r="V151" s="511">
        <f t="shared" si="288"/>
        <v>33628.370284408338</v>
      </c>
      <c r="W151" s="2">
        <v>27283</v>
      </c>
      <c r="X151" s="169">
        <f t="shared" si="254"/>
        <v>11068</v>
      </c>
      <c r="Y151" s="113">
        <f t="shared" si="255"/>
        <v>0.32912686241984301</v>
      </c>
      <c r="Z151" s="113">
        <f t="shared" si="330"/>
        <v>0.40567386284499507</v>
      </c>
      <c r="AA151" s="276">
        <f>X151/DataUK3!D151</f>
        <v>9.6895119000302912E-3</v>
      </c>
      <c r="AB151" s="1019">
        <f t="shared" si="331"/>
        <v>1.7791923868312756E-2</v>
      </c>
      <c r="AC151" s="2">
        <v>45164</v>
      </c>
      <c r="AD151" s="2">
        <v>8929</v>
      </c>
      <c r="AE151" s="2">
        <v>36235</v>
      </c>
      <c r="AF151" s="253">
        <f>AC151/DataUK3!$BE151</f>
        <v>0.10040661522283803</v>
      </c>
      <c r="AG151" s="253">
        <f>AD151/DataUK3!$BE151</f>
        <v>1.9850559457194245E-2</v>
      </c>
      <c r="AH151" s="253">
        <f>AE151/DataUK3!$BE151</f>
        <v>8.0556055765643786E-2</v>
      </c>
      <c r="AI151" s="1010">
        <f>AD151*DataUK3!BG151</f>
        <v>6345.3702844083409</v>
      </c>
      <c r="AJ151" s="171">
        <f t="shared" si="375"/>
        <v>59516</v>
      </c>
      <c r="AK151" s="561"/>
      <c r="AL151" s="169">
        <f t="shared" si="354"/>
        <v>65565</v>
      </c>
      <c r="AM151" s="169"/>
      <c r="AN151" s="2">
        <v>32944</v>
      </c>
      <c r="AO151" s="1012">
        <v>38993</v>
      </c>
      <c r="AP151" s="2"/>
      <c r="AQ151" s="2"/>
      <c r="AR151" s="2"/>
      <c r="AS151" s="2"/>
      <c r="AT151" s="2"/>
      <c r="AU151" s="2"/>
      <c r="AV151" s="2"/>
      <c r="AW151" s="2"/>
      <c r="AX151" s="2"/>
      <c r="AY151" s="2"/>
      <c r="AZ151" s="2"/>
      <c r="BA151" s="2"/>
      <c r="BB151" s="2"/>
      <c r="BC151" s="2"/>
      <c r="BD151" s="2"/>
      <c r="BE151" s="2"/>
      <c r="BF151" s="2"/>
      <c r="BG151" s="2"/>
      <c r="BH151" s="2"/>
      <c r="BI151" s="273">
        <v>347497</v>
      </c>
      <c r="BJ151" s="2">
        <f t="shared" si="355"/>
        <v>347546</v>
      </c>
      <c r="BK151" s="2"/>
      <c r="BL151" s="2"/>
      <c r="BM151" s="1129">
        <v>26572</v>
      </c>
      <c r="BN151" s="2"/>
      <c r="BO151" s="262">
        <f t="shared" si="343"/>
        <v>6.161753511155834E-2</v>
      </c>
      <c r="BP151" s="262">
        <f t="shared" si="332"/>
        <v>7.2931415329194824E-2</v>
      </c>
      <c r="BQ151" s="262">
        <f t="shared" si="344"/>
        <v>4.9699524738475234E-2</v>
      </c>
      <c r="BR151" s="262">
        <f t="shared" si="356"/>
        <v>7.6466847195803128E-2</v>
      </c>
      <c r="BS151" s="988">
        <f t="shared" si="367"/>
        <v>0.68145564588515883</v>
      </c>
      <c r="BT151" s="519">
        <f t="shared" si="368"/>
        <v>6049</v>
      </c>
      <c r="BU151" s="519"/>
      <c r="BV151" s="113">
        <f t="shared" si="333"/>
        <v>9.2259589720125074E-2</v>
      </c>
      <c r="BW151" s="276">
        <f t="shared" si="357"/>
        <v>9.7238297325102883E-3</v>
      </c>
      <c r="BX151" s="273">
        <v>17117</v>
      </c>
      <c r="BY151" s="2">
        <v>87</v>
      </c>
      <c r="BZ151" s="1012">
        <v>66</v>
      </c>
      <c r="CA151" s="1005">
        <f t="shared" si="345"/>
        <v>534653</v>
      </c>
      <c r="CB151" s="2"/>
      <c r="CC151" s="2"/>
      <c r="CD151" s="2"/>
      <c r="CE151" s="2"/>
      <c r="CF151" s="2">
        <v>622080</v>
      </c>
      <c r="CG151" s="2">
        <v>0</v>
      </c>
      <c r="CH151" s="2">
        <f t="shared" si="334"/>
        <v>0</v>
      </c>
      <c r="CI151" s="2">
        <v>82082</v>
      </c>
      <c r="CJ151" s="2"/>
      <c r="CK151" s="2"/>
      <c r="CL151" s="171">
        <f t="shared" si="358"/>
        <v>302873.62971559167</v>
      </c>
      <c r="CM151" s="169">
        <f t="shared" si="359"/>
        <v>360465.62971559167</v>
      </c>
      <c r="CN151" s="170">
        <f t="shared" si="268"/>
        <v>115478.62971559165</v>
      </c>
      <c r="CO151" s="170">
        <f t="shared" si="269"/>
        <v>121824</v>
      </c>
      <c r="CP151" s="170">
        <f t="shared" si="308"/>
        <v>244987</v>
      </c>
      <c r="CQ151" s="170">
        <f t="shared" si="309"/>
        <v>57592</v>
      </c>
      <c r="CR151" s="170">
        <v>5264</v>
      </c>
      <c r="CS151" s="113">
        <f t="shared" si="360"/>
        <v>9.257973251028806E-2</v>
      </c>
      <c r="CT151" s="170">
        <f t="shared" si="346"/>
        <v>332186</v>
      </c>
      <c r="CU151" s="2">
        <v>109522</v>
      </c>
      <c r="CV151" s="991">
        <v>222664</v>
      </c>
      <c r="CW151" s="2">
        <v>53086</v>
      </c>
      <c r="CX151" s="2">
        <v>12739</v>
      </c>
      <c r="CY151" s="2">
        <v>1030</v>
      </c>
      <c r="CZ151" s="170">
        <f t="shared" si="272"/>
        <v>28279.629715591658</v>
      </c>
      <c r="DA151" s="170">
        <f t="shared" si="273"/>
        <v>34625</v>
      </c>
      <c r="DB151" s="170">
        <f t="shared" si="335"/>
        <v>5956.6297155916591</v>
      </c>
      <c r="DC151" s="2">
        <v>12302</v>
      </c>
      <c r="DD151" s="2">
        <v>22323</v>
      </c>
      <c r="DE151" s="2">
        <v>4506</v>
      </c>
      <c r="DF151" s="2">
        <v>1055</v>
      </c>
      <c r="DG151" s="1040">
        <v>0</v>
      </c>
      <c r="DH151" s="171">
        <f t="shared" ref="DH151:DH169" si="381">DI151-DK151</f>
        <v>75987</v>
      </c>
      <c r="DI151" s="2">
        <f t="shared" si="320"/>
        <v>83360</v>
      </c>
      <c r="DJ151" s="2">
        <v>75987</v>
      </c>
      <c r="DK151" s="2">
        <v>7373</v>
      </c>
      <c r="DL151" s="113">
        <f t="shared" si="336"/>
        <v>0.14212395703381445</v>
      </c>
      <c r="DM151" s="113">
        <f t="shared" si="361"/>
        <v>0.21863868380013005</v>
      </c>
      <c r="DN151" s="113">
        <f t="shared" si="321"/>
        <v>0.57726844536282973</v>
      </c>
      <c r="DO151" s="2">
        <v>1797</v>
      </c>
      <c r="DP151" s="2">
        <v>0</v>
      </c>
      <c r="DQ151" s="273"/>
      <c r="DR151" s="2">
        <v>79847</v>
      </c>
      <c r="DS151" s="2">
        <v>51785</v>
      </c>
      <c r="DT151" s="169">
        <f t="shared" si="326"/>
        <v>131632</v>
      </c>
      <c r="DU151" s="2">
        <v>395152</v>
      </c>
      <c r="DV151" s="2"/>
      <c r="DW151" s="2">
        <v>101993</v>
      </c>
      <c r="DX151" s="2"/>
      <c r="DY151" s="2"/>
      <c r="DZ151" s="2"/>
      <c r="EA151" s="2"/>
      <c r="EB151" s="2"/>
      <c r="EC151" s="2"/>
      <c r="ED151" s="175">
        <v>5915</v>
      </c>
      <c r="EE151" s="2"/>
      <c r="EF151" s="175">
        <f t="shared" si="315"/>
        <v>13782</v>
      </c>
      <c r="EG151" s="2"/>
      <c r="EH151" s="2"/>
      <c r="EI151" s="2">
        <v>145480</v>
      </c>
      <c r="EJ151" s="2">
        <v>152177</v>
      </c>
      <c r="EK151" s="2"/>
      <c r="EL151" s="2"/>
      <c r="EM151" s="2"/>
      <c r="EN151" s="2"/>
      <c r="EO151" s="2"/>
      <c r="EP151" s="2"/>
      <c r="EQ151" s="2"/>
      <c r="ER151" s="2"/>
      <c r="ES151" s="2"/>
      <c r="ET151" s="2">
        <f t="shared" si="337"/>
        <v>622080</v>
      </c>
      <c r="EU151" s="2">
        <f t="shared" si="338"/>
        <v>622080</v>
      </c>
      <c r="EV151" s="262">
        <f t="shared" si="292"/>
        <v>1</v>
      </c>
      <c r="EW151" s="2">
        <v>622080</v>
      </c>
      <c r="EX151" s="1042">
        <v>0</v>
      </c>
      <c r="EY151" s="273">
        <f t="shared" si="339"/>
        <v>421384</v>
      </c>
      <c r="EZ151" s="2">
        <f t="shared" si="369"/>
        <v>218919</v>
      </c>
      <c r="FA151" s="2">
        <v>13440</v>
      </c>
      <c r="FB151" s="2">
        <v>79972</v>
      </c>
      <c r="FC151" s="2">
        <v>93319</v>
      </c>
      <c r="FD151" s="2">
        <v>46446</v>
      </c>
      <c r="FE151" s="1052">
        <v>95355</v>
      </c>
      <c r="FF151" s="273">
        <v>88982</v>
      </c>
      <c r="FG151" s="2">
        <v>6900</v>
      </c>
      <c r="FH151" s="170">
        <f t="shared" si="370"/>
        <v>88982</v>
      </c>
      <c r="FI151" s="2">
        <v>-13011</v>
      </c>
      <c r="FJ151" s="2">
        <f t="shared" si="362"/>
        <v>-13011</v>
      </c>
      <c r="FK151" s="273">
        <f t="shared" si="376"/>
        <v>55869</v>
      </c>
      <c r="FL151" s="2">
        <v>52593</v>
      </c>
      <c r="FM151" s="2"/>
      <c r="FN151" s="2">
        <v>5032</v>
      </c>
      <c r="FO151" s="2">
        <v>1756</v>
      </c>
      <c r="FP151" s="2">
        <v>21456</v>
      </c>
      <c r="FQ151" s="2">
        <v>320</v>
      </c>
      <c r="FR151" s="2">
        <v>34093</v>
      </c>
      <c r="FS151" s="1052">
        <f t="shared" si="377"/>
        <v>0</v>
      </c>
      <c r="FT151" s="2">
        <f t="shared" si="378"/>
        <v>60612</v>
      </c>
      <c r="FU151" s="511">
        <v>53932</v>
      </c>
      <c r="FV151" s="512">
        <f t="shared" si="379"/>
        <v>0.9402207074493123</v>
      </c>
      <c r="FW151" s="2">
        <v>50343</v>
      </c>
      <c r="FX151" s="2">
        <v>3371</v>
      </c>
      <c r="FY151" s="2">
        <v>120</v>
      </c>
      <c r="FZ151" s="2">
        <v>60742</v>
      </c>
      <c r="GA151" s="2">
        <v>41</v>
      </c>
      <c r="GB151" s="2">
        <v>-7189</v>
      </c>
      <c r="GC151" s="2">
        <f t="shared" si="371"/>
        <v>0</v>
      </c>
      <c r="GD151" s="2">
        <v>7018</v>
      </c>
      <c r="GE151" s="2">
        <v>86</v>
      </c>
      <c r="GF151" s="2">
        <v>86</v>
      </c>
      <c r="GG151" s="2">
        <v>6013</v>
      </c>
      <c r="GH151" s="2">
        <v>-49</v>
      </c>
      <c r="GI151" s="2">
        <v>1054</v>
      </c>
      <c r="GJ151" s="2">
        <f t="shared" si="372"/>
        <v>0</v>
      </c>
      <c r="GK151" s="273">
        <f t="shared" si="373"/>
        <v>-27078</v>
      </c>
      <c r="GL151" s="2">
        <v>-20972</v>
      </c>
      <c r="GM151" s="2">
        <v>9402</v>
      </c>
      <c r="GN151" s="2">
        <v>15508</v>
      </c>
      <c r="GO151" s="511">
        <v>-19745</v>
      </c>
      <c r="GP151" s="2">
        <v>13782</v>
      </c>
      <c r="GQ151" s="2">
        <v>13799</v>
      </c>
      <c r="GR151" s="2">
        <v>-312</v>
      </c>
      <c r="GS151" s="2">
        <v>-40548</v>
      </c>
      <c r="GT151" s="2">
        <f t="shared" si="380"/>
        <v>0</v>
      </c>
      <c r="GU151" s="2">
        <f t="shared" si="364"/>
        <v>-40548</v>
      </c>
      <c r="GV151" s="615">
        <v>23346</v>
      </c>
      <c r="GW151" s="615">
        <v>18208</v>
      </c>
      <c r="GX151" s="615">
        <v>13051</v>
      </c>
      <c r="GY151" s="615">
        <f t="shared" si="363"/>
        <v>10295</v>
      </c>
      <c r="GZ151" s="2">
        <v>-22356</v>
      </c>
      <c r="HA151" s="2">
        <v>-22972</v>
      </c>
      <c r="HB151" s="2">
        <v>4247</v>
      </c>
      <c r="HC151" s="1052">
        <f t="shared" si="374"/>
        <v>-3631</v>
      </c>
      <c r="HD151" s="170">
        <f t="shared" si="347"/>
        <v>-1037</v>
      </c>
      <c r="HE151" s="2">
        <v>65168</v>
      </c>
      <c r="HF151" s="2">
        <v>66205</v>
      </c>
      <c r="HG151" s="170">
        <f t="shared" si="348"/>
        <v>-49</v>
      </c>
      <c r="HH151" s="2">
        <v>551</v>
      </c>
      <c r="HI151" s="2">
        <v>600</v>
      </c>
      <c r="HJ151" s="2">
        <f t="shared" si="340"/>
        <v>-4259</v>
      </c>
      <c r="HK151" s="2">
        <v>4319</v>
      </c>
      <c r="HL151" s="2"/>
      <c r="HM151" s="2">
        <f t="shared" si="247"/>
        <v>60</v>
      </c>
      <c r="HN151" s="2">
        <f t="shared" si="283"/>
        <v>-548</v>
      </c>
      <c r="HO151" s="2">
        <f t="shared" si="341"/>
        <v>-969</v>
      </c>
      <c r="HP151" s="2">
        <v>616741</v>
      </c>
      <c r="HQ151" s="2">
        <v>615772</v>
      </c>
      <c r="HR151" s="2">
        <v>17891</v>
      </c>
      <c r="HS151" s="1052">
        <v>17470</v>
      </c>
      <c r="HT151" s="1002">
        <v>546.4</v>
      </c>
      <c r="HU151" s="1002">
        <v>69</v>
      </c>
      <c r="HV151" s="1002">
        <v>70.900000000000006</v>
      </c>
    </row>
    <row r="152" spans="1:230">
      <c r="A152" s="110">
        <f t="shared" si="349"/>
        <v>1993</v>
      </c>
      <c r="B152" s="176">
        <f t="shared" si="327"/>
        <v>562908</v>
      </c>
      <c r="C152" s="177">
        <f t="shared" si="317"/>
        <v>-7021</v>
      </c>
      <c r="D152" s="176">
        <f t="shared" si="342"/>
        <v>569929</v>
      </c>
      <c r="E152" s="154">
        <f t="shared" si="328"/>
        <v>654196</v>
      </c>
      <c r="F152" s="995">
        <f t="shared" si="329"/>
        <v>84267</v>
      </c>
      <c r="G152" s="531">
        <f t="shared" si="350"/>
        <v>562908</v>
      </c>
      <c r="H152" s="531">
        <f t="shared" si="351"/>
        <v>569929</v>
      </c>
      <c r="I152" s="531">
        <f t="shared" si="352"/>
        <v>654196</v>
      </c>
      <c r="J152" s="548">
        <f t="shared" si="353"/>
        <v>1</v>
      </c>
      <c r="K152" s="178">
        <f t="shared" si="325"/>
        <v>80858</v>
      </c>
      <c r="L152" s="2">
        <v>88127</v>
      </c>
      <c r="M152" s="2">
        <v>7269</v>
      </c>
      <c r="N152" s="2">
        <v>66922</v>
      </c>
      <c r="O152" s="170">
        <f t="shared" si="286"/>
        <v>13936</v>
      </c>
      <c r="P152" s="175">
        <f t="shared" si="365"/>
        <v>-126</v>
      </c>
      <c r="Q152" s="175">
        <f t="shared" si="366"/>
        <v>12498</v>
      </c>
      <c r="R152" s="175">
        <f t="shared" si="287"/>
        <v>1564</v>
      </c>
      <c r="S152" s="532"/>
      <c r="T152" s="1008">
        <f t="shared" si="253"/>
        <v>24040.229173602398</v>
      </c>
      <c r="U152" s="1010">
        <v>16866</v>
      </c>
      <c r="V152" s="511">
        <f t="shared" si="288"/>
        <v>35394.229173602398</v>
      </c>
      <c r="W152" s="2">
        <v>28220</v>
      </c>
      <c r="X152" s="169">
        <f t="shared" si="254"/>
        <v>11354</v>
      </c>
      <c r="Y152" s="113">
        <f t="shared" si="255"/>
        <v>0.32078675719453165</v>
      </c>
      <c r="Z152" s="113">
        <f t="shared" si="330"/>
        <v>0.40233876683203401</v>
      </c>
      <c r="AA152" s="276">
        <f>X152/DataUK3!D152</f>
        <v>1.0567434172256437E-2</v>
      </c>
      <c r="AB152" s="1019">
        <f t="shared" si="331"/>
        <v>1.7355654880188812E-2</v>
      </c>
      <c r="AC152" s="2">
        <v>35926</v>
      </c>
      <c r="AD152" s="2">
        <v>9940</v>
      </c>
      <c r="AE152" s="2">
        <v>25986</v>
      </c>
      <c r="AF152" s="253">
        <f>AC152/DataUK3!$BE152</f>
        <v>7.6668630011865441E-2</v>
      </c>
      <c r="AG152" s="253">
        <f>AD152/DataUK3!$BE152</f>
        <v>2.1212664430160396E-2</v>
      </c>
      <c r="AH152" s="253">
        <f>AE152/DataUK3!$BE152</f>
        <v>5.5455965581705034E-2</v>
      </c>
      <c r="AI152" s="1010">
        <f>AD152*DataUK3!BG152</f>
        <v>7174.2291736023972</v>
      </c>
      <c r="AJ152" s="171">
        <f t="shared" si="375"/>
        <v>64583</v>
      </c>
      <c r="AK152" s="561"/>
      <c r="AL152" s="169">
        <f t="shared" si="354"/>
        <v>71296</v>
      </c>
      <c r="AM152" s="169"/>
      <c r="AN152" s="2">
        <v>34876</v>
      </c>
      <c r="AO152" s="1012">
        <v>41589</v>
      </c>
      <c r="AP152" s="2"/>
      <c r="AQ152" s="2"/>
      <c r="AR152" s="2"/>
      <c r="AS152" s="2"/>
      <c r="AT152" s="2"/>
      <c r="AU152" s="2"/>
      <c r="AV152" s="2"/>
      <c r="AW152" s="2"/>
      <c r="AX152" s="2"/>
      <c r="AY152" s="2"/>
      <c r="AZ152" s="2"/>
      <c r="BA152" s="2"/>
      <c r="BB152" s="2"/>
      <c r="BC152" s="2"/>
      <c r="BD152" s="2"/>
      <c r="BE152" s="2"/>
      <c r="BF152" s="2"/>
      <c r="BG152" s="2"/>
      <c r="BH152" s="2"/>
      <c r="BI152" s="273">
        <v>356630</v>
      </c>
      <c r="BJ152" s="2">
        <f t="shared" si="355"/>
        <v>356595</v>
      </c>
      <c r="BK152" s="2"/>
      <c r="BL152" s="2"/>
      <c r="BM152" s="1129">
        <v>29707</v>
      </c>
      <c r="BN152" s="2"/>
      <c r="BO152" s="262">
        <f t="shared" si="343"/>
        <v>6.1956838417645516E-2</v>
      </c>
      <c r="BP152" s="262">
        <f t="shared" si="332"/>
        <v>7.3882410624826797E-2</v>
      </c>
      <c r="BQ152" s="262">
        <f t="shared" si="344"/>
        <v>5.2774165583008237E-2</v>
      </c>
      <c r="BR152" s="262">
        <f t="shared" si="356"/>
        <v>8.3299217676583576E-2</v>
      </c>
      <c r="BS152" s="988">
        <f t="shared" si="367"/>
        <v>0.71429945418259633</v>
      </c>
      <c r="BT152" s="519">
        <f t="shared" si="368"/>
        <v>6713</v>
      </c>
      <c r="BU152" s="519"/>
      <c r="BV152" s="113">
        <f t="shared" si="333"/>
        <v>9.415675493716337E-2</v>
      </c>
      <c r="BW152" s="276">
        <f t="shared" si="357"/>
        <v>1.026145069673309E-2</v>
      </c>
      <c r="BX152" s="273">
        <v>18067</v>
      </c>
      <c r="BY152" s="2">
        <v>89</v>
      </c>
      <c r="BZ152" s="1012">
        <v>215</v>
      </c>
      <c r="CA152" s="1005">
        <f t="shared" si="345"/>
        <v>562908</v>
      </c>
      <c r="CB152" s="2"/>
      <c r="CC152" s="2"/>
      <c r="CD152" s="2"/>
      <c r="CE152" s="2"/>
      <c r="CF152" s="2">
        <v>654196</v>
      </c>
      <c r="CG152" s="2">
        <v>0</v>
      </c>
      <c r="CH152" s="2">
        <f t="shared" si="334"/>
        <v>0</v>
      </c>
      <c r="CI152" s="2">
        <v>84267</v>
      </c>
      <c r="CJ152" s="2"/>
      <c r="CK152" s="2"/>
      <c r="CL152" s="171">
        <f t="shared" si="358"/>
        <v>323264.77082639758</v>
      </c>
      <c r="CM152" s="169">
        <f t="shared" si="359"/>
        <v>381944.77082639758</v>
      </c>
      <c r="CN152" s="170">
        <f t="shared" si="268"/>
        <v>132239.77082639761</v>
      </c>
      <c r="CO152" s="170">
        <f t="shared" si="269"/>
        <v>139414</v>
      </c>
      <c r="CP152" s="170">
        <f t="shared" si="308"/>
        <v>249705</v>
      </c>
      <c r="CQ152" s="170">
        <f t="shared" si="309"/>
        <v>58680</v>
      </c>
      <c r="CR152" s="170">
        <v>5348</v>
      </c>
      <c r="CS152" s="113">
        <f t="shared" si="360"/>
        <v>8.9697888706136999E-2</v>
      </c>
      <c r="CT152" s="170">
        <f t="shared" si="346"/>
        <v>348183</v>
      </c>
      <c r="CU152" s="2">
        <v>120366</v>
      </c>
      <c r="CV152" s="991">
        <v>227817</v>
      </c>
      <c r="CW152" s="2">
        <v>54268</v>
      </c>
      <c r="CX152" s="2">
        <v>12300</v>
      </c>
      <c r="CY152" s="2">
        <v>915</v>
      </c>
      <c r="CZ152" s="170">
        <f t="shared" si="272"/>
        <v>33761.770826397602</v>
      </c>
      <c r="DA152" s="170">
        <f t="shared" si="273"/>
        <v>40936</v>
      </c>
      <c r="DB152" s="170">
        <f t="shared" si="335"/>
        <v>11873.770826397602</v>
      </c>
      <c r="DC152" s="2">
        <v>19048</v>
      </c>
      <c r="DD152" s="2">
        <v>21888</v>
      </c>
      <c r="DE152" s="2">
        <v>4412</v>
      </c>
      <c r="DF152" s="2">
        <v>1113</v>
      </c>
      <c r="DG152" s="1040">
        <v>0</v>
      </c>
      <c r="DH152" s="171">
        <f t="shared" si="381"/>
        <v>77183</v>
      </c>
      <c r="DI152" s="2">
        <f t="shared" si="320"/>
        <v>84703</v>
      </c>
      <c r="DJ152" s="2">
        <v>77183</v>
      </c>
      <c r="DK152" s="2">
        <v>7520</v>
      </c>
      <c r="DL152" s="113">
        <f t="shared" si="336"/>
        <v>0.1371147683102745</v>
      </c>
      <c r="DM152" s="113">
        <f t="shared" si="361"/>
        <v>0.21644442574909911</v>
      </c>
      <c r="DN152" s="113">
        <f t="shared" si="321"/>
        <v>0.57693543926267554</v>
      </c>
      <c r="DO152" s="2">
        <v>1564</v>
      </c>
      <c r="DP152" s="2">
        <v>0</v>
      </c>
      <c r="DQ152" s="273"/>
      <c r="DR152" s="2">
        <v>82911</v>
      </c>
      <c r="DS152" s="2">
        <v>50870</v>
      </c>
      <c r="DT152" s="169">
        <f t="shared" si="326"/>
        <v>133781</v>
      </c>
      <c r="DU152" s="2">
        <v>421010</v>
      </c>
      <c r="DV152" s="2"/>
      <c r="DW152" s="2">
        <v>104297</v>
      </c>
      <c r="DX152" s="2"/>
      <c r="DY152" s="2"/>
      <c r="DZ152" s="2"/>
      <c r="EA152" s="2"/>
      <c r="EB152" s="2"/>
      <c r="EC152" s="2"/>
      <c r="ED152" s="175">
        <v>5241</v>
      </c>
      <c r="EE152" s="2"/>
      <c r="EF152" s="175">
        <f t="shared" si="315"/>
        <v>13618</v>
      </c>
      <c r="EG152" s="2"/>
      <c r="EH152" s="2"/>
      <c r="EI152" s="2">
        <v>165834</v>
      </c>
      <c r="EJ152" s="2">
        <v>170726</v>
      </c>
      <c r="EK152" s="2"/>
      <c r="EL152" s="2"/>
      <c r="EM152" s="2"/>
      <c r="EN152" s="2"/>
      <c r="EO152" s="2"/>
      <c r="EP152" s="2"/>
      <c r="EQ152" s="2"/>
      <c r="ER152" s="2"/>
      <c r="ES152" s="2"/>
      <c r="ET152" s="2">
        <f t="shared" si="337"/>
        <v>654196</v>
      </c>
      <c r="EU152" s="2">
        <f t="shared" si="338"/>
        <v>654196</v>
      </c>
      <c r="EV152" s="262">
        <f t="shared" si="292"/>
        <v>1</v>
      </c>
      <c r="EW152" s="2">
        <v>654196</v>
      </c>
      <c r="EX152" s="1042">
        <v>0</v>
      </c>
      <c r="EY152" s="273">
        <f t="shared" si="339"/>
        <v>455710</v>
      </c>
      <c r="EZ152" s="2">
        <f t="shared" si="369"/>
        <v>221690</v>
      </c>
      <c r="FA152" s="2">
        <v>13093</v>
      </c>
      <c r="FB152" s="2">
        <v>78870</v>
      </c>
      <c r="FC152" s="2">
        <v>91808</v>
      </c>
      <c r="FD152" s="2">
        <v>48869</v>
      </c>
      <c r="FE152" s="1052">
        <v>103053</v>
      </c>
      <c r="FF152" s="273">
        <v>91837</v>
      </c>
      <c r="FG152" s="2">
        <v>7570</v>
      </c>
      <c r="FH152" s="170">
        <f t="shared" si="370"/>
        <v>91837</v>
      </c>
      <c r="FI152" s="2">
        <v>-12460</v>
      </c>
      <c r="FJ152" s="2">
        <f t="shared" si="362"/>
        <v>-12460</v>
      </c>
      <c r="FK152" s="273">
        <f t="shared" si="376"/>
        <v>55431</v>
      </c>
      <c r="FL152" s="2">
        <v>51236</v>
      </c>
      <c r="FM152" s="2"/>
      <c r="FN152" s="2">
        <v>5970</v>
      </c>
      <c r="FO152" s="2">
        <v>1775</v>
      </c>
      <c r="FP152" s="2">
        <v>23544</v>
      </c>
      <c r="FQ152" s="2">
        <v>446</v>
      </c>
      <c r="FR152" s="2">
        <v>31441</v>
      </c>
      <c r="FS152" s="1052">
        <f t="shared" si="377"/>
        <v>0</v>
      </c>
      <c r="FT152" s="2">
        <f t="shared" si="378"/>
        <v>75783</v>
      </c>
      <c r="FU152" s="511">
        <v>69400</v>
      </c>
      <c r="FV152" s="512">
        <f t="shared" si="379"/>
        <v>0.95383388996550256</v>
      </c>
      <c r="FW152" s="2">
        <v>64922</v>
      </c>
      <c r="FX152" s="2">
        <v>3303</v>
      </c>
      <c r="FY152" s="2">
        <v>191</v>
      </c>
      <c r="FZ152" s="2">
        <v>62952</v>
      </c>
      <c r="GA152" s="2">
        <v>254</v>
      </c>
      <c r="GB152" s="2">
        <v>4828</v>
      </c>
      <c r="GC152" s="2">
        <f t="shared" si="371"/>
        <v>0</v>
      </c>
      <c r="GD152" s="2">
        <v>7837</v>
      </c>
      <c r="GE152" s="2">
        <v>0</v>
      </c>
      <c r="GF152" s="2">
        <v>88</v>
      </c>
      <c r="GG152" s="2">
        <v>4183</v>
      </c>
      <c r="GH152" s="2">
        <v>-203</v>
      </c>
      <c r="GI152" s="2">
        <v>3769</v>
      </c>
      <c r="GJ152" s="2">
        <f t="shared" si="372"/>
        <v>0</v>
      </c>
      <c r="GK152" s="273">
        <f t="shared" si="373"/>
        <v>-39068</v>
      </c>
      <c r="GL152" s="2">
        <v>-32158</v>
      </c>
      <c r="GM152" s="2">
        <v>4634</v>
      </c>
      <c r="GN152" s="2">
        <v>11544</v>
      </c>
      <c r="GO152" s="511">
        <v>-30879</v>
      </c>
      <c r="GP152" s="2">
        <v>13618</v>
      </c>
      <c r="GQ152" s="2">
        <v>13642</v>
      </c>
      <c r="GR152" s="2">
        <v>-497</v>
      </c>
      <c r="GS152" s="2">
        <v>-52189</v>
      </c>
      <c r="GT152" s="2">
        <f t="shared" si="380"/>
        <v>0</v>
      </c>
      <c r="GU152" s="2">
        <f t="shared" si="364"/>
        <v>-52189</v>
      </c>
      <c r="GV152" s="615">
        <v>23936</v>
      </c>
      <c r="GW152" s="615">
        <v>19497</v>
      </c>
      <c r="GX152" s="615">
        <v>12497</v>
      </c>
      <c r="GY152" s="615">
        <f t="shared" si="363"/>
        <v>11439</v>
      </c>
      <c r="GZ152" s="2">
        <v>-34352</v>
      </c>
      <c r="HA152" s="2">
        <v>-35567</v>
      </c>
      <c r="HB152" s="2">
        <v>4431</v>
      </c>
      <c r="HC152" s="1052">
        <f t="shared" si="374"/>
        <v>-3216</v>
      </c>
      <c r="HD152" s="170">
        <f t="shared" si="347"/>
        <v>-2547</v>
      </c>
      <c r="HE152" s="2">
        <v>70944</v>
      </c>
      <c r="HF152" s="2">
        <v>73491</v>
      </c>
      <c r="HG152" s="170">
        <f t="shared" si="348"/>
        <v>35</v>
      </c>
      <c r="HH152" s="2">
        <v>595</v>
      </c>
      <c r="HI152" s="2">
        <v>560</v>
      </c>
      <c r="HJ152" s="2">
        <f t="shared" si="340"/>
        <v>-4509</v>
      </c>
      <c r="HK152" s="2">
        <v>4725</v>
      </c>
      <c r="HL152" s="2"/>
      <c r="HM152" s="2">
        <f t="shared" si="247"/>
        <v>216</v>
      </c>
      <c r="HN152" s="2">
        <f t="shared" si="283"/>
        <v>-238</v>
      </c>
      <c r="HO152" s="2">
        <f t="shared" si="341"/>
        <v>-547</v>
      </c>
      <c r="HP152" s="2">
        <v>647174</v>
      </c>
      <c r="HQ152" s="2">
        <v>646627</v>
      </c>
      <c r="HR152" s="2">
        <v>13907</v>
      </c>
      <c r="HS152" s="1052">
        <v>13598</v>
      </c>
      <c r="HT152" s="1002">
        <v>555.1</v>
      </c>
      <c r="HU152" s="1002">
        <v>71</v>
      </c>
      <c r="HV152" s="1002">
        <v>73.400000000000006</v>
      </c>
    </row>
    <row r="153" spans="1:230">
      <c r="A153" s="110">
        <f t="shared" si="349"/>
        <v>1994</v>
      </c>
      <c r="B153" s="176">
        <f t="shared" si="327"/>
        <v>604632</v>
      </c>
      <c r="C153" s="177">
        <f t="shared" si="317"/>
        <v>-1709</v>
      </c>
      <c r="D153" s="176">
        <f t="shared" si="342"/>
        <v>606341</v>
      </c>
      <c r="E153" s="154">
        <f t="shared" si="328"/>
        <v>692987</v>
      </c>
      <c r="F153" s="995">
        <f t="shared" si="329"/>
        <v>86646</v>
      </c>
      <c r="G153" s="531">
        <f t="shared" si="350"/>
        <v>604632</v>
      </c>
      <c r="H153" s="531">
        <f t="shared" si="351"/>
        <v>606341</v>
      </c>
      <c r="I153" s="531">
        <f t="shared" si="352"/>
        <v>692987</v>
      </c>
      <c r="J153" s="548">
        <f t="shared" si="353"/>
        <v>1</v>
      </c>
      <c r="K153" s="178">
        <f t="shared" si="325"/>
        <v>86339</v>
      </c>
      <c r="L153" s="2">
        <v>94034</v>
      </c>
      <c r="M153" s="2">
        <v>7695</v>
      </c>
      <c r="N153" s="2">
        <v>72645</v>
      </c>
      <c r="O153" s="170">
        <f t="shared" si="286"/>
        <v>13694</v>
      </c>
      <c r="P153" s="175">
        <f t="shared" si="365"/>
        <v>-194</v>
      </c>
      <c r="Q153" s="175">
        <f t="shared" si="366"/>
        <v>12193</v>
      </c>
      <c r="R153" s="175">
        <f t="shared" si="287"/>
        <v>1695</v>
      </c>
      <c r="S153" s="532"/>
      <c r="T153" s="1008">
        <f t="shared" si="253"/>
        <v>25834.157596841265</v>
      </c>
      <c r="U153" s="1010">
        <v>18239</v>
      </c>
      <c r="V153" s="511">
        <f t="shared" si="288"/>
        <v>37808.157596841265</v>
      </c>
      <c r="W153" s="2">
        <v>30213</v>
      </c>
      <c r="X153" s="169">
        <f t="shared" si="254"/>
        <v>11974</v>
      </c>
      <c r="Y153" s="113">
        <f t="shared" si="255"/>
        <v>0.31670413902951949</v>
      </c>
      <c r="Z153" s="113">
        <f t="shared" si="330"/>
        <v>0.39631946513090394</v>
      </c>
      <c r="AA153" s="276">
        <f>X153/DataUK3!D153</f>
        <v>1.0912756277523404E-2</v>
      </c>
      <c r="AB153" s="1019">
        <f t="shared" si="331"/>
        <v>1.7278823412271802E-2</v>
      </c>
      <c r="AC153" s="2">
        <v>36677</v>
      </c>
      <c r="AD153" s="2">
        <v>10344</v>
      </c>
      <c r="AE153" s="2">
        <v>26333</v>
      </c>
      <c r="AF153" s="253">
        <f>AC153/DataUK3!$BE153</f>
        <v>7.5543087592248162E-2</v>
      </c>
      <c r="AG153" s="253">
        <f>AD153/DataUK3!$BE153</f>
        <v>2.1305387519541266E-2</v>
      </c>
      <c r="AH153" s="253">
        <f>AE153/DataUK3!$BE153</f>
        <v>5.4237700072706903E-2</v>
      </c>
      <c r="AI153" s="1010">
        <f>AD153*DataUK3!BG153</f>
        <v>7595.1575968412662</v>
      </c>
      <c r="AJ153" s="171">
        <f t="shared" si="375"/>
        <v>68301</v>
      </c>
      <c r="AK153" s="561"/>
      <c r="AL153" s="169">
        <f t="shared" si="354"/>
        <v>75352</v>
      </c>
      <c r="AM153" s="169"/>
      <c r="AN153" s="2">
        <v>35847</v>
      </c>
      <c r="AO153" s="1012">
        <v>42898</v>
      </c>
      <c r="AP153" s="2"/>
      <c r="AQ153" s="2"/>
      <c r="AR153" s="2"/>
      <c r="AS153" s="2"/>
      <c r="AT153" s="2"/>
      <c r="AU153" s="2"/>
      <c r="AV153" s="2"/>
      <c r="AW153" s="2"/>
      <c r="AX153" s="2"/>
      <c r="AY153" s="2"/>
      <c r="AZ153" s="2"/>
      <c r="BA153" s="2"/>
      <c r="BB153" s="2"/>
      <c r="BC153" s="2"/>
      <c r="BD153" s="2"/>
      <c r="BE153" s="2"/>
      <c r="BF153" s="2"/>
      <c r="BG153" s="2"/>
      <c r="BH153" s="2"/>
      <c r="BI153" s="273">
        <v>368976</v>
      </c>
      <c r="BJ153" s="2">
        <f t="shared" si="355"/>
        <v>369146</v>
      </c>
      <c r="BK153" s="2"/>
      <c r="BL153" s="2"/>
      <c r="BM153" s="1129">
        <v>32454</v>
      </c>
      <c r="BN153" s="2"/>
      <c r="BO153" s="262">
        <f t="shared" si="343"/>
        <v>5.9287302028341204E-2</v>
      </c>
      <c r="BP153" s="262">
        <f t="shared" si="332"/>
        <v>7.0948940843355957E-2</v>
      </c>
      <c r="BQ153" s="262">
        <f t="shared" si="344"/>
        <v>5.3675624181320207E-2</v>
      </c>
      <c r="BR153" s="262">
        <f t="shared" si="356"/>
        <v>8.7956940288799274E-2</v>
      </c>
      <c r="BS153" s="988">
        <f t="shared" si="367"/>
        <v>0.75653876637605488</v>
      </c>
      <c r="BT153" s="519">
        <f t="shared" si="368"/>
        <v>7051</v>
      </c>
      <c r="BU153" s="519"/>
      <c r="BV153" s="113">
        <f t="shared" si="333"/>
        <v>9.3574158615564285E-2</v>
      </c>
      <c r="BW153" s="276">
        <f t="shared" si="357"/>
        <v>1.0174794043755511E-2</v>
      </c>
      <c r="BX153" s="273">
        <v>19025</v>
      </c>
      <c r="BY153" s="2">
        <v>92</v>
      </c>
      <c r="BZ153" s="1012">
        <v>286</v>
      </c>
      <c r="CA153" s="1005">
        <f t="shared" si="345"/>
        <v>604632</v>
      </c>
      <c r="CB153" s="2"/>
      <c r="CC153" s="2"/>
      <c r="CD153" s="2"/>
      <c r="CE153" s="2"/>
      <c r="CF153" s="2">
        <v>692987</v>
      </c>
      <c r="CG153" s="2">
        <v>0</v>
      </c>
      <c r="CH153" s="2">
        <f t="shared" si="334"/>
        <v>0</v>
      </c>
      <c r="CI153" s="2">
        <v>86646</v>
      </c>
      <c r="CJ153" s="2"/>
      <c r="CK153" s="2"/>
      <c r="CL153" s="171">
        <f t="shared" si="358"/>
        <v>349804.84240315872</v>
      </c>
      <c r="CM153" s="169">
        <f t="shared" si="359"/>
        <v>409499.84240315872</v>
      </c>
      <c r="CN153" s="170">
        <f t="shared" si="268"/>
        <v>148869.84240315872</v>
      </c>
      <c r="CO153" s="170">
        <f t="shared" si="269"/>
        <v>156465</v>
      </c>
      <c r="CP153" s="170">
        <f t="shared" si="308"/>
        <v>260630</v>
      </c>
      <c r="CQ153" s="170">
        <f t="shared" si="309"/>
        <v>59695</v>
      </c>
      <c r="CR153" s="170">
        <v>5229</v>
      </c>
      <c r="CS153" s="113">
        <f t="shared" si="360"/>
        <v>8.6141587071618952E-2</v>
      </c>
      <c r="CT153" s="170">
        <f t="shared" si="346"/>
        <v>376992</v>
      </c>
      <c r="CU153" s="2">
        <v>137903</v>
      </c>
      <c r="CV153" s="991">
        <v>239089</v>
      </c>
      <c r="CW153" s="2">
        <v>55530</v>
      </c>
      <c r="CX153" s="2">
        <v>11781</v>
      </c>
      <c r="CY153" s="2">
        <v>741</v>
      </c>
      <c r="CZ153" s="170">
        <f t="shared" si="272"/>
        <v>32507.842403158735</v>
      </c>
      <c r="DA153" s="170">
        <f t="shared" si="273"/>
        <v>40103</v>
      </c>
      <c r="DB153" s="170">
        <f t="shared" si="335"/>
        <v>10966.842403158735</v>
      </c>
      <c r="DC153" s="2">
        <v>18562</v>
      </c>
      <c r="DD153" s="2">
        <v>21541</v>
      </c>
      <c r="DE153" s="2">
        <v>4165</v>
      </c>
      <c r="DF153" s="2">
        <v>1153</v>
      </c>
      <c r="DG153" s="1040">
        <v>0</v>
      </c>
      <c r="DH153" s="171">
        <f t="shared" si="381"/>
        <v>76062</v>
      </c>
      <c r="DI153" s="2">
        <f t="shared" si="320"/>
        <v>83988</v>
      </c>
      <c r="DJ153" s="2">
        <v>76062</v>
      </c>
      <c r="DK153" s="2">
        <v>7926</v>
      </c>
      <c r="DL153" s="113">
        <f t="shared" si="336"/>
        <v>0.12579883300916922</v>
      </c>
      <c r="DM153" s="113">
        <f t="shared" si="361"/>
        <v>0.20604855531415756</v>
      </c>
      <c r="DN153" s="113">
        <f t="shared" si="321"/>
        <v>0.55006580945631267</v>
      </c>
      <c r="DO153" s="2">
        <v>1695</v>
      </c>
      <c r="DP153" s="2">
        <v>0</v>
      </c>
      <c r="DQ153" s="273"/>
      <c r="DR153" s="2">
        <v>85511</v>
      </c>
      <c r="DS153" s="2">
        <v>52767</v>
      </c>
      <c r="DT153" s="169">
        <f t="shared" si="326"/>
        <v>138278</v>
      </c>
      <c r="DU153" s="2">
        <v>442230</v>
      </c>
      <c r="DV153" s="2"/>
      <c r="DW153" s="2">
        <v>115444</v>
      </c>
      <c r="DX153" s="2"/>
      <c r="DY153" s="2"/>
      <c r="DZ153" s="2"/>
      <c r="EA153" s="2"/>
      <c r="EB153" s="2"/>
      <c r="EC153" s="2"/>
      <c r="ED153" s="175">
        <v>4991</v>
      </c>
      <c r="EE153" s="2"/>
      <c r="EF153" s="175">
        <f t="shared" si="315"/>
        <v>14469</v>
      </c>
      <c r="EG153" s="2"/>
      <c r="EH153" s="2"/>
      <c r="EI153" s="2">
        <v>183215</v>
      </c>
      <c r="EJ153" s="2">
        <v>186180</v>
      </c>
      <c r="EK153" s="2"/>
      <c r="EL153" s="2"/>
      <c r="EM153" s="2"/>
      <c r="EN153" s="2"/>
      <c r="EO153" s="2"/>
      <c r="EP153" s="2"/>
      <c r="EQ153" s="2"/>
      <c r="ER153" s="2"/>
      <c r="ES153" s="2"/>
      <c r="ET153" s="2">
        <f t="shared" si="337"/>
        <v>692987</v>
      </c>
      <c r="EU153" s="2">
        <f t="shared" si="338"/>
        <v>692987</v>
      </c>
      <c r="EV153" s="262">
        <f t="shared" si="292"/>
        <v>1</v>
      </c>
      <c r="EW153" s="2">
        <v>692987</v>
      </c>
      <c r="EX153" s="1042">
        <v>0</v>
      </c>
      <c r="EY153" s="273">
        <f t="shared" si="339"/>
        <v>487543</v>
      </c>
      <c r="EZ153" s="2">
        <f t="shared" si="369"/>
        <v>237689</v>
      </c>
      <c r="FA153" s="2">
        <v>15934</v>
      </c>
      <c r="FB153" s="2">
        <v>83825</v>
      </c>
      <c r="FC153" s="2">
        <v>99668</v>
      </c>
      <c r="FD153" s="2">
        <v>51591</v>
      </c>
      <c r="FE153" s="1052">
        <v>106433</v>
      </c>
      <c r="FF153" s="273">
        <v>108643</v>
      </c>
      <c r="FG153" s="2">
        <v>21997</v>
      </c>
      <c r="FH153" s="170">
        <f t="shared" si="370"/>
        <v>108643</v>
      </c>
      <c r="FI153" s="2">
        <v>-6801</v>
      </c>
      <c r="FJ153" s="2">
        <f t="shared" si="362"/>
        <v>-6801</v>
      </c>
      <c r="FK153" s="273">
        <f t="shared" si="376"/>
        <v>48723</v>
      </c>
      <c r="FL153" s="2">
        <v>45513</v>
      </c>
      <c r="FM153" s="2"/>
      <c r="FN153" s="2">
        <v>5148</v>
      </c>
      <c r="FO153" s="2">
        <v>1938</v>
      </c>
      <c r="FP153" s="2">
        <v>26558</v>
      </c>
      <c r="FQ153" s="2">
        <v>185</v>
      </c>
      <c r="FR153" s="2">
        <v>21980</v>
      </c>
      <c r="FS153" s="1052">
        <f t="shared" si="377"/>
        <v>0</v>
      </c>
      <c r="FT153" s="2">
        <f t="shared" si="378"/>
        <v>93302</v>
      </c>
      <c r="FU153" s="511">
        <v>87500</v>
      </c>
      <c r="FV153" s="512">
        <f t="shared" si="379"/>
        <v>0.96522966950536115</v>
      </c>
      <c r="FW153" s="2">
        <v>78565</v>
      </c>
      <c r="FX153" s="2">
        <v>3294</v>
      </c>
      <c r="FY153" s="2">
        <v>126</v>
      </c>
      <c r="FZ153" s="2">
        <v>67638</v>
      </c>
      <c r="GA153" s="2">
        <v>214</v>
      </c>
      <c r="GB153" s="2">
        <v>13881</v>
      </c>
      <c r="GC153" s="2">
        <f t="shared" si="371"/>
        <v>0</v>
      </c>
      <c r="GD153" s="2">
        <v>12087</v>
      </c>
      <c r="GE153" s="2">
        <v>0</v>
      </c>
      <c r="GF153" s="2">
        <v>518</v>
      </c>
      <c r="GG153" s="2">
        <v>6779</v>
      </c>
      <c r="GH153" s="2">
        <v>86</v>
      </c>
      <c r="GI153" s="2">
        <v>4704</v>
      </c>
      <c r="GJ153" s="2">
        <f t="shared" si="372"/>
        <v>0</v>
      </c>
      <c r="GK153" s="273">
        <f t="shared" si="373"/>
        <v>-33349</v>
      </c>
      <c r="GL153" s="2">
        <v>-27522</v>
      </c>
      <c r="GM153" s="2">
        <v>4480</v>
      </c>
      <c r="GN153" s="2">
        <v>10307</v>
      </c>
      <c r="GO153" s="511">
        <v>-26084</v>
      </c>
      <c r="GP153" s="2">
        <v>14469</v>
      </c>
      <c r="GQ153" s="2">
        <v>14720</v>
      </c>
      <c r="GR153" s="2">
        <v>-485</v>
      </c>
      <c r="GS153" s="2">
        <v>-47333</v>
      </c>
      <c r="GT153" s="2">
        <f t="shared" si="380"/>
        <v>0</v>
      </c>
      <c r="GU153" s="2">
        <f t="shared" si="364"/>
        <v>-47333</v>
      </c>
      <c r="GV153" s="615">
        <v>26656</v>
      </c>
      <c r="GW153" s="615">
        <v>22386</v>
      </c>
      <c r="GX153" s="615">
        <v>12489</v>
      </c>
      <c r="GY153" s="615">
        <f t="shared" si="363"/>
        <v>14167</v>
      </c>
      <c r="GZ153" s="2">
        <v>-29122</v>
      </c>
      <c r="HA153" s="2">
        <v>-30741</v>
      </c>
      <c r="HB153" s="2">
        <v>4737</v>
      </c>
      <c r="HC153" s="1052">
        <f t="shared" si="374"/>
        <v>-3118</v>
      </c>
      <c r="HD153" s="170">
        <f t="shared" si="347"/>
        <v>1521</v>
      </c>
      <c r="HE153" s="2">
        <v>72585</v>
      </c>
      <c r="HF153" s="2">
        <v>71064</v>
      </c>
      <c r="HG153" s="170">
        <f t="shared" si="348"/>
        <v>-170</v>
      </c>
      <c r="HH153" s="2">
        <v>681</v>
      </c>
      <c r="HI153" s="2">
        <v>851</v>
      </c>
      <c r="HJ153" s="2">
        <f t="shared" si="340"/>
        <v>-3060</v>
      </c>
      <c r="HK153" s="2">
        <v>3349</v>
      </c>
      <c r="HL153" s="2"/>
      <c r="HM153" s="2">
        <f t="shared" si="247"/>
        <v>289</v>
      </c>
      <c r="HN153" s="2">
        <f t="shared" si="283"/>
        <v>-2094</v>
      </c>
      <c r="HO153" s="2">
        <f t="shared" si="341"/>
        <v>-2127</v>
      </c>
      <c r="HP153" s="2">
        <v>691275</v>
      </c>
      <c r="HQ153" s="2">
        <v>689148</v>
      </c>
      <c r="HR153" s="2">
        <v>12922</v>
      </c>
      <c r="HS153" s="1052">
        <v>12889</v>
      </c>
      <c r="HT153" s="1002">
        <v>568.5</v>
      </c>
      <c r="HU153" s="1002">
        <v>72.099999999999994</v>
      </c>
      <c r="HV153" s="1002">
        <v>74.900000000000006</v>
      </c>
    </row>
    <row r="154" spans="1:230">
      <c r="A154" s="110">
        <f t="shared" si="349"/>
        <v>1995</v>
      </c>
      <c r="B154" s="176">
        <f t="shared" si="327"/>
        <v>638369</v>
      </c>
      <c r="C154" s="177">
        <f t="shared" si="317"/>
        <v>-5767</v>
      </c>
      <c r="D154" s="176">
        <f t="shared" si="342"/>
        <v>644136</v>
      </c>
      <c r="E154" s="154">
        <f t="shared" si="328"/>
        <v>733266</v>
      </c>
      <c r="F154" s="995">
        <f t="shared" si="329"/>
        <v>89130</v>
      </c>
      <c r="G154" s="531">
        <f t="shared" si="350"/>
        <v>638369</v>
      </c>
      <c r="H154" s="531">
        <f t="shared" si="351"/>
        <v>644136</v>
      </c>
      <c r="I154" s="531">
        <f t="shared" si="352"/>
        <v>733266</v>
      </c>
      <c r="J154" s="548">
        <f t="shared" si="353"/>
        <v>1</v>
      </c>
      <c r="K154" s="178">
        <f t="shared" si="325"/>
        <v>93487</v>
      </c>
      <c r="L154" s="2">
        <v>101266</v>
      </c>
      <c r="M154" s="2">
        <v>7779</v>
      </c>
      <c r="N154" s="2">
        <v>79331</v>
      </c>
      <c r="O154" s="170">
        <f t="shared" si="286"/>
        <v>14156</v>
      </c>
      <c r="P154" s="175">
        <f t="shared" si="365"/>
        <v>-192</v>
      </c>
      <c r="Q154" s="175">
        <f t="shared" si="366"/>
        <v>12664</v>
      </c>
      <c r="R154" s="175">
        <f t="shared" si="287"/>
        <v>1684</v>
      </c>
      <c r="S154" s="532"/>
      <c r="T154" s="1008">
        <f t="shared" si="253"/>
        <v>28341.342409266894</v>
      </c>
      <c r="U154" s="1010">
        <v>20827</v>
      </c>
      <c r="V154" s="511">
        <f t="shared" si="288"/>
        <v>41172.342409266894</v>
      </c>
      <c r="W154" s="2">
        <v>33658</v>
      </c>
      <c r="X154" s="169">
        <f t="shared" si="254"/>
        <v>12831</v>
      </c>
      <c r="Y154" s="113">
        <f t="shared" si="255"/>
        <v>0.311641243834406</v>
      </c>
      <c r="Z154" s="113">
        <f t="shared" si="330"/>
        <v>0.38121694693683522</v>
      </c>
      <c r="AA154" s="276">
        <f>X154/DataUK3!D154</f>
        <v>1.1746762110443915E-2</v>
      </c>
      <c r="AB154" s="1019">
        <f t="shared" si="331"/>
        <v>1.7498424855373083E-2</v>
      </c>
      <c r="AC154" s="2">
        <v>39958</v>
      </c>
      <c r="AD154" s="2">
        <v>10184</v>
      </c>
      <c r="AE154" s="2">
        <v>29774</v>
      </c>
      <c r="AF154" s="253">
        <f>AC154/DataUK3!$BE154</f>
        <v>7.8610437848216821E-2</v>
      </c>
      <c r="AG154" s="253">
        <f>AD154/DataUK3!$BE154</f>
        <v>2.0035254493374045E-2</v>
      </c>
      <c r="AH154" s="253">
        <f>AE154/DataUK3!$BE154</f>
        <v>5.8575183354842769E-2</v>
      </c>
      <c r="AI154" s="1010">
        <f>AD154*DataUK3!BG154</f>
        <v>7514.3424092668956</v>
      </c>
      <c r="AJ154" s="171">
        <f t="shared" si="375"/>
        <v>73153</v>
      </c>
      <c r="AK154" s="561"/>
      <c r="AL154" s="169">
        <f t="shared" si="354"/>
        <v>80411</v>
      </c>
      <c r="AM154" s="169"/>
      <c r="AN154" s="2">
        <v>38030</v>
      </c>
      <c r="AO154" s="1012">
        <v>45288</v>
      </c>
      <c r="AP154" s="2"/>
      <c r="AQ154" s="2"/>
      <c r="AR154" s="2"/>
      <c r="AS154" s="2"/>
      <c r="AT154" s="2"/>
      <c r="AU154" s="2"/>
      <c r="AV154" s="2"/>
      <c r="AW154" s="2"/>
      <c r="AX154" s="2"/>
      <c r="AY154" s="2"/>
      <c r="AZ154" s="2"/>
      <c r="BA154" s="2"/>
      <c r="BB154" s="2"/>
      <c r="BC154" s="2"/>
      <c r="BD154" s="2"/>
      <c r="BE154" s="2"/>
      <c r="BF154" s="2"/>
      <c r="BG154" s="2"/>
      <c r="BH154" s="2"/>
      <c r="BI154" s="273">
        <v>385739</v>
      </c>
      <c r="BJ154" s="2">
        <f t="shared" si="355"/>
        <v>386035</v>
      </c>
      <c r="BK154" s="2"/>
      <c r="BL154" s="2"/>
      <c r="BM154" s="1129">
        <v>35123</v>
      </c>
      <c r="BN154" s="2"/>
      <c r="BO154" s="262">
        <f t="shared" si="343"/>
        <v>5.9573694837938562E-2</v>
      </c>
      <c r="BP154" s="262">
        <f t="shared" si="332"/>
        <v>7.0943294552210392E-2</v>
      </c>
      <c r="BQ154" s="262">
        <f t="shared" si="344"/>
        <v>5.5019902282222352E-2</v>
      </c>
      <c r="BR154" s="262">
        <f t="shared" si="356"/>
        <v>9.1053795441995752E-2</v>
      </c>
      <c r="BS154" s="988">
        <f t="shared" si="367"/>
        <v>0.77554760642995935</v>
      </c>
      <c r="BT154" s="519">
        <f t="shared" si="368"/>
        <v>7258</v>
      </c>
      <c r="BU154" s="519"/>
      <c r="BV154" s="113">
        <f t="shared" si="333"/>
        <v>9.0261282660332537E-2</v>
      </c>
      <c r="BW154" s="276">
        <f t="shared" si="357"/>
        <v>9.8981815603069005E-3</v>
      </c>
      <c r="BX154" s="273">
        <v>20089</v>
      </c>
      <c r="BY154" s="2">
        <v>101</v>
      </c>
      <c r="BZ154" s="1012">
        <v>293</v>
      </c>
      <c r="CA154" s="1005">
        <f t="shared" si="345"/>
        <v>638369</v>
      </c>
      <c r="CB154" s="2"/>
      <c r="CC154" s="2"/>
      <c r="CD154" s="2"/>
      <c r="CE154" s="2"/>
      <c r="CF154" s="2">
        <v>733266</v>
      </c>
      <c r="CG154" s="2">
        <v>0</v>
      </c>
      <c r="CH154" s="2">
        <f t="shared" si="334"/>
        <v>0</v>
      </c>
      <c r="CI154" s="2">
        <v>89130</v>
      </c>
      <c r="CJ154" s="2"/>
      <c r="CK154" s="2"/>
      <c r="CL154" s="171">
        <f t="shared" si="358"/>
        <v>371033.65759073314</v>
      </c>
      <c r="CM154" s="169">
        <f t="shared" si="359"/>
        <v>431574.65759073314</v>
      </c>
      <c r="CN154" s="170">
        <f t="shared" si="268"/>
        <v>158783.65759073311</v>
      </c>
      <c r="CO154" s="170">
        <f t="shared" si="269"/>
        <v>166298</v>
      </c>
      <c r="CP154" s="170">
        <f t="shared" si="308"/>
        <v>272791</v>
      </c>
      <c r="CQ154" s="170">
        <f t="shared" si="309"/>
        <v>60541</v>
      </c>
      <c r="CR154" s="170">
        <v>4492</v>
      </c>
      <c r="CS154" s="113">
        <f t="shared" si="360"/>
        <v>8.2563489920438146E-2</v>
      </c>
      <c r="CT154" s="170">
        <f t="shared" si="346"/>
        <v>402258</v>
      </c>
      <c r="CU154" s="2">
        <v>150500</v>
      </c>
      <c r="CV154" s="991">
        <v>251758</v>
      </c>
      <c r="CW154" s="2">
        <v>56609</v>
      </c>
      <c r="CX154" s="2">
        <v>12099</v>
      </c>
      <c r="CY154" s="2">
        <v>765</v>
      </c>
      <c r="CZ154" s="170">
        <f t="shared" si="272"/>
        <v>29316.657590733106</v>
      </c>
      <c r="DA154" s="170">
        <f t="shared" si="273"/>
        <v>36831</v>
      </c>
      <c r="DB154" s="170">
        <f t="shared" si="335"/>
        <v>8283.6575907331044</v>
      </c>
      <c r="DC154" s="2">
        <v>15798</v>
      </c>
      <c r="DD154" s="2">
        <v>21033</v>
      </c>
      <c r="DE154" s="2">
        <v>3932</v>
      </c>
      <c r="DF154" s="2">
        <v>1330</v>
      </c>
      <c r="DG154" s="1040">
        <v>0</v>
      </c>
      <c r="DH154" s="171">
        <f t="shared" si="381"/>
        <v>78121</v>
      </c>
      <c r="DI154" s="2">
        <f t="shared" si="320"/>
        <v>86621</v>
      </c>
      <c r="DJ154" s="2">
        <v>78121</v>
      </c>
      <c r="DK154" s="2">
        <v>8500</v>
      </c>
      <c r="DL154" s="113">
        <f t="shared" si="336"/>
        <v>0.12237592990887715</v>
      </c>
      <c r="DM154" s="113">
        <f t="shared" si="361"/>
        <v>0.20236766096338415</v>
      </c>
      <c r="DN154" s="113">
        <f t="shared" si="321"/>
        <v>0.54617847754348681</v>
      </c>
      <c r="DO154" s="2">
        <v>1684</v>
      </c>
      <c r="DP154" s="2">
        <v>0</v>
      </c>
      <c r="DQ154" s="273"/>
      <c r="DR154" s="2">
        <v>87966</v>
      </c>
      <c r="DS154" s="2">
        <v>55066</v>
      </c>
      <c r="DT154" s="169">
        <f t="shared" si="326"/>
        <v>143032</v>
      </c>
      <c r="DU154" s="2">
        <v>465337</v>
      </c>
      <c r="DV154" s="2"/>
      <c r="DW154" s="2">
        <v>125755</v>
      </c>
      <c r="DX154" s="2"/>
      <c r="DY154" s="2"/>
      <c r="DZ154" s="2"/>
      <c r="EA154" s="2"/>
      <c r="EB154" s="2"/>
      <c r="EC154" s="2"/>
      <c r="ED154" s="175">
        <v>5242</v>
      </c>
      <c r="EE154" s="2"/>
      <c r="EF154" s="175">
        <f t="shared" si="315"/>
        <v>14435</v>
      </c>
      <c r="EG154" s="2"/>
      <c r="EH154" s="2"/>
      <c r="EI154" s="2">
        <v>207147</v>
      </c>
      <c r="EJ154" s="2">
        <v>208005</v>
      </c>
      <c r="EK154" s="2"/>
      <c r="EL154" s="2"/>
      <c r="EM154" s="2"/>
      <c r="EN154" s="2"/>
      <c r="EO154" s="2"/>
      <c r="EP154" s="2"/>
      <c r="EQ154" s="2"/>
      <c r="ER154" s="2"/>
      <c r="ES154" s="2"/>
      <c r="ET154" s="2">
        <f t="shared" si="337"/>
        <v>733266</v>
      </c>
      <c r="EU154" s="2">
        <f t="shared" si="338"/>
        <v>733266</v>
      </c>
      <c r="EV154" s="262">
        <f t="shared" si="292"/>
        <v>1</v>
      </c>
      <c r="EW154" s="2">
        <v>733266</v>
      </c>
      <c r="EX154" s="1042">
        <v>0</v>
      </c>
      <c r="EY154" s="273">
        <f t="shared" si="339"/>
        <v>508509</v>
      </c>
      <c r="EZ154" s="2">
        <f t="shared" si="369"/>
        <v>257790</v>
      </c>
      <c r="FA154" s="2">
        <v>20784</v>
      </c>
      <c r="FB154" s="2">
        <v>89540</v>
      </c>
      <c r="FC154" s="2">
        <v>110239</v>
      </c>
      <c r="FD154" s="2">
        <v>53979</v>
      </c>
      <c r="FE154" s="1052">
        <v>110563</v>
      </c>
      <c r="FF154" s="273">
        <v>116692</v>
      </c>
      <c r="FG154" s="2">
        <v>27562</v>
      </c>
      <c r="FH154" s="170">
        <f t="shared" si="370"/>
        <v>116692</v>
      </c>
      <c r="FI154" s="2">
        <v>-9063</v>
      </c>
      <c r="FJ154" s="2">
        <f t="shared" si="362"/>
        <v>-9063</v>
      </c>
      <c r="FK154" s="273">
        <f t="shared" si="376"/>
        <v>56365</v>
      </c>
      <c r="FL154" s="2">
        <v>53614</v>
      </c>
      <c r="FM154" s="2"/>
      <c r="FN154" s="2">
        <v>4645</v>
      </c>
      <c r="FO154" s="2">
        <v>1894</v>
      </c>
      <c r="FP154" s="2">
        <v>28618</v>
      </c>
      <c r="FQ154" s="2">
        <v>-81</v>
      </c>
      <c r="FR154" s="2">
        <v>27828</v>
      </c>
      <c r="FS154" s="1052">
        <f t="shared" si="377"/>
        <v>0</v>
      </c>
      <c r="FT154" s="2">
        <f t="shared" si="378"/>
        <v>89358</v>
      </c>
      <c r="FU154" s="511">
        <v>79548</v>
      </c>
      <c r="FV154" s="512">
        <f t="shared" si="379"/>
        <v>0.9400170164492343</v>
      </c>
      <c r="FW154" s="2">
        <v>77839</v>
      </c>
      <c r="FX154" s="2">
        <v>4878</v>
      </c>
      <c r="FY154" s="2">
        <v>144</v>
      </c>
      <c r="FZ154" s="2">
        <v>76840</v>
      </c>
      <c r="GA154" s="2">
        <v>301</v>
      </c>
      <c r="GB154" s="2">
        <v>5432</v>
      </c>
      <c r="GC154" s="2">
        <f t="shared" si="371"/>
        <v>0</v>
      </c>
      <c r="GD154" s="2">
        <v>6785</v>
      </c>
      <c r="GE154" s="2">
        <v>0</v>
      </c>
      <c r="GF154" s="2">
        <v>0</v>
      </c>
      <c r="GG154" s="2">
        <v>5862</v>
      </c>
      <c r="GH154" s="2">
        <v>-77</v>
      </c>
      <c r="GI154" s="2">
        <v>1000</v>
      </c>
      <c r="GJ154" s="2">
        <f t="shared" si="372"/>
        <v>0</v>
      </c>
      <c r="GK154" s="273">
        <f t="shared" si="373"/>
        <v>-28498</v>
      </c>
      <c r="GL154" s="2">
        <v>-21546</v>
      </c>
      <c r="GM154" s="2">
        <v>4373</v>
      </c>
      <c r="GN154" s="2">
        <v>11325</v>
      </c>
      <c r="GO154" s="511">
        <v>-20105</v>
      </c>
      <c r="GP154" s="2">
        <v>14435</v>
      </c>
      <c r="GQ154" s="2">
        <v>14589</v>
      </c>
      <c r="GR154" s="2">
        <v>-143</v>
      </c>
      <c r="GS154" s="2">
        <v>-42790</v>
      </c>
      <c r="GT154" s="2">
        <f t="shared" si="380"/>
        <v>0</v>
      </c>
      <c r="GU154" s="2">
        <f t="shared" si="364"/>
        <v>-42790</v>
      </c>
      <c r="GV154" s="615">
        <v>29943</v>
      </c>
      <c r="GW154" s="615">
        <v>25714</v>
      </c>
      <c r="GX154" s="615">
        <v>12576</v>
      </c>
      <c r="GY154" s="615">
        <f t="shared" si="363"/>
        <v>17367</v>
      </c>
      <c r="GZ154" s="2">
        <v>-22230</v>
      </c>
      <c r="HA154" s="2">
        <v>-23927</v>
      </c>
      <c r="HB154" s="2">
        <v>5126</v>
      </c>
      <c r="HC154" s="1052">
        <f t="shared" si="374"/>
        <v>-3429</v>
      </c>
      <c r="HD154" s="170">
        <f t="shared" si="347"/>
        <v>-546</v>
      </c>
      <c r="HE154" s="2">
        <v>85490</v>
      </c>
      <c r="HF154" s="2">
        <v>86036</v>
      </c>
      <c r="HG154" s="170">
        <f t="shared" si="348"/>
        <v>-296</v>
      </c>
      <c r="HH154" s="2">
        <v>887</v>
      </c>
      <c r="HI154" s="2">
        <v>1183</v>
      </c>
      <c r="HJ154" s="2">
        <f t="shared" si="340"/>
        <v>-4925</v>
      </c>
      <c r="HK154" s="2">
        <v>5220</v>
      </c>
      <c r="HL154" s="2"/>
      <c r="HM154" s="2">
        <f t="shared" si="247"/>
        <v>295</v>
      </c>
      <c r="HN154" s="2">
        <f t="shared" si="283"/>
        <v>-1905</v>
      </c>
      <c r="HO154" s="2">
        <f t="shared" si="341"/>
        <v>-2438</v>
      </c>
      <c r="HP154" s="2">
        <v>727497</v>
      </c>
      <c r="HQ154" s="2">
        <v>725059</v>
      </c>
      <c r="HR154" s="2">
        <v>13896</v>
      </c>
      <c r="HS154" s="1052">
        <v>13363</v>
      </c>
      <c r="HT154" s="1002">
        <v>588.20000000000005</v>
      </c>
      <c r="HU154" s="1002">
        <v>74</v>
      </c>
      <c r="HV154" s="1002">
        <v>77.400000000000006</v>
      </c>
    </row>
    <row r="155" spans="1:230">
      <c r="A155" s="110">
        <f t="shared" si="349"/>
        <v>1996</v>
      </c>
      <c r="B155" s="176">
        <f t="shared" si="327"/>
        <v>683142</v>
      </c>
      <c r="C155" s="177">
        <f t="shared" si="317"/>
        <v>-5220</v>
      </c>
      <c r="D155" s="176">
        <f t="shared" si="342"/>
        <v>688362</v>
      </c>
      <c r="E155" s="154">
        <f t="shared" si="328"/>
        <v>781726</v>
      </c>
      <c r="F155" s="995">
        <f t="shared" si="329"/>
        <v>93364</v>
      </c>
      <c r="G155" s="531">
        <f t="shared" si="350"/>
        <v>683142</v>
      </c>
      <c r="H155" s="531">
        <f t="shared" si="351"/>
        <v>688362</v>
      </c>
      <c r="I155" s="531">
        <f t="shared" si="352"/>
        <v>781726</v>
      </c>
      <c r="J155" s="548">
        <f t="shared" si="353"/>
        <v>1</v>
      </c>
      <c r="K155" s="178">
        <f t="shared" si="325"/>
        <v>97372</v>
      </c>
      <c r="L155" s="2">
        <v>105936</v>
      </c>
      <c r="M155" s="2">
        <v>8564</v>
      </c>
      <c r="N155" s="2">
        <v>83316</v>
      </c>
      <c r="O155" s="170">
        <f t="shared" si="286"/>
        <v>14056</v>
      </c>
      <c r="P155" s="175">
        <f t="shared" si="365"/>
        <v>-208</v>
      </c>
      <c r="Q155" s="175">
        <f t="shared" si="366"/>
        <v>14264</v>
      </c>
      <c r="R155" s="175">
        <f t="shared" si="287"/>
        <v>0</v>
      </c>
      <c r="S155" s="532"/>
      <c r="T155" s="1008">
        <f t="shared" si="253"/>
        <v>30324.305965901083</v>
      </c>
      <c r="U155" s="1010">
        <v>21918</v>
      </c>
      <c r="V155" s="511">
        <f t="shared" si="288"/>
        <v>43886.305965901083</v>
      </c>
      <c r="W155" s="2">
        <v>35480</v>
      </c>
      <c r="X155" s="169">
        <f t="shared" si="254"/>
        <v>13562</v>
      </c>
      <c r="Y155" s="113">
        <f t="shared" si="255"/>
        <v>0.30902578153963206</v>
      </c>
      <c r="Z155" s="113">
        <f t="shared" si="330"/>
        <v>0.38224351747463359</v>
      </c>
      <c r="AA155" s="276">
        <f>X155/DataUK3!D155</f>
        <v>1.2459485083896193E-2</v>
      </c>
      <c r="AB155" s="1019">
        <f t="shared" si="331"/>
        <v>1.7348789729393674E-2</v>
      </c>
      <c r="AC155" s="2">
        <v>38163</v>
      </c>
      <c r="AD155" s="2">
        <v>11482</v>
      </c>
      <c r="AE155" s="2">
        <v>26681</v>
      </c>
      <c r="AF155" s="253">
        <f>AC155/DataUK3!$BE155</f>
        <v>7.1697900521347044E-2</v>
      </c>
      <c r="AG155" s="253">
        <f>AD155/DataUK3!$BE155</f>
        <v>2.1571556056549715E-2</v>
      </c>
      <c r="AH155" s="253">
        <f>AE155/DataUK3!$BE155</f>
        <v>5.0126344464797329E-2</v>
      </c>
      <c r="AI155" s="1010">
        <f>AD155*DataUK3!BG155</f>
        <v>8406.3059659010851</v>
      </c>
      <c r="AJ155" s="171">
        <f t="shared" si="375"/>
        <v>78090</v>
      </c>
      <c r="AK155" s="561"/>
      <c r="AL155" s="169">
        <f t="shared" si="354"/>
        <v>86282</v>
      </c>
      <c r="AM155" s="169"/>
      <c r="AN155" s="2">
        <v>41215</v>
      </c>
      <c r="AO155" s="1012">
        <v>49407</v>
      </c>
      <c r="AP155" s="2"/>
      <c r="AQ155" s="2"/>
      <c r="AR155" s="2"/>
      <c r="AS155" s="2"/>
      <c r="AT155" s="2"/>
      <c r="AU155" s="2"/>
      <c r="AV155" s="2"/>
      <c r="AW155" s="2"/>
      <c r="AX155" s="2"/>
      <c r="AY155" s="2"/>
      <c r="AZ155" s="2"/>
      <c r="BA155" s="2"/>
      <c r="BB155" s="2"/>
      <c r="BC155" s="2"/>
      <c r="BD155" s="2"/>
      <c r="BE155" s="2"/>
      <c r="BF155" s="2"/>
      <c r="BG155" s="2"/>
      <c r="BH155" s="2"/>
      <c r="BI155" s="273">
        <v>403980</v>
      </c>
      <c r="BJ155" s="2">
        <f t="shared" si="355"/>
        <v>403887</v>
      </c>
      <c r="BK155" s="2"/>
      <c r="BL155" s="2"/>
      <c r="BM155" s="1129">
        <v>36875</v>
      </c>
      <c r="BN155" s="2"/>
      <c r="BO155" s="262">
        <f t="shared" si="343"/>
        <v>6.0331526973894156E-2</v>
      </c>
      <c r="BP155" s="262">
        <f t="shared" si="332"/>
        <v>7.2323177318917589E-2</v>
      </c>
      <c r="BQ155" s="262">
        <f t="shared" si="344"/>
        <v>5.3978528622160543E-2</v>
      </c>
      <c r="BR155" s="262">
        <f t="shared" si="356"/>
        <v>9.1279271251052035E-2</v>
      </c>
      <c r="BS155" s="988">
        <f t="shared" si="367"/>
        <v>0.74635173153601719</v>
      </c>
      <c r="BT155" s="519">
        <f t="shared" si="368"/>
        <v>8192</v>
      </c>
      <c r="BU155" s="519"/>
      <c r="BV155" s="113">
        <f t="shared" si="333"/>
        <v>9.4944484365221016E-2</v>
      </c>
      <c r="BW155" s="276">
        <f t="shared" si="357"/>
        <v>1.0479375126323034E-2</v>
      </c>
      <c r="BX155" s="273">
        <v>21754</v>
      </c>
      <c r="BY155" s="2">
        <v>53</v>
      </c>
      <c r="BZ155" s="1012">
        <v>261</v>
      </c>
      <c r="CA155" s="1005">
        <f t="shared" si="345"/>
        <v>683142</v>
      </c>
      <c r="CB155" s="2"/>
      <c r="CC155" s="2"/>
      <c r="CD155" s="2"/>
      <c r="CE155" s="2"/>
      <c r="CF155" s="2">
        <v>781726</v>
      </c>
      <c r="CG155" s="2">
        <v>0</v>
      </c>
      <c r="CH155" s="2">
        <f t="shared" si="334"/>
        <v>0</v>
      </c>
      <c r="CI155" s="2">
        <v>93364</v>
      </c>
      <c r="CJ155" s="2"/>
      <c r="CK155" s="2"/>
      <c r="CL155" s="171">
        <f t="shared" si="358"/>
        <v>400310.69403409888</v>
      </c>
      <c r="CM155" s="169">
        <f t="shared" si="359"/>
        <v>463107.69403409888</v>
      </c>
      <c r="CN155" s="170">
        <f t="shared" si="268"/>
        <v>178360.69403409891</v>
      </c>
      <c r="CO155" s="170">
        <f t="shared" si="269"/>
        <v>186767</v>
      </c>
      <c r="CP155" s="170">
        <f t="shared" si="308"/>
        <v>284747</v>
      </c>
      <c r="CQ155" s="170">
        <f t="shared" si="309"/>
        <v>62797</v>
      </c>
      <c r="CR155" s="170">
        <v>3836</v>
      </c>
      <c r="CS155" s="113">
        <f t="shared" si="360"/>
        <v>8.03312157968393E-2</v>
      </c>
      <c r="CT155" s="170">
        <f t="shared" si="346"/>
        <v>428592</v>
      </c>
      <c r="CU155" s="2">
        <v>166639</v>
      </c>
      <c r="CV155" s="991">
        <v>261953</v>
      </c>
      <c r="CW155" s="2">
        <v>58729</v>
      </c>
      <c r="CX155" s="2">
        <v>13645</v>
      </c>
      <c r="CY155" s="2">
        <v>728</v>
      </c>
      <c r="CZ155" s="170">
        <f t="shared" si="272"/>
        <v>34515.694034098917</v>
      </c>
      <c r="DA155" s="170">
        <f t="shared" si="273"/>
        <v>42922</v>
      </c>
      <c r="DB155" s="170">
        <f t="shared" si="335"/>
        <v>11721.694034098915</v>
      </c>
      <c r="DC155" s="2">
        <v>20128</v>
      </c>
      <c r="DD155" s="2">
        <v>22794</v>
      </c>
      <c r="DE155" s="2">
        <v>4068</v>
      </c>
      <c r="DF155" s="2">
        <v>1347</v>
      </c>
      <c r="DG155" s="1040">
        <v>0</v>
      </c>
      <c r="DH155" s="171">
        <f t="shared" si="381"/>
        <v>82265</v>
      </c>
      <c r="DI155" s="2">
        <f t="shared" si="320"/>
        <v>91078</v>
      </c>
      <c r="DJ155" s="2">
        <v>82265</v>
      </c>
      <c r="DK155" s="2">
        <v>8813</v>
      </c>
      <c r="DL155" s="113">
        <f t="shared" si="336"/>
        <v>0.12042152290446204</v>
      </c>
      <c r="DM155" s="113">
        <f t="shared" si="361"/>
        <v>0.20368320842215767</v>
      </c>
      <c r="DN155" s="113">
        <f t="shared" si="321"/>
        <v>0.55297881922738246</v>
      </c>
      <c r="DO155" s="2">
        <v>0</v>
      </c>
      <c r="DP155" s="2">
        <v>0</v>
      </c>
      <c r="DQ155" s="273"/>
      <c r="DR155" s="2">
        <v>92476</v>
      </c>
      <c r="DS155" s="2">
        <v>56291</v>
      </c>
      <c r="DT155" s="169">
        <f t="shared" si="326"/>
        <v>148767</v>
      </c>
      <c r="DU155" s="2">
        <v>500412</v>
      </c>
      <c r="DV155" s="2"/>
      <c r="DW155" s="2">
        <v>131957</v>
      </c>
      <c r="DX155" s="2"/>
      <c r="DY155" s="2"/>
      <c r="DZ155" s="2"/>
      <c r="EA155" s="2"/>
      <c r="EB155" s="2"/>
      <c r="EC155" s="2"/>
      <c r="ED155" s="175">
        <v>4556</v>
      </c>
      <c r="EE155" s="2"/>
      <c r="EF155" s="175">
        <f t="shared" si="315"/>
        <v>12004</v>
      </c>
      <c r="EG155" s="2"/>
      <c r="EH155" s="2"/>
      <c r="EI155" s="2">
        <v>229047</v>
      </c>
      <c r="EJ155" s="2">
        <v>228457</v>
      </c>
      <c r="EK155" s="2"/>
      <c r="EL155" s="2"/>
      <c r="EM155" s="2"/>
      <c r="EN155" s="2"/>
      <c r="EO155" s="2"/>
      <c r="EP155" s="2"/>
      <c r="EQ155" s="2"/>
      <c r="ER155" s="2"/>
      <c r="ES155" s="2"/>
      <c r="ET155" s="2">
        <f t="shared" si="337"/>
        <v>781726</v>
      </c>
      <c r="EU155" s="2">
        <f t="shared" si="338"/>
        <v>781726</v>
      </c>
      <c r="EV155" s="262">
        <f t="shared" si="292"/>
        <v>1</v>
      </c>
      <c r="EW155" s="2">
        <v>781726</v>
      </c>
      <c r="EX155" s="1042">
        <v>0</v>
      </c>
      <c r="EY155" s="273">
        <f t="shared" si="339"/>
        <v>544113</v>
      </c>
      <c r="EZ155" s="2">
        <f t="shared" si="369"/>
        <v>270447</v>
      </c>
      <c r="FA155" s="2">
        <v>25338</v>
      </c>
      <c r="FB155" s="2">
        <v>90629</v>
      </c>
      <c r="FC155" s="2">
        <v>115733</v>
      </c>
      <c r="FD155" s="2">
        <v>57108</v>
      </c>
      <c r="FE155" s="1052">
        <v>113256</v>
      </c>
      <c r="FF155" s="273">
        <v>125641</v>
      </c>
      <c r="FG155" s="2">
        <v>32277</v>
      </c>
      <c r="FH155" s="170">
        <f t="shared" si="370"/>
        <v>125641</v>
      </c>
      <c r="FI155" s="2">
        <v>-6316</v>
      </c>
      <c r="FJ155" s="2">
        <f t="shared" si="362"/>
        <v>-6316</v>
      </c>
      <c r="FK155" s="273">
        <f t="shared" si="376"/>
        <v>54876</v>
      </c>
      <c r="FL155" s="2">
        <v>52171</v>
      </c>
      <c r="FM155" s="2"/>
      <c r="FN155" s="2">
        <v>4791</v>
      </c>
      <c r="FO155" s="2">
        <v>2086</v>
      </c>
      <c r="FP155" s="2">
        <v>30793</v>
      </c>
      <c r="FQ155" s="2">
        <v>337</v>
      </c>
      <c r="FR155" s="2">
        <v>23746</v>
      </c>
      <c r="FS155" s="1052">
        <f t="shared" si="377"/>
        <v>0</v>
      </c>
      <c r="FT155" s="2">
        <f t="shared" si="378"/>
        <v>92951</v>
      </c>
      <c r="FU155" s="511">
        <v>84974</v>
      </c>
      <c r="FV155" s="512">
        <f t="shared" si="379"/>
        <v>0.94932409786616023</v>
      </c>
      <c r="FW155" s="2">
        <v>84264</v>
      </c>
      <c r="FX155" s="2">
        <v>3603</v>
      </c>
      <c r="FY155" s="2">
        <v>162</v>
      </c>
      <c r="FZ155" s="2">
        <v>82030</v>
      </c>
      <c r="GA155" s="2">
        <v>117</v>
      </c>
      <c r="GB155" s="2">
        <v>5558</v>
      </c>
      <c r="GC155" s="2">
        <f t="shared" si="371"/>
        <v>0</v>
      </c>
      <c r="GD155" s="2">
        <v>5246</v>
      </c>
      <c r="GE155" s="2">
        <v>0</v>
      </c>
      <c r="GF155" s="2">
        <v>0</v>
      </c>
      <c r="GG155" s="2">
        <v>7130</v>
      </c>
      <c r="GH155" s="2">
        <v>-1</v>
      </c>
      <c r="GI155" s="2">
        <v>-1883</v>
      </c>
      <c r="GJ155" s="2">
        <f t="shared" si="372"/>
        <v>0</v>
      </c>
      <c r="GK155" s="273">
        <f t="shared" si="373"/>
        <v>-20940</v>
      </c>
      <c r="GL155" s="2">
        <v>-16040</v>
      </c>
      <c r="GM155" s="2">
        <v>6409</v>
      </c>
      <c r="GN155" s="2">
        <v>11309</v>
      </c>
      <c r="GO155" s="511">
        <v>-14419</v>
      </c>
      <c r="GP155" s="2">
        <v>12004</v>
      </c>
      <c r="GQ155" s="2">
        <v>11859</v>
      </c>
      <c r="GR155" s="2">
        <v>-467</v>
      </c>
      <c r="GS155" s="2">
        <v>-32477</v>
      </c>
      <c r="GT155" s="2">
        <f t="shared" si="380"/>
        <v>0</v>
      </c>
      <c r="GU155" s="2">
        <f t="shared" si="364"/>
        <v>-32477</v>
      </c>
      <c r="GV155" s="615">
        <v>31772</v>
      </c>
      <c r="GW155" s="615">
        <v>27366</v>
      </c>
      <c r="GX155" s="615">
        <v>13610</v>
      </c>
      <c r="GY155" s="615">
        <f t="shared" si="363"/>
        <v>18162</v>
      </c>
      <c r="GZ155" s="2">
        <v>-17351</v>
      </c>
      <c r="HA155" s="2">
        <v>-20979</v>
      </c>
      <c r="HB155" s="2">
        <v>5308</v>
      </c>
      <c r="HC155" s="1052">
        <f t="shared" si="374"/>
        <v>-1680</v>
      </c>
      <c r="HD155" s="170">
        <f t="shared" si="347"/>
        <v>-2460</v>
      </c>
      <c r="HE155" s="2">
        <v>89794</v>
      </c>
      <c r="HF155" s="2">
        <v>92254</v>
      </c>
      <c r="HG155" s="170">
        <f t="shared" si="348"/>
        <v>93</v>
      </c>
      <c r="HH155" s="2">
        <v>911</v>
      </c>
      <c r="HI155" s="2">
        <v>818</v>
      </c>
      <c r="HJ155" s="2">
        <f t="shared" si="340"/>
        <v>-2853</v>
      </c>
      <c r="HK155" s="2">
        <v>3116</v>
      </c>
      <c r="HL155" s="2"/>
      <c r="HM155" s="2">
        <f t="shared" si="247"/>
        <v>263</v>
      </c>
      <c r="HN155" s="2">
        <f t="shared" si="283"/>
        <v>-440</v>
      </c>
      <c r="HO155" s="2">
        <f t="shared" si="341"/>
        <v>-1686</v>
      </c>
      <c r="HP155" s="2">
        <v>776504</v>
      </c>
      <c r="HQ155" s="2">
        <v>774818</v>
      </c>
      <c r="HR155" s="2">
        <v>14803</v>
      </c>
      <c r="HS155" s="1052">
        <v>13557</v>
      </c>
      <c r="HT155" s="1002">
        <v>602.4</v>
      </c>
      <c r="HU155" s="1002">
        <v>76.7</v>
      </c>
      <c r="HV155" s="1002">
        <v>80</v>
      </c>
    </row>
    <row r="156" spans="1:230">
      <c r="A156" s="110">
        <f t="shared" si="349"/>
        <v>1997</v>
      </c>
      <c r="B156" s="176">
        <f t="shared" si="327"/>
        <v>732454</v>
      </c>
      <c r="C156" s="177">
        <f t="shared" si="317"/>
        <v>-2384</v>
      </c>
      <c r="D156" s="176">
        <f t="shared" si="342"/>
        <v>734838</v>
      </c>
      <c r="E156" s="154">
        <f t="shared" si="328"/>
        <v>830015</v>
      </c>
      <c r="F156" s="995">
        <f t="shared" si="329"/>
        <v>95177</v>
      </c>
      <c r="G156" s="531">
        <f t="shared" si="350"/>
        <v>732450</v>
      </c>
      <c r="H156" s="531">
        <f t="shared" si="351"/>
        <v>734834</v>
      </c>
      <c r="I156" s="531">
        <f t="shared" si="352"/>
        <v>830011</v>
      </c>
      <c r="J156" s="548">
        <f t="shared" si="353"/>
        <v>1.0000048192132394</v>
      </c>
      <c r="K156" s="178">
        <f t="shared" si="325"/>
        <v>104807</v>
      </c>
      <c r="L156" s="2">
        <v>113226</v>
      </c>
      <c r="M156" s="2">
        <v>8419</v>
      </c>
      <c r="N156" s="2">
        <v>90571</v>
      </c>
      <c r="O156" s="170">
        <f t="shared" si="286"/>
        <v>14236</v>
      </c>
      <c r="P156" s="175">
        <f t="shared" si="365"/>
        <v>-147</v>
      </c>
      <c r="Q156" s="175">
        <f t="shared" si="366"/>
        <v>14383</v>
      </c>
      <c r="R156" s="175">
        <f t="shared" si="287"/>
        <v>0</v>
      </c>
      <c r="S156" s="532"/>
      <c r="T156" s="1008">
        <f t="shared" si="253"/>
        <v>33056.303511019389</v>
      </c>
      <c r="U156" s="1010">
        <v>23852</v>
      </c>
      <c r="V156" s="511">
        <f t="shared" si="288"/>
        <v>47313.303511019389</v>
      </c>
      <c r="W156" s="2">
        <v>38109</v>
      </c>
      <c r="X156" s="169">
        <f t="shared" si="254"/>
        <v>14257</v>
      </c>
      <c r="Y156" s="113">
        <f t="shared" si="255"/>
        <v>0.30133173847561728</v>
      </c>
      <c r="Z156" s="113">
        <f t="shared" si="330"/>
        <v>0.37411110236427092</v>
      </c>
      <c r="AA156" s="276">
        <f>X156/DataUK3!D156</f>
        <v>1.1917897996101209E-2</v>
      </c>
      <c r="AB156" s="1019">
        <f t="shared" si="331"/>
        <v>1.7176798009674525E-2</v>
      </c>
      <c r="AC156" s="2">
        <v>41477</v>
      </c>
      <c r="AD156" s="2">
        <v>12441</v>
      </c>
      <c r="AE156" s="2">
        <v>29036</v>
      </c>
      <c r="AF156" s="253">
        <f>AC156/DataUK3!$BE156</f>
        <v>7.5154333011409863E-2</v>
      </c>
      <c r="AG156" s="253">
        <f>AD156/DataUK3!$BE156</f>
        <v>2.2542494804227646E-2</v>
      </c>
      <c r="AH156" s="253">
        <f>AE156/DataUK3!$BE156</f>
        <v>5.2611838207182217E-2</v>
      </c>
      <c r="AI156" s="1010">
        <f>AD156*DataUK3!BG156</f>
        <v>9204.3035110193869</v>
      </c>
      <c r="AJ156" s="171">
        <f t="shared" si="375"/>
        <v>76683</v>
      </c>
      <c r="AK156" s="561"/>
      <c r="AL156" s="169">
        <f t="shared" si="354"/>
        <v>86128</v>
      </c>
      <c r="AM156" s="169"/>
      <c r="AN156" s="2">
        <v>38057</v>
      </c>
      <c r="AO156" s="1012">
        <v>47502</v>
      </c>
      <c r="AP156" s="2"/>
      <c r="AQ156" s="2"/>
      <c r="AR156" s="2"/>
      <c r="AS156" s="2"/>
      <c r="AT156" s="2"/>
      <c r="AU156" s="2"/>
      <c r="AV156" s="2"/>
      <c r="AW156" s="2"/>
      <c r="AX156" s="2"/>
      <c r="AY156" s="2"/>
      <c r="AZ156" s="2"/>
      <c r="BA156" s="2"/>
      <c r="BB156" s="2"/>
      <c r="BC156" s="2"/>
      <c r="BD156" s="2"/>
      <c r="BE156" s="2"/>
      <c r="BF156" s="2"/>
      <c r="BG156" s="2"/>
      <c r="BH156" s="2"/>
      <c r="BI156" s="273">
        <v>429844</v>
      </c>
      <c r="BJ156" s="2">
        <f t="shared" si="355"/>
        <v>429761</v>
      </c>
      <c r="BK156" s="2"/>
      <c r="BL156" s="2"/>
      <c r="BM156" s="1129">
        <v>38626</v>
      </c>
      <c r="BN156" s="2"/>
      <c r="BO156" s="262">
        <f t="shared" si="343"/>
        <v>5.195821171022344E-2</v>
      </c>
      <c r="BP156" s="262">
        <f t="shared" si="332"/>
        <v>6.4853219451323912E-2</v>
      </c>
      <c r="BQ156" s="262">
        <f t="shared" si="344"/>
        <v>5.2735052303625893E-2</v>
      </c>
      <c r="BR156" s="262">
        <f t="shared" si="356"/>
        <v>8.9860507532965442E-2</v>
      </c>
      <c r="BS156" s="988">
        <f t="shared" si="367"/>
        <v>0.81314470969643382</v>
      </c>
      <c r="BT156" s="519">
        <f t="shared" si="368"/>
        <v>9445</v>
      </c>
      <c r="BU156" s="519"/>
      <c r="BV156" s="113">
        <f t="shared" si="333"/>
        <v>0.10966236299461267</v>
      </c>
      <c r="BW156" s="276">
        <f t="shared" si="357"/>
        <v>1.1379312422064662E-2</v>
      </c>
      <c r="BX156" s="273">
        <v>23704</v>
      </c>
      <c r="BY156" s="2">
        <v>61</v>
      </c>
      <c r="BZ156" s="1012">
        <v>208</v>
      </c>
      <c r="CA156" s="1005">
        <f t="shared" si="345"/>
        <v>732454</v>
      </c>
      <c r="CB156" s="2"/>
      <c r="CC156" s="2"/>
      <c r="CD156" s="2"/>
      <c r="CE156" s="2"/>
      <c r="CF156" s="2">
        <v>830013</v>
      </c>
      <c r="CG156" s="2">
        <v>-6</v>
      </c>
      <c r="CH156" s="2">
        <f t="shared" si="334"/>
        <v>-4</v>
      </c>
      <c r="CI156" s="2">
        <v>95179</v>
      </c>
      <c r="CJ156" s="2"/>
      <c r="CK156" s="2"/>
      <c r="CL156" s="171">
        <f t="shared" si="358"/>
        <v>436649.69648898061</v>
      </c>
      <c r="CM156" s="169">
        <f t="shared" si="359"/>
        <v>499121.69648898061</v>
      </c>
      <c r="CN156" s="170">
        <f t="shared" si="268"/>
        <v>191628.69648898061</v>
      </c>
      <c r="CO156" s="170">
        <f t="shared" si="269"/>
        <v>200833</v>
      </c>
      <c r="CP156" s="170">
        <f t="shared" si="308"/>
        <v>307493</v>
      </c>
      <c r="CQ156" s="170">
        <f t="shared" si="309"/>
        <v>62472</v>
      </c>
      <c r="CR156" s="170">
        <v>3307</v>
      </c>
      <c r="CS156" s="113">
        <f t="shared" si="360"/>
        <v>7.5266109648620808E-2</v>
      </c>
      <c r="CT156" s="170">
        <f t="shared" si="346"/>
        <v>461378</v>
      </c>
      <c r="CU156" s="2">
        <v>178897</v>
      </c>
      <c r="CV156" s="991">
        <v>282481</v>
      </c>
      <c r="CW156" s="2">
        <v>58664</v>
      </c>
      <c r="CX156" s="2">
        <v>13717</v>
      </c>
      <c r="CY156" s="2">
        <v>742</v>
      </c>
      <c r="CZ156" s="170">
        <f t="shared" si="272"/>
        <v>37743.696488980611</v>
      </c>
      <c r="DA156" s="170">
        <f t="shared" si="273"/>
        <v>46948</v>
      </c>
      <c r="DB156" s="170">
        <f t="shared" si="335"/>
        <v>12731.696488980613</v>
      </c>
      <c r="DC156" s="2">
        <v>21936</v>
      </c>
      <c r="DD156" s="2">
        <v>25012</v>
      </c>
      <c r="DE156" s="2">
        <v>3808</v>
      </c>
      <c r="DF156" s="2">
        <v>1408</v>
      </c>
      <c r="DG156" s="1040">
        <v>0</v>
      </c>
      <c r="DH156" s="171">
        <f t="shared" si="381"/>
        <v>83642</v>
      </c>
      <c r="DI156" s="2">
        <f t="shared" si="320"/>
        <v>92645</v>
      </c>
      <c r="DJ156" s="2">
        <v>83642</v>
      </c>
      <c r="DK156" s="2">
        <v>9003</v>
      </c>
      <c r="DL156" s="113">
        <f t="shared" si="336"/>
        <v>0.11419420195670991</v>
      </c>
      <c r="DM156" s="113">
        <f t="shared" si="361"/>
        <v>0.19462445405702239</v>
      </c>
      <c r="DN156" s="113">
        <f t="shared" si="321"/>
        <v>0.55567218516648509</v>
      </c>
      <c r="DO156" s="2">
        <v>0</v>
      </c>
      <c r="DP156" s="2">
        <v>0</v>
      </c>
      <c r="DQ156" s="273"/>
      <c r="DR156" s="2">
        <v>93897</v>
      </c>
      <c r="DS156" s="2">
        <v>56627</v>
      </c>
      <c r="DT156" s="169">
        <f t="shared" si="326"/>
        <v>150524</v>
      </c>
      <c r="DU156" s="2">
        <v>531620</v>
      </c>
      <c r="DV156" s="2"/>
      <c r="DW156" s="2">
        <v>143479</v>
      </c>
      <c r="DX156" s="2"/>
      <c r="DY156" s="2"/>
      <c r="DZ156" s="2"/>
      <c r="EA156" s="2"/>
      <c r="EB156" s="2"/>
      <c r="EC156" s="2"/>
      <c r="ED156" s="175">
        <v>3467</v>
      </c>
      <c r="EE156" s="2"/>
      <c r="EF156" s="175">
        <f t="shared" si="315"/>
        <v>10627</v>
      </c>
      <c r="EG156" s="2"/>
      <c r="EH156" s="2"/>
      <c r="EI156" s="2">
        <v>237364</v>
      </c>
      <c r="EJ156" s="2">
        <v>232976</v>
      </c>
      <c r="EK156" s="2"/>
      <c r="EL156" s="2"/>
      <c r="EM156" s="2"/>
      <c r="EN156" s="2"/>
      <c r="EO156" s="2"/>
      <c r="EP156" s="2"/>
      <c r="EQ156" s="2"/>
      <c r="ER156" s="2"/>
      <c r="ES156" s="2"/>
      <c r="ET156" s="2">
        <f t="shared" si="337"/>
        <v>830011</v>
      </c>
      <c r="EU156" s="2">
        <f t="shared" si="338"/>
        <v>830017</v>
      </c>
      <c r="EV156" s="262">
        <f t="shared" si="292"/>
        <v>1.0000072288198589</v>
      </c>
      <c r="EW156" s="2">
        <v>830013</v>
      </c>
      <c r="EX156" s="1042">
        <v>0</v>
      </c>
      <c r="EY156" s="273">
        <f t="shared" si="339"/>
        <v>578585</v>
      </c>
      <c r="EZ156" s="2">
        <f t="shared" si="369"/>
        <v>291521</v>
      </c>
      <c r="FA156" s="2">
        <v>32568</v>
      </c>
      <c r="FB156" s="2">
        <v>92732</v>
      </c>
      <c r="FC156" s="2"/>
      <c r="FD156" s="2">
        <v>61414</v>
      </c>
      <c r="FE156" s="1052">
        <v>117122</v>
      </c>
      <c r="FF156" s="273">
        <v>142665</v>
      </c>
      <c r="FG156" s="2">
        <v>47486</v>
      </c>
      <c r="FH156" s="170">
        <f t="shared" si="370"/>
        <v>142667</v>
      </c>
      <c r="FI156" s="2">
        <v>-812</v>
      </c>
      <c r="FJ156" s="2">
        <f t="shared" si="362"/>
        <v>-812</v>
      </c>
      <c r="FK156" s="273">
        <f t="shared" si="376"/>
        <v>58410</v>
      </c>
      <c r="FL156" s="2">
        <v>55969</v>
      </c>
      <c r="FM156" s="2"/>
      <c r="FN156" s="2">
        <v>4634</v>
      </c>
      <c r="FO156" s="2">
        <v>2193</v>
      </c>
      <c r="FP156" s="2">
        <v>29135</v>
      </c>
      <c r="FQ156" s="2">
        <v>250</v>
      </c>
      <c r="FR156" s="2">
        <v>29025</v>
      </c>
      <c r="FS156" s="1052">
        <f t="shared" si="377"/>
        <v>0</v>
      </c>
      <c r="FT156" s="2">
        <f t="shared" si="378"/>
        <v>93454</v>
      </c>
      <c r="FU156" s="2"/>
      <c r="FV156" s="2"/>
      <c r="FW156" s="2">
        <v>88409</v>
      </c>
      <c r="FX156" s="2">
        <v>2652</v>
      </c>
      <c r="FY156" s="2">
        <v>188</v>
      </c>
      <c r="FZ156" s="2">
        <v>97593</v>
      </c>
      <c r="GA156" s="2">
        <v>195</v>
      </c>
      <c r="GB156" s="2">
        <v>-6915</v>
      </c>
      <c r="GC156" s="2">
        <f t="shared" si="371"/>
        <v>0</v>
      </c>
      <c r="GD156" s="2">
        <v>2581</v>
      </c>
      <c r="GE156" s="2">
        <v>0</v>
      </c>
      <c r="GF156" s="2">
        <v>0</v>
      </c>
      <c r="GG156" s="2">
        <v>6124</v>
      </c>
      <c r="GH156" s="2">
        <v>-39</v>
      </c>
      <c r="GI156" s="2">
        <v>-3504</v>
      </c>
      <c r="GJ156" s="2">
        <f t="shared" si="372"/>
        <v>0</v>
      </c>
      <c r="GK156" s="273">
        <f t="shared" si="373"/>
        <v>-8201</v>
      </c>
      <c r="GL156" s="2">
        <v>-4288</v>
      </c>
      <c r="GM156" s="2">
        <v>5020</v>
      </c>
      <c r="GN156" s="2">
        <v>8933</v>
      </c>
      <c r="GO156" s="2"/>
      <c r="GP156" s="2">
        <v>10627</v>
      </c>
      <c r="GQ156" s="2">
        <v>10487</v>
      </c>
      <c r="GR156" s="2">
        <v>-372</v>
      </c>
      <c r="GS156" s="2">
        <v>-18456</v>
      </c>
      <c r="GT156" s="2">
        <f t="shared" si="380"/>
        <v>0</v>
      </c>
      <c r="GU156" s="2">
        <f t="shared" si="364"/>
        <v>-18456</v>
      </c>
      <c r="GV156" s="615">
        <v>33616</v>
      </c>
      <c r="GW156" s="615">
        <v>29300</v>
      </c>
      <c r="GX156" s="615">
        <v>13086</v>
      </c>
      <c r="GY156" s="615">
        <f t="shared" si="363"/>
        <v>20530</v>
      </c>
      <c r="GZ156" s="2">
        <v>-5502</v>
      </c>
      <c r="HA156" s="2">
        <v>-10911</v>
      </c>
      <c r="HB156" s="2">
        <v>5409</v>
      </c>
      <c r="HC156" s="1052">
        <f t="shared" si="374"/>
        <v>0</v>
      </c>
      <c r="HD156" s="170">
        <f t="shared" si="347"/>
        <v>242</v>
      </c>
      <c r="HE156" s="2">
        <v>93360</v>
      </c>
      <c r="HF156" s="2">
        <v>93118</v>
      </c>
      <c r="HG156" s="170">
        <f t="shared" si="348"/>
        <v>83</v>
      </c>
      <c r="HH156" s="2">
        <v>1007</v>
      </c>
      <c r="HI156" s="2">
        <v>924</v>
      </c>
      <c r="HJ156" s="2">
        <f t="shared" si="340"/>
        <v>-2709</v>
      </c>
      <c r="HK156" s="2">
        <v>2919</v>
      </c>
      <c r="HL156" s="2">
        <v>-208</v>
      </c>
      <c r="HM156" s="2">
        <f t="shared" si="247"/>
        <v>2</v>
      </c>
      <c r="HN156" s="2">
        <f t="shared" si="283"/>
        <v>-1824</v>
      </c>
      <c r="HO156" s="2">
        <f t="shared" si="341"/>
        <v>-2816</v>
      </c>
      <c r="HP156" s="2">
        <v>827623</v>
      </c>
      <c r="HQ156" s="2">
        <v>824807</v>
      </c>
      <c r="HR156" s="2">
        <v>12306</v>
      </c>
      <c r="HS156" s="1052">
        <v>11314</v>
      </c>
      <c r="HT156" s="1002">
        <v>621.29999999999995</v>
      </c>
      <c r="HU156" s="1002">
        <v>78.7</v>
      </c>
      <c r="HV156" s="1002">
        <v>82</v>
      </c>
    </row>
    <row r="157" spans="1:230">
      <c r="A157" s="110">
        <f t="shared" si="349"/>
        <v>1998</v>
      </c>
      <c r="B157" s="176">
        <f t="shared" si="327"/>
        <v>788584</v>
      </c>
      <c r="C157" s="177">
        <f t="shared" si="317"/>
        <v>8391</v>
      </c>
      <c r="D157" s="176">
        <f t="shared" si="342"/>
        <v>780193</v>
      </c>
      <c r="E157" s="154">
        <f t="shared" si="328"/>
        <v>879150</v>
      </c>
      <c r="F157" s="995">
        <f t="shared" si="329"/>
        <v>98957</v>
      </c>
      <c r="G157" s="531">
        <f t="shared" si="350"/>
        <v>788588</v>
      </c>
      <c r="H157" s="531">
        <f t="shared" si="351"/>
        <v>780197</v>
      </c>
      <c r="I157" s="531">
        <f t="shared" si="352"/>
        <v>879154</v>
      </c>
      <c r="J157" s="548">
        <f t="shared" si="353"/>
        <v>0.99999545017141478</v>
      </c>
      <c r="K157" s="178">
        <f t="shared" si="325"/>
        <v>111879</v>
      </c>
      <c r="L157" s="2">
        <v>119355</v>
      </c>
      <c r="M157" s="2">
        <v>7476</v>
      </c>
      <c r="N157" s="2">
        <v>97115</v>
      </c>
      <c r="O157" s="170">
        <f t="shared" si="286"/>
        <v>14764</v>
      </c>
      <c r="P157" s="175">
        <f t="shared" si="365"/>
        <v>-179</v>
      </c>
      <c r="Q157" s="175">
        <f t="shared" si="366"/>
        <v>14943</v>
      </c>
      <c r="R157" s="175">
        <f t="shared" si="287"/>
        <v>0</v>
      </c>
      <c r="S157" s="532"/>
      <c r="T157" s="1008">
        <f t="shared" si="253"/>
        <v>37149.559436769974</v>
      </c>
      <c r="U157" s="1010">
        <v>26971</v>
      </c>
      <c r="V157" s="511">
        <f t="shared" si="288"/>
        <v>52407.559436769974</v>
      </c>
      <c r="W157" s="2">
        <v>42229</v>
      </c>
      <c r="X157" s="169">
        <f t="shared" si="254"/>
        <v>15258</v>
      </c>
      <c r="Y157" s="113">
        <f t="shared" si="255"/>
        <v>0.29114120489447454</v>
      </c>
      <c r="Z157" s="113">
        <f t="shared" si="330"/>
        <v>0.36131568353501148</v>
      </c>
      <c r="AA157" s="276">
        <f>X157/DataUK3!D157</f>
        <v>1.1707348513447569E-2</v>
      </c>
      <c r="AB157" s="1019">
        <f t="shared" si="331"/>
        <v>1.7355400102371608E-2</v>
      </c>
      <c r="AC157" s="2">
        <v>46331</v>
      </c>
      <c r="AD157" s="2">
        <v>13945</v>
      </c>
      <c r="AE157" s="2">
        <v>32386</v>
      </c>
      <c r="AF157" s="253">
        <f>AC157/DataUK3!$BE157</f>
        <v>7.8703735161616911E-2</v>
      </c>
      <c r="AG157" s="253">
        <f>AD157/DataUK3!$BE157</f>
        <v>2.3688752386711875E-2</v>
      </c>
      <c r="AH157" s="253">
        <f>AE157/DataUK3!$BE157</f>
        <v>5.501498277490504E-2</v>
      </c>
      <c r="AI157" s="1010">
        <f>AD157*DataUK3!BG157</f>
        <v>10178.559436769972</v>
      </c>
      <c r="AJ157" s="171">
        <f t="shared" si="375"/>
        <v>83396</v>
      </c>
      <c r="AK157" s="561"/>
      <c r="AL157" s="169">
        <f t="shared" si="354"/>
        <v>93188</v>
      </c>
      <c r="AM157" s="169"/>
      <c r="AN157" s="2">
        <v>40837</v>
      </c>
      <c r="AO157" s="1012">
        <v>50629</v>
      </c>
      <c r="AP157" s="2"/>
      <c r="AQ157" s="2"/>
      <c r="AR157" s="2"/>
      <c r="AS157" s="2"/>
      <c r="AT157" s="2"/>
      <c r="AU157" s="2"/>
      <c r="AV157" s="2"/>
      <c r="AW157" s="2"/>
      <c r="AX157" s="2"/>
      <c r="AY157" s="2"/>
      <c r="AZ157" s="2"/>
      <c r="BA157" s="2"/>
      <c r="BB157" s="2"/>
      <c r="BC157" s="2"/>
      <c r="BD157" s="2"/>
      <c r="BE157" s="2"/>
      <c r="BF157" s="2"/>
      <c r="BG157" s="2"/>
      <c r="BH157" s="2"/>
      <c r="BI157" s="273">
        <v>465630</v>
      </c>
      <c r="BJ157" s="2">
        <f t="shared" si="355"/>
        <v>465640</v>
      </c>
      <c r="BK157" s="2"/>
      <c r="BL157" s="2"/>
      <c r="BM157" s="1129">
        <v>42559</v>
      </c>
      <c r="BN157" s="2"/>
      <c r="BO157" s="262">
        <f t="shared" si="343"/>
        <v>5.1785225163077112E-2</v>
      </c>
      <c r="BP157" s="262">
        <f t="shared" si="332"/>
        <v>6.4202418512168652E-2</v>
      </c>
      <c r="BQ157" s="262">
        <f t="shared" si="344"/>
        <v>5.3968886003266617E-2</v>
      </c>
      <c r="BR157" s="262">
        <f t="shared" si="356"/>
        <v>9.1400897708480977E-2</v>
      </c>
      <c r="BS157" s="988">
        <f t="shared" si="367"/>
        <v>0.84060518675067653</v>
      </c>
      <c r="BT157" s="519">
        <f t="shared" si="368"/>
        <v>9792</v>
      </c>
      <c r="BU157" s="519"/>
      <c r="BV157" s="113">
        <f t="shared" si="333"/>
        <v>0.10507790702665579</v>
      </c>
      <c r="BW157" s="276">
        <f t="shared" si="357"/>
        <v>1.1138031052721379E-2</v>
      </c>
      <c r="BX157" s="273">
        <v>25053</v>
      </c>
      <c r="BY157" s="2">
        <v>62</v>
      </c>
      <c r="BZ157" s="1012">
        <v>241</v>
      </c>
      <c r="CA157" s="1005">
        <f t="shared" si="345"/>
        <v>788584</v>
      </c>
      <c r="CB157" s="2"/>
      <c r="CC157" s="2"/>
      <c r="CD157" s="2"/>
      <c r="CE157" s="2"/>
      <c r="CF157" s="2">
        <v>879152</v>
      </c>
      <c r="CG157" s="2">
        <v>4</v>
      </c>
      <c r="CH157" s="2">
        <f t="shared" si="334"/>
        <v>2</v>
      </c>
      <c r="CI157" s="2">
        <v>98960</v>
      </c>
      <c r="CJ157" s="2"/>
      <c r="CK157" s="2"/>
      <c r="CL157" s="171">
        <f t="shared" si="358"/>
        <v>462480.44056323008</v>
      </c>
      <c r="CM157" s="169">
        <f t="shared" si="359"/>
        <v>527388.44056323008</v>
      </c>
      <c r="CN157" s="170">
        <f t="shared" si="268"/>
        <v>189595.44056323002</v>
      </c>
      <c r="CO157" s="170">
        <f t="shared" si="269"/>
        <v>199774</v>
      </c>
      <c r="CP157" s="170">
        <f t="shared" si="308"/>
        <v>337793</v>
      </c>
      <c r="CQ157" s="170">
        <f t="shared" si="309"/>
        <v>64908</v>
      </c>
      <c r="CR157" s="170">
        <v>3341</v>
      </c>
      <c r="CS157" s="113">
        <f t="shared" si="360"/>
        <v>7.3830404367855318E-2</v>
      </c>
      <c r="CT157" s="170">
        <f t="shared" si="346"/>
        <v>493120</v>
      </c>
      <c r="CU157" s="2">
        <v>182060</v>
      </c>
      <c r="CV157" s="991">
        <v>311060</v>
      </c>
      <c r="CW157" s="2">
        <v>60817</v>
      </c>
      <c r="CX157" s="2">
        <v>14267</v>
      </c>
      <c r="CY157" s="2">
        <v>810</v>
      </c>
      <c r="CZ157" s="170">
        <f t="shared" si="272"/>
        <v>34268.440563230026</v>
      </c>
      <c r="DA157" s="170">
        <f t="shared" si="273"/>
        <v>44447</v>
      </c>
      <c r="DB157" s="170">
        <f t="shared" si="335"/>
        <v>7535.4405632300277</v>
      </c>
      <c r="DC157" s="2">
        <v>17714</v>
      </c>
      <c r="DD157" s="2">
        <v>26733</v>
      </c>
      <c r="DE157" s="2">
        <v>4091</v>
      </c>
      <c r="DF157" s="2">
        <v>1486</v>
      </c>
      <c r="DG157" s="1040">
        <v>0</v>
      </c>
      <c r="DH157" s="171">
        <f t="shared" si="381"/>
        <v>85288</v>
      </c>
      <c r="DI157" s="2">
        <f t="shared" si="320"/>
        <v>94287</v>
      </c>
      <c r="DJ157" s="2">
        <v>85288</v>
      </c>
      <c r="DK157" s="2">
        <v>8999</v>
      </c>
      <c r="DL157" s="113">
        <f t="shared" si="336"/>
        <v>0.10815334827995496</v>
      </c>
      <c r="DM157" s="113">
        <f t="shared" si="361"/>
        <v>0.18316295850871919</v>
      </c>
      <c r="DN157" s="113">
        <f t="shared" si="321"/>
        <v>0.54417844928793835</v>
      </c>
      <c r="DO157" s="2">
        <v>0</v>
      </c>
      <c r="DP157" s="2">
        <v>0</v>
      </c>
      <c r="DQ157" s="273"/>
      <c r="DR157" s="2">
        <v>97156</v>
      </c>
      <c r="DS157" s="2">
        <v>59572</v>
      </c>
      <c r="DT157" s="169">
        <f t="shared" si="326"/>
        <v>156728</v>
      </c>
      <c r="DU157" s="2">
        <v>567546</v>
      </c>
      <c r="DV157" s="2"/>
      <c r="DW157" s="2">
        <v>161752</v>
      </c>
      <c r="DX157" s="2"/>
      <c r="DY157" s="2"/>
      <c r="DZ157" s="2"/>
      <c r="EA157" s="2"/>
      <c r="EB157" s="2"/>
      <c r="EC157" s="2"/>
      <c r="ED157" s="175">
        <v>3298</v>
      </c>
      <c r="EE157" s="2"/>
      <c r="EF157" s="175">
        <f t="shared" si="315"/>
        <v>12031</v>
      </c>
      <c r="EG157" s="2"/>
      <c r="EH157" s="2"/>
      <c r="EI157" s="2">
        <v>233190</v>
      </c>
      <c r="EJ157" s="2">
        <v>240062</v>
      </c>
      <c r="EK157" s="2"/>
      <c r="EL157" s="2"/>
      <c r="EM157" s="2"/>
      <c r="EN157" s="2"/>
      <c r="EO157" s="2"/>
      <c r="EP157" s="2"/>
      <c r="EQ157" s="2"/>
      <c r="ER157" s="2"/>
      <c r="ES157" s="2"/>
      <c r="ET157" s="2">
        <f t="shared" si="337"/>
        <v>879154</v>
      </c>
      <c r="EU157" s="2">
        <f t="shared" si="338"/>
        <v>879153</v>
      </c>
      <c r="EV157" s="262">
        <f t="shared" si="292"/>
        <v>0.99999886254285375</v>
      </c>
      <c r="EW157" s="2">
        <v>879152</v>
      </c>
      <c r="EX157" s="1042">
        <v>-1</v>
      </c>
      <c r="EY157" s="273">
        <f t="shared" si="339"/>
        <v>607284</v>
      </c>
      <c r="EZ157" s="2">
        <f t="shared" si="369"/>
        <v>319284</v>
      </c>
      <c r="FA157" s="2">
        <v>34588</v>
      </c>
      <c r="FB157" s="2">
        <v>108280</v>
      </c>
      <c r="FC157" s="2"/>
      <c r="FD157" s="2">
        <v>64537</v>
      </c>
      <c r="FE157" s="1052">
        <v>117668</v>
      </c>
      <c r="FF157" s="273">
        <v>158507</v>
      </c>
      <c r="FG157" s="2">
        <v>59547</v>
      </c>
      <c r="FH157" s="170">
        <f t="shared" si="370"/>
        <v>158507</v>
      </c>
      <c r="FI157" s="2">
        <v>-3245</v>
      </c>
      <c r="FJ157" s="2">
        <f t="shared" si="362"/>
        <v>-3245</v>
      </c>
      <c r="FK157" s="273">
        <f t="shared" si="376"/>
        <v>47483</v>
      </c>
      <c r="FL157" s="2">
        <v>45322</v>
      </c>
      <c r="FM157" s="2"/>
      <c r="FN157" s="2">
        <v>4487</v>
      </c>
      <c r="FO157" s="2">
        <v>2326</v>
      </c>
      <c r="FP157" s="2">
        <v>32000</v>
      </c>
      <c r="FQ157" s="2">
        <v>17</v>
      </c>
      <c r="FR157" s="2">
        <v>15466</v>
      </c>
      <c r="FS157" s="1052">
        <f t="shared" si="377"/>
        <v>0</v>
      </c>
      <c r="FT157" s="2">
        <f t="shared" si="378"/>
        <v>101569</v>
      </c>
      <c r="FU157" s="2"/>
      <c r="FV157" s="2"/>
      <c r="FW157" s="2">
        <v>97986</v>
      </c>
      <c r="FX157" s="2">
        <v>2397</v>
      </c>
      <c r="FY157" s="2">
        <v>193</v>
      </c>
      <c r="FZ157" s="2">
        <v>109799</v>
      </c>
      <c r="GA157" s="2">
        <v>1002</v>
      </c>
      <c r="GB157" s="2">
        <v>-10611</v>
      </c>
      <c r="GC157" s="2">
        <f t="shared" si="371"/>
        <v>0</v>
      </c>
      <c r="GD157" s="2">
        <v>1379</v>
      </c>
      <c r="GE157" s="2">
        <v>0</v>
      </c>
      <c r="GF157" s="2">
        <v>0</v>
      </c>
      <c r="GG157" s="2">
        <v>7923</v>
      </c>
      <c r="GH157" s="2">
        <v>-4</v>
      </c>
      <c r="GI157" s="2">
        <v>-6540</v>
      </c>
      <c r="GJ157" s="2">
        <f t="shared" si="372"/>
        <v>0</v>
      </c>
      <c r="GK157" s="273">
        <f t="shared" si="373"/>
        <v>9988</v>
      </c>
      <c r="GL157" s="2">
        <v>13816</v>
      </c>
      <c r="GM157" s="2">
        <v>4642</v>
      </c>
      <c r="GN157" s="2">
        <v>8470</v>
      </c>
      <c r="GO157" s="2"/>
      <c r="GP157" s="2">
        <v>12031</v>
      </c>
      <c r="GQ157" s="2">
        <v>11910</v>
      </c>
      <c r="GR157" s="2">
        <v>-967</v>
      </c>
      <c r="GS157" s="2">
        <v>-1076</v>
      </c>
      <c r="GT157" s="2">
        <f t="shared" si="380"/>
        <v>0</v>
      </c>
      <c r="GU157" s="2">
        <f t="shared" si="364"/>
        <v>-1076</v>
      </c>
      <c r="GV157" s="615">
        <v>34809</v>
      </c>
      <c r="GW157" s="615">
        <v>30305</v>
      </c>
      <c r="GX157" s="615">
        <v>14493</v>
      </c>
      <c r="GY157" s="615">
        <f t="shared" si="363"/>
        <v>20316</v>
      </c>
      <c r="GZ157" s="2">
        <v>12234</v>
      </c>
      <c r="HA157" s="2">
        <v>6901</v>
      </c>
      <c r="HB157" s="2">
        <v>5333</v>
      </c>
      <c r="HC157" s="1052">
        <f t="shared" si="374"/>
        <v>0</v>
      </c>
      <c r="HD157" s="170">
        <f t="shared" si="347"/>
        <v>11809</v>
      </c>
      <c r="HE157" s="2">
        <v>102548</v>
      </c>
      <c r="HF157" s="2">
        <v>90739</v>
      </c>
      <c r="HG157" s="170">
        <f t="shared" si="348"/>
        <v>-10</v>
      </c>
      <c r="HH157" s="2">
        <v>840</v>
      </c>
      <c r="HI157" s="2">
        <v>850</v>
      </c>
      <c r="HJ157" s="2">
        <f t="shared" si="340"/>
        <v>-3408</v>
      </c>
      <c r="HK157" s="2">
        <v>3651</v>
      </c>
      <c r="HL157" s="2">
        <v>-241</v>
      </c>
      <c r="HM157" s="2">
        <f t="shared" si="247"/>
        <v>2</v>
      </c>
      <c r="HN157" s="2">
        <f t="shared" si="283"/>
        <v>-4227</v>
      </c>
      <c r="HO157" s="2">
        <f t="shared" si="341"/>
        <v>-4764</v>
      </c>
      <c r="HP157" s="2">
        <v>887543</v>
      </c>
      <c r="HQ157" s="2">
        <v>882779</v>
      </c>
      <c r="HR157" s="2">
        <v>11526</v>
      </c>
      <c r="HS157" s="1052">
        <v>10989</v>
      </c>
      <c r="HT157" s="1002">
        <v>642.6</v>
      </c>
      <c r="HU157" s="1002">
        <v>80.3</v>
      </c>
      <c r="HV157" s="1002">
        <v>83.5</v>
      </c>
    </row>
    <row r="158" spans="1:230">
      <c r="A158" s="110">
        <f t="shared" si="349"/>
        <v>1999</v>
      </c>
      <c r="B158" s="176">
        <f t="shared" si="327"/>
        <v>819229</v>
      </c>
      <c r="C158" s="177">
        <f t="shared" si="317"/>
        <v>-4140</v>
      </c>
      <c r="D158" s="176">
        <f t="shared" si="342"/>
        <v>823369</v>
      </c>
      <c r="E158" s="154">
        <f t="shared" si="328"/>
        <v>928872</v>
      </c>
      <c r="F158" s="995">
        <f t="shared" si="329"/>
        <v>105503</v>
      </c>
      <c r="G158" s="531">
        <f t="shared" si="350"/>
        <v>819230</v>
      </c>
      <c r="H158" s="531">
        <f t="shared" si="351"/>
        <v>823370</v>
      </c>
      <c r="I158" s="531">
        <f t="shared" si="352"/>
        <v>928873</v>
      </c>
      <c r="J158" s="548">
        <f t="shared" si="353"/>
        <v>0.99999892342656105</v>
      </c>
      <c r="K158" s="178">
        <f t="shared" si="325"/>
        <v>121460</v>
      </c>
      <c r="L158" s="2">
        <v>128527</v>
      </c>
      <c r="M158" s="2">
        <v>7067</v>
      </c>
      <c r="N158" s="2">
        <v>105957</v>
      </c>
      <c r="O158" s="170">
        <f t="shared" si="286"/>
        <v>15502</v>
      </c>
      <c r="P158" s="175">
        <f t="shared" si="365"/>
        <v>-266</v>
      </c>
      <c r="Q158" s="175">
        <f t="shared" si="366"/>
        <v>15768</v>
      </c>
      <c r="R158" s="175">
        <f t="shared" si="287"/>
        <v>0</v>
      </c>
      <c r="S158" s="532"/>
      <c r="T158" s="1008">
        <f t="shared" si="253"/>
        <v>40275.011225864393</v>
      </c>
      <c r="U158" s="1010">
        <v>28538</v>
      </c>
      <c r="V158" s="511">
        <f t="shared" si="288"/>
        <v>56866.011225864393</v>
      </c>
      <c r="W158" s="2">
        <v>45129</v>
      </c>
      <c r="X158" s="169">
        <f t="shared" si="254"/>
        <v>16591</v>
      </c>
      <c r="Y158" s="113">
        <f t="shared" si="255"/>
        <v>0.29175600050621991</v>
      </c>
      <c r="Z158" s="113">
        <f t="shared" si="330"/>
        <v>0.36763500188348958</v>
      </c>
      <c r="AA158" s="276">
        <f>X158/DataUK3!D158</f>
        <v>1.1045269560898774E-2</v>
      </c>
      <c r="AB158" s="1019">
        <f t="shared" si="331"/>
        <v>1.7861449155534885E-2</v>
      </c>
      <c r="AC158" s="2">
        <v>45708</v>
      </c>
      <c r="AD158" s="2">
        <v>16168</v>
      </c>
      <c r="AE158" s="2">
        <v>29540</v>
      </c>
      <c r="AF158" s="253">
        <f>AC158/DataUK3!$BE158</f>
        <v>7.2781816965863819E-2</v>
      </c>
      <c r="AG158" s="253">
        <f>AD158/DataUK3!$BE158</f>
        <v>2.5744649004640022E-2</v>
      </c>
      <c r="AH158" s="253">
        <f>AE158/DataUK3!$BE158</f>
        <v>4.7037167961223793E-2</v>
      </c>
      <c r="AI158" s="1010">
        <f>AD158*DataUK3!BG158</f>
        <v>11737.011225864391</v>
      </c>
      <c r="AJ158" s="171">
        <f t="shared" si="375"/>
        <v>87736</v>
      </c>
      <c r="AK158" s="561"/>
      <c r="AL158" s="169">
        <f t="shared" si="354"/>
        <v>99117</v>
      </c>
      <c r="AM158" s="169"/>
      <c r="AN158" s="2">
        <v>42420</v>
      </c>
      <c r="AO158" s="1012">
        <v>53801</v>
      </c>
      <c r="AP158" s="2"/>
      <c r="AQ158" s="2"/>
      <c r="AR158" s="2"/>
      <c r="AS158" s="2"/>
      <c r="AT158" s="2"/>
      <c r="AU158" s="2"/>
      <c r="AV158" s="2"/>
      <c r="AW158" s="2"/>
      <c r="AX158" s="2"/>
      <c r="AY158" s="2"/>
      <c r="AZ158" s="2"/>
      <c r="BA158" s="2"/>
      <c r="BB158" s="2"/>
      <c r="BC158" s="2"/>
      <c r="BD158" s="2"/>
      <c r="BE158" s="2"/>
      <c r="BF158" s="2"/>
      <c r="BG158" s="2"/>
      <c r="BH158" s="2"/>
      <c r="BI158" s="273">
        <v>496298</v>
      </c>
      <c r="BJ158" s="2">
        <f t="shared" si="355"/>
        <v>496097</v>
      </c>
      <c r="BK158" s="2"/>
      <c r="BL158" s="2"/>
      <c r="BM158" s="1129">
        <v>45316</v>
      </c>
      <c r="BN158" s="2"/>
      <c r="BO158" s="262">
        <f t="shared" si="343"/>
        <v>5.1780393516342803E-2</v>
      </c>
      <c r="BP158" s="262">
        <f t="shared" si="332"/>
        <v>6.5672723988042414E-2</v>
      </c>
      <c r="BQ158" s="262">
        <f t="shared" si="344"/>
        <v>5.5315424624860693E-2</v>
      </c>
      <c r="BR158" s="262">
        <f t="shared" si="356"/>
        <v>9.1308044763428423E-2</v>
      </c>
      <c r="BS158" s="988">
        <f t="shared" si="367"/>
        <v>0.84228917678110071</v>
      </c>
      <c r="BT158" s="519">
        <f t="shared" si="368"/>
        <v>11381</v>
      </c>
      <c r="BU158" s="519"/>
      <c r="BV158" s="113">
        <f t="shared" si="333"/>
        <v>0.11482389499278631</v>
      </c>
      <c r="BW158" s="276">
        <f t="shared" si="357"/>
        <v>1.225249549991818E-2</v>
      </c>
      <c r="BX158" s="273">
        <v>27976</v>
      </c>
      <c r="BY158" s="2">
        <v>72</v>
      </c>
      <c r="BZ158" s="1012">
        <v>338</v>
      </c>
      <c r="CA158" s="1005">
        <f t="shared" si="345"/>
        <v>819229</v>
      </c>
      <c r="CB158" s="2"/>
      <c r="CC158" s="2"/>
      <c r="CD158" s="2"/>
      <c r="CE158" s="2"/>
      <c r="CF158" s="2">
        <v>928871</v>
      </c>
      <c r="CG158" s="2">
        <v>0</v>
      </c>
      <c r="CH158" s="2">
        <f t="shared" si="334"/>
        <v>1</v>
      </c>
      <c r="CI158" s="2">
        <v>105507</v>
      </c>
      <c r="CJ158" s="2"/>
      <c r="CK158" s="2"/>
      <c r="CL158" s="171">
        <f t="shared" si="358"/>
        <v>484462.98877413559</v>
      </c>
      <c r="CM158" s="169">
        <f t="shared" si="359"/>
        <v>552731.98877413559</v>
      </c>
      <c r="CN158" s="170">
        <f t="shared" si="268"/>
        <v>191385.98877413562</v>
      </c>
      <c r="CO158" s="170">
        <f t="shared" si="269"/>
        <v>203123</v>
      </c>
      <c r="CP158" s="170">
        <f t="shared" si="308"/>
        <v>361346</v>
      </c>
      <c r="CQ158" s="170">
        <f t="shared" si="309"/>
        <v>68269</v>
      </c>
      <c r="CR158" s="170">
        <v>3394</v>
      </c>
      <c r="CS158" s="113">
        <f t="shared" si="360"/>
        <v>7.3496671231342958E-2</v>
      </c>
      <c r="CT158" s="170">
        <f t="shared" si="346"/>
        <v>517474</v>
      </c>
      <c r="CU158" s="2">
        <v>184571</v>
      </c>
      <c r="CV158" s="991">
        <v>332903</v>
      </c>
      <c r="CW158" s="2">
        <v>63897</v>
      </c>
      <c r="CX158" s="2">
        <v>14892</v>
      </c>
      <c r="CY158" s="2">
        <v>663</v>
      </c>
      <c r="CZ158" s="170">
        <f t="shared" si="272"/>
        <v>35257.988774135607</v>
      </c>
      <c r="DA158" s="170">
        <f t="shared" si="273"/>
        <v>46995</v>
      </c>
      <c r="DB158" s="170">
        <f t="shared" si="335"/>
        <v>6814.9887741356088</v>
      </c>
      <c r="DC158" s="2">
        <v>18552</v>
      </c>
      <c r="DD158" s="2">
        <v>28443</v>
      </c>
      <c r="DE158" s="2">
        <v>4372</v>
      </c>
      <c r="DF158" s="2">
        <v>1539</v>
      </c>
      <c r="DG158" s="1040">
        <v>0</v>
      </c>
      <c r="DH158" s="171">
        <f t="shared" si="381"/>
        <v>89435</v>
      </c>
      <c r="DI158" s="2">
        <f t="shared" si="320"/>
        <v>98697</v>
      </c>
      <c r="DJ158" s="2">
        <v>89435</v>
      </c>
      <c r="DK158" s="2">
        <v>9262</v>
      </c>
      <c r="DL158" s="113">
        <f t="shared" si="336"/>
        <v>0.10916971933366616</v>
      </c>
      <c r="DM158" s="113">
        <f t="shared" si="361"/>
        <v>0.18027724416797522</v>
      </c>
      <c r="DN158" s="113">
        <f t="shared" si="321"/>
        <v>0.52712077186488826</v>
      </c>
      <c r="DO158" s="2">
        <v>0</v>
      </c>
      <c r="DP158" s="2">
        <v>0</v>
      </c>
      <c r="DQ158" s="273"/>
      <c r="DR158" s="2">
        <v>103594</v>
      </c>
      <c r="DS158" s="2">
        <v>66073</v>
      </c>
      <c r="DT158" s="169">
        <f t="shared" si="326"/>
        <v>169667</v>
      </c>
      <c r="DU158" s="2">
        <v>604480</v>
      </c>
      <c r="DV158" s="2"/>
      <c r="DW158" s="2">
        <v>168121</v>
      </c>
      <c r="DX158" s="2"/>
      <c r="DY158" s="2"/>
      <c r="DZ158" s="2"/>
      <c r="EA158" s="2"/>
      <c r="EB158" s="2"/>
      <c r="EC158" s="2"/>
      <c r="ED158" s="175">
        <v>2712</v>
      </c>
      <c r="EE158" s="2"/>
      <c r="EF158" s="175">
        <f t="shared" si="315"/>
        <v>12341</v>
      </c>
      <c r="EG158" s="2"/>
      <c r="EH158" s="2"/>
      <c r="EI158" s="2">
        <v>242614</v>
      </c>
      <c r="EJ158" s="2">
        <v>256009</v>
      </c>
      <c r="EK158" s="2"/>
      <c r="EL158" s="2"/>
      <c r="EM158" s="2"/>
      <c r="EN158" s="2"/>
      <c r="EO158" s="2"/>
      <c r="EP158" s="2"/>
      <c r="EQ158" s="2"/>
      <c r="ER158" s="2"/>
      <c r="ES158" s="2"/>
      <c r="ET158" s="2">
        <f t="shared" si="337"/>
        <v>928873</v>
      </c>
      <c r="EU158" s="2">
        <f t="shared" si="338"/>
        <v>928876</v>
      </c>
      <c r="EV158" s="262">
        <f t="shared" si="292"/>
        <v>1.000003229720317</v>
      </c>
      <c r="EW158" s="2">
        <v>928871</v>
      </c>
      <c r="EX158" s="1042">
        <v>0</v>
      </c>
      <c r="EY158" s="273">
        <f t="shared" si="339"/>
        <v>613481</v>
      </c>
      <c r="EZ158" s="2">
        <f t="shared" si="369"/>
        <v>340823</v>
      </c>
      <c r="FA158" s="2">
        <v>33566</v>
      </c>
      <c r="FB158" s="2">
        <v>116941</v>
      </c>
      <c r="FC158" s="2"/>
      <c r="FD158" s="2">
        <v>68856</v>
      </c>
      <c r="FE158" s="1052">
        <v>117685</v>
      </c>
      <c r="FF158" s="273">
        <v>146360</v>
      </c>
      <c r="FG158" s="2">
        <v>40853</v>
      </c>
      <c r="FH158" s="170">
        <f t="shared" si="370"/>
        <v>146362</v>
      </c>
      <c r="FI158" s="2">
        <v>-21759</v>
      </c>
      <c r="FJ158" s="2">
        <f t="shared" si="362"/>
        <v>-21759</v>
      </c>
      <c r="FK158" s="273">
        <f t="shared" si="376"/>
        <v>34783</v>
      </c>
      <c r="FL158" s="2">
        <v>33444</v>
      </c>
      <c r="FM158" s="2"/>
      <c r="FN158" s="2">
        <v>3789</v>
      </c>
      <c r="FO158" s="2">
        <v>2450</v>
      </c>
      <c r="FP158" s="2">
        <v>36292</v>
      </c>
      <c r="FQ158" s="2">
        <v>-138</v>
      </c>
      <c r="FR158" s="2">
        <v>-1371</v>
      </c>
      <c r="FS158" s="1052">
        <f t="shared" si="377"/>
        <v>0</v>
      </c>
      <c r="FT158" s="2">
        <f t="shared" si="378"/>
        <v>92250</v>
      </c>
      <c r="FU158" s="2"/>
      <c r="FV158" s="2"/>
      <c r="FW158" s="2">
        <v>95738</v>
      </c>
      <c r="FX158" s="2">
        <v>3142</v>
      </c>
      <c r="FY158" s="2">
        <v>216</v>
      </c>
      <c r="FZ158" s="2">
        <v>112454</v>
      </c>
      <c r="GA158" s="2">
        <v>1051</v>
      </c>
      <c r="GB158" s="2">
        <v>-14841</v>
      </c>
      <c r="GC158" s="2">
        <f t="shared" si="371"/>
        <v>0</v>
      </c>
      <c r="GD158" s="2">
        <v>-6414</v>
      </c>
      <c r="GE158" s="2">
        <v>0</v>
      </c>
      <c r="GF158" s="2">
        <v>0</v>
      </c>
      <c r="GG158" s="2">
        <v>7032</v>
      </c>
      <c r="GH158" s="2">
        <v>-37</v>
      </c>
      <c r="GI158" s="2">
        <v>-13409</v>
      </c>
      <c r="GJ158" s="2">
        <f t="shared" si="372"/>
        <v>0</v>
      </c>
      <c r="GK158" s="273">
        <f t="shared" si="373"/>
        <v>20062</v>
      </c>
      <c r="GL158" s="2">
        <v>23592</v>
      </c>
      <c r="GM158" s="2">
        <v>5454</v>
      </c>
      <c r="GN158" s="2">
        <v>8984</v>
      </c>
      <c r="GO158" s="2"/>
      <c r="GP158" s="2">
        <v>12341</v>
      </c>
      <c r="GQ158" s="2">
        <v>12599</v>
      </c>
      <c r="GR158" s="2">
        <v>-888</v>
      </c>
      <c r="GS158" s="2">
        <v>8609</v>
      </c>
      <c r="GT158" s="2">
        <f t="shared" si="380"/>
        <v>0</v>
      </c>
      <c r="GU158" s="2">
        <f t="shared" si="364"/>
        <v>8609</v>
      </c>
      <c r="GV158" s="615">
        <v>30620</v>
      </c>
      <c r="GW158" s="615">
        <v>26265</v>
      </c>
      <c r="GX158" s="615">
        <v>13230</v>
      </c>
      <c r="GY158" s="615">
        <f t="shared" si="363"/>
        <v>17390</v>
      </c>
      <c r="GZ158" s="2">
        <v>22711</v>
      </c>
      <c r="HA158" s="2">
        <v>17315</v>
      </c>
      <c r="HB158" s="2">
        <v>5396</v>
      </c>
      <c r="HC158" s="1052">
        <f t="shared" si="374"/>
        <v>0</v>
      </c>
      <c r="HD158" s="170">
        <f t="shared" si="347"/>
        <v>-1243</v>
      </c>
      <c r="HE158" s="2">
        <v>100733</v>
      </c>
      <c r="HF158" s="2">
        <v>101976</v>
      </c>
      <c r="HG158" s="170">
        <f t="shared" si="348"/>
        <v>201</v>
      </c>
      <c r="HH158" s="2">
        <v>960</v>
      </c>
      <c r="HI158" s="2">
        <v>759</v>
      </c>
      <c r="HJ158" s="2">
        <f t="shared" si="340"/>
        <v>-3098</v>
      </c>
      <c r="HK158" s="2">
        <v>3438</v>
      </c>
      <c r="HL158" s="2">
        <v>-338</v>
      </c>
      <c r="HM158" s="2">
        <f t="shared" si="247"/>
        <v>2</v>
      </c>
      <c r="HN158" s="2">
        <f t="shared" si="283"/>
        <v>-3489</v>
      </c>
      <c r="HO158" s="2">
        <f t="shared" si="341"/>
        <v>-4224</v>
      </c>
      <c r="HP158" s="2">
        <v>924729</v>
      </c>
      <c r="HQ158" s="2">
        <v>920505</v>
      </c>
      <c r="HR158" s="2">
        <v>12385</v>
      </c>
      <c r="HS158" s="1052">
        <v>11650</v>
      </c>
      <c r="HT158" s="1002">
        <v>652.5</v>
      </c>
      <c r="HU158" s="1002">
        <v>81.900000000000006</v>
      </c>
      <c r="HV158" s="1002">
        <v>84.5</v>
      </c>
    </row>
    <row r="159" spans="1:230">
      <c r="A159" s="110">
        <f t="shared" si="349"/>
        <v>2000</v>
      </c>
      <c r="B159" s="176">
        <f t="shared" si="327"/>
        <v>863239</v>
      </c>
      <c r="C159" s="177">
        <f t="shared" si="317"/>
        <v>-1796</v>
      </c>
      <c r="D159" s="176">
        <f t="shared" si="342"/>
        <v>865035</v>
      </c>
      <c r="E159" s="154">
        <f t="shared" si="328"/>
        <v>976284</v>
      </c>
      <c r="F159" s="995">
        <f t="shared" si="329"/>
        <v>111249</v>
      </c>
      <c r="G159" s="531">
        <f t="shared" si="350"/>
        <v>863237</v>
      </c>
      <c r="H159" s="531">
        <f t="shared" si="351"/>
        <v>865033</v>
      </c>
      <c r="I159" s="531">
        <f t="shared" si="352"/>
        <v>976282</v>
      </c>
      <c r="J159" s="548">
        <f t="shared" si="353"/>
        <v>1.0000020485884202</v>
      </c>
      <c r="K159" s="178">
        <f t="shared" si="325"/>
        <v>128422</v>
      </c>
      <c r="L159" s="2">
        <v>135358</v>
      </c>
      <c r="M159" s="2">
        <v>6936</v>
      </c>
      <c r="N159" s="2">
        <v>112246</v>
      </c>
      <c r="O159" s="170">
        <f t="shared" si="286"/>
        <v>16174</v>
      </c>
      <c r="P159" s="175">
        <f t="shared" si="365"/>
        <v>-279</v>
      </c>
      <c r="Q159" s="175">
        <f t="shared" si="366"/>
        <v>16453</v>
      </c>
      <c r="R159" s="175">
        <f t="shared" si="287"/>
        <v>0</v>
      </c>
      <c r="S159" s="532"/>
      <c r="T159" s="1008">
        <f t="shared" si="253"/>
        <v>41822.913304647518</v>
      </c>
      <c r="U159" s="1010">
        <v>31055</v>
      </c>
      <c r="V159" s="511">
        <f t="shared" si="288"/>
        <v>59937.913304647518</v>
      </c>
      <c r="W159" s="2">
        <v>49170</v>
      </c>
      <c r="X159" s="169">
        <f t="shared" si="254"/>
        <v>18115</v>
      </c>
      <c r="Y159" s="113">
        <f t="shared" si="255"/>
        <v>0.30222940708540452</v>
      </c>
      <c r="Z159" s="113">
        <f t="shared" si="330"/>
        <v>0.36841570063046575</v>
      </c>
      <c r="AA159" s="276">
        <f>X159/DataUK3!D159</f>
        <v>1.0529521896348584E-2</v>
      </c>
      <c r="AB159" s="1019">
        <f t="shared" si="331"/>
        <v>1.8555051603836588E-2</v>
      </c>
      <c r="AC159" s="2">
        <v>51764</v>
      </c>
      <c r="AD159" s="2">
        <v>14796</v>
      </c>
      <c r="AE159" s="2">
        <v>36968</v>
      </c>
      <c r="AF159" s="253">
        <f>AC159/DataUK3!$BE159</f>
        <v>7.6435792103623335E-2</v>
      </c>
      <c r="AG159" s="253">
        <f>AD159/DataUK3!$BE159</f>
        <v>2.1848079359501019E-2</v>
      </c>
      <c r="AH159" s="253">
        <f>AE159/DataUK3!$BE159</f>
        <v>5.4587712744122309E-2</v>
      </c>
      <c r="AI159" s="1010">
        <f>AD159*DataUK3!BG159</f>
        <v>10767.913304647516</v>
      </c>
      <c r="AJ159" s="171">
        <f t="shared" si="375"/>
        <v>93164</v>
      </c>
      <c r="AK159" s="561"/>
      <c r="AL159" s="169">
        <f t="shared" si="354"/>
        <v>105565</v>
      </c>
      <c r="AM159" s="169"/>
      <c r="AN159" s="2">
        <v>44406</v>
      </c>
      <c r="AO159" s="1012">
        <v>56807</v>
      </c>
      <c r="AP159" s="2"/>
      <c r="AQ159" s="2"/>
      <c r="AR159" s="2"/>
      <c r="AS159" s="2"/>
      <c r="AT159" s="2"/>
      <c r="AU159" s="2"/>
      <c r="AV159" s="2"/>
      <c r="AW159" s="2"/>
      <c r="AX159" s="2"/>
      <c r="AY159" s="2"/>
      <c r="AZ159" s="2"/>
      <c r="BA159" s="2"/>
      <c r="BB159" s="2"/>
      <c r="BC159" s="2"/>
      <c r="BD159" s="2"/>
      <c r="BE159" s="2"/>
      <c r="BF159" s="2"/>
      <c r="BG159" s="2"/>
      <c r="BH159" s="2"/>
      <c r="BI159" s="273">
        <v>532465</v>
      </c>
      <c r="BJ159" s="2">
        <f t="shared" si="355"/>
        <v>532315</v>
      </c>
      <c r="BK159" s="2"/>
      <c r="BL159" s="2"/>
      <c r="BM159" s="1129">
        <v>48758</v>
      </c>
      <c r="BN159" s="2"/>
      <c r="BO159" s="262">
        <f t="shared" si="343"/>
        <v>5.1441142024398805E-2</v>
      </c>
      <c r="BP159" s="262">
        <f t="shared" si="332"/>
        <v>6.5806804372833011E-2</v>
      </c>
      <c r="BQ159" s="262">
        <f t="shared" si="344"/>
        <v>5.648261952946982E-2</v>
      </c>
      <c r="BR159" s="262">
        <f t="shared" si="356"/>
        <v>9.1570337956485406E-2</v>
      </c>
      <c r="BS159" s="988">
        <f t="shared" si="367"/>
        <v>0.85830971535198131</v>
      </c>
      <c r="BT159" s="519">
        <f t="shared" si="368"/>
        <v>12401</v>
      </c>
      <c r="BU159" s="519"/>
      <c r="BV159" s="113">
        <f t="shared" si="333"/>
        <v>0.11747264718419931</v>
      </c>
      <c r="BW159" s="276">
        <f t="shared" si="357"/>
        <v>1.2702246477459428E-2</v>
      </c>
      <c r="BX159" s="273">
        <v>30518</v>
      </c>
      <c r="BY159" s="2">
        <v>56</v>
      </c>
      <c r="BZ159" s="1012">
        <v>335</v>
      </c>
      <c r="CA159" s="1005">
        <f t="shared" si="345"/>
        <v>863239</v>
      </c>
      <c r="CB159" s="2"/>
      <c r="CC159" s="2"/>
      <c r="CD159" s="2"/>
      <c r="CE159" s="2"/>
      <c r="CF159" s="2">
        <v>976282</v>
      </c>
      <c r="CG159" s="2">
        <v>2</v>
      </c>
      <c r="CH159" s="2">
        <f t="shared" si="334"/>
        <v>4</v>
      </c>
      <c r="CI159" s="2">
        <v>111251</v>
      </c>
      <c r="CJ159" s="2"/>
      <c r="CK159" s="2"/>
      <c r="CL159" s="171">
        <f t="shared" si="358"/>
        <v>506126.08669535245</v>
      </c>
      <c r="CM159" s="169">
        <f t="shared" si="359"/>
        <v>577317.08669535245</v>
      </c>
      <c r="CN159" s="170">
        <f t="shared" si="268"/>
        <v>189260.08669535248</v>
      </c>
      <c r="CO159" s="170">
        <f t="shared" si="269"/>
        <v>200028</v>
      </c>
      <c r="CP159" s="170">
        <f t="shared" si="308"/>
        <v>388057</v>
      </c>
      <c r="CQ159" s="170">
        <f t="shared" si="309"/>
        <v>71191</v>
      </c>
      <c r="CR159" s="170">
        <v>3470</v>
      </c>
      <c r="CS159" s="113">
        <f t="shared" si="360"/>
        <v>7.2920379725571652E-2</v>
      </c>
      <c r="CT159" s="170">
        <f t="shared" si="346"/>
        <v>544238</v>
      </c>
      <c r="CU159" s="2">
        <v>188012</v>
      </c>
      <c r="CV159" s="991">
        <v>356226</v>
      </c>
      <c r="CW159" s="2">
        <v>66420</v>
      </c>
      <c r="CX159" s="2">
        <v>15808</v>
      </c>
      <c r="CY159" s="2">
        <v>574</v>
      </c>
      <c r="CZ159" s="170">
        <f t="shared" si="272"/>
        <v>33079.086695352482</v>
      </c>
      <c r="DA159" s="170">
        <f t="shared" si="273"/>
        <v>43847</v>
      </c>
      <c r="DB159" s="170">
        <f t="shared" si="335"/>
        <v>1248.0866953524837</v>
      </c>
      <c r="DC159" s="2">
        <v>12016</v>
      </c>
      <c r="DD159" s="2">
        <v>31831</v>
      </c>
      <c r="DE159" s="2">
        <v>4771</v>
      </c>
      <c r="DF159" s="2">
        <v>1219</v>
      </c>
      <c r="DG159" s="1040">
        <v>0</v>
      </c>
      <c r="DH159" s="171">
        <f t="shared" si="381"/>
        <v>95500</v>
      </c>
      <c r="DI159" s="2">
        <f t="shared" si="320"/>
        <v>105042</v>
      </c>
      <c r="DJ159" s="2">
        <v>95500</v>
      </c>
      <c r="DK159" s="2">
        <v>9542</v>
      </c>
      <c r="DL159" s="113">
        <f t="shared" si="336"/>
        <v>0.11062984874409057</v>
      </c>
      <c r="DM159" s="113">
        <f t="shared" si="361"/>
        <v>0.17940505152024647</v>
      </c>
      <c r="DN159" s="113">
        <f t="shared" si="321"/>
        <v>0.52487523907929734</v>
      </c>
      <c r="DO159" s="2">
        <v>0</v>
      </c>
      <c r="DP159" s="2">
        <v>0</v>
      </c>
      <c r="DQ159" s="273"/>
      <c r="DR159" s="2">
        <v>110829</v>
      </c>
      <c r="DS159" s="2">
        <v>71119</v>
      </c>
      <c r="DT159" s="169">
        <f t="shared" si="326"/>
        <v>181948</v>
      </c>
      <c r="DU159" s="2">
        <v>639964</v>
      </c>
      <c r="DV159" s="2"/>
      <c r="DW159" s="2">
        <v>172387</v>
      </c>
      <c r="DX159" s="2"/>
      <c r="DY159" s="2"/>
      <c r="DZ159" s="2"/>
      <c r="EA159" s="2"/>
      <c r="EB159" s="2"/>
      <c r="EC159" s="2"/>
      <c r="ED159" s="175">
        <v>2355</v>
      </c>
      <c r="EE159" s="2"/>
      <c r="EF159" s="175">
        <f t="shared" si="315"/>
        <v>12099</v>
      </c>
      <c r="EG159" s="2"/>
      <c r="EH159" s="2"/>
      <c r="EI159" s="2">
        <v>269714</v>
      </c>
      <c r="EJ159" s="2">
        <v>287731</v>
      </c>
      <c r="EK159" s="2"/>
      <c r="EL159" s="2"/>
      <c r="EM159" s="2"/>
      <c r="EN159" s="2"/>
      <c r="EO159" s="2"/>
      <c r="EP159" s="2"/>
      <c r="EQ159" s="2"/>
      <c r="ER159" s="2"/>
      <c r="ES159" s="2"/>
      <c r="ET159" s="2">
        <f t="shared" si="337"/>
        <v>976282</v>
      </c>
      <c r="EU159" s="2">
        <f t="shared" si="338"/>
        <v>976286</v>
      </c>
      <c r="EV159" s="262">
        <f t="shared" si="292"/>
        <v>1.0000040971768402</v>
      </c>
      <c r="EW159" s="2">
        <v>976282</v>
      </c>
      <c r="EX159" s="1042">
        <v>0</v>
      </c>
      <c r="EY159" s="273">
        <f t="shared" si="339"/>
        <v>636142</v>
      </c>
      <c r="EZ159" s="2">
        <f t="shared" si="369"/>
        <v>363618</v>
      </c>
      <c r="FA159" s="2">
        <v>35141</v>
      </c>
      <c r="FB159" s="2">
        <v>126921</v>
      </c>
      <c r="FC159" s="2"/>
      <c r="FD159" s="2">
        <v>73134</v>
      </c>
      <c r="FE159" s="1052">
        <v>120163</v>
      </c>
      <c r="FF159" s="273">
        <v>146560</v>
      </c>
      <c r="FG159" s="2">
        <v>35309</v>
      </c>
      <c r="FH159" s="170">
        <f t="shared" si="370"/>
        <v>146558</v>
      </c>
      <c r="FI159" s="2">
        <v>-25829</v>
      </c>
      <c r="FJ159" s="2">
        <f t="shared" si="362"/>
        <v>-25829</v>
      </c>
      <c r="FK159" s="273">
        <f t="shared" si="376"/>
        <v>32799</v>
      </c>
      <c r="FL159" s="2">
        <v>31377</v>
      </c>
      <c r="FM159" s="2"/>
      <c r="FN159" s="2">
        <v>4098</v>
      </c>
      <c r="FO159" s="2">
        <v>2676</v>
      </c>
      <c r="FP159" s="2">
        <v>38768</v>
      </c>
      <c r="FQ159" s="2">
        <v>-67</v>
      </c>
      <c r="FR159" s="2">
        <v>-5902</v>
      </c>
      <c r="FS159" s="1052">
        <f t="shared" si="377"/>
        <v>0</v>
      </c>
      <c r="FT159" s="2">
        <f t="shared" si="378"/>
        <v>90138</v>
      </c>
      <c r="FU159" s="2"/>
      <c r="FV159" s="2"/>
      <c r="FW159" s="2">
        <v>101959</v>
      </c>
      <c r="FX159" s="2">
        <v>2977</v>
      </c>
      <c r="FY159" s="2">
        <v>290</v>
      </c>
      <c r="FZ159" s="2">
        <v>113904</v>
      </c>
      <c r="GA159" s="2">
        <v>864</v>
      </c>
      <c r="GB159" s="2">
        <v>-10122</v>
      </c>
      <c r="GC159" s="2">
        <f t="shared" si="371"/>
        <v>0</v>
      </c>
      <c r="GD159" s="2">
        <v>-14508</v>
      </c>
      <c r="GE159" s="2">
        <v>0</v>
      </c>
      <c r="GF159" s="2">
        <v>0</v>
      </c>
      <c r="GG159" s="2">
        <v>7618</v>
      </c>
      <c r="GH159" s="2">
        <v>-45</v>
      </c>
      <c r="GI159" s="2">
        <v>-22081</v>
      </c>
      <c r="GJ159" s="2">
        <f t="shared" si="372"/>
        <v>0</v>
      </c>
      <c r="GK159" s="273">
        <f t="shared" si="373"/>
        <v>25300</v>
      </c>
      <c r="GL159" s="2">
        <v>27730</v>
      </c>
      <c r="GM159" s="2">
        <v>6731</v>
      </c>
      <c r="GN159" s="2">
        <v>9161</v>
      </c>
      <c r="GO159" s="2"/>
      <c r="GP159" s="2">
        <v>12099</v>
      </c>
      <c r="GQ159" s="2">
        <v>12227</v>
      </c>
      <c r="GR159" s="2">
        <v>-776</v>
      </c>
      <c r="GS159" s="2">
        <v>13977</v>
      </c>
      <c r="GT159" s="2">
        <f t="shared" si="380"/>
        <v>0</v>
      </c>
      <c r="GU159" s="2">
        <f t="shared" si="364"/>
        <v>13977</v>
      </c>
      <c r="GV159" s="615">
        <v>30584</v>
      </c>
      <c r="GW159" s="615">
        <v>26381</v>
      </c>
      <c r="GX159" s="615">
        <v>14226</v>
      </c>
      <c r="GY159" s="615">
        <f t="shared" si="363"/>
        <v>16358</v>
      </c>
      <c r="GZ159" s="2">
        <v>28214</v>
      </c>
      <c r="HA159" s="2">
        <v>22719</v>
      </c>
      <c r="HB159" s="2">
        <v>5495</v>
      </c>
      <c r="HC159" s="1052">
        <f t="shared" si="374"/>
        <v>0</v>
      </c>
      <c r="HD159" s="170">
        <f t="shared" si="347"/>
        <v>1813</v>
      </c>
      <c r="HE159" s="2">
        <v>131902</v>
      </c>
      <c r="HF159" s="2">
        <v>130089</v>
      </c>
      <c r="HG159" s="170">
        <f t="shared" si="348"/>
        <v>150</v>
      </c>
      <c r="HH159" s="2">
        <v>1032</v>
      </c>
      <c r="HI159" s="2">
        <v>882</v>
      </c>
      <c r="HJ159" s="2">
        <f t="shared" si="340"/>
        <v>-3759</v>
      </c>
      <c r="HK159" s="2">
        <v>4098</v>
      </c>
      <c r="HL159" s="2">
        <v>-335</v>
      </c>
      <c r="HM159" s="2">
        <f t="shared" si="247"/>
        <v>4</v>
      </c>
      <c r="HN159" s="2">
        <f t="shared" si="283"/>
        <v>-4337</v>
      </c>
      <c r="HO159" s="2">
        <f t="shared" si="341"/>
        <v>-6016</v>
      </c>
      <c r="HP159" s="2">
        <v>974484</v>
      </c>
      <c r="HQ159" s="2">
        <v>968468</v>
      </c>
      <c r="HR159" s="2">
        <v>13806</v>
      </c>
      <c r="HS159" s="1052">
        <v>12127</v>
      </c>
      <c r="HT159" s="1002">
        <v>671.8</v>
      </c>
      <c r="HU159" s="1002">
        <v>82.4</v>
      </c>
      <c r="HV159" s="1002">
        <v>84.9</v>
      </c>
    </row>
    <row r="160" spans="1:230">
      <c r="A160" s="110">
        <f t="shared" si="349"/>
        <v>2001</v>
      </c>
      <c r="B160" s="176">
        <f t="shared" si="327"/>
        <v>911923</v>
      </c>
      <c r="C160" s="177">
        <f t="shared" si="317"/>
        <v>6092</v>
      </c>
      <c r="D160" s="176">
        <f t="shared" si="342"/>
        <v>905831</v>
      </c>
      <c r="E160" s="154">
        <f t="shared" si="328"/>
        <v>1021626</v>
      </c>
      <c r="F160" s="995">
        <f t="shared" si="329"/>
        <v>115795</v>
      </c>
      <c r="G160" s="531">
        <f t="shared" si="350"/>
        <v>911921</v>
      </c>
      <c r="H160" s="531">
        <f t="shared" si="351"/>
        <v>905829</v>
      </c>
      <c r="I160" s="531">
        <f t="shared" si="352"/>
        <v>1021624</v>
      </c>
      <c r="J160" s="548">
        <f t="shared" si="353"/>
        <v>1.0000019576674002</v>
      </c>
      <c r="K160" s="178">
        <f t="shared" si="325"/>
        <v>130554</v>
      </c>
      <c r="L160" s="2">
        <v>137507</v>
      </c>
      <c r="M160" s="2">
        <v>6953</v>
      </c>
      <c r="N160" s="2">
        <v>114232</v>
      </c>
      <c r="O160" s="170">
        <f t="shared" si="286"/>
        <v>16321</v>
      </c>
      <c r="P160" s="175">
        <f t="shared" si="365"/>
        <v>-535</v>
      </c>
      <c r="Q160" s="175">
        <f t="shared" si="366"/>
        <v>16856</v>
      </c>
      <c r="R160" s="175">
        <f t="shared" si="287"/>
        <v>0</v>
      </c>
      <c r="S160" s="532"/>
      <c r="T160" s="1008">
        <f t="shared" si="253"/>
        <v>46400.940845154852</v>
      </c>
      <c r="U160" s="1010">
        <v>33615</v>
      </c>
      <c r="V160" s="511">
        <f t="shared" si="288"/>
        <v>65785.940845154852</v>
      </c>
      <c r="W160" s="2">
        <v>53000</v>
      </c>
      <c r="X160" s="169">
        <f t="shared" si="254"/>
        <v>19385</v>
      </c>
      <c r="Y160" s="113">
        <f t="shared" si="255"/>
        <v>0.29466782341272407</v>
      </c>
      <c r="Z160" s="113">
        <f t="shared" si="330"/>
        <v>0.3657547169811321</v>
      </c>
      <c r="AA160" s="276">
        <f>X160/DataUK3!D160</f>
        <v>9.850446992298003E-3</v>
      </c>
      <c r="AB160" s="1019">
        <f t="shared" si="331"/>
        <v>1.897465412978918E-2</v>
      </c>
      <c r="AC160" s="2">
        <v>51291</v>
      </c>
      <c r="AD160" s="2">
        <v>17539</v>
      </c>
      <c r="AE160" s="2">
        <v>33752</v>
      </c>
      <c r="AF160" s="253">
        <f>AC160/DataUK3!$BE160</f>
        <v>6.9881412369954168E-2</v>
      </c>
      <c r="AG160" s="253">
        <f>AD160/DataUK3!$BE160</f>
        <v>2.389600693214455E-2</v>
      </c>
      <c r="AH160" s="253">
        <f>AE160/DataUK3!$BE160</f>
        <v>4.5985405437809615E-2</v>
      </c>
      <c r="AI160" s="1010">
        <f>AD160*DataUK3!BG160</f>
        <v>12785.940845154855</v>
      </c>
      <c r="AJ160" s="171">
        <f t="shared" si="375"/>
        <v>99203</v>
      </c>
      <c r="AK160" s="561"/>
      <c r="AL160" s="169">
        <f t="shared" si="354"/>
        <v>112725</v>
      </c>
      <c r="AM160" s="169"/>
      <c r="AN160" s="2">
        <v>47116</v>
      </c>
      <c r="AO160" s="1012">
        <v>60638</v>
      </c>
      <c r="AP160" s="2"/>
      <c r="AQ160" s="2"/>
      <c r="AR160" s="2"/>
      <c r="AS160" s="2"/>
      <c r="AT160" s="2"/>
      <c r="AU160" s="2"/>
      <c r="AV160" s="2"/>
      <c r="AW160" s="2"/>
      <c r="AX160" s="2"/>
      <c r="AY160" s="2"/>
      <c r="AZ160" s="2"/>
      <c r="BA160" s="2"/>
      <c r="BB160" s="2"/>
      <c r="BC160" s="2"/>
      <c r="BD160" s="2"/>
      <c r="BE160" s="2"/>
      <c r="BF160" s="2"/>
      <c r="BG160" s="2"/>
      <c r="BH160" s="2"/>
      <c r="BI160" s="273">
        <v>564319</v>
      </c>
      <c r="BJ160" s="2">
        <f t="shared" si="355"/>
        <v>564253</v>
      </c>
      <c r="BK160" s="2"/>
      <c r="BL160" s="2"/>
      <c r="BM160" s="1129">
        <v>52087</v>
      </c>
      <c r="BN160" s="2"/>
      <c r="BO160" s="262">
        <f t="shared" si="343"/>
        <v>5.1666642907350728E-2</v>
      </c>
      <c r="BP160" s="262">
        <f t="shared" si="332"/>
        <v>6.6494649219287161E-2</v>
      </c>
      <c r="BQ160" s="262">
        <f t="shared" si="344"/>
        <v>5.7117761039035091E-2</v>
      </c>
      <c r="BR160" s="262">
        <f t="shared" si="356"/>
        <v>9.230063138047806E-2</v>
      </c>
      <c r="BS160" s="988">
        <f t="shared" si="367"/>
        <v>0.85898281605593851</v>
      </c>
      <c r="BT160" s="519">
        <f t="shared" si="368"/>
        <v>13522</v>
      </c>
      <c r="BU160" s="519"/>
      <c r="BV160" s="113">
        <f t="shared" si="333"/>
        <v>0.11995564426702152</v>
      </c>
      <c r="BW160" s="276">
        <f t="shared" si="357"/>
        <v>1.3235763381119901E-2</v>
      </c>
      <c r="BX160" s="273">
        <v>32908</v>
      </c>
      <c r="BY160" s="2">
        <v>47</v>
      </c>
      <c r="BZ160" s="1012">
        <v>582</v>
      </c>
      <c r="CA160" s="1005">
        <f t="shared" si="345"/>
        <v>911923</v>
      </c>
      <c r="CB160" s="2"/>
      <c r="CC160" s="2"/>
      <c r="CD160" s="2"/>
      <c r="CE160" s="2"/>
      <c r="CF160" s="2">
        <v>1021625</v>
      </c>
      <c r="CG160" s="2">
        <v>0</v>
      </c>
      <c r="CH160" s="2">
        <f t="shared" si="334"/>
        <v>1</v>
      </c>
      <c r="CI160" s="2">
        <v>115796</v>
      </c>
      <c r="CJ160" s="2"/>
      <c r="CK160" s="2"/>
      <c r="CL160" s="171">
        <f t="shared" si="358"/>
        <v>526499.05915484508</v>
      </c>
      <c r="CM160" s="169">
        <f t="shared" si="359"/>
        <v>599591.05915484508</v>
      </c>
      <c r="CN160" s="170">
        <f t="shared" si="268"/>
        <v>190599.05915484513</v>
      </c>
      <c r="CO160" s="170">
        <f t="shared" si="269"/>
        <v>203385</v>
      </c>
      <c r="CP160" s="170">
        <f t="shared" si="308"/>
        <v>408992</v>
      </c>
      <c r="CQ160" s="170">
        <f t="shared" si="309"/>
        <v>73092</v>
      </c>
      <c r="CR160" s="170">
        <v>3604</v>
      </c>
      <c r="CS160" s="113">
        <f t="shared" si="360"/>
        <v>7.1544772744624743E-2</v>
      </c>
      <c r="CT160" s="170">
        <f t="shared" si="346"/>
        <v>565556</v>
      </c>
      <c r="CU160" s="2">
        <v>189686</v>
      </c>
      <c r="CV160" s="991">
        <v>375870</v>
      </c>
      <c r="CW160" s="2">
        <v>68362</v>
      </c>
      <c r="CX160" s="2">
        <v>16170</v>
      </c>
      <c r="CY160" s="2">
        <v>662</v>
      </c>
      <c r="CZ160" s="170">
        <f t="shared" si="272"/>
        <v>34035.059154845148</v>
      </c>
      <c r="DA160" s="170">
        <f t="shared" si="273"/>
        <v>46821</v>
      </c>
      <c r="DB160" s="170">
        <f t="shared" si="335"/>
        <v>913.0591548451448</v>
      </c>
      <c r="DC160" s="2">
        <v>13699</v>
      </c>
      <c r="DD160" s="2">
        <v>33122</v>
      </c>
      <c r="DE160" s="2">
        <v>4730</v>
      </c>
      <c r="DF160" s="2">
        <v>1348</v>
      </c>
      <c r="DG160" s="1040">
        <v>0</v>
      </c>
      <c r="DH160" s="171">
        <f t="shared" si="381"/>
        <v>103174</v>
      </c>
      <c r="DI160" s="2">
        <f t="shared" si="320"/>
        <v>112970</v>
      </c>
      <c r="DJ160" s="2">
        <v>103174</v>
      </c>
      <c r="DK160" s="2">
        <v>9796</v>
      </c>
      <c r="DL160" s="113">
        <f t="shared" si="336"/>
        <v>0.11313893826562112</v>
      </c>
      <c r="DM160" s="113">
        <f t="shared" si="361"/>
        <v>0.1828506007057118</v>
      </c>
      <c r="DN160" s="113">
        <f t="shared" si="321"/>
        <v>0.53016047562034641</v>
      </c>
      <c r="DO160" s="2">
        <v>0</v>
      </c>
      <c r="DP160" s="2">
        <v>0</v>
      </c>
      <c r="DQ160" s="273"/>
      <c r="DR160" s="2">
        <v>118778</v>
      </c>
      <c r="DS160" s="2">
        <v>75831</v>
      </c>
      <c r="DT160" s="169">
        <f t="shared" si="326"/>
        <v>194609</v>
      </c>
      <c r="DU160" s="2">
        <v>672481</v>
      </c>
      <c r="DV160" s="2"/>
      <c r="DW160" s="2">
        <v>178506</v>
      </c>
      <c r="DX160" s="2"/>
      <c r="DY160" s="2"/>
      <c r="DZ160" s="2"/>
      <c r="EA160" s="2"/>
      <c r="EB160" s="2"/>
      <c r="EC160" s="2"/>
      <c r="ED160" s="175">
        <v>3184</v>
      </c>
      <c r="EE160" s="2"/>
      <c r="EF160" s="175">
        <f t="shared" si="315"/>
        <v>13537</v>
      </c>
      <c r="EG160" s="2"/>
      <c r="EH160" s="2"/>
      <c r="EI160" s="2">
        <v>276775</v>
      </c>
      <c r="EJ160" s="2">
        <v>300747</v>
      </c>
      <c r="EK160" s="2"/>
      <c r="EL160" s="2"/>
      <c r="EM160" s="2"/>
      <c r="EN160" s="2"/>
      <c r="EO160" s="2"/>
      <c r="EP160" s="2"/>
      <c r="EQ160" s="2"/>
      <c r="ER160" s="2"/>
      <c r="ES160" s="2"/>
      <c r="ET160" s="2">
        <f t="shared" si="337"/>
        <v>1021624</v>
      </c>
      <c r="EU160" s="2">
        <f t="shared" si="338"/>
        <v>1021627</v>
      </c>
      <c r="EV160" s="262">
        <f t="shared" si="292"/>
        <v>1.0000029365011003</v>
      </c>
      <c r="EW160" s="2">
        <v>1021625</v>
      </c>
      <c r="EX160" s="1042">
        <v>0</v>
      </c>
      <c r="EY160" s="273">
        <f t="shared" si="339"/>
        <v>676963</v>
      </c>
      <c r="EZ160" s="2">
        <f t="shared" si="369"/>
        <v>378450</v>
      </c>
      <c r="FA160" s="2">
        <v>35501</v>
      </c>
      <c r="FB160" s="2">
        <v>135450</v>
      </c>
      <c r="FC160" s="2"/>
      <c r="FD160" s="2">
        <v>76945</v>
      </c>
      <c r="FE160" s="1052">
        <v>129591</v>
      </c>
      <c r="FF160" s="273">
        <v>157445</v>
      </c>
      <c r="FG160" s="2">
        <v>41649</v>
      </c>
      <c r="FH160" s="170">
        <f t="shared" si="370"/>
        <v>157444</v>
      </c>
      <c r="FI160" s="2">
        <v>-21062</v>
      </c>
      <c r="FJ160" s="2">
        <f t="shared" si="362"/>
        <v>-21062</v>
      </c>
      <c r="FK160" s="273">
        <f t="shared" si="376"/>
        <v>45346</v>
      </c>
      <c r="FL160" s="2">
        <v>43667</v>
      </c>
      <c r="FM160" s="2"/>
      <c r="FN160" s="2">
        <v>5787</v>
      </c>
      <c r="FO160" s="2">
        <v>4108</v>
      </c>
      <c r="FP160" s="2">
        <v>44513</v>
      </c>
      <c r="FQ160" s="2">
        <v>-152</v>
      </c>
      <c r="FR160" s="2">
        <v>985</v>
      </c>
      <c r="FS160" s="1052">
        <f t="shared" si="377"/>
        <v>0</v>
      </c>
      <c r="FT160" s="2">
        <f t="shared" si="378"/>
        <v>93259</v>
      </c>
      <c r="FU160" s="2"/>
      <c r="FV160" s="2"/>
      <c r="FW160" s="2">
        <v>102031</v>
      </c>
      <c r="FX160" s="2">
        <v>4760</v>
      </c>
      <c r="FY160" s="2">
        <v>285</v>
      </c>
      <c r="FZ160" s="2">
        <v>111955</v>
      </c>
      <c r="GA160" s="2">
        <v>1208</v>
      </c>
      <c r="GB160" s="2">
        <v>-6657</v>
      </c>
      <c r="GC160" s="2">
        <f t="shared" si="371"/>
        <v>0</v>
      </c>
      <c r="GD160" s="2">
        <v>-13247</v>
      </c>
      <c r="GE160" s="2">
        <v>412</v>
      </c>
      <c r="GF160" s="2">
        <v>412</v>
      </c>
      <c r="GG160" s="2">
        <v>8502</v>
      </c>
      <c r="GH160" s="2">
        <v>-43</v>
      </c>
      <c r="GI160" s="2">
        <v>-21706</v>
      </c>
      <c r="GJ160" s="2">
        <f t="shared" si="372"/>
        <v>0</v>
      </c>
      <c r="GK160" s="273">
        <f t="shared" si="373"/>
        <v>20255</v>
      </c>
      <c r="GL160" s="2">
        <v>24994</v>
      </c>
      <c r="GM160" s="2">
        <v>7876</v>
      </c>
      <c r="GN160" s="2">
        <v>12615</v>
      </c>
      <c r="GO160" s="2"/>
      <c r="GP160" s="2">
        <v>13537</v>
      </c>
      <c r="GQ160" s="2">
        <v>13533</v>
      </c>
      <c r="GR160" s="2">
        <v>-916</v>
      </c>
      <c r="GS160" s="2">
        <v>7634</v>
      </c>
      <c r="GT160" s="2">
        <f t="shared" si="380"/>
        <v>0</v>
      </c>
      <c r="GU160" s="2">
        <f t="shared" si="364"/>
        <v>7634</v>
      </c>
      <c r="GV160" s="615">
        <v>27911</v>
      </c>
      <c r="GW160" s="615">
        <v>23661</v>
      </c>
      <c r="GX160" s="615">
        <v>14012</v>
      </c>
      <c r="GY160" s="615">
        <f t="shared" si="363"/>
        <v>13899</v>
      </c>
      <c r="GZ160" s="2">
        <v>24023</v>
      </c>
      <c r="HA160" s="2">
        <v>18540</v>
      </c>
      <c r="HB160" s="2">
        <v>5483</v>
      </c>
      <c r="HC160" s="1052">
        <f t="shared" si="374"/>
        <v>0</v>
      </c>
      <c r="HD160" s="170">
        <f t="shared" si="347"/>
        <v>9359</v>
      </c>
      <c r="HE160" s="2">
        <v>137447</v>
      </c>
      <c r="HF160" s="2">
        <v>128088</v>
      </c>
      <c r="HG160" s="170">
        <f t="shared" si="348"/>
        <v>66</v>
      </c>
      <c r="HH160" s="2">
        <v>1087</v>
      </c>
      <c r="HI160" s="2">
        <v>1021</v>
      </c>
      <c r="HJ160" s="2">
        <f t="shared" si="340"/>
        <v>-3333</v>
      </c>
      <c r="HK160" s="2">
        <v>3920</v>
      </c>
      <c r="HL160" s="2">
        <v>-582</v>
      </c>
      <c r="HM160" s="2">
        <f t="shared" si="247"/>
        <v>5</v>
      </c>
      <c r="HN160" s="2">
        <f t="shared" si="283"/>
        <v>-1767</v>
      </c>
      <c r="HO160" s="2">
        <f t="shared" si="341"/>
        <v>-3182</v>
      </c>
      <c r="HP160" s="2">
        <v>1027712</v>
      </c>
      <c r="HQ160" s="2">
        <v>1024530</v>
      </c>
      <c r="HR160" s="2">
        <v>18835</v>
      </c>
      <c r="HS160" s="1052">
        <v>17420</v>
      </c>
      <c r="HT160" s="1002">
        <v>683.7</v>
      </c>
      <c r="HU160" s="1002">
        <v>83.6</v>
      </c>
      <c r="HV160" s="1002">
        <v>85.8</v>
      </c>
    </row>
    <row r="161" spans="1:230">
      <c r="A161" s="110">
        <f t="shared" si="349"/>
        <v>2002</v>
      </c>
      <c r="B161" s="176">
        <f t="shared" si="327"/>
        <v>969583</v>
      </c>
      <c r="C161" s="177">
        <f t="shared" si="317"/>
        <v>16133</v>
      </c>
      <c r="D161" s="176">
        <f t="shared" si="342"/>
        <v>953450</v>
      </c>
      <c r="E161" s="154">
        <f t="shared" si="328"/>
        <v>1075364</v>
      </c>
      <c r="F161" s="995">
        <f t="shared" si="329"/>
        <v>121914</v>
      </c>
      <c r="G161" s="531">
        <f t="shared" si="350"/>
        <v>969588</v>
      </c>
      <c r="H161" s="531">
        <f t="shared" si="351"/>
        <v>953455</v>
      </c>
      <c r="I161" s="531">
        <f t="shared" si="352"/>
        <v>1075369</v>
      </c>
      <c r="J161" s="548">
        <f t="shared" si="353"/>
        <v>0.99999535043320009</v>
      </c>
      <c r="K161" s="178">
        <f t="shared" si="325"/>
        <v>135108</v>
      </c>
      <c r="L161" s="2">
        <v>143117</v>
      </c>
      <c r="M161" s="2">
        <v>8009</v>
      </c>
      <c r="N161" s="2">
        <v>118469</v>
      </c>
      <c r="O161" s="170">
        <f t="shared" si="286"/>
        <v>16640</v>
      </c>
      <c r="P161" s="175">
        <f t="shared" si="365"/>
        <v>-461</v>
      </c>
      <c r="Q161" s="175">
        <f t="shared" si="366"/>
        <v>17101</v>
      </c>
      <c r="R161" s="175">
        <f t="shared" si="287"/>
        <v>0</v>
      </c>
      <c r="S161" s="532"/>
      <c r="T161" s="1008">
        <f t="shared" si="253"/>
        <v>49115.76008411865</v>
      </c>
      <c r="U161" s="1010">
        <v>35175</v>
      </c>
      <c r="V161" s="511">
        <f t="shared" si="288"/>
        <v>69587.76008411865</v>
      </c>
      <c r="W161" s="2">
        <v>55647</v>
      </c>
      <c r="X161" s="169">
        <f t="shared" si="254"/>
        <v>20472</v>
      </c>
      <c r="Y161" s="113">
        <f t="shared" si="255"/>
        <v>0.29418966748251651</v>
      </c>
      <c r="Z161" s="113">
        <f t="shared" si="330"/>
        <v>0.36789045231548873</v>
      </c>
      <c r="AA161" s="276">
        <f>X161/DataUK3!D161</f>
        <v>9.672659475799688E-3</v>
      </c>
      <c r="AB161" s="1019">
        <f t="shared" si="331"/>
        <v>1.9037274820432895E-2</v>
      </c>
      <c r="AC161" s="2">
        <v>49628</v>
      </c>
      <c r="AD161" s="2">
        <v>19138</v>
      </c>
      <c r="AE161" s="2">
        <v>30490</v>
      </c>
      <c r="AF161" s="253">
        <f>AC161/DataUK3!$BE161</f>
        <v>6.1247661313810958E-2</v>
      </c>
      <c r="AG161" s="253">
        <f>AD161/DataUK3!$BE161</f>
        <v>2.3618879306514753E-2</v>
      </c>
      <c r="AH161" s="253">
        <f>AE161/DataUK3!$BE161</f>
        <v>3.7628782007296205E-2</v>
      </c>
      <c r="AI161" s="1010">
        <f>AD161*DataUK3!BG161</f>
        <v>13940.760084118654</v>
      </c>
      <c r="AJ161" s="171">
        <f t="shared" si="375"/>
        <v>105398</v>
      </c>
      <c r="AK161" s="561"/>
      <c r="AL161" s="169">
        <f t="shared" si="354"/>
        <v>120969</v>
      </c>
      <c r="AM161" s="169"/>
      <c r="AN161" s="2">
        <v>50745</v>
      </c>
      <c r="AO161" s="1012">
        <v>66316</v>
      </c>
      <c r="AP161" s="2"/>
      <c r="AQ161" s="2"/>
      <c r="AR161" s="2"/>
      <c r="AS161" s="2"/>
      <c r="AT161" s="2"/>
      <c r="AU161" s="2"/>
      <c r="AV161" s="2"/>
      <c r="AW161" s="2"/>
      <c r="AX161" s="2"/>
      <c r="AY161" s="2"/>
      <c r="AZ161" s="2"/>
      <c r="BA161" s="2"/>
      <c r="BB161" s="2"/>
      <c r="BC161" s="2"/>
      <c r="BD161" s="2"/>
      <c r="BE161" s="2"/>
      <c r="BF161" s="2"/>
      <c r="BG161" s="2"/>
      <c r="BH161" s="2"/>
      <c r="BI161" s="273">
        <v>586910</v>
      </c>
      <c r="BJ161" s="2">
        <f t="shared" si="355"/>
        <v>586843</v>
      </c>
      <c r="BK161" s="2"/>
      <c r="BL161" s="2"/>
      <c r="BM161" s="1129">
        <v>54653</v>
      </c>
      <c r="BN161" s="2"/>
      <c r="BO161" s="262">
        <f t="shared" si="343"/>
        <v>5.2336932475094966E-2</v>
      </c>
      <c r="BP161" s="262">
        <f t="shared" si="332"/>
        <v>6.8396413715999554E-2</v>
      </c>
      <c r="BQ161" s="262">
        <f t="shared" si="344"/>
        <v>5.6367531196400929E-2</v>
      </c>
      <c r="BR161" s="262">
        <f t="shared" si="356"/>
        <v>9.311989913274607E-2</v>
      </c>
      <c r="BS161" s="988">
        <f t="shared" si="367"/>
        <v>0.82412992339706859</v>
      </c>
      <c r="BT161" s="519">
        <f t="shared" si="368"/>
        <v>15571</v>
      </c>
      <c r="BU161" s="519"/>
      <c r="BV161" s="113">
        <f t="shared" si="333"/>
        <v>0.12871892798981557</v>
      </c>
      <c r="BW161" s="276">
        <f t="shared" si="357"/>
        <v>1.4479748252684672E-2</v>
      </c>
      <c r="BX161" s="273">
        <v>36043</v>
      </c>
      <c r="BY161" s="2">
        <v>58</v>
      </c>
      <c r="BZ161" s="1012">
        <v>519</v>
      </c>
      <c r="CA161" s="1005">
        <f t="shared" si="345"/>
        <v>969583</v>
      </c>
      <c r="CB161" s="2"/>
      <c r="CC161" s="2"/>
      <c r="CD161" s="2"/>
      <c r="CE161" s="2"/>
      <c r="CF161" s="2">
        <v>1075368</v>
      </c>
      <c r="CG161" s="2">
        <v>3</v>
      </c>
      <c r="CH161" s="2">
        <f t="shared" si="334"/>
        <v>-1</v>
      </c>
      <c r="CI161" s="2">
        <v>121914</v>
      </c>
      <c r="CJ161" s="2"/>
      <c r="CK161" s="2"/>
      <c r="CL161" s="171">
        <f t="shared" si="358"/>
        <v>552879.23991588131</v>
      </c>
      <c r="CM161" s="169">
        <f t="shared" si="359"/>
        <v>628461.23991588131</v>
      </c>
      <c r="CN161" s="170">
        <f t="shared" si="268"/>
        <v>207220.23991588134</v>
      </c>
      <c r="CO161" s="170">
        <f t="shared" si="269"/>
        <v>221161</v>
      </c>
      <c r="CP161" s="170">
        <f t="shared" si="308"/>
        <v>421241</v>
      </c>
      <c r="CQ161" s="170">
        <f t="shared" si="309"/>
        <v>75582</v>
      </c>
      <c r="CR161" s="170">
        <v>3900</v>
      </c>
      <c r="CS161" s="113">
        <f t="shared" si="360"/>
        <v>7.0285038368403635E-2</v>
      </c>
      <c r="CT161" s="170">
        <f t="shared" si="346"/>
        <v>581080</v>
      </c>
      <c r="CU161" s="2">
        <v>193963</v>
      </c>
      <c r="CV161" s="991">
        <v>387117</v>
      </c>
      <c r="CW161" s="2">
        <v>70547</v>
      </c>
      <c r="CX161" s="2">
        <v>16679</v>
      </c>
      <c r="CY161" s="2">
        <v>954</v>
      </c>
      <c r="CZ161" s="170">
        <f t="shared" si="272"/>
        <v>47381.23991588135</v>
      </c>
      <c r="DA161" s="170">
        <f t="shared" si="273"/>
        <v>61322</v>
      </c>
      <c r="DB161" s="170">
        <f t="shared" si="335"/>
        <v>13257.239915881346</v>
      </c>
      <c r="DC161" s="2">
        <v>27198</v>
      </c>
      <c r="DD161" s="2">
        <v>34124</v>
      </c>
      <c r="DE161" s="2">
        <v>5035</v>
      </c>
      <c r="DF161" s="2">
        <v>1376</v>
      </c>
      <c r="DG161" s="1040">
        <v>0</v>
      </c>
      <c r="DH161" s="171">
        <f t="shared" si="381"/>
        <v>110949</v>
      </c>
      <c r="DI161" s="2">
        <f t="shared" si="320"/>
        <v>121238</v>
      </c>
      <c r="DJ161" s="2">
        <v>110949</v>
      </c>
      <c r="DK161" s="2">
        <v>10289</v>
      </c>
      <c r="DL161" s="113">
        <f t="shared" si="336"/>
        <v>0.11442960530454845</v>
      </c>
      <c r="DM161" s="113">
        <f t="shared" si="361"/>
        <v>0.18906078797906767</v>
      </c>
      <c r="DN161" s="113">
        <f t="shared" si="321"/>
        <v>0.52197538531022414</v>
      </c>
      <c r="DO161" s="2">
        <v>0</v>
      </c>
      <c r="DP161" s="2">
        <v>0</v>
      </c>
      <c r="DQ161" s="273"/>
      <c r="DR161" s="2">
        <v>130348</v>
      </c>
      <c r="DS161" s="2">
        <v>82208</v>
      </c>
      <c r="DT161" s="169">
        <f t="shared" si="326"/>
        <v>212556</v>
      </c>
      <c r="DU161" s="2">
        <v>707071</v>
      </c>
      <c r="DV161" s="2"/>
      <c r="DW161" s="2">
        <v>183776</v>
      </c>
      <c r="DX161" s="2"/>
      <c r="DY161" s="2"/>
      <c r="DZ161" s="2"/>
      <c r="EA161" s="2"/>
      <c r="EB161" s="2"/>
      <c r="EC161" s="2"/>
      <c r="ED161" s="175">
        <v>3829</v>
      </c>
      <c r="EE161" s="2"/>
      <c r="EF161" s="175">
        <f t="shared" si="315"/>
        <v>15474</v>
      </c>
      <c r="EG161" s="2"/>
      <c r="EH161" s="2"/>
      <c r="EI161" s="2">
        <v>280454</v>
      </c>
      <c r="EJ161" s="2">
        <v>308488</v>
      </c>
      <c r="EK161" s="2"/>
      <c r="EL161" s="2"/>
      <c r="EM161" s="2"/>
      <c r="EN161" s="2"/>
      <c r="EO161" s="2"/>
      <c r="EP161" s="2"/>
      <c r="EQ161" s="2"/>
      <c r="ER161" s="2"/>
      <c r="ES161" s="2"/>
      <c r="ET161" s="2">
        <f t="shared" si="337"/>
        <v>1075369</v>
      </c>
      <c r="EU161" s="2">
        <f t="shared" si="338"/>
        <v>1075364</v>
      </c>
      <c r="EV161" s="262">
        <f t="shared" si="292"/>
        <v>0.99999535043320009</v>
      </c>
      <c r="EW161" s="2">
        <v>1075368</v>
      </c>
      <c r="EX161" s="1042">
        <v>0</v>
      </c>
      <c r="EY161" s="273">
        <f t="shared" si="339"/>
        <v>737652</v>
      </c>
      <c r="EZ161" s="2">
        <f t="shared" si="369"/>
        <v>382250</v>
      </c>
      <c r="FA161" s="2">
        <v>30788</v>
      </c>
      <c r="FB161" s="2">
        <v>137340</v>
      </c>
      <c r="FC161" s="2"/>
      <c r="FD161" s="2">
        <v>79014</v>
      </c>
      <c r="FE161" s="1052">
        <v>136801</v>
      </c>
      <c r="FF161" s="273">
        <v>165374</v>
      </c>
      <c r="FG161" s="2">
        <v>43460</v>
      </c>
      <c r="FH161" s="170">
        <f t="shared" si="370"/>
        <v>165375</v>
      </c>
      <c r="FI161" s="2">
        <v>-18401</v>
      </c>
      <c r="FJ161" s="2">
        <f t="shared" si="362"/>
        <v>-18401</v>
      </c>
      <c r="FK161" s="273">
        <f t="shared" si="376"/>
        <v>37478</v>
      </c>
      <c r="FL161" s="2">
        <v>35528</v>
      </c>
      <c r="FM161" s="2"/>
      <c r="FN161" s="2">
        <v>5325</v>
      </c>
      <c r="FO161" s="2">
        <v>3375</v>
      </c>
      <c r="FP161" s="2">
        <v>53774</v>
      </c>
      <c r="FQ161" s="2">
        <v>-176</v>
      </c>
      <c r="FR161" s="2">
        <v>-16120</v>
      </c>
      <c r="FS161" s="1052">
        <f t="shared" si="377"/>
        <v>0</v>
      </c>
      <c r="FT161" s="2">
        <f t="shared" si="378"/>
        <v>134733</v>
      </c>
      <c r="FU161" s="2"/>
      <c r="FV161" s="2"/>
      <c r="FW161" s="2">
        <v>118778</v>
      </c>
      <c r="FX161" s="2">
        <v>4079</v>
      </c>
      <c r="FY161" s="2">
        <v>492</v>
      </c>
      <c r="FZ161" s="2">
        <v>106185</v>
      </c>
      <c r="GA161" s="2">
        <v>1431</v>
      </c>
      <c r="GB161" s="2">
        <v>14749</v>
      </c>
      <c r="GC161" s="2">
        <f t="shared" si="371"/>
        <v>0</v>
      </c>
      <c r="GD161" s="2">
        <v>12368</v>
      </c>
      <c r="GE161" s="2">
        <v>412</v>
      </c>
      <c r="GF161" s="2">
        <v>412</v>
      </c>
      <c r="GG161" s="2">
        <v>8342</v>
      </c>
      <c r="GH161" s="2">
        <v>-36</v>
      </c>
      <c r="GI161" s="2">
        <v>4062</v>
      </c>
      <c r="GJ161" s="2">
        <f t="shared" si="372"/>
        <v>0</v>
      </c>
      <c r="GK161" s="273">
        <f t="shared" si="373"/>
        <v>-5776</v>
      </c>
      <c r="GL161" s="2">
        <v>-1303</v>
      </c>
      <c r="GM161" s="2">
        <v>9856</v>
      </c>
      <c r="GN161" s="2">
        <v>14329</v>
      </c>
      <c r="GO161" s="2"/>
      <c r="GP161" s="2">
        <v>15474</v>
      </c>
      <c r="GQ161" s="2">
        <v>15452</v>
      </c>
      <c r="GR161" s="2">
        <v>-1087</v>
      </c>
      <c r="GS161" s="2">
        <v>-20163</v>
      </c>
      <c r="GT161" s="2">
        <f t="shared" si="380"/>
        <v>0</v>
      </c>
      <c r="GU161" s="2">
        <f t="shared" si="364"/>
        <v>-20163</v>
      </c>
      <c r="GV161" s="615">
        <v>25410</v>
      </c>
      <c r="GW161" s="615">
        <v>21429</v>
      </c>
      <c r="GX161" s="615">
        <v>11892</v>
      </c>
      <c r="GY161" s="615">
        <f t="shared" si="363"/>
        <v>13518</v>
      </c>
      <c r="GZ161" s="2">
        <v>-1286</v>
      </c>
      <c r="HA161" s="2">
        <v>-6922</v>
      </c>
      <c r="HB161" s="2">
        <v>5636</v>
      </c>
      <c r="HC161" s="1052">
        <f t="shared" si="374"/>
        <v>0</v>
      </c>
      <c r="HD161" s="170">
        <f t="shared" si="347"/>
        <v>18436</v>
      </c>
      <c r="HE161" s="2">
        <v>120543</v>
      </c>
      <c r="HF161" s="2">
        <v>102107</v>
      </c>
      <c r="HG161" s="170">
        <f t="shared" si="348"/>
        <v>67</v>
      </c>
      <c r="HH161" s="2">
        <v>1121</v>
      </c>
      <c r="HI161" s="2">
        <v>1054</v>
      </c>
      <c r="HJ161" s="2">
        <f t="shared" si="340"/>
        <v>-2370</v>
      </c>
      <c r="HK161" s="2">
        <v>2890</v>
      </c>
      <c r="HL161" s="2">
        <v>-519</v>
      </c>
      <c r="HM161" s="2">
        <f t="shared" si="247"/>
        <v>1</v>
      </c>
      <c r="HN161" s="2">
        <f t="shared" si="283"/>
        <v>-5436</v>
      </c>
      <c r="HO161" s="2">
        <f t="shared" si="341"/>
        <v>-6500</v>
      </c>
      <c r="HP161" s="2">
        <v>1091500</v>
      </c>
      <c r="HQ161" s="2">
        <v>1085000</v>
      </c>
      <c r="HR161" s="2">
        <v>19672</v>
      </c>
      <c r="HS161" s="1052">
        <v>18608</v>
      </c>
      <c r="HT161" s="1002">
        <v>695.1</v>
      </c>
      <c r="HU161" s="1002">
        <v>85.7</v>
      </c>
      <c r="HV161" s="1002">
        <v>86.4</v>
      </c>
    </row>
    <row r="162" spans="1:230">
      <c r="A162" s="110">
        <f t="shared" si="349"/>
        <v>2003</v>
      </c>
      <c r="B162" s="176">
        <f t="shared" si="327"/>
        <v>1029608</v>
      </c>
      <c r="C162" s="177">
        <f t="shared" si="317"/>
        <v>15770</v>
      </c>
      <c r="D162" s="176">
        <f t="shared" si="342"/>
        <v>1013838</v>
      </c>
      <c r="E162" s="154">
        <f t="shared" si="328"/>
        <v>1139440</v>
      </c>
      <c r="F162" s="995">
        <f t="shared" si="329"/>
        <v>125602</v>
      </c>
      <c r="G162" s="531">
        <f t="shared" si="350"/>
        <v>1029609</v>
      </c>
      <c r="H162" s="531">
        <f t="shared" si="351"/>
        <v>1013839</v>
      </c>
      <c r="I162" s="531">
        <f t="shared" si="352"/>
        <v>1139441</v>
      </c>
      <c r="J162" s="548">
        <f t="shared" si="353"/>
        <v>0.99999912237667421</v>
      </c>
      <c r="K162" s="178">
        <f t="shared" si="325"/>
        <v>141229</v>
      </c>
      <c r="L162" s="2">
        <v>150665</v>
      </c>
      <c r="M162" s="2">
        <v>9436</v>
      </c>
      <c r="N162" s="2">
        <v>124738</v>
      </c>
      <c r="O162" s="170">
        <f t="shared" si="286"/>
        <v>16491</v>
      </c>
      <c r="P162" s="175">
        <f t="shared" si="365"/>
        <v>-531</v>
      </c>
      <c r="Q162" s="175">
        <f t="shared" si="366"/>
        <v>17022</v>
      </c>
      <c r="R162" s="175">
        <f t="shared" si="287"/>
        <v>0</v>
      </c>
      <c r="S162" s="532"/>
      <c r="T162" s="1008">
        <f t="shared" si="253"/>
        <v>53885.630124274772</v>
      </c>
      <c r="U162" s="1010">
        <v>39631</v>
      </c>
      <c r="V162" s="511">
        <f t="shared" si="288"/>
        <v>75237.630124274772</v>
      </c>
      <c r="W162" s="2">
        <v>60983</v>
      </c>
      <c r="X162" s="169">
        <f t="shared" si="254"/>
        <v>21352</v>
      </c>
      <c r="Y162" s="113">
        <f t="shared" si="255"/>
        <v>0.28379415944829128</v>
      </c>
      <c r="Z162" s="113">
        <f t="shared" si="330"/>
        <v>0.35013036419985899</v>
      </c>
      <c r="AA162" s="276">
        <f>X162/DataUK3!D162</f>
        <v>8.3142046660319643E-3</v>
      </c>
      <c r="AB162" s="1019">
        <f t="shared" si="331"/>
        <v>1.8739029698799411E-2</v>
      </c>
      <c r="AC162" s="2">
        <v>51619</v>
      </c>
      <c r="AD162" s="2">
        <v>19644</v>
      </c>
      <c r="AE162" s="2">
        <v>31975</v>
      </c>
      <c r="AF162" s="253">
        <f>AC162/DataUK3!$BE162</f>
        <v>5.595725398711289E-2</v>
      </c>
      <c r="AG162" s="253">
        <f>AD162/DataUK3!$BE162</f>
        <v>2.1294955294036026E-2</v>
      </c>
      <c r="AH162" s="253">
        <f>AE162/DataUK3!$BE162</f>
        <v>3.4662298693076861E-2</v>
      </c>
      <c r="AI162" s="1010">
        <f>AD162*DataUK3!BG162</f>
        <v>14254.630124274776</v>
      </c>
      <c r="AJ162" s="171">
        <f t="shared" si="375"/>
        <v>114519</v>
      </c>
      <c r="AK162" s="561"/>
      <c r="AL162" s="169">
        <f t="shared" si="354"/>
        <v>130069</v>
      </c>
      <c r="AM162" s="169"/>
      <c r="AN162" s="2">
        <v>56766</v>
      </c>
      <c r="AO162" s="1012">
        <v>72316</v>
      </c>
      <c r="AP162" s="2"/>
      <c r="AQ162" s="2"/>
      <c r="AR162" s="2"/>
      <c r="AS162" s="2"/>
      <c r="AT162" s="2"/>
      <c r="AU162" s="2"/>
      <c r="AV162" s="2"/>
      <c r="AW162" s="2"/>
      <c r="AX162" s="2"/>
      <c r="AY162" s="2"/>
      <c r="AZ162" s="2"/>
      <c r="BA162" s="2"/>
      <c r="BB162" s="2"/>
      <c r="BC162" s="2"/>
      <c r="BD162" s="2"/>
      <c r="BE162" s="2"/>
      <c r="BF162" s="2"/>
      <c r="BG162" s="2"/>
      <c r="BH162" s="2"/>
      <c r="BI162" s="273">
        <v>616054</v>
      </c>
      <c r="BJ162" s="2">
        <f t="shared" si="355"/>
        <v>615995</v>
      </c>
      <c r="BK162" s="2"/>
      <c r="BL162" s="2"/>
      <c r="BM162" s="1129">
        <v>57753</v>
      </c>
      <c r="BN162" s="2"/>
      <c r="BO162" s="262">
        <f t="shared" si="343"/>
        <v>5.5133604245499256E-2</v>
      </c>
      <c r="BP162" s="262">
        <f t="shared" si="332"/>
        <v>7.0236439499304595E-2</v>
      </c>
      <c r="BQ162" s="262">
        <f t="shared" si="344"/>
        <v>5.6092221505660407E-2</v>
      </c>
      <c r="BR162" s="262">
        <f t="shared" si="356"/>
        <v>9.3746652079200854E-2</v>
      </c>
      <c r="BS162" s="988">
        <f t="shared" si="367"/>
        <v>0.79861994579346207</v>
      </c>
      <c r="BT162" s="519">
        <f t="shared" si="368"/>
        <v>15550</v>
      </c>
      <c r="BU162" s="519"/>
      <c r="BV162" s="113">
        <f t="shared" si="333"/>
        <v>0.11955193012939286</v>
      </c>
      <c r="BW162" s="276">
        <f t="shared" si="357"/>
        <v>1.3647054693533665E-2</v>
      </c>
      <c r="BX162" s="273">
        <v>36903</v>
      </c>
      <c r="BY162" s="2">
        <v>61</v>
      </c>
      <c r="BZ162" s="1012">
        <v>592</v>
      </c>
      <c r="CA162" s="1005">
        <f t="shared" si="345"/>
        <v>1029608</v>
      </c>
      <c r="CB162" s="2"/>
      <c r="CC162" s="2"/>
      <c r="CD162" s="2"/>
      <c r="CE162" s="2"/>
      <c r="CF162" s="2">
        <v>1139441</v>
      </c>
      <c r="CG162" s="2">
        <v>1</v>
      </c>
      <c r="CH162" s="2">
        <f t="shared" si="334"/>
        <v>0</v>
      </c>
      <c r="CI162" s="2">
        <v>125603</v>
      </c>
      <c r="CJ162" s="2"/>
      <c r="CK162" s="2"/>
      <c r="CL162" s="171">
        <f t="shared" si="358"/>
        <v>582383.36987572524</v>
      </c>
      <c r="CM162" s="169">
        <f t="shared" si="359"/>
        <v>660276.36987572524</v>
      </c>
      <c r="CN162" s="170">
        <f t="shared" si="268"/>
        <v>223855.36987572521</v>
      </c>
      <c r="CO162" s="170">
        <f t="shared" si="269"/>
        <v>238110</v>
      </c>
      <c r="CP162" s="170">
        <f t="shared" si="308"/>
        <v>436421</v>
      </c>
      <c r="CQ162" s="170">
        <f t="shared" si="309"/>
        <v>77893</v>
      </c>
      <c r="CR162" s="170">
        <v>4068</v>
      </c>
      <c r="CS162" s="113">
        <f t="shared" si="360"/>
        <v>6.8360773713403072E-2</v>
      </c>
      <c r="CT162" s="170">
        <f t="shared" si="346"/>
        <v>605304</v>
      </c>
      <c r="CU162" s="2">
        <v>205045</v>
      </c>
      <c r="CV162" s="991">
        <v>400259</v>
      </c>
      <c r="CW162" s="2">
        <v>72598</v>
      </c>
      <c r="CX162" s="2">
        <v>17037</v>
      </c>
      <c r="CY162" s="2">
        <v>1434</v>
      </c>
      <c r="CZ162" s="170">
        <f t="shared" si="272"/>
        <v>54972.369875725228</v>
      </c>
      <c r="DA162" s="170">
        <f t="shared" si="273"/>
        <v>69227</v>
      </c>
      <c r="DB162" s="170">
        <f t="shared" si="335"/>
        <v>18810.369875725224</v>
      </c>
      <c r="DC162" s="2">
        <v>33065</v>
      </c>
      <c r="DD162" s="2">
        <v>36162</v>
      </c>
      <c r="DE162" s="2">
        <v>5295</v>
      </c>
      <c r="DF162" s="2">
        <v>1419</v>
      </c>
      <c r="DG162" s="1040">
        <v>0</v>
      </c>
      <c r="DH162" s="171">
        <f t="shared" si="381"/>
        <v>121821</v>
      </c>
      <c r="DI162" s="2">
        <f t="shared" si="320"/>
        <v>132628</v>
      </c>
      <c r="DJ162" s="2">
        <v>121821</v>
      </c>
      <c r="DK162" s="2">
        <v>10807</v>
      </c>
      <c r="DL162" s="113">
        <f t="shared" si="336"/>
        <v>0.11831784523818774</v>
      </c>
      <c r="DM162" s="113">
        <f t="shared" si="361"/>
        <v>0.19776296885526667</v>
      </c>
      <c r="DN162" s="113">
        <f t="shared" si="321"/>
        <v>0.5237112604305042</v>
      </c>
      <c r="DO162" s="2">
        <v>0</v>
      </c>
      <c r="DP162" s="2">
        <v>0</v>
      </c>
      <c r="DQ162" s="273"/>
      <c r="DR162" s="2">
        <v>142658</v>
      </c>
      <c r="DS162" s="2">
        <v>89953</v>
      </c>
      <c r="DT162" s="169">
        <f t="shared" si="326"/>
        <v>232611</v>
      </c>
      <c r="DU162" s="2">
        <v>742180</v>
      </c>
      <c r="DV162" s="2"/>
      <c r="DW162" s="2">
        <v>190965</v>
      </c>
      <c r="DX162" s="2"/>
      <c r="DY162" s="2"/>
      <c r="DZ162" s="2"/>
      <c r="EA162" s="2"/>
      <c r="EB162" s="2"/>
      <c r="EC162" s="2"/>
      <c r="ED162" s="175">
        <v>1857</v>
      </c>
      <c r="EE162" s="2"/>
      <c r="EF162" s="175">
        <f t="shared" si="315"/>
        <v>20540</v>
      </c>
      <c r="EG162" s="2"/>
      <c r="EH162" s="2"/>
      <c r="EI162" s="2">
        <v>290207</v>
      </c>
      <c r="EJ162" s="2">
        <v>316522</v>
      </c>
      <c r="EK162" s="2"/>
      <c r="EL162" s="2"/>
      <c r="EM162" s="2"/>
      <c r="EN162" s="2"/>
      <c r="EO162" s="2"/>
      <c r="EP162" s="2"/>
      <c r="EQ162" s="2"/>
      <c r="ER162" s="2"/>
      <c r="ES162" s="2"/>
      <c r="ET162" s="2">
        <f t="shared" si="337"/>
        <v>1139441</v>
      </c>
      <c r="EU162" s="2">
        <f t="shared" si="338"/>
        <v>1139441</v>
      </c>
      <c r="EV162" s="262">
        <f t="shared" si="292"/>
        <v>1</v>
      </c>
      <c r="EW162" s="2">
        <v>1139441</v>
      </c>
      <c r="EX162" s="1042">
        <v>0</v>
      </c>
      <c r="EY162" s="273">
        <f t="shared" si="339"/>
        <v>789229</v>
      </c>
      <c r="EZ162" s="2">
        <f t="shared" si="369"/>
        <v>401616</v>
      </c>
      <c r="FA162" s="2">
        <v>31216</v>
      </c>
      <c r="FB162" s="2">
        <v>140677</v>
      </c>
      <c r="FC162" s="2"/>
      <c r="FD162" s="2">
        <v>88494</v>
      </c>
      <c r="FE162" s="1052">
        <v>146066</v>
      </c>
      <c r="FF162" s="273">
        <v>172585</v>
      </c>
      <c r="FG162" s="2">
        <v>46982</v>
      </c>
      <c r="FH162" s="170">
        <f t="shared" si="370"/>
        <v>172585</v>
      </c>
      <c r="FI162" s="2">
        <v>-18380</v>
      </c>
      <c r="FJ162" s="2">
        <f t="shared" si="362"/>
        <v>-18380</v>
      </c>
      <c r="FK162" s="273">
        <f t="shared" si="376"/>
        <v>42310</v>
      </c>
      <c r="FL162" s="2">
        <v>39017</v>
      </c>
      <c r="FM162" s="2"/>
      <c r="FN162" s="2">
        <v>6647</v>
      </c>
      <c r="FO162" s="2">
        <v>3354</v>
      </c>
      <c r="FP162" s="2">
        <v>58152</v>
      </c>
      <c r="FQ162" s="2">
        <v>-210</v>
      </c>
      <c r="FR162" s="2">
        <v>-15632</v>
      </c>
      <c r="FS162" s="1052">
        <f t="shared" si="377"/>
        <v>0</v>
      </c>
      <c r="FT162" s="2">
        <f t="shared" si="378"/>
        <v>153193</v>
      </c>
      <c r="FU162" s="2"/>
      <c r="FV162" s="2"/>
      <c r="FW162" s="2">
        <v>130017</v>
      </c>
      <c r="FX162" s="2">
        <v>5711</v>
      </c>
      <c r="FY162" s="2">
        <v>575</v>
      </c>
      <c r="FZ162" s="2">
        <v>105242</v>
      </c>
      <c r="GA162" s="2">
        <v>1241</v>
      </c>
      <c r="GB162" s="2">
        <v>28670</v>
      </c>
      <c r="GC162" s="2">
        <f t="shared" si="371"/>
        <v>0</v>
      </c>
      <c r="GD162" s="2">
        <v>18040</v>
      </c>
      <c r="GE162" s="2">
        <v>391</v>
      </c>
      <c r="GF162" s="2">
        <v>391</v>
      </c>
      <c r="GG162" s="2">
        <v>7032</v>
      </c>
      <c r="GH162" s="2">
        <v>-3</v>
      </c>
      <c r="GI162" s="2">
        <v>11011</v>
      </c>
      <c r="GJ162" s="2">
        <f t="shared" si="372"/>
        <v>0</v>
      </c>
      <c r="GK162" s="273">
        <f t="shared" si="373"/>
        <v>-21382</v>
      </c>
      <c r="GL162" s="2">
        <v>-14490</v>
      </c>
      <c r="GM162" s="2">
        <v>14937</v>
      </c>
      <c r="GN162" s="2">
        <v>21829</v>
      </c>
      <c r="GO162" s="2"/>
      <c r="GP162" s="2">
        <v>20540</v>
      </c>
      <c r="GQ162" s="2">
        <v>20509</v>
      </c>
      <c r="GR162" s="2">
        <v>-957</v>
      </c>
      <c r="GS162" s="2">
        <v>-40965</v>
      </c>
      <c r="GT162" s="2">
        <f t="shared" si="380"/>
        <v>0</v>
      </c>
      <c r="GU162" s="2">
        <f t="shared" si="364"/>
        <v>-40965</v>
      </c>
      <c r="GV162" s="615">
        <v>26913</v>
      </c>
      <c r="GW162" s="615">
        <v>22421</v>
      </c>
      <c r="GX162" s="615">
        <v>11742</v>
      </c>
      <c r="GY162" s="615">
        <f t="shared" si="363"/>
        <v>15171</v>
      </c>
      <c r="GZ162" s="2">
        <v>-15096</v>
      </c>
      <c r="HA162" s="2">
        <v>-20998</v>
      </c>
      <c r="HB162" s="2">
        <v>5902</v>
      </c>
      <c r="HC162" s="1052">
        <f t="shared" si="374"/>
        <v>0</v>
      </c>
      <c r="HD162" s="170">
        <f t="shared" si="347"/>
        <v>17711</v>
      </c>
      <c r="HE162" s="2">
        <v>122069</v>
      </c>
      <c r="HF162" s="2">
        <v>104358</v>
      </c>
      <c r="HG162" s="170">
        <f t="shared" si="348"/>
        <v>59</v>
      </c>
      <c r="HH162" s="2">
        <v>1116</v>
      </c>
      <c r="HI162" s="2">
        <v>1057</v>
      </c>
      <c r="HJ162" s="2">
        <f t="shared" si="340"/>
        <v>-2000</v>
      </c>
      <c r="HK162" s="2">
        <v>2596</v>
      </c>
      <c r="HL162" s="2">
        <v>-592</v>
      </c>
      <c r="HM162" s="2">
        <f t="shared" si="247"/>
        <v>4</v>
      </c>
      <c r="HN162" s="2">
        <f t="shared" si="283"/>
        <v>-6298</v>
      </c>
      <c r="HO162" s="2">
        <f t="shared" si="341"/>
        <v>-7835</v>
      </c>
      <c r="HP162" s="2">
        <v>1155207</v>
      </c>
      <c r="HQ162" s="2">
        <v>1147372</v>
      </c>
      <c r="HR162" s="2">
        <v>27686</v>
      </c>
      <c r="HS162" s="1052">
        <v>26149</v>
      </c>
      <c r="HT162" s="1002">
        <v>715.2</v>
      </c>
      <c r="HU162" s="1002">
        <v>87.7</v>
      </c>
      <c r="HV162" s="1002">
        <v>88</v>
      </c>
    </row>
    <row r="163" spans="1:230">
      <c r="A163" s="110">
        <f t="shared" si="349"/>
        <v>2004</v>
      </c>
      <c r="B163" s="176">
        <f t="shared" si="327"/>
        <v>1084702</v>
      </c>
      <c r="C163" s="177">
        <f t="shared" si="317"/>
        <v>17398</v>
      </c>
      <c r="D163" s="176">
        <f t="shared" si="342"/>
        <v>1067304</v>
      </c>
      <c r="E163" s="154">
        <f t="shared" si="328"/>
        <v>1202368</v>
      </c>
      <c r="F163" s="995">
        <f t="shared" si="329"/>
        <v>135064</v>
      </c>
      <c r="G163" s="531">
        <f t="shared" si="350"/>
        <v>1084708</v>
      </c>
      <c r="H163" s="531">
        <f t="shared" si="351"/>
        <v>1067310</v>
      </c>
      <c r="I163" s="531">
        <f t="shared" si="352"/>
        <v>1202374</v>
      </c>
      <c r="J163" s="548">
        <f t="shared" si="353"/>
        <v>0.9999950098721363</v>
      </c>
      <c r="K163" s="178">
        <f t="shared" si="325"/>
        <v>148699</v>
      </c>
      <c r="L163" s="2">
        <v>158704</v>
      </c>
      <c r="M163" s="2">
        <v>10005</v>
      </c>
      <c r="N163" s="2">
        <v>132001</v>
      </c>
      <c r="O163" s="170">
        <f t="shared" si="286"/>
        <v>16699</v>
      </c>
      <c r="P163" s="175">
        <f t="shared" si="365"/>
        <v>-528</v>
      </c>
      <c r="Q163" s="175">
        <f t="shared" si="366"/>
        <v>17227</v>
      </c>
      <c r="R163" s="175">
        <f t="shared" si="287"/>
        <v>0</v>
      </c>
      <c r="S163" s="532"/>
      <c r="T163" s="1008">
        <f t="shared" si="253"/>
        <v>57388.549404752259</v>
      </c>
      <c r="U163" s="1010">
        <v>43411</v>
      </c>
      <c r="V163" s="511">
        <f t="shared" si="288"/>
        <v>79729.549404752266</v>
      </c>
      <c r="W163" s="2">
        <v>65752</v>
      </c>
      <c r="X163" s="169">
        <f t="shared" si="254"/>
        <v>22341</v>
      </c>
      <c r="Y163" s="113">
        <f t="shared" si="255"/>
        <v>0.28020978629371718</v>
      </c>
      <c r="Z163" s="113">
        <f t="shared" si="330"/>
        <v>0.33977673682929799</v>
      </c>
      <c r="AA163" s="276">
        <f>X163/DataUK3!D163</f>
        <v>7.7869415280543905E-3</v>
      </c>
      <c r="AB163" s="1019">
        <f t="shared" si="331"/>
        <v>1.8580833821259381E-2</v>
      </c>
      <c r="AC163" s="2">
        <v>62709</v>
      </c>
      <c r="AD163" s="2">
        <v>18971</v>
      </c>
      <c r="AE163" s="2">
        <v>43738</v>
      </c>
      <c r="AF163" s="253">
        <f>AC163/DataUK3!$BE163</f>
        <v>5.9776428208518299E-2</v>
      </c>
      <c r="AG163" s="253">
        <f>AD163/DataUK3!$BE163</f>
        <v>1.8083825599894764E-2</v>
      </c>
      <c r="AH163" s="253">
        <f>AE163/DataUK3!$BE163</f>
        <v>4.1692602608623536E-2</v>
      </c>
      <c r="AI163" s="1010">
        <f>AD163*DataUK3!BG163</f>
        <v>13977.549404752259</v>
      </c>
      <c r="AJ163" s="171">
        <f t="shared" si="375"/>
        <v>112585</v>
      </c>
      <c r="AK163" s="561"/>
      <c r="AL163" s="169">
        <f t="shared" si="354"/>
        <v>132750</v>
      </c>
      <c r="AM163" s="169"/>
      <c r="AN163" s="2">
        <v>53170</v>
      </c>
      <c r="AO163" s="1012">
        <v>73335</v>
      </c>
      <c r="AP163" s="2"/>
      <c r="AQ163" s="2"/>
      <c r="AR163" s="2"/>
      <c r="AS163" s="2"/>
      <c r="AT163" s="2"/>
      <c r="AU163" s="2"/>
      <c r="AV163" s="2"/>
      <c r="AW163" s="2"/>
      <c r="AX163" s="2"/>
      <c r="AY163" s="2"/>
      <c r="AZ163" s="2"/>
      <c r="BA163" s="2"/>
      <c r="BB163" s="2"/>
      <c r="BC163" s="2"/>
      <c r="BD163" s="2"/>
      <c r="BE163" s="2"/>
      <c r="BF163" s="2"/>
      <c r="BG163" s="2"/>
      <c r="BH163" s="2"/>
      <c r="BI163" s="273">
        <v>645512</v>
      </c>
      <c r="BJ163" s="2">
        <f t="shared" si="355"/>
        <v>646006</v>
      </c>
      <c r="BK163" s="2"/>
      <c r="BL163" s="2"/>
      <c r="BM163" s="1129">
        <v>59415</v>
      </c>
      <c r="BN163" s="2"/>
      <c r="BO163" s="262">
        <f t="shared" si="343"/>
        <v>4.9018071322814931E-2</v>
      </c>
      <c r="BP163" s="262">
        <f t="shared" si="332"/>
        <v>6.7608430702626163E-2</v>
      </c>
      <c r="BQ163" s="262">
        <f t="shared" si="344"/>
        <v>5.4775412970567032E-2</v>
      </c>
      <c r="BR163" s="262">
        <f t="shared" si="356"/>
        <v>9.2043215308158483E-2</v>
      </c>
      <c r="BS163" s="988">
        <f t="shared" si="367"/>
        <v>0.81018613213336066</v>
      </c>
      <c r="BT163" s="519">
        <f t="shared" si="368"/>
        <v>20165</v>
      </c>
      <c r="BU163" s="519"/>
      <c r="BV163" s="113">
        <f t="shared" si="333"/>
        <v>0.15190207156308852</v>
      </c>
      <c r="BW163" s="276">
        <f t="shared" si="357"/>
        <v>1.6771071751743225E-2</v>
      </c>
      <c r="BX163" s="273">
        <v>42509</v>
      </c>
      <c r="BY163" s="2">
        <v>64</v>
      </c>
      <c r="BZ163" s="1012">
        <v>592</v>
      </c>
      <c r="CA163" s="1005">
        <f t="shared" si="345"/>
        <v>1084702</v>
      </c>
      <c r="CB163" s="2"/>
      <c r="CC163" s="2"/>
      <c r="CD163" s="2"/>
      <c r="CE163" s="2"/>
      <c r="CF163" s="2">
        <v>1202370</v>
      </c>
      <c r="CG163" s="2">
        <v>3</v>
      </c>
      <c r="CH163" s="2">
        <f t="shared" si="334"/>
        <v>1</v>
      </c>
      <c r="CI163" s="2">
        <v>135067</v>
      </c>
      <c r="CJ163" s="2"/>
      <c r="CK163" s="2"/>
      <c r="CL163" s="171">
        <f t="shared" si="358"/>
        <v>616713.45059524779</v>
      </c>
      <c r="CM163" s="169">
        <f t="shared" si="359"/>
        <v>697959.45059524779</v>
      </c>
      <c r="CN163" s="170">
        <f t="shared" si="268"/>
        <v>243286.45059524773</v>
      </c>
      <c r="CO163" s="170">
        <f t="shared" si="269"/>
        <v>257264</v>
      </c>
      <c r="CP163" s="170">
        <f t="shared" si="308"/>
        <v>454673</v>
      </c>
      <c r="CQ163" s="170">
        <f t="shared" si="309"/>
        <v>81246</v>
      </c>
      <c r="CR163" s="170">
        <v>4077</v>
      </c>
      <c r="CS163" s="113">
        <f t="shared" si="360"/>
        <v>6.7571658593708409E-2</v>
      </c>
      <c r="CT163" s="170">
        <f t="shared" si="346"/>
        <v>638427</v>
      </c>
      <c r="CU163" s="2">
        <v>223610</v>
      </c>
      <c r="CV163" s="991">
        <v>414817</v>
      </c>
      <c r="CW163" s="2">
        <v>75559</v>
      </c>
      <c r="CX163" s="2">
        <v>17346</v>
      </c>
      <c r="CY163" s="2">
        <v>1562</v>
      </c>
      <c r="CZ163" s="170">
        <f t="shared" si="272"/>
        <v>59532.450595247741</v>
      </c>
      <c r="DA163" s="170">
        <f t="shared" si="273"/>
        <v>73510</v>
      </c>
      <c r="DB163" s="170">
        <f t="shared" si="335"/>
        <v>19676.450595247741</v>
      </c>
      <c r="DC163" s="2">
        <v>33654</v>
      </c>
      <c r="DD163" s="2">
        <v>39856</v>
      </c>
      <c r="DE163" s="2">
        <v>5687</v>
      </c>
      <c r="DF163" s="2">
        <v>1443</v>
      </c>
      <c r="DG163" s="1040">
        <v>0</v>
      </c>
      <c r="DH163" s="171">
        <f t="shared" si="381"/>
        <v>131918</v>
      </c>
      <c r="DI163" s="2">
        <f t="shared" si="320"/>
        <v>143230</v>
      </c>
      <c r="DJ163" s="2">
        <v>131918</v>
      </c>
      <c r="DK163" s="2">
        <v>11312</v>
      </c>
      <c r="DL163" s="113">
        <f t="shared" si="336"/>
        <v>0.1216168127282885</v>
      </c>
      <c r="DM163" s="113">
        <f t="shared" si="361"/>
        <v>0.20420553369473349</v>
      </c>
      <c r="DN163" s="113">
        <f t="shared" si="321"/>
        <v>0.52572052540967928</v>
      </c>
      <c r="DO163" s="2">
        <v>0</v>
      </c>
      <c r="DP163" s="2">
        <v>0</v>
      </c>
      <c r="DQ163" s="273"/>
      <c r="DR163" s="2">
        <v>152274</v>
      </c>
      <c r="DS163" s="2">
        <v>98654</v>
      </c>
      <c r="DT163" s="169">
        <f t="shared" si="326"/>
        <v>250928</v>
      </c>
      <c r="DU163" s="2">
        <v>778804</v>
      </c>
      <c r="DV163" s="2"/>
      <c r="DW163" s="2">
        <v>205285</v>
      </c>
      <c r="DX163" s="2"/>
      <c r="DY163" s="2"/>
      <c r="DZ163" s="2"/>
      <c r="EA163" s="2"/>
      <c r="EB163" s="2"/>
      <c r="EC163" s="2"/>
      <c r="ED163" s="175">
        <v>1260</v>
      </c>
      <c r="EE163" s="2"/>
      <c r="EF163" s="175">
        <f t="shared" si="315"/>
        <v>23191</v>
      </c>
      <c r="EG163" s="2"/>
      <c r="EH163" s="2"/>
      <c r="EI163" s="2">
        <v>303612</v>
      </c>
      <c r="EJ163" s="2">
        <v>336255</v>
      </c>
      <c r="EK163" s="2"/>
      <c r="EL163" s="2"/>
      <c r="EM163" s="2"/>
      <c r="EN163" s="2"/>
      <c r="EO163" s="2"/>
      <c r="EP163" s="2"/>
      <c r="EQ163" s="2"/>
      <c r="ER163" s="2"/>
      <c r="ES163" s="2"/>
      <c r="ET163" s="2">
        <f t="shared" si="337"/>
        <v>1202374</v>
      </c>
      <c r="EU163" s="2">
        <f t="shared" si="338"/>
        <v>1202371</v>
      </c>
      <c r="EV163" s="262">
        <f t="shared" si="292"/>
        <v>0.99999750493606809</v>
      </c>
      <c r="EW163" s="2">
        <v>1202370</v>
      </c>
      <c r="EX163" s="1042">
        <v>-1</v>
      </c>
      <c r="EY163" s="273">
        <f t="shared" si="339"/>
        <v>824821</v>
      </c>
      <c r="EZ163" s="2">
        <f t="shared" si="369"/>
        <v>430334</v>
      </c>
      <c r="FA163" s="2">
        <v>34589</v>
      </c>
      <c r="FB163" s="2">
        <v>149549</v>
      </c>
      <c r="FC163" s="2"/>
      <c r="FD163" s="2">
        <v>97497</v>
      </c>
      <c r="FE163" s="1052">
        <v>154313</v>
      </c>
      <c r="FF163" s="273">
        <v>180393</v>
      </c>
      <c r="FG163" s="2">
        <v>45326</v>
      </c>
      <c r="FH163" s="170">
        <f t="shared" si="370"/>
        <v>180395</v>
      </c>
      <c r="FI163" s="2">
        <v>-24890</v>
      </c>
      <c r="FJ163" s="2">
        <f t="shared" si="362"/>
        <v>-24890</v>
      </c>
      <c r="FK163" s="273">
        <f t="shared" si="376"/>
        <v>32525</v>
      </c>
      <c r="FL163" s="2">
        <v>29155</v>
      </c>
      <c r="FM163" s="2"/>
      <c r="FN163" s="2">
        <v>7203</v>
      </c>
      <c r="FO163" s="2">
        <v>3833</v>
      </c>
      <c r="FP163" s="2">
        <v>70989</v>
      </c>
      <c r="FQ163" s="2">
        <v>-276</v>
      </c>
      <c r="FR163" s="2">
        <v>-38188</v>
      </c>
      <c r="FS163" s="1052">
        <f t="shared" si="377"/>
        <v>0</v>
      </c>
      <c r="FT163" s="2">
        <f t="shared" si="378"/>
        <v>169848</v>
      </c>
      <c r="FU163" s="2"/>
      <c r="FV163" s="2"/>
      <c r="FW163" s="2">
        <v>140138</v>
      </c>
      <c r="FX163" s="2">
        <v>5858</v>
      </c>
      <c r="FY163" s="2">
        <v>419</v>
      </c>
      <c r="FZ163" s="2">
        <v>104360</v>
      </c>
      <c r="GA163" s="2">
        <v>1685</v>
      </c>
      <c r="GB163" s="2">
        <v>39532</v>
      </c>
      <c r="GC163" s="2">
        <f t="shared" si="371"/>
        <v>0</v>
      </c>
      <c r="GD163" s="2">
        <v>24271</v>
      </c>
      <c r="GE163" s="2">
        <v>328</v>
      </c>
      <c r="GF163" s="2">
        <v>328</v>
      </c>
      <c r="GG163" s="2">
        <v>6744</v>
      </c>
      <c r="GH163" s="2">
        <v>-6</v>
      </c>
      <c r="GI163" s="2">
        <v>17533</v>
      </c>
      <c r="GJ163" s="2">
        <f t="shared" si="372"/>
        <v>0</v>
      </c>
      <c r="GK163" s="273">
        <f t="shared" si="373"/>
        <v>-19600</v>
      </c>
      <c r="GL163" s="2">
        <v>-13174</v>
      </c>
      <c r="GM163" s="2">
        <v>13646</v>
      </c>
      <c r="GN163" s="2">
        <v>20072</v>
      </c>
      <c r="GO163" s="2"/>
      <c r="GP163" s="2">
        <v>23191</v>
      </c>
      <c r="GQ163" s="2">
        <v>23219</v>
      </c>
      <c r="GR163" s="2">
        <v>-1084</v>
      </c>
      <c r="GS163" s="2">
        <v>-41707</v>
      </c>
      <c r="GT163" s="2">
        <f t="shared" si="380"/>
        <v>0</v>
      </c>
      <c r="GU163" s="2">
        <f t="shared" si="364"/>
        <v>-41707</v>
      </c>
      <c r="GV163" s="615">
        <v>26973</v>
      </c>
      <c r="GW163" s="615">
        <v>23212</v>
      </c>
      <c r="GX163" s="615">
        <v>10833</v>
      </c>
      <c r="GY163" s="615">
        <f t="shared" si="363"/>
        <v>16140</v>
      </c>
      <c r="GZ163" s="2">
        <v>-16062</v>
      </c>
      <c r="HA163" s="2">
        <v>-22060</v>
      </c>
      <c r="HB163" s="2">
        <v>5998</v>
      </c>
      <c r="HC163" s="1052">
        <f t="shared" si="374"/>
        <v>0</v>
      </c>
      <c r="HD163" s="170">
        <f t="shared" si="347"/>
        <v>18523</v>
      </c>
      <c r="HE163" s="2">
        <v>137380</v>
      </c>
      <c r="HF163" s="2">
        <v>118857</v>
      </c>
      <c r="HG163" s="170">
        <f t="shared" si="348"/>
        <v>-494</v>
      </c>
      <c r="HH163" s="2">
        <v>931</v>
      </c>
      <c r="HI163" s="2">
        <v>1425</v>
      </c>
      <c r="HJ163" s="2">
        <f t="shared" si="340"/>
        <v>-631</v>
      </c>
      <c r="HK163" s="2">
        <v>1234</v>
      </c>
      <c r="HL163" s="2">
        <v>-592</v>
      </c>
      <c r="HM163" s="2">
        <f t="shared" si="247"/>
        <v>11</v>
      </c>
      <c r="HN163" s="2">
        <f t="shared" si="283"/>
        <v>-7262</v>
      </c>
      <c r="HO163" s="2">
        <f t="shared" si="341"/>
        <v>-9645</v>
      </c>
      <c r="HP163" s="2">
        <v>1219759</v>
      </c>
      <c r="HQ163" s="2">
        <v>1210114</v>
      </c>
      <c r="HR163" s="2">
        <v>27035</v>
      </c>
      <c r="HS163" s="1052">
        <v>24652</v>
      </c>
      <c r="HT163" s="1002">
        <v>736.5</v>
      </c>
      <c r="HU163" s="1002">
        <v>89.9</v>
      </c>
      <c r="HV163" s="1002">
        <v>89.6</v>
      </c>
    </row>
    <row r="164" spans="1:230">
      <c r="A164" s="110">
        <f t="shared" si="349"/>
        <v>2005</v>
      </c>
      <c r="B164" s="176">
        <f t="shared" si="327"/>
        <v>1137111</v>
      </c>
      <c r="C164" s="177">
        <f t="shared" si="317"/>
        <v>21089</v>
      </c>
      <c r="D164" s="176">
        <f t="shared" si="342"/>
        <v>1116022</v>
      </c>
      <c r="E164" s="154">
        <f t="shared" si="328"/>
        <v>1254291</v>
      </c>
      <c r="F164" s="995">
        <f t="shared" si="329"/>
        <v>138269</v>
      </c>
      <c r="G164" s="531">
        <f t="shared" si="350"/>
        <v>1137112</v>
      </c>
      <c r="H164" s="531">
        <f t="shared" si="351"/>
        <v>1116023</v>
      </c>
      <c r="I164" s="531">
        <f t="shared" si="352"/>
        <v>1254292</v>
      </c>
      <c r="J164" s="548">
        <f t="shared" si="353"/>
        <v>0.99999920273748055</v>
      </c>
      <c r="K164" s="178">
        <f t="shared" si="325"/>
        <v>151259</v>
      </c>
      <c r="L164" s="2">
        <v>162298</v>
      </c>
      <c r="M164" s="2">
        <v>11039</v>
      </c>
      <c r="N164" s="2">
        <v>137410</v>
      </c>
      <c r="O164" s="170">
        <f t="shared" si="286"/>
        <v>13849</v>
      </c>
      <c r="P164" s="175">
        <f t="shared" si="365"/>
        <v>-3340</v>
      </c>
      <c r="Q164" s="175">
        <f t="shared" si="366"/>
        <v>17189</v>
      </c>
      <c r="R164" s="175">
        <f t="shared" si="287"/>
        <v>0</v>
      </c>
      <c r="S164" s="532"/>
      <c r="T164" s="1008">
        <f t="shared" si="253"/>
        <v>61157.299204394774</v>
      </c>
      <c r="U164" s="1010">
        <v>44056</v>
      </c>
      <c r="V164" s="511">
        <f t="shared" si="288"/>
        <v>84595.299204394774</v>
      </c>
      <c r="W164" s="2">
        <v>67494</v>
      </c>
      <c r="X164" s="169">
        <f t="shared" si="254"/>
        <v>23438</v>
      </c>
      <c r="Y164" s="113">
        <f t="shared" si="255"/>
        <v>0.27706031210280752</v>
      </c>
      <c r="Z164" s="113">
        <f t="shared" si="330"/>
        <v>0.34726049722938335</v>
      </c>
      <c r="AA164" s="276">
        <f>X164/DataUK3!D164</f>
        <v>7.275883510118656E-3</v>
      </c>
      <c r="AB164" s="1019">
        <f t="shared" si="331"/>
        <v>1.8686253827859722E-2</v>
      </c>
      <c r="AC164" s="2">
        <v>73809</v>
      </c>
      <c r="AD164" s="2">
        <v>22951</v>
      </c>
      <c r="AE164" s="2">
        <v>50858</v>
      </c>
      <c r="AF164" s="253">
        <f>AC164/DataUK3!$BE164</f>
        <v>6.2417970124211838E-2</v>
      </c>
      <c r="AG164" s="253">
        <f>AD164/DataUK3!$BE164</f>
        <v>1.9408945146537494E-2</v>
      </c>
      <c r="AH164" s="253">
        <f>AE164/DataUK3!$BE164</f>
        <v>4.3009024977674344E-2</v>
      </c>
      <c r="AI164" s="1010">
        <f>AD164*DataUK3!BG164</f>
        <v>17101.299204394771</v>
      </c>
      <c r="AJ164" s="171">
        <f t="shared" si="375"/>
        <v>120938</v>
      </c>
      <c r="AK164" s="561"/>
      <c r="AL164" s="169">
        <f t="shared" si="354"/>
        <v>140754</v>
      </c>
      <c r="AM164" s="169"/>
      <c r="AN164" s="2">
        <v>58671</v>
      </c>
      <c r="AO164" s="1012">
        <v>78487</v>
      </c>
      <c r="AP164" s="2"/>
      <c r="AQ164" s="2"/>
      <c r="AR164" s="2"/>
      <c r="AS164" s="2"/>
      <c r="AT164" s="2"/>
      <c r="AU164" s="2"/>
      <c r="AV164" s="2"/>
      <c r="AW164" s="2"/>
      <c r="AX164" s="2"/>
      <c r="AY164" s="2"/>
      <c r="AZ164" s="2"/>
      <c r="BA164" s="2"/>
      <c r="BB164" s="2"/>
      <c r="BC164" s="2"/>
      <c r="BD164" s="2"/>
      <c r="BE164" s="2"/>
      <c r="BF164" s="2"/>
      <c r="BG164" s="2"/>
      <c r="BH164" s="2"/>
      <c r="BI164" s="273">
        <v>676907</v>
      </c>
      <c r="BJ164" s="2">
        <f t="shared" si="355"/>
        <v>677517</v>
      </c>
      <c r="BK164" s="2"/>
      <c r="BL164" s="2"/>
      <c r="BM164" s="1129">
        <v>62267</v>
      </c>
      <c r="BN164" s="2"/>
      <c r="BO164" s="262">
        <f t="shared" si="343"/>
        <v>5.1596545983637485E-2</v>
      </c>
      <c r="BP164" s="262">
        <f t="shared" si="332"/>
        <v>6.9023164844944779E-2</v>
      </c>
      <c r="BQ164" s="262">
        <f t="shared" si="344"/>
        <v>5.4758946136305074E-2</v>
      </c>
      <c r="BR164" s="262">
        <f t="shared" si="356"/>
        <v>9.1987525612824209E-2</v>
      </c>
      <c r="BS164" s="988">
        <f t="shared" si="367"/>
        <v>0.79334157248971171</v>
      </c>
      <c r="BT164" s="519">
        <f t="shared" si="368"/>
        <v>19816</v>
      </c>
      <c r="BU164" s="519"/>
      <c r="BV164" s="113">
        <f t="shared" si="333"/>
        <v>0.14078463134262614</v>
      </c>
      <c r="BW164" s="276">
        <f t="shared" si="357"/>
        <v>1.5798566680299865E-2</v>
      </c>
      <c r="BX164" s="273">
        <v>43257</v>
      </c>
      <c r="BY164" s="2">
        <v>68</v>
      </c>
      <c r="BZ164" s="1012">
        <v>3408</v>
      </c>
      <c r="CA164" s="1005">
        <f t="shared" si="345"/>
        <v>1137111</v>
      </c>
      <c r="CB164" s="2"/>
      <c r="CC164" s="2"/>
      <c r="CD164" s="2"/>
      <c r="CE164" s="2"/>
      <c r="CF164" s="2">
        <v>1254292</v>
      </c>
      <c r="CG164" s="2">
        <v>-2</v>
      </c>
      <c r="CH164" s="2">
        <f t="shared" si="334"/>
        <v>-3</v>
      </c>
      <c r="CI164" s="2">
        <v>138272</v>
      </c>
      <c r="CJ164" s="2"/>
      <c r="CK164" s="2"/>
      <c r="CL164" s="171">
        <f t="shared" si="358"/>
        <v>641241.7007956052</v>
      </c>
      <c r="CM164" s="169">
        <f t="shared" si="359"/>
        <v>724329.7007956052</v>
      </c>
      <c r="CN164" s="170">
        <f t="shared" si="268"/>
        <v>250505.70079560523</v>
      </c>
      <c r="CO164" s="170">
        <f t="shared" si="269"/>
        <v>267607</v>
      </c>
      <c r="CP164" s="170">
        <f t="shared" si="308"/>
        <v>473824</v>
      </c>
      <c r="CQ164" s="170">
        <f t="shared" si="309"/>
        <v>83088</v>
      </c>
      <c r="CR164" s="170">
        <v>4287</v>
      </c>
      <c r="CS164" s="113">
        <f t="shared" si="360"/>
        <v>6.6243001026077677E-2</v>
      </c>
      <c r="CT164" s="170">
        <f t="shared" si="346"/>
        <v>663244</v>
      </c>
      <c r="CU164" s="2">
        <v>233284</v>
      </c>
      <c r="CV164" s="991">
        <v>429960</v>
      </c>
      <c r="CW164" s="2">
        <v>77277</v>
      </c>
      <c r="CX164" s="2">
        <v>18159</v>
      </c>
      <c r="CY164" s="2">
        <v>2449</v>
      </c>
      <c r="CZ164" s="170">
        <f t="shared" si="272"/>
        <v>61085.700795605226</v>
      </c>
      <c r="DA164" s="170">
        <f t="shared" si="273"/>
        <v>78187</v>
      </c>
      <c r="DB164" s="170">
        <f t="shared" si="335"/>
        <v>17221.700795605229</v>
      </c>
      <c r="DC164" s="2">
        <v>34323</v>
      </c>
      <c r="DD164" s="2">
        <v>43864</v>
      </c>
      <c r="DE164" s="2">
        <v>5811</v>
      </c>
      <c r="DF164" s="2">
        <v>1479</v>
      </c>
      <c r="DG164" s="1040">
        <v>0</v>
      </c>
      <c r="DH164" s="171">
        <f t="shared" si="381"/>
        <v>141426</v>
      </c>
      <c r="DI164" s="2">
        <f t="shared" si="320"/>
        <v>153353</v>
      </c>
      <c r="DJ164" s="2">
        <v>141426</v>
      </c>
      <c r="DK164" s="2">
        <v>11927</v>
      </c>
      <c r="DL164" s="113">
        <f t="shared" si="336"/>
        <v>0.12437308231122556</v>
      </c>
      <c r="DM164" s="113">
        <f t="shared" si="361"/>
        <v>0.20874162567138538</v>
      </c>
      <c r="DN164" s="113">
        <f t="shared" si="321"/>
        <v>0.52717194797836531</v>
      </c>
      <c r="DO164" s="2">
        <v>0</v>
      </c>
      <c r="DP164" s="2">
        <v>0</v>
      </c>
      <c r="DQ164" s="273"/>
      <c r="DR164" s="2">
        <v>161329</v>
      </c>
      <c r="DS164" s="2">
        <v>106944</v>
      </c>
      <c r="DT164" s="169">
        <f t="shared" si="326"/>
        <v>268273</v>
      </c>
      <c r="DU164" s="2">
        <v>814973</v>
      </c>
      <c r="DV164" s="2"/>
      <c r="DW164" s="2">
        <v>213750</v>
      </c>
      <c r="DX164" s="2"/>
      <c r="DY164" s="2"/>
      <c r="DZ164" s="2"/>
      <c r="EA164" s="2"/>
      <c r="EB164" s="2"/>
      <c r="EC164" s="2"/>
      <c r="ED164" s="175">
        <v>20575</v>
      </c>
      <c r="EE164" s="2"/>
      <c r="EF164" s="175">
        <f t="shared" si="315"/>
        <v>7100</v>
      </c>
      <c r="EG164" s="2"/>
      <c r="EH164" s="2"/>
      <c r="EI164" s="2">
        <v>331067</v>
      </c>
      <c r="EJ164" s="2">
        <v>373771</v>
      </c>
      <c r="EK164" s="2"/>
      <c r="EL164" s="2"/>
      <c r="EM164" s="2"/>
      <c r="EN164" s="2"/>
      <c r="EO164" s="2"/>
      <c r="EP164" s="2"/>
      <c r="EQ164" s="2"/>
      <c r="ER164" s="2"/>
      <c r="ES164" s="2"/>
      <c r="ET164" s="2">
        <f t="shared" si="337"/>
        <v>1254292</v>
      </c>
      <c r="EU164" s="2">
        <f t="shared" si="338"/>
        <v>1254294</v>
      </c>
      <c r="EV164" s="262">
        <f t="shared" si="292"/>
        <v>1.0000015945250389</v>
      </c>
      <c r="EW164" s="2">
        <v>1254292</v>
      </c>
      <c r="EX164" s="1042">
        <v>0</v>
      </c>
      <c r="EY164" s="273">
        <f t="shared" si="339"/>
        <v>857015</v>
      </c>
      <c r="EZ164" s="2">
        <f t="shared" si="369"/>
        <v>460267</v>
      </c>
      <c r="FA164" s="2">
        <v>42341</v>
      </c>
      <c r="FB164" s="2">
        <v>161771</v>
      </c>
      <c r="FC164" s="2"/>
      <c r="FD164" s="2">
        <v>104896</v>
      </c>
      <c r="FE164" s="1052">
        <v>161422</v>
      </c>
      <c r="FF164" s="273">
        <v>181080</v>
      </c>
      <c r="FG164" s="2">
        <v>42808</v>
      </c>
      <c r="FH164" s="170">
        <f t="shared" si="370"/>
        <v>181083</v>
      </c>
      <c r="FI164" s="2">
        <v>-32667</v>
      </c>
      <c r="FJ164" s="2">
        <f t="shared" si="362"/>
        <v>-32667</v>
      </c>
      <c r="FK164" s="273">
        <f t="shared" si="376"/>
        <v>36593</v>
      </c>
      <c r="FL164" s="2">
        <v>31219</v>
      </c>
      <c r="FM164" s="2"/>
      <c r="FN164" s="2">
        <v>9451</v>
      </c>
      <c r="FO164" s="2">
        <v>4077</v>
      </c>
      <c r="FP164" s="2">
        <v>72812</v>
      </c>
      <c r="FQ164" s="2">
        <v>-320</v>
      </c>
      <c r="FR164" s="2">
        <v>-35899</v>
      </c>
      <c r="FS164" s="1052">
        <f t="shared" si="377"/>
        <v>0</v>
      </c>
      <c r="FT164" s="2">
        <f t="shared" si="378"/>
        <v>180657</v>
      </c>
      <c r="FU164" s="2"/>
      <c r="FV164" s="2"/>
      <c r="FW164" s="2">
        <v>147099</v>
      </c>
      <c r="FX164" s="2">
        <v>18599</v>
      </c>
      <c r="FY164" s="2">
        <v>1256</v>
      </c>
      <c r="FZ164" s="2">
        <v>124730</v>
      </c>
      <c r="GA164" s="2">
        <v>1745</v>
      </c>
      <c r="GB164" s="2">
        <v>37967</v>
      </c>
      <c r="GC164" s="2">
        <f t="shared" si="371"/>
        <v>0</v>
      </c>
      <c r="GD164" s="2">
        <v>16215</v>
      </c>
      <c r="GE164" s="2">
        <v>321</v>
      </c>
      <c r="GF164" s="2">
        <v>321</v>
      </c>
      <c r="GG164" s="2">
        <v>9106</v>
      </c>
      <c r="GH164" s="2">
        <v>-1</v>
      </c>
      <c r="GI164" s="2">
        <v>7110</v>
      </c>
      <c r="GJ164" s="2">
        <f t="shared" si="372"/>
        <v>0</v>
      </c>
      <c r="GK164" s="273">
        <f t="shared" si="373"/>
        <v>-34407</v>
      </c>
      <c r="GL164" s="2">
        <v>-13451</v>
      </c>
      <c r="GM164" s="2">
        <v>15242</v>
      </c>
      <c r="GN164" s="2">
        <v>36198</v>
      </c>
      <c r="GO164" s="2"/>
      <c r="GP164" s="2">
        <v>7100</v>
      </c>
      <c r="GQ164" s="2">
        <v>7091</v>
      </c>
      <c r="GR164" s="2">
        <v>-1166</v>
      </c>
      <c r="GS164" s="2">
        <v>-40341</v>
      </c>
      <c r="GT164" s="2">
        <f t="shared" si="380"/>
        <v>0</v>
      </c>
      <c r="GU164" s="2">
        <f t="shared" si="364"/>
        <v>-40341</v>
      </c>
      <c r="GV164" s="615">
        <v>29376</v>
      </c>
      <c r="GW164" s="615">
        <v>25907</v>
      </c>
      <c r="GX164" s="615">
        <v>10627</v>
      </c>
      <c r="GY164" s="615">
        <f t="shared" si="363"/>
        <v>18749</v>
      </c>
      <c r="GZ164" s="2">
        <v>-14752</v>
      </c>
      <c r="HA164" s="2">
        <v>-20860</v>
      </c>
      <c r="HB164" s="2">
        <v>6108</v>
      </c>
      <c r="HC164" s="1052">
        <f t="shared" si="374"/>
        <v>0</v>
      </c>
      <c r="HD164" s="170">
        <f t="shared" si="347"/>
        <v>22496</v>
      </c>
      <c r="HE164" s="2">
        <v>185640</v>
      </c>
      <c r="HF164" s="2">
        <v>163144</v>
      </c>
      <c r="HG164" s="170">
        <f t="shared" si="348"/>
        <v>-610</v>
      </c>
      <c r="HH164" s="2">
        <v>974</v>
      </c>
      <c r="HI164" s="2">
        <v>1584</v>
      </c>
      <c r="HJ164" s="2">
        <f t="shared" si="340"/>
        <v>-797</v>
      </c>
      <c r="HK164" s="2">
        <v>4260</v>
      </c>
      <c r="HL164" s="2">
        <v>-3408</v>
      </c>
      <c r="HM164" s="2">
        <f t="shared" si="247"/>
        <v>55</v>
      </c>
      <c r="HN164" s="2">
        <f t="shared" si="283"/>
        <v>-9291</v>
      </c>
      <c r="HO164" s="2">
        <f t="shared" si="341"/>
        <v>-11052</v>
      </c>
      <c r="HP164" s="2">
        <v>1275323</v>
      </c>
      <c r="HQ164" s="2">
        <v>1264271</v>
      </c>
      <c r="HR164" s="2">
        <v>43613</v>
      </c>
      <c r="HS164" s="1052">
        <v>41852</v>
      </c>
      <c r="HT164" s="1002">
        <v>757.3</v>
      </c>
      <c r="HU164" s="1002">
        <v>91.8</v>
      </c>
      <c r="HV164" s="1002">
        <v>91.8</v>
      </c>
    </row>
    <row r="165" spans="1:230">
      <c r="A165" s="110">
        <f t="shared" si="349"/>
        <v>2006</v>
      </c>
      <c r="B165" s="176">
        <f t="shared" si="327"/>
        <v>1189520</v>
      </c>
      <c r="C165" s="177">
        <f t="shared" si="317"/>
        <v>8246</v>
      </c>
      <c r="D165" s="176">
        <f t="shared" si="342"/>
        <v>1181274</v>
      </c>
      <c r="E165" s="154">
        <f t="shared" si="328"/>
        <v>1328595</v>
      </c>
      <c r="F165" s="995">
        <f t="shared" si="329"/>
        <v>147321</v>
      </c>
      <c r="G165" s="531">
        <f t="shared" si="350"/>
        <v>1189522</v>
      </c>
      <c r="H165" s="531">
        <f t="shared" si="351"/>
        <v>1181276</v>
      </c>
      <c r="I165" s="531">
        <f t="shared" si="352"/>
        <v>1328597</v>
      </c>
      <c r="J165" s="548">
        <f t="shared" si="353"/>
        <v>0.9999984946526298</v>
      </c>
      <c r="K165" s="178">
        <f t="shared" si="325"/>
        <v>159174</v>
      </c>
      <c r="L165" s="2">
        <v>171454</v>
      </c>
      <c r="M165" s="2">
        <v>12280</v>
      </c>
      <c r="N165" s="2">
        <v>144657</v>
      </c>
      <c r="O165" s="170">
        <f t="shared" si="286"/>
        <v>14517</v>
      </c>
      <c r="P165" s="175">
        <f t="shared" si="365"/>
        <v>-3170</v>
      </c>
      <c r="Q165" s="175">
        <f t="shared" si="366"/>
        <v>17687</v>
      </c>
      <c r="R165" s="175">
        <f t="shared" si="287"/>
        <v>0</v>
      </c>
      <c r="S165" s="532"/>
      <c r="T165" s="1008">
        <f t="shared" si="253"/>
        <v>63486.113613412715</v>
      </c>
      <c r="U165" s="1010">
        <v>44996</v>
      </c>
      <c r="V165" s="511">
        <f t="shared" si="288"/>
        <v>88297.113613412715</v>
      </c>
      <c r="W165" s="2">
        <v>69807</v>
      </c>
      <c r="X165" s="169">
        <f t="shared" si="254"/>
        <v>24811</v>
      </c>
      <c r="Y165" s="113">
        <f t="shared" si="255"/>
        <v>0.28099446272534895</v>
      </c>
      <c r="Z165" s="113">
        <f t="shared" si="330"/>
        <v>0.35542280860085662</v>
      </c>
      <c r="AA165" s="276">
        <f>X165/DataUK3!D165</f>
        <v>7.4370112632757739E-3</v>
      </c>
      <c r="AB165" s="1019">
        <f t="shared" si="331"/>
        <v>1.8674614912746173E-2</v>
      </c>
      <c r="AC165" s="2">
        <v>80725</v>
      </c>
      <c r="AD165" s="2">
        <v>24743</v>
      </c>
      <c r="AE165" s="2">
        <v>55982</v>
      </c>
      <c r="AF165" s="253">
        <f>AC165/DataUK3!$BE165</f>
        <v>6.4289719060498046E-2</v>
      </c>
      <c r="AG165" s="253">
        <f>AD165/DataUK3!$BE165</f>
        <v>1.9705426060252745E-2</v>
      </c>
      <c r="AH165" s="253">
        <f>AE165/DataUK3!$BE165</f>
        <v>4.4584293000245294E-2</v>
      </c>
      <c r="AI165" s="1010">
        <f>AD165*DataUK3!BG165</f>
        <v>18490.113613412719</v>
      </c>
      <c r="AJ165" s="171">
        <f t="shared" si="375"/>
        <v>121868</v>
      </c>
      <c r="AK165" s="561"/>
      <c r="AL165" s="169">
        <f t="shared" si="354"/>
        <v>145639</v>
      </c>
      <c r="AM165" s="169"/>
      <c r="AN165" s="2">
        <v>56661</v>
      </c>
      <c r="AO165" s="1012">
        <v>80432</v>
      </c>
      <c r="AP165" s="2"/>
      <c r="AQ165" s="2"/>
      <c r="AR165" s="2"/>
      <c r="AS165" s="2"/>
      <c r="AT165" s="2"/>
      <c r="AU165" s="2"/>
      <c r="AV165" s="2"/>
      <c r="AW165" s="2"/>
      <c r="AX165" s="2"/>
      <c r="AY165" s="2"/>
      <c r="AZ165" s="2"/>
      <c r="BA165" s="2"/>
      <c r="BB165" s="2"/>
      <c r="BC165" s="2"/>
      <c r="BD165" s="2"/>
      <c r="BE165" s="2"/>
      <c r="BF165" s="2"/>
      <c r="BG165" s="2"/>
      <c r="BH165" s="2"/>
      <c r="BI165" s="273">
        <v>712555</v>
      </c>
      <c r="BJ165" s="2">
        <f t="shared" si="355"/>
        <v>713513</v>
      </c>
      <c r="BK165" s="2"/>
      <c r="BL165" s="2"/>
      <c r="BM165" s="1129">
        <v>65207</v>
      </c>
      <c r="BN165" s="2"/>
      <c r="BO165" s="262">
        <f t="shared" si="343"/>
        <v>4.7633499226578786E-2</v>
      </c>
      <c r="BP165" s="262">
        <f t="shared" si="332"/>
        <v>6.7617190127110094E-2</v>
      </c>
      <c r="BQ165" s="262">
        <f t="shared" si="344"/>
        <v>5.4817909745107272E-2</v>
      </c>
      <c r="BR165" s="262">
        <f t="shared" si="356"/>
        <v>9.1511532443109653E-2</v>
      </c>
      <c r="BS165" s="988">
        <f t="shared" si="367"/>
        <v>0.81070966779391285</v>
      </c>
      <c r="BT165" s="519">
        <f t="shared" si="368"/>
        <v>23771</v>
      </c>
      <c r="BU165" s="519"/>
      <c r="BV165" s="113">
        <f t="shared" si="333"/>
        <v>0.16321864335789177</v>
      </c>
      <c r="BW165" s="276">
        <f t="shared" si="357"/>
        <v>1.7891833101885826E-2</v>
      </c>
      <c r="BX165" s="273">
        <v>48584</v>
      </c>
      <c r="BY165" s="2">
        <v>51</v>
      </c>
      <c r="BZ165" s="1012">
        <v>3221</v>
      </c>
      <c r="CA165" s="1005">
        <f t="shared" si="345"/>
        <v>1189520</v>
      </c>
      <c r="CB165" s="2"/>
      <c r="CC165" s="2"/>
      <c r="CD165" s="2"/>
      <c r="CE165" s="2"/>
      <c r="CF165" s="2">
        <v>1328597</v>
      </c>
      <c r="CG165" s="2">
        <v>-2</v>
      </c>
      <c r="CH165" s="2">
        <f t="shared" si="334"/>
        <v>-4</v>
      </c>
      <c r="CI165" s="2">
        <v>147323</v>
      </c>
      <c r="CJ165" s="2"/>
      <c r="CK165" s="2"/>
      <c r="CL165" s="171">
        <f t="shared" si="358"/>
        <v>687539.88638658728</v>
      </c>
      <c r="CM165" s="169">
        <f t="shared" si="359"/>
        <v>773644.88638658728</v>
      </c>
      <c r="CN165" s="170">
        <f t="shared" si="268"/>
        <v>274544.88638658728</v>
      </c>
      <c r="CO165" s="170">
        <f t="shared" si="269"/>
        <v>293035</v>
      </c>
      <c r="CP165" s="170">
        <f t="shared" si="308"/>
        <v>499100</v>
      </c>
      <c r="CQ165" s="170">
        <f t="shared" si="309"/>
        <v>86105</v>
      </c>
      <c r="CR165" s="170">
        <v>4424</v>
      </c>
      <c r="CS165" s="113">
        <f t="shared" si="360"/>
        <v>6.4809065215509623E-2</v>
      </c>
      <c r="CT165" s="170">
        <f t="shared" si="346"/>
        <v>702601</v>
      </c>
      <c r="CU165" s="2">
        <v>253937</v>
      </c>
      <c r="CV165" s="991">
        <v>448664</v>
      </c>
      <c r="CW165" s="2">
        <v>80365</v>
      </c>
      <c r="CX165" s="2">
        <v>19202</v>
      </c>
      <c r="CY165" s="2">
        <v>3093</v>
      </c>
      <c r="CZ165" s="170">
        <f t="shared" si="272"/>
        <v>71043.886386587285</v>
      </c>
      <c r="DA165" s="170">
        <f t="shared" si="273"/>
        <v>89534</v>
      </c>
      <c r="DB165" s="170">
        <f t="shared" si="335"/>
        <v>20607.886386587281</v>
      </c>
      <c r="DC165" s="2">
        <v>39098</v>
      </c>
      <c r="DD165" s="2">
        <v>50436</v>
      </c>
      <c r="DE165" s="2">
        <v>5740</v>
      </c>
      <c r="DF165" s="2">
        <v>1578</v>
      </c>
      <c r="DG165" s="1040">
        <v>0</v>
      </c>
      <c r="DH165" s="171">
        <f t="shared" si="381"/>
        <v>149206</v>
      </c>
      <c r="DI165" s="2">
        <f t="shared" si="320"/>
        <v>161840</v>
      </c>
      <c r="DJ165" s="2">
        <v>149206</v>
      </c>
      <c r="DK165" s="2">
        <v>12634</v>
      </c>
      <c r="DL165" s="113">
        <f t="shared" si="336"/>
        <v>0.12543378841885802</v>
      </c>
      <c r="DM165" s="113">
        <f t="shared" si="361"/>
        <v>0.20911462019612817</v>
      </c>
      <c r="DN165" s="113">
        <f t="shared" si="321"/>
        <v>0.52329847155292752</v>
      </c>
      <c r="DO165" s="2">
        <v>0</v>
      </c>
      <c r="DP165" s="2">
        <v>0</v>
      </c>
      <c r="DQ165" s="273"/>
      <c r="DR165" s="2">
        <v>173416</v>
      </c>
      <c r="DS165" s="2">
        <v>111710</v>
      </c>
      <c r="DT165" s="169">
        <f t="shared" si="326"/>
        <v>285126</v>
      </c>
      <c r="DU165" s="2">
        <v>851572</v>
      </c>
      <c r="DV165" s="2"/>
      <c r="DW165" s="2">
        <v>232630</v>
      </c>
      <c r="DX165" s="2"/>
      <c r="DY165" s="2"/>
      <c r="DZ165" s="2"/>
      <c r="EA165" s="2"/>
      <c r="EB165" s="2"/>
      <c r="EC165" s="2"/>
      <c r="ED165" s="175">
        <v>5439</v>
      </c>
      <c r="EE165" s="2"/>
      <c r="EF165" s="175">
        <f t="shared" si="315"/>
        <v>23711</v>
      </c>
      <c r="EG165" s="2"/>
      <c r="EH165" s="2"/>
      <c r="EI165" s="2">
        <v>379091</v>
      </c>
      <c r="EJ165" s="2">
        <v>419822</v>
      </c>
      <c r="EK165" s="2"/>
      <c r="EL165" s="2"/>
      <c r="EM165" s="2"/>
      <c r="EN165" s="2"/>
      <c r="EO165" s="2"/>
      <c r="EP165" s="2"/>
      <c r="EQ165" s="2"/>
      <c r="ER165" s="2"/>
      <c r="ES165" s="2"/>
      <c r="ET165" s="2">
        <f t="shared" si="337"/>
        <v>1328597</v>
      </c>
      <c r="EU165" s="2">
        <f t="shared" si="338"/>
        <v>1328597</v>
      </c>
      <c r="EV165" s="262">
        <f t="shared" si="292"/>
        <v>1</v>
      </c>
      <c r="EW165" s="2">
        <v>1328597</v>
      </c>
      <c r="EX165" s="1042">
        <v>-1</v>
      </c>
      <c r="EY165" s="273">
        <f t="shared" si="339"/>
        <v>880680</v>
      </c>
      <c r="EZ165" s="2">
        <f t="shared" si="369"/>
        <v>495579</v>
      </c>
      <c r="FA165" s="2">
        <v>52662</v>
      </c>
      <c r="FB165" s="2">
        <v>173093</v>
      </c>
      <c r="FC165" s="2"/>
      <c r="FD165" s="2">
        <v>110650</v>
      </c>
      <c r="FE165" s="1052">
        <v>167045</v>
      </c>
      <c r="FF165" s="273">
        <v>189531</v>
      </c>
      <c r="FG165" s="2">
        <v>42208</v>
      </c>
      <c r="FH165" s="170">
        <f t="shared" si="370"/>
        <v>189535</v>
      </c>
      <c r="FI165" s="2">
        <v>-43095</v>
      </c>
      <c r="FJ165" s="2">
        <f t="shared" si="362"/>
        <v>-43095</v>
      </c>
      <c r="FK165" s="273">
        <f t="shared" si="376"/>
        <v>31086</v>
      </c>
      <c r="FL165" s="2">
        <v>27560</v>
      </c>
      <c r="FM165" s="2"/>
      <c r="FN165" s="2">
        <v>8258</v>
      </c>
      <c r="FO165" s="2">
        <v>4732</v>
      </c>
      <c r="FP165" s="2">
        <v>81278</v>
      </c>
      <c r="FQ165" s="2">
        <v>-358</v>
      </c>
      <c r="FR165" s="2">
        <v>-49834</v>
      </c>
      <c r="FS165" s="1052">
        <f t="shared" si="377"/>
        <v>0</v>
      </c>
      <c r="FT165" s="2">
        <f t="shared" si="378"/>
        <v>171760</v>
      </c>
      <c r="FU165" s="2"/>
      <c r="FV165" s="2"/>
      <c r="FW165" s="2">
        <v>154194</v>
      </c>
      <c r="FX165" s="2">
        <v>8121</v>
      </c>
      <c r="FY165" s="2">
        <v>630</v>
      </c>
      <c r="FZ165" s="2">
        <v>120218</v>
      </c>
      <c r="GA165" s="2">
        <v>1381</v>
      </c>
      <c r="GB165" s="2">
        <v>40086</v>
      </c>
      <c r="GC165" s="2">
        <f t="shared" si="371"/>
        <v>0</v>
      </c>
      <c r="GD165" s="2">
        <v>10075</v>
      </c>
      <c r="GE165" s="2">
        <v>446</v>
      </c>
      <c r="GF165" s="2">
        <v>446</v>
      </c>
      <c r="GG165" s="2">
        <v>7420</v>
      </c>
      <c r="GH165" s="2">
        <v>6</v>
      </c>
      <c r="GI165" s="2">
        <v>2649</v>
      </c>
      <c r="GJ165" s="2">
        <f t="shared" si="372"/>
        <v>0</v>
      </c>
      <c r="GK165" s="273">
        <f t="shared" si="373"/>
        <v>-12346</v>
      </c>
      <c r="GL165" s="2">
        <v>-2296</v>
      </c>
      <c r="GM165" s="2">
        <v>14435</v>
      </c>
      <c r="GN165" s="2">
        <v>24485</v>
      </c>
      <c r="GO165" s="2"/>
      <c r="GP165" s="2">
        <v>23711</v>
      </c>
      <c r="GQ165" s="2">
        <v>23701</v>
      </c>
      <c r="GR165" s="2">
        <v>-1037</v>
      </c>
      <c r="GS165" s="2">
        <v>-35020</v>
      </c>
      <c r="GT165" s="2">
        <f t="shared" si="380"/>
        <v>0</v>
      </c>
      <c r="GU165" s="2">
        <f t="shared" si="364"/>
        <v>-35020</v>
      </c>
      <c r="GV165" s="615">
        <v>30976</v>
      </c>
      <c r="GW165" s="615">
        <v>27445</v>
      </c>
      <c r="GX165" s="615">
        <v>11282</v>
      </c>
      <c r="GY165" s="615">
        <f t="shared" si="363"/>
        <v>19694</v>
      </c>
      <c r="GZ165" s="2">
        <v>-8259</v>
      </c>
      <c r="HA165" s="2">
        <v>-14528</v>
      </c>
      <c r="HB165" s="2">
        <v>6269</v>
      </c>
      <c r="HC165" s="1052">
        <f t="shared" si="374"/>
        <v>0</v>
      </c>
      <c r="HD165" s="170">
        <f t="shared" si="347"/>
        <v>10470</v>
      </c>
      <c r="HE165" s="2">
        <v>237505</v>
      </c>
      <c r="HF165" s="2">
        <v>227035</v>
      </c>
      <c r="HG165" s="170">
        <f t="shared" si="348"/>
        <v>-958</v>
      </c>
      <c r="HH165" s="2">
        <v>938</v>
      </c>
      <c r="HI165" s="2">
        <v>1896</v>
      </c>
      <c r="HJ165" s="2">
        <f t="shared" si="340"/>
        <v>-1266</v>
      </c>
      <c r="HK165" s="2">
        <v>4496</v>
      </c>
      <c r="HL165" s="2">
        <v>-3221</v>
      </c>
      <c r="HM165" s="2">
        <f t="shared" si="247"/>
        <v>9</v>
      </c>
      <c r="HN165" s="2">
        <f t="shared" si="283"/>
        <v>-9643</v>
      </c>
      <c r="HO165" s="2">
        <f t="shared" si="341"/>
        <v>-10610</v>
      </c>
      <c r="HP165" s="2">
        <v>1336830</v>
      </c>
      <c r="HQ165" s="2">
        <v>1326220</v>
      </c>
      <c r="HR165" s="2">
        <v>31260</v>
      </c>
      <c r="HS165" s="1052">
        <v>30293</v>
      </c>
      <c r="HT165" s="1002">
        <v>781.5</v>
      </c>
      <c r="HU165" s="1002">
        <v>94.8</v>
      </c>
      <c r="HV165" s="1002">
        <v>94.3</v>
      </c>
    </row>
    <row r="166" spans="1:230">
      <c r="A166" s="110">
        <f t="shared" si="349"/>
        <v>2007</v>
      </c>
      <c r="B166" s="176">
        <f t="shared" si="327"/>
        <v>1271127</v>
      </c>
      <c r="C166" s="177">
        <f t="shared" si="317"/>
        <v>19627</v>
      </c>
      <c r="D166" s="176">
        <f t="shared" si="342"/>
        <v>1251500</v>
      </c>
      <c r="E166" s="154">
        <f t="shared" si="328"/>
        <v>1405795</v>
      </c>
      <c r="F166" s="995">
        <f t="shared" si="329"/>
        <v>154295</v>
      </c>
      <c r="G166" s="531">
        <f t="shared" si="350"/>
        <v>1271128</v>
      </c>
      <c r="H166" s="531">
        <f t="shared" si="351"/>
        <v>1251501</v>
      </c>
      <c r="I166" s="531">
        <f t="shared" si="352"/>
        <v>1405796</v>
      </c>
      <c r="J166" s="548">
        <f t="shared" si="353"/>
        <v>0.99999928865923648</v>
      </c>
      <c r="K166" s="178">
        <f t="shared" si="325"/>
        <v>168288</v>
      </c>
      <c r="L166" s="2">
        <v>180335</v>
      </c>
      <c r="M166" s="2">
        <v>12047</v>
      </c>
      <c r="N166" s="2">
        <v>153194</v>
      </c>
      <c r="O166" s="170">
        <f t="shared" si="286"/>
        <v>15094</v>
      </c>
      <c r="P166" s="175">
        <f t="shared" si="365"/>
        <v>-2892</v>
      </c>
      <c r="Q166" s="175">
        <f t="shared" si="366"/>
        <v>17986</v>
      </c>
      <c r="R166" s="175">
        <f t="shared" si="287"/>
        <v>0</v>
      </c>
      <c r="S166" s="532"/>
      <c r="T166" s="1008">
        <f t="shared" si="253"/>
        <v>67003.526233650424</v>
      </c>
      <c r="U166" s="1010">
        <v>51810</v>
      </c>
      <c r="V166" s="511">
        <f t="shared" si="288"/>
        <v>92961.526233650424</v>
      </c>
      <c r="W166" s="2">
        <v>77768</v>
      </c>
      <c r="X166" s="169">
        <f t="shared" si="254"/>
        <v>25958</v>
      </c>
      <c r="Y166" s="113">
        <f t="shared" si="255"/>
        <v>0.27923379759016548</v>
      </c>
      <c r="Z166" s="113">
        <f t="shared" si="330"/>
        <v>0.3337876761650036</v>
      </c>
      <c r="AA166" s="276">
        <f>X166/DataUK3!D166</f>
        <v>7.0226603757250457E-3</v>
      </c>
      <c r="AB166" s="1019">
        <f t="shared" si="331"/>
        <v>1.8464996674479563E-2</v>
      </c>
      <c r="AC166" s="2">
        <v>95118</v>
      </c>
      <c r="AD166" s="2">
        <v>20517</v>
      </c>
      <c r="AE166" s="2">
        <v>74601</v>
      </c>
      <c r="AF166" s="253">
        <f>AC166/DataUK3!$BE166</f>
        <v>6.7322065568201125E-2</v>
      </c>
      <c r="AG166" s="253">
        <f>AD166/DataUK3!$BE166</f>
        <v>1.452140309155767E-2</v>
      </c>
      <c r="AH166" s="253">
        <f>AE166/DataUK3!$BE166</f>
        <v>5.2800662476643452E-2</v>
      </c>
      <c r="AI166" s="1010">
        <f>AD166*DataUK3!BG166</f>
        <v>15193.526233650417</v>
      </c>
      <c r="AJ166" s="171">
        <f t="shared" si="375"/>
        <v>125658</v>
      </c>
      <c r="AK166" s="561"/>
      <c r="AL166" s="169">
        <f t="shared" si="354"/>
        <v>151602</v>
      </c>
      <c r="AM166" s="169"/>
      <c r="AN166" s="2">
        <v>56954</v>
      </c>
      <c r="AO166" s="1012">
        <v>82898</v>
      </c>
      <c r="AP166" s="2"/>
      <c r="AQ166" s="2"/>
      <c r="AR166" s="2"/>
      <c r="AS166" s="2"/>
      <c r="AT166" s="2"/>
      <c r="AU166" s="2"/>
      <c r="AV166" s="2"/>
      <c r="AW166" s="2"/>
      <c r="AX166" s="2"/>
      <c r="AY166" s="2"/>
      <c r="AZ166" s="2"/>
      <c r="BA166" s="2"/>
      <c r="BB166" s="2"/>
      <c r="BC166" s="2"/>
      <c r="BD166" s="2"/>
      <c r="BE166" s="2"/>
      <c r="BF166" s="2"/>
      <c r="BG166" s="2"/>
      <c r="BH166" s="2"/>
      <c r="BI166" s="273">
        <v>751124</v>
      </c>
      <c r="BJ166" s="2">
        <f t="shared" si="355"/>
        <v>751858</v>
      </c>
      <c r="BK166" s="2"/>
      <c r="BL166" s="2"/>
      <c r="BM166" s="1129">
        <v>68704</v>
      </c>
      <c r="BN166" s="2"/>
      <c r="BO166" s="262">
        <f t="shared" si="343"/>
        <v>4.4805908457612814E-2</v>
      </c>
      <c r="BP166" s="262">
        <f t="shared" si="332"/>
        <v>6.5216142840172533E-2</v>
      </c>
      <c r="BQ166" s="262">
        <f t="shared" si="344"/>
        <v>5.4049674029424281E-2</v>
      </c>
      <c r="BR166" s="262">
        <f t="shared" si="356"/>
        <v>9.1468252911636433E-2</v>
      </c>
      <c r="BS166" s="988">
        <f t="shared" si="367"/>
        <v>0.82877753383676322</v>
      </c>
      <c r="BT166" s="519">
        <f t="shared" si="368"/>
        <v>25944</v>
      </c>
      <c r="BU166" s="519"/>
      <c r="BV166" s="113">
        <f t="shared" si="333"/>
        <v>0.17113230696164958</v>
      </c>
      <c r="BW166" s="276">
        <f t="shared" si="357"/>
        <v>1.8455037896706133E-2</v>
      </c>
      <c r="BX166" s="273">
        <v>51904</v>
      </c>
      <c r="BY166" s="2">
        <v>60</v>
      </c>
      <c r="BZ166" s="1012">
        <v>2952</v>
      </c>
      <c r="CA166" s="1005">
        <f t="shared" si="345"/>
        <v>1271127</v>
      </c>
      <c r="CB166" s="2"/>
      <c r="CC166" s="2"/>
      <c r="CD166" s="2"/>
      <c r="CE166" s="2"/>
      <c r="CF166" s="2">
        <v>1405796</v>
      </c>
      <c r="CG166" s="2">
        <v>2</v>
      </c>
      <c r="CH166" s="2">
        <f t="shared" si="334"/>
        <v>1</v>
      </c>
      <c r="CI166" s="2">
        <v>154297</v>
      </c>
      <c r="CJ166" s="2"/>
      <c r="CK166" s="2"/>
      <c r="CL166" s="171">
        <f t="shared" si="358"/>
        <v>736825.47376634961</v>
      </c>
      <c r="CM166" s="169">
        <f t="shared" si="359"/>
        <v>825987.47376634961</v>
      </c>
      <c r="CN166" s="170">
        <f t="shared" si="268"/>
        <v>296558.47376634961</v>
      </c>
      <c r="CO166" s="170">
        <f t="shared" si="269"/>
        <v>311752</v>
      </c>
      <c r="CP166" s="170">
        <f t="shared" si="308"/>
        <v>529429</v>
      </c>
      <c r="CQ166" s="170">
        <f t="shared" si="309"/>
        <v>89162</v>
      </c>
      <c r="CR166" s="170">
        <v>4528</v>
      </c>
      <c r="CS166" s="113">
        <f t="shared" si="360"/>
        <v>6.3424610273901949E-2</v>
      </c>
      <c r="CT166" s="170">
        <f t="shared" si="346"/>
        <v>744718</v>
      </c>
      <c r="CU166" s="2">
        <v>268109</v>
      </c>
      <c r="CV166" s="991">
        <v>476609</v>
      </c>
      <c r="CW166" s="2">
        <v>83243</v>
      </c>
      <c r="CX166" s="2">
        <v>19796</v>
      </c>
      <c r="CY166" s="2">
        <v>3486</v>
      </c>
      <c r="CZ166" s="170">
        <f t="shared" si="272"/>
        <v>81269.473766349576</v>
      </c>
      <c r="DA166" s="170">
        <f t="shared" si="273"/>
        <v>96463</v>
      </c>
      <c r="DB166" s="170">
        <f t="shared" si="335"/>
        <v>28449.473766349583</v>
      </c>
      <c r="DC166" s="2">
        <v>43643</v>
      </c>
      <c r="DD166" s="2">
        <v>52820</v>
      </c>
      <c r="DE166" s="2">
        <v>5919</v>
      </c>
      <c r="DF166" s="2">
        <v>1676</v>
      </c>
      <c r="DG166" s="1040">
        <v>0</v>
      </c>
      <c r="DH166" s="171">
        <f t="shared" si="381"/>
        <v>153725</v>
      </c>
      <c r="DI166" s="2">
        <f t="shared" si="320"/>
        <v>166956</v>
      </c>
      <c r="DJ166" s="2">
        <v>153725</v>
      </c>
      <c r="DK166" s="2">
        <v>13231</v>
      </c>
      <c r="DL166" s="113">
        <f t="shared" si="336"/>
        <v>0.12093598830014625</v>
      </c>
      <c r="DM166" s="113">
        <f t="shared" si="361"/>
        <v>0.20446015071994977</v>
      </c>
      <c r="DN166" s="113">
        <f t="shared" si="321"/>
        <v>0.5208298041022652</v>
      </c>
      <c r="DO166" s="2">
        <v>0</v>
      </c>
      <c r="DP166" s="2">
        <v>0</v>
      </c>
      <c r="DQ166" s="273"/>
      <c r="DR166" s="2">
        <v>178058</v>
      </c>
      <c r="DS166" s="2">
        <v>117096</v>
      </c>
      <c r="DT166" s="169">
        <f t="shared" si="326"/>
        <v>295154</v>
      </c>
      <c r="DU166" s="2">
        <v>896566</v>
      </c>
      <c r="DV166" s="2"/>
      <c r="DW166" s="2">
        <v>256725</v>
      </c>
      <c r="DX166" s="2"/>
      <c r="DY166" s="2"/>
      <c r="DZ166" s="2"/>
      <c r="EA166" s="2"/>
      <c r="EB166" s="2"/>
      <c r="EC166" s="2"/>
      <c r="ED166" s="175">
        <v>6148</v>
      </c>
      <c r="EE166" s="2"/>
      <c r="EF166" s="175">
        <f t="shared" si="315"/>
        <v>26302</v>
      </c>
      <c r="EG166" s="2"/>
      <c r="EH166" s="2"/>
      <c r="EI166" s="2">
        <v>374032</v>
      </c>
      <c r="EJ166" s="2">
        <v>416681</v>
      </c>
      <c r="EK166" s="2"/>
      <c r="EL166" s="2"/>
      <c r="EM166" s="2"/>
      <c r="EN166" s="2"/>
      <c r="EO166" s="2"/>
      <c r="EP166" s="2"/>
      <c r="EQ166" s="2"/>
      <c r="ER166" s="2"/>
      <c r="ES166" s="2"/>
      <c r="ET166" s="2">
        <f t="shared" si="337"/>
        <v>1405796</v>
      </c>
      <c r="EU166" s="2">
        <f t="shared" si="338"/>
        <v>1405797</v>
      </c>
      <c r="EV166" s="262">
        <f t="shared" si="292"/>
        <v>1.0000007113407636</v>
      </c>
      <c r="EW166" s="2">
        <v>1405796</v>
      </c>
      <c r="EX166" s="1042">
        <v>0</v>
      </c>
      <c r="EY166" s="273">
        <f t="shared" si="339"/>
        <v>952291</v>
      </c>
      <c r="EZ166" s="2">
        <f t="shared" si="369"/>
        <v>519120</v>
      </c>
      <c r="FA166" s="2">
        <v>48269</v>
      </c>
      <c r="FB166" s="2">
        <v>186981</v>
      </c>
      <c r="FC166" s="2"/>
      <c r="FD166" s="2">
        <v>115582</v>
      </c>
      <c r="FE166" s="1052">
        <v>178407</v>
      </c>
      <c r="FF166" s="273">
        <v>221900</v>
      </c>
      <c r="FG166" s="2">
        <v>67603</v>
      </c>
      <c r="FH166" s="170">
        <f t="shared" si="370"/>
        <v>221899</v>
      </c>
      <c r="FI166" s="2">
        <v>-34826</v>
      </c>
      <c r="FJ166" s="2">
        <f t="shared" si="362"/>
        <v>-34826</v>
      </c>
      <c r="FK166" s="273">
        <f t="shared" si="376"/>
        <v>30146</v>
      </c>
      <c r="FL166" s="2">
        <v>24701</v>
      </c>
      <c r="FM166" s="2"/>
      <c r="FN166" s="2">
        <v>10439</v>
      </c>
      <c r="FO166" s="2">
        <v>4994</v>
      </c>
      <c r="FP166" s="2">
        <v>86307</v>
      </c>
      <c r="FQ166" s="2">
        <v>-340</v>
      </c>
      <c r="FR166" s="2">
        <v>-55821</v>
      </c>
      <c r="FS166" s="1052">
        <f t="shared" si="377"/>
        <v>0</v>
      </c>
      <c r="FT166" s="2">
        <f t="shared" si="378"/>
        <v>208984</v>
      </c>
      <c r="FU166" s="2"/>
      <c r="FV166" s="2"/>
      <c r="FW166" s="2">
        <v>169375</v>
      </c>
      <c r="FX166" s="2">
        <v>8420</v>
      </c>
      <c r="FY166" s="2">
        <v>880</v>
      </c>
      <c r="FZ166" s="2">
        <v>135663</v>
      </c>
      <c r="GA166" s="2">
        <v>2973</v>
      </c>
      <c r="GB166" s="2">
        <v>38279</v>
      </c>
      <c r="GC166" s="2">
        <f t="shared" si="371"/>
        <v>0</v>
      </c>
      <c r="GD166" s="2">
        <v>32069</v>
      </c>
      <c r="GE166" s="2">
        <v>388</v>
      </c>
      <c r="GF166" s="2">
        <v>388</v>
      </c>
      <c r="GG166" s="2">
        <v>8454</v>
      </c>
      <c r="GH166" s="2">
        <v>4</v>
      </c>
      <c r="GI166" s="2">
        <v>23611</v>
      </c>
      <c r="GJ166" s="2">
        <f t="shared" si="372"/>
        <v>0</v>
      </c>
      <c r="GK166" s="273">
        <f t="shared" si="373"/>
        <v>-14655</v>
      </c>
      <c r="GL166" s="2">
        <v>-4247</v>
      </c>
      <c r="GM166" s="2">
        <v>16918</v>
      </c>
      <c r="GN166" s="2">
        <v>27326</v>
      </c>
      <c r="GO166" s="2"/>
      <c r="GP166" s="2">
        <v>26302</v>
      </c>
      <c r="GQ166" s="2">
        <v>26306</v>
      </c>
      <c r="GR166" s="2">
        <v>-2626</v>
      </c>
      <c r="GS166" s="2">
        <v>-38331</v>
      </c>
      <c r="GT166" s="2">
        <f t="shared" si="380"/>
        <v>0</v>
      </c>
      <c r="GU166" s="2">
        <f t="shared" si="364"/>
        <v>-38331</v>
      </c>
      <c r="GV166" s="615">
        <v>34792</v>
      </c>
      <c r="GW166" s="615">
        <v>31269</v>
      </c>
      <c r="GX166" s="615">
        <v>12915</v>
      </c>
      <c r="GY166" s="615">
        <f t="shared" si="363"/>
        <v>21877</v>
      </c>
      <c r="GZ166" s="2">
        <v>-8477</v>
      </c>
      <c r="HA166" s="2">
        <v>-15010</v>
      </c>
      <c r="HB166" s="2">
        <v>6533</v>
      </c>
      <c r="HC166" s="1052">
        <f t="shared" si="374"/>
        <v>0</v>
      </c>
      <c r="HD166" s="170">
        <f t="shared" si="347"/>
        <v>22103</v>
      </c>
      <c r="HE166" s="2">
        <v>291614</v>
      </c>
      <c r="HF166" s="2">
        <v>269511</v>
      </c>
      <c r="HG166" s="170">
        <f t="shared" si="348"/>
        <v>-734</v>
      </c>
      <c r="HH166" s="2">
        <v>984</v>
      </c>
      <c r="HI166" s="2">
        <v>1718</v>
      </c>
      <c r="HJ166" s="2">
        <f t="shared" si="340"/>
        <v>-1742</v>
      </c>
      <c r="HK166" s="2">
        <v>4731</v>
      </c>
      <c r="HL166" s="2">
        <v>-2952</v>
      </c>
      <c r="HM166" s="2">
        <f t="shared" si="247"/>
        <v>37</v>
      </c>
      <c r="HN166" s="2">
        <f t="shared" si="283"/>
        <v>-9227</v>
      </c>
      <c r="HO166" s="2">
        <f t="shared" si="341"/>
        <v>-11804</v>
      </c>
      <c r="HP166" s="2">
        <v>1425387</v>
      </c>
      <c r="HQ166" s="2">
        <v>1413583</v>
      </c>
      <c r="HR166" s="2">
        <v>36165</v>
      </c>
      <c r="HS166" s="1052">
        <v>33588</v>
      </c>
      <c r="HT166" s="1002">
        <v>815</v>
      </c>
      <c r="HU166" s="1002">
        <v>97</v>
      </c>
      <c r="HV166" s="1002">
        <v>96.7</v>
      </c>
    </row>
    <row r="167" spans="1:230">
      <c r="A167" s="110">
        <f t="shared" si="349"/>
        <v>2008</v>
      </c>
      <c r="B167" s="176">
        <f t="shared" si="327"/>
        <v>1313792</v>
      </c>
      <c r="C167" s="177">
        <f t="shared" si="317"/>
        <v>31283</v>
      </c>
      <c r="D167" s="176">
        <f t="shared" si="342"/>
        <v>1282509</v>
      </c>
      <c r="E167" s="154">
        <f t="shared" si="328"/>
        <v>1433870</v>
      </c>
      <c r="F167" s="995">
        <f t="shared" si="329"/>
        <v>151361</v>
      </c>
      <c r="G167" s="531">
        <f t="shared" si="350"/>
        <v>1313789</v>
      </c>
      <c r="H167" s="531">
        <f t="shared" si="351"/>
        <v>1282506</v>
      </c>
      <c r="I167" s="531">
        <f t="shared" si="352"/>
        <v>1433867</v>
      </c>
      <c r="J167" s="548">
        <f t="shared" si="353"/>
        <v>1.0000020922442598</v>
      </c>
      <c r="K167" s="178">
        <f t="shared" si="325"/>
        <v>166623</v>
      </c>
      <c r="L167" s="2">
        <v>178207</v>
      </c>
      <c r="M167" s="2">
        <v>11584</v>
      </c>
      <c r="N167" s="2">
        <v>149986</v>
      </c>
      <c r="O167" s="170">
        <f t="shared" si="286"/>
        <v>16637</v>
      </c>
      <c r="P167" s="175">
        <f t="shared" si="365"/>
        <v>-3001</v>
      </c>
      <c r="Q167" s="175">
        <f t="shared" si="366"/>
        <v>19638</v>
      </c>
      <c r="R167" s="175">
        <f t="shared" si="287"/>
        <v>0</v>
      </c>
      <c r="S167" s="532"/>
      <c r="T167" s="1008">
        <f t="shared" si="253"/>
        <v>71347.534489346435</v>
      </c>
      <c r="U167" s="1010">
        <v>47580</v>
      </c>
      <c r="V167" s="511">
        <f t="shared" si="288"/>
        <v>98645.534489346435</v>
      </c>
      <c r="W167" s="2">
        <v>74878</v>
      </c>
      <c r="X167" s="169">
        <f t="shared" si="254"/>
        <v>27298</v>
      </c>
      <c r="Y167" s="113">
        <f t="shared" si="255"/>
        <v>0.27672818786285902</v>
      </c>
      <c r="Z167" s="113">
        <f t="shared" si="330"/>
        <v>0.3645663612810171</v>
      </c>
      <c r="AA167" s="276">
        <f>X167/DataUK3!D167</f>
        <v>6.6951447814635381E-3</v>
      </c>
      <c r="AB167" s="1019">
        <f t="shared" si="331"/>
        <v>1.9037988102129203E-2</v>
      </c>
      <c r="AC167" s="2">
        <v>98921</v>
      </c>
      <c r="AD167" s="2">
        <v>31514</v>
      </c>
      <c r="AE167" s="2">
        <v>67407</v>
      </c>
      <c r="AF167" s="253">
        <f>AC167/DataUK3!$BE167</f>
        <v>6.5055166776165005E-2</v>
      </c>
      <c r="AG167" s="253">
        <f>AD167/DataUK3!$BE167</f>
        <v>2.0725109185957116E-2</v>
      </c>
      <c r="AH167" s="253">
        <f>AE167/DataUK3!$BE167</f>
        <v>4.4330057590207889E-2</v>
      </c>
      <c r="AI167" s="1010">
        <f>AD167*DataUK3!BG167</f>
        <v>23767.534489346435</v>
      </c>
      <c r="AJ167" s="171">
        <f t="shared" si="375"/>
        <v>139862</v>
      </c>
      <c r="AK167" s="561"/>
      <c r="AL167" s="169">
        <f t="shared" si="354"/>
        <v>157469</v>
      </c>
      <c r="AM167" s="169"/>
      <c r="AN167" s="2">
        <v>68769</v>
      </c>
      <c r="AO167" s="1012">
        <v>86376</v>
      </c>
      <c r="AP167" s="2"/>
      <c r="AQ167" s="2"/>
      <c r="AR167" s="2"/>
      <c r="AS167" s="2"/>
      <c r="AT167" s="2"/>
      <c r="AU167" s="2"/>
      <c r="AV167" s="2"/>
      <c r="AW167" s="2"/>
      <c r="AX167" s="2"/>
      <c r="AY167" s="2"/>
      <c r="AZ167" s="2"/>
      <c r="BA167" s="2"/>
      <c r="BB167" s="2"/>
      <c r="BC167" s="2"/>
      <c r="BD167" s="2"/>
      <c r="BE167" s="2"/>
      <c r="BF167" s="2"/>
      <c r="BG167" s="2"/>
      <c r="BH167" s="2"/>
      <c r="BI167" s="273">
        <v>770254</v>
      </c>
      <c r="BJ167" s="2">
        <f t="shared" si="355"/>
        <v>770969</v>
      </c>
      <c r="BK167" s="2"/>
      <c r="BL167" s="2"/>
      <c r="BM167" s="1129">
        <v>71093</v>
      </c>
      <c r="BN167" s="2"/>
      <c r="BO167" s="262">
        <f t="shared" si="343"/>
        <v>5.2343902231098985E-2</v>
      </c>
      <c r="BP167" s="262">
        <f t="shared" si="332"/>
        <v>6.5745567030397509E-2</v>
      </c>
      <c r="BQ167" s="262">
        <f t="shared" si="344"/>
        <v>5.411282760132502E-2</v>
      </c>
      <c r="BR167" s="262">
        <f t="shared" si="356"/>
        <v>9.2298125034079664E-2</v>
      </c>
      <c r="BS167" s="988">
        <f t="shared" si="367"/>
        <v>0.8230642771140132</v>
      </c>
      <c r="BT167" s="519">
        <f t="shared" si="368"/>
        <v>17607</v>
      </c>
      <c r="BU167" s="519"/>
      <c r="BV167" s="113">
        <f t="shared" si="333"/>
        <v>0.11181248372695578</v>
      </c>
      <c r="BW167" s="276">
        <f t="shared" si="357"/>
        <v>1.2279355869081576E-2</v>
      </c>
      <c r="BX167" s="273">
        <v>44914</v>
      </c>
      <c r="BY167" s="2">
        <v>50</v>
      </c>
      <c r="BZ167" s="1012">
        <v>3051</v>
      </c>
      <c r="CA167" s="1005">
        <f t="shared" si="345"/>
        <v>1313792</v>
      </c>
      <c r="CB167" s="2"/>
      <c r="CC167" s="2"/>
      <c r="CD167" s="2"/>
      <c r="CE167" s="2"/>
      <c r="CF167" s="2">
        <v>1433870</v>
      </c>
      <c r="CG167" s="2">
        <v>1</v>
      </c>
      <c r="CH167" s="2">
        <f t="shared" si="334"/>
        <v>1</v>
      </c>
      <c r="CI167" s="2">
        <v>151370</v>
      </c>
      <c r="CJ167" s="2"/>
      <c r="CK167" s="2"/>
      <c r="CL167" s="171">
        <f t="shared" si="358"/>
        <v>747007.46551065356</v>
      </c>
      <c r="CM167" s="169">
        <f t="shared" si="359"/>
        <v>839500.46551065356</v>
      </c>
      <c r="CN167" s="170">
        <f t="shared" si="268"/>
        <v>297293.46551065356</v>
      </c>
      <c r="CO167" s="170">
        <f t="shared" si="269"/>
        <v>321061</v>
      </c>
      <c r="CP167" s="170">
        <f t="shared" si="308"/>
        <v>542207</v>
      </c>
      <c r="CQ167" s="170">
        <f t="shared" si="309"/>
        <v>92493</v>
      </c>
      <c r="CR167" s="170">
        <v>4676</v>
      </c>
      <c r="CS167" s="113">
        <f t="shared" si="360"/>
        <v>6.4505847810470959E-2</v>
      </c>
      <c r="CT167" s="170">
        <f t="shared" si="346"/>
        <v>753122</v>
      </c>
      <c r="CU167" s="2">
        <v>263303</v>
      </c>
      <c r="CV167" s="991">
        <v>489819</v>
      </c>
      <c r="CW167" s="2">
        <v>86127</v>
      </c>
      <c r="CX167" s="2">
        <v>20943</v>
      </c>
      <c r="CY167" s="2">
        <v>3381</v>
      </c>
      <c r="CZ167" s="170">
        <f t="shared" si="272"/>
        <v>86378.465510653565</v>
      </c>
      <c r="DA167" s="170">
        <f t="shared" si="273"/>
        <v>110146</v>
      </c>
      <c r="DB167" s="170">
        <f t="shared" si="335"/>
        <v>33990.465510653565</v>
      </c>
      <c r="DC167" s="2">
        <v>57758</v>
      </c>
      <c r="DD167" s="2">
        <v>52388</v>
      </c>
      <c r="DE167" s="2">
        <v>6366</v>
      </c>
      <c r="DF167" s="2">
        <v>2076</v>
      </c>
      <c r="DG167" s="1040">
        <v>0</v>
      </c>
      <c r="DH167" s="171">
        <f t="shared" si="381"/>
        <v>157669</v>
      </c>
      <c r="DI167" s="2">
        <f t="shared" si="320"/>
        <v>171632</v>
      </c>
      <c r="DJ167" s="2">
        <v>157669</v>
      </c>
      <c r="DK167" s="2">
        <v>13963</v>
      </c>
      <c r="DL167" s="113">
        <f t="shared" si="336"/>
        <v>0.12001062573070928</v>
      </c>
      <c r="DM167" s="113">
        <f t="shared" si="361"/>
        <v>0.2045075742345023</v>
      </c>
      <c r="DN167" s="113">
        <f t="shared" si="321"/>
        <v>0.49963874435141936</v>
      </c>
      <c r="DO167" s="2">
        <v>0</v>
      </c>
      <c r="DP167" s="2">
        <v>0</v>
      </c>
      <c r="DQ167" s="273"/>
      <c r="DR167" s="2">
        <v>191348</v>
      </c>
      <c r="DS167" s="2">
        <v>124218</v>
      </c>
      <c r="DT167" s="169">
        <f t="shared" si="326"/>
        <v>315566</v>
      </c>
      <c r="DU167" s="2">
        <v>913791</v>
      </c>
      <c r="DV167" s="2"/>
      <c r="DW167" s="2">
        <v>243634</v>
      </c>
      <c r="DX167" s="2"/>
      <c r="DY167" s="2"/>
      <c r="DZ167" s="2"/>
      <c r="EA167" s="2"/>
      <c r="EB167" s="2"/>
      <c r="EC167" s="2"/>
      <c r="ED167" s="175">
        <v>7296</v>
      </c>
      <c r="EE167" s="2"/>
      <c r="EF167" s="175">
        <f t="shared" si="315"/>
        <v>32830</v>
      </c>
      <c r="EG167" s="2"/>
      <c r="EH167" s="2"/>
      <c r="EI167" s="2">
        <v>422864</v>
      </c>
      <c r="EJ167" s="2">
        <v>461988</v>
      </c>
      <c r="EK167" s="2"/>
      <c r="EL167" s="2"/>
      <c r="EM167" s="2"/>
      <c r="EN167" s="2"/>
      <c r="EO167" s="2"/>
      <c r="EP167" s="2"/>
      <c r="EQ167" s="2"/>
      <c r="ER167" s="2"/>
      <c r="ES167" s="2"/>
      <c r="ET167" s="2">
        <f t="shared" si="337"/>
        <v>1433867</v>
      </c>
      <c r="EU167" s="2">
        <f t="shared" si="338"/>
        <v>1433879</v>
      </c>
      <c r="EV167" s="262">
        <f t="shared" si="292"/>
        <v>1.0000083689770389</v>
      </c>
      <c r="EW167" s="2">
        <v>1433870</v>
      </c>
      <c r="EX167" s="1042">
        <v>1</v>
      </c>
      <c r="EY167" s="273">
        <f t="shared" si="339"/>
        <v>993824</v>
      </c>
      <c r="EZ167" s="2">
        <f t="shared" si="369"/>
        <v>531997</v>
      </c>
      <c r="FA167" s="2">
        <v>52490</v>
      </c>
      <c r="FB167" s="2">
        <v>191426</v>
      </c>
      <c r="FC167" s="2"/>
      <c r="FD167" s="2">
        <v>121458</v>
      </c>
      <c r="FE167" s="1052">
        <v>190187</v>
      </c>
      <c r="FF167" s="273">
        <v>223885</v>
      </c>
      <c r="FG167" s="2">
        <v>72515</v>
      </c>
      <c r="FH167" s="170">
        <f t="shared" si="370"/>
        <v>223881</v>
      </c>
      <c r="FI167" s="2">
        <v>-19753</v>
      </c>
      <c r="FJ167" s="2">
        <f t="shared" si="362"/>
        <v>-19753</v>
      </c>
      <c r="FK167" s="273">
        <f t="shared" si="376"/>
        <v>35490</v>
      </c>
      <c r="FL167" s="2">
        <v>29146</v>
      </c>
      <c r="FM167" s="2"/>
      <c r="FN167" s="2">
        <v>35104</v>
      </c>
      <c r="FO167" s="2">
        <v>28760</v>
      </c>
      <c r="FP167" s="2">
        <v>65870</v>
      </c>
      <c r="FQ167" s="2">
        <v>-340</v>
      </c>
      <c r="FR167" s="2">
        <v>-30040</v>
      </c>
      <c r="FS167" s="1052">
        <f t="shared" si="377"/>
        <v>0</v>
      </c>
      <c r="FT167" s="2">
        <f t="shared" si="378"/>
        <v>230264</v>
      </c>
      <c r="FU167" s="2"/>
      <c r="FV167" s="2"/>
      <c r="FW167" s="2">
        <v>160174</v>
      </c>
      <c r="FX167" s="2">
        <v>9278</v>
      </c>
      <c r="FY167" s="2">
        <v>918</v>
      </c>
      <c r="FZ167" s="2">
        <v>135965</v>
      </c>
      <c r="GA167" s="2">
        <v>1338</v>
      </c>
      <c r="GB167" s="2">
        <v>31231</v>
      </c>
      <c r="GC167" s="2">
        <f t="shared" si="371"/>
        <v>0</v>
      </c>
      <c r="GD167" s="2">
        <v>56577</v>
      </c>
      <c r="GE167" s="2">
        <v>27187</v>
      </c>
      <c r="GF167" s="2">
        <v>22034</v>
      </c>
      <c r="GG167" s="2">
        <v>8971</v>
      </c>
      <c r="GH167" s="2">
        <v>4</v>
      </c>
      <c r="GI167" s="2">
        <v>52755</v>
      </c>
      <c r="GJ167" s="2">
        <f t="shared" si="372"/>
        <v>0</v>
      </c>
      <c r="GK167" s="273">
        <f t="shared" si="373"/>
        <v>-38589</v>
      </c>
      <c r="GL167" s="2">
        <v>-22013</v>
      </c>
      <c r="GM167" s="2">
        <v>40171</v>
      </c>
      <c r="GN167" s="2">
        <v>56747</v>
      </c>
      <c r="GO167" s="2"/>
      <c r="GP167" s="2">
        <v>32830</v>
      </c>
      <c r="GQ167" s="2">
        <v>32860</v>
      </c>
      <c r="GR167" s="2">
        <v>-962</v>
      </c>
      <c r="GS167" s="2">
        <v>-70457</v>
      </c>
      <c r="GT167" s="2">
        <f t="shared" si="380"/>
        <v>0</v>
      </c>
      <c r="GU167" s="2">
        <f t="shared" si="364"/>
        <v>-70457</v>
      </c>
      <c r="GV167" s="615">
        <v>36501</v>
      </c>
      <c r="GW167" s="615">
        <v>32787</v>
      </c>
      <c r="GX167" s="615">
        <v>14659</v>
      </c>
      <c r="GY167" s="615">
        <f t="shared" si="363"/>
        <v>21842</v>
      </c>
      <c r="GZ167" s="2">
        <v>-24496</v>
      </c>
      <c r="HA167" s="2">
        <v>-31401</v>
      </c>
      <c r="HB167" s="2">
        <v>6905</v>
      </c>
      <c r="HC167" s="1052">
        <f t="shared" si="374"/>
        <v>0</v>
      </c>
      <c r="HD167" s="170">
        <f t="shared" si="347"/>
        <v>33851</v>
      </c>
      <c r="HE167" s="2">
        <v>262842</v>
      </c>
      <c r="HF167" s="2">
        <v>228991</v>
      </c>
      <c r="HG167" s="170">
        <f t="shared" si="348"/>
        <v>-715</v>
      </c>
      <c r="HH167" s="2">
        <v>1046</v>
      </c>
      <c r="HI167" s="2">
        <v>1761</v>
      </c>
      <c r="HJ167" s="2">
        <f t="shared" si="340"/>
        <v>-1853</v>
      </c>
      <c r="HK167" s="2">
        <v>4906</v>
      </c>
      <c r="HL167" s="2">
        <v>-3051</v>
      </c>
      <c r="HM167" s="2">
        <f t="shared" si="247"/>
        <v>2</v>
      </c>
      <c r="HN167" s="2">
        <f t="shared" si="283"/>
        <v>-8631</v>
      </c>
      <c r="HO167" s="2">
        <f t="shared" si="341"/>
        <v>-11912</v>
      </c>
      <c r="HP167" s="2">
        <v>1465152</v>
      </c>
      <c r="HQ167" s="2">
        <v>1453240</v>
      </c>
      <c r="HR167" s="2">
        <v>111740</v>
      </c>
      <c r="HS167" s="1052">
        <v>108459</v>
      </c>
      <c r="HT167" s="1002">
        <v>847.5</v>
      </c>
      <c r="HU167" s="1002">
        <v>100</v>
      </c>
      <c r="HV167" s="1002">
        <v>100</v>
      </c>
    </row>
    <row r="168" spans="1:230">
      <c r="A168" s="110">
        <f t="shared" si="349"/>
        <v>2009</v>
      </c>
      <c r="B168" s="176">
        <f t="shared" si="327"/>
        <v>1254053</v>
      </c>
      <c r="C168" s="177">
        <f t="shared" si="317"/>
        <v>19611</v>
      </c>
      <c r="D168" s="176">
        <f t="shared" si="342"/>
        <v>1234442</v>
      </c>
      <c r="E168" s="154">
        <f t="shared" si="328"/>
        <v>1393855</v>
      </c>
      <c r="F168" s="995">
        <f t="shared" si="329"/>
        <v>159413</v>
      </c>
      <c r="G168" s="531">
        <f t="shared" si="350"/>
        <v>1254050</v>
      </c>
      <c r="H168" s="531">
        <f t="shared" si="351"/>
        <v>1234439</v>
      </c>
      <c r="I168" s="531">
        <f t="shared" si="352"/>
        <v>1393852</v>
      </c>
      <c r="J168" s="548">
        <f t="shared" si="353"/>
        <v>1.0000021523088534</v>
      </c>
      <c r="K168" s="178">
        <f t="shared" si="325"/>
        <v>154392</v>
      </c>
      <c r="L168" s="2">
        <v>166823</v>
      </c>
      <c r="M168" s="2">
        <v>12431</v>
      </c>
      <c r="N168" s="2">
        <v>136922</v>
      </c>
      <c r="O168" s="170">
        <f t="shared" si="286"/>
        <v>17470</v>
      </c>
      <c r="P168" s="175">
        <f t="shared" si="365"/>
        <v>-3363</v>
      </c>
      <c r="Q168" s="175">
        <f t="shared" si="366"/>
        <v>20833</v>
      </c>
      <c r="R168" s="175">
        <f t="shared" si="287"/>
        <v>0</v>
      </c>
      <c r="S168" s="532"/>
      <c r="T168" s="1008">
        <f t="shared" si="253"/>
        <v>79100.628618576811</v>
      </c>
      <c r="U168" s="1010">
        <v>29738</v>
      </c>
      <c r="V168" s="511">
        <f t="shared" si="288"/>
        <v>107106.62861857681</v>
      </c>
      <c r="W168" s="2">
        <v>57744</v>
      </c>
      <c r="X168" s="169">
        <f t="shared" si="254"/>
        <v>28006</v>
      </c>
      <c r="Y168" s="113">
        <f t="shared" si="255"/>
        <v>0.26147774756064518</v>
      </c>
      <c r="Z168" s="113">
        <f t="shared" si="330"/>
        <v>0.48500277085065113</v>
      </c>
      <c r="AA168" s="276">
        <f>X168/DataUK3!D168</f>
        <v>7.5921647211846226E-3</v>
      </c>
      <c r="AB168" s="1019">
        <f t="shared" si="331"/>
        <v>2.009247733803014E-2</v>
      </c>
      <c r="AC168" s="2">
        <v>72016</v>
      </c>
      <c r="AD168" s="2">
        <v>64537</v>
      </c>
      <c r="AE168" s="2">
        <v>7479</v>
      </c>
      <c r="AF168" s="253">
        <f>AC168/DataUK3!$BE168</f>
        <v>4.645815888514869E-2</v>
      </c>
      <c r="AG168" s="253">
        <f>AD168/DataUK3!$BE168</f>
        <v>4.1633389801861265E-2</v>
      </c>
      <c r="AH168" s="253">
        <f>AE168/DataUK3!$BE168</f>
        <v>4.8247690832874234E-3</v>
      </c>
      <c r="AI168" s="1010">
        <f>AD168*DataUK3!BG168</f>
        <v>49362.628618576811</v>
      </c>
      <c r="AJ168" s="171">
        <f t="shared" si="375"/>
        <v>135659</v>
      </c>
      <c r="AK168" s="561"/>
      <c r="AL168" s="169">
        <f t="shared" si="354"/>
        <v>154579</v>
      </c>
      <c r="AM168" s="169"/>
      <c r="AN168" s="2">
        <v>62504</v>
      </c>
      <c r="AO168" s="1012">
        <v>81424</v>
      </c>
      <c r="AP168" s="2"/>
      <c r="AQ168" s="2"/>
      <c r="AR168" s="2"/>
      <c r="AS168" s="2"/>
      <c r="AT168" s="2"/>
      <c r="AU168" s="2"/>
      <c r="AV168" s="2"/>
      <c r="AW168" s="2"/>
      <c r="AX168" s="2"/>
      <c r="AY168" s="2"/>
      <c r="AZ168" s="2"/>
      <c r="BA168" s="2"/>
      <c r="BB168" s="2"/>
      <c r="BC168" s="2"/>
      <c r="BD168" s="2"/>
      <c r="BE168" s="2"/>
      <c r="BF168" s="2"/>
      <c r="BG168" s="2"/>
      <c r="BH168" s="2"/>
      <c r="BI168" s="273">
        <v>776613</v>
      </c>
      <c r="BJ168" s="2">
        <f t="shared" si="355"/>
        <v>776872</v>
      </c>
      <c r="BK168" s="2"/>
      <c r="BL168" s="2"/>
      <c r="BM168" s="1129">
        <v>73155</v>
      </c>
      <c r="BN168" s="2"/>
      <c r="BO168" s="262">
        <f t="shared" si="343"/>
        <v>4.9841593616856701E-2</v>
      </c>
      <c r="BP168" s="262">
        <f t="shared" si="332"/>
        <v>6.4928675263326185E-2</v>
      </c>
      <c r="BQ168" s="262">
        <f t="shared" si="344"/>
        <v>5.8334855065934214E-2</v>
      </c>
      <c r="BR168" s="262">
        <f t="shared" si="356"/>
        <v>9.419749605015626E-2</v>
      </c>
      <c r="BS168" s="988">
        <f t="shared" si="367"/>
        <v>0.89844517586952255</v>
      </c>
      <c r="BT168" s="519">
        <f t="shared" si="368"/>
        <v>18920</v>
      </c>
      <c r="BU168" s="519"/>
      <c r="BV168" s="113">
        <f t="shared" si="333"/>
        <v>0.12239696207117397</v>
      </c>
      <c r="BW168" s="276">
        <f t="shared" si="357"/>
        <v>1.3573865287278806E-2</v>
      </c>
      <c r="BX168" s="273">
        <v>47375</v>
      </c>
      <c r="BY168" s="2">
        <v>48</v>
      </c>
      <c r="BZ168" s="1012">
        <v>3411</v>
      </c>
      <c r="CA168" s="1005">
        <f t="shared" si="345"/>
        <v>1254053</v>
      </c>
      <c r="CB168" s="2"/>
      <c r="CC168" s="2"/>
      <c r="CD168" s="2"/>
      <c r="CE168" s="2"/>
      <c r="CF168" s="2">
        <v>1393854</v>
      </c>
      <c r="CG168" s="2">
        <v>-8</v>
      </c>
      <c r="CH168" s="2">
        <f t="shared" si="334"/>
        <v>-7</v>
      </c>
      <c r="CI168" s="2">
        <v>159862</v>
      </c>
      <c r="CJ168" s="2"/>
      <c r="CK168" s="2"/>
      <c r="CL168" s="171">
        <f t="shared" si="358"/>
        <v>702983.3713814232</v>
      </c>
      <c r="CM168" s="169">
        <f t="shared" si="359"/>
        <v>800795.3713814232</v>
      </c>
      <c r="CN168" s="170">
        <f t="shared" si="268"/>
        <v>259385.3713814232</v>
      </c>
      <c r="CO168" s="170">
        <f t="shared" si="269"/>
        <v>308748</v>
      </c>
      <c r="CP168" s="170">
        <f t="shared" si="308"/>
        <v>541410</v>
      </c>
      <c r="CQ168" s="170">
        <f t="shared" si="309"/>
        <v>97812</v>
      </c>
      <c r="CR168" s="170">
        <v>4809</v>
      </c>
      <c r="CS168" s="113">
        <f t="shared" si="360"/>
        <v>7.0173726822373925E-2</v>
      </c>
      <c r="CT168" s="170">
        <f t="shared" si="346"/>
        <v>727452</v>
      </c>
      <c r="CU168" s="2">
        <v>242932</v>
      </c>
      <c r="CV168" s="991">
        <v>484520</v>
      </c>
      <c r="CW168" s="2">
        <v>90888</v>
      </c>
      <c r="CX168" s="2">
        <v>21587</v>
      </c>
      <c r="CY168" s="2">
        <v>3313</v>
      </c>
      <c r="CZ168" s="170">
        <f t="shared" si="272"/>
        <v>73343.371381423189</v>
      </c>
      <c r="DA168" s="170">
        <f t="shared" si="273"/>
        <v>122706</v>
      </c>
      <c r="DB168" s="170">
        <f t="shared" si="335"/>
        <v>16453.371381423189</v>
      </c>
      <c r="DC168" s="2">
        <v>65816</v>
      </c>
      <c r="DD168" s="2">
        <v>56890</v>
      </c>
      <c r="DE168" s="2">
        <v>6924</v>
      </c>
      <c r="DF168" s="2">
        <v>2559</v>
      </c>
      <c r="DG168" s="1040">
        <v>0</v>
      </c>
      <c r="DH168" s="171">
        <f t="shared" si="381"/>
        <v>162307</v>
      </c>
      <c r="DI168" s="2">
        <f t="shared" si="320"/>
        <v>176982</v>
      </c>
      <c r="DJ168" s="2">
        <v>162307</v>
      </c>
      <c r="DK168" s="2">
        <v>14675</v>
      </c>
      <c r="DL168" s="113">
        <f t="shared" si="336"/>
        <v>0.12942594930198326</v>
      </c>
      <c r="DM168" s="113">
        <f t="shared" si="361"/>
        <v>0.20892373518417448</v>
      </c>
      <c r="DN168" s="113">
        <f t="shared" si="321"/>
        <v>0.49582250136704253</v>
      </c>
      <c r="DO168" s="2">
        <v>0</v>
      </c>
      <c r="DP168" s="2">
        <v>0</v>
      </c>
      <c r="DQ168" s="273"/>
      <c r="DR168" s="2">
        <v>199649</v>
      </c>
      <c r="DS168" s="2">
        <v>127700</v>
      </c>
      <c r="DT168" s="169">
        <f t="shared" si="326"/>
        <v>327349</v>
      </c>
      <c r="DU168" s="2">
        <v>894105</v>
      </c>
      <c r="DV168" s="2"/>
      <c r="DW168" s="2">
        <v>198035</v>
      </c>
      <c r="DX168" s="2"/>
      <c r="DY168" s="2"/>
      <c r="DZ168" s="2"/>
      <c r="EA168" s="2"/>
      <c r="EB168" s="2"/>
      <c r="EC168" s="2"/>
      <c r="ED168" s="175">
        <v>8177</v>
      </c>
      <c r="EE168" s="2"/>
      <c r="EF168" s="175">
        <f t="shared" si="315"/>
        <v>37173</v>
      </c>
      <c r="EG168" s="2"/>
      <c r="EH168" s="2"/>
      <c r="EI168" s="2">
        <v>395588</v>
      </c>
      <c r="EJ168" s="2">
        <v>421225</v>
      </c>
      <c r="EK168" s="2"/>
      <c r="EL168" s="2"/>
      <c r="EM168" s="2"/>
      <c r="EN168" s="2"/>
      <c r="EO168" s="2"/>
      <c r="EP168" s="2"/>
      <c r="EQ168" s="2"/>
      <c r="ER168" s="2"/>
      <c r="ES168" s="2"/>
      <c r="ET168" s="2">
        <f t="shared" si="337"/>
        <v>1393852</v>
      </c>
      <c r="EU168" s="2">
        <f t="shared" si="338"/>
        <v>1394304</v>
      </c>
      <c r="EV168" s="262">
        <f t="shared" si="292"/>
        <v>1.0003242812005866</v>
      </c>
      <c r="EW168" s="2">
        <v>1393854</v>
      </c>
      <c r="EX168" s="1042">
        <v>0</v>
      </c>
      <c r="EY168" s="273">
        <f t="shared" si="339"/>
        <v>988985</v>
      </c>
      <c r="EZ168" s="2">
        <f t="shared" si="369"/>
        <v>495008</v>
      </c>
      <c r="FA168" s="2">
        <v>38992</v>
      </c>
      <c r="FB168" s="2">
        <v>182278</v>
      </c>
      <c r="FC168" s="2"/>
      <c r="FD168" s="2">
        <v>119346</v>
      </c>
      <c r="FE168" s="1052">
        <v>210805</v>
      </c>
      <c r="FF168" s="273">
        <v>177714</v>
      </c>
      <c r="FG168" s="2">
        <v>17852</v>
      </c>
      <c r="FH168" s="170">
        <f t="shared" si="370"/>
        <v>177719</v>
      </c>
      <c r="FI168" s="2">
        <v>-20316</v>
      </c>
      <c r="FJ168" s="2">
        <f t="shared" si="362"/>
        <v>-20316</v>
      </c>
      <c r="FK168" s="273">
        <f t="shared" si="376"/>
        <v>83788</v>
      </c>
      <c r="FL168" s="2">
        <v>75585</v>
      </c>
      <c r="FM168" s="2"/>
      <c r="FN168" s="2">
        <v>13370</v>
      </c>
      <c r="FO168" s="2">
        <v>5167</v>
      </c>
      <c r="FP168" s="2">
        <v>46052</v>
      </c>
      <c r="FQ168" s="2">
        <v>-348</v>
      </c>
      <c r="FR168" s="2">
        <v>38084</v>
      </c>
      <c r="FS168" s="1052">
        <f t="shared" si="377"/>
        <v>0</v>
      </c>
      <c r="FT168" s="2">
        <f t="shared" si="378"/>
        <v>213011</v>
      </c>
      <c r="FU168" s="2"/>
      <c r="FV168" s="2"/>
      <c r="FW168" s="2">
        <v>147711</v>
      </c>
      <c r="FX168" s="2">
        <v>13128</v>
      </c>
      <c r="FY168" s="2">
        <v>723</v>
      </c>
      <c r="FZ168" s="2">
        <v>108258</v>
      </c>
      <c r="GA168" s="2">
        <v>978</v>
      </c>
      <c r="GB168" s="2">
        <v>50880</v>
      </c>
      <c r="GC168" s="2">
        <f t="shared" si="371"/>
        <v>0</v>
      </c>
      <c r="GD168" s="2">
        <v>44756</v>
      </c>
      <c r="GE168" s="2">
        <v>10120</v>
      </c>
      <c r="GF168" s="2">
        <v>1981</v>
      </c>
      <c r="GG168" s="2">
        <v>6547</v>
      </c>
      <c r="GH168" s="2">
        <v>16</v>
      </c>
      <c r="GI168" s="2">
        <v>46332</v>
      </c>
      <c r="GJ168" s="2">
        <f t="shared" si="372"/>
        <v>0</v>
      </c>
      <c r="GK168" s="273">
        <f t="shared" si="373"/>
        <v>-115813</v>
      </c>
      <c r="GL168" s="2">
        <v>-90330</v>
      </c>
      <c r="GM168" s="2">
        <v>18922</v>
      </c>
      <c r="GN168" s="2">
        <v>44405</v>
      </c>
      <c r="GO168" s="2"/>
      <c r="GP168" s="2">
        <v>37173</v>
      </c>
      <c r="GQ168" s="2">
        <v>37125</v>
      </c>
      <c r="GR168" s="2">
        <v>-1019</v>
      </c>
      <c r="GS168" s="2">
        <v>-151967</v>
      </c>
      <c r="GT168" s="2">
        <f t="shared" si="380"/>
        <v>0</v>
      </c>
      <c r="GU168" s="2">
        <f t="shared" si="364"/>
        <v>-151967</v>
      </c>
      <c r="GV168" s="615">
        <v>30173</v>
      </c>
      <c r="GW168" s="615">
        <v>26240</v>
      </c>
      <c r="GX168" s="615">
        <v>11038</v>
      </c>
      <c r="GY168" s="615">
        <f t="shared" si="363"/>
        <v>19135</v>
      </c>
      <c r="GZ168" s="2">
        <v>-92948</v>
      </c>
      <c r="HA168" s="2">
        <v>-100180</v>
      </c>
      <c r="HB168" s="2">
        <v>7232</v>
      </c>
      <c r="HC168" s="1052">
        <f t="shared" si="374"/>
        <v>0</v>
      </c>
      <c r="HD168" s="170">
        <f t="shared" si="347"/>
        <v>20656</v>
      </c>
      <c r="HE168" s="2">
        <v>169313</v>
      </c>
      <c r="HF168" s="2">
        <v>148657</v>
      </c>
      <c r="HG168" s="170">
        <f t="shared" si="348"/>
        <v>-259</v>
      </c>
      <c r="HH168" s="2">
        <v>1176</v>
      </c>
      <c r="HI168" s="2">
        <v>1435</v>
      </c>
      <c r="HJ168" s="2">
        <f t="shared" si="340"/>
        <v>-786</v>
      </c>
      <c r="HK168" s="2">
        <v>4238</v>
      </c>
      <c r="HL168" s="2">
        <v>-3411</v>
      </c>
      <c r="HM168" s="2">
        <f t="shared" si="247"/>
        <v>41</v>
      </c>
      <c r="HN168" s="2">
        <f t="shared" si="283"/>
        <v>-11026</v>
      </c>
      <c r="HO168" s="2">
        <f t="shared" si="341"/>
        <v>-14290</v>
      </c>
      <c r="HP168" s="2">
        <v>1413417</v>
      </c>
      <c r="HQ168" s="2">
        <v>1399127</v>
      </c>
      <c r="HR168" s="2">
        <v>55540</v>
      </c>
      <c r="HS168" s="1052">
        <v>52276</v>
      </c>
      <c r="HT168" s="1002">
        <v>843</v>
      </c>
      <c r="HU168" s="1002">
        <v>101.7</v>
      </c>
      <c r="HV168" s="1002">
        <v>101.4</v>
      </c>
    </row>
    <row r="169" spans="1:230">
      <c r="A169" s="110">
        <f t="shared" si="349"/>
        <v>2010</v>
      </c>
      <c r="B169" s="176">
        <f t="shared" si="327"/>
        <v>1312300</v>
      </c>
      <c r="C169" s="177">
        <f>HD169+HG169+HJ169</f>
        <v>20895</v>
      </c>
      <c r="D169" s="176">
        <f t="shared" si="342"/>
        <v>1291405</v>
      </c>
      <c r="E169" s="154">
        <f t="shared" si="328"/>
        <v>1455411</v>
      </c>
      <c r="F169" s="995">
        <f t="shared" si="329"/>
        <v>164006</v>
      </c>
      <c r="G169" s="531">
        <f t="shared" si="350"/>
        <v>1317755</v>
      </c>
      <c r="H169" s="531">
        <f t="shared" si="351"/>
        <v>1296860</v>
      </c>
      <c r="I169" s="531">
        <f t="shared" si="352"/>
        <v>1460866</v>
      </c>
      <c r="J169" s="548">
        <f t="shared" si="353"/>
        <v>0.99626591350609839</v>
      </c>
      <c r="K169" s="178">
        <f>L169-M169</f>
        <v>179010</v>
      </c>
      <c r="L169" s="2">
        <v>191829</v>
      </c>
      <c r="M169" s="2">
        <v>12819</v>
      </c>
      <c r="N169" s="2">
        <v>157334</v>
      </c>
      <c r="O169" s="170">
        <f t="shared" si="286"/>
        <v>21676</v>
      </c>
      <c r="P169" s="175">
        <f t="shared" si="365"/>
        <v>-2984</v>
      </c>
      <c r="Q169" s="175">
        <f t="shared" si="366"/>
        <v>24660</v>
      </c>
      <c r="R169" s="175">
        <f t="shared" si="287"/>
        <v>0</v>
      </c>
      <c r="S169" s="532"/>
      <c r="T169" s="1008">
        <f>U169+AI169</f>
        <v>88582.976752795483</v>
      </c>
      <c r="U169" s="1010">
        <v>42516</v>
      </c>
      <c r="V169" s="511">
        <f t="shared" si="288"/>
        <v>118164.97675279548</v>
      </c>
      <c r="W169" s="2">
        <v>72098</v>
      </c>
      <c r="X169" s="169">
        <f>W169-U169</f>
        <v>29582</v>
      </c>
      <c r="Y169" s="113">
        <f>X169/V169</f>
        <v>0.25034490601971165</v>
      </c>
      <c r="Z169" s="113">
        <f t="shared" si="330"/>
        <v>0.4103026436239563</v>
      </c>
      <c r="AA169" s="276">
        <f>X169/DataUK3!D169</f>
        <v>7.7307760254476388E-3</v>
      </c>
      <c r="AB169" s="1019">
        <f t="shared" si="331"/>
        <v>2.0325530039281E-2</v>
      </c>
      <c r="AC169" s="2">
        <v>64753</v>
      </c>
      <c r="AD169" s="2">
        <v>59219</v>
      </c>
      <c r="AE169" s="2">
        <v>5534</v>
      </c>
      <c r="AF169" s="253">
        <f>AC169/DataUK3!$BE169</f>
        <v>4.2278506798852429E-2</v>
      </c>
      <c r="AG169" s="253">
        <f>AD169/DataUK3!$BE169</f>
        <v>3.8665249395722856E-2</v>
      </c>
      <c r="AH169" s="253">
        <f>AE169/DataUK3!$BE169</f>
        <v>3.6132574031295744E-3</v>
      </c>
      <c r="AI169" s="1010">
        <f>AD169*DataUK3!BG169</f>
        <v>46066.976752795475</v>
      </c>
      <c r="AJ169" s="171">
        <f t="shared" si="375"/>
        <v>139555</v>
      </c>
      <c r="AK169" s="561"/>
      <c r="AL169" s="169">
        <f t="shared" si="354"/>
        <v>156689</v>
      </c>
      <c r="AM169" s="169"/>
      <c r="AN169" s="2">
        <v>63913</v>
      </c>
      <c r="AO169" s="1012">
        <v>81047</v>
      </c>
      <c r="AP169" s="2"/>
      <c r="AQ169" s="2"/>
      <c r="AR169" s="2"/>
      <c r="AS169" s="2"/>
      <c r="AT169" s="2"/>
      <c r="AU169" s="2"/>
      <c r="AV169" s="2"/>
      <c r="AW169" s="2"/>
      <c r="AX169" s="2"/>
      <c r="AY169" s="2"/>
      <c r="AZ169" s="2"/>
      <c r="BA169" s="2"/>
      <c r="BB169" s="2"/>
      <c r="BC169" s="2"/>
      <c r="BD169" s="2"/>
      <c r="BE169" s="2"/>
      <c r="BF169" s="2"/>
      <c r="BG169" s="2"/>
      <c r="BH169" s="2"/>
      <c r="BI169" s="273">
        <v>799585</v>
      </c>
      <c r="BJ169" s="2">
        <f t="shared" si="355"/>
        <v>799974</v>
      </c>
      <c r="BK169" s="2"/>
      <c r="BL169" s="2"/>
      <c r="BM169" s="1129">
        <v>75642</v>
      </c>
      <c r="BN169" s="2"/>
      <c r="BO169" s="262">
        <f t="shared" si="343"/>
        <v>4.8703040463308693E-2</v>
      </c>
      <c r="BP169" s="262">
        <f t="shared" si="332"/>
        <v>6.1759506210470168E-2</v>
      </c>
      <c r="BQ169" s="262">
        <f t="shared" si="344"/>
        <v>5.7640783357463997E-2</v>
      </c>
      <c r="BR169" s="262">
        <f t="shared" si="356"/>
        <v>9.4601574566806526E-2</v>
      </c>
      <c r="BS169" s="988">
        <f t="shared" si="367"/>
        <v>0.93331030143003446</v>
      </c>
      <c r="BT169" s="519">
        <f t="shared" si="368"/>
        <v>17134</v>
      </c>
      <c r="BU169" s="519"/>
      <c r="BV169" s="113">
        <f t="shared" si="333"/>
        <v>0.10935036920268813</v>
      </c>
      <c r="BW169" s="276">
        <f t="shared" si="357"/>
        <v>1.177261955557571E-2</v>
      </c>
      <c r="BX169" s="273">
        <v>46716</v>
      </c>
      <c r="BY169" s="2">
        <v>48</v>
      </c>
      <c r="BZ169" s="1012">
        <v>3032</v>
      </c>
      <c r="CA169" s="1005">
        <f t="shared" si="345"/>
        <v>1312300</v>
      </c>
      <c r="CB169" s="2"/>
      <c r="CC169" s="2"/>
      <c r="CD169" s="2"/>
      <c r="CE169" s="2"/>
      <c r="CF169" s="2">
        <v>1458452</v>
      </c>
      <c r="CG169" s="2">
        <v>3041</v>
      </c>
      <c r="CH169" s="2">
        <f t="shared" si="334"/>
        <v>0</v>
      </c>
      <c r="CI169" s="2">
        <v>164006</v>
      </c>
      <c r="CJ169" s="2"/>
      <c r="CK169" s="2"/>
      <c r="CL169" s="171">
        <f t="shared" si="358"/>
        <v>717821.02324720449</v>
      </c>
      <c r="CM169" s="169">
        <f t="shared" si="359"/>
        <v>819611.02324720449</v>
      </c>
      <c r="CN169" s="170">
        <f>CU169+DB169</f>
        <v>261715.02324720452</v>
      </c>
      <c r="CO169" s="170">
        <f>CU169+DC169</f>
        <v>307782</v>
      </c>
      <c r="CP169" s="170">
        <f t="shared" si="308"/>
        <v>557896</v>
      </c>
      <c r="CQ169" s="170">
        <f t="shared" si="309"/>
        <v>101790</v>
      </c>
      <c r="CR169" s="170">
        <v>4968</v>
      </c>
      <c r="CS169" s="113">
        <f t="shared" si="360"/>
        <v>6.9939006919694846E-2</v>
      </c>
      <c r="CT169" s="170">
        <f t="shared" si="346"/>
        <v>753975</v>
      </c>
      <c r="CU169" s="2">
        <v>254884</v>
      </c>
      <c r="CV169" s="991">
        <v>499091</v>
      </c>
      <c r="CW169" s="2">
        <v>94636</v>
      </c>
      <c r="CX169" s="2">
        <v>21994</v>
      </c>
      <c r="CY169" s="2">
        <v>3223</v>
      </c>
      <c r="CZ169" s="170">
        <f>DB169+DD169</f>
        <v>65636.023247204517</v>
      </c>
      <c r="DA169" s="170">
        <f>DC169+DD169</f>
        <v>111703</v>
      </c>
      <c r="DB169" s="170">
        <f t="shared" si="335"/>
        <v>6831.0232472045245</v>
      </c>
      <c r="DC169" s="2">
        <v>52898</v>
      </c>
      <c r="DD169" s="2">
        <v>58805</v>
      </c>
      <c r="DE169" s="2">
        <v>7154</v>
      </c>
      <c r="DF169" s="2">
        <v>5889</v>
      </c>
      <c r="DG169" s="1040">
        <v>0</v>
      </c>
      <c r="DH169" s="171">
        <f t="shared" si="381"/>
        <v>166436</v>
      </c>
      <c r="DI169" s="2">
        <f t="shared" si="320"/>
        <v>181936</v>
      </c>
      <c r="DJ169" s="2">
        <v>166436</v>
      </c>
      <c r="DK169" s="2">
        <v>15500</v>
      </c>
      <c r="DL169" s="113">
        <f t="shared" si="336"/>
        <v>0.12682770707917396</v>
      </c>
      <c r="DM169" s="113">
        <f t="shared" si="361"/>
        <v>0.20805176168225467</v>
      </c>
      <c r="DN169" s="113">
        <f t="shared" si="321"/>
        <v>0.49231661179588659</v>
      </c>
      <c r="DO169" s="2">
        <v>0</v>
      </c>
      <c r="DP169" s="2">
        <v>0</v>
      </c>
      <c r="DQ169" s="273"/>
      <c r="DR169" s="2">
        <v>207349</v>
      </c>
      <c r="DS169" s="2">
        <v>130718</v>
      </c>
      <c r="DT169" s="169">
        <f>DR169+DS169</f>
        <v>338067</v>
      </c>
      <c r="DU169" s="2">
        <v>937906</v>
      </c>
      <c r="DV169" s="2"/>
      <c r="DW169" s="2">
        <v>224577</v>
      </c>
      <c r="DX169" s="2"/>
      <c r="DY169" s="2"/>
      <c r="DZ169" s="2"/>
      <c r="EA169" s="2"/>
      <c r="EB169" s="2"/>
      <c r="EC169" s="2"/>
      <c r="ED169" s="175">
        <v>8078</v>
      </c>
      <c r="EE169" s="2"/>
      <c r="EF169" s="175">
        <f t="shared" si="315"/>
        <v>36488</v>
      </c>
      <c r="EG169" s="2"/>
      <c r="EH169" s="2"/>
      <c r="EI169" s="2">
        <v>436796</v>
      </c>
      <c r="EJ169" s="2">
        <v>476480</v>
      </c>
      <c r="EK169" s="2"/>
      <c r="EL169" s="2"/>
      <c r="EM169" s="2"/>
      <c r="EN169" s="2"/>
      <c r="EO169" s="2"/>
      <c r="EP169" s="2"/>
      <c r="EQ169" s="2"/>
      <c r="ER169" s="2"/>
      <c r="ES169" s="2"/>
      <c r="ET169" s="2">
        <f t="shared" si="337"/>
        <v>1460866</v>
      </c>
      <c r="EU169" s="2">
        <f t="shared" si="338"/>
        <v>1455411</v>
      </c>
      <c r="EV169" s="262">
        <f t="shared" si="292"/>
        <v>0.99626591350609839</v>
      </c>
      <c r="EW169" s="2">
        <v>1458452</v>
      </c>
      <c r="EX169" s="1042">
        <v>-2415</v>
      </c>
      <c r="EY169" s="273">
        <f t="shared" si="339"/>
        <v>1038489</v>
      </c>
      <c r="EZ169" s="2">
        <f t="shared" si="369"/>
        <v>531566</v>
      </c>
      <c r="FA169" s="2">
        <v>45675</v>
      </c>
      <c r="FB169" s="2">
        <v>183142</v>
      </c>
      <c r="FC169" s="2"/>
      <c r="FD169" s="2">
        <v>123739</v>
      </c>
      <c r="FE169" s="1052">
        <v>220722</v>
      </c>
      <c r="FF169" s="273">
        <v>185437</v>
      </c>
      <c r="FG169" s="2">
        <v>21431</v>
      </c>
      <c r="FH169" s="170">
        <f t="shared" si="370"/>
        <v>187851</v>
      </c>
      <c r="FI169" s="2">
        <v>-36726</v>
      </c>
      <c r="FJ169" s="2">
        <f t="shared" si="362"/>
        <v>-36726</v>
      </c>
      <c r="FK169" s="273">
        <f t="shared" si="376"/>
        <v>85946</v>
      </c>
      <c r="FL169" s="2">
        <v>76383</v>
      </c>
      <c r="FM169" s="2"/>
      <c r="FN169" s="2">
        <v>13050</v>
      </c>
      <c r="FO169" s="2">
        <v>3487</v>
      </c>
      <c r="FP169" s="2">
        <v>53537</v>
      </c>
      <c r="FQ169" s="2">
        <v>-348</v>
      </c>
      <c r="FR169" s="2">
        <v>32757</v>
      </c>
      <c r="FS169" s="1052">
        <f t="shared" si="377"/>
        <v>0</v>
      </c>
      <c r="FT169" s="2">
        <f t="shared" si="378"/>
        <v>214643</v>
      </c>
      <c r="FU169" s="2"/>
      <c r="FV169" s="2"/>
      <c r="FW169" s="2">
        <v>178757</v>
      </c>
      <c r="FX169" s="2">
        <v>10689</v>
      </c>
      <c r="FY169" s="2">
        <v>456</v>
      </c>
      <c r="FZ169" s="2">
        <v>126621</v>
      </c>
      <c r="GA169" s="2">
        <v>1154</v>
      </c>
      <c r="GB169" s="2">
        <v>61215</v>
      </c>
      <c r="GC169" s="2">
        <f t="shared" si="371"/>
        <v>0</v>
      </c>
      <c r="GD169" s="2">
        <v>25653</v>
      </c>
      <c r="GE169" s="2">
        <v>67</v>
      </c>
      <c r="GF169" s="2">
        <v>67</v>
      </c>
      <c r="GG169" s="2">
        <v>7931</v>
      </c>
      <c r="GH169" s="2">
        <v>16</v>
      </c>
      <c r="GI169" s="2">
        <v>17706</v>
      </c>
      <c r="GJ169" s="2">
        <f t="shared" si="372"/>
        <v>0</v>
      </c>
      <c r="GK169" s="273">
        <f>GL169+GM169-GN169</f>
        <v>-114542</v>
      </c>
      <c r="GL169" s="2">
        <v>-98397</v>
      </c>
      <c r="GM169" s="2">
        <v>16152</v>
      </c>
      <c r="GN169" s="2">
        <v>32297</v>
      </c>
      <c r="GO169" s="2"/>
      <c r="GP169" s="2">
        <v>36488</v>
      </c>
      <c r="GQ169" s="2">
        <v>36434</v>
      </c>
      <c r="GR169" s="2">
        <v>-879</v>
      </c>
      <c r="GS169" s="2">
        <v>-150151</v>
      </c>
      <c r="GT169" s="2">
        <f t="shared" si="380"/>
        <v>0</v>
      </c>
      <c r="GU169" s="2">
        <f>GK169-GP169-GR169</f>
        <v>-150151</v>
      </c>
      <c r="GV169" s="615">
        <v>45316</v>
      </c>
      <c r="GW169" s="615">
        <v>42969</v>
      </c>
      <c r="GX169" s="615">
        <v>8283</v>
      </c>
      <c r="GY169" s="615">
        <f>GV169-GX169</f>
        <v>37033</v>
      </c>
      <c r="GZ169" s="2">
        <v>-104295</v>
      </c>
      <c r="HA169" s="2">
        <v>-111882</v>
      </c>
      <c r="HB169" s="2">
        <v>7587</v>
      </c>
      <c r="HC169" s="1052">
        <f>GZ169-HA169-HB169</f>
        <v>0</v>
      </c>
      <c r="HD169" s="170">
        <f t="shared" si="347"/>
        <v>23428</v>
      </c>
      <c r="HE169" s="2">
        <v>162366</v>
      </c>
      <c r="HF169" s="2">
        <v>138938</v>
      </c>
      <c r="HG169" s="170">
        <f t="shared" si="348"/>
        <v>-389</v>
      </c>
      <c r="HH169" s="2">
        <v>1097</v>
      </c>
      <c r="HI169" s="2">
        <v>1486</v>
      </c>
      <c r="HJ169" s="2">
        <f t="shared" si="340"/>
        <v>-2144</v>
      </c>
      <c r="HK169" s="2">
        <v>5186</v>
      </c>
      <c r="HL169" s="2">
        <v>-3032</v>
      </c>
      <c r="HM169" s="2">
        <f>HJ169-(-HK169-HL169)</f>
        <v>10</v>
      </c>
      <c r="HN169" s="2">
        <f>HO169+HR169-HS169</f>
        <v>-14286</v>
      </c>
      <c r="HO169" s="2">
        <f t="shared" si="341"/>
        <v>-17937</v>
      </c>
      <c r="HP169" s="2">
        <v>1479337</v>
      </c>
      <c r="HQ169" s="2">
        <v>1461400</v>
      </c>
      <c r="HR169" s="2">
        <v>39958</v>
      </c>
      <c r="HS169" s="1052">
        <v>36307</v>
      </c>
      <c r="HT169" s="1002">
        <v>881.9</v>
      </c>
      <c r="HU169" s="1002">
        <v>104.5</v>
      </c>
      <c r="HV169" s="1002">
        <v>105.3</v>
      </c>
    </row>
    <row r="170" spans="1:230">
      <c r="A170" s="110">
        <f t="shared" si="349"/>
        <v>2011</v>
      </c>
      <c r="B170" s="118"/>
      <c r="E170" s="118"/>
      <c r="F170" s="84"/>
      <c r="K170" s="114"/>
      <c r="L170" s="114"/>
      <c r="M170" s="114"/>
      <c r="N170" s="114"/>
      <c r="O170" s="114"/>
      <c r="P170" s="114"/>
      <c r="Q170" s="114"/>
      <c r="R170" s="114"/>
      <c r="S170" s="532"/>
      <c r="T170" s="1009"/>
      <c r="U170" s="114"/>
      <c r="V170" s="114"/>
      <c r="W170" s="114"/>
      <c r="X170" s="114"/>
      <c r="Y170" s="114"/>
      <c r="Z170" s="114"/>
      <c r="AA170" s="114"/>
      <c r="AB170" s="114"/>
      <c r="AC170" s="114"/>
      <c r="AD170" s="114"/>
      <c r="AE170" s="114"/>
      <c r="AF170" s="114"/>
      <c r="AG170" s="114"/>
      <c r="AH170" s="114"/>
      <c r="AI170" s="2129"/>
      <c r="AJ170" s="114"/>
      <c r="AK170" s="114"/>
      <c r="AL170" s="112"/>
      <c r="AM170" s="112"/>
      <c r="AN170" s="112"/>
      <c r="AO170" s="114"/>
      <c r="AP170" s="114"/>
      <c r="AQ170" s="114"/>
      <c r="AR170" s="1033"/>
      <c r="AS170" s="1033"/>
      <c r="AT170" s="1033"/>
      <c r="AU170" s="1033"/>
      <c r="AV170" s="1033"/>
      <c r="AW170" s="1033"/>
      <c r="AX170" s="1033"/>
      <c r="AY170" s="1033"/>
      <c r="AZ170" s="2"/>
      <c r="BA170" s="2"/>
      <c r="BB170" s="2"/>
      <c r="BC170" s="1033"/>
      <c r="BD170" s="1033"/>
      <c r="BE170" s="1033"/>
      <c r="BF170" s="1033"/>
      <c r="BG170" s="114"/>
      <c r="BH170" s="114"/>
      <c r="BI170" s="173"/>
      <c r="BJ170" s="114"/>
      <c r="BK170" s="114"/>
      <c r="BL170" s="114"/>
      <c r="BM170" s="173"/>
      <c r="BN170" s="1033"/>
      <c r="BO170" s="1033"/>
      <c r="BP170" s="1033"/>
      <c r="BQ170" s="1033"/>
      <c r="BR170" s="1033"/>
      <c r="BS170" s="1041"/>
      <c r="BT170" s="1041"/>
      <c r="BU170" s="1041"/>
      <c r="BV170" s="1033"/>
      <c r="BW170" s="1033"/>
      <c r="BX170" s="173"/>
      <c r="BY170" s="1033"/>
      <c r="BZ170" s="1013"/>
      <c r="CA170" s="1039"/>
      <c r="CB170" s="83"/>
      <c r="CC170" s="83"/>
      <c r="CD170" s="83"/>
      <c r="CE170" s="83"/>
      <c r="CF170" s="83"/>
      <c r="CG170" s="83"/>
      <c r="CH170" s="83"/>
      <c r="CI170" s="83"/>
      <c r="CJ170" s="83"/>
      <c r="CK170" s="83"/>
      <c r="CL170" s="114"/>
      <c r="CM170" s="1033"/>
      <c r="CN170" s="1033"/>
      <c r="CO170" s="1033"/>
      <c r="CP170" s="1033"/>
      <c r="CQ170" s="1033"/>
      <c r="CR170" s="1033"/>
      <c r="CS170" s="1033"/>
      <c r="CT170" s="1033"/>
      <c r="CU170" s="1033"/>
      <c r="CV170" s="1041"/>
      <c r="CW170" s="1033"/>
      <c r="CX170" s="1033"/>
      <c r="CY170" s="1033"/>
      <c r="CZ170" s="1033"/>
      <c r="DA170" s="1033"/>
      <c r="DB170" s="1033"/>
      <c r="DC170" s="1033"/>
      <c r="DD170" s="1033"/>
      <c r="DE170" s="1033"/>
      <c r="DF170" s="1033"/>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75">
        <v>6771</v>
      </c>
      <c r="EE170" s="114"/>
      <c r="EF170" s="114"/>
      <c r="EG170" s="114"/>
      <c r="EH170" s="114"/>
      <c r="EW170" s="2"/>
      <c r="EX170" s="2"/>
      <c r="EY170" s="273"/>
      <c r="EZ170" s="2"/>
      <c r="FA170" s="2"/>
      <c r="FB170" s="2"/>
      <c r="FC170" s="2"/>
      <c r="FD170" s="2"/>
      <c r="FE170" s="1052"/>
      <c r="FF170" s="173"/>
      <c r="FG170" s="1033"/>
      <c r="FH170" s="1033"/>
      <c r="FI170" s="1033"/>
      <c r="FJ170" s="1033"/>
      <c r="FK170" s="173"/>
      <c r="FL170" s="1033"/>
      <c r="FM170" s="1033"/>
      <c r="FN170" s="1033"/>
      <c r="FO170" s="1033"/>
      <c r="FP170" s="1033"/>
      <c r="FQ170" s="1033"/>
      <c r="FR170" s="1033"/>
      <c r="FS170" s="1053"/>
      <c r="FT170" s="114"/>
      <c r="FU170" s="1033"/>
      <c r="FV170" s="1033"/>
      <c r="FW170" s="1033"/>
      <c r="FX170" s="1033"/>
      <c r="FY170" s="1033"/>
      <c r="FZ170" s="1033"/>
      <c r="GA170" s="1033"/>
      <c r="GB170" s="1033"/>
      <c r="GC170" s="1033"/>
      <c r="GD170" s="1033"/>
      <c r="GE170" s="1033"/>
      <c r="GF170" s="1033"/>
      <c r="GG170" s="1033"/>
      <c r="GH170" s="1033"/>
      <c r="GI170" s="1033"/>
      <c r="GJ170" s="1033"/>
      <c r="GK170" s="173"/>
      <c r="GL170" s="114"/>
      <c r="GM170" s="114"/>
      <c r="GN170" s="114"/>
      <c r="GO170" s="114"/>
      <c r="GP170" s="114"/>
      <c r="GQ170" s="114"/>
      <c r="GR170" s="114"/>
      <c r="GS170" s="114"/>
      <c r="GT170" s="114"/>
      <c r="GU170" s="114"/>
      <c r="GV170" s="114"/>
      <c r="GW170" s="615">
        <v>49147</v>
      </c>
      <c r="GX170" s="114"/>
      <c r="GY170" s="114"/>
      <c r="GZ170" s="114"/>
      <c r="HA170" s="114"/>
      <c r="HB170" s="1033"/>
      <c r="HC170" s="1053"/>
      <c r="HD170" s="154"/>
      <c r="HE170" s="170"/>
      <c r="HF170" s="170"/>
      <c r="HG170" s="170"/>
      <c r="HH170" s="971"/>
      <c r="HI170" s="971"/>
      <c r="HJ170" s="971"/>
      <c r="HK170" s="170"/>
      <c r="HL170" s="971"/>
      <c r="HM170" s="971"/>
      <c r="HN170" s="971"/>
      <c r="HO170" s="971"/>
      <c r="HP170" s="971"/>
      <c r="HQ170" s="971"/>
      <c r="HR170" s="971"/>
      <c r="HS170" s="1064"/>
      <c r="HT170" s="286">
        <v>927.8</v>
      </c>
      <c r="HU170" s="286"/>
    </row>
    <row r="171" spans="1:230">
      <c r="B171" s="118"/>
      <c r="C171" s="118"/>
      <c r="K171" s="114"/>
      <c r="L171" s="114"/>
      <c r="M171" s="114"/>
      <c r="N171" s="114"/>
      <c r="O171" s="114"/>
      <c r="P171" s="114"/>
      <c r="Q171" s="114"/>
      <c r="R171" s="114"/>
      <c r="S171" s="532"/>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033"/>
      <c r="AS171" s="1033"/>
      <c r="AT171" s="1033"/>
      <c r="AU171" s="1033"/>
      <c r="AV171" s="1033"/>
      <c r="AW171" s="1033"/>
      <c r="AX171" s="1033"/>
      <c r="AY171" s="1033"/>
      <c r="AZ171" s="2"/>
      <c r="BA171" s="2"/>
      <c r="BB171" s="2"/>
      <c r="BC171" s="1033"/>
      <c r="BD171" s="1033"/>
      <c r="BE171" s="1033"/>
      <c r="BF171" s="1033"/>
      <c r="BG171" s="114"/>
      <c r="BH171" s="114"/>
      <c r="BI171" s="114"/>
      <c r="BJ171" s="114"/>
      <c r="BK171" s="114"/>
      <c r="BL171" s="114"/>
      <c r="BM171" s="173"/>
      <c r="BN171" s="1033"/>
      <c r="BO171" s="1033"/>
      <c r="BP171" s="1033"/>
      <c r="BQ171" s="1033"/>
      <c r="BR171" s="1033"/>
      <c r="BS171" s="1033"/>
      <c r="BT171" s="1033"/>
      <c r="BU171" s="1033"/>
      <c r="BV171" s="1033"/>
      <c r="BW171" s="1033"/>
      <c r="BX171" s="173"/>
      <c r="BY171" s="114"/>
      <c r="CL171" s="114"/>
      <c r="CM171" s="114"/>
      <c r="CN171" s="114"/>
      <c r="CO171" s="114"/>
      <c r="CP171" s="114"/>
      <c r="CQ171" s="114"/>
      <c r="CR171" s="114"/>
      <c r="CS171" s="114"/>
      <c r="CT171" s="114"/>
      <c r="CU171" s="114"/>
      <c r="CV171" s="967"/>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75"/>
      <c r="EE171" s="114"/>
      <c r="EF171" s="114"/>
      <c r="EG171" s="114"/>
      <c r="EH171" s="114"/>
      <c r="EW171" s="2"/>
      <c r="EX171" s="2"/>
      <c r="EY171" s="2"/>
      <c r="EZ171" s="2"/>
      <c r="FA171" s="2"/>
      <c r="FB171" s="2"/>
      <c r="FC171" s="2"/>
      <c r="FD171" s="2"/>
      <c r="FE171" s="2"/>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615"/>
      <c r="GX171" s="114"/>
      <c r="GY171" s="114"/>
      <c r="GZ171" s="114"/>
      <c r="HA171" s="114"/>
      <c r="HB171" s="114"/>
      <c r="HC171" s="114"/>
      <c r="HD171" s="154"/>
      <c r="HE171" s="154"/>
      <c r="HF171" s="154"/>
      <c r="HG171" s="154"/>
      <c r="HH171" s="180"/>
      <c r="HI171" s="180"/>
      <c r="HJ171" s="180"/>
      <c r="HK171" s="154"/>
      <c r="HL171" s="180"/>
      <c r="HM171" s="180"/>
      <c r="HN171" s="180"/>
      <c r="HO171" s="180"/>
      <c r="HP171" s="180"/>
      <c r="HQ171" s="180"/>
      <c r="HR171" s="180"/>
      <c r="HS171" s="180"/>
    </row>
    <row r="172" spans="1:230">
      <c r="B172" s="118"/>
      <c r="K172" s="114"/>
      <c r="L172" s="114"/>
      <c r="M172" s="114"/>
      <c r="N172" s="114"/>
      <c r="O172" s="114"/>
      <c r="P172" s="114"/>
      <c r="Q172" s="114"/>
      <c r="R172" s="114"/>
      <c r="S172" s="532"/>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033"/>
      <c r="AS172" s="1033"/>
      <c r="AT172" s="1033"/>
      <c r="AU172" s="1033"/>
      <c r="AV172" s="1033"/>
      <c r="AW172" s="1033"/>
      <c r="AX172" s="1033"/>
      <c r="AY172" s="1033"/>
      <c r="AZ172" s="1033"/>
      <c r="BA172" s="1033"/>
      <c r="BB172" s="1033"/>
      <c r="BC172" s="1033"/>
      <c r="BD172" s="1033"/>
      <c r="BE172" s="1033"/>
      <c r="BF172" s="1033"/>
      <c r="BG172" s="114"/>
      <c r="BH172" s="114"/>
      <c r="BI172" s="114"/>
      <c r="BJ172" s="114"/>
      <c r="BK172" s="114"/>
      <c r="BL172" s="114"/>
      <c r="BM172" s="173"/>
      <c r="BN172" s="1033"/>
      <c r="BO172" s="1033"/>
      <c r="BP172" s="1033"/>
      <c r="BQ172" s="1033"/>
      <c r="BR172" s="1033"/>
      <c r="BS172" s="1033"/>
      <c r="BT172" s="1033"/>
      <c r="BU172" s="1033"/>
      <c r="BV172" s="1033"/>
      <c r="BW172" s="1033"/>
      <c r="BX172" s="114"/>
      <c r="BY172" s="114"/>
      <c r="CL172" s="114"/>
      <c r="CM172" s="114"/>
      <c r="CN172" s="114"/>
      <c r="CO172" s="114"/>
      <c r="CP172" s="114"/>
      <c r="CQ172" s="114"/>
      <c r="CR172" s="114"/>
      <c r="CS172" s="114"/>
      <c r="CT172" s="114"/>
      <c r="CU172" s="114"/>
      <c r="CV172" s="967"/>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5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54"/>
      <c r="HE172" s="154"/>
      <c r="HF172" s="154"/>
      <c r="HG172" s="154"/>
      <c r="HH172" s="154"/>
      <c r="HI172" s="154"/>
      <c r="HJ172" s="154"/>
      <c r="HK172" s="154"/>
      <c r="HL172" s="154"/>
      <c r="HM172" s="154"/>
      <c r="HN172" s="154"/>
      <c r="HO172" s="154"/>
      <c r="HP172" s="154"/>
      <c r="HQ172" s="154"/>
      <c r="HR172" s="154"/>
      <c r="HS172" s="154"/>
    </row>
    <row r="173" spans="1:230">
      <c r="K173" s="114"/>
      <c r="L173" s="114"/>
      <c r="M173" s="114"/>
      <c r="N173" s="114"/>
      <c r="O173" s="114"/>
      <c r="P173" s="114"/>
      <c r="Q173" s="114"/>
      <c r="R173" s="114"/>
      <c r="S173" s="532"/>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CL173" s="114"/>
      <c r="CM173" s="114"/>
      <c r="CN173" s="114"/>
      <c r="CO173" s="114"/>
      <c r="CP173" s="114"/>
      <c r="CQ173" s="114"/>
      <c r="CR173" s="114"/>
      <c r="CS173" s="114"/>
      <c r="CT173" s="114"/>
      <c r="CU173" s="114"/>
      <c r="CV173" s="967"/>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54"/>
      <c r="HE173" s="154"/>
      <c r="HF173" s="154"/>
      <c r="HG173" s="154"/>
      <c r="HH173" s="154"/>
      <c r="HI173" s="154"/>
      <c r="HJ173" s="154"/>
      <c r="HK173" s="154"/>
      <c r="HL173" s="154"/>
      <c r="HM173" s="154"/>
      <c r="HN173" s="154"/>
      <c r="HO173" s="154"/>
      <c r="HP173" s="154"/>
      <c r="HQ173" s="154"/>
      <c r="HR173" s="154"/>
      <c r="HS173" s="154"/>
    </row>
    <row r="174" spans="1:230">
      <c r="D174" s="119"/>
      <c r="E174" s="119"/>
      <c r="K174" s="114"/>
      <c r="L174" s="114"/>
      <c r="M174" s="114"/>
      <c r="N174" s="114"/>
      <c r="O174" s="114"/>
      <c r="P174" s="114"/>
      <c r="Q174" s="114"/>
      <c r="R174" s="114"/>
      <c r="S174" s="532"/>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CL174" s="114"/>
      <c r="CM174" s="114"/>
      <c r="CN174" s="114"/>
      <c r="CO174" s="114"/>
      <c r="CP174" s="114"/>
      <c r="CQ174" s="114"/>
      <c r="CR174" s="114"/>
      <c r="CS174" s="114"/>
      <c r="CT174" s="114"/>
      <c r="CU174" s="114"/>
      <c r="CV174" s="967"/>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54"/>
      <c r="HE174" s="154"/>
      <c r="HF174" s="154"/>
      <c r="HG174" s="154"/>
      <c r="HH174" s="154"/>
      <c r="HI174" s="154"/>
      <c r="HJ174" s="154"/>
      <c r="HK174" s="154"/>
      <c r="HL174" s="154"/>
      <c r="HM174" s="154"/>
      <c r="HN174" s="154"/>
      <c r="HO174" s="154"/>
      <c r="HP174" s="154"/>
      <c r="HQ174" s="154"/>
      <c r="HR174" s="154"/>
      <c r="HS174" s="154"/>
    </row>
    <row r="175" spans="1:230">
      <c r="K175" s="114"/>
      <c r="L175" s="114"/>
      <c r="M175" s="114"/>
      <c r="N175" s="114"/>
      <c r="O175" s="114"/>
      <c r="P175" s="114"/>
      <c r="Q175" s="114"/>
      <c r="R175" s="114"/>
      <c r="S175" s="532"/>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CL175" s="114"/>
      <c r="CM175" s="114"/>
      <c r="CN175" s="114"/>
      <c r="CO175" s="114"/>
      <c r="CP175" s="114"/>
      <c r="CQ175" s="114"/>
      <c r="CR175" s="114"/>
      <c r="CS175" s="114"/>
      <c r="CT175" s="114"/>
      <c r="CU175" s="114"/>
      <c r="CV175" s="967"/>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54"/>
      <c r="HE175" s="154"/>
      <c r="HF175" s="154"/>
      <c r="HG175" s="154"/>
      <c r="HH175" s="154"/>
      <c r="HI175" s="154"/>
      <c r="HJ175" s="154"/>
      <c r="HK175" s="154"/>
      <c r="HL175" s="154"/>
      <c r="HM175" s="154"/>
      <c r="HN175" s="154"/>
      <c r="HO175" s="154"/>
      <c r="HP175" s="154"/>
      <c r="HQ175" s="154"/>
      <c r="HR175" s="154"/>
      <c r="HS175" s="154"/>
    </row>
    <row r="176" spans="1:230">
      <c r="K176" s="114"/>
      <c r="L176" s="114"/>
      <c r="M176" s="114"/>
      <c r="N176" s="114"/>
      <c r="O176" s="114"/>
      <c r="P176" s="114"/>
      <c r="Q176" s="114"/>
      <c r="R176" s="114"/>
      <c r="S176" s="532"/>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54"/>
      <c r="HE176" s="154"/>
      <c r="HF176" s="154"/>
      <c r="HG176" s="154"/>
      <c r="HH176" s="154"/>
      <c r="HI176" s="154"/>
      <c r="HJ176" s="154"/>
      <c r="HK176" s="154"/>
      <c r="HL176" s="154"/>
      <c r="HM176" s="154"/>
      <c r="HN176" s="154"/>
      <c r="HO176" s="154"/>
      <c r="HP176" s="154"/>
      <c r="HQ176" s="154"/>
      <c r="HR176" s="154"/>
      <c r="HS176" s="154"/>
    </row>
    <row r="177" spans="11:227">
      <c r="K177" s="114"/>
      <c r="L177" s="114"/>
      <c r="M177" s="114"/>
      <c r="N177" s="114"/>
      <c r="O177" s="114"/>
      <c r="P177" s="114"/>
      <c r="Q177" s="114"/>
      <c r="R177" s="114"/>
      <c r="S177" s="532"/>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54"/>
      <c r="HE177" s="154"/>
      <c r="HF177" s="154"/>
      <c r="HG177" s="154"/>
      <c r="HH177" s="154"/>
      <c r="HI177" s="154"/>
      <c r="HJ177" s="154"/>
      <c r="HK177" s="154"/>
      <c r="HL177" s="154"/>
      <c r="HM177" s="154"/>
      <c r="HN177" s="154"/>
      <c r="HO177" s="154"/>
      <c r="HP177" s="154"/>
      <c r="HQ177" s="154"/>
      <c r="HR177" s="154"/>
      <c r="HS177" s="154"/>
    </row>
    <row r="178" spans="11:227">
      <c r="K178" s="114"/>
      <c r="L178" s="114"/>
      <c r="M178" s="114"/>
      <c r="N178" s="114"/>
      <c r="O178" s="114"/>
      <c r="P178" s="114"/>
      <c r="Q178" s="114"/>
      <c r="R178" s="114"/>
      <c r="S178" s="532"/>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54"/>
      <c r="HE178" s="154"/>
      <c r="HF178" s="154"/>
      <c r="HG178" s="154"/>
      <c r="HH178" s="154"/>
      <c r="HI178" s="154"/>
      <c r="HJ178" s="154"/>
      <c r="HK178" s="154"/>
      <c r="HL178" s="154"/>
      <c r="HM178" s="154"/>
      <c r="HN178" s="154"/>
      <c r="HO178" s="154"/>
      <c r="HP178" s="154"/>
      <c r="HQ178" s="154"/>
      <c r="HR178" s="154"/>
      <c r="HS178" s="154"/>
    </row>
    <row r="179" spans="11:227">
      <c r="K179" s="114"/>
      <c r="L179" s="114"/>
      <c r="M179" s="114"/>
      <c r="N179" s="114"/>
      <c r="O179" s="114"/>
      <c r="P179" s="114"/>
      <c r="Q179" s="114"/>
      <c r="R179" s="114"/>
      <c r="S179" s="532"/>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54"/>
      <c r="HE179" s="154"/>
      <c r="HF179" s="154"/>
      <c r="HG179" s="154"/>
      <c r="HH179" s="154"/>
      <c r="HI179" s="154"/>
      <c r="HJ179" s="154"/>
      <c r="HK179" s="154"/>
      <c r="HL179" s="154"/>
      <c r="HM179" s="154"/>
      <c r="HN179" s="154"/>
      <c r="HO179" s="154"/>
      <c r="HP179" s="154"/>
      <c r="HQ179" s="154"/>
      <c r="HR179" s="154"/>
      <c r="HS179" s="154"/>
    </row>
    <row r="180" spans="11:227">
      <c r="K180" s="114"/>
      <c r="L180" s="114"/>
      <c r="M180" s="114"/>
      <c r="N180" s="114"/>
      <c r="O180" s="114"/>
      <c r="P180" s="114"/>
      <c r="Q180" s="114"/>
      <c r="R180" s="114"/>
      <c r="S180" s="532"/>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54"/>
      <c r="HE180" s="154"/>
      <c r="HF180" s="154"/>
      <c r="HG180" s="154"/>
      <c r="HH180" s="154"/>
      <c r="HI180" s="154"/>
      <c r="HJ180" s="154"/>
      <c r="HK180" s="154"/>
      <c r="HL180" s="154"/>
      <c r="HM180" s="154"/>
      <c r="HN180" s="154"/>
      <c r="HO180" s="154"/>
      <c r="HP180" s="154"/>
      <c r="HQ180" s="154"/>
      <c r="HR180" s="154"/>
      <c r="HS180" s="154"/>
    </row>
    <row r="181" spans="11:227">
      <c r="K181" s="114"/>
      <c r="L181" s="114"/>
      <c r="M181" s="114"/>
      <c r="N181" s="114"/>
      <c r="O181" s="114"/>
      <c r="P181" s="114"/>
      <c r="Q181" s="114"/>
      <c r="R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54"/>
      <c r="HE181" s="154"/>
      <c r="HF181" s="154"/>
      <c r="HG181" s="154"/>
      <c r="HH181" s="154"/>
      <c r="HI181" s="154"/>
      <c r="HJ181" s="154"/>
      <c r="HK181" s="154"/>
      <c r="HL181" s="154"/>
      <c r="HM181" s="154"/>
      <c r="HN181" s="154"/>
      <c r="HO181" s="154"/>
      <c r="HP181" s="154"/>
      <c r="HQ181" s="154"/>
      <c r="HR181" s="154"/>
      <c r="HS181" s="154"/>
    </row>
    <row r="182" spans="11:227">
      <c r="K182" s="114"/>
      <c r="L182" s="114"/>
      <c r="M182" s="114"/>
      <c r="N182" s="114"/>
      <c r="O182" s="114"/>
      <c r="P182" s="114"/>
      <c r="Q182" s="114"/>
      <c r="R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54"/>
      <c r="HE182" s="154"/>
      <c r="HF182" s="154"/>
      <c r="HG182" s="154"/>
      <c r="HH182" s="154"/>
      <c r="HI182" s="154"/>
      <c r="HJ182" s="154"/>
      <c r="HK182" s="154"/>
      <c r="HL182" s="154"/>
      <c r="HM182" s="154"/>
      <c r="HN182" s="154"/>
      <c r="HO182" s="154"/>
      <c r="HP182" s="154"/>
      <c r="HQ182" s="154"/>
      <c r="HR182" s="154"/>
      <c r="HS182" s="154"/>
    </row>
    <row r="183" spans="11:227">
      <c r="K183" s="114"/>
      <c r="L183" s="114"/>
      <c r="M183" s="114"/>
      <c r="N183" s="114"/>
      <c r="O183" s="114"/>
      <c r="P183" s="114"/>
      <c r="Q183" s="114"/>
      <c r="R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54"/>
      <c r="HE183" s="154"/>
      <c r="HF183" s="154"/>
      <c r="HG183" s="154"/>
      <c r="HH183" s="154"/>
      <c r="HI183" s="154"/>
      <c r="HJ183" s="154"/>
      <c r="HK183" s="154"/>
      <c r="HL183" s="154"/>
      <c r="HM183" s="154"/>
      <c r="HN183" s="154"/>
      <c r="HO183" s="154"/>
      <c r="HP183" s="154"/>
      <c r="HQ183" s="154"/>
      <c r="HR183" s="154"/>
      <c r="HS183" s="154"/>
    </row>
    <row r="184" spans="11:227">
      <c r="K184" s="114"/>
      <c r="L184" s="114"/>
      <c r="M184" s="114"/>
      <c r="N184" s="114"/>
      <c r="O184" s="114"/>
      <c r="P184" s="114"/>
      <c r="Q184" s="114"/>
      <c r="R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54"/>
      <c r="HE184" s="154"/>
      <c r="HF184" s="154"/>
      <c r="HG184" s="154"/>
      <c r="HH184" s="154"/>
      <c r="HI184" s="154"/>
      <c r="HJ184" s="154"/>
      <c r="HK184" s="154"/>
      <c r="HL184" s="154"/>
      <c r="HM184" s="154"/>
      <c r="HN184" s="154"/>
      <c r="HO184" s="154"/>
      <c r="HP184" s="154"/>
      <c r="HQ184" s="154"/>
      <c r="HR184" s="154"/>
      <c r="HS184" s="154"/>
    </row>
    <row r="185" spans="11:227">
      <c r="K185" s="114"/>
      <c r="L185" s="114"/>
      <c r="M185" s="114"/>
      <c r="N185" s="114"/>
      <c r="O185" s="114"/>
      <c r="P185" s="114"/>
      <c r="Q185" s="114"/>
      <c r="R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54"/>
      <c r="HE185" s="154"/>
      <c r="HF185" s="154"/>
      <c r="HG185" s="154"/>
      <c r="HH185" s="154"/>
      <c r="HI185" s="154"/>
      <c r="HJ185" s="154"/>
      <c r="HK185" s="154"/>
      <c r="HL185" s="154"/>
      <c r="HM185" s="154"/>
      <c r="HN185" s="154"/>
      <c r="HO185" s="154"/>
      <c r="HP185" s="154"/>
      <c r="HQ185" s="154"/>
      <c r="HR185" s="154"/>
      <c r="HS185" s="154"/>
    </row>
    <row r="186" spans="11:227">
      <c r="K186" s="114"/>
      <c r="L186" s="114"/>
      <c r="M186" s="114"/>
      <c r="N186" s="114"/>
      <c r="O186" s="114"/>
      <c r="P186" s="114"/>
      <c r="Q186" s="114"/>
      <c r="R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54"/>
      <c r="HE186" s="154"/>
      <c r="HF186" s="154"/>
      <c r="HG186" s="154"/>
      <c r="HH186" s="154"/>
      <c r="HI186" s="154"/>
      <c r="HJ186" s="154"/>
      <c r="HK186" s="154"/>
      <c r="HL186" s="154"/>
      <c r="HM186" s="154"/>
      <c r="HN186" s="154"/>
      <c r="HO186" s="154"/>
      <c r="HP186" s="154"/>
      <c r="HQ186" s="154"/>
      <c r="HR186" s="154"/>
      <c r="HS186" s="154"/>
    </row>
    <row r="187" spans="11:227">
      <c r="K187" s="114"/>
      <c r="L187" s="114"/>
      <c r="M187" s="114"/>
      <c r="N187" s="114"/>
      <c r="O187" s="114"/>
      <c r="P187" s="114"/>
      <c r="Q187" s="114"/>
      <c r="R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54"/>
      <c r="HE187" s="154"/>
      <c r="HF187" s="154"/>
      <c r="HG187" s="154"/>
      <c r="HH187" s="154"/>
      <c r="HI187" s="154"/>
      <c r="HJ187" s="154"/>
      <c r="HK187" s="154"/>
      <c r="HL187" s="154"/>
      <c r="HM187" s="154"/>
      <c r="HN187" s="154"/>
      <c r="HO187" s="154"/>
      <c r="HP187" s="154"/>
      <c r="HQ187" s="154"/>
      <c r="HR187" s="154"/>
      <c r="HS187" s="154"/>
    </row>
    <row r="188" spans="11:227">
      <c r="K188" s="114"/>
      <c r="L188" s="114"/>
      <c r="M188" s="114"/>
      <c r="N188" s="114"/>
      <c r="O188" s="114"/>
      <c r="P188" s="114"/>
      <c r="Q188" s="114"/>
      <c r="R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54"/>
      <c r="HE188" s="154"/>
      <c r="HF188" s="154"/>
      <c r="HG188" s="154"/>
      <c r="HH188" s="154"/>
      <c r="HI188" s="154"/>
      <c r="HJ188" s="154"/>
      <c r="HK188" s="154"/>
      <c r="HL188" s="154"/>
      <c r="HM188" s="154"/>
      <c r="HN188" s="154"/>
      <c r="HO188" s="154"/>
      <c r="HP188" s="154"/>
      <c r="HQ188" s="154"/>
      <c r="HR188" s="154"/>
      <c r="HS188" s="154"/>
    </row>
    <row r="189" spans="11:227">
      <c r="K189" s="114"/>
      <c r="L189" s="114"/>
      <c r="M189" s="114"/>
      <c r="N189" s="114"/>
      <c r="O189" s="114"/>
      <c r="P189" s="114"/>
      <c r="Q189" s="114"/>
      <c r="R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54"/>
      <c r="HE189" s="154"/>
      <c r="HF189" s="154"/>
      <c r="HG189" s="154"/>
      <c r="HH189" s="154"/>
      <c r="HI189" s="154"/>
      <c r="HJ189" s="154"/>
      <c r="HK189" s="154"/>
      <c r="HL189" s="154"/>
      <c r="HM189" s="154"/>
      <c r="HN189" s="154"/>
      <c r="HO189" s="154"/>
      <c r="HP189" s="154"/>
      <c r="HQ189" s="154"/>
      <c r="HR189" s="154"/>
      <c r="HS189" s="154"/>
    </row>
    <row r="190" spans="11:227">
      <c r="K190" s="114"/>
      <c r="L190" s="114"/>
      <c r="M190" s="114"/>
      <c r="N190" s="114"/>
      <c r="O190" s="114"/>
      <c r="P190" s="114"/>
      <c r="Q190" s="114"/>
      <c r="R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54"/>
      <c r="HE190" s="154"/>
      <c r="HF190" s="154"/>
      <c r="HG190" s="154"/>
      <c r="HH190" s="154"/>
      <c r="HI190" s="154"/>
      <c r="HJ190" s="154"/>
      <c r="HK190" s="154"/>
      <c r="HL190" s="154"/>
      <c r="HM190" s="154"/>
      <c r="HN190" s="154"/>
      <c r="HO190" s="154"/>
      <c r="HP190" s="154"/>
      <c r="HQ190" s="154"/>
      <c r="HR190" s="154"/>
      <c r="HS190" s="154"/>
    </row>
    <row r="191" spans="11:227">
      <c r="K191" s="114"/>
      <c r="L191" s="114"/>
      <c r="M191" s="114"/>
      <c r="N191" s="114"/>
      <c r="O191" s="114"/>
      <c r="P191" s="114"/>
      <c r="Q191" s="114"/>
      <c r="R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54"/>
      <c r="HE191" s="154"/>
      <c r="HF191" s="154"/>
      <c r="HG191" s="154"/>
      <c r="HH191" s="154"/>
      <c r="HI191" s="154"/>
      <c r="HJ191" s="154"/>
      <c r="HK191" s="154"/>
      <c r="HL191" s="154"/>
      <c r="HM191" s="154"/>
      <c r="HN191" s="154"/>
      <c r="HO191" s="154"/>
      <c r="HP191" s="154"/>
      <c r="HQ191" s="154"/>
      <c r="HR191" s="154"/>
      <c r="HS191" s="154"/>
    </row>
    <row r="192" spans="11:227">
      <c r="K192" s="114"/>
      <c r="L192" s="114"/>
      <c r="M192" s="114"/>
      <c r="N192" s="114"/>
      <c r="O192" s="114"/>
      <c r="P192" s="114"/>
      <c r="Q192" s="114"/>
      <c r="R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54"/>
      <c r="HE192" s="154"/>
      <c r="HF192" s="154"/>
      <c r="HG192" s="154"/>
      <c r="HH192" s="154"/>
      <c r="HI192" s="154"/>
      <c r="HJ192" s="154"/>
      <c r="HK192" s="154"/>
      <c r="HL192" s="154"/>
      <c r="HM192" s="154"/>
      <c r="HN192" s="154"/>
      <c r="HO192" s="154"/>
      <c r="HP192" s="154"/>
      <c r="HQ192" s="154"/>
      <c r="HR192" s="154"/>
      <c r="HS192" s="154"/>
    </row>
    <row r="193" spans="11:227">
      <c r="K193" s="114"/>
      <c r="L193" s="114"/>
      <c r="M193" s="114"/>
      <c r="N193" s="114"/>
      <c r="O193" s="114"/>
      <c r="P193" s="114"/>
      <c r="Q193" s="114"/>
      <c r="R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54"/>
      <c r="HE193" s="154"/>
      <c r="HF193" s="154"/>
      <c r="HG193" s="154"/>
      <c r="HH193" s="154"/>
      <c r="HI193" s="154"/>
      <c r="HJ193" s="154"/>
      <c r="HK193" s="154"/>
      <c r="HL193" s="154"/>
      <c r="HM193" s="154"/>
      <c r="HN193" s="154"/>
      <c r="HO193" s="154"/>
      <c r="HP193" s="154"/>
      <c r="HQ193" s="154"/>
      <c r="HR193" s="154"/>
      <c r="HS193" s="154"/>
    </row>
    <row r="194" spans="11:227">
      <c r="K194" s="114"/>
      <c r="L194" s="114"/>
      <c r="M194" s="114"/>
      <c r="N194" s="114"/>
      <c r="O194" s="114"/>
      <c r="P194" s="114"/>
      <c r="Q194" s="114"/>
      <c r="R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54"/>
      <c r="HE194" s="154"/>
      <c r="HF194" s="154"/>
      <c r="HG194" s="154"/>
      <c r="HH194" s="154"/>
      <c r="HI194" s="154"/>
      <c r="HJ194" s="154"/>
      <c r="HK194" s="154"/>
      <c r="HL194" s="154"/>
      <c r="HM194" s="154"/>
      <c r="HN194" s="154"/>
      <c r="HO194" s="154"/>
      <c r="HP194" s="154"/>
      <c r="HQ194" s="154"/>
      <c r="HR194" s="154"/>
      <c r="HS194" s="154"/>
    </row>
    <row r="195" spans="11:227">
      <c r="K195" s="114"/>
      <c r="L195" s="114"/>
      <c r="M195" s="114"/>
      <c r="N195" s="114"/>
      <c r="O195" s="114"/>
      <c r="P195" s="114"/>
      <c r="Q195" s="114"/>
      <c r="R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54"/>
      <c r="HE195" s="154"/>
      <c r="HF195" s="154"/>
      <c r="HG195" s="154"/>
      <c r="HH195" s="154"/>
      <c r="HI195" s="154"/>
      <c r="HJ195" s="154"/>
      <c r="HK195" s="154"/>
      <c r="HL195" s="154"/>
      <c r="HM195" s="154"/>
      <c r="HN195" s="154"/>
      <c r="HO195" s="154"/>
      <c r="HP195" s="154"/>
      <c r="HQ195" s="154"/>
      <c r="HR195" s="154"/>
      <c r="HS195" s="154"/>
    </row>
    <row r="196" spans="11:227">
      <c r="K196" s="114"/>
      <c r="L196" s="114"/>
      <c r="M196" s="114"/>
      <c r="N196" s="114"/>
      <c r="O196" s="114"/>
      <c r="P196" s="114"/>
      <c r="Q196" s="114"/>
      <c r="R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54"/>
      <c r="HE196" s="154"/>
      <c r="HF196" s="154"/>
      <c r="HG196" s="154"/>
      <c r="HH196" s="154"/>
      <c r="HI196" s="154"/>
      <c r="HJ196" s="154"/>
      <c r="HK196" s="154"/>
      <c r="HL196" s="154"/>
      <c r="HM196" s="154"/>
      <c r="HN196" s="154"/>
      <c r="HO196" s="154"/>
      <c r="HP196" s="154"/>
      <c r="HQ196" s="154"/>
      <c r="HR196" s="154"/>
      <c r="HS196" s="154"/>
    </row>
    <row r="197" spans="11:227">
      <c r="K197" s="114"/>
      <c r="L197" s="114"/>
      <c r="M197" s="114"/>
      <c r="N197" s="114"/>
      <c r="O197" s="114"/>
      <c r="P197" s="114"/>
      <c r="Q197" s="114"/>
      <c r="R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54"/>
      <c r="HE197" s="154"/>
      <c r="HF197" s="154"/>
      <c r="HG197" s="154"/>
      <c r="HH197" s="154"/>
      <c r="HI197" s="154"/>
      <c r="HJ197" s="154"/>
      <c r="HK197" s="154"/>
      <c r="HL197" s="154"/>
      <c r="HM197" s="154"/>
      <c r="HN197" s="154"/>
      <c r="HO197" s="154"/>
      <c r="HP197" s="154"/>
      <c r="HQ197" s="154"/>
      <c r="HR197" s="154"/>
      <c r="HS197" s="154"/>
    </row>
    <row r="198" spans="11:227">
      <c r="AZ198" s="114"/>
      <c r="BA198" s="114"/>
      <c r="BB198" s="114"/>
      <c r="HD198" s="154"/>
      <c r="HE198" s="154"/>
      <c r="HF198" s="154"/>
      <c r="HG198" s="154"/>
      <c r="HH198" s="154"/>
      <c r="HI198" s="154"/>
      <c r="HJ198" s="154"/>
      <c r="HK198" s="154"/>
      <c r="HL198" s="154"/>
      <c r="HM198" s="154"/>
      <c r="HN198" s="154"/>
      <c r="HO198" s="154"/>
      <c r="HP198" s="154"/>
      <c r="HQ198" s="154"/>
      <c r="HR198" s="154"/>
      <c r="HS198" s="154"/>
    </row>
    <row r="199" spans="11:227">
      <c r="AZ199" s="114"/>
      <c r="BA199" s="114"/>
      <c r="BB199" s="114"/>
      <c r="HD199" s="154"/>
      <c r="HE199" s="154"/>
      <c r="HF199" s="154"/>
      <c r="HG199" s="154"/>
      <c r="HH199" s="154"/>
      <c r="HI199" s="154"/>
      <c r="HJ199" s="154"/>
      <c r="HK199" s="154"/>
      <c r="HL199" s="154"/>
      <c r="HM199" s="154"/>
      <c r="HN199" s="154"/>
      <c r="HO199" s="154"/>
      <c r="HP199" s="154"/>
      <c r="HQ199" s="154"/>
      <c r="HR199" s="154"/>
      <c r="HS199" s="154"/>
    </row>
    <row r="200" spans="11:227">
      <c r="HD200" s="154"/>
      <c r="HE200" s="154"/>
      <c r="HF200" s="154"/>
      <c r="HG200" s="154"/>
      <c r="HH200" s="154"/>
      <c r="HI200" s="154"/>
      <c r="HJ200" s="154"/>
      <c r="HK200" s="154"/>
      <c r="HL200" s="154"/>
      <c r="HM200" s="154"/>
      <c r="HN200" s="154"/>
      <c r="HO200" s="154"/>
      <c r="HP200" s="154"/>
      <c r="HQ200" s="154"/>
      <c r="HR200" s="154"/>
      <c r="HS200" s="154"/>
    </row>
  </sheetData>
  <mergeCells count="17">
    <mergeCell ref="G6:J6"/>
    <mergeCell ref="B6:F6"/>
    <mergeCell ref="T6:AA6"/>
    <mergeCell ref="AC6:AI6"/>
    <mergeCell ref="AJ6:AO6"/>
    <mergeCell ref="AP6:BH6"/>
    <mergeCell ref="K6:S6"/>
    <mergeCell ref="EY6:FE6"/>
    <mergeCell ref="BI6:BL6"/>
    <mergeCell ref="BM6:BW6"/>
    <mergeCell ref="BX6:BZ7"/>
    <mergeCell ref="CA6:CK6"/>
    <mergeCell ref="CL6:CS6"/>
    <mergeCell ref="CZ6:DG6"/>
    <mergeCell ref="DH6:DP6"/>
    <mergeCell ref="DQ6:EX6"/>
    <mergeCell ref="CT6:CW6"/>
  </mergeCells>
  <phoneticPr fontId="43" type="noConversion"/>
  <pageMargins left="0.75" right="0.75" top="1" bottom="1" header="0.4921259845" footer="0.4921259845"/>
  <pageSetup paperSize="9" orientation="portrait"/>
  <ignoredErrors>
    <ignoredError sqref="V13:V106 GU105:GU145 GU79:GU97 GU98:GU104" emptyCellReference="1"/>
  </ignoredError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enableFormatConditionsCalculation="0"/>
  <dimension ref="A1:AW220"/>
  <sheetViews>
    <sheetView workbookViewId="0">
      <pane xSplit="1" ySplit="12" topLeftCell="B13" activePane="bottomRight" state="frozen"/>
      <selection pane="topRight" activeCell="B1" sqref="B1"/>
      <selection pane="bottomLeft" activeCell="A11" sqref="A11"/>
      <selection pane="bottomRight"/>
    </sheetView>
  </sheetViews>
  <sheetFormatPr baseColWidth="10" defaultColWidth="11.1640625" defaultRowHeight="12" x14ac:dyDescent="0"/>
  <cols>
    <col min="1" max="1" width="10.33203125" style="76" customWidth="1"/>
    <col min="2" max="22" width="11.1640625" style="76"/>
    <col min="23" max="23" width="14.5" style="76" customWidth="1"/>
    <col min="24" max="24" width="12.6640625" style="76" customWidth="1"/>
    <col min="25" max="25" width="11.1640625" style="76"/>
    <col min="26" max="30" width="10.6640625" style="76" customWidth="1"/>
    <col min="31" max="38" width="11.1640625" style="76"/>
    <col min="39" max="39" width="11.1640625" style="77"/>
    <col min="40" max="47" width="11.1640625" style="76"/>
    <col min="48" max="48" width="11.1640625" style="77"/>
    <col min="49" max="16384" width="11.1640625" style="76"/>
  </cols>
  <sheetData>
    <row r="1" spans="1:49">
      <c r="A1" s="75" t="s">
        <v>1165</v>
      </c>
    </row>
    <row r="2" spans="1:49">
      <c r="A2" s="87"/>
    </row>
    <row r="3" spans="1:49">
      <c r="A3" s="87"/>
      <c r="W3" s="440"/>
    </row>
    <row r="4" spans="1:49">
      <c r="A4" s="87"/>
      <c r="W4" s="440"/>
    </row>
    <row r="5" spans="1:49" ht="13" customHeight="1">
      <c r="W5" s="440"/>
    </row>
    <row r="6" spans="1:49" ht="15" customHeight="1">
      <c r="B6" s="304"/>
      <c r="C6" s="285"/>
      <c r="D6" s="285"/>
      <c r="E6" s="304"/>
      <c r="F6" s="304"/>
      <c r="G6" s="285"/>
      <c r="H6" s="285"/>
      <c r="I6" s="285"/>
      <c r="J6" s="285"/>
      <c r="K6" s="285"/>
      <c r="L6" s="285"/>
      <c r="M6" s="285"/>
      <c r="N6" s="285"/>
      <c r="O6" s="77"/>
      <c r="P6" s="77"/>
      <c r="Q6" s="77"/>
      <c r="W6" s="440"/>
    </row>
    <row r="7" spans="1:49" ht="19.75" customHeight="1">
      <c r="B7" s="288" t="s">
        <v>76</v>
      </c>
      <c r="C7" s="91"/>
      <c r="D7" s="91"/>
      <c r="E7" s="91"/>
      <c r="F7" s="168"/>
      <c r="G7" s="1043" t="s">
        <v>545</v>
      </c>
      <c r="H7" s="91"/>
      <c r="I7" s="91"/>
      <c r="J7" s="91"/>
      <c r="K7" s="91"/>
      <c r="L7" s="91"/>
      <c r="M7" s="91"/>
      <c r="N7" s="91"/>
      <c r="O7" s="1133"/>
      <c r="P7" s="1133"/>
      <c r="Q7" s="1133"/>
      <c r="R7" s="1043" t="s">
        <v>546</v>
      </c>
      <c r="S7" s="91"/>
      <c r="T7" s="91"/>
      <c r="U7" s="91"/>
      <c r="V7" s="91"/>
      <c r="W7" s="440"/>
      <c r="X7" s="1133"/>
      <c r="Y7" s="1133"/>
      <c r="Z7" s="1133"/>
      <c r="AA7" s="1133"/>
      <c r="AB7" s="1133"/>
      <c r="AC7" s="1134"/>
      <c r="AD7" s="288" t="s">
        <v>429</v>
      </c>
      <c r="AE7" s="288"/>
      <c r="AF7" s="91"/>
      <c r="AG7" s="91"/>
      <c r="AH7" s="91"/>
      <c r="AI7" s="91"/>
      <c r="AJ7" s="91"/>
      <c r="AK7" s="91"/>
      <c r="AL7" s="77"/>
      <c r="AN7" s="1043" t="s">
        <v>413</v>
      </c>
      <c r="AO7" s="91"/>
      <c r="AP7" s="91"/>
      <c r="AQ7" s="91"/>
      <c r="AR7" s="91"/>
      <c r="AS7" s="91"/>
      <c r="AT7" s="91"/>
      <c r="AU7" s="77"/>
    </row>
    <row r="8" spans="1:49" ht="93" customHeight="1">
      <c r="A8" s="79" t="s">
        <v>871</v>
      </c>
      <c r="B8" s="312" t="s">
        <v>339</v>
      </c>
      <c r="C8" s="312" t="s">
        <v>77</v>
      </c>
      <c r="D8" s="312" t="s">
        <v>650</v>
      </c>
      <c r="E8" s="2053" t="s">
        <v>336</v>
      </c>
      <c r="F8" s="99" t="s">
        <v>540</v>
      </c>
      <c r="G8" s="2054" t="s">
        <v>1470</v>
      </c>
      <c r="H8" s="351" t="s">
        <v>1466</v>
      </c>
      <c r="I8" s="351" t="s">
        <v>1464</v>
      </c>
      <c r="J8" s="351" t="s">
        <v>1465</v>
      </c>
      <c r="K8" s="351" t="s">
        <v>542</v>
      </c>
      <c r="L8" s="351" t="s">
        <v>541</v>
      </c>
      <c r="M8" s="2053" t="s">
        <v>491</v>
      </c>
      <c r="N8" s="351" t="s">
        <v>543</v>
      </c>
      <c r="O8" s="351" t="s">
        <v>544</v>
      </c>
      <c r="P8" s="319" t="s">
        <v>1514</v>
      </c>
      <c r="Q8" s="349" t="s">
        <v>416</v>
      </c>
      <c r="R8" s="2052" t="s">
        <v>337</v>
      </c>
      <c r="S8" s="351" t="s">
        <v>542</v>
      </c>
      <c r="T8" s="351" t="s">
        <v>552</v>
      </c>
      <c r="U8" s="351" t="s">
        <v>541</v>
      </c>
      <c r="V8" s="351" t="s">
        <v>553</v>
      </c>
      <c r="W8" s="543" t="s">
        <v>491</v>
      </c>
      <c r="X8" s="351" t="s">
        <v>543</v>
      </c>
      <c r="Y8" s="351" t="s">
        <v>630</v>
      </c>
      <c r="Z8" s="312" t="s">
        <v>415</v>
      </c>
      <c r="AA8" s="957" t="s">
        <v>1496</v>
      </c>
      <c r="AB8" s="957" t="s">
        <v>1469</v>
      </c>
      <c r="AC8" s="2121" t="s">
        <v>1497</v>
      </c>
      <c r="AD8" s="957" t="s">
        <v>1517</v>
      </c>
      <c r="AE8" s="2135" t="s">
        <v>1516</v>
      </c>
      <c r="AF8" s="351" t="s">
        <v>492</v>
      </c>
      <c r="AG8" s="351" t="s">
        <v>542</v>
      </c>
      <c r="AH8" s="351" t="s">
        <v>541</v>
      </c>
      <c r="AI8" s="351" t="s">
        <v>422</v>
      </c>
      <c r="AJ8" s="351" t="s">
        <v>418</v>
      </c>
      <c r="AK8" s="351" t="s">
        <v>417</v>
      </c>
      <c r="AL8" s="351" t="s">
        <v>544</v>
      </c>
      <c r="AM8" s="351" t="s">
        <v>414</v>
      </c>
      <c r="AN8" s="2122" t="s">
        <v>337</v>
      </c>
      <c r="AO8" s="351" t="s">
        <v>492</v>
      </c>
      <c r="AP8" s="351" t="s">
        <v>542</v>
      </c>
      <c r="AQ8" s="351" t="s">
        <v>541</v>
      </c>
      <c r="AR8" s="351" t="s">
        <v>422</v>
      </c>
      <c r="AS8" s="351" t="s">
        <v>418</v>
      </c>
      <c r="AT8" s="351" t="s">
        <v>417</v>
      </c>
      <c r="AU8" s="351" t="s">
        <v>544</v>
      </c>
      <c r="AV8" s="351" t="s">
        <v>414</v>
      </c>
      <c r="AW8" s="351" t="s">
        <v>1510</v>
      </c>
    </row>
    <row r="9" spans="1:49" ht="25" customHeight="1">
      <c r="A9" s="79" t="s">
        <v>131</v>
      </c>
      <c r="B9" s="999"/>
      <c r="C9" s="1148"/>
      <c r="D9" s="1148"/>
      <c r="E9" s="999"/>
      <c r="F9" s="1109"/>
      <c r="G9" s="1121"/>
      <c r="H9" s="999"/>
      <c r="I9" s="999"/>
      <c r="J9" s="999"/>
      <c r="K9" s="999"/>
      <c r="L9" s="999"/>
      <c r="M9" s="999"/>
      <c r="N9" s="999"/>
      <c r="O9" s="1011"/>
      <c r="P9" s="1011"/>
      <c r="Q9" s="1011"/>
      <c r="R9" s="1121"/>
      <c r="S9" s="1152"/>
      <c r="T9" s="999"/>
      <c r="U9" s="999"/>
      <c r="V9" s="999"/>
      <c r="W9" s="999"/>
      <c r="X9" s="1152"/>
      <c r="Y9" s="999"/>
      <c r="Z9" s="999"/>
      <c r="AA9" s="999"/>
      <c r="AB9" s="999"/>
      <c r="AC9" s="1109"/>
      <c r="AD9" s="996"/>
      <c r="AE9" s="996"/>
      <c r="AF9" s="996"/>
      <c r="AG9" s="996"/>
      <c r="AH9" s="996"/>
      <c r="AI9" s="996"/>
      <c r="AJ9" s="996"/>
      <c r="AK9" s="996"/>
      <c r="AL9" s="996"/>
      <c r="AM9" s="997"/>
      <c r="AN9" s="1121"/>
      <c r="AO9" s="996"/>
      <c r="AP9" s="996"/>
      <c r="AQ9" s="996"/>
      <c r="AR9" s="996"/>
      <c r="AS9" s="996"/>
      <c r="AT9" s="996"/>
      <c r="AU9" s="996"/>
      <c r="AV9" s="997"/>
    </row>
    <row r="10" spans="1:49" ht="25" customHeight="1">
      <c r="A10" s="79" t="s">
        <v>942</v>
      </c>
      <c r="B10" s="104" t="s">
        <v>648</v>
      </c>
      <c r="C10" s="1148" t="s">
        <v>649</v>
      </c>
      <c r="D10" s="1148"/>
      <c r="E10" s="1149" t="s">
        <v>1471</v>
      </c>
      <c r="F10" s="1150"/>
      <c r="G10" s="1153" t="s">
        <v>1473</v>
      </c>
      <c r="H10" s="1149" t="s">
        <v>1467</v>
      </c>
      <c r="I10" s="1149" t="s">
        <v>1467</v>
      </c>
      <c r="J10" s="1149" t="s">
        <v>1467</v>
      </c>
      <c r="K10" s="1149"/>
      <c r="L10" s="1149"/>
      <c r="M10" s="1149" t="s">
        <v>653</v>
      </c>
      <c r="N10" s="1149"/>
      <c r="O10" s="1011"/>
      <c r="P10" s="104" t="s">
        <v>551</v>
      </c>
      <c r="Q10" s="104" t="s">
        <v>550</v>
      </c>
      <c r="R10" s="1121"/>
      <c r="S10" s="999"/>
      <c r="T10" s="999"/>
      <c r="U10" s="999"/>
      <c r="V10" s="1011"/>
      <c r="W10" s="999"/>
      <c r="X10" s="999"/>
      <c r="Y10" s="999"/>
      <c r="Z10" s="999"/>
      <c r="AA10" s="1143" t="s">
        <v>1468</v>
      </c>
      <c r="AB10" s="1143" t="s">
        <v>1468</v>
      </c>
      <c r="AC10" s="1109"/>
      <c r="AD10" s="996"/>
      <c r="AE10" s="996"/>
      <c r="AF10" s="996"/>
      <c r="AG10" s="996"/>
      <c r="AH10" s="996"/>
      <c r="AI10" s="996"/>
      <c r="AJ10" s="996"/>
      <c r="AK10" s="996"/>
      <c r="AL10" s="996"/>
      <c r="AM10" s="997"/>
      <c r="AN10" s="1121"/>
      <c r="AO10" s="996"/>
      <c r="AP10" s="996"/>
      <c r="AQ10" s="996"/>
      <c r="AR10" s="996"/>
      <c r="AS10" s="996"/>
      <c r="AT10" s="996"/>
      <c r="AU10" s="996"/>
      <c r="AV10" s="997"/>
    </row>
    <row r="11" spans="1:49" ht="25" customHeight="1">
      <c r="A11" s="79" t="s">
        <v>130</v>
      </c>
      <c r="B11" s="353" t="s">
        <v>338</v>
      </c>
      <c r="C11" s="999"/>
      <c r="D11" s="999"/>
      <c r="E11" s="999"/>
      <c r="F11" s="1109"/>
      <c r="G11" s="1121"/>
      <c r="H11" s="999"/>
      <c r="I11" s="999"/>
      <c r="J11" s="999"/>
      <c r="K11" s="999"/>
      <c r="L11" s="999"/>
      <c r="M11" s="999"/>
      <c r="N11" s="999"/>
      <c r="O11" s="1011"/>
      <c r="P11" s="1011"/>
      <c r="Q11" s="1011"/>
      <c r="R11" s="1121"/>
      <c r="S11" s="999"/>
      <c r="T11" s="999"/>
      <c r="U11" s="999"/>
      <c r="V11" s="999"/>
      <c r="W11" s="999"/>
      <c r="X11" s="999"/>
      <c r="Y11" s="999"/>
      <c r="Z11" s="999"/>
      <c r="AA11" s="999"/>
      <c r="AB11" s="999"/>
      <c r="AC11" s="1109"/>
      <c r="AD11" s="996"/>
      <c r="AE11" s="996"/>
      <c r="AF11" s="996"/>
      <c r="AG11" s="996"/>
      <c r="AH11" s="996"/>
      <c r="AI11" s="996"/>
      <c r="AJ11" s="996"/>
      <c r="AK11" s="996"/>
      <c r="AL11" s="996"/>
      <c r="AM11" s="997"/>
      <c r="AN11" s="1121"/>
      <c r="AO11" s="996"/>
      <c r="AP11" s="996"/>
      <c r="AQ11" s="996"/>
      <c r="AR11" s="996"/>
      <c r="AS11" s="996"/>
      <c r="AT11" s="996"/>
      <c r="AU11" s="996"/>
      <c r="AV11" s="997"/>
    </row>
    <row r="12" spans="1:49" ht="25" customHeight="1">
      <c r="A12" s="79" t="s">
        <v>261</v>
      </c>
      <c r="B12" s="102"/>
      <c r="C12" s="102"/>
      <c r="D12" s="102"/>
      <c r="E12" s="102" t="s">
        <v>1472</v>
      </c>
      <c r="F12" s="101"/>
      <c r="G12" s="103"/>
      <c r="H12" s="102"/>
      <c r="I12" s="102"/>
      <c r="J12" s="102"/>
      <c r="K12" s="102"/>
      <c r="L12" s="102"/>
      <c r="M12" s="102"/>
      <c r="N12" s="102"/>
      <c r="O12" s="1011"/>
      <c r="P12" s="1539" t="s">
        <v>1474</v>
      </c>
      <c r="Q12" s="1011"/>
      <c r="R12" s="1121"/>
      <c r="S12" s="1154"/>
      <c r="T12" s="999"/>
      <c r="U12" s="999"/>
      <c r="V12" s="999"/>
      <c r="W12" s="999"/>
      <c r="X12" s="2056"/>
      <c r="Y12" s="1143" t="s">
        <v>1476</v>
      </c>
      <c r="Z12" s="999"/>
      <c r="AA12" s="1143" t="s">
        <v>1475</v>
      </c>
      <c r="AB12" s="999"/>
      <c r="AC12" s="1109"/>
      <c r="AD12" s="1279" t="s">
        <v>1515</v>
      </c>
      <c r="AE12" s="996"/>
      <c r="AF12" s="996"/>
      <c r="AG12" s="996"/>
      <c r="AH12" s="996"/>
      <c r="AI12" s="996"/>
      <c r="AJ12" s="996"/>
      <c r="AK12" s="996"/>
      <c r="AL12" s="996"/>
      <c r="AM12" s="997"/>
      <c r="AN12" s="1121"/>
      <c r="AO12" s="996"/>
      <c r="AP12" s="996"/>
      <c r="AQ12" s="996"/>
      <c r="AR12" s="996"/>
      <c r="AS12" s="996"/>
      <c r="AT12" s="996"/>
      <c r="AU12" s="996"/>
      <c r="AV12" s="997"/>
      <c r="AW12" s="1279" t="s">
        <v>1518</v>
      </c>
    </row>
    <row r="13" spans="1:49" ht="12" customHeight="1">
      <c r="A13" s="79">
        <f t="shared" ref="A13:A53" si="0">A14-1</f>
        <v>1855</v>
      </c>
      <c r="B13" s="175">
        <v>27822</v>
      </c>
      <c r="C13" s="386">
        <f t="shared" ref="C13:C18" si="1">C$19</f>
        <v>0.46728326891220318</v>
      </c>
      <c r="D13" s="520"/>
      <c r="E13" s="561">
        <v>11760</v>
      </c>
      <c r="F13" s="522">
        <f t="shared" ref="F13:F44" si="2">E13/((1-C13)*B13)</f>
        <v>0.79345561627485306</v>
      </c>
      <c r="G13" s="103"/>
      <c r="H13" s="102"/>
      <c r="I13" s="102"/>
      <c r="J13" s="102"/>
      <c r="K13" s="102"/>
      <c r="L13" s="102"/>
      <c r="M13" s="102"/>
      <c r="N13" s="102"/>
      <c r="O13" s="1133"/>
      <c r="P13" s="981">
        <f>1824+383+2349+496+91+433+482+438+230+11+1263+1+13+1241+75+1293+12+257+58+106+67+319+167+430+46+260</f>
        <v>12345</v>
      </c>
      <c r="Q13" s="981">
        <f>1824+230+1293+167</f>
        <v>3514</v>
      </c>
      <c r="R13" s="303">
        <f>1-W13</f>
        <v>0.66460510328068045</v>
      </c>
      <c r="S13" s="203">
        <f>Z13-X13</f>
        <v>0.19925475901174566</v>
      </c>
      <c r="T13" s="203">
        <f t="shared" ref="T13:T44" si="3">R13-S13</f>
        <v>0.46535034426893479</v>
      </c>
      <c r="U13" s="203">
        <f>T13-V13</f>
        <v>0.41882798703928714</v>
      </c>
      <c r="V13" s="307">
        <f>0.07*R13</f>
        <v>4.6522357229647635E-2</v>
      </c>
      <c r="W13" s="1372">
        <f t="shared" ref="W13:W67" si="4">X13+Y13</f>
        <v>0.33539489671931955</v>
      </c>
      <c r="X13" s="2055">
        <f>AA13*Z13</f>
        <v>8.539489671931956E-2</v>
      </c>
      <c r="Y13" s="305">
        <v>0.25</v>
      </c>
      <c r="Z13" s="307">
        <f>Q13/P13</f>
        <v>0.28464965573106521</v>
      </c>
      <c r="AA13" s="1373">
        <v>0.3</v>
      </c>
      <c r="AB13" s="307"/>
      <c r="AC13" s="1155">
        <f>Y13/(Y13+U13)</f>
        <v>0.37378818596793401</v>
      </c>
      <c r="AD13" s="177">
        <f>1000*(DataUK1!$AO13+DataUK1!$BI13)/DataUK2!$E13</f>
        <v>47.389541381725508</v>
      </c>
      <c r="AE13" s="176">
        <f>1000*DataUK1!$BI13/(R13*DataUK2!$E13)</f>
        <v>41.966509623393392</v>
      </c>
      <c r="AF13" s="546"/>
      <c r="AG13" s="154">
        <f>1000*(DataUK1!$BK13)/(DataUK2!$S13*DataUK2!$E13)</f>
        <v>26.032376118184484</v>
      </c>
      <c r="AH13" s="546"/>
      <c r="AI13" s="176">
        <f>1000*DataUK1!$AO13/(W13*DataUK2!$E13)</f>
        <v>58.135604059169694</v>
      </c>
      <c r="AJ13" s="154">
        <f>1000*(DataUK1!$AQ13+DataUK1!$AT13)/(DataUK2!$X13*DataUK2!$E13)</f>
        <v>84.640785739452298</v>
      </c>
      <c r="AK13" s="154">
        <f>1000*(DataUK1!$AT13)/(DataUK2!$X13*DataUK2!$E13)</f>
        <v>39.830957995036378</v>
      </c>
      <c r="AL13" s="154">
        <f>1000*(DataUK1!$AU13)/(DataUK2!$Y13*DataUK2!$E13)</f>
        <v>49.081975050711563</v>
      </c>
      <c r="AM13" s="2136">
        <f>1000*(DataUK1!$AQ13+DataUK1!$AT13+DataUK1!$BK13)/(DataUK2!$Z13*DataUK2!$E13)</f>
        <v>43.614899004564833</v>
      </c>
      <c r="AN13" s="303">
        <f>AE13/$AE13</f>
        <v>1</v>
      </c>
      <c r="AO13" s="547"/>
      <c r="AP13" s="306">
        <f>AG13/$AE13</f>
        <v>0.62031311042539639</v>
      </c>
      <c r="AQ13" s="547"/>
      <c r="AR13" s="305">
        <f>AI13/$AE13</f>
        <v>1.3852856618498282</v>
      </c>
      <c r="AS13" s="306">
        <f>AJ13/$AE13</f>
        <v>2.0168650311645404</v>
      </c>
      <c r="AT13" s="306">
        <f>AK13/$AE13</f>
        <v>0.94911295584213673</v>
      </c>
      <c r="AU13" s="306">
        <f>AL13/$AE13</f>
        <v>1.1695510417990969</v>
      </c>
      <c r="AV13" s="2137">
        <f>AM13/$AE13</f>
        <v>1.0392786866471397</v>
      </c>
      <c r="AW13" s="2133">
        <v>0.5</v>
      </c>
    </row>
    <row r="14" spans="1:49" ht="12" customHeight="1">
      <c r="A14" s="79">
        <f t="shared" si="0"/>
        <v>1856</v>
      </c>
      <c r="B14" s="175">
        <v>28011</v>
      </c>
      <c r="C14" s="386">
        <f t="shared" si="1"/>
        <v>0.46728326891220318</v>
      </c>
      <c r="D14" s="520"/>
      <c r="E14" s="561">
        <v>11890</v>
      </c>
      <c r="F14" s="522">
        <f t="shared" si="2"/>
        <v>0.79681390484723225</v>
      </c>
      <c r="G14" s="103"/>
      <c r="H14" s="102"/>
      <c r="I14" s="102"/>
      <c r="J14" s="102"/>
      <c r="K14" s="102"/>
      <c r="L14" s="102"/>
      <c r="M14" s="102"/>
      <c r="N14" s="102"/>
      <c r="O14" s="1133"/>
      <c r="P14" s="977"/>
      <c r="Q14" s="977"/>
      <c r="R14" s="303">
        <f t="shared" ref="R14:R77" si="5">1-W14</f>
        <v>0.66663705722268274</v>
      </c>
      <c r="S14" s="203">
        <f t="shared" ref="S14:S77" si="6">Z14-X14</f>
        <v>0.19352464889111493</v>
      </c>
      <c r="T14" s="203">
        <f t="shared" si="3"/>
        <v>0.47311240833156781</v>
      </c>
      <c r="U14" s="203">
        <f t="shared" ref="U14:U77" si="7">T14-V14</f>
        <v>0.42644490355195652</v>
      </c>
      <c r="V14" s="203">
        <f>V13+(V$19-V$13)/6</f>
        <v>4.6667504779611284E-2</v>
      </c>
      <c r="W14" s="1372">
        <f t="shared" si="4"/>
        <v>0.33336294277731726</v>
      </c>
      <c r="X14" s="2055">
        <f t="shared" ref="X14:X77" si="8">AA14*Z14</f>
        <v>8.3362942777317262E-2</v>
      </c>
      <c r="Y14" s="385">
        <f t="shared" ref="Y14:Z18" si="9">Y13+(Y$19-Y$13)/6</f>
        <v>0.25</v>
      </c>
      <c r="Z14" s="203">
        <f t="shared" si="9"/>
        <v>0.27688759166843219</v>
      </c>
      <c r="AA14" s="62">
        <f>AA13+(AA$69-AA$13)/56</f>
        <v>0.30107142857142855</v>
      </c>
      <c r="AB14" s="203"/>
      <c r="AC14" s="1155">
        <f t="shared" ref="AC14:AC77" si="10">Y14/(Y14+U14)</f>
        <v>0.36957924982104318</v>
      </c>
      <c r="AD14" s="177">
        <f>1000*(DataUK1!$AO14+DataUK1!$BI14)/DataUK2!$E14</f>
        <v>48.540776439700025</v>
      </c>
      <c r="AE14" s="176">
        <f>1000*DataUK1!$BI14/(R14*DataUK2!$E14)</f>
        <v>42.390444552892809</v>
      </c>
      <c r="AF14" s="546"/>
      <c r="AG14" s="154">
        <f>1000*(DataUK1!$BK14)/(DataUK2!$S14*DataUK2!$E14)</f>
        <v>26.075527784393763</v>
      </c>
      <c r="AH14" s="546"/>
      <c r="AI14" s="176">
        <f>1000*DataUK1!$AO14/(W14*DataUK2!$E14)</f>
        <v>60.839801387721224</v>
      </c>
      <c r="AJ14" s="154">
        <f>1000*(DataUK1!$AQ14+DataUK1!$AT14)/(DataUK2!$X14*DataUK2!$E14)</f>
        <v>89.791476883970248</v>
      </c>
      <c r="AK14" s="154">
        <f>1000*(DataUK1!$AT14)/(DataUK2!$X14*DataUK2!$E14)</f>
        <v>42.373505945244389</v>
      </c>
      <c r="AL14" s="154">
        <f>1000*(DataUK1!$AU14)/(DataUK2!$Y14*DataUK2!$E14)</f>
        <v>51.185813916916167</v>
      </c>
      <c r="AM14" s="2136">
        <f>1000*(DataUK1!AQ14+DataUK1!AT14+DataUK1!BK14)/(DataUK2!Z14*DataUK2!E14)</f>
        <v>45.258579602587687</v>
      </c>
      <c r="AN14" s="303">
        <f t="shared" ref="AN14:AN77" si="11">AE14/$AE14</f>
        <v>1</v>
      </c>
      <c r="AO14" s="547"/>
      <c r="AP14" s="306">
        <f t="shared" ref="AP14:AP77" si="12">AG14/$AE14</f>
        <v>0.61512749062723182</v>
      </c>
      <c r="AQ14" s="547"/>
      <c r="AR14" s="305">
        <f t="shared" ref="AR14:AR77" si="13">AI14/$AE14</f>
        <v>1.4352244244999171</v>
      </c>
      <c r="AS14" s="306">
        <f t="shared" ref="AS14:AS77" si="14">AJ14/$AE14</f>
        <v>2.1182008783119191</v>
      </c>
      <c r="AT14" s="306">
        <f t="shared" ref="AT14:AT77" si="15">AK14/$AE14</f>
        <v>0.99960041448427639</v>
      </c>
      <c r="AU14" s="306">
        <f t="shared" ref="AU14:AU77" si="16">AL14/$AE14</f>
        <v>1.2074847163503772</v>
      </c>
      <c r="AV14" s="2137">
        <f t="shared" ref="AV14:AV77" si="17">AM14/$AE14</f>
        <v>1.0676599427051574</v>
      </c>
      <c r="AW14" s="2133">
        <f t="shared" ref="AW14:AW42" si="18">AW13+(AW$43-AW$13)/30</f>
        <v>0.51666666666666672</v>
      </c>
    </row>
    <row r="15" spans="1:49" ht="12" customHeight="1">
      <c r="A15" s="79">
        <f t="shared" si="0"/>
        <v>1857</v>
      </c>
      <c r="B15" s="175">
        <v>28187</v>
      </c>
      <c r="C15" s="386">
        <f t="shared" si="1"/>
        <v>0.46728326891220318</v>
      </c>
      <c r="D15" s="520"/>
      <c r="E15" s="561">
        <v>11910</v>
      </c>
      <c r="F15" s="522">
        <f t="shared" si="2"/>
        <v>0.79317052874385463</v>
      </c>
      <c r="G15" s="103"/>
      <c r="H15" s="102"/>
      <c r="I15" s="102"/>
      <c r="J15" s="102"/>
      <c r="K15" s="102"/>
      <c r="L15" s="102"/>
      <c r="M15" s="102"/>
      <c r="N15" s="102"/>
      <c r="O15" s="1133"/>
      <c r="P15" s="977"/>
      <c r="Q15" s="977"/>
      <c r="R15" s="303">
        <f t="shared" si="5"/>
        <v>0.66868564415910492</v>
      </c>
      <c r="S15" s="203">
        <f t="shared" si="6"/>
        <v>0.18781117176490414</v>
      </c>
      <c r="T15" s="203">
        <f t="shared" si="3"/>
        <v>0.48087447239420078</v>
      </c>
      <c r="U15" s="203">
        <f t="shared" si="7"/>
        <v>0.43406182006462585</v>
      </c>
      <c r="V15" s="203">
        <f>V14+(V$19-V$13)/6</f>
        <v>4.6812652329574933E-2</v>
      </c>
      <c r="W15" s="1372">
        <f t="shared" si="4"/>
        <v>0.33131435584089503</v>
      </c>
      <c r="X15" s="2055">
        <f t="shared" si="8"/>
        <v>8.1314355840895025E-2</v>
      </c>
      <c r="Y15" s="385">
        <f t="shared" si="9"/>
        <v>0.25</v>
      </c>
      <c r="Z15" s="203">
        <f t="shared" si="9"/>
        <v>0.26912552760579916</v>
      </c>
      <c r="AA15" s="62">
        <f t="shared" ref="AA15:AA68" si="19">AA14+(AA$69-AA$13)/56</f>
        <v>0.3021428571428571</v>
      </c>
      <c r="AB15" s="203"/>
      <c r="AC15" s="1155">
        <f t="shared" si="10"/>
        <v>0.36546404530570292</v>
      </c>
      <c r="AD15" s="177">
        <f>1000*(DataUK1!$AO15+DataUK1!$BI15)/DataUK2!$E15</f>
        <v>47.313035762633007</v>
      </c>
      <c r="AE15" s="176">
        <f>1000*DataUK1!$BI15/(R15*DataUK2!$E15)</f>
        <v>40.306145785180938</v>
      </c>
      <c r="AF15" s="546"/>
      <c r="AG15" s="154">
        <f>1000*(DataUK1!$BK15)/(DataUK2!$S15*DataUK2!$E15)</f>
        <v>25.48247881941732</v>
      </c>
      <c r="AH15" s="546"/>
      <c r="AI15" s="176">
        <f>1000*DataUK1!$AO15/(W15*DataUK2!$E15)</f>
        <v>61.454912368712108</v>
      </c>
      <c r="AJ15" s="154">
        <f>1000*(DataUK1!$AQ15+DataUK1!$AT15)/(DataUK2!$X15*DataUK2!$E15)</f>
        <v>101.19221173090835</v>
      </c>
      <c r="AK15" s="154">
        <f>1000*(DataUK1!$AT15)/(DataUK2!$X15*DataUK2!$E15)</f>
        <v>50.596105865454177</v>
      </c>
      <c r="AL15" s="154">
        <f>1000*(DataUK1!$AU15)/(DataUK2!$Y15*DataUK2!$E15)</f>
        <v>48.530060766736931</v>
      </c>
      <c r="AM15" s="2136">
        <f>1000*(DataUK1!AQ15+DataUK1!AT15+DataUK1!BK15)/(DataUK2!Z15*DataUK2!E15)</f>
        <v>48.357633834817825</v>
      </c>
      <c r="AN15" s="303">
        <f t="shared" si="11"/>
        <v>1</v>
      </c>
      <c r="AO15" s="547"/>
      <c r="AP15" s="306">
        <f t="shared" si="12"/>
        <v>0.63222315909913362</v>
      </c>
      <c r="AQ15" s="547"/>
      <c r="AR15" s="305">
        <f t="shared" si="13"/>
        <v>1.5247032722068599</v>
      </c>
      <c r="AS15" s="306">
        <f t="shared" si="14"/>
        <v>2.5105901286178782</v>
      </c>
      <c r="AT15" s="306">
        <f t="shared" si="15"/>
        <v>1.2552950643089391</v>
      </c>
      <c r="AU15" s="306">
        <f t="shared" si="16"/>
        <v>1.2040362535625924</v>
      </c>
      <c r="AV15" s="2137">
        <f t="shared" si="17"/>
        <v>1.1997583220322972</v>
      </c>
      <c r="AW15" s="2133">
        <f t="shared" si="18"/>
        <v>0.53333333333333344</v>
      </c>
    </row>
    <row r="16" spans="1:49" ht="12" customHeight="1">
      <c r="A16" s="79">
        <f t="shared" si="0"/>
        <v>1858</v>
      </c>
      <c r="B16" s="175">
        <v>28390</v>
      </c>
      <c r="C16" s="386">
        <f t="shared" si="1"/>
        <v>0.46728326891220318</v>
      </c>
      <c r="D16" s="520"/>
      <c r="E16" s="561">
        <v>11610</v>
      </c>
      <c r="F16" s="522">
        <f t="shared" si="2"/>
        <v>0.76766279035910168</v>
      </c>
      <c r="G16" s="103"/>
      <c r="H16" s="102"/>
      <c r="I16" s="102"/>
      <c r="J16" s="102"/>
      <c r="K16" s="102"/>
      <c r="L16" s="102"/>
      <c r="M16" s="102"/>
      <c r="N16" s="102"/>
      <c r="O16" s="1133"/>
      <c r="P16" s="977"/>
      <c r="Q16" s="977"/>
      <c r="R16" s="303">
        <f t="shared" si="5"/>
        <v>0.67075086408994711</v>
      </c>
      <c r="S16" s="203">
        <f t="shared" si="6"/>
        <v>0.18211432763311328</v>
      </c>
      <c r="T16" s="203">
        <f t="shared" si="3"/>
        <v>0.4886365364568338</v>
      </c>
      <c r="U16" s="203">
        <f t="shared" si="7"/>
        <v>0.44167873657729523</v>
      </c>
      <c r="V16" s="203">
        <f>V15+(V$19-V$13)/6</f>
        <v>4.6957799879538582E-2</v>
      </c>
      <c r="W16" s="1372">
        <f t="shared" si="4"/>
        <v>0.32924913591005289</v>
      </c>
      <c r="X16" s="2055">
        <f t="shared" si="8"/>
        <v>7.9249135910052865E-2</v>
      </c>
      <c r="Y16" s="385">
        <f t="shared" si="9"/>
        <v>0.25</v>
      </c>
      <c r="Z16" s="203">
        <f t="shared" si="9"/>
        <v>0.26136346354316614</v>
      </c>
      <c r="AA16" s="62">
        <f t="shared" si="19"/>
        <v>0.30321428571428566</v>
      </c>
      <c r="AB16" s="203"/>
      <c r="AC16" s="1155">
        <f t="shared" si="10"/>
        <v>0.3614394758426443</v>
      </c>
      <c r="AD16" s="177">
        <f>1000*(DataUK1!$AO16+DataUK1!$BI16)/DataUK2!$E16</f>
        <v>46.603611535474116</v>
      </c>
      <c r="AE16" s="176">
        <f>1000*DataUK1!$BI16/(R16*DataUK2!$E16)</f>
        <v>39.550980633956641</v>
      </c>
      <c r="AF16" s="546"/>
      <c r="AG16" s="154">
        <f>1000*(DataUK1!$BK16)/(DataUK2!$S16*DataUK2!$E16)</f>
        <v>26.485714451634415</v>
      </c>
      <c r="AH16" s="546"/>
      <c r="AI16" s="176">
        <f>1000*DataUK1!$AO16/(W16*DataUK2!$E16)</f>
        <v>60.971328122565282</v>
      </c>
      <c r="AJ16" s="154">
        <f>1000*(DataUK1!$AQ16+DataUK1!$AT16)/(DataUK2!$X16*DataUK2!$E16)</f>
        <v>97.817318706093047</v>
      </c>
      <c r="AK16" s="154">
        <f>1000*(DataUK1!$AT16)/(DataUK2!$X16*DataUK2!$E16)</f>
        <v>44.56122296610905</v>
      </c>
      <c r="AL16" s="154">
        <f>1000*(DataUK1!$AU16)/(DataUK2!$Y16*DataUK2!$E16)</f>
        <v>49.291276460587213</v>
      </c>
      <c r="AM16" s="2136">
        <f>1000*(DataUK1!AQ16+DataUK1!AT16+DataUK1!BK16)/(DataUK2!Z16*DataUK2!E16)</f>
        <v>48.114475884504188</v>
      </c>
      <c r="AN16" s="303">
        <f t="shared" si="11"/>
        <v>1</v>
      </c>
      <c r="AO16" s="547"/>
      <c r="AP16" s="306">
        <f t="shared" si="12"/>
        <v>0.66966012035855838</v>
      </c>
      <c r="AQ16" s="547"/>
      <c r="AR16" s="305">
        <f t="shared" si="13"/>
        <v>1.5415882778445731</v>
      </c>
      <c r="AS16" s="306">
        <f t="shared" si="14"/>
        <v>2.4731957877704711</v>
      </c>
      <c r="AT16" s="306">
        <f t="shared" si="15"/>
        <v>1.1266780810954369</v>
      </c>
      <c r="AU16" s="306">
        <f t="shared" si="16"/>
        <v>1.2462719171687997</v>
      </c>
      <c r="AV16" s="2137">
        <f t="shared" si="17"/>
        <v>1.216517899513099</v>
      </c>
      <c r="AW16" s="2133">
        <f t="shared" si="18"/>
        <v>0.55000000000000016</v>
      </c>
    </row>
    <row r="17" spans="1:49" ht="12" customHeight="1">
      <c r="A17" s="79">
        <f t="shared" si="0"/>
        <v>1859</v>
      </c>
      <c r="B17" s="175">
        <v>28591</v>
      </c>
      <c r="C17" s="386">
        <f t="shared" si="1"/>
        <v>0.46728326891220318</v>
      </c>
      <c r="D17" s="520"/>
      <c r="E17" s="561">
        <v>12280</v>
      </c>
      <c r="F17" s="522">
        <f t="shared" si="2"/>
        <v>0.80625548902474198</v>
      </c>
      <c r="G17" s="103"/>
      <c r="H17" s="102"/>
      <c r="I17" s="102"/>
      <c r="J17" s="102"/>
      <c r="K17" s="102"/>
      <c r="L17" s="102"/>
      <c r="M17" s="102"/>
      <c r="N17" s="102"/>
      <c r="O17" s="1133"/>
      <c r="P17" s="977"/>
      <c r="Q17" s="977"/>
      <c r="R17" s="303">
        <f t="shared" si="5"/>
        <v>0.67283271701520919</v>
      </c>
      <c r="S17" s="203">
        <f t="shared" si="6"/>
        <v>0.17643411649574234</v>
      </c>
      <c r="T17" s="203">
        <f t="shared" si="3"/>
        <v>0.49639860051946683</v>
      </c>
      <c r="U17" s="203">
        <f t="shared" si="7"/>
        <v>0.44929565308996461</v>
      </c>
      <c r="V17" s="203">
        <f>V16+(V$19-V$13)/6</f>
        <v>4.7102947429502232E-2</v>
      </c>
      <c r="W17" s="1372">
        <f t="shared" si="4"/>
        <v>0.32716728298479081</v>
      </c>
      <c r="X17" s="2055">
        <f t="shared" si="8"/>
        <v>7.716728298479078E-2</v>
      </c>
      <c r="Y17" s="385">
        <f t="shared" si="9"/>
        <v>0.25</v>
      </c>
      <c r="Z17" s="203">
        <f t="shared" si="9"/>
        <v>0.25360139948053312</v>
      </c>
      <c r="AA17" s="62">
        <f t="shared" si="19"/>
        <v>0.30428571428571421</v>
      </c>
      <c r="AB17" s="203"/>
      <c r="AC17" s="1155">
        <f t="shared" si="10"/>
        <v>0.35750257976769867</v>
      </c>
      <c r="AD17" s="177">
        <f>1000*(DataUK1!$AO17+DataUK1!$BI17)/DataUK2!$E17</f>
        <v>46.697978201320552</v>
      </c>
      <c r="AE17" s="176">
        <f>1000*DataUK1!$BI17/(R17*DataUK2!$E17)</f>
        <v>40.787250751438521</v>
      </c>
      <c r="AF17" s="546"/>
      <c r="AG17" s="154">
        <f>1000*(DataUK1!$BK17)/(DataUK2!$S17*DataUK2!$E17)</f>
        <v>26.308368830622001</v>
      </c>
      <c r="AH17" s="546"/>
      <c r="AI17" s="176">
        <f>1000*DataUK1!$AO17/(W17*DataUK2!$E17)</f>
        <v>58.85362767017466</v>
      </c>
      <c r="AJ17" s="154">
        <f>1000*(DataUK1!$AQ17+DataUK1!$AT17)/(DataUK2!$X17*DataUK2!$E17)</f>
        <v>90.754229747476387</v>
      </c>
      <c r="AK17" s="154">
        <f>1000*(DataUK1!$AT17)/(DataUK2!$X17*DataUK2!$E17)</f>
        <v>39.04542442623984</v>
      </c>
      <c r="AL17" s="154">
        <f>1000*(DataUK1!$AU17)/(DataUK2!$Y17*DataUK2!$E17)</f>
        <v>49.006896518637269</v>
      </c>
      <c r="AM17" s="2136">
        <f>1000*(DataUK1!AQ17+DataUK1!AT17+DataUK1!BK17)/(DataUK2!Z17*DataUK2!E17)</f>
        <v>45.918323652464828</v>
      </c>
      <c r="AN17" s="303">
        <f t="shared" si="11"/>
        <v>1</v>
      </c>
      <c r="AO17" s="547"/>
      <c r="AP17" s="306">
        <f t="shared" si="12"/>
        <v>0.64501451669169285</v>
      </c>
      <c r="AQ17" s="547"/>
      <c r="AR17" s="305">
        <f t="shared" si="13"/>
        <v>1.442941766995633</v>
      </c>
      <c r="AS17" s="306">
        <f t="shared" si="14"/>
        <v>2.2250636675793989</v>
      </c>
      <c r="AT17" s="306">
        <f t="shared" si="15"/>
        <v>0.95729483372602042</v>
      </c>
      <c r="AU17" s="306">
        <f t="shared" si="16"/>
        <v>1.2015248788718336</v>
      </c>
      <c r="AV17" s="2137">
        <f t="shared" si="17"/>
        <v>1.1258009011760945</v>
      </c>
      <c r="AW17" s="2133">
        <f t="shared" si="18"/>
        <v>0.56666666666666687</v>
      </c>
    </row>
    <row r="18" spans="1:49" ht="12" customHeight="1">
      <c r="A18" s="79">
        <f t="shared" si="0"/>
        <v>1860</v>
      </c>
      <c r="B18" s="175">
        <v>28778</v>
      </c>
      <c r="C18" s="386">
        <f t="shared" si="1"/>
        <v>0.46728326891220318</v>
      </c>
      <c r="D18" s="520"/>
      <c r="E18" s="561">
        <v>12450</v>
      </c>
      <c r="F18" s="522">
        <f t="shared" si="2"/>
        <v>0.81210541488073096</v>
      </c>
      <c r="G18" s="103"/>
      <c r="H18" s="102"/>
      <c r="I18" s="102"/>
      <c r="J18" s="102"/>
      <c r="K18" s="102"/>
      <c r="L18" s="102"/>
      <c r="M18" s="102"/>
      <c r="N18" s="102"/>
      <c r="O18" s="1133"/>
      <c r="P18" s="977"/>
      <c r="Q18" s="977"/>
      <c r="R18" s="303">
        <f t="shared" si="5"/>
        <v>0.67493120293489128</v>
      </c>
      <c r="S18" s="203">
        <f t="shared" si="6"/>
        <v>0.17077053835279132</v>
      </c>
      <c r="T18" s="203">
        <f t="shared" si="3"/>
        <v>0.50416066458209996</v>
      </c>
      <c r="U18" s="203">
        <f t="shared" si="7"/>
        <v>0.4569125696026341</v>
      </c>
      <c r="V18" s="203">
        <f>V17+(V$19-V$13)/6</f>
        <v>4.7248094979465881E-2</v>
      </c>
      <c r="W18" s="1372">
        <f t="shared" si="4"/>
        <v>0.32506879706510877</v>
      </c>
      <c r="X18" s="2055">
        <f t="shared" si="8"/>
        <v>7.5068797065108758E-2</v>
      </c>
      <c r="Y18" s="385">
        <f t="shared" si="9"/>
        <v>0.25</v>
      </c>
      <c r="Z18" s="203">
        <f t="shared" si="9"/>
        <v>0.2458393354179001</v>
      </c>
      <c r="AA18" s="62">
        <f t="shared" si="19"/>
        <v>0.30535714285714277</v>
      </c>
      <c r="AB18" s="203"/>
      <c r="AC18" s="1155">
        <f t="shared" si="10"/>
        <v>0.35365052306330985</v>
      </c>
      <c r="AD18" s="177">
        <f>1000*(DataUK1!$AO18+DataUK1!$BI18)/DataUK2!$E18</f>
        <v>47.664287130913614</v>
      </c>
      <c r="AE18" s="176">
        <f>1000*DataUK1!$BI18/(R18*DataUK2!$E18)</f>
        <v>41.652319046669881</v>
      </c>
      <c r="AF18" s="546"/>
      <c r="AG18" s="154">
        <f>1000*(DataUK1!$BK18)/(DataUK2!$S18*DataUK2!$E18)</f>
        <v>26.339390923387363</v>
      </c>
      <c r="AH18" s="546"/>
      <c r="AI18" s="176">
        <f>1000*DataUK1!$AO18/(W18*DataUK2!$E18)</f>
        <v>60.146767417362248</v>
      </c>
      <c r="AJ18" s="154">
        <f>1000*(DataUK1!$AQ18+DataUK1!$AT18)/(DataUK2!$X18*DataUK2!$E18)</f>
        <v>92.017333328216495</v>
      </c>
      <c r="AK18" s="154">
        <f>1000*(DataUK1!$AT18)/(DataUK2!$X18*DataUK2!$E18)</f>
        <v>39.588852710976866</v>
      </c>
      <c r="AL18" s="154">
        <f>1000*(DataUK1!$AU18)/(DataUK2!$Y18*DataUK2!$E18)</f>
        <v>50.576827238513893</v>
      </c>
      <c r="AM18" s="2136">
        <f>1000*(DataUK1!AQ18+DataUK1!AT18+DataUK1!BK18)/(DataUK2!Z18*DataUK2!E18)</f>
        <v>46.394619764861972</v>
      </c>
      <c r="AN18" s="303">
        <f t="shared" si="11"/>
        <v>1</v>
      </c>
      <c r="AO18" s="547"/>
      <c r="AP18" s="306">
        <f t="shared" si="12"/>
        <v>0.6323631319032933</v>
      </c>
      <c r="AQ18" s="547"/>
      <c r="AR18" s="305">
        <f t="shared" si="13"/>
        <v>1.4440196559036731</v>
      </c>
      <c r="AS18" s="306">
        <f t="shared" si="14"/>
        <v>2.2091767141492045</v>
      </c>
      <c r="AT18" s="306">
        <f t="shared" si="15"/>
        <v>0.9504597491107043</v>
      </c>
      <c r="AU18" s="306">
        <f t="shared" si="16"/>
        <v>1.2142619761901956</v>
      </c>
      <c r="AV18" s="2137">
        <f t="shared" si="17"/>
        <v>1.1138544221962412</v>
      </c>
      <c r="AW18" s="2133">
        <f t="shared" si="18"/>
        <v>0.58333333333333359</v>
      </c>
    </row>
    <row r="19" spans="1:49" ht="12" customHeight="1">
      <c r="A19" s="79">
        <f t="shared" si="0"/>
        <v>1861</v>
      </c>
      <c r="B19" s="175">
        <v>28976</v>
      </c>
      <c r="C19" s="386">
        <f>(4/3)*D19/B19</f>
        <v>0.46728326891220318</v>
      </c>
      <c r="D19" s="175">
        <v>10155</v>
      </c>
      <c r="E19" s="561">
        <v>12320</v>
      </c>
      <c r="F19" s="522">
        <f t="shared" si="2"/>
        <v>0.79813423166623476</v>
      </c>
      <c r="G19" s="103"/>
      <c r="H19" s="102"/>
      <c r="I19" s="102"/>
      <c r="J19" s="102"/>
      <c r="K19" s="102"/>
      <c r="L19" s="102"/>
      <c r="M19" s="102"/>
      <c r="N19" s="102"/>
      <c r="O19" s="1133"/>
      <c r="P19" s="352">
        <f>1818+457+2609+593+130+579+564+511+164+6+1456+1+2+11+1537+80+1072+10+231+66+117+76+346+101+335+46+334</f>
        <v>13252</v>
      </c>
      <c r="Q19" s="352">
        <f>1818+164+1072+101</f>
        <v>3155</v>
      </c>
      <c r="R19" s="303">
        <f t="shared" si="5"/>
        <v>0.67704632184899316</v>
      </c>
      <c r="S19" s="203">
        <f t="shared" si="6"/>
        <v>0.16512359320426029</v>
      </c>
      <c r="T19" s="203">
        <f t="shared" si="3"/>
        <v>0.51192272864473287</v>
      </c>
      <c r="U19" s="203">
        <f t="shared" si="7"/>
        <v>0.46452948611530337</v>
      </c>
      <c r="V19" s="307">
        <f>0.07*R19</f>
        <v>4.7393242529429523E-2</v>
      </c>
      <c r="W19" s="1372">
        <f t="shared" si="4"/>
        <v>0.32295367815100684</v>
      </c>
      <c r="X19" s="2055">
        <f t="shared" si="8"/>
        <v>7.2953678151006826E-2</v>
      </c>
      <c r="Y19" s="305">
        <v>0.25</v>
      </c>
      <c r="Z19" s="307">
        <f>Q19/P19</f>
        <v>0.23807727135526713</v>
      </c>
      <c r="AA19" s="62">
        <f t="shared" si="19"/>
        <v>0.30642857142857133</v>
      </c>
      <c r="AB19" s="307"/>
      <c r="AC19" s="1155">
        <f t="shared" si="10"/>
        <v>0.34988059255494125</v>
      </c>
      <c r="AD19" s="177">
        <f>1000*(DataUK1!$AO19+DataUK1!$BI19)/DataUK2!$E19</f>
        <v>49.524929176853121</v>
      </c>
      <c r="AE19" s="176">
        <f>1000*DataUK1!$BI19/(R19*DataUK2!$E19)</f>
        <v>41.9603356407085</v>
      </c>
      <c r="AF19" s="546"/>
      <c r="AG19" s="154">
        <f>1000*(DataUK1!$BK19)/(DataUK2!$S19*DataUK2!$E19)</f>
        <v>27.527589832857817</v>
      </c>
      <c r="AH19" s="546"/>
      <c r="AI19" s="176">
        <f>1000*DataUK1!$AO19/(W19*DataUK2!$E19)</f>
        <v>65.383489015068164</v>
      </c>
      <c r="AJ19" s="154">
        <f>1000*(DataUK1!$AQ19+DataUK1!$AT19)/(DataUK2!$X19*DataUK2!$E19)</f>
        <v>109.03556415730458</v>
      </c>
      <c r="AK19" s="154">
        <f>1000*(DataUK1!$AT19)/(DataUK2!$X19*DataUK2!$E19)</f>
        <v>53.405174281128772</v>
      </c>
      <c r="AL19" s="154">
        <f>1000*(DataUK1!$AU19)/(DataUK2!$Y19*DataUK2!$E19)</f>
        <v>52.645171252867051</v>
      </c>
      <c r="AM19" s="2136">
        <f>1000*(DataUK1!AQ19+DataUK1!AT19+DataUK1!BK19)/(DataUK2!Z19*DataUK2!E19)</f>
        <v>52.503961965134707</v>
      </c>
      <c r="AN19" s="303">
        <f t="shared" si="11"/>
        <v>1</v>
      </c>
      <c r="AO19" s="547"/>
      <c r="AP19" s="306">
        <f t="shared" si="12"/>
        <v>0.65603836128878534</v>
      </c>
      <c r="AQ19" s="547"/>
      <c r="AR19" s="305">
        <f t="shared" si="13"/>
        <v>1.5582213063051695</v>
      </c>
      <c r="AS19" s="306">
        <f t="shared" si="14"/>
        <v>2.5985388937528411</v>
      </c>
      <c r="AT19" s="306">
        <f t="shared" si="15"/>
        <v>1.2727537438789427</v>
      </c>
      <c r="AU19" s="306">
        <f t="shared" si="16"/>
        <v>1.2546413285072124</v>
      </c>
      <c r="AV19" s="2137">
        <f t="shared" si="17"/>
        <v>1.2512760244509851</v>
      </c>
      <c r="AW19" s="2133">
        <f t="shared" si="18"/>
        <v>0.60000000000000031</v>
      </c>
    </row>
    <row r="20" spans="1:49" ht="12" customHeight="1">
      <c r="A20" s="79">
        <f t="shared" si="0"/>
        <v>1862</v>
      </c>
      <c r="B20" s="175">
        <v>29245</v>
      </c>
      <c r="C20" s="386">
        <f t="shared" ref="C20:C28" si="20">(C$19+C$29)/2</f>
        <v>0.47342698959194474</v>
      </c>
      <c r="D20" s="175"/>
      <c r="E20" s="561">
        <v>12120</v>
      </c>
      <c r="F20" s="522">
        <f t="shared" si="2"/>
        <v>0.78703201431002545</v>
      </c>
      <c r="G20" s="103"/>
      <c r="H20" s="102"/>
      <c r="I20" s="102"/>
      <c r="J20" s="102"/>
      <c r="K20" s="102"/>
      <c r="L20" s="102"/>
      <c r="M20" s="102"/>
      <c r="N20" s="102"/>
      <c r="O20" s="1133"/>
      <c r="P20" s="540"/>
      <c r="Q20" s="977"/>
      <c r="R20" s="303">
        <f t="shared" si="5"/>
        <v>0.67801957189983475</v>
      </c>
      <c r="S20" s="203">
        <f t="shared" si="6"/>
        <v>0.16210226490850244</v>
      </c>
      <c r="T20" s="203">
        <f t="shared" si="3"/>
        <v>0.51591730699133231</v>
      </c>
      <c r="U20" s="203">
        <f t="shared" si="7"/>
        <v>0.4684532406179599</v>
      </c>
      <c r="V20" s="203">
        <f t="shared" ref="V20:V28" si="21">V19+(V$29-V$19)/10</f>
        <v>4.7464066373372388E-2</v>
      </c>
      <c r="W20" s="1372">
        <f t="shared" si="4"/>
        <v>0.32198042810016531</v>
      </c>
      <c r="X20" s="2055">
        <f t="shared" si="8"/>
        <v>7.1980428100165306E-2</v>
      </c>
      <c r="Y20" s="385">
        <f t="shared" ref="Y20:Y28" si="22">Y19+(Y$29-Y$19)/10</f>
        <v>0.25</v>
      </c>
      <c r="Z20" s="203">
        <f t="shared" ref="Z20:Z28" si="23">Z19+(Z$29-Z$19)/10</f>
        <v>0.23408269300866774</v>
      </c>
      <c r="AA20" s="62">
        <f t="shared" si="19"/>
        <v>0.30749999999999988</v>
      </c>
      <c r="AB20" s="203"/>
      <c r="AC20" s="1155">
        <f t="shared" si="10"/>
        <v>0.34796975762120391</v>
      </c>
      <c r="AD20" s="177">
        <f>1000*(DataUK1!$AO20+DataUK1!$BI20)/DataUK2!$E20</f>
        <v>50.93271703848086</v>
      </c>
      <c r="AE20" s="176">
        <f>1000*DataUK1!$BI20/(R20*DataUK2!$E20)</f>
        <v>42.834905501399909</v>
      </c>
      <c r="AF20" s="546"/>
      <c r="AG20" s="154">
        <f>1000*(DataUK1!$BK20)/(DataUK2!$S20*DataUK2!$E20)</f>
        <v>28.503377474784884</v>
      </c>
      <c r="AH20" s="546"/>
      <c r="AI20" s="176">
        <f>1000*DataUK1!$AO20/(W20*DataUK2!$E20)</f>
        <v>67.984917211309764</v>
      </c>
      <c r="AJ20" s="154">
        <f>1000*(DataUK1!$AQ20+DataUK1!$AT20)/(DataUK2!$X20*DataUK2!$E20)</f>
        <v>113.47969228963797</v>
      </c>
      <c r="AK20" s="154">
        <f>1000*(DataUK1!$AT20)/(DataUK2!$X20*DataUK2!$E20)</f>
        <v>56.166716385780404</v>
      </c>
      <c r="AL20" s="154">
        <f>1000*(DataUK1!$AU20)/(DataUK2!$Y20*DataUK2!$E20)</f>
        <v>54.885983665474576</v>
      </c>
      <c r="AM20" s="2136">
        <f>1000*(DataUK1!AQ20+DataUK1!AT20+DataUK1!BK20)/(DataUK2!Z20*DataUK2!E20)</f>
        <v>54.633594280352199</v>
      </c>
      <c r="AN20" s="303">
        <f t="shared" si="11"/>
        <v>1</v>
      </c>
      <c r="AO20" s="547"/>
      <c r="AP20" s="306">
        <f t="shared" si="12"/>
        <v>0.66542407742333765</v>
      </c>
      <c r="AQ20" s="547"/>
      <c r="AR20" s="305">
        <f t="shared" si="13"/>
        <v>1.5871382559508136</v>
      </c>
      <c r="AS20" s="306">
        <f t="shared" si="14"/>
        <v>2.6492340991841172</v>
      </c>
      <c r="AT20" s="306">
        <f t="shared" si="15"/>
        <v>1.3112370793941588</v>
      </c>
      <c r="AU20" s="306">
        <f t="shared" si="16"/>
        <v>1.2813378020334565</v>
      </c>
      <c r="AV20" s="2137">
        <f t="shared" si="17"/>
        <v>1.2754456591147771</v>
      </c>
      <c r="AW20" s="2133">
        <f t="shared" si="18"/>
        <v>0.61666666666666703</v>
      </c>
    </row>
    <row r="21" spans="1:49" ht="12" customHeight="1">
      <c r="A21" s="79">
        <f t="shared" si="0"/>
        <v>1863</v>
      </c>
      <c r="B21" s="175">
        <v>29471</v>
      </c>
      <c r="C21" s="386">
        <f t="shared" si="20"/>
        <v>0.47342698959194474</v>
      </c>
      <c r="D21" s="175"/>
      <c r="E21" s="561">
        <v>12390</v>
      </c>
      <c r="F21" s="522">
        <f t="shared" si="2"/>
        <v>0.79839505506160746</v>
      </c>
      <c r="G21" s="103"/>
      <c r="H21" s="102"/>
      <c r="I21" s="102"/>
      <c r="J21" s="102"/>
      <c r="K21" s="102"/>
      <c r="L21" s="102"/>
      <c r="M21" s="102"/>
      <c r="N21" s="102"/>
      <c r="O21" s="1133"/>
      <c r="P21" s="540"/>
      <c r="Q21" s="977"/>
      <c r="R21" s="303">
        <f t="shared" si="5"/>
        <v>0.67900138176141889</v>
      </c>
      <c r="S21" s="203">
        <f t="shared" si="6"/>
        <v>0.1590894964234873</v>
      </c>
      <c r="T21" s="203">
        <f t="shared" si="3"/>
        <v>0.51991188533793165</v>
      </c>
      <c r="U21" s="203">
        <f t="shared" si="7"/>
        <v>0.47237699512061637</v>
      </c>
      <c r="V21" s="203">
        <f t="shared" si="21"/>
        <v>4.7534890217315245E-2</v>
      </c>
      <c r="W21" s="1372">
        <f t="shared" si="4"/>
        <v>0.32099861823858106</v>
      </c>
      <c r="X21" s="2055">
        <f t="shared" si="8"/>
        <v>7.0998618238581057E-2</v>
      </c>
      <c r="Y21" s="385">
        <f t="shared" si="22"/>
        <v>0.25</v>
      </c>
      <c r="Z21" s="203">
        <f t="shared" si="23"/>
        <v>0.23008811466206835</v>
      </c>
      <c r="AA21" s="62">
        <f t="shared" si="19"/>
        <v>0.30857142857142844</v>
      </c>
      <c r="AB21" s="203"/>
      <c r="AC21" s="1155">
        <f t="shared" si="10"/>
        <v>0.34607968095420472</v>
      </c>
      <c r="AD21" s="177">
        <f>1000*(DataUK1!$AO21+DataUK1!$BI21)/DataUK2!$E21</f>
        <v>51.729286649450408</v>
      </c>
      <c r="AE21" s="176">
        <f>1000*DataUK1!$BI21/(R21*DataUK2!$E21)</f>
        <v>43.267262574981153</v>
      </c>
      <c r="AF21" s="546"/>
      <c r="AG21" s="154">
        <f>1000*(DataUK1!$BK21)/(DataUK2!$S21*DataUK2!$E21)</f>
        <v>27.902934265887179</v>
      </c>
      <c r="AH21" s="546"/>
      <c r="AI21" s="176">
        <f>1000*DataUK1!$AO21/(W21*DataUK2!$E21)</f>
        <v>69.628821764559618</v>
      </c>
      <c r="AJ21" s="154">
        <f>1000*(DataUK1!$AQ21+DataUK1!$AT21)/(DataUK2!$X21*DataUK2!$E21)</f>
        <v>117.08897971574146</v>
      </c>
      <c r="AK21" s="154">
        <f>1000*(DataUK1!$AT21)/(DataUK2!$X21*DataUK2!$E21)</f>
        <v>60.24966917411939</v>
      </c>
      <c r="AL21" s="154">
        <f>1000*(DataUK1!$AU21)/(DataUK2!$Y21*DataUK2!$E21)</f>
        <v>56.150399220884744</v>
      </c>
      <c r="AM21" s="2136">
        <f>1000*(DataUK1!AQ21+DataUK1!AT21+DataUK1!BK21)/(DataUK2!Z21*DataUK2!E21)</f>
        <v>55.42319971898506</v>
      </c>
      <c r="AN21" s="303">
        <f t="shared" si="11"/>
        <v>1</v>
      </c>
      <c r="AO21" s="547"/>
      <c r="AP21" s="306">
        <f t="shared" si="12"/>
        <v>0.64489714868214842</v>
      </c>
      <c r="AQ21" s="547"/>
      <c r="AR21" s="305">
        <f t="shared" si="13"/>
        <v>1.6092726375719864</v>
      </c>
      <c r="AS21" s="306">
        <f t="shared" si="14"/>
        <v>2.7061795165069431</v>
      </c>
      <c r="AT21" s="306">
        <f t="shared" si="15"/>
        <v>1.3925001395618251</v>
      </c>
      <c r="AU21" s="306">
        <f t="shared" si="16"/>
        <v>1.2977571466088804</v>
      </c>
      <c r="AV21" s="2137">
        <f t="shared" si="17"/>
        <v>1.2809499936109421</v>
      </c>
      <c r="AW21" s="2133">
        <f t="shared" si="18"/>
        <v>0.63333333333333375</v>
      </c>
    </row>
    <row r="22" spans="1:49" ht="12" customHeight="1">
      <c r="A22" s="79">
        <f t="shared" si="0"/>
        <v>1864</v>
      </c>
      <c r="B22" s="175">
        <v>29681</v>
      </c>
      <c r="C22" s="386">
        <f t="shared" si="20"/>
        <v>0.47342698959194474</v>
      </c>
      <c r="D22" s="175"/>
      <c r="E22" s="561">
        <v>12850</v>
      </c>
      <c r="F22" s="522">
        <f t="shared" si="2"/>
        <v>0.82217828696092921</v>
      </c>
      <c r="G22" s="103"/>
      <c r="H22" s="102"/>
      <c r="I22" s="102"/>
      <c r="J22" s="102"/>
      <c r="K22" s="102"/>
      <c r="L22" s="102"/>
      <c r="M22" s="102"/>
      <c r="N22" s="102"/>
      <c r="O22" s="1133"/>
      <c r="P22" s="540"/>
      <c r="Q22" s="977"/>
      <c r="R22" s="303">
        <f t="shared" si="5"/>
        <v>0.67999175143374591</v>
      </c>
      <c r="S22" s="203">
        <f t="shared" si="6"/>
        <v>0.15608528774921487</v>
      </c>
      <c r="T22" s="203">
        <f t="shared" si="3"/>
        <v>0.52390646368453098</v>
      </c>
      <c r="U22" s="203">
        <f t="shared" si="7"/>
        <v>0.47630074962327285</v>
      </c>
      <c r="V22" s="203">
        <f t="shared" si="21"/>
        <v>4.7605714061258103E-2</v>
      </c>
      <c r="W22" s="1372">
        <f t="shared" si="4"/>
        <v>0.32000824856625409</v>
      </c>
      <c r="X22" s="2055">
        <f t="shared" si="8"/>
        <v>7.0008248566254108E-2</v>
      </c>
      <c r="Y22" s="385">
        <f t="shared" si="22"/>
        <v>0.25</v>
      </c>
      <c r="Z22" s="203">
        <f t="shared" si="23"/>
        <v>0.22609353631546897</v>
      </c>
      <c r="AA22" s="62">
        <f t="shared" si="19"/>
        <v>0.309642857142857</v>
      </c>
      <c r="AB22" s="203"/>
      <c r="AC22" s="1155">
        <f t="shared" si="10"/>
        <v>0.34421002612164903</v>
      </c>
      <c r="AD22" s="177">
        <f>1000*(DataUK1!$AO22+DataUK1!$BI22)/DataUK2!$E22</f>
        <v>50.802220565010565</v>
      </c>
      <c r="AE22" s="176">
        <f>1000*DataUK1!$BI22/(R22*DataUK2!$E22)</f>
        <v>43.030963724794582</v>
      </c>
      <c r="AF22" s="546"/>
      <c r="AG22" s="154">
        <f>1000*(DataUK1!$BK22)/(DataUK2!$S22*DataUK2!$E22)</f>
        <v>27.421903138624774</v>
      </c>
      <c r="AH22" s="546"/>
      <c r="AI22" s="176">
        <f>1000*DataUK1!$AO22/(W22*DataUK2!$E22)</f>
        <v>67.315515373178215</v>
      </c>
      <c r="AJ22" s="154">
        <f>1000*(DataUK1!$AQ22+DataUK1!$AT22)/(DataUK2!$X22*DataUK2!$E22)</f>
        <v>103.37859086353026</v>
      </c>
      <c r="AK22" s="154">
        <f>1000*(DataUK1!$AT22)/(DataUK2!$X22*DataUK2!$E22)</f>
        <v>47.798703302492491</v>
      </c>
      <c r="AL22" s="154">
        <f>1000*(DataUK1!$AU22)/(DataUK2!$Y22*DataUK2!$E22)</f>
        <v>57.21666436120961</v>
      </c>
      <c r="AM22" s="2136">
        <f>1000*(DataUK1!AQ22+DataUK1!AT22+DataUK1!BK22)/(DataUK2!Z22*DataUK2!E22)</f>
        <v>50.941348944872281</v>
      </c>
      <c r="AN22" s="303">
        <f t="shared" si="11"/>
        <v>1</v>
      </c>
      <c r="AO22" s="547"/>
      <c r="AP22" s="306">
        <f t="shared" si="12"/>
        <v>0.63725979538831901</v>
      </c>
      <c r="AQ22" s="547"/>
      <c r="AR22" s="305">
        <f t="shared" si="13"/>
        <v>1.5643506337365807</v>
      </c>
      <c r="AS22" s="306">
        <f t="shared" si="14"/>
        <v>2.4024233229980667</v>
      </c>
      <c r="AT22" s="306">
        <f t="shared" si="15"/>
        <v>1.1107978805259879</v>
      </c>
      <c r="AU22" s="306">
        <f t="shared" si="16"/>
        <v>1.3296626291509521</v>
      </c>
      <c r="AV22" s="2137">
        <f t="shared" si="17"/>
        <v>1.1838300734017655</v>
      </c>
      <c r="AW22" s="2133">
        <f t="shared" si="18"/>
        <v>0.65000000000000047</v>
      </c>
    </row>
    <row r="23" spans="1:49" ht="12" customHeight="1">
      <c r="A23" s="79">
        <f t="shared" si="0"/>
        <v>1865</v>
      </c>
      <c r="B23" s="175">
        <v>29925</v>
      </c>
      <c r="C23" s="386">
        <f t="shared" si="20"/>
        <v>0.47342698959194474</v>
      </c>
      <c r="D23" s="175"/>
      <c r="E23" s="561">
        <v>12960</v>
      </c>
      <c r="F23" s="522">
        <f t="shared" si="2"/>
        <v>0.82245519274014844</v>
      </c>
      <c r="G23" s="103"/>
      <c r="H23" s="102"/>
      <c r="I23" s="102"/>
      <c r="J23" s="102"/>
      <c r="K23" s="102"/>
      <c r="L23" s="102"/>
      <c r="M23" s="102"/>
      <c r="N23" s="102"/>
      <c r="O23" s="1133"/>
      <c r="P23" s="540"/>
      <c r="Q23" s="977"/>
      <c r="R23" s="303">
        <f t="shared" si="5"/>
        <v>0.68099068091681558</v>
      </c>
      <c r="S23" s="203">
        <f t="shared" si="6"/>
        <v>0.15308963888568514</v>
      </c>
      <c r="T23" s="203">
        <f t="shared" si="3"/>
        <v>0.52790104203113042</v>
      </c>
      <c r="U23" s="203">
        <f t="shared" si="7"/>
        <v>0.48022450412592943</v>
      </c>
      <c r="V23" s="203">
        <f t="shared" si="21"/>
        <v>4.7676537905200961E-2</v>
      </c>
      <c r="W23" s="1372">
        <f t="shared" si="4"/>
        <v>0.31900931908318442</v>
      </c>
      <c r="X23" s="2055">
        <f t="shared" si="8"/>
        <v>6.9009319083184445E-2</v>
      </c>
      <c r="Y23" s="385">
        <f t="shared" si="22"/>
        <v>0.25</v>
      </c>
      <c r="Z23" s="203">
        <f t="shared" si="23"/>
        <v>0.22209895796886958</v>
      </c>
      <c r="AA23" s="62">
        <f t="shared" si="19"/>
        <v>0.31071428571428555</v>
      </c>
      <c r="AB23" s="203"/>
      <c r="AC23" s="1155">
        <f t="shared" si="10"/>
        <v>0.342360463922321</v>
      </c>
      <c r="AD23" s="177">
        <f>1000*(DataUK1!$AO23+DataUK1!$BI23)/DataUK2!$E23</f>
        <v>52.668055808139513</v>
      </c>
      <c r="AE23" s="176">
        <f>1000*DataUK1!$BI23/(R23*DataUK2!$E23)</f>
        <v>45.095883693834494</v>
      </c>
      <c r="AF23" s="546"/>
      <c r="AG23" s="154">
        <f>1000*(DataUK1!$BK23)/(DataUK2!$S23*DataUK2!$E23)</f>
        <v>28.225212926052748</v>
      </c>
      <c r="AH23" s="546"/>
      <c r="AI23" s="176">
        <f>1000*DataUK1!$AO23/(W23*DataUK2!$E23)</f>
        <v>68.832406927911251</v>
      </c>
      <c r="AJ23" s="154">
        <f>1000*(DataUK1!$AQ23+DataUK1!$AT23)/(DataUK2!$X23*DataUK2!$E23)</f>
        <v>106.22111637914152</v>
      </c>
      <c r="AK23" s="154">
        <f>1000*(DataUK1!$AT23)/(DataUK2!$X23*DataUK2!$E23)</f>
        <v>51.433382667794845</v>
      </c>
      <c r="AL23" s="154">
        <f>1000*(DataUK1!$AU23)/(DataUK2!$Y23*DataUK2!$E23)</f>
        <v>58.511729405397553</v>
      </c>
      <c r="AM23" s="2136">
        <f>1000*(DataUK1!AQ23+DataUK1!AT23+DataUK1!BK23)/(DataUK2!Z23*DataUK2!E23)</f>
        <v>52.459654356119607</v>
      </c>
      <c r="AN23" s="303">
        <f t="shared" si="11"/>
        <v>1</v>
      </c>
      <c r="AO23" s="547"/>
      <c r="AP23" s="306">
        <f t="shared" si="12"/>
        <v>0.62589333247530299</v>
      </c>
      <c r="AQ23" s="547"/>
      <c r="AR23" s="305">
        <f t="shared" si="13"/>
        <v>1.5263567600810095</v>
      </c>
      <c r="AS23" s="306">
        <f t="shared" si="14"/>
        <v>2.3554503799127029</v>
      </c>
      <c r="AT23" s="306">
        <f t="shared" si="15"/>
        <v>1.1405338681682562</v>
      </c>
      <c r="AU23" s="306">
        <f t="shared" si="16"/>
        <v>1.2974960154378186</v>
      </c>
      <c r="AV23" s="2137">
        <f t="shared" si="17"/>
        <v>1.1632914150719234</v>
      </c>
      <c r="AW23" s="2133">
        <f t="shared" si="18"/>
        <v>0.66666666666666718</v>
      </c>
    </row>
    <row r="24" spans="1:49" ht="12" customHeight="1">
      <c r="A24" s="79">
        <f t="shared" si="0"/>
        <v>1866</v>
      </c>
      <c r="B24" s="175">
        <v>30148</v>
      </c>
      <c r="C24" s="386">
        <f t="shared" si="20"/>
        <v>0.47342698959194474</v>
      </c>
      <c r="D24" s="175"/>
      <c r="E24" s="561">
        <v>12960</v>
      </c>
      <c r="F24" s="522">
        <f t="shared" si="2"/>
        <v>0.81637162142593012</v>
      </c>
      <c r="G24" s="103"/>
      <c r="H24" s="102"/>
      <c r="I24" s="102"/>
      <c r="J24" s="102"/>
      <c r="K24" s="102"/>
      <c r="L24" s="102"/>
      <c r="M24" s="102"/>
      <c r="N24" s="102"/>
      <c r="O24" s="1133"/>
      <c r="P24" s="540"/>
      <c r="Q24" s="977"/>
      <c r="R24" s="303">
        <f t="shared" si="5"/>
        <v>0.68199817021062792</v>
      </c>
      <c r="S24" s="203">
        <f t="shared" si="6"/>
        <v>0.15010254983289811</v>
      </c>
      <c r="T24" s="203">
        <f t="shared" si="3"/>
        <v>0.53189562037772986</v>
      </c>
      <c r="U24" s="203">
        <f t="shared" si="7"/>
        <v>0.48414825862858601</v>
      </c>
      <c r="V24" s="203">
        <f t="shared" si="21"/>
        <v>4.7747361749143818E-2</v>
      </c>
      <c r="W24" s="1372">
        <f t="shared" si="4"/>
        <v>0.31800182978937208</v>
      </c>
      <c r="X24" s="2055">
        <f t="shared" si="8"/>
        <v>6.8001829789372067E-2</v>
      </c>
      <c r="Y24" s="385">
        <f t="shared" si="22"/>
        <v>0.25</v>
      </c>
      <c r="Z24" s="203">
        <f t="shared" si="23"/>
        <v>0.21810437962227019</v>
      </c>
      <c r="AA24" s="62">
        <f t="shared" si="19"/>
        <v>0.31178571428571411</v>
      </c>
      <c r="AB24" s="203"/>
      <c r="AC24" s="1155">
        <f t="shared" si="10"/>
        <v>0.34053067219284633</v>
      </c>
      <c r="AD24" s="177">
        <f>1000*(DataUK1!$AO24+DataUK1!$BI24)/DataUK2!$E24</f>
        <v>54.148107640896669</v>
      </c>
      <c r="AE24" s="176">
        <f>1000*DataUK1!$BI24/(R24*DataUK2!$E24)</f>
        <v>46.273792736954249</v>
      </c>
      <c r="AF24" s="546"/>
      <c r="AG24" s="154">
        <f>1000*(DataUK1!$BK24)/(DataUK2!$S24*DataUK2!$E24)</f>
        <v>28.786903747680061</v>
      </c>
      <c r="AH24" s="546"/>
      <c r="AI24" s="176">
        <f>1000*DataUK1!$AO24/(W24*DataUK2!$E24)</f>
        <v>71.035646809171254</v>
      </c>
      <c r="AJ24" s="154">
        <f>1000*(DataUK1!$AQ24+DataUK1!$AT24)/(DataUK2!$X24*DataUK2!$E24)</f>
        <v>113.46826117202485</v>
      </c>
      <c r="AK24" s="154">
        <f>1000*(DataUK1!$AT24)/(DataUK2!$X24*DataUK2!$E24)</f>
        <v>56.734130586012427</v>
      </c>
      <c r="AL24" s="154">
        <f>1000*(DataUK1!$AU24)/(DataUK2!$Y24*DataUK2!$E24)</f>
        <v>59.493665131487894</v>
      </c>
      <c r="AM24" s="2136">
        <f>1000*(DataUK1!AQ24+DataUK1!AT24+DataUK1!BK24)/(DataUK2!Z24*DataUK2!E24)</f>
        <v>55.189341258913259</v>
      </c>
      <c r="AN24" s="303">
        <f t="shared" si="11"/>
        <v>1</v>
      </c>
      <c r="AO24" s="547"/>
      <c r="AP24" s="306">
        <f t="shared" si="12"/>
        <v>0.62209950913945378</v>
      </c>
      <c r="AQ24" s="547"/>
      <c r="AR24" s="305">
        <f t="shared" si="13"/>
        <v>1.5351161555521726</v>
      </c>
      <c r="AS24" s="306">
        <f t="shared" si="14"/>
        <v>2.4521063535258718</v>
      </c>
      <c r="AT24" s="306">
        <f t="shared" si="15"/>
        <v>1.2260531767629359</v>
      </c>
      <c r="AU24" s="306">
        <f t="shared" si="16"/>
        <v>1.2856881101076518</v>
      </c>
      <c r="AV24" s="2137">
        <f t="shared" si="17"/>
        <v>1.1926695002642187</v>
      </c>
      <c r="AW24" s="2133">
        <f t="shared" si="18"/>
        <v>0.6833333333333339</v>
      </c>
    </row>
    <row r="25" spans="1:49" ht="12" customHeight="1">
      <c r="A25" s="79">
        <f t="shared" si="0"/>
        <v>1867</v>
      </c>
      <c r="B25" s="175">
        <v>30409</v>
      </c>
      <c r="C25" s="386">
        <f t="shared" si="20"/>
        <v>0.47342698959194474</v>
      </c>
      <c r="D25" s="175"/>
      <c r="E25" s="561">
        <v>12570</v>
      </c>
      <c r="F25" s="522">
        <f t="shared" si="2"/>
        <v>0.78500883314818826</v>
      </c>
      <c r="G25" s="103"/>
      <c r="H25" s="102"/>
      <c r="I25" s="102"/>
      <c r="J25" s="102"/>
      <c r="K25" s="102"/>
      <c r="L25" s="102"/>
      <c r="M25" s="102"/>
      <c r="N25" s="102"/>
      <c r="O25" s="1133"/>
      <c r="P25" s="540"/>
      <c r="Q25" s="977"/>
      <c r="R25" s="303">
        <f t="shared" si="5"/>
        <v>0.68301421931518302</v>
      </c>
      <c r="S25" s="203">
        <f t="shared" si="6"/>
        <v>0.14712402059085383</v>
      </c>
      <c r="T25" s="203">
        <f t="shared" si="3"/>
        <v>0.53589019872432919</v>
      </c>
      <c r="U25" s="203">
        <f t="shared" si="7"/>
        <v>0.48807201313124249</v>
      </c>
      <c r="V25" s="203">
        <f t="shared" si="21"/>
        <v>4.7818185593086676E-2</v>
      </c>
      <c r="W25" s="1372">
        <f t="shared" si="4"/>
        <v>0.31698578068481698</v>
      </c>
      <c r="X25" s="2055">
        <f t="shared" si="8"/>
        <v>6.6985780684816976E-2</v>
      </c>
      <c r="Y25" s="385">
        <f t="shared" si="22"/>
        <v>0.25</v>
      </c>
      <c r="Z25" s="203">
        <f t="shared" si="23"/>
        <v>0.21410980127567081</v>
      </c>
      <c r="AA25" s="62">
        <f t="shared" si="19"/>
        <v>0.31285714285714267</v>
      </c>
      <c r="AB25" s="203"/>
      <c r="AC25" s="1155">
        <f t="shared" si="10"/>
        <v>0.33872033562061848</v>
      </c>
      <c r="AD25" s="177">
        <f>1000*(DataUK1!$AO25+DataUK1!$BI25)/DataUK2!$E25</f>
        <v>55.676983842715011</v>
      </c>
      <c r="AE25" s="176">
        <f>1000*DataUK1!$BI25/(R25*DataUK2!$E25)</f>
        <v>47.638522690885445</v>
      </c>
      <c r="AF25" s="546"/>
      <c r="AG25" s="154">
        <f>1000*(DataUK1!$BK25)/(DataUK2!$S25*DataUK2!$E25)</f>
        <v>29.740196046985204</v>
      </c>
      <c r="AH25" s="546"/>
      <c r="AI25" s="176">
        <f>1000*DataUK1!$AO25/(W25*DataUK2!$E25)</f>
        <v>72.997581808500286</v>
      </c>
      <c r="AJ25" s="154">
        <f>1000*(DataUK1!$AQ25+DataUK1!$AT25)/(DataUK2!$X25*DataUK2!$E25)</f>
        <v>124.70141978854205</v>
      </c>
      <c r="AK25" s="154">
        <f>1000*(DataUK1!$AT25)/(DataUK2!$X25*DataUK2!$E25)</f>
        <v>64.132158748393053</v>
      </c>
      <c r="AL25" s="154">
        <f>1000*(DataUK1!$AU25)/(DataUK2!$Y25*DataUK2!$E25)</f>
        <v>59.143894002522735</v>
      </c>
      <c r="AM25" s="2136">
        <f>1000*(DataUK1!AQ25+DataUK1!AT25+DataUK1!BK25)/(DataUK2!Z25*DataUK2!E25)</f>
        <v>59.449493188986537</v>
      </c>
      <c r="AN25" s="303">
        <f t="shared" si="11"/>
        <v>1</v>
      </c>
      <c r="AO25" s="547"/>
      <c r="AP25" s="306">
        <f t="shared" si="12"/>
        <v>0.6242887975339193</v>
      </c>
      <c r="AQ25" s="547"/>
      <c r="AR25" s="305">
        <f t="shared" si="13"/>
        <v>1.5323225340584863</v>
      </c>
      <c r="AS25" s="306">
        <f t="shared" si="14"/>
        <v>2.617659254416822</v>
      </c>
      <c r="AT25" s="306">
        <f t="shared" si="15"/>
        <v>1.3462247594143655</v>
      </c>
      <c r="AU25" s="306">
        <f t="shared" si="16"/>
        <v>1.2415140239820783</v>
      </c>
      <c r="AV25" s="2137">
        <f t="shared" si="17"/>
        <v>1.2479289833301412</v>
      </c>
      <c r="AW25" s="2133">
        <f t="shared" si="18"/>
        <v>0.70000000000000062</v>
      </c>
    </row>
    <row r="26" spans="1:49" ht="12" customHeight="1">
      <c r="A26" s="79">
        <f t="shared" si="0"/>
        <v>1868</v>
      </c>
      <c r="B26" s="175">
        <v>30690</v>
      </c>
      <c r="C26" s="386">
        <f t="shared" si="20"/>
        <v>0.47342698959194474</v>
      </c>
      <c r="D26" s="175"/>
      <c r="E26" s="561">
        <v>12600</v>
      </c>
      <c r="F26" s="522">
        <f t="shared" si="2"/>
        <v>0.77967760716141077</v>
      </c>
      <c r="G26" s="103"/>
      <c r="H26" s="102"/>
      <c r="I26" s="102"/>
      <c r="J26" s="102"/>
      <c r="K26" s="102"/>
      <c r="L26" s="102"/>
      <c r="M26" s="102"/>
      <c r="N26" s="102"/>
      <c r="O26" s="1133"/>
      <c r="P26" s="540"/>
      <c r="Q26" s="977"/>
      <c r="R26" s="303">
        <f t="shared" si="5"/>
        <v>0.68403882823048079</v>
      </c>
      <c r="S26" s="203">
        <f t="shared" si="6"/>
        <v>0.14415405115955227</v>
      </c>
      <c r="T26" s="203">
        <f t="shared" si="3"/>
        <v>0.53988477707092852</v>
      </c>
      <c r="U26" s="203">
        <f t="shared" si="7"/>
        <v>0.49199576763389896</v>
      </c>
      <c r="V26" s="203">
        <f t="shared" si="21"/>
        <v>4.7889009437029534E-2</v>
      </c>
      <c r="W26" s="1372">
        <f t="shared" si="4"/>
        <v>0.31596117176951916</v>
      </c>
      <c r="X26" s="2055">
        <f t="shared" si="8"/>
        <v>6.596117176951917E-2</v>
      </c>
      <c r="Y26" s="385">
        <f t="shared" si="22"/>
        <v>0.25</v>
      </c>
      <c r="Z26" s="203">
        <f t="shared" si="23"/>
        <v>0.21011522292907142</v>
      </c>
      <c r="AA26" s="62">
        <f t="shared" si="19"/>
        <v>0.31392857142857122</v>
      </c>
      <c r="AB26" s="203"/>
      <c r="AC26" s="1155">
        <f t="shared" si="10"/>
        <v>0.33692914556266057</v>
      </c>
      <c r="AD26" s="177">
        <f>1000*(DataUK1!$AO26+DataUK1!$BI26)/DataUK2!$E26</f>
        <v>54.447250968844905</v>
      </c>
      <c r="AE26" s="176">
        <f>1000*DataUK1!$BI26/(R26*DataUK2!$E26)</f>
        <v>46.409692602033402</v>
      </c>
      <c r="AF26" s="546"/>
      <c r="AG26" s="154">
        <f>1000*(DataUK1!$BK26)/(DataUK2!$S26*DataUK2!$E26)</f>
        <v>30.280656908129608</v>
      </c>
      <c r="AH26" s="546"/>
      <c r="AI26" s="176">
        <f>1000*DataUK1!$AO26/(W26*DataUK2!$E26)</f>
        <v>71.848129615662984</v>
      </c>
      <c r="AJ26" s="154">
        <f>1000*(DataUK1!$AQ26+DataUK1!$AT26)/(DataUK2!$X26*DataUK2!$E26)</f>
        <v>121.52411488203992</v>
      </c>
      <c r="AK26" s="154">
        <f>1000*(DataUK1!$AT26)/(DataUK2!$X26*DataUK2!$E26)</f>
        <v>58.957243853662931</v>
      </c>
      <c r="AL26" s="154">
        <f>1000*(DataUK1!$AU26)/(DataUK2!$Y26*DataUK2!$E26)</f>
        <v>58.741384827760591</v>
      </c>
      <c r="AM26" s="2136">
        <f>1000*(DataUK1!AQ26+DataUK1!AT26+DataUK1!BK26)/(DataUK2!Z26*DataUK2!E26)</f>
        <v>58.924585322082152</v>
      </c>
      <c r="AN26" s="303">
        <f t="shared" si="11"/>
        <v>1</v>
      </c>
      <c r="AO26" s="547"/>
      <c r="AP26" s="306">
        <f t="shared" si="12"/>
        <v>0.6524640696888151</v>
      </c>
      <c r="AQ26" s="547"/>
      <c r="AR26" s="305">
        <f t="shared" si="13"/>
        <v>1.5481276773747692</v>
      </c>
      <c r="AS26" s="306">
        <f t="shared" si="14"/>
        <v>2.6185072140881935</v>
      </c>
      <c r="AT26" s="306">
        <f t="shared" si="15"/>
        <v>1.2703648860427867</v>
      </c>
      <c r="AU26" s="306">
        <f t="shared" si="16"/>
        <v>1.2657137234558387</v>
      </c>
      <c r="AV26" s="2137">
        <f t="shared" si="17"/>
        <v>1.2696611853770481</v>
      </c>
      <c r="AW26" s="2133">
        <f t="shared" si="18"/>
        <v>0.71666666666666734</v>
      </c>
    </row>
    <row r="27" spans="1:49" ht="12" customHeight="1">
      <c r="A27" s="79">
        <f t="shared" si="0"/>
        <v>1869</v>
      </c>
      <c r="B27" s="175">
        <v>30978</v>
      </c>
      <c r="C27" s="386">
        <f t="shared" si="20"/>
        <v>0.47342698959194474</v>
      </c>
      <c r="D27" s="175"/>
      <c r="E27" s="561">
        <v>12810</v>
      </c>
      <c r="F27" s="522">
        <f t="shared" si="2"/>
        <v>0.78530282328900369</v>
      </c>
      <c r="G27" s="103"/>
      <c r="H27" s="102"/>
      <c r="I27" s="102"/>
      <c r="J27" s="102"/>
      <c r="K27" s="102"/>
      <c r="L27" s="102"/>
      <c r="M27" s="102"/>
      <c r="N27" s="102"/>
      <c r="O27" s="1133"/>
      <c r="P27" s="540"/>
      <c r="Q27" s="977"/>
      <c r="R27" s="303">
        <f t="shared" si="5"/>
        <v>0.68507199695652132</v>
      </c>
      <c r="S27" s="203">
        <f t="shared" si="6"/>
        <v>0.14119264153899339</v>
      </c>
      <c r="T27" s="203">
        <f t="shared" si="3"/>
        <v>0.54387935541752797</v>
      </c>
      <c r="U27" s="203">
        <f t="shared" si="7"/>
        <v>0.49591952213655555</v>
      </c>
      <c r="V27" s="203">
        <f t="shared" si="21"/>
        <v>4.7959833280972392E-2</v>
      </c>
      <c r="W27" s="1372">
        <f t="shared" si="4"/>
        <v>0.31492800304347868</v>
      </c>
      <c r="X27" s="2055">
        <f t="shared" si="8"/>
        <v>6.4928003043478649E-2</v>
      </c>
      <c r="Y27" s="385">
        <f t="shared" si="22"/>
        <v>0.25</v>
      </c>
      <c r="Z27" s="203">
        <f t="shared" si="23"/>
        <v>0.20612064458247203</v>
      </c>
      <c r="AA27" s="62">
        <f t="shared" si="19"/>
        <v>0.31499999999999978</v>
      </c>
      <c r="AB27" s="203"/>
      <c r="AC27" s="1155">
        <f t="shared" si="10"/>
        <v>0.33515679987020436</v>
      </c>
      <c r="AD27" s="177">
        <f>1000*(DataUK1!$AO27+DataUK1!$BI27)/DataUK2!$E27</f>
        <v>54.492285328423009</v>
      </c>
      <c r="AE27" s="176">
        <f>1000*DataUK1!$BI27/(R27*DataUK2!$E27)</f>
        <v>47.17533531444478</v>
      </c>
      <c r="AF27" s="546"/>
      <c r="AG27" s="154">
        <f>1000*(DataUK1!$BK27)/(DataUK2!$S27*DataUK2!$E27)</f>
        <v>29.303174845979463</v>
      </c>
      <c r="AH27" s="546"/>
      <c r="AI27" s="176">
        <f>1000*DataUK1!$AO27/(W27*DataUK2!$E27)</f>
        <v>70.409058398028606</v>
      </c>
      <c r="AJ27" s="154">
        <f>1000*(DataUK1!$AQ27+DataUK1!$AT27)/(DataUK2!$X27*DataUK2!$E27)</f>
        <v>104.60153967931403</v>
      </c>
      <c r="AK27" s="154">
        <f>1000*(DataUK1!$AT27)/(DataUK2!$X27*DataUK2!$E27)</f>
        <v>40.878762633295139</v>
      </c>
      <c r="AL27" s="154">
        <f>1000*(DataUK1!$AU27)/(DataUK2!$Y27*DataUK2!$E27)</f>
        <v>61.52886028324707</v>
      </c>
      <c r="AM27" s="2136">
        <f>1000*(DataUK1!AQ27+DataUK1!AT27+DataUK1!BK27)/(DataUK2!Z27*DataUK2!E27)</f>
        <v>53.022159768479838</v>
      </c>
      <c r="AN27" s="303">
        <f t="shared" si="11"/>
        <v>1</v>
      </c>
      <c r="AO27" s="547"/>
      <c r="AP27" s="306">
        <f t="shared" si="12"/>
        <v>0.62115456415223447</v>
      </c>
      <c r="AQ27" s="547"/>
      <c r="AR27" s="305">
        <f t="shared" si="13"/>
        <v>1.4924972536754775</v>
      </c>
      <c r="AS27" s="306">
        <f t="shared" si="14"/>
        <v>2.2172929769782836</v>
      </c>
      <c r="AT27" s="306">
        <f t="shared" si="15"/>
        <v>0.86652828985358221</v>
      </c>
      <c r="AU27" s="306">
        <f t="shared" si="16"/>
        <v>1.3042590979614581</v>
      </c>
      <c r="AV27" s="2137">
        <f t="shared" si="17"/>
        <v>1.1239381641924397</v>
      </c>
      <c r="AW27" s="2133">
        <f t="shared" si="18"/>
        <v>0.73333333333333406</v>
      </c>
    </row>
    <row r="28" spans="1:49" ht="12" customHeight="1">
      <c r="A28" s="79">
        <f t="shared" si="0"/>
        <v>1870</v>
      </c>
      <c r="B28" s="175">
        <v>31257</v>
      </c>
      <c r="C28" s="386">
        <f t="shared" si="20"/>
        <v>0.47342698959194474</v>
      </c>
      <c r="D28" s="175"/>
      <c r="E28" s="561">
        <v>13200</v>
      </c>
      <c r="F28" s="522">
        <f t="shared" si="2"/>
        <v>0.8019883192690419</v>
      </c>
      <c r="G28" s="103"/>
      <c r="H28" s="102"/>
      <c r="I28" s="102"/>
      <c r="J28" s="102"/>
      <c r="K28" s="102"/>
      <c r="L28" s="102"/>
      <c r="M28" s="102"/>
      <c r="N28" s="102"/>
      <c r="O28" s="1133"/>
      <c r="P28" s="540"/>
      <c r="Q28" s="977"/>
      <c r="R28" s="303">
        <f t="shared" si="5"/>
        <v>0.68611372549330452</v>
      </c>
      <c r="S28" s="203">
        <f t="shared" si="6"/>
        <v>0.13823979172917722</v>
      </c>
      <c r="T28" s="203">
        <f t="shared" si="3"/>
        <v>0.5478739337641273</v>
      </c>
      <c r="U28" s="203">
        <f t="shared" si="7"/>
        <v>0.49984327663921202</v>
      </c>
      <c r="V28" s="203">
        <f t="shared" si="21"/>
        <v>4.8030657124915249E-2</v>
      </c>
      <c r="W28" s="1372">
        <f t="shared" si="4"/>
        <v>0.31388627450669543</v>
      </c>
      <c r="X28" s="2055">
        <f t="shared" si="8"/>
        <v>6.3886274506695415E-2</v>
      </c>
      <c r="Y28" s="385">
        <f t="shared" si="22"/>
        <v>0.25</v>
      </c>
      <c r="Z28" s="203">
        <f t="shared" si="23"/>
        <v>0.20212606623587265</v>
      </c>
      <c r="AA28" s="62">
        <f t="shared" si="19"/>
        <v>0.31607142857142834</v>
      </c>
      <c r="AB28" s="203"/>
      <c r="AC28" s="1155">
        <f t="shared" si="10"/>
        <v>0.33340300271877721</v>
      </c>
      <c r="AD28" s="177">
        <f>1000*(DataUK1!$AO28+DataUK1!$BI28)/DataUK2!$E28</f>
        <v>55.995547117628689</v>
      </c>
      <c r="AE28" s="176">
        <f>1000*DataUK1!$BI28/(R28*DataUK2!$E28)</f>
        <v>47.589071517319148</v>
      </c>
      <c r="AF28" s="546"/>
      <c r="AG28" s="154">
        <f>1000*(DataUK1!$BK28)/(DataUK2!$S28*DataUK2!$E28)</f>
        <v>31.236894704250432</v>
      </c>
      <c r="AH28" s="546"/>
      <c r="AI28" s="176">
        <f>1000*DataUK1!$AO28/(W28*DataUK2!$E28)</f>
        <v>74.370986762008243</v>
      </c>
      <c r="AJ28" s="154">
        <f>1000*(DataUK1!$AQ28+DataUK1!$AT28)/(DataUK2!$X28*DataUK2!$E28)</f>
        <v>117.39610828635787</v>
      </c>
      <c r="AK28" s="154">
        <f>1000*(DataUK1!$AT28)/(DataUK2!$X28*DataUK2!$E28)</f>
        <v>54.54768667850972</v>
      </c>
      <c r="AL28" s="154">
        <f>1000*(DataUK1!$AU28)/(DataUK2!$Y28*DataUK2!$E28)</f>
        <v>63.376127864454141</v>
      </c>
      <c r="AM28" s="2136">
        <f>1000*(DataUK1!AQ28+DataUK1!AT28+DataUK1!BK28)/(DataUK2!Z28*DataUK2!E28)</f>
        <v>58.469360425737939</v>
      </c>
      <c r="AN28" s="303">
        <f t="shared" si="11"/>
        <v>1</v>
      </c>
      <c r="AO28" s="547"/>
      <c r="AP28" s="306">
        <f t="shared" si="12"/>
        <v>0.65638798380175056</v>
      </c>
      <c r="AQ28" s="547"/>
      <c r="AR28" s="305">
        <f t="shared" si="13"/>
        <v>1.5627744856283301</v>
      </c>
      <c r="AS28" s="306">
        <f t="shared" si="14"/>
        <v>2.4668711648142527</v>
      </c>
      <c r="AT28" s="306">
        <f t="shared" si="15"/>
        <v>1.1462229654692488</v>
      </c>
      <c r="AU28" s="306">
        <f t="shared" si="16"/>
        <v>1.3317370111200759</v>
      </c>
      <c r="AV28" s="2137">
        <f t="shared" si="17"/>
        <v>1.2286299892289161</v>
      </c>
      <c r="AW28" s="2133">
        <f t="shared" si="18"/>
        <v>0.75000000000000078</v>
      </c>
    </row>
    <row r="29" spans="1:49" ht="12" customHeight="1">
      <c r="A29" s="79">
        <f t="shared" si="0"/>
        <v>1871</v>
      </c>
      <c r="B29" s="175">
        <v>31556</v>
      </c>
      <c r="C29" s="386">
        <f>(4/3)*D29/B29</f>
        <v>0.4795707102716863</v>
      </c>
      <c r="D29" s="175">
        <v>11350</v>
      </c>
      <c r="E29" s="561">
        <v>13580</v>
      </c>
      <c r="F29" s="522">
        <f t="shared" si="2"/>
        <v>0.82690590241130135</v>
      </c>
      <c r="G29" s="103"/>
      <c r="H29" s="102"/>
      <c r="I29" s="102"/>
      <c r="J29" s="102"/>
      <c r="K29" s="102"/>
      <c r="L29" s="102"/>
      <c r="M29" s="102"/>
      <c r="N29" s="102"/>
      <c r="O29" s="1133"/>
      <c r="P29" s="352">
        <f>1681+517+2815+712+212+654+664+972+136+11+1541+4+5+16+1837+106+943+9+194+58+125+61+345+103+306+46+377</f>
        <v>14450</v>
      </c>
      <c r="Q29" s="352">
        <f>1681+136+943+103</f>
        <v>2863</v>
      </c>
      <c r="R29" s="303">
        <f t="shared" si="5"/>
        <v>0.68716401384083048</v>
      </c>
      <c r="S29" s="203">
        <f t="shared" si="6"/>
        <v>0.13529550173010385</v>
      </c>
      <c r="T29" s="203">
        <f t="shared" si="3"/>
        <v>0.55186851211072663</v>
      </c>
      <c r="U29" s="203">
        <f t="shared" si="7"/>
        <v>0.50376703114186849</v>
      </c>
      <c r="V29" s="307">
        <f>0.07*R29</f>
        <v>4.8101480968858135E-2</v>
      </c>
      <c r="W29" s="1372">
        <f t="shared" si="4"/>
        <v>0.31283598615916952</v>
      </c>
      <c r="X29" s="2055">
        <f t="shared" si="8"/>
        <v>6.2835986159169493E-2</v>
      </c>
      <c r="Y29" s="305">
        <v>0.25</v>
      </c>
      <c r="Z29" s="307">
        <f>Q29/P29</f>
        <v>0.19813148788927334</v>
      </c>
      <c r="AA29" s="62">
        <f t="shared" si="19"/>
        <v>0.31714285714285689</v>
      </c>
      <c r="AB29" s="307"/>
      <c r="AC29" s="1155">
        <f t="shared" si="10"/>
        <v>0.33166746444359524</v>
      </c>
      <c r="AD29" s="177">
        <f>1000*(DataUK1!$AO29+DataUK1!$BI29)/DataUK2!$E29</f>
        <v>58.066934840680887</v>
      </c>
      <c r="AE29" s="176">
        <f>1000*DataUK1!$BI29/(R29*DataUK2!$E29)</f>
        <v>48.972922572132269</v>
      </c>
      <c r="AF29" s="546"/>
      <c r="AG29" s="154">
        <f>1000*(DataUK1!$BK29)/(DataUK2!$S29*DataUK2!$E29)</f>
        <v>30.479293749414001</v>
      </c>
      <c r="AH29" s="546"/>
      <c r="AI29" s="176">
        <f>1000*DataUK1!$AO29/(W29*DataUK2!$E29)</f>
        <v>78.042507501283026</v>
      </c>
      <c r="AJ29" s="154">
        <f>1000*(DataUK1!$AQ29+DataUK1!$AT29)/(DataUK2!$X29*DataUK2!$E29)</f>
        <v>120.70604476018748</v>
      </c>
      <c r="AK29" s="154">
        <f>1000*(DataUK1!$AT29)/(DataUK2!$X29*DataUK2!$E29)</f>
        <v>57.42326401212803</v>
      </c>
      <c r="AL29" s="154">
        <f>1000*(DataUK1!$AU29)/(DataUK2!$Y29*DataUK2!$E29)</f>
        <v>67.319285754476113</v>
      </c>
      <c r="AM29" s="2136">
        <f>1000*(DataUK1!AQ29+DataUK1!AT29+DataUK1!BK29)/(DataUK2!Z29*DataUK2!E29)</f>
        <v>59.094063355687858</v>
      </c>
      <c r="AN29" s="303">
        <f t="shared" si="11"/>
        <v>1</v>
      </c>
      <c r="AO29" s="547"/>
      <c r="AP29" s="306">
        <f t="shared" si="12"/>
        <v>0.62237032524495584</v>
      </c>
      <c r="AQ29" s="547"/>
      <c r="AR29" s="305">
        <f t="shared" si="13"/>
        <v>1.5935848506148298</v>
      </c>
      <c r="AS29" s="306">
        <f t="shared" si="14"/>
        <v>2.4647506912089927</v>
      </c>
      <c r="AT29" s="306">
        <f t="shared" si="15"/>
        <v>1.1725512997013654</v>
      </c>
      <c r="AU29" s="306">
        <f t="shared" si="16"/>
        <v>1.3746225918071657</v>
      </c>
      <c r="AV29" s="2137">
        <f t="shared" si="17"/>
        <v>1.2066680984506928</v>
      </c>
      <c r="AW29" s="2133">
        <f t="shared" si="18"/>
        <v>0.7666666666666675</v>
      </c>
    </row>
    <row r="30" spans="1:49" ht="12" customHeight="1">
      <c r="A30" s="79">
        <f t="shared" si="0"/>
        <v>1872</v>
      </c>
      <c r="B30" s="175">
        <v>31874</v>
      </c>
      <c r="C30" s="386">
        <f t="shared" ref="C30:C38" si="24">(C$29+C$39)/2</f>
        <v>0.48114788554946841</v>
      </c>
      <c r="D30" s="175"/>
      <c r="E30" s="561">
        <v>13770</v>
      </c>
      <c r="F30" s="522">
        <f t="shared" si="2"/>
        <v>0.8326333098283426</v>
      </c>
      <c r="G30" s="103"/>
      <c r="H30" s="102"/>
      <c r="I30" s="102"/>
      <c r="J30" s="102"/>
      <c r="K30" s="102"/>
      <c r="L30" s="102"/>
      <c r="M30" s="102"/>
      <c r="N30" s="102"/>
      <c r="O30" s="1133"/>
      <c r="P30" s="352"/>
      <c r="Q30" s="2134"/>
      <c r="R30" s="303">
        <f t="shared" si="5"/>
        <v>0.69265109971394434</v>
      </c>
      <c r="S30" s="203">
        <f t="shared" si="6"/>
        <v>0.13358479309324398</v>
      </c>
      <c r="T30" s="203">
        <f t="shared" si="3"/>
        <v>0.55906630662070034</v>
      </c>
      <c r="U30" s="203">
        <f t="shared" si="7"/>
        <v>0.51057924612942995</v>
      </c>
      <c r="V30" s="203">
        <f t="shared" ref="V30:V38" si="25">V29+(V$39-V$29)/10</f>
        <v>4.8487060491270335E-2</v>
      </c>
      <c r="W30" s="1372">
        <f t="shared" si="4"/>
        <v>0.30734890028605566</v>
      </c>
      <c r="X30" s="2055">
        <f t="shared" si="8"/>
        <v>6.2348900286055643E-2</v>
      </c>
      <c r="Y30" s="385">
        <f t="shared" ref="Y30:Y38" si="26">Y29+(Y$39-Y$29)/10</f>
        <v>0.245</v>
      </c>
      <c r="Z30" s="203">
        <f t="shared" ref="Z30:Z38" si="27">Z29+(Z$39-Z$29)/10</f>
        <v>0.19593369337929961</v>
      </c>
      <c r="AA30" s="62">
        <f t="shared" si="19"/>
        <v>0.31821428571428545</v>
      </c>
      <c r="AB30" s="203"/>
      <c r="AC30" s="1155">
        <f t="shared" si="10"/>
        <v>0.32425453882574184</v>
      </c>
      <c r="AD30" s="177">
        <f>1000*(DataUK1!$AO30+DataUK1!$BI30)/DataUK2!$E30</f>
        <v>62.244952047256483</v>
      </c>
      <c r="AE30" s="176">
        <f>1000*DataUK1!$BI30/(R30*DataUK2!$E30)</f>
        <v>53.681110641260808</v>
      </c>
      <c r="AF30" s="546"/>
      <c r="AG30" s="154">
        <f>1000*(DataUK1!$BK30)/(DataUK2!$S30*DataUK2!$E30)</f>
        <v>33.705496360658984</v>
      </c>
      <c r="AH30" s="546"/>
      <c r="AI30" s="176">
        <f>1000*DataUK1!$AO30/(W30*DataUK2!$E30)</f>
        <v>81.544693032559849</v>
      </c>
      <c r="AJ30" s="154">
        <f>1000*(DataUK1!$AQ30+DataUK1!$AT30)/(DataUK2!$X30*DataUK2!$E30)</f>
        <v>115.31145618727255</v>
      </c>
      <c r="AK30" s="154">
        <f>1000*(DataUK1!$AT30)/(DataUK2!$X30*DataUK2!$E30)</f>
        <v>51.24953608323225</v>
      </c>
      <c r="AL30" s="154">
        <f>1000*(DataUK1!$AU30)/(DataUK2!$Y30*DataUK2!$E30)</f>
        <v>72.951547934943363</v>
      </c>
      <c r="AM30" s="2136">
        <f>1000*(DataUK1!AQ30+DataUK1!AT30+DataUK1!BK30)/(DataUK2!Z30*DataUK2!E30)</f>
        <v>59.673678576913495</v>
      </c>
      <c r="AN30" s="303">
        <f t="shared" si="11"/>
        <v>1</v>
      </c>
      <c r="AO30" s="547"/>
      <c r="AP30" s="306">
        <f t="shared" si="12"/>
        <v>0.62788373709153467</v>
      </c>
      <c r="AQ30" s="547"/>
      <c r="AR30" s="305">
        <f t="shared" si="13"/>
        <v>1.5190574870461475</v>
      </c>
      <c r="AS30" s="306">
        <f t="shared" si="14"/>
        <v>2.1480825342432639</v>
      </c>
      <c r="AT30" s="306">
        <f t="shared" si="15"/>
        <v>0.95470334855256178</v>
      </c>
      <c r="AU30" s="306">
        <f t="shared" si="16"/>
        <v>1.3589798546170682</v>
      </c>
      <c r="AV30" s="2137">
        <f t="shared" si="17"/>
        <v>1.1116327114708882</v>
      </c>
      <c r="AW30" s="2133">
        <f t="shared" si="18"/>
        <v>0.78333333333333421</v>
      </c>
    </row>
    <row r="31" spans="1:49" ht="12" customHeight="1">
      <c r="A31" s="79">
        <f t="shared" si="0"/>
        <v>1873</v>
      </c>
      <c r="B31" s="175">
        <v>32177</v>
      </c>
      <c r="C31" s="386">
        <f t="shared" si="24"/>
        <v>0.48114788554946841</v>
      </c>
      <c r="D31" s="175"/>
      <c r="E31" s="561">
        <v>13860</v>
      </c>
      <c r="F31" s="522">
        <f t="shared" si="2"/>
        <v>0.83018348349136717</v>
      </c>
      <c r="G31" s="103"/>
      <c r="H31" s="102"/>
      <c r="I31" s="102"/>
      <c r="J31" s="102"/>
      <c r="K31" s="102"/>
      <c r="L31" s="102"/>
      <c r="M31" s="102"/>
      <c r="N31" s="102"/>
      <c r="O31" s="1133"/>
      <c r="P31" s="352"/>
      <c r="Q31" s="2134"/>
      <c r="R31" s="303">
        <f t="shared" si="5"/>
        <v>0.69814289514672245</v>
      </c>
      <c r="S31" s="203">
        <f t="shared" si="6"/>
        <v>0.13187879401604832</v>
      </c>
      <c r="T31" s="203">
        <f t="shared" si="3"/>
        <v>0.56626410113067416</v>
      </c>
      <c r="U31" s="203">
        <f t="shared" si="7"/>
        <v>0.51739146111699164</v>
      </c>
      <c r="V31" s="203">
        <f t="shared" si="25"/>
        <v>4.8872640013682536E-2</v>
      </c>
      <c r="W31" s="1372">
        <f t="shared" si="4"/>
        <v>0.30185710485327755</v>
      </c>
      <c r="X31" s="2055">
        <f t="shared" si="8"/>
        <v>6.1857104853277563E-2</v>
      </c>
      <c r="Y31" s="385">
        <f t="shared" si="26"/>
        <v>0.24</v>
      </c>
      <c r="Z31" s="203">
        <f t="shared" si="27"/>
        <v>0.19373589886932588</v>
      </c>
      <c r="AA31" s="62">
        <f t="shared" si="19"/>
        <v>0.31928571428571401</v>
      </c>
      <c r="AB31" s="203"/>
      <c r="AC31" s="1155">
        <f t="shared" si="10"/>
        <v>0.31687708710902407</v>
      </c>
      <c r="AD31" s="177">
        <f>1000*(DataUK1!$AO31+DataUK1!$BI31)/DataUK2!$E31</f>
        <v>67.297316927395769</v>
      </c>
      <c r="AE31" s="176">
        <f>1000*DataUK1!$BI31/(R31*DataUK2!$E31)</f>
        <v>57.770251065026081</v>
      </c>
      <c r="AF31" s="546"/>
      <c r="AG31" s="154">
        <f>1000*(DataUK1!$BK31)/(DataUK2!$S31*DataUK2!$E31)</f>
        <v>33.372722536565085</v>
      </c>
      <c r="AH31" s="546"/>
      <c r="AI31" s="176">
        <f>1000*DataUK1!$AO31/(W31*DataUK2!$E31)</f>
        <v>89.331760498439849</v>
      </c>
      <c r="AJ31" s="154">
        <f>1000*(DataUK1!$AQ31+DataUK1!$AT31)/(DataUK2!$X31*DataUK2!$E31)</f>
        <v>129.47030139309311</v>
      </c>
      <c r="AK31" s="154">
        <f>1000*(DataUK1!$AT31)/(DataUK2!$X31*DataUK2!$E31)</f>
        <v>64.151951140721806</v>
      </c>
      <c r="AL31" s="154">
        <f>1000*(DataUK1!$AU31)/(DataUK2!$Y31*DataUK2!$E31)</f>
        <v>78.98653577853095</v>
      </c>
      <c r="AM31" s="2136">
        <f>1000*(DataUK1!AQ31+DataUK1!AT31+DataUK1!BK31)/(DataUK2!Z31*DataUK2!E31)</f>
        <v>64.055306642899367</v>
      </c>
      <c r="AN31" s="303">
        <f t="shared" si="11"/>
        <v>1</v>
      </c>
      <c r="AO31" s="547"/>
      <c r="AP31" s="306">
        <f t="shared" si="12"/>
        <v>0.57768006753165768</v>
      </c>
      <c r="AQ31" s="547"/>
      <c r="AR31" s="305">
        <f t="shared" si="13"/>
        <v>1.5463280642122914</v>
      </c>
      <c r="AS31" s="306">
        <f t="shared" si="14"/>
        <v>2.2411240907947865</v>
      </c>
      <c r="AT31" s="306">
        <f t="shared" si="15"/>
        <v>1.1104668918352545</v>
      </c>
      <c r="AU31" s="306">
        <f t="shared" si="16"/>
        <v>1.3672527697624832</v>
      </c>
      <c r="AV31" s="2137">
        <f t="shared" si="17"/>
        <v>1.1087939806735276</v>
      </c>
      <c r="AW31" s="2133">
        <f t="shared" si="18"/>
        <v>0.80000000000000093</v>
      </c>
    </row>
    <row r="32" spans="1:49" ht="12" customHeight="1">
      <c r="A32" s="79">
        <f t="shared" si="0"/>
        <v>1874</v>
      </c>
      <c r="B32" s="175">
        <v>32501</v>
      </c>
      <c r="C32" s="386">
        <f t="shared" si="24"/>
        <v>0.48114788554946841</v>
      </c>
      <c r="D32" s="175"/>
      <c r="E32" s="561">
        <v>13880</v>
      </c>
      <c r="F32" s="522">
        <f t="shared" si="2"/>
        <v>0.82309346104352932</v>
      </c>
      <c r="G32" s="103"/>
      <c r="H32" s="102"/>
      <c r="I32" s="102"/>
      <c r="J32" s="102"/>
      <c r="K32" s="102"/>
      <c r="L32" s="102"/>
      <c r="M32" s="102"/>
      <c r="N32" s="102"/>
      <c r="O32" s="1133"/>
      <c r="P32" s="352"/>
      <c r="Q32" s="2134"/>
      <c r="R32" s="303">
        <f t="shared" si="5"/>
        <v>0.70363940013916482</v>
      </c>
      <c r="S32" s="203">
        <f t="shared" si="6"/>
        <v>0.13017750449851689</v>
      </c>
      <c r="T32" s="203">
        <f t="shared" si="3"/>
        <v>0.57346189564064787</v>
      </c>
      <c r="U32" s="203">
        <f t="shared" si="7"/>
        <v>0.5242036761045531</v>
      </c>
      <c r="V32" s="203">
        <f t="shared" si="25"/>
        <v>4.9258219536094737E-2</v>
      </c>
      <c r="W32" s="1372">
        <f t="shared" si="4"/>
        <v>0.29636059986083524</v>
      </c>
      <c r="X32" s="2055">
        <f t="shared" si="8"/>
        <v>6.1360599860835259E-2</v>
      </c>
      <c r="Y32" s="385">
        <f t="shared" si="26"/>
        <v>0.23499999999999999</v>
      </c>
      <c r="Z32" s="203">
        <f t="shared" si="27"/>
        <v>0.19153810435935215</v>
      </c>
      <c r="AA32" s="62">
        <f t="shared" si="19"/>
        <v>0.32035714285714256</v>
      </c>
      <c r="AB32" s="203"/>
      <c r="AC32" s="1155">
        <f t="shared" si="10"/>
        <v>0.30953485526542307</v>
      </c>
      <c r="AD32" s="177">
        <f>1000*(DataUK1!$AO32+DataUK1!$BI32)/DataUK2!$E32</f>
        <v>65.01258644222419</v>
      </c>
      <c r="AE32" s="176">
        <f>1000*DataUK1!$BI32/(R32*DataUK2!$E32)</f>
        <v>56.007696405606318</v>
      </c>
      <c r="AF32" s="546"/>
      <c r="AG32" s="154">
        <f>1000*(DataUK1!$BK32)/(DataUK2!$S32*DataUK2!$E32)</f>
        <v>33.760154621533275</v>
      </c>
      <c r="AH32" s="546"/>
      <c r="AI32" s="176">
        <f>1000*DataUK1!$AO32/(W32*DataUK2!$E32)</f>
        <v>86.392606008456255</v>
      </c>
      <c r="AJ32" s="154">
        <f>1000*(DataUK1!$AQ32+DataUK1!$AT32)/(DataUK2!$X32*DataUK2!$E32)</f>
        <v>120.93671340190662</v>
      </c>
      <c r="AK32" s="154">
        <f>1000*(DataUK1!$AT32)/(DataUK2!$X32*DataUK2!$E32)</f>
        <v>55.184713882423409</v>
      </c>
      <c r="AL32" s="154">
        <f>1000*(DataUK1!$AU32)/(DataUK2!$Y32*DataUK2!$E32)</f>
        <v>77.372830896459519</v>
      </c>
      <c r="AM32" s="2136">
        <f>1000*(DataUK1!AQ32+DataUK1!AT32+DataUK1!BK32)/(DataUK2!Z32*DataUK2!E32)</f>
        <v>61.68778791653142</v>
      </c>
      <c r="AN32" s="303">
        <f t="shared" si="11"/>
        <v>1</v>
      </c>
      <c r="AO32" s="547"/>
      <c r="AP32" s="306">
        <f t="shared" si="12"/>
        <v>0.60277706079969962</v>
      </c>
      <c r="AQ32" s="547"/>
      <c r="AR32" s="305">
        <f t="shared" si="13"/>
        <v>1.5425131107482657</v>
      </c>
      <c r="AS32" s="306">
        <f t="shared" si="14"/>
        <v>2.1592874044682362</v>
      </c>
      <c r="AT32" s="306">
        <f t="shared" si="15"/>
        <v>0.98530590300977761</v>
      </c>
      <c r="AU32" s="306">
        <f t="shared" si="16"/>
        <v>1.3814678314231572</v>
      </c>
      <c r="AV32" s="2137">
        <f t="shared" si="17"/>
        <v>1.1014162673249408</v>
      </c>
      <c r="AW32" s="2133">
        <f t="shared" si="18"/>
        <v>0.81666666666666765</v>
      </c>
    </row>
    <row r="33" spans="1:49" ht="12" customHeight="1">
      <c r="A33" s="79">
        <f t="shared" si="0"/>
        <v>1875</v>
      </c>
      <c r="B33" s="175">
        <v>32839</v>
      </c>
      <c r="C33" s="386">
        <f t="shared" si="24"/>
        <v>0.48114788554946841</v>
      </c>
      <c r="D33" s="175"/>
      <c r="E33" s="561">
        <v>13900</v>
      </c>
      <c r="F33" s="522">
        <f t="shared" si="2"/>
        <v>0.8157954629084252</v>
      </c>
      <c r="G33" s="103"/>
      <c r="H33" s="102"/>
      <c r="I33" s="102"/>
      <c r="J33" s="102"/>
      <c r="K33" s="102"/>
      <c r="L33" s="102"/>
      <c r="M33" s="102"/>
      <c r="N33" s="102"/>
      <c r="O33" s="1133"/>
      <c r="P33" s="352"/>
      <c r="Q33" s="2134"/>
      <c r="R33" s="303">
        <f t="shared" si="5"/>
        <v>0.70914061469127132</v>
      </c>
      <c r="S33" s="203">
        <f t="shared" si="6"/>
        <v>0.12848092454064969</v>
      </c>
      <c r="T33" s="203">
        <f t="shared" si="3"/>
        <v>0.58065969015062158</v>
      </c>
      <c r="U33" s="203">
        <f t="shared" si="7"/>
        <v>0.53101589109211467</v>
      </c>
      <c r="V33" s="203">
        <f t="shared" si="25"/>
        <v>4.9643799058506938E-2</v>
      </c>
      <c r="W33" s="1372">
        <f t="shared" si="4"/>
        <v>0.29085938530872868</v>
      </c>
      <c r="X33" s="2055">
        <f t="shared" si="8"/>
        <v>6.0859385308728718E-2</v>
      </c>
      <c r="Y33" s="385">
        <f t="shared" si="26"/>
        <v>0.22999999999999998</v>
      </c>
      <c r="Z33" s="203">
        <f t="shared" si="27"/>
        <v>0.18934030984937841</v>
      </c>
      <c r="AA33" s="62">
        <f t="shared" si="19"/>
        <v>0.32142857142857112</v>
      </c>
      <c r="AB33" s="203"/>
      <c r="AC33" s="1155">
        <f t="shared" si="10"/>
        <v>0.3022275916865978</v>
      </c>
      <c r="AD33" s="177">
        <f>1000*(DataUK1!$AO33+DataUK1!$BI33)/DataUK2!$E33</f>
        <v>64.035209915754493</v>
      </c>
      <c r="AE33" s="176">
        <f>1000*DataUK1!$BI33/(R33*DataUK2!$E33)</f>
        <v>55.188900250087087</v>
      </c>
      <c r="AF33" s="546"/>
      <c r="AG33" s="154">
        <f>1000*(DataUK1!$BK33)/(DataUK2!$S33*DataUK2!$E33)</f>
        <v>34.716683979535318</v>
      </c>
      <c r="AH33" s="546"/>
      <c r="AI33" s="176">
        <f>1000*DataUK1!$AO33/(W33*DataUK2!$E33)</f>
        <v>85.60328641912065</v>
      </c>
      <c r="AJ33" s="154">
        <f>1000*(DataUK1!$AQ33+DataUK1!$AT33)/(DataUK2!$X33*DataUK2!$E33)</f>
        <v>119.39304042424438</v>
      </c>
      <c r="AK33" s="154">
        <f>1000*(DataUK1!$AT33)/(DataUK2!$X33*DataUK2!$E33)</f>
        <v>52.012809689769824</v>
      </c>
      <c r="AL33" s="154">
        <f>1000*(DataUK1!$AU33)/(DataUK2!$Y33*DataUK2!$E33)</f>
        <v>76.662313990925057</v>
      </c>
      <c r="AM33" s="2136">
        <f>1000*(DataUK1!AQ33+DataUK1!AT33+DataUK1!BK33)/(DataUK2!Z33*DataUK2!E33)</f>
        <v>61.934084265334633</v>
      </c>
      <c r="AN33" s="303">
        <f t="shared" si="11"/>
        <v>1</v>
      </c>
      <c r="AO33" s="547"/>
      <c r="AP33" s="306">
        <f t="shared" si="12"/>
        <v>0.62905192569914525</v>
      </c>
      <c r="AQ33" s="547"/>
      <c r="AR33" s="305">
        <f t="shared" si="13"/>
        <v>1.5510960724205691</v>
      </c>
      <c r="AS33" s="306">
        <f t="shared" si="14"/>
        <v>2.1633524111409699</v>
      </c>
      <c r="AT33" s="306">
        <f t="shared" si="15"/>
        <v>0.94245055534854127</v>
      </c>
      <c r="AU33" s="306">
        <f t="shared" si="16"/>
        <v>1.3890893575253673</v>
      </c>
      <c r="AV33" s="2137">
        <f t="shared" si="17"/>
        <v>1.1222199388768741</v>
      </c>
      <c r="AW33" s="2133">
        <f t="shared" si="18"/>
        <v>0.83333333333333437</v>
      </c>
    </row>
    <row r="34" spans="1:49" ht="12" customHeight="1">
      <c r="A34" s="79">
        <f t="shared" si="0"/>
        <v>1876</v>
      </c>
      <c r="B34" s="175">
        <v>33200</v>
      </c>
      <c r="C34" s="386">
        <f t="shared" si="24"/>
        <v>0.48114788554946841</v>
      </c>
      <c r="D34" s="175"/>
      <c r="E34" s="561">
        <v>13820</v>
      </c>
      <c r="F34" s="522">
        <f t="shared" si="2"/>
        <v>0.80228074367932711</v>
      </c>
      <c r="G34" s="103"/>
      <c r="H34" s="102"/>
      <c r="I34" s="102"/>
      <c r="J34" s="102"/>
      <c r="K34" s="102"/>
      <c r="L34" s="102"/>
      <c r="M34" s="102"/>
      <c r="N34" s="102"/>
      <c r="O34" s="1133"/>
      <c r="P34" s="352"/>
      <c r="Q34" s="2134"/>
      <c r="R34" s="303">
        <f t="shared" si="5"/>
        <v>0.71464653880304208</v>
      </c>
      <c r="S34" s="203">
        <f t="shared" si="6"/>
        <v>0.12678905414244673</v>
      </c>
      <c r="T34" s="203">
        <f t="shared" si="3"/>
        <v>0.58785748466059529</v>
      </c>
      <c r="U34" s="203">
        <f t="shared" si="7"/>
        <v>0.53782810607967613</v>
      </c>
      <c r="V34" s="203">
        <f t="shared" si="25"/>
        <v>5.0029378580919139E-2</v>
      </c>
      <c r="W34" s="1372">
        <f t="shared" si="4"/>
        <v>0.28535346119695792</v>
      </c>
      <c r="X34" s="2055">
        <f t="shared" si="8"/>
        <v>6.0353461196957947E-2</v>
      </c>
      <c r="Y34" s="385">
        <f t="shared" si="26"/>
        <v>0.22499999999999998</v>
      </c>
      <c r="Z34" s="203">
        <f t="shared" si="27"/>
        <v>0.18714251533940468</v>
      </c>
      <c r="AA34" s="62">
        <f t="shared" si="19"/>
        <v>0.32249999999999968</v>
      </c>
      <c r="AB34" s="203"/>
      <c r="AC34" s="1155">
        <f t="shared" si="10"/>
        <v>0.29495504715514392</v>
      </c>
      <c r="AD34" s="177">
        <f>1000*(DataUK1!$AO34+DataUK1!$BI34)/DataUK2!$E34</f>
        <v>63.63594850714243</v>
      </c>
      <c r="AE34" s="176">
        <f>1000*DataUK1!$BI34/(R34*DataUK2!$E34)</f>
        <v>54.878211463983249</v>
      </c>
      <c r="AF34" s="546"/>
      <c r="AG34" s="154">
        <f>1000*(DataUK1!$BK34)/(DataUK2!$S34*DataUK2!$E34)</f>
        <v>34.812886164990267</v>
      </c>
      <c r="AH34" s="546"/>
      <c r="AI34" s="176">
        <f>1000*DataUK1!$AO34/(W34*DataUK2!$E34)</f>
        <v>85.569050139720872</v>
      </c>
      <c r="AJ34" s="154">
        <f>1000*(DataUK1!$AQ34+DataUK1!$AT34)/(DataUK2!$X34*DataUK2!$E34)</f>
        <v>119.89188144252607</v>
      </c>
      <c r="AK34" s="154">
        <f>1000*(DataUK1!$AT34)/(DataUK2!$X34*DataUK2!$E34)</f>
        <v>51.553509020286214</v>
      </c>
      <c r="AL34" s="154">
        <f>1000*(DataUK1!$AU34)/(DataUK2!$Y34*DataUK2!$E34)</f>
        <v>76.36237606326047</v>
      </c>
      <c r="AM34" s="2136">
        <f>1000*(DataUK1!AQ34+DataUK1!AT34+DataUK1!BK34)/(DataUK2!Z34*DataUK2!E34)</f>
        <v>62.25086214199554</v>
      </c>
      <c r="AN34" s="303">
        <f t="shared" si="11"/>
        <v>1</v>
      </c>
      <c r="AO34" s="547"/>
      <c r="AP34" s="306">
        <f t="shared" si="12"/>
        <v>0.63436626734524826</v>
      </c>
      <c r="AQ34" s="547"/>
      <c r="AR34" s="305">
        <f t="shared" si="13"/>
        <v>1.559253624653568</v>
      </c>
      <c r="AS34" s="306">
        <f t="shared" si="14"/>
        <v>2.1846900298711724</v>
      </c>
      <c r="AT34" s="306">
        <f t="shared" si="15"/>
        <v>0.93941671284460415</v>
      </c>
      <c r="AU34" s="306">
        <f t="shared" si="16"/>
        <v>1.3914880610381655</v>
      </c>
      <c r="AV34" s="2137">
        <f t="shared" si="17"/>
        <v>1.1343456807598584</v>
      </c>
      <c r="AW34" s="2133">
        <f t="shared" si="18"/>
        <v>0.85000000000000109</v>
      </c>
    </row>
    <row r="35" spans="1:49" ht="12" customHeight="1">
      <c r="A35" s="79">
        <f t="shared" si="0"/>
        <v>1877</v>
      </c>
      <c r="B35" s="175">
        <v>33576</v>
      </c>
      <c r="C35" s="386">
        <f t="shared" si="24"/>
        <v>0.48114788554946841</v>
      </c>
      <c r="D35" s="175"/>
      <c r="E35" s="561">
        <v>13770</v>
      </c>
      <c r="F35" s="522">
        <f t="shared" si="2"/>
        <v>0.79042631991507595</v>
      </c>
      <c r="G35" s="103"/>
      <c r="H35" s="102"/>
      <c r="I35" s="102"/>
      <c r="J35" s="102"/>
      <c r="K35" s="102"/>
      <c r="L35" s="102"/>
      <c r="M35" s="102"/>
      <c r="N35" s="102"/>
      <c r="O35" s="1133"/>
      <c r="P35" s="352"/>
      <c r="Q35" s="2134"/>
      <c r="R35" s="303">
        <f t="shared" si="5"/>
        <v>0.72015717247447708</v>
      </c>
      <c r="S35" s="203">
        <f t="shared" si="6"/>
        <v>0.125101893303908</v>
      </c>
      <c r="T35" s="203">
        <f t="shared" si="3"/>
        <v>0.59505527917056911</v>
      </c>
      <c r="U35" s="203">
        <f t="shared" si="7"/>
        <v>0.54464032106723781</v>
      </c>
      <c r="V35" s="203">
        <f t="shared" si="25"/>
        <v>5.0414958103331339E-2</v>
      </c>
      <c r="W35" s="1372">
        <f t="shared" si="4"/>
        <v>0.27984282752552292</v>
      </c>
      <c r="X35" s="2055">
        <f t="shared" si="8"/>
        <v>5.9842827525522953E-2</v>
      </c>
      <c r="Y35" s="385">
        <f t="shared" si="26"/>
        <v>0.21999999999999997</v>
      </c>
      <c r="Z35" s="203">
        <f t="shared" si="27"/>
        <v>0.18494472082943095</v>
      </c>
      <c r="AA35" s="62">
        <f t="shared" si="19"/>
        <v>0.32357142857142823</v>
      </c>
      <c r="AB35" s="203"/>
      <c r="AC35" s="1155">
        <f t="shared" si="10"/>
        <v>0.28771697481626074</v>
      </c>
      <c r="AD35" s="177">
        <f>1000*(DataUK1!$AO35+DataUK1!$BI35)/DataUK2!$E35</f>
        <v>63.40399167999972</v>
      </c>
      <c r="AE35" s="176">
        <f>1000*DataUK1!$BI35/(R35*DataUK2!$E35)</f>
        <v>54.958550707426255</v>
      </c>
      <c r="AF35" s="546"/>
      <c r="AG35" s="154">
        <f>1000*(DataUK1!$BK35)/(DataUK2!$S35*DataUK2!$E35)</f>
        <v>35.410496189958472</v>
      </c>
      <c r="AH35" s="546"/>
      <c r="AI35" s="176">
        <f>1000*DataUK1!$AO35/(W35*DataUK2!$E35)</f>
        <v>85.137780410225091</v>
      </c>
      <c r="AJ35" s="154">
        <f>1000*(DataUK1!$AQ35+DataUK1!$AT35)/(DataUK2!$X35*DataUK2!$E35)</f>
        <v>112.85918322099799</v>
      </c>
      <c r="AK35" s="154">
        <f>1000*(DataUK1!$AT35)/(DataUK2!$X35*DataUK2!$E35)</f>
        <v>42.473886158440102</v>
      </c>
      <c r="AL35" s="154">
        <f>1000*(DataUK1!$AU35)/(DataUK2!$Y35*DataUK2!$E35)</f>
        <v>77.597202559449471</v>
      </c>
      <c r="AM35" s="2136">
        <f>1000*(DataUK1!AQ35+DataUK1!AT35+DataUK1!BK35)/(DataUK2!Z35*DataUK2!E35)</f>
        <v>60.470678493573388</v>
      </c>
      <c r="AN35" s="303">
        <f t="shared" si="11"/>
        <v>1</v>
      </c>
      <c r="AO35" s="547"/>
      <c r="AP35" s="306">
        <f t="shared" si="12"/>
        <v>0.64431277270151233</v>
      </c>
      <c r="AQ35" s="547"/>
      <c r="AR35" s="305">
        <f t="shared" si="13"/>
        <v>1.5491271024132169</v>
      </c>
      <c r="AS35" s="306">
        <f t="shared" si="14"/>
        <v>2.0535327400063323</v>
      </c>
      <c r="AT35" s="306">
        <f t="shared" si="15"/>
        <v>0.77283490215292072</v>
      </c>
      <c r="AU35" s="306">
        <f t="shared" si="16"/>
        <v>1.4119222861705518</v>
      </c>
      <c r="AV35" s="2137">
        <f t="shared" si="17"/>
        <v>1.1002960906937145</v>
      </c>
      <c r="AW35" s="2133">
        <f t="shared" si="18"/>
        <v>0.86666666666666781</v>
      </c>
    </row>
    <row r="36" spans="1:49" ht="12" customHeight="1">
      <c r="A36" s="79">
        <f t="shared" si="0"/>
        <v>1878</v>
      </c>
      <c r="B36" s="175">
        <v>33932</v>
      </c>
      <c r="C36" s="386">
        <f t="shared" si="24"/>
        <v>0.48114788554946841</v>
      </c>
      <c r="D36" s="175"/>
      <c r="E36" s="561">
        <v>13590</v>
      </c>
      <c r="F36" s="522">
        <f t="shared" si="2"/>
        <v>0.77190953836503406</v>
      </c>
      <c r="G36" s="103"/>
      <c r="H36" s="102"/>
      <c r="I36" s="102"/>
      <c r="J36" s="102"/>
      <c r="K36" s="102"/>
      <c r="L36" s="102"/>
      <c r="M36" s="102"/>
      <c r="N36" s="102"/>
      <c r="O36" s="1133"/>
      <c r="P36" s="352"/>
      <c r="Q36" s="2134"/>
      <c r="R36" s="303">
        <f t="shared" si="5"/>
        <v>0.72567251570557634</v>
      </c>
      <c r="S36" s="203">
        <f t="shared" si="6"/>
        <v>0.12341944202503349</v>
      </c>
      <c r="T36" s="203">
        <f t="shared" si="3"/>
        <v>0.60225307368054282</v>
      </c>
      <c r="U36" s="203">
        <f t="shared" si="7"/>
        <v>0.55145253605479927</v>
      </c>
      <c r="V36" s="203">
        <f t="shared" si="25"/>
        <v>5.080053762574354E-2</v>
      </c>
      <c r="W36" s="1372">
        <f t="shared" si="4"/>
        <v>0.27432748429442366</v>
      </c>
      <c r="X36" s="2055">
        <f t="shared" si="8"/>
        <v>5.9327484294423721E-2</v>
      </c>
      <c r="Y36" s="385">
        <f t="shared" si="26"/>
        <v>0.21499999999999997</v>
      </c>
      <c r="Z36" s="203">
        <f t="shared" si="27"/>
        <v>0.18274692631945721</v>
      </c>
      <c r="AA36" s="62">
        <f t="shared" si="19"/>
        <v>0.32464285714285679</v>
      </c>
      <c r="AB36" s="203"/>
      <c r="AC36" s="1155">
        <f t="shared" si="10"/>
        <v>0.2805131301498206</v>
      </c>
      <c r="AD36" s="177">
        <f>1000*(DataUK1!$AO36+DataUK1!$BI36)/DataUK2!$E36</f>
        <v>61.51906411047613</v>
      </c>
      <c r="AE36" s="176">
        <f>1000*DataUK1!$BI36/(R36*DataUK2!$E36)</f>
        <v>53.336634994403092</v>
      </c>
      <c r="AF36" s="546"/>
      <c r="AG36" s="154">
        <f>1000*(DataUK1!$BK36)/(DataUK2!$S36*DataUK2!$E36)</f>
        <v>35.772411259419606</v>
      </c>
      <c r="AH36" s="546"/>
      <c r="AI36" s="176">
        <f>1000*DataUK1!$AO36/(W36*DataUK2!$E36)</f>
        <v>83.163865529172242</v>
      </c>
      <c r="AJ36" s="154">
        <f>1000*(DataUK1!$AQ36+DataUK1!$AT36)/(DataUK2!$X36*DataUK2!$E36)</f>
        <v>106.66527600796449</v>
      </c>
      <c r="AK36" s="154">
        <f>1000*(DataUK1!$AT36)/(DataUK2!$X36*DataUK2!$E36)</f>
        <v>37.208817212080639</v>
      </c>
      <c r="AL36" s="154">
        <f>1000*(DataUK1!$AU36)/(DataUK2!$Y36*DataUK2!$E36)</f>
        <v>76.678844314858978</v>
      </c>
      <c r="AM36" s="2136">
        <f>1000*(DataUK1!AQ36+DataUK1!AT36+DataUK1!BK36)/(DataUK2!Z36*DataUK2!E36)</f>
        <v>58.78727342242933</v>
      </c>
      <c r="AN36" s="303">
        <f t="shared" si="11"/>
        <v>1</v>
      </c>
      <c r="AO36" s="547"/>
      <c r="AP36" s="306">
        <f t="shared" si="12"/>
        <v>0.67069119120794563</v>
      </c>
      <c r="AQ36" s="547"/>
      <c r="AR36" s="305">
        <f t="shared" si="13"/>
        <v>1.5592259530039547</v>
      </c>
      <c r="AS36" s="306">
        <f t="shared" si="14"/>
        <v>1.9998501221375791</v>
      </c>
      <c r="AT36" s="306">
        <f t="shared" si="15"/>
        <v>0.69762213562938802</v>
      </c>
      <c r="AU36" s="306">
        <f t="shared" si="16"/>
        <v>1.437639332194566</v>
      </c>
      <c r="AV36" s="2137">
        <f t="shared" si="17"/>
        <v>1.1021931441418868</v>
      </c>
      <c r="AW36" s="2133">
        <f t="shared" si="18"/>
        <v>0.88333333333333452</v>
      </c>
    </row>
    <row r="37" spans="1:49" ht="12" customHeight="1">
      <c r="A37" s="79">
        <f t="shared" si="0"/>
        <v>1879</v>
      </c>
      <c r="B37" s="175">
        <v>34304</v>
      </c>
      <c r="C37" s="386">
        <f t="shared" si="24"/>
        <v>0.48114788554946841</v>
      </c>
      <c r="D37" s="175"/>
      <c r="E37" s="561">
        <v>13040</v>
      </c>
      <c r="F37" s="522">
        <f t="shared" si="2"/>
        <v>0.73263765614116583</v>
      </c>
      <c r="G37" s="103"/>
      <c r="H37" s="102"/>
      <c r="I37" s="102"/>
      <c r="J37" s="102"/>
      <c r="K37" s="102"/>
      <c r="L37" s="102"/>
      <c r="M37" s="102"/>
      <c r="N37" s="102"/>
      <c r="O37" s="1133"/>
      <c r="P37" s="352"/>
      <c r="Q37" s="2134"/>
      <c r="R37" s="303">
        <f t="shared" si="5"/>
        <v>0.73119256849633985</v>
      </c>
      <c r="S37" s="203">
        <f t="shared" si="6"/>
        <v>0.12174170030582321</v>
      </c>
      <c r="T37" s="203">
        <f t="shared" si="3"/>
        <v>0.60945086819051664</v>
      </c>
      <c r="U37" s="203">
        <f t="shared" si="7"/>
        <v>0.55826475104236084</v>
      </c>
      <c r="V37" s="203">
        <f t="shared" si="25"/>
        <v>5.1186117148155741E-2</v>
      </c>
      <c r="W37" s="1372">
        <f t="shared" si="4"/>
        <v>0.26880743150366021</v>
      </c>
      <c r="X37" s="2055">
        <f t="shared" si="8"/>
        <v>5.8807431503660267E-2</v>
      </c>
      <c r="Y37" s="385">
        <f t="shared" si="26"/>
        <v>0.20999999999999996</v>
      </c>
      <c r="Z37" s="203">
        <f t="shared" si="27"/>
        <v>0.18054913180948348</v>
      </c>
      <c r="AA37" s="62">
        <f t="shared" si="19"/>
        <v>0.32571428571428535</v>
      </c>
      <c r="AB37" s="203"/>
      <c r="AC37" s="1155">
        <f t="shared" si="10"/>
        <v>0.27334327094283273</v>
      </c>
      <c r="AD37" s="177">
        <f>1000*(DataUK1!$AO37+DataUK1!$BI37)/DataUK2!$E37</f>
        <v>61.796198755892227</v>
      </c>
      <c r="AE37" s="176">
        <f>1000*DataUK1!$BI37/(R37*DataUK2!$E37)</f>
        <v>54.327584950785706</v>
      </c>
      <c r="AF37" s="546"/>
      <c r="AG37" s="154">
        <f>1000*(DataUK1!$BK37)/(DataUK2!$S37*DataUK2!$E37)</f>
        <v>36.535162147094184</v>
      </c>
      <c r="AH37" s="546"/>
      <c r="AI37" s="176">
        <f>1000*DataUK1!$AO37/(W37*DataUK2!$E37)</f>
        <v>82.111838396936491</v>
      </c>
      <c r="AJ37" s="154">
        <f>1000*(DataUK1!$AQ37+DataUK1!$AT37)/(DataUK2!$X37*DataUK2!$E37)</f>
        <v>88.67457382585728</v>
      </c>
      <c r="AK37" s="154">
        <f>1000*(DataUK1!$AT37)/(DataUK2!$X37*DataUK2!$E37)</f>
        <v>16.952492054943306</v>
      </c>
      <c r="AL37" s="154">
        <f>1000*(DataUK1!$AU37)/(DataUK2!$Y37*DataUK2!$E37)</f>
        <v>80.274040234017889</v>
      </c>
      <c r="AM37" s="2136">
        <f>1000*(DataUK1!AQ37+DataUK1!AT37+DataUK1!BK37)/(DataUK2!Z37*DataUK2!E37)</f>
        <v>53.517713379605574</v>
      </c>
      <c r="AN37" s="303">
        <f t="shared" si="11"/>
        <v>1</v>
      </c>
      <c r="AO37" s="547"/>
      <c r="AP37" s="306">
        <f t="shared" si="12"/>
        <v>0.67249744637444631</v>
      </c>
      <c r="AQ37" s="547"/>
      <c r="AR37" s="305">
        <f t="shared" si="13"/>
        <v>1.5114207353652844</v>
      </c>
      <c r="AS37" s="306">
        <f t="shared" si="14"/>
        <v>1.6322200573831109</v>
      </c>
      <c r="AT37" s="306">
        <f t="shared" si="15"/>
        <v>0.31204206979383009</v>
      </c>
      <c r="AU37" s="306">
        <f t="shared" si="16"/>
        <v>1.477592650340275</v>
      </c>
      <c r="AV37" s="2137">
        <f t="shared" si="17"/>
        <v>0.98509281110298241</v>
      </c>
      <c r="AW37" s="2133">
        <f t="shared" si="18"/>
        <v>0.90000000000000124</v>
      </c>
    </row>
    <row r="38" spans="1:49" ht="12" customHeight="1">
      <c r="A38" s="79">
        <f t="shared" si="0"/>
        <v>1880</v>
      </c>
      <c r="B38" s="175">
        <v>34623</v>
      </c>
      <c r="C38" s="386">
        <f t="shared" si="24"/>
        <v>0.48114788554946841</v>
      </c>
      <c r="D38" s="175"/>
      <c r="E38" s="561">
        <v>13950</v>
      </c>
      <c r="F38" s="522">
        <f t="shared" si="2"/>
        <v>0.77654373621970507</v>
      </c>
      <c r="G38" s="103"/>
      <c r="H38" s="102"/>
      <c r="I38" s="102"/>
      <c r="J38" s="102"/>
      <c r="K38" s="102"/>
      <c r="L38" s="102"/>
      <c r="M38" s="102"/>
      <c r="N38" s="102"/>
      <c r="O38" s="1133"/>
      <c r="P38" s="352"/>
      <c r="Q38" s="2134"/>
      <c r="R38" s="303">
        <f t="shared" si="5"/>
        <v>0.73671733084676738</v>
      </c>
      <c r="S38" s="203">
        <f t="shared" si="6"/>
        <v>0.12006866814627717</v>
      </c>
      <c r="T38" s="203">
        <f t="shared" si="3"/>
        <v>0.61664866270049024</v>
      </c>
      <c r="U38" s="203">
        <f t="shared" si="7"/>
        <v>0.5650769660299223</v>
      </c>
      <c r="V38" s="203">
        <f t="shared" si="25"/>
        <v>5.1571696670567942E-2</v>
      </c>
      <c r="W38" s="1372">
        <f t="shared" si="4"/>
        <v>0.26328266915323256</v>
      </c>
      <c r="X38" s="2055">
        <f t="shared" si="8"/>
        <v>5.8282669153232582E-2</v>
      </c>
      <c r="Y38" s="385">
        <f t="shared" si="26"/>
        <v>0.20499999999999996</v>
      </c>
      <c r="Z38" s="203">
        <f t="shared" si="27"/>
        <v>0.17835133729950975</v>
      </c>
      <c r="AA38" s="62">
        <f t="shared" si="19"/>
        <v>0.3267857142857139</v>
      </c>
      <c r="AB38" s="203"/>
      <c r="AC38" s="1155">
        <f t="shared" si="10"/>
        <v>0.26620715726229688</v>
      </c>
      <c r="AD38" s="177">
        <f>1000*(DataUK1!$AO38+DataUK1!$BI38)/DataUK2!$E38</f>
        <v>59.61340206185568</v>
      </c>
      <c r="AE38" s="176">
        <f>1000*DataUK1!$BI38/(R38*DataUK2!$E38)</f>
        <v>51.473130012862939</v>
      </c>
      <c r="AF38" s="546"/>
      <c r="AG38" s="154">
        <f>1000*(DataUK1!$BK38)/(DataUK2!$S38*DataUK2!$E38)</f>
        <v>34.6277355898103</v>
      </c>
      <c r="AH38" s="546"/>
      <c r="AI38" s="176">
        <f>1000*DataUK1!$AO38/(W38*DataUK2!$E38)</f>
        <v>82.391504075133795</v>
      </c>
      <c r="AJ38" s="154">
        <f>1000*(DataUK1!$AQ38+DataUK1!$AT38)/(DataUK2!$X38*DataUK2!$E38)</f>
        <v>91.016070047534342</v>
      </c>
      <c r="AK38" s="154">
        <f>1000*(DataUK1!$AT38)/(DataUK2!$X38*DataUK2!$E38)</f>
        <v>25.828884743219206</v>
      </c>
      <c r="AL38" s="154">
        <f>1000*(DataUK1!$AU38)/(DataUK2!$Y38*DataUK2!$E38)</f>
        <v>79.939490781672092</v>
      </c>
      <c r="AM38" s="2136">
        <f>1000*(DataUK1!AQ38+DataUK1!AT38+DataUK1!BK38)/(DataUK2!Z38*DataUK2!E38)</f>
        <v>53.054637742959379</v>
      </c>
      <c r="AN38" s="303">
        <f t="shared" si="11"/>
        <v>1</v>
      </c>
      <c r="AO38" s="547"/>
      <c r="AP38" s="306">
        <f t="shared" si="12"/>
        <v>0.6727342126106759</v>
      </c>
      <c r="AQ38" s="547"/>
      <c r="AR38" s="305">
        <f t="shared" si="13"/>
        <v>1.6006701759645172</v>
      </c>
      <c r="AS38" s="306">
        <f t="shared" si="14"/>
        <v>1.768224897626971</v>
      </c>
      <c r="AT38" s="306">
        <f t="shared" si="15"/>
        <v>0.50179355202927556</v>
      </c>
      <c r="AU38" s="306">
        <f t="shared" si="16"/>
        <v>1.5530334130000549</v>
      </c>
      <c r="AV38" s="2137">
        <f t="shared" si="17"/>
        <v>1.0307249186070719</v>
      </c>
      <c r="AW38" s="2133">
        <f t="shared" si="18"/>
        <v>0.91666666666666796</v>
      </c>
    </row>
    <row r="39" spans="1:49" ht="12" customHeight="1">
      <c r="A39" s="79">
        <f t="shared" si="0"/>
        <v>1881</v>
      </c>
      <c r="B39" s="175">
        <v>34935</v>
      </c>
      <c r="C39" s="386">
        <f>(4/3)*D39/B39</f>
        <v>0.48272506082725058</v>
      </c>
      <c r="D39" s="175">
        <v>12648</v>
      </c>
      <c r="E39" s="561">
        <v>14300</v>
      </c>
      <c r="F39" s="522">
        <f t="shared" si="2"/>
        <v>0.7913231143821593</v>
      </c>
      <c r="G39" s="103"/>
      <c r="H39" s="102"/>
      <c r="I39" s="102"/>
      <c r="J39" s="102"/>
      <c r="K39" s="102"/>
      <c r="L39" s="102"/>
      <c r="M39" s="102"/>
      <c r="N39" s="102"/>
      <c r="O39" s="1133"/>
      <c r="P39" s="352">
        <f>1575+604+3001+875+352+870+815+861+119+8+1685+2+11+15+1968+78+890+8+164+56+121+67+307+96+215+39+412</f>
        <v>15214</v>
      </c>
      <c r="Q39" s="352">
        <f>1575+119+890+96</f>
        <v>2680</v>
      </c>
      <c r="R39" s="303">
        <f t="shared" si="5"/>
        <v>0.74224680275685939</v>
      </c>
      <c r="S39" s="203">
        <f t="shared" si="6"/>
        <v>0.11840034554639531</v>
      </c>
      <c r="T39" s="203">
        <f t="shared" si="3"/>
        <v>0.62384645721046406</v>
      </c>
      <c r="U39" s="203">
        <f t="shared" si="7"/>
        <v>0.57188918101748387</v>
      </c>
      <c r="V39" s="307">
        <f>0.07*R39</f>
        <v>5.1957276192980163E-2</v>
      </c>
      <c r="W39" s="1372">
        <f t="shared" si="4"/>
        <v>0.25775319724314066</v>
      </c>
      <c r="X39" s="2055">
        <f t="shared" si="8"/>
        <v>5.7753197243140646E-2</v>
      </c>
      <c r="Y39" s="305">
        <v>0.2</v>
      </c>
      <c r="Z39" s="307">
        <f>Q39/P39</f>
        <v>0.17615354278953596</v>
      </c>
      <c r="AA39" s="62">
        <f t="shared" si="19"/>
        <v>0.32785714285714246</v>
      </c>
      <c r="AB39" s="307"/>
      <c r="AC39" s="1155">
        <f t="shared" si="10"/>
        <v>0.25910455142843858</v>
      </c>
      <c r="AD39" s="177">
        <f>1000*(DataUK1!$AO39+DataUK1!$BI39)/DataUK2!$E39</f>
        <v>60.185811277867074</v>
      </c>
      <c r="AE39" s="176">
        <f>1000*DataUK1!$BI39/(R39*DataUK2!$E39)</f>
        <v>51.535079854400564</v>
      </c>
      <c r="AF39" s="546"/>
      <c r="AG39" s="154">
        <f>1000*(DataUK1!$BK39)/(DataUK2!$S39*DataUK2!$E39)</f>
        <v>34.256184280769098</v>
      </c>
      <c r="AH39" s="546"/>
      <c r="AI39" s="176">
        <f>1000*DataUK1!$AO39/(W39*DataUK2!$E39)</f>
        <v>85.097152084706238</v>
      </c>
      <c r="AJ39" s="154">
        <f>1000*(DataUK1!$AQ39+DataUK1!$AT39)/(DataUK2!$X39*DataUK2!$E39)</f>
        <v>93.234931426327506</v>
      </c>
      <c r="AK39" s="154">
        <f>1000*(DataUK1!$AT39)/(DataUK2!$X39*DataUK2!$E39)</f>
        <v>29.060238366647532</v>
      </c>
      <c r="AL39" s="154">
        <f>1000*(DataUK1!$AU39)/(DataUK2!$Y39*DataUK2!$E39)</f>
        <v>82.747238207517213</v>
      </c>
      <c r="AM39" s="2136">
        <f>1000*(DataUK1!AQ39+DataUK1!AT39+DataUK1!BK39)/(DataUK2!Z39*DataUK2!E39)</f>
        <v>53.592787809205717</v>
      </c>
      <c r="AN39" s="303">
        <f t="shared" si="11"/>
        <v>1</v>
      </c>
      <c r="AO39" s="547"/>
      <c r="AP39" s="306">
        <f t="shared" si="12"/>
        <v>0.66471584748779566</v>
      </c>
      <c r="AQ39" s="547"/>
      <c r="AR39" s="305">
        <f t="shared" si="13"/>
        <v>1.6512471179850092</v>
      </c>
      <c r="AS39" s="306">
        <f t="shared" si="14"/>
        <v>1.8091546901593907</v>
      </c>
      <c r="AT39" s="306">
        <f t="shared" si="15"/>
        <v>0.56389237095877109</v>
      </c>
      <c r="AU39" s="306">
        <f t="shared" si="16"/>
        <v>1.6056487821751468</v>
      </c>
      <c r="AV39" s="2137">
        <f t="shared" si="17"/>
        <v>1.0399282966208394</v>
      </c>
      <c r="AW39" s="2133">
        <f t="shared" si="18"/>
        <v>0.93333333333333468</v>
      </c>
    </row>
    <row r="40" spans="1:49" ht="12" customHeight="1">
      <c r="A40" s="79">
        <f t="shared" si="0"/>
        <v>1882</v>
      </c>
      <c r="B40" s="175">
        <v>35206</v>
      </c>
      <c r="C40" s="386">
        <f t="shared" ref="C40:C48" si="28">(C$39+C$49)/2</f>
        <v>0.47299048660641929</v>
      </c>
      <c r="D40" s="175"/>
      <c r="E40" s="561">
        <v>14626</v>
      </c>
      <c r="F40" s="522">
        <f t="shared" si="2"/>
        <v>0.78829800857125532</v>
      </c>
      <c r="G40" s="103"/>
      <c r="H40" s="102"/>
      <c r="I40" s="102"/>
      <c r="J40" s="102"/>
      <c r="K40" s="102"/>
      <c r="L40" s="102"/>
      <c r="M40" s="102"/>
      <c r="N40" s="102"/>
      <c r="O40" s="1133"/>
      <c r="P40" s="352"/>
      <c r="Q40" s="2134"/>
      <c r="R40" s="303">
        <f t="shared" si="5"/>
        <v>0.74543522022674069</v>
      </c>
      <c r="S40" s="203">
        <f t="shared" si="6"/>
        <v>0.11691456484028141</v>
      </c>
      <c r="T40" s="203">
        <f t="shared" si="3"/>
        <v>0.62852065538645929</v>
      </c>
      <c r="U40" s="203">
        <f t="shared" si="7"/>
        <v>0.57549628516769558</v>
      </c>
      <c r="V40" s="203">
        <f t="shared" ref="V40:V68" si="29">V39+(V$69-V$39)/30</f>
        <v>5.3024370218763724E-2</v>
      </c>
      <c r="W40" s="1372">
        <f t="shared" si="4"/>
        <v>0.25456477977325936</v>
      </c>
      <c r="X40" s="2055">
        <f t="shared" si="8"/>
        <v>5.7306181063277797E-2</v>
      </c>
      <c r="Y40" s="385">
        <f t="shared" ref="Y40:Y68" si="30">Y39+(Y$69-Y$39)/30</f>
        <v>0.19725859870998158</v>
      </c>
      <c r="Z40" s="203">
        <f t="shared" ref="Z40:Z68" si="31">Z39+(Z$69-Z$39)/30</f>
        <v>0.17422074590355921</v>
      </c>
      <c r="AA40" s="62">
        <f t="shared" si="19"/>
        <v>0.32892857142857101</v>
      </c>
      <c r="AB40" s="203"/>
      <c r="AC40" s="1155">
        <f t="shared" si="10"/>
        <v>0.25526671241486004</v>
      </c>
      <c r="AD40" s="177">
        <f>1000*(DataUK1!$AO40+DataUK1!$BI40)/DataUK2!$E40</f>
        <v>62.056027102105247</v>
      </c>
      <c r="AE40" s="176">
        <f>1000*DataUK1!$BI40/(R40*DataUK2!$E40)</f>
        <v>53.197658362797213</v>
      </c>
      <c r="AF40" s="546"/>
      <c r="AG40" s="154">
        <f>1000*(DataUK1!$BK40)/(DataUK2!$S40*DataUK2!$E40)</f>
        <v>33.333480987906377</v>
      </c>
      <c r="AH40" s="546"/>
      <c r="AI40" s="176">
        <f>1000*DataUK1!$AO40/(W40*DataUK2!$E40)</f>
        <v>87.995750805900201</v>
      </c>
      <c r="AJ40" s="154">
        <f>1000*(DataUK1!$AQ40+DataUK1!$AT40)/(DataUK2!$X40*DataUK2!$E40)</f>
        <v>100.21950407084596</v>
      </c>
      <c r="AK40" s="154">
        <f>1000*(DataUK1!$AT40)/(DataUK2!$X40*DataUK2!$E40)</f>
        <v>34.599590691125385</v>
      </c>
      <c r="AL40" s="154">
        <f>1000*(DataUK1!$AU40)/(DataUK2!$Y40*DataUK2!$E40)</f>
        <v>84.444591959315673</v>
      </c>
      <c r="AM40" s="2136">
        <f>1000*(DataUK1!AQ40+DataUK1!AT40+DataUK1!BK40)/(DataUK2!Z40*DataUK2!E40)</f>
        <v>55.334205009116118</v>
      </c>
      <c r="AN40" s="303">
        <f t="shared" si="11"/>
        <v>1</v>
      </c>
      <c r="AO40" s="547"/>
      <c r="AP40" s="306">
        <f t="shared" si="12"/>
        <v>0.6265967716206382</v>
      </c>
      <c r="AQ40" s="547"/>
      <c r="AR40" s="305">
        <f t="shared" si="13"/>
        <v>1.6541282739512155</v>
      </c>
      <c r="AS40" s="306">
        <f t="shared" si="14"/>
        <v>1.8839081860966382</v>
      </c>
      <c r="AT40" s="306">
        <f t="shared" si="15"/>
        <v>0.65039687377145838</v>
      </c>
      <c r="AU40" s="306">
        <f t="shared" si="16"/>
        <v>1.587374229583955</v>
      </c>
      <c r="AV40" s="2137">
        <f t="shared" si="17"/>
        <v>1.0401624190250649</v>
      </c>
      <c r="AW40" s="2133">
        <f t="shared" si="18"/>
        <v>0.9500000000000014</v>
      </c>
    </row>
    <row r="41" spans="1:49" ht="12" customHeight="1">
      <c r="A41" s="79">
        <f t="shared" si="0"/>
        <v>1883</v>
      </c>
      <c r="B41" s="175">
        <v>35450</v>
      </c>
      <c r="C41" s="386">
        <f t="shared" si="28"/>
        <v>0.47299048660641929</v>
      </c>
      <c r="D41" s="175"/>
      <c r="E41" s="561">
        <v>14740</v>
      </c>
      <c r="F41" s="522">
        <f t="shared" si="2"/>
        <v>0.7889741768808578</v>
      </c>
      <c r="G41" s="103"/>
      <c r="H41" s="102"/>
      <c r="I41" s="102"/>
      <c r="J41" s="102"/>
      <c r="K41" s="102"/>
      <c r="L41" s="102"/>
      <c r="M41" s="102"/>
      <c r="N41" s="102"/>
      <c r="O41" s="1133"/>
      <c r="P41" s="352"/>
      <c r="Q41" s="2134"/>
      <c r="R41" s="303">
        <f t="shared" si="5"/>
        <v>0.74862777940423464</v>
      </c>
      <c r="S41" s="203">
        <f t="shared" si="6"/>
        <v>0.11543292584178033</v>
      </c>
      <c r="T41" s="203">
        <f t="shared" si="3"/>
        <v>0.63319485356245431</v>
      </c>
      <c r="U41" s="203">
        <f t="shared" si="7"/>
        <v>0.57910338931790706</v>
      </c>
      <c r="V41" s="203">
        <f t="shared" si="29"/>
        <v>5.4091464244547284E-2</v>
      </c>
      <c r="W41" s="1372">
        <f t="shared" si="4"/>
        <v>0.25137222059576531</v>
      </c>
      <c r="X41" s="2055">
        <f t="shared" si="8"/>
        <v>5.6855023175802134E-2</v>
      </c>
      <c r="Y41" s="385">
        <f t="shared" si="30"/>
        <v>0.19451719741996315</v>
      </c>
      <c r="Z41" s="203">
        <f t="shared" si="31"/>
        <v>0.17228794901758246</v>
      </c>
      <c r="AA41" s="62">
        <f t="shared" si="19"/>
        <v>0.32999999999999957</v>
      </c>
      <c r="AB41" s="203"/>
      <c r="AC41" s="1155">
        <f t="shared" si="10"/>
        <v>0.25143746269755407</v>
      </c>
      <c r="AD41" s="177">
        <f>1000*(DataUK1!$AO41+DataUK1!$BI41)/DataUK2!$E41</f>
        <v>61.374592800373243</v>
      </c>
      <c r="AE41" s="176">
        <f>1000*DataUK1!$BI41/(R41*DataUK2!$E41)</f>
        <v>53.195473534640037</v>
      </c>
      <c r="AF41" s="546"/>
      <c r="AG41" s="154">
        <f>1000*(DataUK1!$BK41)/(DataUK2!$S41*DataUK2!$E41)</f>
        <v>33.5002207186064</v>
      </c>
      <c r="AH41" s="546"/>
      <c r="AI41" s="176">
        <f>1000*DataUK1!$AO41/(W41*DataUK2!$E41)</f>
        <v>85.733353998711507</v>
      </c>
      <c r="AJ41" s="154">
        <f>1000*(DataUK1!$AQ41+DataUK1!$AT41)/(DataUK2!$X41*DataUK2!$E41)</f>
        <v>94.267234589890506</v>
      </c>
      <c r="AK41" s="154">
        <f>1000*(DataUK1!$AT41)/(DataUK2!$X41*DataUK2!$E41)</f>
        <v>28.638147217181924</v>
      </c>
      <c r="AL41" s="154">
        <f>1000*(DataUK1!$AU41)/(DataUK2!$Y41*DataUK2!$E41)</f>
        <v>83.23900396063506</v>
      </c>
      <c r="AM41" s="2136">
        <f>1000*(DataUK1!AQ41+DataUK1!AT41+DataUK1!BK41)/(DataUK2!Z41*DataUK2!E41)</f>
        <v>53.553335296130129</v>
      </c>
      <c r="AN41" s="303">
        <f t="shared" si="11"/>
        <v>1</v>
      </c>
      <c r="AO41" s="547"/>
      <c r="AP41" s="306">
        <f t="shared" si="12"/>
        <v>0.62975697916837969</v>
      </c>
      <c r="AQ41" s="547"/>
      <c r="AR41" s="305">
        <f t="shared" si="13"/>
        <v>1.6116663374165345</v>
      </c>
      <c r="AS41" s="306">
        <f t="shared" si="14"/>
        <v>1.7720912763095378</v>
      </c>
      <c r="AT41" s="306">
        <f t="shared" si="15"/>
        <v>0.53835684343580892</v>
      </c>
      <c r="AU41" s="306">
        <f t="shared" si="16"/>
        <v>1.5647760688967485</v>
      </c>
      <c r="AV41" s="2137">
        <f t="shared" si="17"/>
        <v>1.0067272972249615</v>
      </c>
      <c r="AW41" s="2133">
        <f t="shared" si="18"/>
        <v>0.96666666666666812</v>
      </c>
    </row>
    <row r="42" spans="1:49" ht="12" customHeight="1">
      <c r="A42" s="79">
        <f t="shared" si="0"/>
        <v>1884</v>
      </c>
      <c r="B42" s="175">
        <v>35724</v>
      </c>
      <c r="C42" s="386">
        <f t="shared" si="28"/>
        <v>0.47299048660641929</v>
      </c>
      <c r="D42" s="175"/>
      <c r="E42" s="561">
        <v>14040</v>
      </c>
      <c r="F42" s="522">
        <f t="shared" si="2"/>
        <v>0.74574194667937921</v>
      </c>
      <c r="G42" s="103"/>
      <c r="H42" s="102"/>
      <c r="I42" s="102"/>
      <c r="J42" s="102"/>
      <c r="K42" s="102"/>
      <c r="L42" s="102"/>
      <c r="M42" s="102"/>
      <c r="N42" s="102"/>
      <c r="O42" s="1133"/>
      <c r="P42" s="352"/>
      <c r="Q42" s="2134"/>
      <c r="R42" s="303">
        <f t="shared" si="5"/>
        <v>0.75182448028934168</v>
      </c>
      <c r="S42" s="203">
        <f t="shared" si="6"/>
        <v>0.11395542855089204</v>
      </c>
      <c r="T42" s="203">
        <f t="shared" si="3"/>
        <v>0.63786905173844965</v>
      </c>
      <c r="U42" s="203">
        <f t="shared" si="7"/>
        <v>0.58271049346811876</v>
      </c>
      <c r="V42" s="203">
        <f t="shared" si="29"/>
        <v>5.5158558270330844E-2</v>
      </c>
      <c r="W42" s="1372">
        <f t="shared" si="4"/>
        <v>0.24817551971065838</v>
      </c>
      <c r="X42" s="2055">
        <f t="shared" si="8"/>
        <v>5.639972358071367E-2</v>
      </c>
      <c r="Y42" s="385">
        <f t="shared" si="30"/>
        <v>0.19177579612994472</v>
      </c>
      <c r="Z42" s="203">
        <f t="shared" si="31"/>
        <v>0.17035515213160571</v>
      </c>
      <c r="AA42" s="62">
        <f t="shared" si="19"/>
        <v>0.33107142857142813</v>
      </c>
      <c r="AB42" s="203"/>
      <c r="AC42" s="1155">
        <f t="shared" si="10"/>
        <v>0.24761677347377051</v>
      </c>
      <c r="AD42" s="177">
        <f>1000*(DataUK1!$AO42+DataUK1!$BI42)/DataUK2!$E42</f>
        <v>62.116144162308515</v>
      </c>
      <c r="AE42" s="176">
        <f>1000*DataUK1!$BI42/(R42*DataUK2!$E42)</f>
        <v>53.810219694191012</v>
      </c>
      <c r="AF42" s="546"/>
      <c r="AG42" s="154">
        <f>1000*(DataUK1!$BK42)/(DataUK2!$S42*DataUK2!$E42)</f>
        <v>35.00143906547369</v>
      </c>
      <c r="AH42" s="546"/>
      <c r="AI42" s="176">
        <f>1000*DataUK1!$AO42/(W42*DataUK2!$E42)</f>
        <v>87.278163985397356</v>
      </c>
      <c r="AJ42" s="154">
        <f>1000*(DataUK1!$AQ42+DataUK1!$AT42)/(DataUK2!$X42*DataUK2!$E42)</f>
        <v>97.240378784514022</v>
      </c>
      <c r="AK42" s="154">
        <f>1000*(DataUK1!$AT42)/(DataUK2!$X42*DataUK2!$E42)</f>
        <v>30.308689491277097</v>
      </c>
      <c r="AL42" s="154">
        <f>1000*(DataUK1!$AU42)/(DataUK2!$Y42*DataUK2!$E42)</f>
        <v>84.348356510938174</v>
      </c>
      <c r="AM42" s="2136">
        <f>1000*(DataUK1!AQ42+DataUK1!AT42+DataUK1!BK42)/(DataUK2!Z42*DataUK2!E42)</f>
        <v>55.606973751027375</v>
      </c>
      <c r="AN42" s="303">
        <f t="shared" si="11"/>
        <v>1</v>
      </c>
      <c r="AO42" s="547"/>
      <c r="AP42" s="306">
        <f t="shared" si="12"/>
        <v>0.65046080957094121</v>
      </c>
      <c r="AQ42" s="547"/>
      <c r="AR42" s="305">
        <f t="shared" si="13"/>
        <v>1.6219626026693088</v>
      </c>
      <c r="AS42" s="306">
        <f t="shared" si="14"/>
        <v>1.8070987135369647</v>
      </c>
      <c r="AT42" s="306">
        <f t="shared" si="15"/>
        <v>0.56325154707645653</v>
      </c>
      <c r="AU42" s="306">
        <f t="shared" si="16"/>
        <v>1.5675155572732935</v>
      </c>
      <c r="AV42" s="2137">
        <f t="shared" si="17"/>
        <v>1.0333905727768349</v>
      </c>
      <c r="AW42" s="2133">
        <f t="shared" si="18"/>
        <v>0.98333333333333484</v>
      </c>
    </row>
    <row r="43" spans="1:49" ht="12" customHeight="1">
      <c r="A43" s="79">
        <f t="shared" si="0"/>
        <v>1885</v>
      </c>
      <c r="B43" s="175">
        <v>36015</v>
      </c>
      <c r="C43" s="386">
        <f t="shared" si="28"/>
        <v>0.47299048660641929</v>
      </c>
      <c r="D43" s="175"/>
      <c r="E43" s="561">
        <v>14000</v>
      </c>
      <c r="F43" s="522">
        <f t="shared" si="2"/>
        <v>0.73760892253353993</v>
      </c>
      <c r="G43" s="103"/>
      <c r="H43" s="102"/>
      <c r="I43" s="102"/>
      <c r="J43" s="102"/>
      <c r="K43" s="102"/>
      <c r="L43" s="102"/>
      <c r="M43" s="102"/>
      <c r="N43" s="102"/>
      <c r="O43" s="1133"/>
      <c r="P43" s="352"/>
      <c r="Q43" s="2134"/>
      <c r="R43" s="303">
        <f t="shared" si="5"/>
        <v>0.75502532288206137</v>
      </c>
      <c r="S43" s="203">
        <f t="shared" si="6"/>
        <v>0.11248207296761656</v>
      </c>
      <c r="T43" s="203">
        <f t="shared" si="3"/>
        <v>0.64254324991444478</v>
      </c>
      <c r="U43" s="203">
        <f t="shared" si="7"/>
        <v>0.58631759761833036</v>
      </c>
      <c r="V43" s="203">
        <f t="shared" si="29"/>
        <v>5.6225652296114405E-2</v>
      </c>
      <c r="W43" s="1372">
        <f t="shared" si="4"/>
        <v>0.24497467711793869</v>
      </c>
      <c r="X43" s="2055">
        <f t="shared" si="8"/>
        <v>5.5940282278012399E-2</v>
      </c>
      <c r="Y43" s="385">
        <f t="shared" si="30"/>
        <v>0.18903439483992629</v>
      </c>
      <c r="Z43" s="203">
        <f t="shared" si="31"/>
        <v>0.16842235524562896</v>
      </c>
      <c r="AA43" s="62">
        <f t="shared" si="19"/>
        <v>0.33214285714285668</v>
      </c>
      <c r="AB43" s="203"/>
      <c r="AC43" s="1155">
        <f t="shared" si="10"/>
        <v>0.24380461606939577</v>
      </c>
      <c r="AD43" s="177">
        <f>1000*(DataUK1!$AO43+DataUK1!$BI43)/DataUK2!$E43</f>
        <v>60.436033959975752</v>
      </c>
      <c r="AE43" s="176">
        <f>1000*DataUK1!$BI43/(R43*DataUK2!$E43)</f>
        <v>52.505334511872455</v>
      </c>
      <c r="AF43" s="546"/>
      <c r="AG43" s="154">
        <f>1000*(DataUK1!$BK43)/(DataUK2!$S43*DataUK2!$E43)</f>
        <v>34.926200459538641</v>
      </c>
      <c r="AH43" s="546"/>
      <c r="AI43" s="176">
        <f>1000*DataUK1!$AO43/(W43*DataUK2!$E43)</f>
        <v>84.878882428766758</v>
      </c>
      <c r="AJ43" s="154">
        <f>1000*(DataUK1!$AQ43+DataUK1!$AT43)/(DataUK2!$X43*DataUK2!$E43)</f>
        <v>91.934772822527705</v>
      </c>
      <c r="AK43" s="154">
        <f>1000*(DataUK1!$AT43)/(DataUK2!$X43*DataUK2!$E43)</f>
        <v>26.814308739903915</v>
      </c>
      <c r="AL43" s="154">
        <f>1000*(DataUK1!$AU43)/(DataUK2!$Y43*DataUK2!$E43)</f>
        <v>82.79085765060961</v>
      </c>
      <c r="AM43" s="2136">
        <f>1000*(DataUK1!AQ43+DataUK1!AT43+DataUK1!BK43)/(DataUK2!Z43*DataUK2!E43)</f>
        <v>53.861190565817132</v>
      </c>
      <c r="AN43" s="303">
        <f t="shared" si="11"/>
        <v>1</v>
      </c>
      <c r="AO43" s="547"/>
      <c r="AP43" s="306">
        <f t="shared" si="12"/>
        <v>0.6651933710019724</v>
      </c>
      <c r="AQ43" s="547"/>
      <c r="AR43" s="305">
        <f t="shared" si="13"/>
        <v>1.6165763577713046</v>
      </c>
      <c r="AS43" s="306">
        <f t="shared" si="14"/>
        <v>1.7509606152826149</v>
      </c>
      <c r="AT43" s="306">
        <f t="shared" si="15"/>
        <v>0.51069684612409605</v>
      </c>
      <c r="AU43" s="306">
        <f t="shared" si="16"/>
        <v>1.5768084980372616</v>
      </c>
      <c r="AV43" s="2137">
        <f t="shared" si="17"/>
        <v>1.0258232057094712</v>
      </c>
      <c r="AW43" s="2133">
        <v>1</v>
      </c>
    </row>
    <row r="44" spans="1:49" ht="12" customHeight="1">
      <c r="A44" s="79">
        <f t="shared" si="0"/>
        <v>1886</v>
      </c>
      <c r="B44" s="175">
        <v>36313</v>
      </c>
      <c r="C44" s="386">
        <f t="shared" si="28"/>
        <v>0.47299048660641929</v>
      </c>
      <c r="D44" s="175"/>
      <c r="E44" s="561">
        <v>13990</v>
      </c>
      <c r="F44" s="522">
        <f t="shared" si="2"/>
        <v>0.73103324857525587</v>
      </c>
      <c r="G44" s="103"/>
      <c r="H44" s="102"/>
      <c r="I44" s="102"/>
      <c r="J44" s="102"/>
      <c r="K44" s="102"/>
      <c r="L44" s="102"/>
      <c r="M44" s="102"/>
      <c r="N44" s="102"/>
      <c r="O44" s="1133"/>
      <c r="P44" s="352"/>
      <c r="Q44" s="2134"/>
      <c r="R44" s="303">
        <f t="shared" si="5"/>
        <v>0.75823030718239381</v>
      </c>
      <c r="S44" s="203">
        <f t="shared" si="6"/>
        <v>0.11101285909195388</v>
      </c>
      <c r="T44" s="203">
        <f t="shared" si="3"/>
        <v>0.64721744809043991</v>
      </c>
      <c r="U44" s="203">
        <f t="shared" si="7"/>
        <v>0.58992470176854195</v>
      </c>
      <c r="V44" s="203">
        <f t="shared" si="29"/>
        <v>5.7292746321897965E-2</v>
      </c>
      <c r="W44" s="1372">
        <f t="shared" si="4"/>
        <v>0.24176969281760619</v>
      </c>
      <c r="X44" s="2055">
        <f t="shared" si="8"/>
        <v>5.5476699267698319E-2</v>
      </c>
      <c r="Y44" s="385">
        <f t="shared" si="30"/>
        <v>0.18629299354990786</v>
      </c>
      <c r="Z44" s="203">
        <f t="shared" si="31"/>
        <v>0.16648955835965221</v>
      </c>
      <c r="AA44" s="62">
        <f t="shared" si="19"/>
        <v>0.33321428571428524</v>
      </c>
      <c r="AB44" s="203"/>
      <c r="AC44" s="1155">
        <f t="shared" si="10"/>
        <v>0.24000096193823511</v>
      </c>
      <c r="AD44" s="177">
        <f>1000*(DataUK1!$AO44+DataUK1!$BI44)/DataUK2!$E44</f>
        <v>60.497834587730736</v>
      </c>
      <c r="AE44" s="176">
        <f>1000*DataUK1!$BI44/(R44*DataUK2!$E44)</f>
        <v>51.943683632122045</v>
      </c>
      <c r="AF44" s="546"/>
      <c r="AG44" s="154">
        <f>1000*(DataUK1!$BK44)/(DataUK2!$S44*DataUK2!$E44)</f>
        <v>34.76984522417488</v>
      </c>
      <c r="AH44" s="546"/>
      <c r="AI44" s="176">
        <f>1000*DataUK1!$AO44/(W44*DataUK2!$E44)</f>
        <v>87.325086718331235</v>
      </c>
      <c r="AJ44" s="154">
        <f>1000*(DataUK1!$AQ44+DataUK1!$AT44)/(DataUK2!$X44*DataUK2!$E44)</f>
        <v>94.057738387678697</v>
      </c>
      <c r="AK44" s="154">
        <f>1000*(DataUK1!$AT44)/(DataUK2!$X44*DataUK2!$E44)</f>
        <v>30.92309207266149</v>
      </c>
      <c r="AL44" s="154">
        <f>1000*(DataUK1!$AU44)/(DataUK2!$Y44*DataUK2!$E44)</f>
        <v>85.320151992568228</v>
      </c>
      <c r="AM44" s="2136">
        <f>1000*(DataUK1!AQ44+DataUK1!AT44+DataUK1!BK44)/(DataUK2!Z44*DataUK2!E44)</f>
        <v>54.525418196156657</v>
      </c>
      <c r="AN44" s="303">
        <f t="shared" si="11"/>
        <v>1</v>
      </c>
      <c r="AO44" s="547"/>
      <c r="AP44" s="306">
        <f t="shared" si="12"/>
        <v>0.66937580843175237</v>
      </c>
      <c r="AQ44" s="547"/>
      <c r="AR44" s="305">
        <f t="shared" si="13"/>
        <v>1.681149287308713</v>
      </c>
      <c r="AS44" s="306">
        <f t="shared" si="14"/>
        <v>1.8107637312328242</v>
      </c>
      <c r="AT44" s="306">
        <f t="shared" si="15"/>
        <v>0.59531958287106557</v>
      </c>
      <c r="AU44" s="306">
        <f t="shared" si="16"/>
        <v>1.6425510481086891</v>
      </c>
      <c r="AV44" s="2137">
        <f t="shared" si="17"/>
        <v>1.0497025698508233</v>
      </c>
      <c r="AW44" s="2133">
        <f t="shared" ref="AW44:AW75" si="32">AW43</f>
        <v>1</v>
      </c>
    </row>
    <row r="45" spans="1:49" ht="12" customHeight="1">
      <c r="A45" s="79">
        <f t="shared" si="0"/>
        <v>1887</v>
      </c>
      <c r="B45" s="175">
        <v>36598</v>
      </c>
      <c r="C45" s="386">
        <f t="shared" si="28"/>
        <v>0.47299048660641929</v>
      </c>
      <c r="D45" s="175"/>
      <c r="E45" s="561">
        <v>14530</v>
      </c>
      <c r="F45" s="522">
        <f t="shared" ref="F45:F76" si="33">E45/((1-C45)*B45)</f>
        <v>0.75333788158507931</v>
      </c>
      <c r="G45" s="103"/>
      <c r="H45" s="102"/>
      <c r="I45" s="102"/>
      <c r="J45" s="102"/>
      <c r="K45" s="102"/>
      <c r="L45" s="102"/>
      <c r="M45" s="102"/>
      <c r="N45" s="102"/>
      <c r="O45" s="1133"/>
      <c r="P45" s="352"/>
      <c r="Q45" s="2134"/>
      <c r="R45" s="303">
        <f t="shared" si="5"/>
        <v>0.76143943319033913</v>
      </c>
      <c r="S45" s="203">
        <f t="shared" si="6"/>
        <v>0.10954778692390402</v>
      </c>
      <c r="T45" s="203">
        <f t="shared" ref="T45:T76" si="34">R45-S45</f>
        <v>0.65189164626643514</v>
      </c>
      <c r="U45" s="203">
        <f t="shared" si="7"/>
        <v>0.59353180591875365</v>
      </c>
      <c r="V45" s="203">
        <f t="shared" si="29"/>
        <v>5.8359840347681526E-2</v>
      </c>
      <c r="W45" s="1372">
        <f t="shared" si="4"/>
        <v>0.23856056680966087</v>
      </c>
      <c r="X45" s="2055">
        <f t="shared" si="8"/>
        <v>5.5008974549771432E-2</v>
      </c>
      <c r="Y45" s="385">
        <f t="shared" si="30"/>
        <v>0.18355159225988943</v>
      </c>
      <c r="Z45" s="203">
        <f t="shared" si="31"/>
        <v>0.16455676147367546</v>
      </c>
      <c r="AA45" s="62">
        <f t="shared" si="19"/>
        <v>0.3342857142857138</v>
      </c>
      <c r="AB45" s="203"/>
      <c r="AC45" s="1155">
        <f t="shared" si="10"/>
        <v>0.23620578266130052</v>
      </c>
      <c r="AD45" s="177">
        <f>1000*(DataUK1!$AO45+DataUK1!$BI45)/DataUK2!$E45</f>
        <v>60.706615242005739</v>
      </c>
      <c r="AE45" s="176">
        <f>1000*DataUK1!$BI45/(R45*DataUK2!$E45)</f>
        <v>52.33323543408509</v>
      </c>
      <c r="AF45" s="546"/>
      <c r="AG45" s="154">
        <f>1000*(DataUK1!$BK45)/(DataUK2!$S45*DataUK2!$E45)</f>
        <v>33.925365642975329</v>
      </c>
      <c r="AH45" s="546"/>
      <c r="AI45" s="176">
        <f>1000*DataUK1!$AO45/(W45*DataUK2!$E45)</f>
        <v>87.432832655454376</v>
      </c>
      <c r="AJ45" s="154">
        <f>1000*(DataUK1!$AQ45+DataUK1!$AT45)/(DataUK2!$X45*DataUK2!$E45)</f>
        <v>87.578777087199867</v>
      </c>
      <c r="AK45" s="154">
        <f>1000*(DataUK1!$AT45)/(DataUK2!$X45*DataUK2!$E45)</f>
        <v>27.524758513119959</v>
      </c>
      <c r="AL45" s="154">
        <f>1000*(DataUK1!$AU45)/(DataUK2!$Y45*DataUK2!$E45)</f>
        <v>87.389094252356259</v>
      </c>
      <c r="AM45" s="2136">
        <f>1000*(DataUK1!AQ45+DataUK1!AT45+DataUK1!BK45)/(DataUK2!Z45*DataUK2!E45)</f>
        <v>51.860934611473219</v>
      </c>
      <c r="AN45" s="303">
        <f t="shared" si="11"/>
        <v>1</v>
      </c>
      <c r="AO45" s="547"/>
      <c r="AP45" s="306">
        <f t="shared" si="12"/>
        <v>0.64825660713649369</v>
      </c>
      <c r="AQ45" s="547"/>
      <c r="AR45" s="305">
        <f t="shared" si="13"/>
        <v>1.6706941951941425</v>
      </c>
      <c r="AS45" s="306">
        <f t="shared" si="14"/>
        <v>1.6734829475144404</v>
      </c>
      <c r="AT45" s="306">
        <f t="shared" si="15"/>
        <v>0.52595178350453842</v>
      </c>
      <c r="AU45" s="306">
        <f t="shared" si="16"/>
        <v>1.6698584279663891</v>
      </c>
      <c r="AV45" s="2137">
        <f t="shared" si="17"/>
        <v>0.9909751266342639</v>
      </c>
      <c r="AW45" s="2133">
        <f t="shared" si="32"/>
        <v>1</v>
      </c>
    </row>
    <row r="46" spans="1:49" ht="12" customHeight="1">
      <c r="A46" s="79">
        <f t="shared" si="0"/>
        <v>1888</v>
      </c>
      <c r="B46" s="175">
        <v>36881</v>
      </c>
      <c r="C46" s="386">
        <f t="shared" si="28"/>
        <v>0.47299048660641929</v>
      </c>
      <c r="D46" s="175"/>
      <c r="E46" s="561">
        <v>15100</v>
      </c>
      <c r="F46" s="522">
        <f t="shared" si="33"/>
        <v>0.77688333270748411</v>
      </c>
      <c r="G46" s="103"/>
      <c r="H46" s="102"/>
      <c r="I46" s="102"/>
      <c r="J46" s="102"/>
      <c r="K46" s="102"/>
      <c r="L46" s="102"/>
      <c r="M46" s="102"/>
      <c r="N46" s="102"/>
      <c r="O46" s="1133"/>
      <c r="P46" s="352"/>
      <c r="Q46" s="2134"/>
      <c r="R46" s="303">
        <f t="shared" si="5"/>
        <v>0.76465270090589721</v>
      </c>
      <c r="S46" s="203">
        <f t="shared" si="6"/>
        <v>0.10808685646346697</v>
      </c>
      <c r="T46" s="203">
        <f t="shared" si="34"/>
        <v>0.65656584444243027</v>
      </c>
      <c r="U46" s="203">
        <f t="shared" si="7"/>
        <v>0.59713891006896513</v>
      </c>
      <c r="V46" s="203">
        <f t="shared" si="29"/>
        <v>5.9426934373465086E-2</v>
      </c>
      <c r="W46" s="1372">
        <f t="shared" si="4"/>
        <v>0.23534729909410274</v>
      </c>
      <c r="X46" s="2055">
        <f t="shared" si="8"/>
        <v>5.4537108124231737E-2</v>
      </c>
      <c r="Y46" s="385">
        <f t="shared" si="30"/>
        <v>0.180810190969871</v>
      </c>
      <c r="Z46" s="203">
        <f t="shared" si="31"/>
        <v>0.1626239645876987</v>
      </c>
      <c r="AA46" s="62">
        <f t="shared" si="19"/>
        <v>0.33535714285714235</v>
      </c>
      <c r="AB46" s="203"/>
      <c r="AC46" s="1155">
        <f t="shared" si="10"/>
        <v>0.23241904994610274</v>
      </c>
      <c r="AD46" s="177">
        <f>1000*(DataUK1!$AO46+DataUK1!$BI46)/DataUK2!$E46</f>
        <v>61.978817384808792</v>
      </c>
      <c r="AE46" s="176">
        <f>1000*DataUK1!$BI46/(R46*DataUK2!$E46)</f>
        <v>53.177411924990089</v>
      </c>
      <c r="AF46" s="546"/>
      <c r="AG46" s="154">
        <f>1000*(DataUK1!$BK46)/(DataUK2!$S46*DataUK2!$E46)</f>
        <v>33.085974163806696</v>
      </c>
      <c r="AH46" s="546"/>
      <c r="AI46" s="176">
        <f>1000*DataUK1!$AO46/(W46*DataUK2!$E46)</f>
        <v>90.574932498614757</v>
      </c>
      <c r="AJ46" s="154">
        <f>1000*(DataUK1!$AQ46+DataUK1!$AT46)/(DataUK2!$X46*DataUK2!$E46)</f>
        <v>86.216283127005724</v>
      </c>
      <c r="AK46" s="154">
        <f>1000*(DataUK1!$AT46)/(DataUK2!$X46*DataUK2!$E46)</f>
        <v>27.929218477762419</v>
      </c>
      <c r="AL46" s="154">
        <f>1000*(DataUK1!$AU46)/(DataUK2!$Y46*DataUK2!$E46)</f>
        <v>91.889615762760315</v>
      </c>
      <c r="AM46" s="2136">
        <f>1000*(DataUK1!AQ46+DataUK1!AT46+DataUK1!BK46)/(DataUK2!Z46*DataUK2!E46)</f>
        <v>50.903602776822346</v>
      </c>
      <c r="AN46" s="303">
        <f t="shared" si="11"/>
        <v>1</v>
      </c>
      <c r="AO46" s="547"/>
      <c r="AP46" s="306">
        <f t="shared" si="12"/>
        <v>0.62218097809040496</v>
      </c>
      <c r="AQ46" s="547"/>
      <c r="AR46" s="305">
        <f t="shared" si="13"/>
        <v>1.7032595084991369</v>
      </c>
      <c r="AS46" s="306">
        <f t="shared" si="14"/>
        <v>1.621295207984528</v>
      </c>
      <c r="AT46" s="306">
        <f t="shared" si="15"/>
        <v>0.52520830681188935</v>
      </c>
      <c r="AU46" s="306">
        <f t="shared" si="16"/>
        <v>1.727982096841721</v>
      </c>
      <c r="AV46" s="2137">
        <f t="shared" si="17"/>
        <v>0.95724107161561212</v>
      </c>
      <c r="AW46" s="2133">
        <f t="shared" si="32"/>
        <v>1</v>
      </c>
    </row>
    <row r="47" spans="1:49" ht="12" customHeight="1">
      <c r="A47" s="79">
        <f t="shared" si="0"/>
        <v>1889</v>
      </c>
      <c r="B47" s="175">
        <v>37178</v>
      </c>
      <c r="C47" s="386">
        <f t="shared" si="28"/>
        <v>0.47299048660641929</v>
      </c>
      <c r="D47" s="175"/>
      <c r="E47" s="561">
        <v>15720</v>
      </c>
      <c r="F47" s="522">
        <f t="shared" si="33"/>
        <v>0.80232082265263316</v>
      </c>
      <c r="G47" s="103"/>
      <c r="H47" s="102"/>
      <c r="I47" s="102"/>
      <c r="J47" s="102"/>
      <c r="K47" s="102"/>
      <c r="L47" s="102"/>
      <c r="M47" s="102"/>
      <c r="N47" s="102"/>
      <c r="O47" s="1133"/>
      <c r="P47" s="352"/>
      <c r="Q47" s="2134"/>
      <c r="R47" s="303">
        <f t="shared" si="5"/>
        <v>0.76787011032906816</v>
      </c>
      <c r="S47" s="203">
        <f t="shared" si="6"/>
        <v>0.10663006771064272</v>
      </c>
      <c r="T47" s="203">
        <f t="shared" si="34"/>
        <v>0.66124004261842539</v>
      </c>
      <c r="U47" s="203">
        <f t="shared" si="7"/>
        <v>0.60074601421917673</v>
      </c>
      <c r="V47" s="203">
        <f t="shared" si="29"/>
        <v>6.0494028399248646E-2</v>
      </c>
      <c r="W47" s="1372">
        <f t="shared" si="4"/>
        <v>0.23212988967093179</v>
      </c>
      <c r="X47" s="2055">
        <f t="shared" si="8"/>
        <v>5.4061099991079234E-2</v>
      </c>
      <c r="Y47" s="385">
        <f t="shared" si="30"/>
        <v>0.17806878967985257</v>
      </c>
      <c r="Z47" s="203">
        <f t="shared" si="31"/>
        <v>0.16069116770172195</v>
      </c>
      <c r="AA47" s="62">
        <f t="shared" si="19"/>
        <v>0.33642857142857091</v>
      </c>
      <c r="AB47" s="203"/>
      <c r="AC47" s="1155">
        <f t="shared" si="10"/>
        <v>0.22864073562594811</v>
      </c>
      <c r="AD47" s="177">
        <f>1000*(DataUK1!$AO47+DataUK1!$BI47)/DataUK2!$E47</f>
        <v>64.758269720101779</v>
      </c>
      <c r="AE47" s="176">
        <f>1000*DataUK1!$BI47/(R47*DataUK2!$E47)</f>
        <v>55.836680565393657</v>
      </c>
      <c r="AF47" s="546"/>
      <c r="AG47" s="154">
        <f>1000*(DataUK1!$BK47)/(DataUK2!$S47*DataUK2!$E47)</f>
        <v>32.215252016331</v>
      </c>
      <c r="AH47" s="546"/>
      <c r="AI47" s="176">
        <f>1000*DataUK1!$AO47/(W47*DataUK2!$E47)</f>
        <v>94.270288436208602</v>
      </c>
      <c r="AJ47" s="154">
        <f>1000*(DataUK1!$AQ47+DataUK1!$AT47)/(DataUK2!$X47*DataUK2!$E47)</f>
        <v>84.721780957315119</v>
      </c>
      <c r="AK47" s="154">
        <f>1000*(DataUK1!$AT47)/(DataUK2!$X47*DataUK2!$E47)</f>
        <v>28.240593652438374</v>
      </c>
      <c r="AL47" s="154">
        <f>1000*(DataUK1!$AU47)/(DataUK2!$Y47*DataUK2!$E47)</f>
        <v>97.169183961416039</v>
      </c>
      <c r="AM47" s="2136">
        <f>1000*(DataUK1!AQ47+DataUK1!AT47+DataUK1!BK47)/(DataUK2!Z47*DataUK2!E47)</f>
        <v>49.879948538619203</v>
      </c>
      <c r="AN47" s="303">
        <f t="shared" si="11"/>
        <v>1</v>
      </c>
      <c r="AO47" s="547"/>
      <c r="AP47" s="306">
        <f t="shared" si="12"/>
        <v>0.57695499965478436</v>
      </c>
      <c r="AQ47" s="547"/>
      <c r="AR47" s="305">
        <f t="shared" si="13"/>
        <v>1.6883218608563786</v>
      </c>
      <c r="AS47" s="306">
        <f t="shared" si="14"/>
        <v>1.5173140684481128</v>
      </c>
      <c r="AT47" s="306">
        <f t="shared" si="15"/>
        <v>0.50577135614937097</v>
      </c>
      <c r="AU47" s="306">
        <f t="shared" si="16"/>
        <v>1.7402392652553089</v>
      </c>
      <c r="AV47" s="2137">
        <f t="shared" si="17"/>
        <v>0.89331865779882513</v>
      </c>
      <c r="AW47" s="2133">
        <f t="shared" si="32"/>
        <v>1</v>
      </c>
    </row>
    <row r="48" spans="1:49" ht="12" customHeight="1">
      <c r="A48" s="79">
        <f t="shared" si="0"/>
        <v>1890</v>
      </c>
      <c r="B48" s="175">
        <v>37485</v>
      </c>
      <c r="C48" s="386">
        <f t="shared" si="28"/>
        <v>0.47299048660641929</v>
      </c>
      <c r="D48" s="175"/>
      <c r="E48" s="561">
        <v>15880</v>
      </c>
      <c r="F48" s="522">
        <f t="shared" si="33"/>
        <v>0.80384909636106183</v>
      </c>
      <c r="G48" s="103"/>
      <c r="H48" s="102"/>
      <c r="I48" s="102"/>
      <c r="J48" s="102"/>
      <c r="K48" s="102"/>
      <c r="L48" s="102"/>
      <c r="M48" s="102"/>
      <c r="N48" s="102"/>
      <c r="O48" s="1133"/>
      <c r="P48" s="352"/>
      <c r="Q48" s="2134"/>
      <c r="R48" s="303">
        <f t="shared" si="5"/>
        <v>0.77109166145985197</v>
      </c>
      <c r="S48" s="203">
        <f t="shared" si="6"/>
        <v>0.10517742066543129</v>
      </c>
      <c r="T48" s="203">
        <f t="shared" si="34"/>
        <v>0.66591424079442074</v>
      </c>
      <c r="U48" s="203">
        <f t="shared" si="7"/>
        <v>0.60435311836938854</v>
      </c>
      <c r="V48" s="203">
        <f t="shared" si="29"/>
        <v>6.1561122425032207E-2</v>
      </c>
      <c r="W48" s="1372">
        <f t="shared" si="4"/>
        <v>0.22890833854014805</v>
      </c>
      <c r="X48" s="2055">
        <f t="shared" si="8"/>
        <v>5.3580950150313923E-2</v>
      </c>
      <c r="Y48" s="385">
        <f t="shared" si="30"/>
        <v>0.17532738838983414</v>
      </c>
      <c r="Z48" s="203">
        <f t="shared" si="31"/>
        <v>0.1587583708157452</v>
      </c>
      <c r="AA48" s="62">
        <f t="shared" si="19"/>
        <v>0.33749999999999947</v>
      </c>
      <c r="AB48" s="203"/>
      <c r="AC48" s="1155">
        <f t="shared" si="10"/>
        <v>0.22487081165924022</v>
      </c>
      <c r="AD48" s="177">
        <f>1000*(DataUK1!$AO48+DataUK1!$BI48)/DataUK2!$E48</f>
        <v>65.869017632241807</v>
      </c>
      <c r="AE48" s="176">
        <f>1000*DataUK1!$BI48/(R48*DataUK2!$E48)</f>
        <v>57.493156674576511</v>
      </c>
      <c r="AF48" s="546"/>
      <c r="AG48" s="154">
        <f>1000*(DataUK1!$BK48)/(DataUK2!$S48*DataUK2!$E48)</f>
        <v>32.929844149213956</v>
      </c>
      <c r="AH48" s="546"/>
      <c r="AI48" s="176">
        <f>1000*DataUK1!$AO48/(W48*DataUK2!$E48)</f>
        <v>94.083614720281403</v>
      </c>
      <c r="AJ48" s="154">
        <f>1000*(DataUK1!$AQ48+DataUK1!$AT48)/(DataUK2!$X48*DataUK2!$E48)</f>
        <v>91.671364116397854</v>
      </c>
      <c r="AK48" s="154">
        <f>1000*(DataUK1!$AT48)/(DataUK2!$X48*DataUK2!$E48)</f>
        <v>35.258216967845328</v>
      </c>
      <c r="AL48" s="154">
        <f>1000*(DataUK1!$AU48)/(DataUK2!$Y48*DataUK2!$E48)</f>
        <v>94.820810891077969</v>
      </c>
      <c r="AM48" s="2136">
        <f>1000*(DataUK1!AQ48+DataUK1!AT48+DataUK1!BK48)/(DataUK2!Z48*DataUK2!E48)</f>
        <v>52.755107138138484</v>
      </c>
      <c r="AN48" s="303">
        <f t="shared" si="11"/>
        <v>1</v>
      </c>
      <c r="AO48" s="547"/>
      <c r="AP48" s="306">
        <f t="shared" si="12"/>
        <v>0.57276110851946904</v>
      </c>
      <c r="AQ48" s="547"/>
      <c r="AR48" s="305">
        <f t="shared" si="13"/>
        <v>1.6364315365881659</v>
      </c>
      <c r="AS48" s="306">
        <f t="shared" si="14"/>
        <v>1.5944743586663237</v>
      </c>
      <c r="AT48" s="306">
        <f t="shared" si="15"/>
        <v>0.61325936871781683</v>
      </c>
      <c r="AU48" s="306">
        <f t="shared" si="16"/>
        <v>1.6492538655997602</v>
      </c>
      <c r="AV48" s="2137">
        <f t="shared" si="17"/>
        <v>0.9175893304440319</v>
      </c>
      <c r="AW48" s="2133">
        <f t="shared" si="32"/>
        <v>1</v>
      </c>
    </row>
    <row r="49" spans="1:49" ht="12" customHeight="1">
      <c r="A49" s="79">
        <f t="shared" si="0"/>
        <v>1891</v>
      </c>
      <c r="B49" s="175">
        <v>37802</v>
      </c>
      <c r="C49" s="386">
        <f>(4/3)*D49/B49</f>
        <v>0.46325591238558805</v>
      </c>
      <c r="D49" s="175">
        <v>13134</v>
      </c>
      <c r="E49" s="561">
        <v>15810</v>
      </c>
      <c r="F49" s="522">
        <f t="shared" si="33"/>
        <v>0.77920157713159188</v>
      </c>
      <c r="G49" s="103"/>
      <c r="H49" s="102"/>
      <c r="I49" s="102"/>
      <c r="J49" s="102"/>
      <c r="K49" s="102"/>
      <c r="L49" s="102"/>
      <c r="M49" s="102"/>
      <c r="N49" s="102"/>
      <c r="O49" s="1133"/>
      <c r="P49" s="352"/>
      <c r="Q49" s="2134"/>
      <c r="R49" s="303">
        <f t="shared" si="5"/>
        <v>0.77431735429824844</v>
      </c>
      <c r="S49" s="203">
        <f t="shared" si="6"/>
        <v>0.10372891532783265</v>
      </c>
      <c r="T49" s="203">
        <f t="shared" si="34"/>
        <v>0.67058843897041576</v>
      </c>
      <c r="U49" s="203">
        <f t="shared" si="7"/>
        <v>0.60796022251960002</v>
      </c>
      <c r="V49" s="203">
        <f t="shared" si="29"/>
        <v>6.262821645081576E-2</v>
      </c>
      <c r="W49" s="1372">
        <f t="shared" si="4"/>
        <v>0.22568264570175151</v>
      </c>
      <c r="X49" s="2055">
        <f t="shared" si="8"/>
        <v>5.3096658601935805E-2</v>
      </c>
      <c r="Y49" s="385">
        <f t="shared" si="30"/>
        <v>0.17258598709981571</v>
      </c>
      <c r="Z49" s="203">
        <f t="shared" si="31"/>
        <v>0.15682557392976845</v>
      </c>
      <c r="AA49" s="62">
        <f t="shared" si="19"/>
        <v>0.33857142857142802</v>
      </c>
      <c r="AB49" s="203"/>
      <c r="AC49" s="1155">
        <f t="shared" si="10"/>
        <v>0.2211092501287866</v>
      </c>
      <c r="AD49" s="177">
        <f>1000*(DataUK1!$AO49+DataUK1!$BI49)/DataUK2!$E49</f>
        <v>64.769133459835544</v>
      </c>
      <c r="AE49" s="176">
        <f>1000*DataUK1!$BI49/(R49*DataUK2!$E49)</f>
        <v>57.588829842183195</v>
      </c>
      <c r="AF49" s="546"/>
      <c r="AG49" s="154">
        <f>1000*(DataUK1!$BK49)/(DataUK2!$S49*DataUK2!$E49)</f>
        <v>32.927749813070186</v>
      </c>
      <c r="AH49" s="546"/>
      <c r="AI49" s="176">
        <f>1000*DataUK1!$AO49/(W49*DataUK2!$E49)</f>
        <v>89.404761436415768</v>
      </c>
      <c r="AJ49" s="154">
        <f>1000*(DataUK1!$AQ49+DataUK1!$AT49)/(DataUK2!$X49*DataUK2!$E49)</f>
        <v>89.343343667671917</v>
      </c>
      <c r="AK49" s="154">
        <f>1000*(DataUK1!$AT49)/(DataUK2!$X49*DataUK2!$E49)</f>
        <v>32.163603720361891</v>
      </c>
      <c r="AL49" s="154">
        <f>1000*(DataUK1!$AU49)/(DataUK2!$Y49*DataUK2!$E49)</f>
        <v>89.423656819255854</v>
      </c>
      <c r="AM49" s="2136">
        <f>1000*(DataUK1!AQ49+DataUK1!AT49+DataUK1!BK49)/(DataUK2!Z49*DataUK2!E49)</f>
        <v>52.02845801812817</v>
      </c>
      <c r="AN49" s="303">
        <f t="shared" si="11"/>
        <v>1</v>
      </c>
      <c r="AO49" s="547"/>
      <c r="AP49" s="306">
        <f t="shared" si="12"/>
        <v>0.57177320503482365</v>
      </c>
      <c r="AQ49" s="547"/>
      <c r="AR49" s="305">
        <f t="shared" si="13"/>
        <v>1.5524670614322458</v>
      </c>
      <c r="AS49" s="306">
        <f t="shared" si="14"/>
        <v>1.5514005739048526</v>
      </c>
      <c r="AT49" s="306">
        <f t="shared" si="15"/>
        <v>0.55850420660574696</v>
      </c>
      <c r="AU49" s="306">
        <f t="shared" si="16"/>
        <v>1.5527951699020979</v>
      </c>
      <c r="AV49" s="2137">
        <f t="shared" si="17"/>
        <v>0.90344704278081867</v>
      </c>
      <c r="AW49" s="2133">
        <f t="shared" si="32"/>
        <v>1</v>
      </c>
    </row>
    <row r="50" spans="1:49" ht="12" customHeight="1">
      <c r="A50" s="79">
        <f t="shared" si="0"/>
        <v>1892</v>
      </c>
      <c r="B50" s="175">
        <v>38134</v>
      </c>
      <c r="C50" s="386">
        <f t="shared" ref="C50:C57" si="35">C49+(C$58-C$49)/10</f>
        <v>0.46027863848392636</v>
      </c>
      <c r="D50" s="520"/>
      <c r="E50" s="561">
        <v>15530</v>
      </c>
      <c r="F50" s="522">
        <f t="shared" si="33"/>
        <v>0.75455254149812034</v>
      </c>
      <c r="G50" s="103"/>
      <c r="H50" s="102"/>
      <c r="I50" s="102"/>
      <c r="J50" s="102"/>
      <c r="K50" s="102"/>
      <c r="L50" s="102"/>
      <c r="M50" s="102"/>
      <c r="N50" s="102"/>
      <c r="O50" s="1133"/>
      <c r="P50" s="352"/>
      <c r="Q50" s="2134"/>
      <c r="R50" s="303">
        <f t="shared" si="5"/>
        <v>0.77754718884425778</v>
      </c>
      <c r="S50" s="203">
        <f t="shared" si="6"/>
        <v>0.10228455169784682</v>
      </c>
      <c r="T50" s="203">
        <f t="shared" si="34"/>
        <v>0.67526263714641099</v>
      </c>
      <c r="U50" s="203">
        <f t="shared" si="7"/>
        <v>0.61156732666981162</v>
      </c>
      <c r="V50" s="203">
        <f t="shared" si="29"/>
        <v>6.3695310476599321E-2</v>
      </c>
      <c r="W50" s="1372">
        <f t="shared" si="4"/>
        <v>0.22245281115574217</v>
      </c>
      <c r="X50" s="2055">
        <f t="shared" si="8"/>
        <v>5.2608225345944878E-2</v>
      </c>
      <c r="Y50" s="385">
        <f t="shared" si="30"/>
        <v>0.16984458580979728</v>
      </c>
      <c r="Z50" s="203">
        <f t="shared" si="31"/>
        <v>0.1548927770437917</v>
      </c>
      <c r="AA50" s="62">
        <f t="shared" si="19"/>
        <v>0.33964285714285658</v>
      </c>
      <c r="AB50" s="203"/>
      <c r="AC50" s="1155">
        <f t="shared" si="10"/>
        <v>0.21735602324110898</v>
      </c>
      <c r="AD50" s="177">
        <f>1000*(DataUK1!$AO50+DataUK1!$BI50)/DataUK2!$E50</f>
        <v>64.262717321313588</v>
      </c>
      <c r="AE50" s="176">
        <f>1000*DataUK1!$BI50/(R50*DataUK2!$E50)</f>
        <v>58.052350228139545</v>
      </c>
      <c r="AF50" s="546"/>
      <c r="AG50" s="154">
        <f>1000*(DataUK1!$BK50)/(DataUK2!$S50*DataUK2!$E50)</f>
        <v>33.994781808863337</v>
      </c>
      <c r="AH50" s="546"/>
      <c r="AI50" s="176">
        <f>1000*DataUK1!$AO50/(W50*DataUK2!$E50)</f>
        <v>85.970033357916165</v>
      </c>
      <c r="AJ50" s="154">
        <f>1000*(DataUK1!$AQ50+DataUK1!$AT50)/(DataUK2!$X50*DataUK2!$E50)</f>
        <v>93.022602307682448</v>
      </c>
      <c r="AK50" s="154">
        <f>1000*(DataUK1!$AT50)/(DataUK2!$X50*DataUK2!$E50)</f>
        <v>35.49546667003672</v>
      </c>
      <c r="AL50" s="154">
        <f>1000*(DataUK1!$AU50)/(DataUK2!$Y50*DataUK2!$E50)</f>
        <v>83.785547259592065</v>
      </c>
      <c r="AM50" s="2136">
        <f>1000*(DataUK1!AQ50+DataUK1!AT50+DataUK1!BK50)/(DataUK2!Z50*DataUK2!E50)</f>
        <v>54.043159413997941</v>
      </c>
      <c r="AN50" s="303">
        <f t="shared" si="11"/>
        <v>1</v>
      </c>
      <c r="AO50" s="547"/>
      <c r="AP50" s="306">
        <f t="shared" si="12"/>
        <v>0.58558838143963976</v>
      </c>
      <c r="AQ50" s="547"/>
      <c r="AR50" s="305">
        <f t="shared" si="13"/>
        <v>1.4809053039207389</v>
      </c>
      <c r="AS50" s="306">
        <f t="shared" si="14"/>
        <v>1.602391667901705</v>
      </c>
      <c r="AT50" s="306">
        <f t="shared" si="15"/>
        <v>0.61143892590986104</v>
      </c>
      <c r="AU50" s="306">
        <f t="shared" si="16"/>
        <v>1.4432757145976658</v>
      </c>
      <c r="AV50" s="2137">
        <f t="shared" si="17"/>
        <v>0.93093835480586207</v>
      </c>
      <c r="AW50" s="2133">
        <f t="shared" si="32"/>
        <v>1</v>
      </c>
    </row>
    <row r="51" spans="1:49" ht="12" customHeight="1">
      <c r="A51" s="79">
        <f t="shared" si="0"/>
        <v>1893</v>
      </c>
      <c r="B51" s="175">
        <v>38490</v>
      </c>
      <c r="C51" s="386">
        <f t="shared" si="35"/>
        <v>0.45730136458226467</v>
      </c>
      <c r="D51" s="520"/>
      <c r="E51" s="561">
        <v>15500</v>
      </c>
      <c r="F51" s="522">
        <f t="shared" si="33"/>
        <v>0.74203613983595296</v>
      </c>
      <c r="G51" s="103"/>
      <c r="H51" s="102"/>
      <c r="I51" s="102"/>
      <c r="J51" s="102"/>
      <c r="K51" s="102"/>
      <c r="L51" s="102"/>
      <c r="M51" s="102"/>
      <c r="N51" s="102"/>
      <c r="O51" s="1133"/>
      <c r="P51" s="352"/>
      <c r="Q51" s="2134"/>
      <c r="R51" s="303">
        <f t="shared" si="5"/>
        <v>0.78078116509787998</v>
      </c>
      <c r="S51" s="203">
        <f t="shared" si="6"/>
        <v>0.10084432977547381</v>
      </c>
      <c r="T51" s="203">
        <f t="shared" si="34"/>
        <v>0.67993683532240623</v>
      </c>
      <c r="U51" s="203">
        <f t="shared" si="7"/>
        <v>0.61517443082002332</v>
      </c>
      <c r="V51" s="203">
        <f t="shared" si="29"/>
        <v>6.4762404502382881E-2</v>
      </c>
      <c r="W51" s="1372">
        <f t="shared" si="4"/>
        <v>0.21921883490211999</v>
      </c>
      <c r="X51" s="2055">
        <f t="shared" si="8"/>
        <v>5.2115650382341151E-2</v>
      </c>
      <c r="Y51" s="385">
        <f t="shared" si="30"/>
        <v>0.16710318451977885</v>
      </c>
      <c r="Z51" s="203">
        <f t="shared" si="31"/>
        <v>0.15295998015781495</v>
      </c>
      <c r="AA51" s="62">
        <f t="shared" si="19"/>
        <v>0.34071428571428514</v>
      </c>
      <c r="AB51" s="203"/>
      <c r="AC51" s="1155">
        <f t="shared" si="10"/>
        <v>0.21361110332575903</v>
      </c>
      <c r="AD51" s="177">
        <f>1000*(DataUK1!$AO51+DataUK1!$BI51)/DataUK2!$E51</f>
        <v>63.935483870967744</v>
      </c>
      <c r="AE51" s="176">
        <f>1000*DataUK1!$BI51/(R51*DataUK2!$E51)</f>
        <v>58.171683525454704</v>
      </c>
      <c r="AF51" s="546"/>
      <c r="AG51" s="154">
        <f>1000*(DataUK1!$BK51)/(DataUK2!$S51*DataUK2!$E51)</f>
        <v>34.547018910221787</v>
      </c>
      <c r="AH51" s="546"/>
      <c r="AI51" s="176">
        <f>1000*DataUK1!$AO51/(W51*DataUK2!$E51)</f>
        <v>84.464133935049034</v>
      </c>
      <c r="AJ51" s="154">
        <f>1000*(DataUK1!$AQ51+DataUK1!$AT51)/(DataUK2!$X51*DataUK2!$E51)</f>
        <v>87.893850075455006</v>
      </c>
      <c r="AK51" s="154">
        <f>1000*(DataUK1!$AT51)/(DataUK2!$X51*DataUK2!$E51)</f>
        <v>30.948538758963029</v>
      </c>
      <c r="AL51" s="154">
        <f>1000*(DataUK1!$AU51)/(DataUK2!$Y51*DataUK2!$E51)</f>
        <v>83.394484138740609</v>
      </c>
      <c r="AM51" s="2136">
        <f>1000*(DataUK1!AQ51+DataUK1!AT51+DataUK1!BK51)/(DataUK2!Z51*DataUK2!E51)</f>
        <v>52.723046385804793</v>
      </c>
      <c r="AN51" s="303">
        <f t="shared" si="11"/>
        <v>1</v>
      </c>
      <c r="AO51" s="547"/>
      <c r="AP51" s="306">
        <f t="shared" si="12"/>
        <v>0.59388033518240435</v>
      </c>
      <c r="AQ51" s="547"/>
      <c r="AR51" s="305">
        <f t="shared" si="13"/>
        <v>1.4519802215813353</v>
      </c>
      <c r="AS51" s="306">
        <f t="shared" si="14"/>
        <v>1.5109387376934778</v>
      </c>
      <c r="AT51" s="306">
        <f t="shared" si="15"/>
        <v>0.53202068228643584</v>
      </c>
      <c r="AU51" s="306">
        <f t="shared" si="16"/>
        <v>1.4335924127457811</v>
      </c>
      <c r="AV51" s="2137">
        <f t="shared" si="17"/>
        <v>0.90633523375224812</v>
      </c>
      <c r="AW51" s="2133">
        <f t="shared" si="32"/>
        <v>1</v>
      </c>
    </row>
    <row r="52" spans="1:49" ht="12" customHeight="1">
      <c r="A52" s="79">
        <f t="shared" si="0"/>
        <v>1894</v>
      </c>
      <c r="B52" s="175">
        <v>38859</v>
      </c>
      <c r="C52" s="386">
        <f t="shared" si="35"/>
        <v>0.45432409068060298</v>
      </c>
      <c r="D52" s="520"/>
      <c r="E52" s="561">
        <v>15780</v>
      </c>
      <c r="F52" s="522">
        <f t="shared" si="33"/>
        <v>0.74418446157688167</v>
      </c>
      <c r="G52" s="103"/>
      <c r="H52" s="102"/>
      <c r="I52" s="102"/>
      <c r="J52" s="102"/>
      <c r="K52" s="102"/>
      <c r="L52" s="102"/>
      <c r="M52" s="102"/>
      <c r="N52" s="102"/>
      <c r="O52" s="1133"/>
      <c r="P52" s="352"/>
      <c r="Q52" s="2134"/>
      <c r="R52" s="303">
        <f t="shared" si="5"/>
        <v>0.78401928305911495</v>
      </c>
      <c r="S52" s="203">
        <f t="shared" si="6"/>
        <v>9.9408249560713591E-2</v>
      </c>
      <c r="T52" s="203">
        <f t="shared" si="34"/>
        <v>0.68461103349840136</v>
      </c>
      <c r="U52" s="203">
        <f t="shared" si="7"/>
        <v>0.61878153497023491</v>
      </c>
      <c r="V52" s="203">
        <f t="shared" si="29"/>
        <v>6.5829498528166441E-2</v>
      </c>
      <c r="W52" s="1372">
        <f t="shared" si="4"/>
        <v>0.21598071694088503</v>
      </c>
      <c r="X52" s="2055">
        <f t="shared" si="8"/>
        <v>5.1618933711124609E-2</v>
      </c>
      <c r="Y52" s="385">
        <f t="shared" si="30"/>
        <v>0.16436178322976042</v>
      </c>
      <c r="Z52" s="203">
        <f t="shared" si="31"/>
        <v>0.1510271832718382</v>
      </c>
      <c r="AA52" s="62">
        <f t="shared" si="19"/>
        <v>0.34178571428571369</v>
      </c>
      <c r="AB52" s="203"/>
      <c r="AC52" s="1155">
        <f t="shared" si="10"/>
        <v>0.20987446283463851</v>
      </c>
      <c r="AD52" s="177">
        <f>1000*(DataUK1!$AO52+DataUK1!$BI52)/DataUK2!$E52</f>
        <v>66.223067173637517</v>
      </c>
      <c r="AE52" s="176">
        <f>1000*DataUK1!$BI52/(R52*DataUK2!$E52)</f>
        <v>58.358410471263497</v>
      </c>
      <c r="AF52" s="546"/>
      <c r="AG52" s="154">
        <f>1000*(DataUK1!$BK52)/(DataUK2!$S52*DataUK2!$E52)</f>
        <v>34.424237898376276</v>
      </c>
      <c r="AH52" s="546"/>
      <c r="AI52" s="176">
        <f>1000*DataUK1!$AO52/(W52*DataUK2!$E52)</f>
        <v>94.7721089429035</v>
      </c>
      <c r="AJ52" s="154">
        <f>1000*(DataUK1!$AQ52+DataUK1!$AT52)/(DataUK2!$X52*DataUK2!$E52)</f>
        <v>82.254331048597308</v>
      </c>
      <c r="AK52" s="154">
        <f>1000*(DataUK1!$AT52)/(DataUK2!$X52*DataUK2!$E52)</f>
        <v>27.008884821927477</v>
      </c>
      <c r="AL52" s="154">
        <f>1000*(DataUK1!$AU52)/(DataUK2!$Y52*DataUK2!$E52)</f>
        <v>98.703402061289282</v>
      </c>
      <c r="AM52" s="2136">
        <f>1000*(DataUK1!AQ52+DataUK1!AT52+DataUK1!BK52)/(DataUK2!Z52*DataUK2!E52)</f>
        <v>50.771880450076793</v>
      </c>
      <c r="AN52" s="303">
        <f t="shared" si="11"/>
        <v>1</v>
      </c>
      <c r="AO52" s="547"/>
      <c r="AP52" s="306">
        <f t="shared" si="12"/>
        <v>0.58987620842290167</v>
      </c>
      <c r="AQ52" s="547"/>
      <c r="AR52" s="305">
        <f t="shared" si="13"/>
        <v>1.6239665915775863</v>
      </c>
      <c r="AS52" s="306">
        <f t="shared" si="14"/>
        <v>1.4094683248629689</v>
      </c>
      <c r="AT52" s="306">
        <f t="shared" si="15"/>
        <v>0.46281049473112418</v>
      </c>
      <c r="AU52" s="306">
        <f t="shared" si="16"/>
        <v>1.6913312282535904</v>
      </c>
      <c r="AV52" s="2137">
        <f t="shared" si="17"/>
        <v>0.87000108536330989</v>
      </c>
      <c r="AW52" s="2133">
        <f t="shared" si="32"/>
        <v>1</v>
      </c>
    </row>
    <row r="53" spans="1:49" ht="12" customHeight="1">
      <c r="A53" s="79">
        <f t="shared" si="0"/>
        <v>1895</v>
      </c>
      <c r="B53" s="175">
        <v>39221</v>
      </c>
      <c r="C53" s="386">
        <f t="shared" si="35"/>
        <v>0.45134681677894128</v>
      </c>
      <c r="D53" s="520"/>
      <c r="E53" s="561">
        <v>16150</v>
      </c>
      <c r="F53" s="522">
        <f t="shared" si="33"/>
        <v>0.75050909730487969</v>
      </c>
      <c r="G53" s="103"/>
      <c r="H53" s="102"/>
      <c r="I53" s="102"/>
      <c r="J53" s="102"/>
      <c r="K53" s="102"/>
      <c r="L53" s="102"/>
      <c r="M53" s="102"/>
      <c r="N53" s="102"/>
      <c r="O53" s="1133"/>
      <c r="P53" s="352"/>
      <c r="Q53" s="2134"/>
      <c r="R53" s="303">
        <f t="shared" si="5"/>
        <v>0.78726154272796278</v>
      </c>
      <c r="S53" s="203">
        <f t="shared" si="6"/>
        <v>9.797631105356619E-2</v>
      </c>
      <c r="T53" s="203">
        <f t="shared" si="34"/>
        <v>0.68928523167439659</v>
      </c>
      <c r="U53" s="203">
        <f t="shared" si="7"/>
        <v>0.62238863912044662</v>
      </c>
      <c r="V53" s="203">
        <f t="shared" si="29"/>
        <v>6.6896592553950002E-2</v>
      </c>
      <c r="W53" s="1372">
        <f t="shared" si="4"/>
        <v>0.21273845727203725</v>
      </c>
      <c r="X53" s="2055">
        <f t="shared" si="8"/>
        <v>5.1118075332295267E-2</v>
      </c>
      <c r="Y53" s="385">
        <f t="shared" si="30"/>
        <v>0.16162038193974199</v>
      </c>
      <c r="Z53" s="203">
        <f t="shared" si="31"/>
        <v>0.14909438638586145</v>
      </c>
      <c r="AA53" s="62">
        <f t="shared" si="19"/>
        <v>0.34285714285714225</v>
      </c>
      <c r="AB53" s="203"/>
      <c r="AC53" s="1155">
        <f t="shared" si="10"/>
        <v>0.20614607434132359</v>
      </c>
      <c r="AD53" s="177">
        <f>1000*(DataUK1!$AO53+DataUK1!$BI53)/DataUK2!$E53</f>
        <v>65.758513931888544</v>
      </c>
      <c r="AE53" s="176">
        <f>1000*DataUK1!$BI53/(R53*DataUK2!$E53)</f>
        <v>57.966345929296359</v>
      </c>
      <c r="AF53" s="546"/>
      <c r="AG53" s="154">
        <f>1000*(DataUK1!$BK53)/(DataUK2!$S53*DataUK2!$E53)</f>
        <v>34.127160073886962</v>
      </c>
      <c r="AH53" s="546"/>
      <c r="AI53" s="176">
        <f>1000*DataUK1!$AO53/(W53*DataUK2!$E53)</f>
        <v>94.59426973071804</v>
      </c>
      <c r="AJ53" s="154">
        <f>1000*(DataUK1!$AQ53+DataUK1!$AT53)/(DataUK2!$X53*DataUK2!$E53)</f>
        <v>82.368639437591597</v>
      </c>
      <c r="AK53" s="154">
        <f>1000*(DataUK1!$AT53)/(DataUK2!$X53*DataUK2!$E53)</f>
        <v>29.071284507385268</v>
      </c>
      <c r="AL53" s="154">
        <f>1000*(DataUK1!$AU53)/(DataUK2!$Y53*DataUK2!$E53)</f>
        <v>98.46105115276562</v>
      </c>
      <c r="AM53" s="2136">
        <f>1000*(DataUK1!AQ53+DataUK1!AT53+DataUK1!BK53)/(DataUK2!Z53*DataUK2!E53)</f>
        <v>50.667095855728519</v>
      </c>
      <c r="AN53" s="303">
        <f t="shared" si="11"/>
        <v>1</v>
      </c>
      <c r="AO53" s="547"/>
      <c r="AP53" s="306">
        <f t="shared" si="12"/>
        <v>0.58874092418233659</v>
      </c>
      <c r="AQ53" s="547"/>
      <c r="AR53" s="305">
        <f t="shared" si="13"/>
        <v>1.6318825727966031</v>
      </c>
      <c r="AS53" s="306">
        <f t="shared" si="14"/>
        <v>1.4209734651561372</v>
      </c>
      <c r="AT53" s="306">
        <f t="shared" si="15"/>
        <v>0.50152004652569548</v>
      </c>
      <c r="AU53" s="306">
        <f t="shared" si="16"/>
        <v>1.6985899244513725</v>
      </c>
      <c r="AV53" s="2137">
        <f t="shared" si="17"/>
        <v>0.87407779537335339</v>
      </c>
      <c r="AW53" s="2133">
        <f t="shared" si="32"/>
        <v>1</v>
      </c>
    </row>
    <row r="54" spans="1:49" ht="12" customHeight="1">
      <c r="A54" s="110">
        <v>1896</v>
      </c>
      <c r="B54" s="519">
        <v>39599</v>
      </c>
      <c r="C54" s="386">
        <f t="shared" si="35"/>
        <v>0.44836954287727959</v>
      </c>
      <c r="D54" s="521"/>
      <c r="E54" s="542">
        <v>16760</v>
      </c>
      <c r="F54" s="522">
        <f t="shared" si="33"/>
        <v>0.76725823551289696</v>
      </c>
      <c r="G54" s="1156"/>
      <c r="H54" s="350"/>
      <c r="I54" s="350"/>
      <c r="J54" s="350"/>
      <c r="K54" s="350"/>
      <c r="L54" s="350"/>
      <c r="M54" s="350"/>
      <c r="N54" s="350"/>
      <c r="O54" s="1133"/>
      <c r="P54" s="352"/>
      <c r="Q54" s="2134"/>
      <c r="R54" s="303">
        <f t="shared" si="5"/>
        <v>0.79050794410442338</v>
      </c>
      <c r="S54" s="203">
        <f t="shared" si="6"/>
        <v>9.6548514254031589E-2</v>
      </c>
      <c r="T54" s="203">
        <f t="shared" si="34"/>
        <v>0.69395942985039183</v>
      </c>
      <c r="U54" s="203">
        <f t="shared" si="7"/>
        <v>0.62599574327065821</v>
      </c>
      <c r="V54" s="203">
        <f t="shared" si="29"/>
        <v>6.7963686579733562E-2</v>
      </c>
      <c r="W54" s="1372">
        <f t="shared" si="4"/>
        <v>0.20949205589557668</v>
      </c>
      <c r="X54" s="2055">
        <f t="shared" si="8"/>
        <v>5.0613075245853109E-2</v>
      </c>
      <c r="Y54" s="385">
        <f t="shared" si="30"/>
        <v>0.15887898064972356</v>
      </c>
      <c r="Z54" s="203">
        <f t="shared" si="31"/>
        <v>0.1471615894998847</v>
      </c>
      <c r="AA54" s="62">
        <f t="shared" si="19"/>
        <v>0.34392857142857081</v>
      </c>
      <c r="AB54" s="203"/>
      <c r="AC54" s="1155">
        <f t="shared" si="10"/>
        <v>0.20242591054039391</v>
      </c>
      <c r="AD54" s="177">
        <f>1000*(DataUK1!$AO54+DataUK1!$BI54)/DataUK2!$E54</f>
        <v>64.916467780429599</v>
      </c>
      <c r="AE54" s="176">
        <f>1000*DataUK1!$BI54/(R54*DataUK2!$E54)</f>
        <v>57.816063228833194</v>
      </c>
      <c r="AF54" s="546"/>
      <c r="AG54" s="154">
        <f>1000*(DataUK1!$BK54)/(DataUK2!$S54*DataUK2!$E54)</f>
        <v>33.371378787822749</v>
      </c>
      <c r="AH54" s="546"/>
      <c r="AI54" s="176">
        <f>1000*DataUK1!$AO54/(W54*DataUK2!$E54)</f>
        <v>91.709494276813672</v>
      </c>
      <c r="AJ54" s="154">
        <f>1000*(DataUK1!$AQ54+DataUK1!$AT54)/(DataUK2!$X54*DataUK2!$E54)</f>
        <v>82.520395337220478</v>
      </c>
      <c r="AK54" s="154">
        <f>1000*(DataUK1!$AT54)/(DataUK2!$X54*DataUK2!$E54)</f>
        <v>31.829295344356471</v>
      </c>
      <c r="AL54" s="154">
        <f>1000*(DataUK1!$AU54)/(DataUK2!$Y54*DataUK2!$E54)</f>
        <v>94.636807595222905</v>
      </c>
      <c r="AM54" s="2136">
        <f>1000*(DataUK1!AQ54+DataUK1!AT54+DataUK1!BK54)/(DataUK2!Z54*DataUK2!E54)</f>
        <v>50.275129836776294</v>
      </c>
      <c r="AN54" s="303">
        <f t="shared" si="11"/>
        <v>1</v>
      </c>
      <c r="AO54" s="547"/>
      <c r="AP54" s="306">
        <f t="shared" si="12"/>
        <v>0.57719908489342209</v>
      </c>
      <c r="AQ54" s="547"/>
      <c r="AR54" s="305">
        <f t="shared" si="13"/>
        <v>1.5862286215135732</v>
      </c>
      <c r="AS54" s="306">
        <f t="shared" si="14"/>
        <v>1.4272918412069795</v>
      </c>
      <c r="AT54" s="306">
        <f t="shared" si="15"/>
        <v>0.55052685303697779</v>
      </c>
      <c r="AU54" s="306">
        <f t="shared" si="16"/>
        <v>1.6368601096317295</v>
      </c>
      <c r="AV54" s="2137">
        <f t="shared" si="17"/>
        <v>0.86957027215412008</v>
      </c>
      <c r="AW54" s="2133">
        <f t="shared" si="32"/>
        <v>1</v>
      </c>
    </row>
    <row r="55" spans="1:49" ht="12" customHeight="1">
      <c r="A55" s="110">
        <f t="shared" ref="A55:A77" si="36">A54+1</f>
        <v>1897</v>
      </c>
      <c r="B55" s="519">
        <v>39987</v>
      </c>
      <c r="C55" s="386">
        <f t="shared" si="35"/>
        <v>0.4453922689756179</v>
      </c>
      <c r="D55" s="521"/>
      <c r="E55" s="542">
        <v>16950</v>
      </c>
      <c r="F55" s="522">
        <f t="shared" si="33"/>
        <v>0.76430193776817323</v>
      </c>
      <c r="G55" s="1156"/>
      <c r="H55" s="350"/>
      <c r="I55" s="350"/>
      <c r="J55" s="350"/>
      <c r="K55" s="350"/>
      <c r="L55" s="350"/>
      <c r="M55" s="350"/>
      <c r="N55" s="350"/>
      <c r="O55" s="1133"/>
      <c r="P55" s="352"/>
      <c r="Q55" s="2134"/>
      <c r="R55" s="303">
        <f t="shared" si="5"/>
        <v>0.79375848718849673</v>
      </c>
      <c r="S55" s="203">
        <f t="shared" si="6"/>
        <v>9.5124859162109804E-2</v>
      </c>
      <c r="T55" s="203">
        <f t="shared" si="34"/>
        <v>0.69863362802638695</v>
      </c>
      <c r="U55" s="203">
        <f t="shared" si="7"/>
        <v>0.6296028474208698</v>
      </c>
      <c r="V55" s="203">
        <f t="shared" si="29"/>
        <v>6.9030780605517122E-2</v>
      </c>
      <c r="W55" s="1372">
        <f t="shared" si="4"/>
        <v>0.20624151281150327</v>
      </c>
      <c r="X55" s="2055">
        <f t="shared" si="8"/>
        <v>5.0103933451798151E-2</v>
      </c>
      <c r="Y55" s="385">
        <f t="shared" si="30"/>
        <v>0.15613757935970513</v>
      </c>
      <c r="Z55" s="203">
        <f t="shared" si="31"/>
        <v>0.14522879261390795</v>
      </c>
      <c r="AA55" s="62">
        <f t="shared" si="19"/>
        <v>0.34499999999999936</v>
      </c>
      <c r="AB55" s="203"/>
      <c r="AC55" s="1155">
        <f t="shared" si="10"/>
        <v>0.19871394424676578</v>
      </c>
      <c r="AD55" s="177">
        <f>1000*(DataUK1!$AO55+DataUK1!$BI55)/DataUK2!$E55</f>
        <v>65.958702064896755</v>
      </c>
      <c r="AE55" s="176">
        <f>1000*DataUK1!$BI55/(R55*DataUK2!$E55)</f>
        <v>58.346065098241489</v>
      </c>
      <c r="AF55" s="546"/>
      <c r="AG55" s="154">
        <f>1000*(DataUK1!$BK55)/(DataUK2!$S55*DataUK2!$E55)</f>
        <v>33.491147698156993</v>
      </c>
      <c r="AH55" s="546"/>
      <c r="AI55" s="176">
        <f>1000*DataUK1!$AO55/(W55*DataUK2!$E55)</f>
        <v>95.257338987184127</v>
      </c>
      <c r="AJ55" s="154">
        <f>1000*(DataUK1!$AQ55+DataUK1!$AT55)/(DataUK2!$X55*DataUK2!$E55)</f>
        <v>85.957017025624324</v>
      </c>
      <c r="AK55" s="154">
        <f>1000*(DataUK1!$AT55)/(DataUK2!$X55*DataUK2!$E55)</f>
        <v>36.502294901292522</v>
      </c>
      <c r="AL55" s="154">
        <f>1000*(DataUK1!$AU55)/(DataUK2!$Y55*DataUK2!$E55)</f>
        <v>98.241775626673515</v>
      </c>
      <c r="AM55" s="2136">
        <f>1000*(DataUK1!AQ55+DataUK1!AT55+DataUK1!BK55)/(DataUK2!Z55*DataUK2!E55)</f>
        <v>51.591872616133188</v>
      </c>
      <c r="AN55" s="303">
        <f t="shared" si="11"/>
        <v>1</v>
      </c>
      <c r="AO55" s="547"/>
      <c r="AP55" s="306">
        <f t="shared" si="12"/>
        <v>0.57400867807907052</v>
      </c>
      <c r="AQ55" s="547"/>
      <c r="AR55" s="305">
        <f t="shared" si="13"/>
        <v>1.6326266188952496</v>
      </c>
      <c r="AS55" s="306">
        <f t="shared" si="14"/>
        <v>1.4732273184299967</v>
      </c>
      <c r="AT55" s="306">
        <f t="shared" si="15"/>
        <v>0.62561708042917663</v>
      </c>
      <c r="AU55" s="306">
        <f t="shared" si="16"/>
        <v>1.6837772257864645</v>
      </c>
      <c r="AV55" s="2137">
        <f t="shared" si="17"/>
        <v>0.88423910900013947</v>
      </c>
      <c r="AW55" s="2133">
        <f t="shared" si="32"/>
        <v>1</v>
      </c>
    </row>
    <row r="56" spans="1:49" ht="12" customHeight="1">
      <c r="A56" s="110">
        <f t="shared" si="36"/>
        <v>1898</v>
      </c>
      <c r="B56" s="519">
        <v>40381</v>
      </c>
      <c r="C56" s="386">
        <f t="shared" si="35"/>
        <v>0.44241499507395621</v>
      </c>
      <c r="D56" s="521"/>
      <c r="E56" s="542">
        <v>17230</v>
      </c>
      <c r="F56" s="522">
        <f t="shared" si="33"/>
        <v>0.76523904663482378</v>
      </c>
      <c r="G56" s="1156"/>
      <c r="H56" s="350"/>
      <c r="I56" s="350"/>
      <c r="J56" s="350"/>
      <c r="K56" s="350"/>
      <c r="L56" s="350"/>
      <c r="M56" s="350"/>
      <c r="N56" s="350"/>
      <c r="O56" s="1133"/>
      <c r="P56" s="352"/>
      <c r="Q56" s="2134"/>
      <c r="R56" s="303">
        <f t="shared" si="5"/>
        <v>0.79701317198018296</v>
      </c>
      <c r="S56" s="203">
        <f t="shared" si="6"/>
        <v>9.3705345777800819E-2</v>
      </c>
      <c r="T56" s="203">
        <f t="shared" si="34"/>
        <v>0.70330782620238219</v>
      </c>
      <c r="U56" s="203">
        <f t="shared" si="7"/>
        <v>0.63320995157108151</v>
      </c>
      <c r="V56" s="203">
        <f t="shared" si="29"/>
        <v>7.0097874631300683E-2</v>
      </c>
      <c r="W56" s="1372">
        <f t="shared" si="4"/>
        <v>0.20298682801981707</v>
      </c>
      <c r="X56" s="2055">
        <f t="shared" si="8"/>
        <v>4.9590649950130385E-2</v>
      </c>
      <c r="Y56" s="385">
        <f t="shared" si="30"/>
        <v>0.1533961780696867</v>
      </c>
      <c r="Z56" s="203">
        <f t="shared" si="31"/>
        <v>0.1432959957279312</v>
      </c>
      <c r="AA56" s="62">
        <f t="shared" si="19"/>
        <v>0.34607142857142792</v>
      </c>
      <c r="AB56" s="203"/>
      <c r="AC56" s="1155">
        <f t="shared" si="10"/>
        <v>0.19501014839503034</v>
      </c>
      <c r="AD56" s="177">
        <f>1000*(DataUK1!$AO56+DataUK1!$BI56)/DataUK2!$E56</f>
        <v>67.788740568775395</v>
      </c>
      <c r="AE56" s="176">
        <f>1000*DataUK1!$BI56/(R56*DataUK2!$E56)</f>
        <v>60.003479532372616</v>
      </c>
      <c r="AF56" s="546"/>
      <c r="AG56" s="154">
        <f>1000*(DataUK1!$BK56)/(DataUK2!$S56*DataUK2!$E56)</f>
        <v>33.4459945607789</v>
      </c>
      <c r="AH56" s="546"/>
      <c r="AI56" s="176">
        <f>1000*DataUK1!$AO56/(W56*DataUK2!$E56)</f>
        <v>98.357007750680069</v>
      </c>
      <c r="AJ56" s="154">
        <f>1000*(DataUK1!$AQ56+DataUK1!$AT56)/(DataUK2!$X56*DataUK2!$E56)</f>
        <v>80.753994320495693</v>
      </c>
      <c r="AK56" s="154">
        <f>1000*(DataUK1!$AT56)/(DataUK2!$X56*DataUK2!$E56)</f>
        <v>32.769736825708392</v>
      </c>
      <c r="AL56" s="154">
        <f>1000*(DataUK1!$AU56)/(DataUK2!$Y56*DataUK2!$E56)</f>
        <v>104.04779410578172</v>
      </c>
      <c r="AM56" s="2136">
        <f>1000*(DataUK1!AQ56+DataUK1!AT56+DataUK1!BK56)/(DataUK2!Z56*DataUK2!E56)</f>
        <v>49.817941620480859</v>
      </c>
      <c r="AN56" s="303">
        <f t="shared" si="11"/>
        <v>1</v>
      </c>
      <c r="AO56" s="547"/>
      <c r="AP56" s="306">
        <f t="shared" si="12"/>
        <v>0.55740091777068312</v>
      </c>
      <c r="AQ56" s="547"/>
      <c r="AR56" s="305">
        <f t="shared" si="13"/>
        <v>1.6391884023594874</v>
      </c>
      <c r="AS56" s="306">
        <f t="shared" si="14"/>
        <v>1.345821858162874</v>
      </c>
      <c r="AT56" s="306">
        <f t="shared" si="15"/>
        <v>0.54613060910957201</v>
      </c>
      <c r="AU56" s="306">
        <f t="shared" si="16"/>
        <v>1.7340293415758774</v>
      </c>
      <c r="AV56" s="2137">
        <f t="shared" si="17"/>
        <v>0.83025087892783733</v>
      </c>
      <c r="AW56" s="2133">
        <f t="shared" si="32"/>
        <v>1</v>
      </c>
    </row>
    <row r="57" spans="1:49" ht="12" customHeight="1">
      <c r="A57" s="110">
        <f t="shared" si="36"/>
        <v>1899</v>
      </c>
      <c r="B57" s="519">
        <v>40773</v>
      </c>
      <c r="C57" s="386">
        <f t="shared" si="35"/>
        <v>0.43943772117229452</v>
      </c>
      <c r="D57" s="521"/>
      <c r="E57" s="542">
        <v>17560</v>
      </c>
      <c r="F57" s="522">
        <f t="shared" si="33"/>
        <v>0.76829494255313013</v>
      </c>
      <c r="G57" s="1156"/>
      <c r="H57" s="350"/>
      <c r="I57" s="350"/>
      <c r="J57" s="350"/>
      <c r="K57" s="350"/>
      <c r="L57" s="350"/>
      <c r="M57" s="350"/>
      <c r="N57" s="350"/>
      <c r="O57" s="1133"/>
      <c r="P57" s="352"/>
      <c r="Q57" s="2134"/>
      <c r="R57" s="303">
        <f t="shared" si="5"/>
        <v>0.80027199847948194</v>
      </c>
      <c r="S57" s="203">
        <f t="shared" si="6"/>
        <v>9.2289974101104649E-2</v>
      </c>
      <c r="T57" s="203">
        <f t="shared" si="34"/>
        <v>0.70798202437837732</v>
      </c>
      <c r="U57" s="203">
        <f t="shared" si="7"/>
        <v>0.6368170557212931</v>
      </c>
      <c r="V57" s="203">
        <f t="shared" si="29"/>
        <v>7.1164968657084243E-2</v>
      </c>
      <c r="W57" s="1372">
        <f t="shared" si="4"/>
        <v>0.19972800152051806</v>
      </c>
      <c r="X57" s="2055">
        <f t="shared" si="8"/>
        <v>4.9073224740849804E-2</v>
      </c>
      <c r="Y57" s="385">
        <f t="shared" si="30"/>
        <v>0.15065477677966826</v>
      </c>
      <c r="Z57" s="203">
        <f t="shared" si="31"/>
        <v>0.14136319884195445</v>
      </c>
      <c r="AA57" s="62">
        <f t="shared" si="19"/>
        <v>0.34714285714285648</v>
      </c>
      <c r="AB57" s="203"/>
      <c r="AC57" s="1155">
        <f t="shared" si="10"/>
        <v>0.19131449603879558</v>
      </c>
      <c r="AD57" s="177">
        <f>1000*(DataUK1!$AO57+DataUK1!$BI57)/DataUK2!$E57</f>
        <v>69.988610478359902</v>
      </c>
      <c r="AE57" s="176">
        <f>1000*DataUK1!$BI57/(R57*DataUK2!$E57)</f>
        <v>60.984390707807222</v>
      </c>
      <c r="AF57" s="546"/>
      <c r="AG57" s="154">
        <f>1000*(DataUK1!$BK57)/(DataUK2!$S57*DataUK2!$E57)</f>
        <v>33.937797485930467</v>
      </c>
      <c r="AH57" s="546"/>
      <c r="AI57" s="176">
        <f>1000*DataUK1!$AO57/(W57*DataUK2!$E57)</f>
        <v>106.06680129622782</v>
      </c>
      <c r="AJ57" s="154">
        <f>1000*(DataUK1!$AQ57+DataUK1!$AT57)/(DataUK2!$X57*DataUK2!$E57)</f>
        <v>87.034643384232723</v>
      </c>
      <c r="AK57" s="154">
        <f>1000*(DataUK1!$AT57)/(DataUK2!$X57*DataUK2!$E57)</f>
        <v>39.455705000852163</v>
      </c>
      <c r="AL57" s="154">
        <f>1000*(DataUK1!$AU57)/(DataUK2!$Y57*DataUK2!$E57)</f>
        <v>112.26620222119553</v>
      </c>
      <c r="AM57" s="2136">
        <f>1000*(DataUK1!AQ57+DataUK1!AT57+DataUK1!BK57)/(DataUK2!Z57*DataUK2!E57)</f>
        <v>52.369988276341068</v>
      </c>
      <c r="AN57" s="303">
        <f t="shared" si="11"/>
        <v>1</v>
      </c>
      <c r="AO57" s="547"/>
      <c r="AP57" s="306">
        <f t="shared" si="12"/>
        <v>0.5564997385730337</v>
      </c>
      <c r="AQ57" s="547"/>
      <c r="AR57" s="305">
        <f t="shared" si="13"/>
        <v>1.7392450767348431</v>
      </c>
      <c r="AS57" s="306">
        <f t="shared" si="14"/>
        <v>1.4271626292249002</v>
      </c>
      <c r="AT57" s="306">
        <f t="shared" si="15"/>
        <v>0.646980391915288</v>
      </c>
      <c r="AU57" s="306">
        <f t="shared" si="16"/>
        <v>1.8409006127337304</v>
      </c>
      <c r="AV57" s="2137">
        <f t="shared" si="17"/>
        <v>0.85874414204218097</v>
      </c>
      <c r="AW57" s="2133">
        <f t="shared" si="32"/>
        <v>1</v>
      </c>
    </row>
    <row r="58" spans="1:49" ht="12" customHeight="1">
      <c r="A58" s="110">
        <f t="shared" si="36"/>
        <v>1900</v>
      </c>
      <c r="B58" s="519">
        <v>41155</v>
      </c>
      <c r="C58" s="386">
        <f>(4/3)*D58/B58</f>
        <v>0.43348317336897096</v>
      </c>
      <c r="D58" s="352">
        <v>13380</v>
      </c>
      <c r="E58" s="542">
        <v>17530</v>
      </c>
      <c r="F58" s="522">
        <f t="shared" si="33"/>
        <v>0.75187647437272154</v>
      </c>
      <c r="G58" s="1156"/>
      <c r="H58" s="350"/>
      <c r="I58" s="350"/>
      <c r="J58" s="350"/>
      <c r="K58" s="350"/>
      <c r="L58" s="350"/>
      <c r="M58" s="350"/>
      <c r="N58" s="350"/>
      <c r="O58" s="1133"/>
      <c r="P58" s="352"/>
      <c r="Q58" s="2134"/>
      <c r="R58" s="303">
        <f t="shared" si="5"/>
        <v>0.80353496668639379</v>
      </c>
      <c r="S58" s="203">
        <f t="shared" si="6"/>
        <v>9.0878744132021266E-2</v>
      </c>
      <c r="T58" s="203">
        <f t="shared" si="34"/>
        <v>0.71265622255437255</v>
      </c>
      <c r="U58" s="203">
        <f t="shared" si="7"/>
        <v>0.64042415987150481</v>
      </c>
      <c r="V58" s="203">
        <f t="shared" si="29"/>
        <v>7.2232062682867804E-2</v>
      </c>
      <c r="W58" s="1372">
        <f t="shared" si="4"/>
        <v>0.19646503331360626</v>
      </c>
      <c r="X58" s="2055">
        <f t="shared" si="8"/>
        <v>4.8551657823956422E-2</v>
      </c>
      <c r="Y58" s="385">
        <f t="shared" si="30"/>
        <v>0.14791337548964983</v>
      </c>
      <c r="Z58" s="203">
        <f t="shared" si="31"/>
        <v>0.1394304019559777</v>
      </c>
      <c r="AA58" s="62">
        <f t="shared" si="19"/>
        <v>0.34821428571428503</v>
      </c>
      <c r="AB58" s="203"/>
      <c r="AC58" s="1155">
        <f t="shared" si="10"/>
        <v>0.18762696035003268</v>
      </c>
      <c r="AD58" s="177">
        <f>1000*(DataUK1!$AO58+DataUK1!$BI58)/DataUK2!$E58</f>
        <v>72.618368511123791</v>
      </c>
      <c r="AE58" s="176">
        <f>1000*DataUK1!$BI58/(R58*DataUK2!$E58)</f>
        <v>64.532306348650863</v>
      </c>
      <c r="AF58" s="546"/>
      <c r="AG58" s="154">
        <f>1000*(DataUK1!$BK58)/(DataUK2!$S58*DataUK2!$E58)</f>
        <v>35.151494490961277</v>
      </c>
      <c r="AH58" s="546"/>
      <c r="AI58" s="176">
        <f>1000*DataUK1!$AO58/(W58*DataUK2!$E58)</f>
        <v>105.69007384596215</v>
      </c>
      <c r="AJ58" s="154">
        <f>1000*(DataUK1!$AQ58+DataUK1!$AT58)/(DataUK2!$X58*DataUK2!$E58)</f>
        <v>86.945225842570224</v>
      </c>
      <c r="AK58" s="154">
        <f>1000*(DataUK1!$AT58)/(DataUK2!$X58*DataUK2!$E58)</f>
        <v>38.772870983848883</v>
      </c>
      <c r="AL58" s="154">
        <f>1000*(DataUK1!$AU58)/(DataUK2!$Y58*DataUK2!$E58)</f>
        <v>111.84295517403679</v>
      </c>
      <c r="AM58" s="2136">
        <f>1000*(DataUK1!AQ58+DataUK1!AT58+DataUK1!BK58)/(DataUK2!Z58*DataUK2!E58)</f>
        <v>53.186811658039353</v>
      </c>
      <c r="AN58" s="303">
        <f t="shared" si="11"/>
        <v>1</v>
      </c>
      <c r="AO58" s="547"/>
      <c r="AP58" s="306">
        <f t="shared" si="12"/>
        <v>0.54471157905076439</v>
      </c>
      <c r="AQ58" s="547"/>
      <c r="AR58" s="305">
        <f t="shared" si="13"/>
        <v>1.63778547251894</v>
      </c>
      <c r="AS58" s="306">
        <f t="shared" si="14"/>
        <v>1.3473131639341747</v>
      </c>
      <c r="AT58" s="306">
        <f t="shared" si="15"/>
        <v>0.60082884337605091</v>
      </c>
      <c r="AU58" s="306">
        <f t="shared" si="16"/>
        <v>1.7331312253087483</v>
      </c>
      <c r="AV58" s="2137">
        <f t="shared" si="17"/>
        <v>0.82418891664409411</v>
      </c>
      <c r="AW58" s="2133">
        <f t="shared" si="32"/>
        <v>1</v>
      </c>
    </row>
    <row r="59" spans="1:49" ht="12" customHeight="1">
      <c r="A59" s="110">
        <f t="shared" si="36"/>
        <v>1901</v>
      </c>
      <c r="B59" s="519">
        <v>41538</v>
      </c>
      <c r="C59" s="386">
        <f t="shared" ref="C59:C67" si="37">C58+(C$68-C$58)/10</f>
        <v>0.43124863879693864</v>
      </c>
      <c r="D59" s="521"/>
      <c r="E59" s="542">
        <v>17550</v>
      </c>
      <c r="F59" s="522">
        <f t="shared" si="33"/>
        <v>0.74286361900373299</v>
      </c>
      <c r="G59" s="1156"/>
      <c r="H59" s="350"/>
      <c r="I59" s="350"/>
      <c r="J59" s="350"/>
      <c r="K59" s="350"/>
      <c r="L59" s="350"/>
      <c r="M59" s="350"/>
      <c r="N59" s="350"/>
      <c r="O59" s="1133"/>
      <c r="P59" s="352"/>
      <c r="Q59" s="2134"/>
      <c r="R59" s="303">
        <f t="shared" si="5"/>
        <v>0.80680207660091829</v>
      </c>
      <c r="S59" s="203">
        <f t="shared" si="6"/>
        <v>8.9471655870550712E-2</v>
      </c>
      <c r="T59" s="203">
        <f t="shared" si="34"/>
        <v>0.71733042073036757</v>
      </c>
      <c r="U59" s="203">
        <f t="shared" si="7"/>
        <v>0.64403126402171618</v>
      </c>
      <c r="V59" s="203">
        <f t="shared" si="29"/>
        <v>7.3299156708651364E-2</v>
      </c>
      <c r="W59" s="1372">
        <f t="shared" si="4"/>
        <v>0.19319792339908165</v>
      </c>
      <c r="X59" s="2055">
        <f t="shared" si="8"/>
        <v>4.8025949199450232E-2</v>
      </c>
      <c r="Y59" s="385">
        <f t="shared" si="30"/>
        <v>0.1451719741996314</v>
      </c>
      <c r="Z59" s="203">
        <f t="shared" si="31"/>
        <v>0.13749760507000094</v>
      </c>
      <c r="AA59" s="62">
        <f t="shared" si="19"/>
        <v>0.34928571428571359</v>
      </c>
      <c r="AB59" s="203"/>
      <c r="AC59" s="1155">
        <f t="shared" si="10"/>
        <v>0.18394751461842718</v>
      </c>
      <c r="AD59" s="177">
        <f>1000*(DataUK1!$AO59+DataUK1!$BI59)/DataUK2!$E59</f>
        <v>71.396011396011403</v>
      </c>
      <c r="AE59" s="176">
        <f>1000*DataUK1!$BI59/(R59*DataUK2!$E59)</f>
        <v>64.127117713758309</v>
      </c>
      <c r="AF59" s="546"/>
      <c r="AG59" s="154">
        <f>1000*(DataUK1!$BK59)/(DataUK2!$S59*DataUK2!$E59)</f>
        <v>35.663620616341575</v>
      </c>
      <c r="AH59" s="546"/>
      <c r="AI59" s="176">
        <f>1000*DataUK1!$AO59/(W59*DataUK2!$E59)</f>
        <v>101.7511954179374</v>
      </c>
      <c r="AJ59" s="154">
        <f>1000*(DataUK1!$AQ59+DataUK1!$AT59)/(DataUK2!$X59*DataUK2!$E59)</f>
        <v>87.796790835161346</v>
      </c>
      <c r="AK59" s="154">
        <f>1000*(DataUK1!$AT59)/(DataUK2!$X59*DataUK2!$E59)</f>
        <v>39.152622940004385</v>
      </c>
      <c r="AL59" s="154">
        <f>1000*(DataUK1!$AU59)/(DataUK2!$Y59*DataUK2!$E59)</f>
        <v>106.36760660402074</v>
      </c>
      <c r="AM59" s="2136">
        <f>1000*(DataUK1!AQ59+DataUK1!AT59+DataUK1!BK59)/(DataUK2!Z59*DataUK2!E59)</f>
        <v>53.872992214200728</v>
      </c>
      <c r="AN59" s="303">
        <f t="shared" si="11"/>
        <v>1</v>
      </c>
      <c r="AO59" s="547"/>
      <c r="AP59" s="306">
        <f t="shared" si="12"/>
        <v>0.55613945999462933</v>
      </c>
      <c r="AQ59" s="547"/>
      <c r="AR59" s="305">
        <f t="shared" si="13"/>
        <v>1.5867108806000014</v>
      </c>
      <c r="AS59" s="306">
        <f t="shared" si="14"/>
        <v>1.3691055198684654</v>
      </c>
      <c r="AT59" s="306">
        <f t="shared" si="15"/>
        <v>0.61054705615755889</v>
      </c>
      <c r="AU59" s="306">
        <f t="shared" si="16"/>
        <v>1.6586993209145877</v>
      </c>
      <c r="AV59" s="2137">
        <f t="shared" si="17"/>
        <v>0.84009689090770434</v>
      </c>
      <c r="AW59" s="2133">
        <f t="shared" si="32"/>
        <v>1</v>
      </c>
    </row>
    <row r="60" spans="1:49" ht="12" customHeight="1">
      <c r="A60" s="110">
        <f t="shared" si="36"/>
        <v>1902</v>
      </c>
      <c r="B60" s="519">
        <v>41893</v>
      </c>
      <c r="C60" s="386">
        <f t="shared" si="37"/>
        <v>0.42901410422490632</v>
      </c>
      <c r="D60" s="521"/>
      <c r="E60" s="542">
        <v>17610</v>
      </c>
      <c r="F60" s="522">
        <f t="shared" si="33"/>
        <v>0.73619440678862291</v>
      </c>
      <c r="G60" s="1156"/>
      <c r="H60" s="350"/>
      <c r="I60" s="350"/>
      <c r="J60" s="350"/>
      <c r="K60" s="350"/>
      <c r="L60" s="350"/>
      <c r="M60" s="350"/>
      <c r="N60" s="350"/>
      <c r="O60" s="1133"/>
      <c r="P60" s="352"/>
      <c r="Q60" s="2134"/>
      <c r="R60" s="303">
        <f t="shared" si="5"/>
        <v>0.81007332822305578</v>
      </c>
      <c r="S60" s="203">
        <f t="shared" si="6"/>
        <v>8.8068709316692959E-2</v>
      </c>
      <c r="T60" s="203">
        <f t="shared" si="34"/>
        <v>0.72200461890636281</v>
      </c>
      <c r="U60" s="203">
        <f t="shared" si="7"/>
        <v>0.64763836817192788</v>
      </c>
      <c r="V60" s="203">
        <f t="shared" si="29"/>
        <v>7.4366250734434924E-2</v>
      </c>
      <c r="W60" s="1372">
        <f t="shared" si="4"/>
        <v>0.18992667177694422</v>
      </c>
      <c r="X60" s="2055">
        <f t="shared" si="8"/>
        <v>4.7496098867331235E-2</v>
      </c>
      <c r="Y60" s="385">
        <f t="shared" si="30"/>
        <v>0.14243057290961297</v>
      </c>
      <c r="Z60" s="203">
        <f t="shared" si="31"/>
        <v>0.13556480818402419</v>
      </c>
      <c r="AA60" s="62">
        <f t="shared" si="19"/>
        <v>0.35035714285714215</v>
      </c>
      <c r="AB60" s="203"/>
      <c r="AC60" s="1155">
        <f t="shared" si="10"/>
        <v>0.18027613225073366</v>
      </c>
      <c r="AD60" s="177">
        <f>1000*(DataUK1!$AO60+DataUK1!$BI60)/DataUK2!$E60</f>
        <v>71.266325951164106</v>
      </c>
      <c r="AE60" s="176">
        <f>1000*DataUK1!$BI60/(R60*DataUK2!$E60)</f>
        <v>63.019652280361811</v>
      </c>
      <c r="AF60" s="546"/>
      <c r="AG60" s="154">
        <f>1000*(DataUK1!$BK60)/(DataUK2!$S60*DataUK2!$E60)</f>
        <v>36.108299779302705</v>
      </c>
      <c r="AH60" s="546"/>
      <c r="AI60" s="176">
        <f>1000*DataUK1!$AO60/(W60*DataUK2!$E60)</f>
        <v>106.43995546183096</v>
      </c>
      <c r="AJ60" s="154">
        <f>1000*(DataUK1!$AQ60+DataUK1!$AT60)/(DataUK2!$X60*DataUK2!$E60)</f>
        <v>98.038477109386378</v>
      </c>
      <c r="AK60" s="154">
        <f>1000*(DataUK1!$AT60)/(DataUK2!$X60*DataUK2!$E60)</f>
        <v>47.823647370432383</v>
      </c>
      <c r="AL60" s="154">
        <f>1000*(DataUK1!$AU60)/(DataUK2!$Y60*DataUK2!$E60)</f>
        <v>109.24158321848321</v>
      </c>
      <c r="AM60" s="2136">
        <f>1000*(DataUK1!AQ60+DataUK1!AT60+DataUK1!BK60)/(DataUK2!Z60*DataUK2!E60)</f>
        <v>57.805979765306979</v>
      </c>
      <c r="AN60" s="303">
        <f t="shared" si="11"/>
        <v>1</v>
      </c>
      <c r="AO60" s="547"/>
      <c r="AP60" s="306">
        <f t="shared" si="12"/>
        <v>0.57296888308212346</v>
      </c>
      <c r="AQ60" s="547"/>
      <c r="AR60" s="305">
        <f t="shared" si="13"/>
        <v>1.6889962354647867</v>
      </c>
      <c r="AS60" s="306">
        <f t="shared" si="14"/>
        <v>1.5556810226948385</v>
      </c>
      <c r="AT60" s="306">
        <f t="shared" si="15"/>
        <v>0.75886879155845788</v>
      </c>
      <c r="AU60" s="306">
        <f t="shared" si="16"/>
        <v>1.7334526495400084</v>
      </c>
      <c r="AV60" s="2137">
        <f t="shared" si="17"/>
        <v>0.91726910056786337</v>
      </c>
      <c r="AW60" s="2133">
        <f t="shared" si="32"/>
        <v>1</v>
      </c>
    </row>
    <row r="61" spans="1:49" ht="12" customHeight="1">
      <c r="A61" s="110">
        <f t="shared" si="36"/>
        <v>1903</v>
      </c>
      <c r="B61" s="519">
        <v>42246</v>
      </c>
      <c r="C61" s="386">
        <f t="shared" si="37"/>
        <v>0.426779569652874</v>
      </c>
      <c r="D61" s="521"/>
      <c r="E61" s="542">
        <v>17720</v>
      </c>
      <c r="F61" s="522">
        <f t="shared" si="33"/>
        <v>0.73173943716983558</v>
      </c>
      <c r="G61" s="1156"/>
      <c r="H61" s="350"/>
      <c r="I61" s="350"/>
      <c r="J61" s="350"/>
      <c r="K61" s="350"/>
      <c r="L61" s="350"/>
      <c r="M61" s="350"/>
      <c r="N61" s="350"/>
      <c r="O61" s="1133"/>
      <c r="P61" s="352"/>
      <c r="Q61" s="2134"/>
      <c r="R61" s="303">
        <f t="shared" si="5"/>
        <v>0.81334872155280602</v>
      </c>
      <c r="S61" s="203">
        <f t="shared" si="6"/>
        <v>8.6669904470448006E-2</v>
      </c>
      <c r="T61" s="203">
        <f t="shared" si="34"/>
        <v>0.72667881708235804</v>
      </c>
      <c r="U61" s="203">
        <f t="shared" si="7"/>
        <v>0.65124547232213958</v>
      </c>
      <c r="V61" s="203">
        <f t="shared" si="29"/>
        <v>7.5433344760218485E-2</v>
      </c>
      <c r="W61" s="1372">
        <f t="shared" si="4"/>
        <v>0.18665127844719398</v>
      </c>
      <c r="X61" s="2055">
        <f t="shared" si="8"/>
        <v>4.696210682759943E-2</v>
      </c>
      <c r="Y61" s="385">
        <f t="shared" si="30"/>
        <v>0.13968917161959454</v>
      </c>
      <c r="Z61" s="203">
        <f t="shared" si="31"/>
        <v>0.13363201129804744</v>
      </c>
      <c r="AA61" s="62">
        <f t="shared" si="19"/>
        <v>0.3514285714285707</v>
      </c>
      <c r="AB61" s="203"/>
      <c r="AC61" s="1155">
        <f t="shared" si="10"/>
        <v>0.1766127867701355</v>
      </c>
      <c r="AD61" s="177">
        <f>1000*(DataUK1!$AO61+DataUK1!$BI61)/DataUK2!$E61</f>
        <v>69.75169300225734</v>
      </c>
      <c r="AE61" s="176">
        <f>1000*DataUK1!$BI61/(R61*DataUK2!$E61)</f>
        <v>63.000695311705243</v>
      </c>
      <c r="AF61" s="546"/>
      <c r="AG61" s="154">
        <f>1000*(DataUK1!$BK61)/(DataUK2!$S61*DataUK2!$E61)</f>
        <v>36.463301761671346</v>
      </c>
      <c r="AH61" s="546"/>
      <c r="AI61" s="176">
        <f>1000*DataUK1!$AO61/(W61*DataUK2!$E61)</f>
        <v>99.169736031466698</v>
      </c>
      <c r="AJ61" s="154">
        <f>1000*(DataUK1!$AQ61+DataUK1!$AT61)/(DataUK2!$X61*DataUK2!$E61)</f>
        <v>85.319255878754191</v>
      </c>
      <c r="AK61" s="154">
        <f>1000*(DataUK1!$AT61)/(DataUK2!$X61*DataUK2!$E61)</f>
        <v>36.050389807924311</v>
      </c>
      <c r="AL61" s="154">
        <f>1000*(DataUK1!$AU61)/(DataUK2!$Y61*DataUK2!$E61)</f>
        <v>103.82612937250926</v>
      </c>
      <c r="AM61" s="2136">
        <f>1000*(DataUK1!AQ61+DataUK1!AT61+DataUK1!BK61)/(DataUK2!Z61*DataUK2!E61)</f>
        <v>53.632679922817573</v>
      </c>
      <c r="AN61" s="303">
        <f t="shared" si="11"/>
        <v>1</v>
      </c>
      <c r="AO61" s="547"/>
      <c r="AP61" s="306">
        <f t="shared" si="12"/>
        <v>0.57877617987013918</v>
      </c>
      <c r="AQ61" s="547"/>
      <c r="AR61" s="305">
        <f t="shared" si="13"/>
        <v>1.5741054212308259</v>
      </c>
      <c r="AS61" s="306">
        <f t="shared" si="14"/>
        <v>1.354258956296031</v>
      </c>
      <c r="AT61" s="306">
        <f t="shared" si="15"/>
        <v>0.57222209420959058</v>
      </c>
      <c r="AU61" s="306">
        <f t="shared" si="16"/>
        <v>1.6480156109200723</v>
      </c>
      <c r="AV61" s="2137">
        <f t="shared" si="17"/>
        <v>0.85130298415695205</v>
      </c>
      <c r="AW61" s="2133">
        <f t="shared" si="32"/>
        <v>1</v>
      </c>
    </row>
    <row r="62" spans="1:49" ht="12" customHeight="1">
      <c r="A62" s="110">
        <f t="shared" si="36"/>
        <v>1904</v>
      </c>
      <c r="B62" s="519">
        <v>42611</v>
      </c>
      <c r="C62" s="386">
        <f t="shared" si="37"/>
        <v>0.42454503508084168</v>
      </c>
      <c r="D62" s="521"/>
      <c r="E62" s="542">
        <v>17640</v>
      </c>
      <c r="F62" s="522">
        <f t="shared" si="33"/>
        <v>0.7193918493223006</v>
      </c>
      <c r="G62" s="1156"/>
      <c r="H62" s="350"/>
      <c r="I62" s="350"/>
      <c r="J62" s="350"/>
      <c r="K62" s="350"/>
      <c r="L62" s="350"/>
      <c r="M62" s="350"/>
      <c r="N62" s="350"/>
      <c r="O62" s="1133"/>
      <c r="P62" s="352"/>
      <c r="Q62" s="2134"/>
      <c r="R62" s="303">
        <f t="shared" si="5"/>
        <v>0.81662825659016902</v>
      </c>
      <c r="S62" s="203">
        <f t="shared" si="6"/>
        <v>8.5275241331815868E-2</v>
      </c>
      <c r="T62" s="203">
        <f t="shared" si="34"/>
        <v>0.73135301525835317</v>
      </c>
      <c r="U62" s="203">
        <f t="shared" si="7"/>
        <v>0.65485257647235118</v>
      </c>
      <c r="V62" s="203">
        <f t="shared" si="29"/>
        <v>7.6500438786002045E-2</v>
      </c>
      <c r="W62" s="1372">
        <f t="shared" si="4"/>
        <v>0.18337174340983092</v>
      </c>
      <c r="X62" s="2055">
        <f t="shared" si="8"/>
        <v>4.6423973080254824E-2</v>
      </c>
      <c r="Y62" s="385">
        <f t="shared" si="30"/>
        <v>0.13694777032957611</v>
      </c>
      <c r="Z62" s="203">
        <f t="shared" si="31"/>
        <v>0.13169921441207069</v>
      </c>
      <c r="AA62" s="62">
        <f t="shared" si="19"/>
        <v>0.35249999999999926</v>
      </c>
      <c r="AB62" s="203"/>
      <c r="AC62" s="1155">
        <f t="shared" si="10"/>
        <v>0.17295745181560809</v>
      </c>
      <c r="AD62" s="177">
        <f>1000*(DataUK1!$AO62+DataUK1!$BI62)/DataUK2!$E62</f>
        <v>69.10430839002268</v>
      </c>
      <c r="AE62" s="176">
        <f>1000*DataUK1!$BI62/(R62*DataUK2!$E62)</f>
        <v>61.990976136214854</v>
      </c>
      <c r="AF62" s="546"/>
      <c r="AG62" s="154">
        <f>1000*(DataUK1!$BK62)/(DataUK2!$S62*DataUK2!$E62)</f>
        <v>37.227724308048863</v>
      </c>
      <c r="AH62" s="546"/>
      <c r="AI62" s="176">
        <f>1000*DataUK1!$AO62/(W62*DataUK2!$E62)</f>
        <v>100.7828429829499</v>
      </c>
      <c r="AJ62" s="154">
        <f>1000*(DataUK1!$AQ62+DataUK1!$AT62)/(DataUK2!$X62*DataUK2!$E62)</f>
        <v>86.69967354365663</v>
      </c>
      <c r="AK62" s="154">
        <f>1000*(DataUK1!$AT62)/(DataUK2!$X62*DataUK2!$E62)</f>
        <v>36.63366487760139</v>
      </c>
      <c r="AL62" s="154">
        <f>1000*(DataUK1!$AU62)/(DataUK2!$Y62*DataUK2!$E62)</f>
        <v>105.55690157011054</v>
      </c>
      <c r="AM62" s="2136">
        <f>1000*(DataUK1!AQ62+DataUK1!AT62+DataUK1!BK62)/(DataUK2!Z62*DataUK2!E62)</f>
        <v>54.666586413600562</v>
      </c>
      <c r="AN62" s="303">
        <f t="shared" si="11"/>
        <v>1</v>
      </c>
      <c r="AO62" s="547"/>
      <c r="AP62" s="306">
        <f t="shared" si="12"/>
        <v>0.60053457177778802</v>
      </c>
      <c r="AQ62" s="547"/>
      <c r="AR62" s="305">
        <f t="shared" si="13"/>
        <v>1.6257663496296038</v>
      </c>
      <c r="AS62" s="306">
        <f t="shared" si="14"/>
        <v>1.3985853901243388</v>
      </c>
      <c r="AT62" s="306">
        <f t="shared" si="15"/>
        <v>0.59095157329197412</v>
      </c>
      <c r="AU62" s="306">
        <f t="shared" si="16"/>
        <v>1.7027785034093803</v>
      </c>
      <c r="AV62" s="2137">
        <f t="shared" si="17"/>
        <v>0.88184748524494649</v>
      </c>
      <c r="AW62" s="2133">
        <f t="shared" si="32"/>
        <v>1</v>
      </c>
    </row>
    <row r="63" spans="1:49" ht="12" customHeight="1">
      <c r="A63" s="110">
        <f t="shared" si="36"/>
        <v>1905</v>
      </c>
      <c r="B63" s="519">
        <v>42981</v>
      </c>
      <c r="C63" s="386">
        <f t="shared" si="37"/>
        <v>0.42231050050880936</v>
      </c>
      <c r="D63" s="521"/>
      <c r="E63" s="542">
        <v>18000</v>
      </c>
      <c r="F63" s="522">
        <f t="shared" si="33"/>
        <v>0.72493908603547508</v>
      </c>
      <c r="G63" s="1156"/>
      <c r="H63" s="350"/>
      <c r="I63" s="350"/>
      <c r="J63" s="350"/>
      <c r="K63" s="350"/>
      <c r="L63" s="350"/>
      <c r="M63" s="350"/>
      <c r="N63" s="350"/>
      <c r="O63" s="1133"/>
      <c r="P63" s="352"/>
      <c r="Q63" s="2134"/>
      <c r="R63" s="303">
        <f t="shared" si="5"/>
        <v>0.81991193333514489</v>
      </c>
      <c r="S63" s="203">
        <f t="shared" si="6"/>
        <v>8.3884719900796545E-2</v>
      </c>
      <c r="T63" s="203">
        <f t="shared" si="34"/>
        <v>0.7360272134343484</v>
      </c>
      <c r="U63" s="203">
        <f t="shared" si="7"/>
        <v>0.65845968062256277</v>
      </c>
      <c r="V63" s="203">
        <f t="shared" si="29"/>
        <v>7.7567532811785606E-2</v>
      </c>
      <c r="W63" s="1372">
        <f t="shared" si="4"/>
        <v>0.18008806666485508</v>
      </c>
      <c r="X63" s="2055">
        <f t="shared" si="8"/>
        <v>4.5881697625297403E-2</v>
      </c>
      <c r="Y63" s="385">
        <f t="shared" si="30"/>
        <v>0.13420636903955768</v>
      </c>
      <c r="Z63" s="203">
        <f t="shared" si="31"/>
        <v>0.12976641752609394</v>
      </c>
      <c r="AA63" s="62">
        <f t="shared" si="19"/>
        <v>0.35357142857142781</v>
      </c>
      <c r="AB63" s="203"/>
      <c r="AC63" s="1155">
        <f t="shared" si="10"/>
        <v>0.16931010114128653</v>
      </c>
      <c r="AD63" s="177">
        <f>1000*(DataUK1!$AO63+DataUK1!$BI63)/DataUK2!$E63</f>
        <v>70.222222222222229</v>
      </c>
      <c r="AE63" s="176">
        <f>1000*DataUK1!$BI63/(R63*DataUK2!$E63)</f>
        <v>61.863012550506632</v>
      </c>
      <c r="AF63" s="546"/>
      <c r="AG63" s="154">
        <f>1000*(DataUK1!$BK63)/(DataUK2!$S63*DataUK2!$E63)</f>
        <v>37.087935857571708</v>
      </c>
      <c r="AH63" s="546"/>
      <c r="AI63" s="176">
        <f>1000*DataUK1!$AO63/(W63*DataUK2!$E63)</f>
        <v>108.28035616757224</v>
      </c>
      <c r="AJ63" s="154">
        <f>1000*(DataUK1!$AQ63+DataUK1!$AT63)/(DataUK2!$X63*DataUK2!$E63)</f>
        <v>90.81326285471458</v>
      </c>
      <c r="AK63" s="154">
        <f>1000*(DataUK1!$AT63)/(DataUK2!$X63*DataUK2!$E63)</f>
        <v>41.16867916080394</v>
      </c>
      <c r="AL63" s="154">
        <f>1000*(DataUK1!$AU63)/(DataUK2!$Y63*DataUK2!$E63)</f>
        <v>114.25190505536881</v>
      </c>
      <c r="AM63" s="2136">
        <f>1000*(DataUK1!AQ63+DataUK1!AT63+DataUK1!BK63)/(DataUK2!Z63*DataUK2!E63)</f>
        <v>56.08367647441861</v>
      </c>
      <c r="AN63" s="303">
        <f t="shared" si="11"/>
        <v>1</v>
      </c>
      <c r="AO63" s="547"/>
      <c r="AP63" s="306">
        <f t="shared" si="12"/>
        <v>0.59951713194200029</v>
      </c>
      <c r="AQ63" s="547"/>
      <c r="AR63" s="305">
        <f t="shared" si="13"/>
        <v>1.7503246560967143</v>
      </c>
      <c r="AS63" s="306">
        <f t="shared" si="14"/>
        <v>1.4679734967735718</v>
      </c>
      <c r="AT63" s="306">
        <f t="shared" si="15"/>
        <v>0.66548131853735248</v>
      </c>
      <c r="AU63" s="306">
        <f t="shared" si="16"/>
        <v>1.8468532382268075</v>
      </c>
      <c r="AV63" s="2137">
        <f t="shared" si="17"/>
        <v>0.90657848950744813</v>
      </c>
      <c r="AW63" s="2133">
        <f t="shared" si="32"/>
        <v>1</v>
      </c>
    </row>
    <row r="64" spans="1:49" ht="12" customHeight="1">
      <c r="A64" s="110">
        <f t="shared" si="36"/>
        <v>1906</v>
      </c>
      <c r="B64" s="519">
        <v>43361</v>
      </c>
      <c r="C64" s="386">
        <f t="shared" si="37"/>
        <v>0.42007596593677704</v>
      </c>
      <c r="D64" s="521"/>
      <c r="E64" s="542">
        <v>18440</v>
      </c>
      <c r="F64" s="522">
        <f t="shared" si="33"/>
        <v>0.73331491707786201</v>
      </c>
      <c r="G64" s="1156"/>
      <c r="H64" s="350"/>
      <c r="I64" s="350"/>
      <c r="J64" s="350"/>
      <c r="K64" s="350"/>
      <c r="L64" s="350"/>
      <c r="M64" s="350"/>
      <c r="N64" s="350"/>
      <c r="O64" s="1133"/>
      <c r="P64" s="352"/>
      <c r="Q64" s="2134"/>
      <c r="R64" s="303">
        <f t="shared" si="5"/>
        <v>0.82319975178773364</v>
      </c>
      <c r="S64" s="203">
        <f t="shared" si="6"/>
        <v>8.2498340177390023E-2</v>
      </c>
      <c r="T64" s="203">
        <f t="shared" si="34"/>
        <v>0.74070141161034364</v>
      </c>
      <c r="U64" s="203">
        <f t="shared" si="7"/>
        <v>0.66206678477277447</v>
      </c>
      <c r="V64" s="203">
        <f t="shared" si="29"/>
        <v>7.8634626837569166E-2</v>
      </c>
      <c r="W64" s="1372">
        <f t="shared" si="4"/>
        <v>0.17680024821226642</v>
      </c>
      <c r="X64" s="2055">
        <f t="shared" si="8"/>
        <v>4.5335280462727175E-2</v>
      </c>
      <c r="Y64" s="385">
        <f t="shared" si="30"/>
        <v>0.13146496774953925</v>
      </c>
      <c r="Z64" s="203">
        <f t="shared" si="31"/>
        <v>0.12783362064011719</v>
      </c>
      <c r="AA64" s="62">
        <f t="shared" si="19"/>
        <v>0.35464285714285637</v>
      </c>
      <c r="AB64" s="203"/>
      <c r="AC64" s="1155">
        <f t="shared" si="10"/>
        <v>0.16567070861583766</v>
      </c>
      <c r="AD64" s="177">
        <f>1000*(DataUK1!$AO64+DataUK1!$BI64)/DataUK2!$E64</f>
        <v>71.908893709327543</v>
      </c>
      <c r="AE64" s="176">
        <f>1000*DataUK1!$BI64/(R64*DataUK2!$E64)</f>
        <v>62.7149096384016</v>
      </c>
      <c r="AF64" s="546"/>
      <c r="AG64" s="154">
        <f>1000*(DataUK1!$BK64)/(DataUK2!$S64*DataUK2!$E64)</f>
        <v>37.468708873728559</v>
      </c>
      <c r="AH64" s="546"/>
      <c r="AI64" s="176">
        <f>1000*DataUK1!$AO64/(W64*DataUK2!$E64)</f>
        <v>114.71700897871274</v>
      </c>
      <c r="AJ64" s="154">
        <f>1000*(DataUK1!$AQ64+DataUK1!$AT64)/(DataUK2!$X64*DataUK2!$E64)</f>
        <v>98.088169266547865</v>
      </c>
      <c r="AK64" s="154">
        <f>1000*(DataUK1!$AT64)/(DataUK2!$X64*DataUK2!$E64)</f>
        <v>47.847887447096525</v>
      </c>
      <c r="AL64" s="154">
        <f>1000*(DataUK1!$AU64)/(DataUK2!$Y64*DataUK2!$E64)</f>
        <v>120.45141202939443</v>
      </c>
      <c r="AM64" s="2136">
        <f>1000*(DataUK1!AQ64+DataUK1!AT64+DataUK1!BK64)/(DataUK2!Z64*DataUK2!E64)</f>
        <v>58.966967505896221</v>
      </c>
      <c r="AN64" s="303">
        <f t="shared" si="11"/>
        <v>1</v>
      </c>
      <c r="AO64" s="547"/>
      <c r="AP64" s="306">
        <f t="shared" si="12"/>
        <v>0.59744499497430059</v>
      </c>
      <c r="AQ64" s="547"/>
      <c r="AR64" s="305">
        <f t="shared" si="13"/>
        <v>1.8291824008061588</v>
      </c>
      <c r="AS64" s="306">
        <f t="shared" si="14"/>
        <v>1.5640326970428498</v>
      </c>
      <c r="AT64" s="306">
        <f t="shared" si="15"/>
        <v>0.76294277904529262</v>
      </c>
      <c r="AU64" s="306">
        <f t="shared" si="16"/>
        <v>1.9206184418328431</v>
      </c>
      <c r="AV64" s="2137">
        <f t="shared" si="17"/>
        <v>0.94023841931503893</v>
      </c>
      <c r="AW64" s="2133">
        <f t="shared" si="32"/>
        <v>1</v>
      </c>
    </row>
    <row r="65" spans="1:49" ht="12" customHeight="1">
      <c r="A65" s="110">
        <f t="shared" si="36"/>
        <v>1907</v>
      </c>
      <c r="B65" s="519">
        <v>43737</v>
      </c>
      <c r="C65" s="386">
        <f t="shared" si="37"/>
        <v>0.41784143136474472</v>
      </c>
      <c r="D65" s="521"/>
      <c r="E65" s="542">
        <v>18600</v>
      </c>
      <c r="F65" s="522">
        <f t="shared" si="33"/>
        <v>0.73050410277691658</v>
      </c>
      <c r="G65" s="1156"/>
      <c r="H65" s="350"/>
      <c r="I65" s="350"/>
      <c r="J65" s="350"/>
      <c r="K65" s="350"/>
      <c r="L65" s="350"/>
      <c r="M65" s="350"/>
      <c r="N65" s="350"/>
      <c r="O65" s="1133"/>
      <c r="P65" s="352"/>
      <c r="Q65" s="2134"/>
      <c r="R65" s="303">
        <f t="shared" si="5"/>
        <v>0.82649171194793503</v>
      </c>
      <c r="S65" s="203">
        <f t="shared" si="6"/>
        <v>8.1116102161596287E-2</v>
      </c>
      <c r="T65" s="203">
        <f t="shared" si="34"/>
        <v>0.74537560978633877</v>
      </c>
      <c r="U65" s="203">
        <f t="shared" si="7"/>
        <v>0.66567388892298607</v>
      </c>
      <c r="V65" s="203">
        <f t="shared" si="29"/>
        <v>7.9701720863352726E-2</v>
      </c>
      <c r="W65" s="1372">
        <f t="shared" si="4"/>
        <v>0.17350828805206497</v>
      </c>
      <c r="X65" s="2055">
        <f t="shared" si="8"/>
        <v>4.4784721592544145E-2</v>
      </c>
      <c r="Y65" s="385">
        <f t="shared" si="30"/>
        <v>0.12872356645952082</v>
      </c>
      <c r="Z65" s="203">
        <f t="shared" si="31"/>
        <v>0.12590082375414044</v>
      </c>
      <c r="AA65" s="62">
        <f t="shared" si="19"/>
        <v>0.35571428571428493</v>
      </c>
      <c r="AB65" s="203"/>
      <c r="AC65" s="1155">
        <f t="shared" si="10"/>
        <v>0.16203924822183588</v>
      </c>
      <c r="AD65" s="177">
        <f>1000*(DataUK1!$AO65+DataUK1!$BI65)/DataUK2!$E65</f>
        <v>75.161290322580641</v>
      </c>
      <c r="AE65" s="176">
        <f>1000*DataUK1!$BI65/(R65*DataUK2!$E65)</f>
        <v>65.570589037571253</v>
      </c>
      <c r="AF65" s="546"/>
      <c r="AG65" s="154">
        <f>1000*(DataUK1!$BK65)/(DataUK2!$S65*DataUK2!$E65)</f>
        <v>37.779381002889544</v>
      </c>
      <c r="AH65" s="546"/>
      <c r="AI65" s="176">
        <f>1000*DataUK1!$AO65/(W65*DataUK2!$E65)</f>
        <v>120.84576576072284</v>
      </c>
      <c r="AJ65" s="154">
        <f>1000*(DataUK1!$AQ65+DataUK1!$AT65)/(DataUK2!$X65*DataUK2!$E65)</f>
        <v>99.640355744463392</v>
      </c>
      <c r="AK65" s="154">
        <f>1000*(DataUK1!$AT65)/(DataUK2!$X65*DataUK2!$E65)</f>
        <v>49.219934765337335</v>
      </c>
      <c r="AL65" s="154">
        <f>1000*(DataUK1!$AU65)/(DataUK2!$Y65*DataUK2!$E65)</f>
        <v>128.22342324764907</v>
      </c>
      <c r="AM65" s="2136">
        <f>1000*(DataUK1!AQ65+DataUK1!AT65+DataUK1!BK65)/(DataUK2!Z65*DataUK2!E65)</f>
        <v>59.784213446677903</v>
      </c>
      <c r="AN65" s="303">
        <f t="shared" si="11"/>
        <v>1</v>
      </c>
      <c r="AO65" s="547"/>
      <c r="AP65" s="306">
        <f t="shared" si="12"/>
        <v>0.57616351412128319</v>
      </c>
      <c r="AQ65" s="547"/>
      <c r="AR65" s="305">
        <f t="shared" si="13"/>
        <v>1.8429873443942908</v>
      </c>
      <c r="AS65" s="306">
        <f t="shared" si="14"/>
        <v>1.519589151278945</v>
      </c>
      <c r="AT65" s="306">
        <f t="shared" si="15"/>
        <v>0.75064042412574383</v>
      </c>
      <c r="AU65" s="306">
        <f t="shared" si="16"/>
        <v>1.9555020799672609</v>
      </c>
      <c r="AV65" s="2137">
        <f t="shared" si="17"/>
        <v>0.911753490767365</v>
      </c>
      <c r="AW65" s="2133">
        <f t="shared" si="32"/>
        <v>1</v>
      </c>
    </row>
    <row r="66" spans="1:49" ht="12" customHeight="1">
      <c r="A66" s="110">
        <f t="shared" si="36"/>
        <v>1908</v>
      </c>
      <c r="B66" s="519">
        <v>44124</v>
      </c>
      <c r="C66" s="386">
        <f t="shared" si="37"/>
        <v>0.4156068967927124</v>
      </c>
      <c r="D66" s="521"/>
      <c r="E66" s="542">
        <v>17960</v>
      </c>
      <c r="F66" s="522">
        <f t="shared" si="33"/>
        <v>0.69650842574921312</v>
      </c>
      <c r="G66" s="1156"/>
      <c r="H66" s="350"/>
      <c r="I66" s="350"/>
      <c r="J66" s="350"/>
      <c r="K66" s="350"/>
      <c r="L66" s="350"/>
      <c r="M66" s="350"/>
      <c r="N66" s="350"/>
      <c r="O66" s="1133"/>
      <c r="P66" s="352"/>
      <c r="Q66" s="2134"/>
      <c r="R66" s="303">
        <f t="shared" si="5"/>
        <v>0.82978781381574929</v>
      </c>
      <c r="S66" s="203">
        <f t="shared" si="6"/>
        <v>7.9738005853415395E-2</v>
      </c>
      <c r="T66" s="203">
        <f t="shared" si="34"/>
        <v>0.75004980796233389</v>
      </c>
      <c r="U66" s="203">
        <f t="shared" si="7"/>
        <v>0.66928099307319755</v>
      </c>
      <c r="V66" s="203">
        <f t="shared" si="29"/>
        <v>8.0768814889136287E-2</v>
      </c>
      <c r="W66" s="1372">
        <f t="shared" si="4"/>
        <v>0.17021218618425071</v>
      </c>
      <c r="X66" s="2055">
        <f t="shared" si="8"/>
        <v>4.4230021014748308E-2</v>
      </c>
      <c r="Y66" s="385">
        <f t="shared" si="30"/>
        <v>0.12598216516950239</v>
      </c>
      <c r="Z66" s="203">
        <f t="shared" si="31"/>
        <v>0.1239680268681637</v>
      </c>
      <c r="AA66" s="62">
        <f t="shared" si="19"/>
        <v>0.35678571428571348</v>
      </c>
      <c r="AB66" s="203"/>
      <c r="AC66" s="1155">
        <f t="shared" si="10"/>
        <v>0.15841569405514308</v>
      </c>
      <c r="AD66" s="177">
        <f>1000*(DataUK1!$AO66+DataUK1!$BI66)/DataUK2!$E66</f>
        <v>73.942093541202667</v>
      </c>
      <c r="AE66" s="176">
        <f>1000*DataUK1!$BI66/(R66*DataUK2!$E66)</f>
        <v>65.42311687231971</v>
      </c>
      <c r="AF66" s="546"/>
      <c r="AG66" s="154">
        <f>1000*(DataUK1!$BK66)/(DataUK2!$S66*DataUK2!$E66)</f>
        <v>39.103562419391828</v>
      </c>
      <c r="AH66" s="546"/>
      <c r="AI66" s="176">
        <f>1000*DataUK1!$AO66/(W66*DataUK2!$E66)</f>
        <v>115.47227527782525</v>
      </c>
      <c r="AJ66" s="154">
        <f>1000*(DataUK1!$AQ66+DataUK1!$AT66)/(DataUK2!$X66*DataUK2!$E66)</f>
        <v>112.03830467327896</v>
      </c>
      <c r="AK66" s="154">
        <f>1000*(DataUK1!$AT66)/(DataUK2!$X66*DataUK2!$E66)</f>
        <v>57.907438370458785</v>
      </c>
      <c r="AL66" s="154">
        <f>1000*(DataUK1!$AU66)/(DataUK2!$Y66*DataUK2!$E66)</f>
        <v>116.67787919643354</v>
      </c>
      <c r="AM66" s="2136">
        <f>1000*(DataUK1!AQ66+DataUK1!AT66+DataUK1!BK66)/(DataUK2!Z66*DataUK2!E66)</f>
        <v>65.125636530689363</v>
      </c>
      <c r="AN66" s="303">
        <f t="shared" si="11"/>
        <v>1</v>
      </c>
      <c r="AO66" s="547"/>
      <c r="AP66" s="306">
        <f t="shared" si="12"/>
        <v>0.59770252914893462</v>
      </c>
      <c r="AQ66" s="547"/>
      <c r="AR66" s="305">
        <f t="shared" si="13"/>
        <v>1.7650072451176835</v>
      </c>
      <c r="AS66" s="306">
        <f t="shared" si="14"/>
        <v>1.7125186024373285</v>
      </c>
      <c r="AT66" s="306">
        <f t="shared" si="15"/>
        <v>0.88512197429345063</v>
      </c>
      <c r="AU66" s="306">
        <f t="shared" si="16"/>
        <v>1.783435042144859</v>
      </c>
      <c r="AV66" s="2137">
        <f t="shared" si="17"/>
        <v>0.99545297815432865</v>
      </c>
      <c r="AW66" s="2133">
        <f t="shared" si="32"/>
        <v>1</v>
      </c>
    </row>
    <row r="67" spans="1:49" ht="12" customHeight="1">
      <c r="A67" s="110">
        <f t="shared" si="36"/>
        <v>1909</v>
      </c>
      <c r="B67" s="519">
        <v>44520</v>
      </c>
      <c r="C67" s="386">
        <f t="shared" si="37"/>
        <v>0.41337236222068008</v>
      </c>
      <c r="D67" s="521"/>
      <c r="E67" s="542">
        <v>18140</v>
      </c>
      <c r="F67" s="522">
        <f t="shared" si="33"/>
        <v>0.69457573477801471</v>
      </c>
      <c r="G67" s="1156"/>
      <c r="H67" s="350"/>
      <c r="I67" s="350"/>
      <c r="J67" s="350"/>
      <c r="K67" s="350"/>
      <c r="L67" s="350"/>
      <c r="M67" s="350"/>
      <c r="N67" s="350"/>
      <c r="O67" s="1133"/>
      <c r="P67" s="352"/>
      <c r="Q67" s="2134"/>
      <c r="R67" s="303">
        <f t="shared" si="5"/>
        <v>0.83308805739117631</v>
      </c>
      <c r="S67" s="203">
        <f t="shared" si="6"/>
        <v>7.8364051252847303E-2</v>
      </c>
      <c r="T67" s="203">
        <f t="shared" si="34"/>
        <v>0.75472400613832902</v>
      </c>
      <c r="U67" s="203">
        <f t="shared" si="7"/>
        <v>0.67288809722340914</v>
      </c>
      <c r="V67" s="203">
        <f t="shared" si="29"/>
        <v>8.1835908914919847E-2</v>
      </c>
      <c r="W67" s="1372">
        <f t="shared" si="4"/>
        <v>0.16691194260882364</v>
      </c>
      <c r="X67" s="2055">
        <f t="shared" si="8"/>
        <v>4.3671178729339663E-2</v>
      </c>
      <c r="Y67" s="385">
        <f t="shared" si="30"/>
        <v>0.12324076387948396</v>
      </c>
      <c r="Z67" s="203">
        <f t="shared" si="31"/>
        <v>0.12203522998218697</v>
      </c>
      <c r="AA67" s="62">
        <f t="shared" si="19"/>
        <v>0.35785714285714204</v>
      </c>
      <c r="AB67" s="203"/>
      <c r="AC67" s="1155">
        <f t="shared" si="10"/>
        <v>0.15480002032429283</v>
      </c>
      <c r="AD67" s="177">
        <f>1000*(DataUK1!$AO67+DataUK1!$BI67)/DataUK2!$E67</f>
        <v>74.090407938257997</v>
      </c>
      <c r="AE67" s="176">
        <f>1000*DataUK1!$BI67/(R67*DataUK2!$E67)</f>
        <v>65.311395172371249</v>
      </c>
      <c r="AF67" s="546"/>
      <c r="AG67" s="154">
        <f>1000*(DataUK1!$BK67)/(DataUK2!$S67*DataUK2!$E67)</f>
        <v>39.394343214849833</v>
      </c>
      <c r="AH67" s="546"/>
      <c r="AI67" s="176">
        <f>1000*DataUK1!$AO67/(W67*DataUK2!$E67)</f>
        <v>117.90806757742092</v>
      </c>
      <c r="AJ67" s="154">
        <f>1000*(DataUK1!$AQ67+DataUK1!$AT67)/(DataUK2!$X67*DataUK2!$E67)</f>
        <v>100.98521400099837</v>
      </c>
      <c r="AK67" s="154">
        <f>1000*(DataUK1!$AT67)/(DataUK2!$X67*DataUK2!$E67)</f>
        <v>46.705661475461746</v>
      </c>
      <c r="AL67" s="154">
        <f>1000*(DataUK1!$AU67)/(DataUK2!$Y67*DataUK2!$E67)</f>
        <v>123.90479252363349</v>
      </c>
      <c r="AM67" s="2136">
        <f>1000*(DataUK1!AQ67+DataUK1!AT67+DataUK1!BK67)/(DataUK2!Z67*DataUK2!E67)</f>
        <v>61.435076260464363</v>
      </c>
      <c r="AN67" s="303">
        <f t="shared" si="11"/>
        <v>1</v>
      </c>
      <c r="AO67" s="547"/>
      <c r="AP67" s="306">
        <f t="shared" si="12"/>
        <v>0.60317718081016991</v>
      </c>
      <c r="AQ67" s="547"/>
      <c r="AR67" s="305">
        <f t="shared" si="13"/>
        <v>1.8053215256883641</v>
      </c>
      <c r="AS67" s="306">
        <f t="shared" si="14"/>
        <v>1.5462112504942822</v>
      </c>
      <c r="AT67" s="306">
        <f t="shared" si="15"/>
        <v>0.7151227033536055</v>
      </c>
      <c r="AU67" s="306">
        <f t="shared" si="16"/>
        <v>1.897138963218</v>
      </c>
      <c r="AV67" s="2137">
        <f t="shared" si="17"/>
        <v>0.94064865860426927</v>
      </c>
      <c r="AW67" s="2133">
        <f t="shared" si="32"/>
        <v>1</v>
      </c>
    </row>
    <row r="68" spans="1:49" ht="12" customHeight="1">
      <c r="A68" s="110">
        <f t="shared" si="36"/>
        <v>1910</v>
      </c>
      <c r="B68" s="519">
        <v>44916</v>
      </c>
      <c r="C68" s="386">
        <f>(4/3)*D68/B68</f>
        <v>0.41113782764864781</v>
      </c>
      <c r="D68" s="352">
        <v>13850</v>
      </c>
      <c r="E68" s="542">
        <v>18890</v>
      </c>
      <c r="F68" s="522">
        <f t="shared" si="33"/>
        <v>0.71419569491354529</v>
      </c>
      <c r="G68" s="1156"/>
      <c r="H68" s="350"/>
      <c r="I68" s="350"/>
      <c r="J68" s="350"/>
      <c r="K68" s="350"/>
      <c r="L68" s="350"/>
      <c r="M68" s="2126"/>
      <c r="N68" s="350"/>
      <c r="O68" s="1133"/>
      <c r="P68" s="352"/>
      <c r="Q68" s="2134"/>
      <c r="R68" s="303">
        <f t="shared" si="5"/>
        <v>0.8363924426742162</v>
      </c>
      <c r="S68" s="203">
        <f t="shared" si="6"/>
        <v>7.6994238359892012E-2</v>
      </c>
      <c r="T68" s="203">
        <f t="shared" si="34"/>
        <v>0.75939820431432414</v>
      </c>
      <c r="U68" s="203">
        <f t="shared" si="7"/>
        <v>0.67649520137362074</v>
      </c>
      <c r="V68" s="203">
        <f t="shared" si="29"/>
        <v>8.2903002940703407E-2</v>
      </c>
      <c r="W68" s="1372">
        <f>X68+Y68</f>
        <v>0.16360755732578375</v>
      </c>
      <c r="X68" s="2055">
        <f t="shared" si="8"/>
        <v>4.3108194736318217E-2</v>
      </c>
      <c r="Y68" s="385">
        <f t="shared" si="30"/>
        <v>0.12049936258946553</v>
      </c>
      <c r="Z68" s="203">
        <f t="shared" si="31"/>
        <v>0.12010243309621023</v>
      </c>
      <c r="AA68" s="62">
        <f t="shared" si="19"/>
        <v>0.3589285714285706</v>
      </c>
      <c r="AB68" s="590">
        <f>(M69-N69)/(P69-Q69)</f>
        <v>0.13946046219697447</v>
      </c>
      <c r="AC68" s="1155">
        <f t="shared" si="10"/>
        <v>0.15119220134987849</v>
      </c>
      <c r="AD68" s="177">
        <f>1000*(DataUK1!$AO68+DataUK1!$BI68)/DataUK2!$E68</f>
        <v>74.060349391212284</v>
      </c>
      <c r="AE68" s="176">
        <f>1000*DataUK1!$BI68/(R68*DataUK2!$E68)</f>
        <v>65.002249398249361</v>
      </c>
      <c r="AF68" s="546"/>
      <c r="AG68" s="154">
        <f>1000*(DataUK1!$BK68)/(DataUK2!$S68*DataUK2!$E68)</f>
        <v>39.190848885466053</v>
      </c>
      <c r="AH68" s="546"/>
      <c r="AI68" s="176">
        <f>1000*DataUK1!$AO68/(W68*DataUK2!$E68)</f>
        <v>120.36705125105115</v>
      </c>
      <c r="AJ68" s="154">
        <f>1000*(DataUK1!$AQ68+DataUK1!$AT68)/(DataUK2!$X68*DataUK2!$E68)</f>
        <v>95.786170069898262</v>
      </c>
      <c r="AK68" s="154">
        <f>1000*(DataUK1!$AT68)/(DataUK2!$X68*DataUK2!$E68)</f>
        <v>42.980973749313321</v>
      </c>
      <c r="AL68" s="154">
        <f>1000*(DataUK1!$AU68)/(DataUK2!$Y68*DataUK2!$E68)</f>
        <v>129.16076924238661</v>
      </c>
      <c r="AM68" s="2136">
        <f>1000*(DataUK1!AQ68+DataUK1!AT68+DataUK1!BK68)/(DataUK2!Z68*DataUK2!E68)</f>
        <v>59.504526667735426</v>
      </c>
      <c r="AN68" s="303">
        <f t="shared" si="11"/>
        <v>1</v>
      </c>
      <c r="AO68" s="547"/>
      <c r="AP68" s="306">
        <f t="shared" si="12"/>
        <v>0.60291527213705221</v>
      </c>
      <c r="AQ68" s="547"/>
      <c r="AR68" s="305">
        <f t="shared" si="13"/>
        <v>1.8517367070422162</v>
      </c>
      <c r="AS68" s="306">
        <f t="shared" si="14"/>
        <v>1.4735823907115124</v>
      </c>
      <c r="AT68" s="306">
        <f t="shared" si="15"/>
        <v>0.6612228676269607</v>
      </c>
      <c r="AU68" s="306">
        <f t="shared" si="16"/>
        <v>1.9870199945090694</v>
      </c>
      <c r="AV68" s="2137">
        <f t="shared" si="17"/>
        <v>0.91542257719681319</v>
      </c>
      <c r="AW68" s="2133">
        <f t="shared" si="32"/>
        <v>1</v>
      </c>
    </row>
    <row r="69" spans="1:49" ht="12" customHeight="1">
      <c r="A69" s="110">
        <f t="shared" si="36"/>
        <v>1911</v>
      </c>
      <c r="B69" s="519">
        <v>45268</v>
      </c>
      <c r="C69" s="386">
        <f t="shared" ref="C69:C77" si="38">C68+(C$78-C$68)/10</f>
        <v>0.40765919135281942</v>
      </c>
      <c r="D69" s="521"/>
      <c r="E69" s="542">
        <v>19390</v>
      </c>
      <c r="F69" s="522">
        <f t="shared" si="33"/>
        <v>0.72312745041942161</v>
      </c>
      <c r="G69" s="2051">
        <f>(15.42+1.98)*1000*21.812/23.31</f>
        <v>16281.801801801805</v>
      </c>
      <c r="H69" s="350"/>
      <c r="I69" s="350"/>
      <c r="J69" s="350"/>
      <c r="K69" s="542">
        <f>Q69/(1+AA69)</f>
        <v>1750.7352941176473</v>
      </c>
      <c r="L69" s="350"/>
      <c r="M69" s="542">
        <f>E69-G69</f>
        <v>3108.1981981981953</v>
      </c>
      <c r="N69" s="352">
        <f>Q69-K69</f>
        <v>630.2647058823527</v>
      </c>
      <c r="O69" s="1133"/>
      <c r="P69" s="352">
        <f>1489+1202+4688+1140+739+1571+1361+741+117+8+2430+5+157+38+2560+98+716+5+255+53+22+111+164+59+156+73+1+182+8</f>
        <v>20149</v>
      </c>
      <c r="Q69" s="352">
        <f>1489+117+716+59</f>
        <v>2381</v>
      </c>
      <c r="R69" s="303">
        <f t="shared" si="5"/>
        <v>0.83970096966486873</v>
      </c>
      <c r="S69" s="203">
        <f t="shared" si="6"/>
        <v>7.5628567174549605E-2</v>
      </c>
      <c r="T69" s="203">
        <f t="shared" si="34"/>
        <v>0.76407240249031916</v>
      </c>
      <c r="U69" s="203">
        <f t="shared" si="7"/>
        <v>0.68010230552383222</v>
      </c>
      <c r="V69" s="307">
        <f>0.1*R69</f>
        <v>8.3970096966486885E-2</v>
      </c>
      <c r="W69" s="307">
        <f>M69/E69</f>
        <v>0.16029903033513127</v>
      </c>
      <c r="X69" s="2055">
        <f t="shared" si="8"/>
        <v>4.2541069035684151E-2</v>
      </c>
      <c r="Y69" s="2057">
        <f t="shared" ref="Y69:Y118" si="39">W69-X69</f>
        <v>0.11775796129944711</v>
      </c>
      <c r="Z69" s="307">
        <f>Q69/P69</f>
        <v>0.11816963621023376</v>
      </c>
      <c r="AA69" s="1373">
        <v>0.36</v>
      </c>
      <c r="AB69" s="307">
        <v>0.11</v>
      </c>
      <c r="AC69" s="1155">
        <f t="shared" si="10"/>
        <v>0.14759221156394506</v>
      </c>
      <c r="AD69" s="177">
        <f>1000*(DataUK1!$AO69+DataUK1!$BI69)/DataUK2!$E69</f>
        <v>75.348117586384731</v>
      </c>
      <c r="AE69" s="176">
        <f>1000*DataUK1!$BI69/(R69*DataUK2!$E69)</f>
        <v>65.410451064583228</v>
      </c>
      <c r="AF69" s="546"/>
      <c r="AG69" s="154">
        <f>1000*(DataUK1!$BK69)/(DataUK2!$S69*DataUK2!$E69)</f>
        <v>39.551623227463253</v>
      </c>
      <c r="AH69" s="546"/>
      <c r="AI69" s="176">
        <f>1000*DataUK1!$AO69/(W69*DataUK2!$E69)</f>
        <v>127.4050027535435</v>
      </c>
      <c r="AJ69" s="154">
        <f>1000*(DataUK1!$AQ69+DataUK1!$AT69)/(DataUK2!$X69*DataUK2!$E69)</f>
        <v>113.95716730671404</v>
      </c>
      <c r="AK69" s="154">
        <f>1000*(DataUK1!$AT69)/(DataUK2!$X69*DataUK2!$E69)</f>
        <v>61.827824815344847</v>
      </c>
      <c r="AL69" s="154">
        <f>1000*(DataUK1!$AU69)/(DataUK2!$Y69*DataUK2!$E69)</f>
        <v>132.26314813761084</v>
      </c>
      <c r="AM69" s="2136">
        <f>1000*(DataUK1!AQ69+DataUK1!AT69+DataUK1!BK69)/(DataUK2!Z69*DataUK2!E69)</f>
        <v>66.337619095993531</v>
      </c>
      <c r="AN69" s="303">
        <f t="shared" si="11"/>
        <v>1</v>
      </c>
      <c r="AO69" s="547"/>
      <c r="AP69" s="306">
        <f t="shared" si="12"/>
        <v>0.60466825383013834</v>
      </c>
      <c r="AQ69" s="547"/>
      <c r="AR69" s="305">
        <f t="shared" si="13"/>
        <v>1.9477774679729658</v>
      </c>
      <c r="AS69" s="306">
        <f t="shared" si="14"/>
        <v>1.7421859267443065</v>
      </c>
      <c r="AT69" s="306">
        <f t="shared" si="15"/>
        <v>0.94522853472297474</v>
      </c>
      <c r="AU69" s="306">
        <f t="shared" si="16"/>
        <v>2.0220491677548651</v>
      </c>
      <c r="AV69" s="2137">
        <f t="shared" si="17"/>
        <v>1.0141746160792389</v>
      </c>
      <c r="AW69" s="2133">
        <f t="shared" si="32"/>
        <v>1</v>
      </c>
    </row>
    <row r="70" spans="1:49" ht="12" customHeight="1">
      <c r="A70" s="110">
        <f t="shared" si="36"/>
        <v>1912</v>
      </c>
      <c r="B70" s="519">
        <v>45436</v>
      </c>
      <c r="C70" s="386">
        <f t="shared" si="38"/>
        <v>0.40418055505699102</v>
      </c>
      <c r="D70" s="521"/>
      <c r="E70" s="542">
        <v>19490</v>
      </c>
      <c r="F70" s="522">
        <f t="shared" si="33"/>
        <v>0.71994127967172605</v>
      </c>
      <c r="G70" s="1156"/>
      <c r="H70" s="350"/>
      <c r="I70" s="350"/>
      <c r="J70" s="350"/>
      <c r="K70" s="350"/>
      <c r="L70" s="350"/>
      <c r="M70" s="2126"/>
      <c r="N70" s="350"/>
      <c r="O70" s="1133"/>
      <c r="P70" s="352"/>
      <c r="Q70" s="2134"/>
      <c r="R70" s="303">
        <f t="shared" si="5"/>
        <v>0.84092449576439776</v>
      </c>
      <c r="S70" s="203">
        <f t="shared" si="6"/>
        <v>7.2144651362479245E-2</v>
      </c>
      <c r="T70" s="203">
        <f t="shared" si="34"/>
        <v>0.76877984440191849</v>
      </c>
      <c r="U70" s="203">
        <f t="shared" si="7"/>
        <v>0.68468739482547869</v>
      </c>
      <c r="V70" s="203">
        <f t="shared" ref="V70:W79" si="40">V69+(V$80-V$69)/11</f>
        <v>8.4092449576439784E-2</v>
      </c>
      <c r="W70" s="29">
        <f>W69+(W$80-W$69)/11</f>
        <v>0.15907550423560224</v>
      </c>
      <c r="X70" s="2055">
        <f t="shared" si="8"/>
        <v>4.172514785676646E-2</v>
      </c>
      <c r="Y70" s="2058">
        <f t="shared" si="39"/>
        <v>0.11735035637883579</v>
      </c>
      <c r="Z70" s="203">
        <f t="shared" ref="Z70:Z79" si="41">Z69+(Z$80-Z$69)/11</f>
        <v>0.1138697992192457</v>
      </c>
      <c r="AA70" s="29">
        <f>AA69+(AA$83-AA$69)/14</f>
        <v>0.36642857142857144</v>
      </c>
      <c r="AB70" s="203"/>
      <c r="AC70" s="1155">
        <f t="shared" si="10"/>
        <v>0.14631525287011268</v>
      </c>
      <c r="AD70" s="177">
        <f>1000*(DataUK1!$AO70+DataUK1!$BI70)/DataUK2!$E70</f>
        <v>78.142637249871726</v>
      </c>
      <c r="AE70" s="176">
        <f>1000*DataUK1!$BI70/(R70*DataUK2!$E70)</f>
        <v>67.969855751748625</v>
      </c>
      <c r="AF70" s="546"/>
      <c r="AG70" s="154">
        <f>1000*(DataUK1!$BK70)/(DataUK2!$S70*DataUK2!$E70)</f>
        <v>41.960053522469096</v>
      </c>
      <c r="AH70" s="546"/>
      <c r="AI70" s="176">
        <f>1000*DataUK1!$AO70/(W70*DataUK2!$E70)</f>
        <v>131.91924599260233</v>
      </c>
      <c r="AJ70" s="154">
        <f>1000*(DataUK1!$AQ70+DataUK1!$AT70)/(DataUK2!$X70*DataUK2!$E70)</f>
        <v>109.44105809047075</v>
      </c>
      <c r="AK70" s="154">
        <f>1000*(DataUK1!$AT70)/(DataUK2!$X70*DataUK2!$E70)</f>
        <v>56.565041260243305</v>
      </c>
      <c r="AL70" s="154">
        <f>1000*(DataUK1!$AU70)/(DataUK2!$Y70*DataUK2!$E70)</f>
        <v>139.91160104554169</v>
      </c>
      <c r="AM70" s="2136">
        <f>1000*(DataUK1!AQ70+DataUK1!AT70+DataUK1!BK70)/(DataUK2!Z70*DataUK2!E70)</f>
        <v>66.687021624886839</v>
      </c>
      <c r="AN70" s="303">
        <f t="shared" si="11"/>
        <v>1</v>
      </c>
      <c r="AO70" s="547"/>
      <c r="AP70" s="306">
        <f t="shared" si="12"/>
        <v>0.61733327308686559</v>
      </c>
      <c r="AQ70" s="547"/>
      <c r="AR70" s="305">
        <f t="shared" si="13"/>
        <v>1.9408492858131232</v>
      </c>
      <c r="AS70" s="306">
        <f t="shared" si="14"/>
        <v>1.6101410968148953</v>
      </c>
      <c r="AT70" s="306">
        <f t="shared" si="15"/>
        <v>0.83220775790432788</v>
      </c>
      <c r="AU70" s="306">
        <f t="shared" si="16"/>
        <v>2.0584360448924781</v>
      </c>
      <c r="AV70" s="2137">
        <f t="shared" si="17"/>
        <v>0.98112642563863639</v>
      </c>
      <c r="AW70" s="2133">
        <f t="shared" si="32"/>
        <v>1</v>
      </c>
    </row>
    <row r="71" spans="1:49" ht="12" customHeight="1">
      <c r="A71" s="110">
        <f t="shared" si="36"/>
        <v>1913</v>
      </c>
      <c r="B71" s="519">
        <v>45649</v>
      </c>
      <c r="C71" s="386">
        <f t="shared" si="38"/>
        <v>0.40070191876116262</v>
      </c>
      <c r="D71" s="521"/>
      <c r="E71" s="542">
        <v>19910</v>
      </c>
      <c r="F71" s="522">
        <f t="shared" si="33"/>
        <v>0.7277749525228816</v>
      </c>
      <c r="G71" s="1156"/>
      <c r="H71" s="350"/>
      <c r="I71" s="350"/>
      <c r="J71" s="350"/>
      <c r="K71" s="350"/>
      <c r="L71" s="350"/>
      <c r="M71" s="2126"/>
      <c r="N71" s="350"/>
      <c r="O71" s="1133"/>
      <c r="P71" s="352"/>
      <c r="Q71" s="2134"/>
      <c r="R71" s="303">
        <f t="shared" si="5"/>
        <v>0.84214802186392679</v>
      </c>
      <c r="S71" s="203">
        <f t="shared" si="6"/>
        <v>6.871601916886444E-2</v>
      </c>
      <c r="T71" s="203">
        <f t="shared" si="34"/>
        <v>0.77343200269506229</v>
      </c>
      <c r="U71" s="203">
        <f t="shared" si="7"/>
        <v>0.68921720050866964</v>
      </c>
      <c r="V71" s="203">
        <f t="shared" si="40"/>
        <v>8.4214802186392684E-2</v>
      </c>
      <c r="W71" s="29">
        <f t="shared" si="40"/>
        <v>0.15785197813607321</v>
      </c>
      <c r="X71" s="2055">
        <f t="shared" si="8"/>
        <v>4.0853943059393209E-2</v>
      </c>
      <c r="Y71" s="2058">
        <f t="shared" si="39"/>
        <v>0.11699803507668</v>
      </c>
      <c r="Z71" s="203">
        <f t="shared" si="41"/>
        <v>0.10956996222825764</v>
      </c>
      <c r="AA71" s="29">
        <f t="shared" ref="AA71:AA82" si="42">AA70+(AA$83-AA$69)/14</f>
        <v>0.37285714285714289</v>
      </c>
      <c r="AB71" s="203"/>
      <c r="AC71" s="1155">
        <f t="shared" si="10"/>
        <v>0.14512009933889924</v>
      </c>
      <c r="AD71" s="177">
        <f>1000*(DataUK1!$AO71+DataUK1!$BI71)/DataUK2!$E71</f>
        <v>78.854846810647913</v>
      </c>
      <c r="AE71" s="176">
        <f>1000*DataUK1!$BI71/(R71*DataUK2!$E71)</f>
        <v>69.182825698728607</v>
      </c>
      <c r="AF71" s="546"/>
      <c r="AG71" s="154">
        <f>1000*(DataUK1!$BK71)/(DataUK2!$S71*DataUK2!$E71)</f>
        <v>43.855291110580048</v>
      </c>
      <c r="AH71" s="546"/>
      <c r="AI71" s="176">
        <f>1000*DataUK1!$AO71/(W71*DataUK2!$E71)</f>
        <v>130.455552376767</v>
      </c>
      <c r="AJ71" s="154">
        <f>1000*(DataUK1!$AQ71+DataUK1!$AT71)/(DataUK2!$X71*DataUK2!$E71)</f>
        <v>100.81116024257091</v>
      </c>
      <c r="AK71" s="154">
        <f>1000*(DataUK1!$AT71)/(DataUK2!$X71*DataUK2!$E71)</f>
        <v>47.946771334881284</v>
      </c>
      <c r="AL71" s="154">
        <f>1000*(DataUK1!$AU71)/(DataUK2!$Y71*DataUK2!$E71)</f>
        <v>140.8069254360413</v>
      </c>
      <c r="AM71" s="2136">
        <f>1000*(DataUK1!AQ71+DataUK1!AT71+DataUK1!BK71)/(DataUK2!Z71*DataUK2!E71)</f>
        <v>65.091693744079507</v>
      </c>
      <c r="AN71" s="303">
        <f t="shared" si="11"/>
        <v>1</v>
      </c>
      <c r="AO71" s="547"/>
      <c r="AP71" s="306">
        <f t="shared" si="12"/>
        <v>0.63390430598422332</v>
      </c>
      <c r="AQ71" s="547"/>
      <c r="AR71" s="305">
        <f t="shared" si="13"/>
        <v>1.8856638343288199</v>
      </c>
      <c r="AS71" s="306">
        <f t="shared" si="14"/>
        <v>1.457170319720311</v>
      </c>
      <c r="AT71" s="306">
        <f t="shared" si="15"/>
        <v>0.69304442035478198</v>
      </c>
      <c r="AU71" s="306">
        <f t="shared" si="16"/>
        <v>2.0352872842924215</v>
      </c>
      <c r="AV71" s="2137">
        <f t="shared" si="17"/>
        <v>0.94086491967725039</v>
      </c>
      <c r="AW71" s="2133">
        <f t="shared" si="32"/>
        <v>1</v>
      </c>
    </row>
    <row r="72" spans="1:49" ht="12" customHeight="1">
      <c r="A72" s="110">
        <f t="shared" si="36"/>
        <v>1914</v>
      </c>
      <c r="B72" s="519">
        <v>46049</v>
      </c>
      <c r="C72" s="386">
        <f t="shared" si="38"/>
        <v>0.39722328246533423</v>
      </c>
      <c r="D72" s="521"/>
      <c r="E72" s="542">
        <v>19440</v>
      </c>
      <c r="F72" s="522">
        <f t="shared" si="33"/>
        <v>0.7003571841083347</v>
      </c>
      <c r="G72" s="1156"/>
      <c r="H72" s="350"/>
      <c r="I72" s="350"/>
      <c r="J72" s="350"/>
      <c r="K72" s="350"/>
      <c r="L72" s="350"/>
      <c r="M72" s="2126"/>
      <c r="N72" s="350"/>
      <c r="O72" s="1133"/>
      <c r="P72" s="352"/>
      <c r="Q72" s="2134"/>
      <c r="R72" s="303">
        <f t="shared" si="5"/>
        <v>0.84337154796345581</v>
      </c>
      <c r="S72" s="203">
        <f t="shared" si="6"/>
        <v>6.5342670593705188E-2</v>
      </c>
      <c r="T72" s="203">
        <f t="shared" si="34"/>
        <v>0.77802887736975057</v>
      </c>
      <c r="U72" s="203">
        <f t="shared" si="7"/>
        <v>0.69369172257340495</v>
      </c>
      <c r="V72" s="203">
        <f t="shared" si="40"/>
        <v>8.4337154796345584E-2</v>
      </c>
      <c r="W72" s="29">
        <f t="shared" si="40"/>
        <v>0.15662845203654419</v>
      </c>
      <c r="X72" s="2055">
        <f t="shared" si="8"/>
        <v>3.9927454643564397E-2</v>
      </c>
      <c r="Y72" s="2058">
        <f t="shared" si="39"/>
        <v>0.11670099739297979</v>
      </c>
      <c r="Z72" s="203">
        <f t="shared" si="41"/>
        <v>0.10527012523726959</v>
      </c>
      <c r="AA72" s="29">
        <f t="shared" si="42"/>
        <v>0.37928571428571434</v>
      </c>
      <c r="AB72" s="203"/>
      <c r="AC72" s="1155">
        <f t="shared" si="10"/>
        <v>0.14400548588074752</v>
      </c>
      <c r="AD72" s="177">
        <f>1000*(DataUK1!$AO72+DataUK1!$BI72)/DataUK2!$E72</f>
        <v>87.094650205761312</v>
      </c>
      <c r="AE72" s="176">
        <f>1000*DataUK1!$BI72/(R72*DataUK2!$E72)</f>
        <v>76.852029181358276</v>
      </c>
      <c r="AF72" s="546"/>
      <c r="AG72" s="154">
        <f>1000*(DataUK1!$BK72)/(DataUK2!$S72*DataUK2!$E72)</f>
        <v>48.808846999128875</v>
      </c>
      <c r="AH72" s="546"/>
      <c r="AI72" s="176">
        <f>1000*DataUK1!$AO72/(W72*DataUK2!$E72)</f>
        <v>142.24641245734986</v>
      </c>
      <c r="AJ72" s="154">
        <f>1000*(DataUK1!$AQ72+DataUK1!$AT72)/(DataUK2!$X72*DataUK2!$E72)</f>
        <v>143.00627460934851</v>
      </c>
      <c r="AK72" s="154">
        <f>1000*(DataUK1!$AT72)/(DataUK2!$X72*DataUK2!$E72)</f>
        <v>86.319102692129277</v>
      </c>
      <c r="AL72" s="154">
        <f>1000*(DataUK1!$AU72)/(DataUK2!$Y72*DataUK2!$E72)</f>
        <v>141.98643728758225</v>
      </c>
      <c r="AM72" s="2136">
        <f>1000*(DataUK1!AQ72+DataUK1!AT72+DataUK1!BK72)/(DataUK2!Z72*DataUK2!E72)</f>
        <v>84.536585614147882</v>
      </c>
      <c r="AN72" s="303">
        <f t="shared" si="11"/>
        <v>1</v>
      </c>
      <c r="AO72" s="547"/>
      <c r="AP72" s="306">
        <f t="shared" si="12"/>
        <v>0.63510160394005921</v>
      </c>
      <c r="AQ72" s="547"/>
      <c r="AR72" s="305">
        <f t="shared" si="13"/>
        <v>1.8509129033102234</v>
      </c>
      <c r="AS72" s="306">
        <f t="shared" si="14"/>
        <v>1.8608002434376454</v>
      </c>
      <c r="AT72" s="306">
        <f t="shared" si="15"/>
        <v>1.1231857325254255</v>
      </c>
      <c r="AU72" s="306">
        <f t="shared" si="16"/>
        <v>1.8475301016778278</v>
      </c>
      <c r="AV72" s="2137">
        <f t="shared" si="17"/>
        <v>1.0999915879209292</v>
      </c>
      <c r="AW72" s="2133">
        <f t="shared" si="32"/>
        <v>1</v>
      </c>
    </row>
    <row r="73" spans="1:49" ht="12" customHeight="1">
      <c r="A73" s="110">
        <f t="shared" si="36"/>
        <v>1915</v>
      </c>
      <c r="B73" s="519">
        <v>46340</v>
      </c>
      <c r="C73" s="386">
        <f t="shared" si="38"/>
        <v>0.39374464616950583</v>
      </c>
      <c r="D73" s="521"/>
      <c r="E73" s="542">
        <v>18400</v>
      </c>
      <c r="F73" s="522">
        <f t="shared" si="33"/>
        <v>0.65494707464486168</v>
      </c>
      <c r="G73" s="1156"/>
      <c r="H73" s="350"/>
      <c r="I73" s="350"/>
      <c r="J73" s="350"/>
      <c r="K73" s="350"/>
      <c r="L73" s="350"/>
      <c r="M73" s="2126"/>
      <c r="N73" s="350"/>
      <c r="O73" s="1133"/>
      <c r="P73" s="352"/>
      <c r="Q73" s="2134"/>
      <c r="R73" s="303">
        <f t="shared" si="5"/>
        <v>0.84459507406298484</v>
      </c>
      <c r="S73" s="203">
        <f t="shared" si="6"/>
        <v>6.2024605637001504E-2</v>
      </c>
      <c r="T73" s="203">
        <f t="shared" si="34"/>
        <v>0.78257046842598332</v>
      </c>
      <c r="U73" s="203">
        <f t="shared" si="7"/>
        <v>0.69811096101968484</v>
      </c>
      <c r="V73" s="203">
        <f t="shared" si="40"/>
        <v>8.4459507406298484E-2</v>
      </c>
      <c r="W73" s="29">
        <f t="shared" si="40"/>
        <v>0.15540492593701516</v>
      </c>
      <c r="X73" s="2055">
        <f t="shared" si="8"/>
        <v>3.8945682609280025E-2</v>
      </c>
      <c r="Y73" s="2058">
        <f t="shared" si="39"/>
        <v>0.11645924332773513</v>
      </c>
      <c r="Z73" s="203">
        <f t="shared" si="41"/>
        <v>0.10097028824628153</v>
      </c>
      <c r="AA73" s="29">
        <f t="shared" si="42"/>
        <v>0.38571428571428579</v>
      </c>
      <c r="AB73" s="203"/>
      <c r="AC73" s="1155">
        <f t="shared" si="10"/>
        <v>0.14297017335790549</v>
      </c>
      <c r="AD73" s="177">
        <f>1000*(DataUK1!$AO73+DataUK1!$BI73)/DataUK2!$E73</f>
        <v>109.23913043478261</v>
      </c>
      <c r="AE73" s="176">
        <f>1000*DataUK1!$BI73/(R73*DataUK2!$E73)</f>
        <v>100.12516055119448</v>
      </c>
      <c r="AF73" s="546"/>
      <c r="AG73" s="154">
        <f>1000*(DataUK1!$BK73)/(DataUK2!$S73*DataUK2!$E73)</f>
        <v>56.954956172180069</v>
      </c>
      <c r="AH73" s="546"/>
      <c r="AI73" s="176">
        <f>1000*DataUK1!$AO73/(W73*DataUK2!$E73)</f>
        <v>158.77175639515104</v>
      </c>
      <c r="AJ73" s="154">
        <f>1000*(DataUK1!$AQ73+DataUK1!$AT73)/(DataUK2!$X73*DataUK2!$E73)</f>
        <v>171.64373971205717</v>
      </c>
      <c r="AK73" s="154">
        <f>1000*(DataUK1!$AT73)/(DataUK2!$X73*DataUK2!$E73)</f>
        <v>110.24272713213428</v>
      </c>
      <c r="AL73" s="154">
        <f>1000*(DataUK1!$AU73)/(DataUK2!$Y73*DataUK2!$E73)</f>
        <v>154.46717599012976</v>
      </c>
      <c r="AM73" s="2136">
        <f>1000*(DataUK1!AQ73+DataUK1!AT73+DataUK1!BK73)/(DataUK2!Z73*DataUK2!E73)</f>
        <v>101.19205839470411</v>
      </c>
      <c r="AN73" s="303">
        <f t="shared" si="11"/>
        <v>1</v>
      </c>
      <c r="AO73" s="547"/>
      <c r="AP73" s="306">
        <f t="shared" si="12"/>
        <v>0.56883760144443141</v>
      </c>
      <c r="AQ73" s="547"/>
      <c r="AR73" s="305">
        <f t="shared" si="13"/>
        <v>1.5857328519735083</v>
      </c>
      <c r="AS73" s="306">
        <f t="shared" si="14"/>
        <v>1.7142917800795425</v>
      </c>
      <c r="AT73" s="306">
        <f t="shared" si="15"/>
        <v>1.1010491920836085</v>
      </c>
      <c r="AU73" s="306">
        <f t="shared" si="16"/>
        <v>1.5427408569412475</v>
      </c>
      <c r="AV73" s="2137">
        <f t="shared" si="17"/>
        <v>1.0106556417751171</v>
      </c>
      <c r="AW73" s="2133">
        <f t="shared" si="32"/>
        <v>1</v>
      </c>
    </row>
    <row r="74" spans="1:49" ht="12" customHeight="1">
      <c r="A74" s="110">
        <f t="shared" si="36"/>
        <v>1916</v>
      </c>
      <c r="B74" s="519">
        <v>46514</v>
      </c>
      <c r="C74" s="386">
        <f t="shared" si="38"/>
        <v>0.39026600987367743</v>
      </c>
      <c r="D74" s="521"/>
      <c r="E74" s="542">
        <v>17700</v>
      </c>
      <c r="F74" s="522">
        <f t="shared" si="33"/>
        <v>0.62409279965009512</v>
      </c>
      <c r="G74" s="1156"/>
      <c r="H74" s="350"/>
      <c r="I74" s="350"/>
      <c r="J74" s="350"/>
      <c r="K74" s="350"/>
      <c r="L74" s="350"/>
      <c r="M74" s="2126"/>
      <c r="N74" s="350"/>
      <c r="O74" s="1133"/>
      <c r="P74" s="352"/>
      <c r="Q74" s="2134"/>
      <c r="R74" s="303">
        <f t="shared" si="5"/>
        <v>0.84581860016251387</v>
      </c>
      <c r="S74" s="203">
        <f t="shared" si="6"/>
        <v>5.876182429875338E-2</v>
      </c>
      <c r="T74" s="203">
        <f t="shared" si="34"/>
        <v>0.78705677586376044</v>
      </c>
      <c r="U74" s="203">
        <f t="shared" si="7"/>
        <v>0.7024749158475091</v>
      </c>
      <c r="V74" s="203">
        <f t="shared" si="40"/>
        <v>8.4581860016251384E-2</v>
      </c>
      <c r="W74" s="29">
        <f t="shared" si="40"/>
        <v>0.15418139983748613</v>
      </c>
      <c r="X74" s="2055">
        <f t="shared" si="8"/>
        <v>3.7908626956540091E-2</v>
      </c>
      <c r="Y74" s="2058">
        <f t="shared" si="39"/>
        <v>0.11627277288094603</v>
      </c>
      <c r="Z74" s="203">
        <f t="shared" si="41"/>
        <v>9.6670451255293471E-2</v>
      </c>
      <c r="AA74" s="29">
        <f t="shared" si="42"/>
        <v>0.39214285714285724</v>
      </c>
      <c r="AB74" s="203"/>
      <c r="AC74" s="1155">
        <f t="shared" si="10"/>
        <v>0.14201294792235916</v>
      </c>
      <c r="AD74" s="177">
        <f>1000*(DataUK1!$AO74+DataUK1!$BI74)/DataUK2!$E74</f>
        <v>136.51028248587571</v>
      </c>
      <c r="AE74" s="176">
        <f>1000*DataUK1!$BI74/(R74*DataUK2!$E74)</f>
        <v>124.10669544540676</v>
      </c>
      <c r="AF74" s="546"/>
      <c r="AG74" s="154">
        <f>1000*(DataUK1!$BK74)/(DataUK2!$S74*DataUK2!$E74)</f>
        <v>61.533474363495166</v>
      </c>
      <c r="AH74" s="546"/>
      <c r="AI74" s="176">
        <f>1000*DataUK1!$AO74/(W74*DataUK2!$E74)</f>
        <v>204.5547070313884</v>
      </c>
      <c r="AJ74" s="154">
        <f>1000*(DataUK1!$AQ74+DataUK1!$AT74)/(DataUK2!$X74*DataUK2!$E74)</f>
        <v>256.34044027588544</v>
      </c>
      <c r="AK74" s="154">
        <f>1000*(DataUK1!$AT74)/(DataUK2!$X74*DataUK2!$E74)</f>
        <v>189.27462741300843</v>
      </c>
      <c r="AL74" s="154">
        <f>1000*(DataUK1!$AU74)/(DataUK2!$Y74*DataUK2!$E74)</f>
        <v>187.67090874744602</v>
      </c>
      <c r="AM74" s="2136">
        <f>1000*(DataUK1!AQ74+DataUK1!AT74+DataUK1!BK74)/(DataUK2!Z74*DataUK2!E74)</f>
        <v>137.92563456771106</v>
      </c>
      <c r="AN74" s="303">
        <f t="shared" si="11"/>
        <v>1</v>
      </c>
      <c r="AO74" s="547"/>
      <c r="AP74" s="306">
        <f t="shared" si="12"/>
        <v>0.49581107725620732</v>
      </c>
      <c r="AQ74" s="547"/>
      <c r="AR74" s="305">
        <f t="shared" si="13"/>
        <v>1.6482165309233447</v>
      </c>
      <c r="AS74" s="306">
        <f t="shared" si="14"/>
        <v>2.0654843750041425</v>
      </c>
      <c r="AT74" s="306">
        <f t="shared" si="15"/>
        <v>1.5250960210786402</v>
      </c>
      <c r="AU74" s="306">
        <f t="shared" si="16"/>
        <v>1.51217392481456</v>
      </c>
      <c r="AV74" s="2137">
        <f t="shared" si="17"/>
        <v>1.1113472490159333</v>
      </c>
      <c r="AW74" s="2133">
        <f t="shared" si="32"/>
        <v>1</v>
      </c>
    </row>
    <row r="75" spans="1:49" ht="12" customHeight="1">
      <c r="A75" s="110">
        <f t="shared" si="36"/>
        <v>1917</v>
      </c>
      <c r="B75" s="519">
        <v>46614</v>
      </c>
      <c r="C75" s="386">
        <f t="shared" si="38"/>
        <v>0.38678737357784904</v>
      </c>
      <c r="D75" s="521"/>
      <c r="E75" s="542">
        <v>17100</v>
      </c>
      <c r="F75" s="522">
        <f t="shared" si="33"/>
        <v>0.59823063595891335</v>
      </c>
      <c r="G75" s="1156"/>
      <c r="H75" s="350"/>
      <c r="I75" s="350"/>
      <c r="J75" s="350"/>
      <c r="K75" s="350"/>
      <c r="L75" s="350"/>
      <c r="M75" s="2126"/>
      <c r="N75" s="350"/>
      <c r="O75" s="1133"/>
      <c r="P75" s="352"/>
      <c r="Q75" s="2134"/>
      <c r="R75" s="303">
        <f t="shared" si="5"/>
        <v>0.84704212626204289</v>
      </c>
      <c r="S75" s="203">
        <f t="shared" si="6"/>
        <v>5.5554326578960818E-2</v>
      </c>
      <c r="T75" s="203">
        <f t="shared" si="34"/>
        <v>0.79148779968308203</v>
      </c>
      <c r="U75" s="203">
        <f t="shared" si="7"/>
        <v>0.70678358705687772</v>
      </c>
      <c r="V75" s="203">
        <f t="shared" si="40"/>
        <v>8.4704212626204284E-2</v>
      </c>
      <c r="W75" s="29">
        <f t="shared" si="40"/>
        <v>0.15295787373795711</v>
      </c>
      <c r="X75" s="2055">
        <f t="shared" si="8"/>
        <v>3.6816287685344597E-2</v>
      </c>
      <c r="Y75" s="2058">
        <f t="shared" si="39"/>
        <v>0.11614158605261252</v>
      </c>
      <c r="Z75" s="203">
        <f t="shared" si="41"/>
        <v>9.2370614264305415E-2</v>
      </c>
      <c r="AA75" s="29">
        <f t="shared" si="42"/>
        <v>0.39857142857142869</v>
      </c>
      <c r="AB75" s="203"/>
      <c r="AC75" s="1155">
        <f t="shared" si="10"/>
        <v>0.14113262037393026</v>
      </c>
      <c r="AD75" s="177">
        <f>1000*(DataUK1!$AO75+DataUK1!$BI75)/DataUK2!$E75</f>
        <v>174.2280701754386</v>
      </c>
      <c r="AE75" s="176">
        <f>1000*DataUK1!$BI75/(R75*DataUK2!$E75)</f>
        <v>161.55289214131022</v>
      </c>
      <c r="AF75" s="546"/>
      <c r="AG75" s="154">
        <f>1000*(DataUK1!$BK75)/(DataUK2!$S75*DataUK2!$E75)</f>
        <v>82.107079496116071</v>
      </c>
      <c r="AH75" s="546"/>
      <c r="AI75" s="176">
        <f>1000*DataUK1!$AO75/(W75*DataUK2!$E75)</f>
        <v>244.42000923946699</v>
      </c>
      <c r="AJ75" s="154">
        <f>1000*(DataUK1!$AQ75+DataUK1!$AT75)/(DataUK2!$X75*DataUK2!$E75)</f>
        <v>319.27135254300316</v>
      </c>
      <c r="AK75" s="154">
        <f>1000*(DataUK1!$AT75)/(DataUK2!$X75*DataUK2!$E75)</f>
        <v>246.20427683664423</v>
      </c>
      <c r="AL75" s="154">
        <f>1000*(DataUK1!$AU75)/(DataUK2!$Y75*DataUK2!$E75)</f>
        <v>220.69251694011851</v>
      </c>
      <c r="AM75" s="2136">
        <f>1000*(DataUK1!AQ75+DataUK1!AT75+DataUK1!BK75)/(DataUK2!Z75*DataUK2!E75)</f>
        <v>176.63398261051825</v>
      </c>
      <c r="AN75" s="303">
        <f t="shared" si="11"/>
        <v>1</v>
      </c>
      <c r="AO75" s="547"/>
      <c r="AP75" s="306">
        <f t="shared" si="12"/>
        <v>0.50823651875137621</v>
      </c>
      <c r="AQ75" s="547"/>
      <c r="AR75" s="305">
        <f t="shared" si="13"/>
        <v>1.5129410931602076</v>
      </c>
      <c r="AS75" s="306">
        <f t="shared" si="14"/>
        <v>1.9762651618996501</v>
      </c>
      <c r="AT75" s="306">
        <f t="shared" si="15"/>
        <v>1.5239855726091829</v>
      </c>
      <c r="AU75" s="306">
        <f t="shared" si="16"/>
        <v>1.3660697373778916</v>
      </c>
      <c r="AV75" s="2137">
        <f t="shared" si="17"/>
        <v>1.0933507922347598</v>
      </c>
      <c r="AW75" s="2133">
        <f t="shared" si="32"/>
        <v>1</v>
      </c>
    </row>
    <row r="76" spans="1:49" ht="12" customHeight="1">
      <c r="A76" s="110">
        <f t="shared" si="36"/>
        <v>1918</v>
      </c>
      <c r="B76" s="519">
        <v>46575</v>
      </c>
      <c r="C76" s="386">
        <f t="shared" si="38"/>
        <v>0.38330873728202064</v>
      </c>
      <c r="D76" s="521"/>
      <c r="E76" s="542">
        <v>17060</v>
      </c>
      <c r="F76" s="522">
        <f t="shared" si="33"/>
        <v>0.59396159918886127</v>
      </c>
      <c r="G76" s="1156"/>
      <c r="H76" s="350"/>
      <c r="I76" s="350"/>
      <c r="J76" s="350"/>
      <c r="K76" s="350"/>
      <c r="L76" s="350"/>
      <c r="M76" s="2126"/>
      <c r="N76" s="350"/>
      <c r="O76" s="1133"/>
      <c r="P76" s="352"/>
      <c r="Q76" s="2134"/>
      <c r="R76" s="303">
        <f t="shared" si="5"/>
        <v>0.84826565236157192</v>
      </c>
      <c r="S76" s="203">
        <f t="shared" si="6"/>
        <v>5.2402112477623816E-2</v>
      </c>
      <c r="T76" s="203">
        <f t="shared" si="34"/>
        <v>0.79586353988394809</v>
      </c>
      <c r="U76" s="203">
        <f t="shared" si="7"/>
        <v>0.71103697464779092</v>
      </c>
      <c r="V76" s="203">
        <f t="shared" si="40"/>
        <v>8.4826565236157184E-2</v>
      </c>
      <c r="W76" s="29">
        <f t="shared" si="40"/>
        <v>0.15173434763842808</v>
      </c>
      <c r="X76" s="2055">
        <f t="shared" si="8"/>
        <v>3.5668664795693542E-2</v>
      </c>
      <c r="Y76" s="2058">
        <f t="shared" si="39"/>
        <v>0.11606568284273454</v>
      </c>
      <c r="Z76" s="203">
        <f t="shared" si="41"/>
        <v>8.8070777273317358E-2</v>
      </c>
      <c r="AA76" s="29">
        <f t="shared" si="42"/>
        <v>0.40500000000000014</v>
      </c>
      <c r="AB76" s="203"/>
      <c r="AC76" s="1155">
        <f t="shared" si="10"/>
        <v>0.14032802553782639</v>
      </c>
      <c r="AD76" s="177">
        <f>1000*(DataUK1!$AO76+DataUK1!$BI76)/DataUK2!$E76</f>
        <v>211.38487690504104</v>
      </c>
      <c r="AE76" s="176">
        <f>1000*DataUK1!$BI76/(R76*DataUK2!$E76)</f>
        <v>199.0821624157476</v>
      </c>
      <c r="AF76" s="546"/>
      <c r="AG76" s="154">
        <f>1000*(DataUK1!$BK76)/(DataUK2!$S76*DataUK2!$E76)</f>
        <v>97.317609138273383</v>
      </c>
      <c r="AH76" s="546"/>
      <c r="AI76" s="176">
        <f>1000*DataUK1!$AO76/(W76*DataUK2!$E76)</f>
        <v>280.16277916977299</v>
      </c>
      <c r="AJ76" s="154">
        <f>1000*(DataUK1!$AQ76+DataUK1!$AT76)/(DataUK2!$X76*DataUK2!$E76)</f>
        <v>359.89700748581544</v>
      </c>
      <c r="AK76" s="154">
        <f>1000*(DataUK1!$AT76)/(DataUK2!$X76*DataUK2!$E76)</f>
        <v>284.30220226048436</v>
      </c>
      <c r="AL76" s="154">
        <f>1000*(DataUK1!$AU76)/(DataUK2!$Y76*DataUK2!$E76)</f>
        <v>255.65929637545071</v>
      </c>
      <c r="AM76" s="2136">
        <f>1000*(DataUK1!AQ76+DataUK1!AT76+DataUK1!BK76)/(DataUK2!Z76*DataUK2!E76)</f>
        <v>203.66226546902797</v>
      </c>
      <c r="AN76" s="303">
        <f t="shared" si="11"/>
        <v>1</v>
      </c>
      <c r="AO76" s="547"/>
      <c r="AP76" s="306">
        <f t="shared" si="12"/>
        <v>0.48883138477792354</v>
      </c>
      <c r="AQ76" s="547"/>
      <c r="AR76" s="305">
        <f t="shared" si="13"/>
        <v>1.4072721321195165</v>
      </c>
      <c r="AS76" s="306">
        <f t="shared" si="14"/>
        <v>1.8077812854686333</v>
      </c>
      <c r="AT76" s="306">
        <f t="shared" si="15"/>
        <v>1.4280646684295597</v>
      </c>
      <c r="AU76" s="306">
        <f t="shared" si="16"/>
        <v>1.2841898705196493</v>
      </c>
      <c r="AV76" s="2137">
        <f t="shared" si="17"/>
        <v>1.0230060945576613</v>
      </c>
      <c r="AW76" s="2133">
        <f t="shared" ref="AW76:AW107" si="43">AW75</f>
        <v>1</v>
      </c>
    </row>
    <row r="77" spans="1:49" ht="12" customHeight="1">
      <c r="A77" s="110">
        <f t="shared" si="36"/>
        <v>1919</v>
      </c>
      <c r="B77" s="519">
        <v>46534</v>
      </c>
      <c r="C77" s="386">
        <f t="shared" si="38"/>
        <v>0.37983010098619224</v>
      </c>
      <c r="D77" s="521"/>
      <c r="E77" s="542">
        <v>19030</v>
      </c>
      <c r="F77" s="522">
        <f t="shared" ref="F77:F108" si="44">E77/((1-C77)*B77)</f>
        <v>0.659413326122398</v>
      </c>
      <c r="G77" s="1156"/>
      <c r="H77" s="350"/>
      <c r="I77" s="350"/>
      <c r="J77" s="350"/>
      <c r="K77" s="350"/>
      <c r="L77" s="350"/>
      <c r="M77" s="2126"/>
      <c r="N77" s="350"/>
      <c r="O77" s="1133"/>
      <c r="P77" s="352"/>
      <c r="Q77" s="2134"/>
      <c r="R77" s="303">
        <f t="shared" si="5"/>
        <v>0.84948917846110095</v>
      </c>
      <c r="S77" s="203">
        <f t="shared" si="6"/>
        <v>4.9305181994742375E-2</v>
      </c>
      <c r="T77" s="203">
        <f t="shared" ref="T77:T108" si="45">R77-S77</f>
        <v>0.80018399646635863</v>
      </c>
      <c r="U77" s="203">
        <f t="shared" si="7"/>
        <v>0.7152350786202486</v>
      </c>
      <c r="V77" s="203">
        <f t="shared" si="40"/>
        <v>8.4948917846110084E-2</v>
      </c>
      <c r="W77" s="29">
        <f t="shared" si="40"/>
        <v>0.15051082153889905</v>
      </c>
      <c r="X77" s="2055">
        <f t="shared" si="8"/>
        <v>3.4465758287586926E-2</v>
      </c>
      <c r="Y77" s="2058">
        <f t="shared" si="39"/>
        <v>0.11604506325131213</v>
      </c>
      <c r="Z77" s="203">
        <f t="shared" si="41"/>
        <v>8.3770940282329301E-2</v>
      </c>
      <c r="AA77" s="29">
        <f t="shared" si="42"/>
        <v>0.41142857142857159</v>
      </c>
      <c r="AB77" s="203"/>
      <c r="AC77" s="1155">
        <f t="shared" si="10"/>
        <v>0.13959802166096011</v>
      </c>
      <c r="AD77" s="177">
        <f>1000*(DataUK1!$AO77+DataUK1!$BI77)/DataUK2!$E77</f>
        <v>205.71098265895955</v>
      </c>
      <c r="AE77" s="176">
        <f>1000*DataUK1!$BI77/(R77*DataUK2!$E77)</f>
        <v>190.27848812109735</v>
      </c>
      <c r="AF77" s="546"/>
      <c r="AG77" s="154">
        <f>1000*(DataUK1!$BK77)/(DataUK2!$S77*DataUK2!$E77)</f>
        <v>130.02548314365214</v>
      </c>
      <c r="AH77" s="546"/>
      <c r="AI77" s="176">
        <f>1000*DataUK1!$AO77/(W77*DataUK2!$E77)</f>
        <v>292.81260746263393</v>
      </c>
      <c r="AJ77" s="154">
        <f>1000*(DataUK1!$AQ77+DataUK1!$AT77)/(DataUK2!$X77*DataUK2!$E77)</f>
        <v>339.99946747797628</v>
      </c>
      <c r="AK77" s="154">
        <f>1000*(DataUK1!$AT77)/(DataUK2!$X77*DataUK2!$E77)</f>
        <v>268.34038688844765</v>
      </c>
      <c r="AL77" s="154">
        <f>1000*(DataUK1!$AU77)/(DataUK2!$Y77*DataUK2!$E77)</f>
        <v>278.7979577561062</v>
      </c>
      <c r="AM77" s="2136">
        <f>1000*(DataUK1!AQ77+DataUK1!AT77+DataUK1!BK77)/(DataUK2!Z77*DataUK2!E77)</f>
        <v>216.41477955548842</v>
      </c>
      <c r="AN77" s="303">
        <f t="shared" si="11"/>
        <v>1</v>
      </c>
      <c r="AO77" s="547"/>
      <c r="AP77" s="306">
        <f t="shared" si="12"/>
        <v>0.68334305379229787</v>
      </c>
      <c r="AQ77" s="547"/>
      <c r="AR77" s="305">
        <f t="shared" si="13"/>
        <v>1.5388634330344355</v>
      </c>
      <c r="AS77" s="306">
        <f t="shared" si="14"/>
        <v>1.7868518445531965</v>
      </c>
      <c r="AT77" s="306">
        <f t="shared" si="15"/>
        <v>1.4102507831451236</v>
      </c>
      <c r="AU77" s="306">
        <f t="shared" si="16"/>
        <v>1.4652100745023429</v>
      </c>
      <c r="AV77" s="2137">
        <f t="shared" si="17"/>
        <v>1.1373580991339249</v>
      </c>
      <c r="AW77" s="2133">
        <f t="shared" si="43"/>
        <v>1</v>
      </c>
    </row>
    <row r="78" spans="1:49" ht="12" customHeight="1">
      <c r="A78" s="530" t="s">
        <v>651</v>
      </c>
      <c r="B78" s="519">
        <v>46821</v>
      </c>
      <c r="C78" s="386">
        <f>C79</f>
        <v>0.37635146469036396</v>
      </c>
      <c r="D78" s="521"/>
      <c r="E78" s="542">
        <v>20810</v>
      </c>
      <c r="F78" s="522">
        <f t="shared" si="44"/>
        <v>0.71267494094072226</v>
      </c>
      <c r="G78" s="1156"/>
      <c r="H78" s="350"/>
      <c r="I78" s="350"/>
      <c r="J78" s="350"/>
      <c r="K78" s="350"/>
      <c r="L78" s="350"/>
      <c r="M78" s="2126"/>
      <c r="N78" s="350"/>
      <c r="O78" s="1133"/>
      <c r="P78" s="352"/>
      <c r="Q78" s="2134"/>
      <c r="R78" s="303">
        <f t="shared" ref="R78:R118" si="46">1-W78</f>
        <v>0.85071270456062997</v>
      </c>
      <c r="S78" s="203">
        <f t="shared" ref="S78:S141" si="47">Z78-X78</f>
        <v>4.6263535130316495E-2</v>
      </c>
      <c r="T78" s="203">
        <f t="shared" si="45"/>
        <v>0.80444916943031353</v>
      </c>
      <c r="U78" s="203">
        <f t="shared" ref="U78:U141" si="48">T78-V78</f>
        <v>0.71937789897425053</v>
      </c>
      <c r="V78" s="203">
        <f t="shared" si="40"/>
        <v>8.5071270456062983E-2</v>
      </c>
      <c r="W78" s="29">
        <f t="shared" si="40"/>
        <v>0.14928729543937003</v>
      </c>
      <c r="X78" s="2055">
        <f t="shared" ref="X78:X141" si="49">AA78*Z78</f>
        <v>3.3207568161024749E-2</v>
      </c>
      <c r="Y78" s="2058">
        <f t="shared" si="39"/>
        <v>0.11607972727834528</v>
      </c>
      <c r="Z78" s="203">
        <f t="shared" si="41"/>
        <v>7.9471103291341244E-2</v>
      </c>
      <c r="AA78" s="29">
        <f t="shared" si="42"/>
        <v>0.41785714285714304</v>
      </c>
      <c r="AB78" s="203"/>
      <c r="AC78" s="1155">
        <f t="shared" ref="AC78:AC141" si="50">Y78/(Y78+U78)</f>
        <v>0.13894148982637841</v>
      </c>
      <c r="AD78" s="177">
        <f>1000*(DataUK1!$AO78+DataUK1!$BI78)/DataUK2!$E78</f>
        <v>212.12878423834695</v>
      </c>
      <c r="AE78" s="176">
        <f>1000*DataUK1!$BI78/(R78*DataUK2!$E78)</f>
        <v>199.11506619610856</v>
      </c>
      <c r="AF78" s="546"/>
      <c r="AG78" s="154">
        <f>1000*(DataUK1!$BK78)/(DataUK2!$S78*DataUK2!$E78)</f>
        <v>155.80463147709983</v>
      </c>
      <c r="AH78" s="546"/>
      <c r="AI78" s="176">
        <f>1000*DataUK1!$AO78/(W78*DataUK2!$E78)</f>
        <v>286.28737381905472</v>
      </c>
      <c r="AJ78" s="154">
        <f>1000*(DataUK1!$AQ78+DataUK1!$AT78)/(DataUK2!$X78*DataUK2!$E78)</f>
        <v>354.53321698222089</v>
      </c>
      <c r="AK78" s="154">
        <f>1000*(DataUK1!$AT78)/(DataUK2!$X78*DataUK2!$E78)</f>
        <v>285.07364794080621</v>
      </c>
      <c r="AL78" s="154">
        <f>1000*(DataUK1!$AU78)/(DataUK2!$Y78*DataUK2!$E78)</f>
        <v>266.76390885507197</v>
      </c>
      <c r="AM78" s="2136">
        <f>1000*(DataUK1!AQ78+DataUK1!AT78+DataUK1!BK78)/(DataUK2!Z78*DataUK2!E78)</f>
        <v>238.8447904203112</v>
      </c>
      <c r="AN78" s="303">
        <f t="shared" ref="AN78:AN141" si="51">AE78/$AE78</f>
        <v>1</v>
      </c>
      <c r="AO78" s="547"/>
      <c r="AP78" s="306">
        <f t="shared" ref="AP78:AP105" si="52">AG78/$AE78</f>
        <v>0.78248539627658187</v>
      </c>
      <c r="AQ78" s="547"/>
      <c r="AR78" s="305">
        <f t="shared" ref="AR78:AR141" si="53">AI78/$AE78</f>
        <v>1.437798652248093</v>
      </c>
      <c r="AS78" s="306">
        <f t="shared" ref="AS78:AS105" si="54">AJ78/$AE78</f>
        <v>1.780544404575799</v>
      </c>
      <c r="AT78" s="306">
        <f t="shared" ref="AT78:AT105" si="55">AK78/$AE78</f>
        <v>1.4317030518425813</v>
      </c>
      <c r="AU78" s="306">
        <f t="shared" ref="AU78:AU105" si="56">AL78/$AE78</f>
        <v>1.3397474834593182</v>
      </c>
      <c r="AV78" s="2137">
        <f t="shared" ref="AV78:AV105" si="57">AM78/$AE78</f>
        <v>1.1995314818873264</v>
      </c>
      <c r="AW78" s="2133">
        <f t="shared" si="43"/>
        <v>1</v>
      </c>
    </row>
    <row r="79" spans="1:49" ht="12" customHeight="1">
      <c r="A79" s="530" t="s">
        <v>652</v>
      </c>
      <c r="B79" s="519">
        <v>43718</v>
      </c>
      <c r="C79" s="386">
        <f>(4/3)*D79/B79</f>
        <v>0.37635146469036396</v>
      </c>
      <c r="D79" s="352">
        <v>12340</v>
      </c>
      <c r="E79" s="542">
        <v>19537</v>
      </c>
      <c r="F79" s="522">
        <f t="shared" si="44"/>
        <v>0.71656845245372514</v>
      </c>
      <c r="G79" s="1156"/>
      <c r="H79" s="350"/>
      <c r="I79" s="350"/>
      <c r="J79" s="350"/>
      <c r="K79" s="350"/>
      <c r="L79" s="350"/>
      <c r="M79" s="2126"/>
      <c r="N79" s="350"/>
      <c r="O79" s="1133"/>
      <c r="P79" s="352"/>
      <c r="Q79" s="2134"/>
      <c r="R79" s="303">
        <f t="shared" si="46"/>
        <v>0.851936230660159</v>
      </c>
      <c r="S79" s="203">
        <f t="shared" si="47"/>
        <v>4.3277171884346176E-2</v>
      </c>
      <c r="T79" s="203">
        <f t="shared" si="45"/>
        <v>0.80865905877581279</v>
      </c>
      <c r="U79" s="203">
        <f t="shared" si="48"/>
        <v>0.72346543570979693</v>
      </c>
      <c r="V79" s="203">
        <f t="shared" si="40"/>
        <v>8.5193623066015883E-2</v>
      </c>
      <c r="W79" s="29">
        <f t="shared" si="40"/>
        <v>0.148063769339841</v>
      </c>
      <c r="X79" s="2055">
        <f t="shared" si="49"/>
        <v>3.1894094416007011E-2</v>
      </c>
      <c r="Y79" s="2058">
        <f t="shared" si="39"/>
        <v>0.11616967492383398</v>
      </c>
      <c r="Z79" s="203">
        <f t="shared" si="41"/>
        <v>7.5171266300353187E-2</v>
      </c>
      <c r="AA79" s="29">
        <f t="shared" si="42"/>
        <v>0.42428571428571449</v>
      </c>
      <c r="AB79" s="203"/>
      <c r="AC79" s="1155">
        <f t="shared" si="50"/>
        <v>0.13835733338517311</v>
      </c>
      <c r="AD79" s="177">
        <f>1000*(DataUK1!$AO79+DataUK1!$BI79)/DataUK2!$E79</f>
        <v>217.07529303373087</v>
      </c>
      <c r="AE79" s="176">
        <f>1000*DataUK1!$BI79/(R79*DataUK2!$E79)</f>
        <v>207.21835884496878</v>
      </c>
      <c r="AF79" s="546"/>
      <c r="AG79" s="154">
        <f>1000*(DataUK1!$BK79)/(DataUK2!$S79*DataUK2!$E79)</f>
        <v>124.18597466975616</v>
      </c>
      <c r="AH79" s="546"/>
      <c r="AI79" s="176">
        <f>1000*DataUK1!$AO79/(W79*DataUK2!$E79)</f>
        <v>273.79058129148848</v>
      </c>
      <c r="AJ79" s="154">
        <f>1000*(DataUK1!$AQ79+DataUK1!$AT79)/(DataUK2!$X79*DataUK2!$E79)</f>
        <v>322.57291987090747</v>
      </c>
      <c r="AK79" s="154">
        <f>1000*(DataUK1!$AT79)/(DataUK2!$X79*DataUK2!$E79)</f>
        <v>258.37930397619954</v>
      </c>
      <c r="AL79" s="154">
        <f>1000*(DataUK1!$AU79)/(DataUK2!$Y79*DataUK2!$E79)</f>
        <v>260.39751194266137</v>
      </c>
      <c r="AM79" s="2136">
        <f>1000*(DataUK1!AQ79+DataUK1!AT79+DataUK1!BK79)/(DataUK2!Z79*DataUK2!E79)</f>
        <v>208.35872141938754</v>
      </c>
      <c r="AN79" s="303">
        <f t="shared" si="51"/>
        <v>1</v>
      </c>
      <c r="AO79" s="547"/>
      <c r="AP79" s="306">
        <f t="shared" si="52"/>
        <v>0.59930005894249161</v>
      </c>
      <c r="AQ79" s="547"/>
      <c r="AR79" s="305">
        <f t="shared" si="53"/>
        <v>1.3212660442713282</v>
      </c>
      <c r="AS79" s="306">
        <f t="shared" si="54"/>
        <v>1.5566811824440789</v>
      </c>
      <c r="AT79" s="306">
        <f t="shared" si="55"/>
        <v>1.2468938824552076</v>
      </c>
      <c r="AU79" s="306">
        <f t="shared" si="56"/>
        <v>1.256633405428516</v>
      </c>
      <c r="AV79" s="2137">
        <f t="shared" si="57"/>
        <v>1.0055031927710225</v>
      </c>
      <c r="AW79" s="2133">
        <f t="shared" si="43"/>
        <v>1</v>
      </c>
    </row>
    <row r="80" spans="1:49" ht="12" customHeight="1">
      <c r="A80" s="110">
        <v>1921</v>
      </c>
      <c r="B80" s="519">
        <v>44072</v>
      </c>
      <c r="C80" s="386">
        <f t="shared" ref="C80:C88" si="58">C79+(C$89-C$79)/10</f>
        <v>0.37142028194173049</v>
      </c>
      <c r="D80" s="521"/>
      <c r="E80" s="542">
        <v>17417</v>
      </c>
      <c r="F80" s="522">
        <f t="shared" si="44"/>
        <v>0.62870979809578265</v>
      </c>
      <c r="G80" s="2051">
        <f>(13.13+2.75)*1000*21.812/23.31</f>
        <v>14859.483483483484</v>
      </c>
      <c r="H80" s="350"/>
      <c r="I80" s="350"/>
      <c r="J80" s="350"/>
      <c r="K80" s="350"/>
      <c r="L80" s="350"/>
      <c r="M80" s="542">
        <f>E80-G80</f>
        <v>2557.5165165165163</v>
      </c>
      <c r="N80" s="350"/>
      <c r="O80" s="1133"/>
      <c r="P80" s="352">
        <f>1261+1396+4813+783+1702+1461+1897+344+111+14+2187+12+863+109+2331+75</f>
        <v>19359</v>
      </c>
      <c r="Q80" s="352">
        <f>1261+111</f>
        <v>1372</v>
      </c>
      <c r="R80" s="303">
        <f t="shared" si="46"/>
        <v>0.85315975675968792</v>
      </c>
      <c r="S80" s="203">
        <f t="shared" si="47"/>
        <v>4.0346092256831431E-2</v>
      </c>
      <c r="T80" s="203">
        <f t="shared" si="45"/>
        <v>0.81281366450285653</v>
      </c>
      <c r="U80" s="203">
        <f t="shared" si="48"/>
        <v>0.7274976888268877</v>
      </c>
      <c r="V80" s="307">
        <f>0.1*R80</f>
        <v>8.5315975675968797E-2</v>
      </c>
      <c r="W80" s="307">
        <f>M80/E80</f>
        <v>0.14684024324031211</v>
      </c>
      <c r="X80" s="2055">
        <f t="shared" si="49"/>
        <v>3.0525337052533724E-2</v>
      </c>
      <c r="Y80" s="2057">
        <f t="shared" si="39"/>
        <v>0.11631490618777839</v>
      </c>
      <c r="Z80" s="307">
        <f>Q80/P80</f>
        <v>7.0871429309365158E-2</v>
      </c>
      <c r="AA80" s="29">
        <f t="shared" si="42"/>
        <v>0.43071428571428594</v>
      </c>
      <c r="AB80" s="307"/>
      <c r="AC80" s="1155">
        <f t="shared" si="50"/>
        <v>0.13784447740526645</v>
      </c>
      <c r="AD80" s="177">
        <f>1000*(DataUK1!$AO80+DataUK1!$BI80)/DataUK2!$E80</f>
        <v>200.60860079232933</v>
      </c>
      <c r="AE80" s="176">
        <f>1000*DataUK1!$BI80/(R80*DataUK2!$E80)</f>
        <v>190.78725065720761</v>
      </c>
      <c r="AF80" s="546"/>
      <c r="AG80" s="154">
        <f>1000*(DataUK1!$BK80)/(DataUK2!$S80*DataUK2!$E80)</f>
        <v>150.84504056927216</v>
      </c>
      <c r="AH80" s="546"/>
      <c r="AI80" s="176">
        <f>1000*DataUK1!$AO80/(W80*DataUK2!$E80)</f>
        <v>257.67184522334804</v>
      </c>
      <c r="AJ80" s="154">
        <f>1000*(DataUK1!$AQ80+DataUK1!$AT80)/(DataUK2!$X80*DataUK2!$E80)</f>
        <v>310.34883851281506</v>
      </c>
      <c r="AK80" s="154">
        <f>1000*(DataUK1!$AT80)/(DataUK2!$X80*DataUK2!$E80)</f>
        <v>233.23185439750949</v>
      </c>
      <c r="AL80" s="154">
        <f>1000*(DataUK1!$AU80)/(DataUK2!$Y80*DataUK2!$E80)</f>
        <v>243.84745222182582</v>
      </c>
      <c r="AM80" s="2136">
        <f>1000*(DataUK1!AQ80+DataUK1!AT80+DataUK1!BK80)/(DataUK2!Z80*DataUK2!E80)</f>
        <v>219.54560496924103</v>
      </c>
      <c r="AN80" s="303">
        <f t="shared" si="51"/>
        <v>1</v>
      </c>
      <c r="AO80" s="547"/>
      <c r="AP80" s="306">
        <f t="shared" si="52"/>
        <v>0.79064528709153292</v>
      </c>
      <c r="AQ80" s="547"/>
      <c r="AR80" s="305">
        <f t="shared" si="53"/>
        <v>1.3505716149047806</v>
      </c>
      <c r="AS80" s="306">
        <f t="shared" si="54"/>
        <v>1.626674934744077</v>
      </c>
      <c r="AT80" s="306">
        <f t="shared" si="55"/>
        <v>1.2224708600500942</v>
      </c>
      <c r="AU80" s="306">
        <f t="shared" si="56"/>
        <v>1.2781118831674598</v>
      </c>
      <c r="AV80" s="2137">
        <f t="shared" si="57"/>
        <v>1.1507351996161646</v>
      </c>
      <c r="AW80" s="2133">
        <f t="shared" si="43"/>
        <v>1</v>
      </c>
    </row>
    <row r="81" spans="1:49" ht="12" customHeight="1">
      <c r="A81" s="110">
        <f t="shared" ref="A81:A106" si="59">A80+1</f>
        <v>1922</v>
      </c>
      <c r="B81" s="519">
        <v>44372</v>
      </c>
      <c r="C81" s="386">
        <f t="shared" si="58"/>
        <v>0.36648909919309702</v>
      </c>
      <c r="D81" s="521"/>
      <c r="E81" s="542">
        <v>17483</v>
      </c>
      <c r="F81" s="522">
        <f t="shared" si="44"/>
        <v>0.62194626069988213</v>
      </c>
      <c r="G81" s="1156"/>
      <c r="H81" s="350"/>
      <c r="I81" s="350"/>
      <c r="J81" s="350"/>
      <c r="K81" s="350"/>
      <c r="L81" s="350"/>
      <c r="M81" s="2126"/>
      <c r="N81" s="350"/>
      <c r="O81" s="1133"/>
      <c r="P81" s="352"/>
      <c r="Q81" s="2134"/>
      <c r="R81" s="303">
        <f t="shared" si="46"/>
        <v>0.85233551381972661</v>
      </c>
      <c r="S81" s="203">
        <f t="shared" si="47"/>
        <v>3.9508445206798304E-2</v>
      </c>
      <c r="T81" s="203">
        <f t="shared" si="45"/>
        <v>0.81282706861292831</v>
      </c>
      <c r="U81" s="203">
        <f t="shared" si="48"/>
        <v>0.72748330272942707</v>
      </c>
      <c r="V81" s="203">
        <f>V80+(V$97-V$80)/17</f>
        <v>8.5343765883501205E-2</v>
      </c>
      <c r="W81" s="29">
        <f>W80+(W$90-W$80)/10</f>
        <v>0.14766448618027334</v>
      </c>
      <c r="X81" s="2055">
        <f t="shared" si="49"/>
        <v>3.0684223942335765E-2</v>
      </c>
      <c r="Y81" s="2058">
        <f t="shared" si="39"/>
        <v>0.11698026223793757</v>
      </c>
      <c r="Z81" s="203">
        <f>Z80+(Z$110-Z$80)/30</f>
        <v>7.0192669149134065E-2</v>
      </c>
      <c r="AA81" s="29">
        <f t="shared" si="42"/>
        <v>0.43714285714285739</v>
      </c>
      <c r="AB81" s="203"/>
      <c r="AC81" s="1155">
        <f t="shared" si="50"/>
        <v>0.13852612130454489</v>
      </c>
      <c r="AD81" s="177">
        <f>1000*(DataUK1!$AO81+DataUK1!$BI81)/DataUK2!$E81</f>
        <v>176.11393925527656</v>
      </c>
      <c r="AE81" s="176">
        <f>1000*DataUK1!$BI81/(R81*DataUK2!$E81)</f>
        <v>161.79707588753425</v>
      </c>
      <c r="AF81" s="546"/>
      <c r="AG81" s="154">
        <f>1000*(DataUK1!$BK81)/(DataUK2!$S81*DataUK2!$E81)</f>
        <v>105.68587892449467</v>
      </c>
      <c r="AH81" s="546"/>
      <c r="AI81" s="176">
        <f>1000*DataUK1!$AO81/(W81*DataUK2!$E81)</f>
        <v>258.75243555515158</v>
      </c>
      <c r="AJ81" s="154">
        <f>1000*(DataUK1!$AQ81+DataUK1!$AT81)/(DataUK2!$X81*DataUK2!$E81)</f>
        <v>262.8379137689754</v>
      </c>
      <c r="AK81" s="154">
        <f>1000*(DataUK1!$AT81)/(DataUK2!$X81*DataUK2!$E81)</f>
        <v>184.54576924204656</v>
      </c>
      <c r="AL81" s="154">
        <f>1000*(DataUK1!$AU81)/(DataUK2!$Y81*DataUK2!$E81)</f>
        <v>257.68080410189384</v>
      </c>
      <c r="AM81" s="2136">
        <f>1000*(DataUK1!AQ81+DataUK1!AT81+DataUK1!BK81)/(DataUK2!Z81*DataUK2!E81)</f>
        <v>174.38376844222483</v>
      </c>
      <c r="AN81" s="303">
        <f t="shared" si="51"/>
        <v>1</v>
      </c>
      <c r="AO81" s="547"/>
      <c r="AP81" s="306">
        <f t="shared" si="52"/>
        <v>0.65320017895723481</v>
      </c>
      <c r="AQ81" s="547"/>
      <c r="AR81" s="305">
        <f t="shared" si="53"/>
        <v>1.599240493907389</v>
      </c>
      <c r="AS81" s="306">
        <f t="shared" si="54"/>
        <v>1.6244911246212819</v>
      </c>
      <c r="AT81" s="306">
        <f t="shared" si="55"/>
        <v>1.1406001513298363</v>
      </c>
      <c r="AU81" s="306">
        <f t="shared" si="56"/>
        <v>1.5926171884651903</v>
      </c>
      <c r="AV81" s="2137">
        <f t="shared" si="57"/>
        <v>1.0777930780618041</v>
      </c>
      <c r="AW81" s="2133">
        <f t="shared" si="43"/>
        <v>1</v>
      </c>
    </row>
    <row r="82" spans="1:49" ht="12" customHeight="1">
      <c r="A82" s="110">
        <f t="shared" si="59"/>
        <v>1923</v>
      </c>
      <c r="B82" s="519">
        <v>44596</v>
      </c>
      <c r="C82" s="386">
        <f t="shared" si="58"/>
        <v>0.36155791644446356</v>
      </c>
      <c r="D82" s="521"/>
      <c r="E82" s="542">
        <v>17758</v>
      </c>
      <c r="F82" s="522">
        <f t="shared" si="44"/>
        <v>0.62370128470958686</v>
      </c>
      <c r="G82" s="1156"/>
      <c r="H82" s="350"/>
      <c r="I82" s="350"/>
      <c r="J82" s="350"/>
      <c r="K82" s="350"/>
      <c r="L82" s="350"/>
      <c r="M82" s="2126"/>
      <c r="N82" s="350"/>
      <c r="O82" s="1133"/>
      <c r="P82" s="352"/>
      <c r="Q82" s="2134"/>
      <c r="R82" s="303">
        <f t="shared" si="46"/>
        <v>0.85151127087976541</v>
      </c>
      <c r="S82" s="203">
        <f t="shared" si="47"/>
        <v>3.8679525073110996E-2</v>
      </c>
      <c r="T82" s="203">
        <f t="shared" si="45"/>
        <v>0.8128317458066544</v>
      </c>
      <c r="U82" s="203">
        <f t="shared" si="48"/>
        <v>0.72746018971562076</v>
      </c>
      <c r="V82" s="203">
        <f t="shared" ref="V82:V96" si="60">V81+(V$97-V$80)/17</f>
        <v>8.5371556091033612E-2</v>
      </c>
      <c r="W82" s="29">
        <f t="shared" ref="W82:W89" si="61">W81+(W$90-W$80)/10</f>
        <v>0.14848872912023459</v>
      </c>
      <c r="X82" s="2055">
        <f t="shared" si="49"/>
        <v>3.083438391579198E-2</v>
      </c>
      <c r="Y82" s="2058">
        <f t="shared" si="39"/>
        <v>0.11765434520444261</v>
      </c>
      <c r="Z82" s="203">
        <f t="shared" ref="Z82:Z109" si="62">Z81+(Z$110-Z$80)/30</f>
        <v>6.9513908988902973E-2</v>
      </c>
      <c r="AA82" s="29">
        <f t="shared" si="42"/>
        <v>0.44357142857142884</v>
      </c>
      <c r="AB82" s="203"/>
      <c r="AC82" s="1155">
        <f t="shared" si="50"/>
        <v>0.13921704141033517</v>
      </c>
      <c r="AD82" s="177">
        <f>1000*(DataUK1!$AO82+DataUK1!$BI82)/DataUK2!$E82</f>
        <v>167.47381461876338</v>
      </c>
      <c r="AE82" s="176">
        <f>1000*DataUK1!$BI82/(R82*DataUK2!$E82)</f>
        <v>153.29534923656368</v>
      </c>
      <c r="AF82" s="546"/>
      <c r="AG82" s="154">
        <f>1000*(DataUK1!$BK82)/(DataUK2!$S82*DataUK2!$E82)</f>
        <v>94.632033393039137</v>
      </c>
      <c r="AH82" s="546"/>
      <c r="AI82" s="176">
        <f>1000*DataUK1!$AO82/(W82*DataUK2!$E82)</f>
        <v>248.78047774567136</v>
      </c>
      <c r="AJ82" s="154">
        <f>1000*(DataUK1!$AQ82+DataUK1!$AT82)/(DataUK2!$X82*DataUK2!$E82)</f>
        <v>219.15527019896666</v>
      </c>
      <c r="AK82" s="154">
        <f>1000*(DataUK1!$AT82)/(DataUK2!$X82*DataUK2!$E82)</f>
        <v>142.45092562932834</v>
      </c>
      <c r="AL82" s="154">
        <f>1000*(DataUK1!$AU82)/(DataUK2!$Y82*DataUK2!$E82)</f>
        <v>256.54453458091029</v>
      </c>
      <c r="AM82" s="2136">
        <f>1000*(DataUK1!AQ82+DataUK1!AT82+DataUK1!BK82)/(DataUK2!Z82*DataUK2!E82)</f>
        <v>149.86698343338276</v>
      </c>
      <c r="AN82" s="303">
        <f t="shared" si="51"/>
        <v>1</v>
      </c>
      <c r="AO82" s="547"/>
      <c r="AP82" s="306">
        <f t="shared" si="52"/>
        <v>0.61731835873901197</v>
      </c>
      <c r="AQ82" s="547"/>
      <c r="AR82" s="305">
        <f t="shared" si="53"/>
        <v>1.6228834011249493</v>
      </c>
      <c r="AS82" s="306">
        <f t="shared" si="54"/>
        <v>1.4296276520481301</v>
      </c>
      <c r="AT82" s="306">
        <f t="shared" si="55"/>
        <v>0.92925797383128472</v>
      </c>
      <c r="AU82" s="306">
        <f t="shared" si="56"/>
        <v>1.6735311009664984</v>
      </c>
      <c r="AV82" s="2137">
        <f t="shared" si="57"/>
        <v>0.97763555241398548</v>
      </c>
      <c r="AW82" s="2133">
        <f t="shared" si="43"/>
        <v>1</v>
      </c>
    </row>
    <row r="83" spans="1:49" ht="12" customHeight="1">
      <c r="A83" s="110">
        <f t="shared" si="59"/>
        <v>1924</v>
      </c>
      <c r="B83" s="519">
        <v>44915</v>
      </c>
      <c r="C83" s="386">
        <f t="shared" si="58"/>
        <v>0.35662673369583009</v>
      </c>
      <c r="D83" s="521"/>
      <c r="E83" s="542">
        <v>18032</v>
      </c>
      <c r="F83" s="522">
        <f t="shared" si="44"/>
        <v>0.62400703185273143</v>
      </c>
      <c r="G83" s="1156"/>
      <c r="H83" s="350"/>
      <c r="I83" s="350"/>
      <c r="J83" s="350"/>
      <c r="K83" s="350"/>
      <c r="L83" s="350"/>
      <c r="M83" s="2126"/>
      <c r="N83" s="350"/>
      <c r="O83" s="1133"/>
      <c r="P83" s="352"/>
      <c r="Q83" s="2134"/>
      <c r="R83" s="303">
        <f t="shared" si="46"/>
        <v>0.85068702793980422</v>
      </c>
      <c r="S83" s="203">
        <f t="shared" si="47"/>
        <v>3.7859331855769535E-2</v>
      </c>
      <c r="T83" s="203">
        <f t="shared" si="45"/>
        <v>0.81282769608403471</v>
      </c>
      <c r="U83" s="203">
        <f t="shared" si="48"/>
        <v>0.72742834978546866</v>
      </c>
      <c r="V83" s="203">
        <f t="shared" si="60"/>
        <v>8.539934629856602E-2</v>
      </c>
      <c r="W83" s="29">
        <f t="shared" si="61"/>
        <v>0.14931297206019584</v>
      </c>
      <c r="X83" s="2055">
        <f t="shared" si="49"/>
        <v>3.0975816972902345E-2</v>
      </c>
      <c r="Y83" s="2058">
        <f t="shared" si="39"/>
        <v>0.11833715508729349</v>
      </c>
      <c r="Z83" s="203">
        <f t="shared" si="62"/>
        <v>6.883514882867188E-2</v>
      </c>
      <c r="AA83" s="307">
        <v>0.45</v>
      </c>
      <c r="AB83" s="203">
        <v>0.11</v>
      </c>
      <c r="AC83" s="1155">
        <f t="shared" si="50"/>
        <v>0.13991721630346732</v>
      </c>
      <c r="AD83" s="177">
        <f>1000*(DataUK1!$AO83+DataUK1!$BI83)/DataUK2!$E83</f>
        <v>169.19920141969831</v>
      </c>
      <c r="AE83" s="176">
        <f>1000*DataUK1!$BI83/(R83*DataUK2!$E83)</f>
        <v>154.89333380019056</v>
      </c>
      <c r="AF83" s="546"/>
      <c r="AG83" s="154">
        <f>1000*(DataUK1!$BK83)/(DataUK2!$S83*DataUK2!$E83)</f>
        <v>98.142690304476488</v>
      </c>
      <c r="AH83" s="546"/>
      <c r="AI83" s="176">
        <f>1000*DataUK1!$AO83/(W83*DataUK2!$E83)</f>
        <v>250.7046181254419</v>
      </c>
      <c r="AJ83" s="154">
        <f>1000*(DataUK1!$AQ83+DataUK1!$AT83)/(DataUK2!$X83*DataUK2!$E83)</f>
        <v>200.51707206486742</v>
      </c>
      <c r="AK83" s="154">
        <f>1000*(DataUK1!$AT83)/(DataUK2!$X83*DataUK2!$E83)</f>
        <v>125.32317004054214</v>
      </c>
      <c r="AL83" s="154">
        <f>1000*(DataUK1!$AU83)/(DataUK2!$Y83*DataUK2!$E83)</f>
        <v>263.8416606709103</v>
      </c>
      <c r="AM83" s="2136">
        <f>1000*(DataUK1!AQ83+DataUK1!AT83+DataUK1!BK83)/(DataUK2!Z83*DataUK2!E83)</f>
        <v>144.2111620966524</v>
      </c>
      <c r="AN83" s="303">
        <f t="shared" si="51"/>
        <v>1</v>
      </c>
      <c r="AO83" s="547"/>
      <c r="AP83" s="306">
        <f t="shared" si="52"/>
        <v>0.6336146811268113</v>
      </c>
      <c r="AQ83" s="547"/>
      <c r="AR83" s="305">
        <f t="shared" si="53"/>
        <v>1.6185629941237243</v>
      </c>
      <c r="AS83" s="306">
        <f t="shared" si="54"/>
        <v>1.2945493982557739</v>
      </c>
      <c r="AT83" s="306">
        <f t="shared" si="55"/>
        <v>0.80909337390985869</v>
      </c>
      <c r="AU83" s="306">
        <f t="shared" si="56"/>
        <v>1.7033764733300982</v>
      </c>
      <c r="AV83" s="2137">
        <f t="shared" si="57"/>
        <v>0.93103530383484445</v>
      </c>
      <c r="AW83" s="2133">
        <f t="shared" si="43"/>
        <v>1</v>
      </c>
    </row>
    <row r="84" spans="1:49" ht="12" customHeight="1">
      <c r="A84" s="110">
        <f t="shared" si="59"/>
        <v>1925</v>
      </c>
      <c r="B84" s="519">
        <v>45059</v>
      </c>
      <c r="C84" s="386">
        <f t="shared" si="58"/>
        <v>0.35169555094719662</v>
      </c>
      <c r="D84" s="521"/>
      <c r="E84" s="542">
        <v>18238</v>
      </c>
      <c r="F84" s="522">
        <f t="shared" si="44"/>
        <v>0.62433353110436984</v>
      </c>
      <c r="G84" s="1156"/>
      <c r="H84" s="350"/>
      <c r="I84" s="350"/>
      <c r="J84" s="350"/>
      <c r="K84" s="350"/>
      <c r="L84" s="350"/>
      <c r="M84" s="2126"/>
      <c r="N84" s="350"/>
      <c r="O84" s="1133"/>
      <c r="P84" s="352"/>
      <c r="Q84" s="2134"/>
      <c r="R84" s="303">
        <f t="shared" si="46"/>
        <v>0.84986278499984291</v>
      </c>
      <c r="S84" s="203">
        <f t="shared" si="47"/>
        <v>3.7014161846091687E-2</v>
      </c>
      <c r="T84" s="203">
        <f t="shared" si="45"/>
        <v>0.81284862315375128</v>
      </c>
      <c r="U84" s="203">
        <f t="shared" si="48"/>
        <v>0.72742148664765283</v>
      </c>
      <c r="V84" s="203">
        <f t="shared" si="60"/>
        <v>8.5427136506098428E-2</v>
      </c>
      <c r="W84" s="29">
        <f t="shared" si="61"/>
        <v>0.15013721500015709</v>
      </c>
      <c r="X84" s="2055">
        <f t="shared" si="49"/>
        <v>3.1142226822349097E-2</v>
      </c>
      <c r="Y84" s="2058">
        <f t="shared" si="39"/>
        <v>0.11899498817780799</v>
      </c>
      <c r="Z84" s="203">
        <f t="shared" si="62"/>
        <v>6.8156388668440787E-2</v>
      </c>
      <c r="AA84" s="29">
        <f>AA83+(AA$96-AA$83)/13</f>
        <v>0.45692307692307693</v>
      </c>
      <c r="AB84" s="203"/>
      <c r="AC84" s="1155">
        <f t="shared" si="50"/>
        <v>0.14058680533403595</v>
      </c>
      <c r="AD84" s="177">
        <f>1000*(DataUK1!$AO84+DataUK1!$BI84)/DataUK2!$E84</f>
        <v>170.68757539203861</v>
      </c>
      <c r="AE84" s="176">
        <f>1000*DataUK1!$BI84/(R84*DataUK2!$E84)</f>
        <v>156.06655533666009</v>
      </c>
      <c r="AF84" s="546"/>
      <c r="AG84" s="154">
        <f>1000*(DataUK1!$BK84)/(DataUK2!$S84*DataUK2!$E84)</f>
        <v>105.17516880865948</v>
      </c>
      <c r="AH84" s="546"/>
      <c r="AI84" s="176">
        <f>1000*DataUK1!$AO84/(W84*DataUK2!$E84)</f>
        <v>253.45093838494847</v>
      </c>
      <c r="AJ84" s="154">
        <f>1000*(DataUK1!$AQ84+DataUK1!$AT84)/(DataUK2!$X84*DataUK2!$E84)</f>
        <v>181.34698926893583</v>
      </c>
      <c r="AK84" s="154">
        <f>1000*(DataUK1!$AT84)/(DataUK2!$X84*DataUK2!$E84)</f>
        <v>107.39967325636005</v>
      </c>
      <c r="AL84" s="154">
        <f>1000*(DataUK1!$AU84)/(DataUK2!$Y84*DataUK2!$E84)</f>
        <v>272.3212922758425</v>
      </c>
      <c r="AM84" s="2136">
        <f>1000*(DataUK1!AQ84+DataUK1!AT84+DataUK1!BK84)/(DataUK2!Z84*DataUK2!E84)</f>
        <v>139.97983138820112</v>
      </c>
      <c r="AN84" s="303">
        <f t="shared" si="51"/>
        <v>1</v>
      </c>
      <c r="AO84" s="547"/>
      <c r="AP84" s="306">
        <f t="shared" si="52"/>
        <v>0.67391228429294225</v>
      </c>
      <c r="AQ84" s="547"/>
      <c r="AR84" s="305">
        <f t="shared" si="53"/>
        <v>1.6239926474843696</v>
      </c>
      <c r="AS84" s="306">
        <f t="shared" si="54"/>
        <v>1.1619849549299135</v>
      </c>
      <c r="AT84" s="306">
        <f t="shared" si="55"/>
        <v>0.68816584709441475</v>
      </c>
      <c r="AU84" s="306">
        <f t="shared" si="56"/>
        <v>1.7449048688772728</v>
      </c>
      <c r="AV84" s="2137">
        <f t="shared" si="57"/>
        <v>0.89692395072245057</v>
      </c>
      <c r="AW84" s="2133">
        <f t="shared" si="43"/>
        <v>1</v>
      </c>
    </row>
    <row r="85" spans="1:49" ht="12" customHeight="1">
      <c r="A85" s="110">
        <f t="shared" si="59"/>
        <v>1926</v>
      </c>
      <c r="B85" s="519">
        <v>45232</v>
      </c>
      <c r="C85" s="386">
        <f t="shared" si="58"/>
        <v>0.34676436819856316</v>
      </c>
      <c r="D85" s="521"/>
      <c r="E85" s="542">
        <v>18244</v>
      </c>
      <c r="F85" s="522">
        <f t="shared" si="44"/>
        <v>0.61745371279109384</v>
      </c>
      <c r="G85" s="1156"/>
      <c r="H85" s="350"/>
      <c r="I85" s="350"/>
      <c r="J85" s="350"/>
      <c r="K85" s="350"/>
      <c r="L85" s="350"/>
      <c r="M85" s="2126"/>
      <c r="N85" s="350"/>
      <c r="O85" s="1133"/>
      <c r="P85" s="352"/>
      <c r="Q85" s="2134"/>
      <c r="R85" s="303">
        <f t="shared" si="46"/>
        <v>0.84903854205988161</v>
      </c>
      <c r="S85" s="203">
        <f t="shared" si="47"/>
        <v>3.6178390054017046E-2</v>
      </c>
      <c r="T85" s="203">
        <f t="shared" si="45"/>
        <v>0.81286015200586459</v>
      </c>
      <c r="U85" s="203">
        <f t="shared" si="48"/>
        <v>0.72740522529223373</v>
      </c>
      <c r="V85" s="203">
        <f t="shared" si="60"/>
        <v>8.5454926713630835E-2</v>
      </c>
      <c r="W85" s="29">
        <f t="shared" si="61"/>
        <v>0.15096145794011834</v>
      </c>
      <c r="X85" s="2055">
        <f t="shared" si="49"/>
        <v>3.1299238454192649E-2</v>
      </c>
      <c r="Y85" s="2058">
        <f t="shared" si="39"/>
        <v>0.11966221948592569</v>
      </c>
      <c r="Z85" s="203">
        <f t="shared" si="62"/>
        <v>6.7477628508209694E-2</v>
      </c>
      <c r="AA85" s="29">
        <f t="shared" ref="AA85:AA95" si="63">AA84+(AA$96-AA$83)/13</f>
        <v>0.46384615384615385</v>
      </c>
      <c r="AB85" s="203"/>
      <c r="AC85" s="1155">
        <f t="shared" si="50"/>
        <v>0.14126646021352446</v>
      </c>
      <c r="AD85" s="177">
        <f>1000*(DataUK1!$AO85+DataUK1!$BI85)/DataUK2!$E85</f>
        <v>165.53387415040561</v>
      </c>
      <c r="AE85" s="176">
        <f>1000*DataUK1!$BI85/(R85*DataUK2!$E85)</f>
        <v>150.80834342446303</v>
      </c>
      <c r="AF85" s="546"/>
      <c r="AG85" s="154">
        <f>1000*(DataUK1!$BK85)/(DataUK2!$S85*DataUK2!$E85)</f>
        <v>112.11466392064237</v>
      </c>
      <c r="AH85" s="546"/>
      <c r="AI85" s="176">
        <f>1000*DataUK1!$AO85/(W85*DataUK2!$E85)</f>
        <v>248.35331236470569</v>
      </c>
      <c r="AJ85" s="154">
        <f>1000*(DataUK1!$AQ85+DataUK1!$AT85)/(DataUK2!$X85*DataUK2!$E85)</f>
        <v>176.87544251762498</v>
      </c>
      <c r="AK85" s="154">
        <f>1000*(DataUK1!$AT85)/(DataUK2!$X85*DataUK2!$E85)</f>
        <v>103.32327830237499</v>
      </c>
      <c r="AL85" s="154">
        <f>1000*(DataUK1!$AU85)/(DataUK2!$Y85*DataUK2!$E85)</f>
        <v>267.04929596046924</v>
      </c>
      <c r="AM85" s="2136">
        <f>1000*(DataUK1!AQ85+DataUK1!AT85+DataUK1!BK85)/(DataUK2!Z85*DataUK2!E85)</f>
        <v>142.15370199293508</v>
      </c>
      <c r="AN85" s="303">
        <f t="shared" si="51"/>
        <v>1</v>
      </c>
      <c r="AO85" s="547"/>
      <c r="AP85" s="306">
        <f t="shared" si="52"/>
        <v>0.74342480909750475</v>
      </c>
      <c r="AQ85" s="547"/>
      <c r="AR85" s="305">
        <f t="shared" si="53"/>
        <v>1.6468141398894223</v>
      </c>
      <c r="AS85" s="306">
        <f t="shared" si="54"/>
        <v>1.1728491839459694</v>
      </c>
      <c r="AT85" s="306">
        <f t="shared" si="55"/>
        <v>0.6851297213149723</v>
      </c>
      <c r="AU85" s="306">
        <f t="shared" si="56"/>
        <v>1.7707859518676368</v>
      </c>
      <c r="AV85" s="2137">
        <f t="shared" si="57"/>
        <v>0.94261165373875422</v>
      </c>
      <c r="AW85" s="2133">
        <f t="shared" si="43"/>
        <v>1</v>
      </c>
    </row>
    <row r="86" spans="1:49" ht="12" customHeight="1">
      <c r="A86" s="110">
        <f t="shared" si="59"/>
        <v>1927</v>
      </c>
      <c r="B86" s="519">
        <v>45389</v>
      </c>
      <c r="C86" s="386">
        <f t="shared" si="58"/>
        <v>0.34183318544992969</v>
      </c>
      <c r="D86" s="521"/>
      <c r="E86" s="542">
        <v>18789</v>
      </c>
      <c r="F86" s="522">
        <f t="shared" si="44"/>
        <v>0.62895137501265308</v>
      </c>
      <c r="G86" s="1156"/>
      <c r="H86" s="350"/>
      <c r="I86" s="350"/>
      <c r="J86" s="350"/>
      <c r="K86" s="350"/>
      <c r="L86" s="350"/>
      <c r="M86" s="2126"/>
      <c r="N86" s="350"/>
      <c r="O86" s="1133"/>
      <c r="P86" s="352"/>
      <c r="Q86" s="2134"/>
      <c r="R86" s="303">
        <f t="shared" si="46"/>
        <v>0.84821429911992041</v>
      </c>
      <c r="S86" s="203">
        <f t="shared" si="47"/>
        <v>3.5352016479545598E-2</v>
      </c>
      <c r="T86" s="203">
        <f t="shared" si="45"/>
        <v>0.81286228264037486</v>
      </c>
      <c r="U86" s="203">
        <f t="shared" si="48"/>
        <v>0.72737956571921158</v>
      </c>
      <c r="V86" s="203">
        <f t="shared" si="60"/>
        <v>8.5482716921163243E-2</v>
      </c>
      <c r="W86" s="29">
        <f t="shared" si="61"/>
        <v>0.15178570088007959</v>
      </c>
      <c r="X86" s="2055">
        <f t="shared" si="49"/>
        <v>3.1446851868433004E-2</v>
      </c>
      <c r="Y86" s="2058">
        <f t="shared" si="39"/>
        <v>0.12033884901164658</v>
      </c>
      <c r="Z86" s="203">
        <f t="shared" si="62"/>
        <v>6.6798868347978602E-2</v>
      </c>
      <c r="AA86" s="29">
        <f t="shared" si="63"/>
        <v>0.47076923076923077</v>
      </c>
      <c r="AB86" s="203"/>
      <c r="AC86" s="1155">
        <f t="shared" si="50"/>
        <v>0.14195615775298798</v>
      </c>
      <c r="AD86" s="177">
        <f>1000*(DataUK1!$AO86+DataUK1!$BI86)/DataUK2!$E86</f>
        <v>170.25919420937782</v>
      </c>
      <c r="AE86" s="176">
        <f>1000*DataUK1!$BI86/(R86*DataUK2!$E86)</f>
        <v>157.18043063599865</v>
      </c>
      <c r="AF86" s="546"/>
      <c r="AG86" s="154">
        <f>1000*(DataUK1!$BK86)/(DataUK2!$S86*DataUK2!$E86)</f>
        <v>111.40735470338591</v>
      </c>
      <c r="AH86" s="546"/>
      <c r="AI86" s="176">
        <f>1000*DataUK1!$AO86/(W86*DataUK2!$E86)</f>
        <v>243.34641002368974</v>
      </c>
      <c r="AJ86" s="154">
        <f>1000*(DataUK1!$AQ86+DataUK1!$AT86)/(DataUK2!$X86*DataUK2!$E86)</f>
        <v>142.16688400940816</v>
      </c>
      <c r="AK86" s="154">
        <f>1000*(DataUK1!$AT86)/(DataUK2!$X86*DataUK2!$E86)</f>
        <v>72.775904909577989</v>
      </c>
      <c r="AL86" s="154">
        <f>1000*(DataUK1!$AU86)/(DataUK2!$Y86*DataUK2!$E86)</f>
        <v>269.78656291547486</v>
      </c>
      <c r="AM86" s="2136">
        <f>1000*(DataUK1!AQ86+DataUK1!AT86+DataUK1!BK86)/(DataUK2!Z86*DataUK2!E86)</f>
        <v>125.88799465360562</v>
      </c>
      <c r="AN86" s="303">
        <f t="shared" si="51"/>
        <v>1</v>
      </c>
      <c r="AO86" s="547"/>
      <c r="AP86" s="306">
        <f t="shared" si="52"/>
        <v>0.70878641986536561</v>
      </c>
      <c r="AQ86" s="547"/>
      <c r="AR86" s="305">
        <f t="shared" si="53"/>
        <v>1.5481978834072281</v>
      </c>
      <c r="AS86" s="306">
        <f t="shared" si="54"/>
        <v>0.90448208745935343</v>
      </c>
      <c r="AT86" s="306">
        <f t="shared" si="55"/>
        <v>0.46300868762800235</v>
      </c>
      <c r="AU86" s="306">
        <f t="shared" si="56"/>
        <v>1.7164131808510665</v>
      </c>
      <c r="AV86" s="2137">
        <f t="shared" si="57"/>
        <v>0.8009139187634583</v>
      </c>
      <c r="AW86" s="2133">
        <f t="shared" si="43"/>
        <v>1</v>
      </c>
    </row>
    <row r="87" spans="1:49" ht="12" customHeight="1">
      <c r="A87" s="110">
        <f t="shared" si="59"/>
        <v>1928</v>
      </c>
      <c r="B87" s="519">
        <v>45578</v>
      </c>
      <c r="C87" s="386">
        <f t="shared" si="58"/>
        <v>0.33690200270129622</v>
      </c>
      <c r="D87" s="521"/>
      <c r="E87" s="542">
        <v>18868</v>
      </c>
      <c r="F87" s="522">
        <f t="shared" si="44"/>
        <v>0.62429935647052981</v>
      </c>
      <c r="G87" s="1156"/>
      <c r="H87" s="350"/>
      <c r="I87" s="350"/>
      <c r="J87" s="350"/>
      <c r="K87" s="350"/>
      <c r="L87" s="350"/>
      <c r="M87" s="2126"/>
      <c r="N87" s="350"/>
      <c r="O87" s="1133"/>
      <c r="P87" s="352"/>
      <c r="Q87" s="2134"/>
      <c r="R87" s="303">
        <f t="shared" si="46"/>
        <v>0.84739005617995922</v>
      </c>
      <c r="S87" s="203">
        <f t="shared" si="47"/>
        <v>3.453504112267735E-2</v>
      </c>
      <c r="T87" s="203">
        <f t="shared" si="45"/>
        <v>0.81285501505728186</v>
      </c>
      <c r="U87" s="203">
        <f t="shared" si="48"/>
        <v>0.72734450792858618</v>
      </c>
      <c r="V87" s="203">
        <f t="shared" si="60"/>
        <v>8.5510507128695651E-2</v>
      </c>
      <c r="W87" s="29">
        <f t="shared" si="61"/>
        <v>0.15260994382004084</v>
      </c>
      <c r="X87" s="2055">
        <f t="shared" si="49"/>
        <v>3.1585067065070159E-2</v>
      </c>
      <c r="Y87" s="2058">
        <f t="shared" si="39"/>
        <v>0.12102487675497067</v>
      </c>
      <c r="Z87" s="203">
        <f t="shared" si="62"/>
        <v>6.6120108187747509E-2</v>
      </c>
      <c r="AA87" s="29">
        <f t="shared" si="63"/>
        <v>0.47769230769230769</v>
      </c>
      <c r="AB87" s="203"/>
      <c r="AC87" s="1155">
        <f t="shared" si="50"/>
        <v>0.14265587483465489</v>
      </c>
      <c r="AD87" s="177">
        <f>1000*(DataUK1!$AO87+DataUK1!$BI87)/DataUK2!$E87</f>
        <v>169.97032011871951</v>
      </c>
      <c r="AE87" s="176">
        <f>1000*DataUK1!$BI87/(R87*DataUK2!$E87)</f>
        <v>156.17420770159765</v>
      </c>
      <c r="AF87" s="546"/>
      <c r="AG87" s="154">
        <f>1000*(DataUK1!$BK87)/(DataUK2!$S87*DataUK2!$E87)</f>
        <v>113.56535809906391</v>
      </c>
      <c r="AH87" s="546"/>
      <c r="AI87" s="176">
        <f>1000*DataUK1!$AO87/(W87*DataUK2!$E87)</f>
        <v>246.57534455930062</v>
      </c>
      <c r="AJ87" s="154">
        <f>1000*(DataUK1!$AQ87+DataUK1!$AT87)/(DataUK2!$X87*DataUK2!$E87)</f>
        <v>147.66412667309191</v>
      </c>
      <c r="AK87" s="154">
        <f>1000*(DataUK1!$AT87)/(DataUK2!$X87*DataUK2!$E87)</f>
        <v>80.544069094413771</v>
      </c>
      <c r="AL87" s="154">
        <f>1000*(DataUK1!$AU87)/(DataUK2!$Y87*DataUK2!$E87)</f>
        <v>272.38918989581617</v>
      </c>
      <c r="AM87" s="2136">
        <f>1000*(DataUK1!AQ87+DataUK1!AT87+DataUK1!BK87)/(DataUK2!Z87*DataUK2!E87)</f>
        <v>129.8540775486573</v>
      </c>
      <c r="AN87" s="303">
        <f t="shared" si="51"/>
        <v>1</v>
      </c>
      <c r="AO87" s="547"/>
      <c r="AP87" s="306">
        <f t="shared" si="52"/>
        <v>0.72717102119738908</v>
      </c>
      <c r="AQ87" s="547"/>
      <c r="AR87" s="305">
        <f t="shared" si="53"/>
        <v>1.5788480581277069</v>
      </c>
      <c r="AS87" s="306">
        <f t="shared" si="54"/>
        <v>0.94550904945350533</v>
      </c>
      <c r="AT87" s="306">
        <f t="shared" si="55"/>
        <v>0.51573220879282111</v>
      </c>
      <c r="AU87" s="306">
        <f t="shared" si="56"/>
        <v>1.7441368450305872</v>
      </c>
      <c r="AV87" s="2137">
        <f t="shared" si="57"/>
        <v>0.83146941777204164</v>
      </c>
      <c r="AW87" s="2133">
        <f t="shared" si="43"/>
        <v>1</v>
      </c>
    </row>
    <row r="88" spans="1:49" ht="12" customHeight="1">
      <c r="A88" s="110">
        <f t="shared" si="59"/>
        <v>1929</v>
      </c>
      <c r="B88" s="519">
        <v>45672</v>
      </c>
      <c r="C88" s="386">
        <f t="shared" si="58"/>
        <v>0.33197081995266275</v>
      </c>
      <c r="D88" s="521"/>
      <c r="E88" s="542">
        <v>19146</v>
      </c>
      <c r="F88" s="522">
        <f t="shared" si="44"/>
        <v>0.62752725262333575</v>
      </c>
      <c r="G88" s="1156"/>
      <c r="H88" s="350"/>
      <c r="I88" s="350"/>
      <c r="J88" s="350"/>
      <c r="K88" s="350"/>
      <c r="L88" s="350"/>
      <c r="M88" s="2126"/>
      <c r="N88" s="350"/>
      <c r="O88" s="1133"/>
      <c r="P88" s="352"/>
      <c r="Q88" s="2134"/>
      <c r="R88" s="303">
        <f t="shared" si="46"/>
        <v>0.84656581323999791</v>
      </c>
      <c r="S88" s="203">
        <f t="shared" si="47"/>
        <v>3.3727463983412309E-2</v>
      </c>
      <c r="T88" s="203">
        <f t="shared" si="45"/>
        <v>0.8128383492565856</v>
      </c>
      <c r="U88" s="203">
        <f t="shared" si="48"/>
        <v>0.72730005192035752</v>
      </c>
      <c r="V88" s="203">
        <f t="shared" si="60"/>
        <v>8.5538297336228059E-2</v>
      </c>
      <c r="W88" s="29">
        <f t="shared" si="61"/>
        <v>0.15343418676000209</v>
      </c>
      <c r="X88" s="2055">
        <f t="shared" si="49"/>
        <v>3.1713884044104107E-2</v>
      </c>
      <c r="Y88" s="2058">
        <f t="shared" si="39"/>
        <v>0.12172030271589798</v>
      </c>
      <c r="Z88" s="203">
        <f t="shared" si="62"/>
        <v>6.5441348027516416E-2</v>
      </c>
      <c r="AA88" s="29">
        <f t="shared" si="63"/>
        <v>0.48461538461538461</v>
      </c>
      <c r="AB88" s="203"/>
      <c r="AC88" s="1155">
        <f t="shared" si="50"/>
        <v>0.14336558841165409</v>
      </c>
      <c r="AD88" s="177">
        <f>1000*(DataUK1!$AO88+DataUK1!$BI88)/DataUK2!$E88</f>
        <v>169.90494097983913</v>
      </c>
      <c r="AE88" s="176">
        <f>1000*DataUK1!$BI88/(R88*DataUK2!$E88)</f>
        <v>157.01784250406524</v>
      </c>
      <c r="AF88" s="546"/>
      <c r="AG88" s="154">
        <f>1000*(DataUK1!$BK88)/(DataUK2!$S88*DataUK2!$E88)</f>
        <v>113.04754055868197</v>
      </c>
      <c r="AH88" s="546"/>
      <c r="AI88" s="176">
        <f>1000*DataUK1!$AO88/(W88*DataUK2!$E88)</f>
        <v>241.0088926598664</v>
      </c>
      <c r="AJ88" s="154">
        <f>1000*(DataUK1!$AQ88+DataUK1!$AT88)/(DataUK2!$X88*DataUK2!$E88)</f>
        <v>146.57588265958267</v>
      </c>
      <c r="AK88" s="154">
        <f>1000*(DataUK1!$AT88)/(DataUK2!$X88*DataUK2!$E88)</f>
        <v>80.699081464264623</v>
      </c>
      <c r="AL88" s="154">
        <f>1000*(DataUK1!$AU88)/(DataUK2!$Y88*DataUK2!$E88)</f>
        <v>265.61314899395421</v>
      </c>
      <c r="AM88" s="2136">
        <f>1000*(DataUK1!AQ88+DataUK1!AT88+DataUK1!BK88)/(DataUK2!Z88*DataUK2!E88)</f>
        <v>129.29589096142615</v>
      </c>
      <c r="AN88" s="303">
        <f t="shared" si="51"/>
        <v>1</v>
      </c>
      <c r="AO88" s="547"/>
      <c r="AP88" s="306">
        <f t="shared" si="52"/>
        <v>0.71996620738025452</v>
      </c>
      <c r="AQ88" s="547"/>
      <c r="AR88" s="305">
        <f t="shared" si="53"/>
        <v>1.5349140506348926</v>
      </c>
      <c r="AS88" s="306">
        <f t="shared" si="54"/>
        <v>0.93349825931908204</v>
      </c>
      <c r="AT88" s="306">
        <f t="shared" si="55"/>
        <v>0.51394847984983172</v>
      </c>
      <c r="AU88" s="306">
        <f t="shared" si="56"/>
        <v>1.6916112510403229</v>
      </c>
      <c r="AV88" s="2137">
        <f t="shared" si="57"/>
        <v>0.82344712485830163</v>
      </c>
      <c r="AW88" s="2133">
        <f t="shared" si="43"/>
        <v>1</v>
      </c>
    </row>
    <row r="89" spans="1:49" ht="12" customHeight="1">
      <c r="A89" s="110">
        <f t="shared" si="59"/>
        <v>1930</v>
      </c>
      <c r="B89" s="519">
        <v>45866</v>
      </c>
      <c r="C89" s="386">
        <f>(4/3)*D89/B89</f>
        <v>0.32703963720402912</v>
      </c>
      <c r="D89" s="352">
        <v>11250</v>
      </c>
      <c r="E89" s="542">
        <v>18788</v>
      </c>
      <c r="F89" s="522">
        <f t="shared" si="44"/>
        <v>0.60869565217391308</v>
      </c>
      <c r="G89" s="1156"/>
      <c r="H89" s="350"/>
      <c r="I89" s="350"/>
      <c r="J89" s="350"/>
      <c r="K89" s="350"/>
      <c r="L89" s="350"/>
      <c r="M89" s="2126"/>
      <c r="N89" s="350"/>
      <c r="O89" s="1133"/>
      <c r="P89" s="352"/>
      <c r="Q89" s="2134"/>
      <c r="R89" s="303">
        <f t="shared" si="46"/>
        <v>0.8457415703000366</v>
      </c>
      <c r="S89" s="203">
        <f t="shared" si="47"/>
        <v>3.2929285061750461E-2</v>
      </c>
      <c r="T89" s="203">
        <f t="shared" si="45"/>
        <v>0.81281228523828619</v>
      </c>
      <c r="U89" s="203">
        <f t="shared" si="48"/>
        <v>0.7272461976945257</v>
      </c>
      <c r="V89" s="203">
        <f t="shared" si="60"/>
        <v>8.5566087543760466E-2</v>
      </c>
      <c r="W89" s="29">
        <f t="shared" si="61"/>
        <v>0.15425842969996334</v>
      </c>
      <c r="X89" s="2055">
        <f t="shared" si="49"/>
        <v>3.1833302805534862E-2</v>
      </c>
      <c r="Y89" s="2058">
        <f t="shared" si="39"/>
        <v>0.12242512689442847</v>
      </c>
      <c r="Z89" s="203">
        <f t="shared" si="62"/>
        <v>6.4762587867285323E-2</v>
      </c>
      <c r="AA89" s="29">
        <f t="shared" si="63"/>
        <v>0.49153846153846154</v>
      </c>
      <c r="AB89" s="203"/>
      <c r="AC89" s="1155">
        <f t="shared" si="50"/>
        <v>0.14408527550774308</v>
      </c>
      <c r="AD89" s="177">
        <f>1000*(DataUK1!$AO89+DataUK1!$BI89)/DataUK2!$E89</f>
        <v>167.18117947626143</v>
      </c>
      <c r="AE89" s="176">
        <f>1000*DataUK1!$BI89/(R89*DataUK2!$E89)</f>
        <v>156.38970620892624</v>
      </c>
      <c r="AF89" s="546"/>
      <c r="AG89" s="154">
        <f>1000*(DataUK1!$BK89)/(DataUK2!$S89*DataUK2!$E89)</f>
        <v>113.14495311150095</v>
      </c>
      <c r="AH89" s="546"/>
      <c r="AI89" s="176">
        <f>1000*DataUK1!$AO89/(W89*DataUK2!$E89)</f>
        <v>226.34681188104355</v>
      </c>
      <c r="AJ89" s="154">
        <f>1000*(DataUK1!$AQ89+DataUK1!$AT89)/(DataUK2!$X89*DataUK2!$E89)</f>
        <v>167.20056786653728</v>
      </c>
      <c r="AK89" s="154">
        <f>1000*(DataUK1!$AT89)/(DataUK2!$X89*DataUK2!$E89)</f>
        <v>100.32034071992238</v>
      </c>
      <c r="AL89" s="154">
        <f>1000*(DataUK1!$AU89)/(DataUK2!$Y89*DataUK2!$E89)</f>
        <v>241.72617348176672</v>
      </c>
      <c r="AM89" s="2136">
        <f>1000*(DataUK1!AQ89+DataUK1!AT89+DataUK1!BK89)/(DataUK2!Z89*DataUK2!E89)</f>
        <v>139.71536682570726</v>
      </c>
      <c r="AN89" s="303">
        <f t="shared" si="51"/>
        <v>1</v>
      </c>
      <c r="AO89" s="547"/>
      <c r="AP89" s="306">
        <f t="shared" si="52"/>
        <v>0.72348082143173043</v>
      </c>
      <c r="AQ89" s="547"/>
      <c r="AR89" s="305">
        <f t="shared" si="53"/>
        <v>1.4473255137308032</v>
      </c>
      <c r="AS89" s="306">
        <f t="shared" si="54"/>
        <v>1.0691277061622486</v>
      </c>
      <c r="AT89" s="306">
        <f t="shared" si="55"/>
        <v>0.64147662369734926</v>
      </c>
      <c r="AU89" s="306">
        <f t="shared" si="56"/>
        <v>1.5456655002525335</v>
      </c>
      <c r="AV89" s="2137">
        <f t="shared" si="57"/>
        <v>0.89337955938773128</v>
      </c>
      <c r="AW89" s="2133">
        <f t="shared" si="43"/>
        <v>1</v>
      </c>
    </row>
    <row r="90" spans="1:49" ht="12" customHeight="1">
      <c r="A90" s="110">
        <f t="shared" si="59"/>
        <v>1931</v>
      </c>
      <c r="B90" s="519">
        <v>46074</v>
      </c>
      <c r="C90" s="386">
        <f t="shared" ref="C90:C98" si="64">C89+(C$99-C$89)/10</f>
        <v>0.32261917201139134</v>
      </c>
      <c r="D90" s="521"/>
      <c r="E90" s="542">
        <v>18340</v>
      </c>
      <c r="F90" s="522">
        <f t="shared" si="44"/>
        <v>0.58763886707819313</v>
      </c>
      <c r="G90" s="2051">
        <f>(13.43+3.13)*1000*21.812/23.31</f>
        <v>15495.783783783785</v>
      </c>
      <c r="H90" s="350"/>
      <c r="I90" s="350"/>
      <c r="J90" s="350"/>
      <c r="K90" s="350"/>
      <c r="L90" s="350"/>
      <c r="M90" s="542">
        <f>E90-G90</f>
        <v>2844.2162162162149</v>
      </c>
      <c r="N90" s="350"/>
      <c r="O90" s="1133"/>
      <c r="P90" s="352"/>
      <c r="Q90" s="2134"/>
      <c r="R90" s="303">
        <f t="shared" si="46"/>
        <v>0.84491732736007552</v>
      </c>
      <c r="S90" s="203">
        <f t="shared" si="47"/>
        <v>3.2140504357691814E-2</v>
      </c>
      <c r="T90" s="203">
        <f t="shared" si="45"/>
        <v>0.81277682300238374</v>
      </c>
      <c r="U90" s="203">
        <f t="shared" si="48"/>
        <v>0.72718294525109084</v>
      </c>
      <c r="V90" s="203">
        <f t="shared" si="60"/>
        <v>8.5593877751292874E-2</v>
      </c>
      <c r="W90" s="307">
        <f>M90/E90</f>
        <v>0.15508267263992448</v>
      </c>
      <c r="X90" s="2055">
        <f t="shared" si="49"/>
        <v>3.1943323349362417E-2</v>
      </c>
      <c r="Y90" s="2058">
        <f t="shared" si="39"/>
        <v>0.12313934929056206</v>
      </c>
      <c r="Z90" s="203">
        <f t="shared" si="62"/>
        <v>6.4083827707054231E-2</v>
      </c>
      <c r="AA90" s="29">
        <f t="shared" si="63"/>
        <v>0.49846153846153846</v>
      </c>
      <c r="AB90" s="203"/>
      <c r="AC90" s="1155">
        <f t="shared" si="50"/>
        <v>0.14481491321703796</v>
      </c>
      <c r="AD90" s="177">
        <f>1000*(DataUK1!$AO90+DataUK1!$BI90)/DataUK2!$E90</f>
        <v>162.10468920392586</v>
      </c>
      <c r="AE90" s="176">
        <f>1000*DataUK1!$BI90/(R90*DataUK2!$E90)</f>
        <v>153.7192331305464</v>
      </c>
      <c r="AF90" s="546"/>
      <c r="AG90" s="154">
        <f>1000*(DataUK1!$BK90)/(DataUK2!$S90*DataUK2!$E90)</f>
        <v>113.66396032056529</v>
      </c>
      <c r="AH90" s="546"/>
      <c r="AI90" s="176">
        <f>1000*DataUK1!$AO90/(W90*DataUK2!$E90)</f>
        <v>207.79010984834096</v>
      </c>
      <c r="AJ90" s="154">
        <f>1000*(DataUK1!$AQ90+DataUK1!$AT90)/(DataUK2!$X90*DataUK2!$E90)</f>
        <v>146.79762260675182</v>
      </c>
      <c r="AK90" s="154">
        <f>1000*(DataUK1!$AT90)/(DataUK2!$X90*DataUK2!$E90)</f>
        <v>80.226607703689936</v>
      </c>
      <c r="AL90" s="154">
        <f>1000*(DataUK1!$AU90)/(DataUK2!$Y90*DataUK2!$E90)</f>
        <v>223.61204453505667</v>
      </c>
      <c r="AM90" s="2136">
        <f>1000*(DataUK1!AQ90+DataUK1!AT90+DataUK1!BK90)/(DataUK2!Z90*DataUK2!E90)</f>
        <v>130.17981659860286</v>
      </c>
      <c r="AN90" s="303">
        <f t="shared" si="51"/>
        <v>1</v>
      </c>
      <c r="AO90" s="547"/>
      <c r="AP90" s="306">
        <f t="shared" si="52"/>
        <v>0.73942575698407187</v>
      </c>
      <c r="AQ90" s="547"/>
      <c r="AR90" s="305">
        <f t="shared" si="53"/>
        <v>1.3517508877491911</v>
      </c>
      <c r="AS90" s="306">
        <f t="shared" si="54"/>
        <v>0.9549723845036594</v>
      </c>
      <c r="AT90" s="306">
        <f t="shared" si="55"/>
        <v>0.52190351246130218</v>
      </c>
      <c r="AU90" s="306">
        <f t="shared" si="56"/>
        <v>1.4546783768115317</v>
      </c>
      <c r="AV90" s="2137">
        <f t="shared" si="57"/>
        <v>0.84686746054768147</v>
      </c>
      <c r="AW90" s="2133">
        <f t="shared" si="43"/>
        <v>1</v>
      </c>
    </row>
    <row r="91" spans="1:49" ht="12" customHeight="1">
      <c r="A91" s="110">
        <f t="shared" si="59"/>
        <v>1932</v>
      </c>
      <c r="B91" s="519">
        <v>46335</v>
      </c>
      <c r="C91" s="386">
        <f t="shared" si="64"/>
        <v>0.31819870681875351</v>
      </c>
      <c r="D91" s="521"/>
      <c r="E91" s="542">
        <v>18430</v>
      </c>
      <c r="F91" s="522">
        <f t="shared" si="44"/>
        <v>0.58338914930156083</v>
      </c>
      <c r="G91" s="1156"/>
      <c r="H91" s="350"/>
      <c r="I91" s="350"/>
      <c r="J91" s="350"/>
      <c r="K91" s="350"/>
      <c r="L91" s="350"/>
      <c r="M91" s="2126"/>
      <c r="N91" s="350"/>
      <c r="O91" s="1133"/>
      <c r="P91" s="352"/>
      <c r="Q91" s="2134"/>
      <c r="R91" s="303">
        <f t="shared" si="46"/>
        <v>0.84676972231437841</v>
      </c>
      <c r="S91" s="203">
        <f t="shared" si="47"/>
        <v>3.1361121871236367E-2</v>
      </c>
      <c r="T91" s="203">
        <f t="shared" si="45"/>
        <v>0.81540860044314201</v>
      </c>
      <c r="U91" s="203">
        <f t="shared" si="48"/>
        <v>0.7297869324843167</v>
      </c>
      <c r="V91" s="203">
        <f t="shared" si="60"/>
        <v>8.5621667958825282E-2</v>
      </c>
      <c r="W91" s="29">
        <f t="shared" ref="W91:W96" si="65">W90+(W$97-W$90)/7</f>
        <v>0.15323027768562153</v>
      </c>
      <c r="X91" s="2055">
        <f t="shared" si="49"/>
        <v>3.2043945675586771E-2</v>
      </c>
      <c r="Y91" s="2058">
        <f t="shared" si="39"/>
        <v>0.12118633201003476</v>
      </c>
      <c r="Z91" s="203">
        <f t="shared" si="62"/>
        <v>6.3405067546823138E-2</v>
      </c>
      <c r="AA91" s="29">
        <f t="shared" si="63"/>
        <v>0.50538461538461543</v>
      </c>
      <c r="AB91" s="203"/>
      <c r="AC91" s="1155">
        <f t="shared" si="50"/>
        <v>0.14240909446437627</v>
      </c>
      <c r="AD91" s="177">
        <f>1000*(DataUK1!$AO91+DataUK1!$BI91)/DataUK2!$E91</f>
        <v>159.68529571351058</v>
      </c>
      <c r="AE91" s="176">
        <f>1000*DataUK1!$BI91/(R91*DataUK2!$E91)</f>
        <v>151.0319837093208</v>
      </c>
      <c r="AF91" s="546"/>
      <c r="AG91" s="154">
        <f>1000*(DataUK1!$BK91)/(DataUK2!$S91*DataUK2!$E91)</f>
        <v>112.45957327520945</v>
      </c>
      <c r="AH91" s="546"/>
      <c r="AI91" s="176">
        <f>1000*DataUK1!$AO91/(W91*DataUK2!$E91)</f>
        <v>207.50458256438225</v>
      </c>
      <c r="AJ91" s="154">
        <f>1000*(DataUK1!$AQ91+DataUK1!$AT91)/(DataUK2!$X91*DataUK2!$E91)</f>
        <v>143.9287665930587</v>
      </c>
      <c r="AK91" s="154">
        <f>1000*(DataUK1!$AT91)/(DataUK2!$X91*DataUK2!$E91)</f>
        <v>79.584141527926576</v>
      </c>
      <c r="AL91" s="154">
        <f>1000*(DataUK1!$AU91)/(DataUK2!$Y91*DataUK2!$E91)</f>
        <v>224.31522415635237</v>
      </c>
      <c r="AM91" s="2136">
        <f>1000*(DataUK1!AQ91+DataUK1!AT91+DataUK1!BK91)/(DataUK2!Z91*DataUK2!E91)</f>
        <v>128.36361943661481</v>
      </c>
      <c r="AN91" s="303">
        <f t="shared" si="51"/>
        <v>1</v>
      </c>
      <c r="AO91" s="547"/>
      <c r="AP91" s="306">
        <f t="shared" si="52"/>
        <v>0.74460766860912997</v>
      </c>
      <c r="AQ91" s="547"/>
      <c r="AR91" s="305">
        <f t="shared" si="53"/>
        <v>1.3739115217062219</v>
      </c>
      <c r="AS91" s="306">
        <f t="shared" si="54"/>
        <v>0.95296878884983005</v>
      </c>
      <c r="AT91" s="306">
        <f t="shared" si="55"/>
        <v>0.52693568324637663</v>
      </c>
      <c r="AU91" s="306">
        <f t="shared" si="56"/>
        <v>1.4852166981271595</v>
      </c>
      <c r="AV91" s="2137">
        <f t="shared" si="57"/>
        <v>0.84991017322308382</v>
      </c>
      <c r="AW91" s="2133">
        <f t="shared" si="43"/>
        <v>1</v>
      </c>
    </row>
    <row r="92" spans="1:49" ht="12" customHeight="1">
      <c r="A92" s="110">
        <f t="shared" si="59"/>
        <v>1933</v>
      </c>
      <c r="B92" s="519">
        <v>46520</v>
      </c>
      <c r="C92" s="386">
        <f t="shared" si="64"/>
        <v>0.31377824162611567</v>
      </c>
      <c r="D92" s="521"/>
      <c r="E92" s="542">
        <v>18813</v>
      </c>
      <c r="F92" s="522">
        <f t="shared" si="44"/>
        <v>0.58932364335267617</v>
      </c>
      <c r="G92" s="1156"/>
      <c r="H92" s="350"/>
      <c r="I92" s="350"/>
      <c r="J92" s="350"/>
      <c r="K92" s="350"/>
      <c r="L92" s="350"/>
      <c r="M92" s="2126"/>
      <c r="N92" s="350"/>
      <c r="O92" s="1133"/>
      <c r="P92" s="352"/>
      <c r="Q92" s="2134"/>
      <c r="R92" s="303">
        <f t="shared" si="46"/>
        <v>0.84862211726868142</v>
      </c>
      <c r="S92" s="203">
        <f t="shared" si="47"/>
        <v>3.0591137602384119E-2</v>
      </c>
      <c r="T92" s="203">
        <f t="shared" si="45"/>
        <v>0.81803097966629734</v>
      </c>
      <c r="U92" s="203">
        <f t="shared" si="48"/>
        <v>0.73238152149993963</v>
      </c>
      <c r="V92" s="203">
        <f t="shared" si="60"/>
        <v>8.5649458166357689E-2</v>
      </c>
      <c r="W92" s="29">
        <f t="shared" si="65"/>
        <v>0.15137788273131858</v>
      </c>
      <c r="X92" s="2055">
        <f t="shared" si="49"/>
        <v>3.2135169784207926E-2</v>
      </c>
      <c r="Y92" s="2058">
        <f t="shared" si="39"/>
        <v>0.11924271294711065</v>
      </c>
      <c r="Z92" s="203">
        <f t="shared" si="62"/>
        <v>6.2726307386592045E-2</v>
      </c>
      <c r="AA92" s="29">
        <f t="shared" si="63"/>
        <v>0.51230769230769235</v>
      </c>
      <c r="AB92" s="203"/>
      <c r="AC92" s="1155">
        <f t="shared" si="50"/>
        <v>0.14001798930080187</v>
      </c>
      <c r="AD92" s="177">
        <f>1000*(DataUK1!$AO92+DataUK1!$BI92)/DataUK2!$E92</f>
        <v>160.9525328230479</v>
      </c>
      <c r="AE92" s="176">
        <f>1000*DataUK1!$BI92/(R92*DataUK2!$E92)</f>
        <v>150.45291313808943</v>
      </c>
      <c r="AF92" s="546"/>
      <c r="AG92" s="154">
        <f>1000*(DataUK1!$BK92)/(DataUK2!$S92*DataUK2!$E92)</f>
        <v>111.20550610682852</v>
      </c>
      <c r="AH92" s="546"/>
      <c r="AI92" s="176">
        <f>1000*DataUK1!$AO92/(W92*DataUK2!$E92)</f>
        <v>219.8132417112819</v>
      </c>
      <c r="AJ92" s="154">
        <f>1000*(DataUK1!$AQ92+DataUK1!$AT92)/(DataUK2!$X92*DataUK2!$E92)</f>
        <v>173.68033365079705</v>
      </c>
      <c r="AK92" s="154">
        <f>1000*(DataUK1!$AT92)/(DataUK2!$X92*DataUK2!$E92)</f>
        <v>114.13279068480948</v>
      </c>
      <c r="AL92" s="154">
        <f>1000*(DataUK1!$AU92)/(DataUK2!$Y92*DataUK2!$E92)</f>
        <v>232.24577361635929</v>
      </c>
      <c r="AM92" s="2136">
        <f>1000*(DataUK1!AQ92+DataUK1!AT92+DataUK1!BK92)/(DataUK2!Z92*DataUK2!E92)</f>
        <v>143.21184083320009</v>
      </c>
      <c r="AN92" s="303">
        <f t="shared" si="51"/>
        <v>1</v>
      </c>
      <c r="AO92" s="547"/>
      <c r="AP92" s="306">
        <f t="shared" si="52"/>
        <v>0.7391382711530573</v>
      </c>
      <c r="AQ92" s="547"/>
      <c r="AR92" s="305">
        <f t="shared" si="53"/>
        <v>1.4610102066254567</v>
      </c>
      <c r="AS92" s="306">
        <f t="shared" si="54"/>
        <v>1.1543833218529236</v>
      </c>
      <c r="AT92" s="306">
        <f t="shared" si="55"/>
        <v>0.75859475436049262</v>
      </c>
      <c r="AU92" s="306">
        <f t="shared" si="56"/>
        <v>1.5436442457129318</v>
      </c>
      <c r="AV92" s="2137">
        <f t="shared" si="57"/>
        <v>0.9518715048192965</v>
      </c>
      <c r="AW92" s="2133">
        <f t="shared" si="43"/>
        <v>1</v>
      </c>
    </row>
    <row r="93" spans="1:49" ht="12" customHeight="1">
      <c r="A93" s="110">
        <f t="shared" si="59"/>
        <v>1934</v>
      </c>
      <c r="B93" s="519">
        <v>46666</v>
      </c>
      <c r="C93" s="386">
        <f t="shared" si="64"/>
        <v>0.30935777643347784</v>
      </c>
      <c r="D93" s="521"/>
      <c r="E93" s="542">
        <v>19360</v>
      </c>
      <c r="F93" s="522">
        <f t="shared" si="44"/>
        <v>0.60069172621685463</v>
      </c>
      <c r="G93" s="1156"/>
      <c r="H93" s="350"/>
      <c r="I93" s="350"/>
      <c r="J93" s="350"/>
      <c r="K93" s="350"/>
      <c r="L93" s="350"/>
      <c r="M93" s="2126"/>
      <c r="N93" s="350"/>
      <c r="O93" s="1133"/>
      <c r="P93" s="352"/>
      <c r="Q93" s="2134"/>
      <c r="R93" s="303">
        <f t="shared" si="46"/>
        <v>0.85047451222298442</v>
      </c>
      <c r="S93" s="203">
        <f t="shared" si="47"/>
        <v>2.9830551551135072E-2</v>
      </c>
      <c r="T93" s="203">
        <f t="shared" si="45"/>
        <v>0.8206439606718493</v>
      </c>
      <c r="U93" s="203">
        <f t="shared" si="48"/>
        <v>0.73496671229795918</v>
      </c>
      <c r="V93" s="203">
        <f t="shared" si="60"/>
        <v>8.5677248373890097E-2</v>
      </c>
      <c r="W93" s="29">
        <f t="shared" si="65"/>
        <v>0.14952548777701563</v>
      </c>
      <c r="X93" s="2055">
        <f t="shared" si="49"/>
        <v>3.2216995675225887E-2</v>
      </c>
      <c r="Y93" s="2058">
        <f t="shared" si="39"/>
        <v>0.11730849210178974</v>
      </c>
      <c r="Z93" s="203">
        <f t="shared" si="62"/>
        <v>6.2047547226360959E-2</v>
      </c>
      <c r="AA93" s="29">
        <f t="shared" si="63"/>
        <v>0.51923076923076927</v>
      </c>
      <c r="AB93" s="203"/>
      <c r="AC93" s="1155">
        <f t="shared" si="50"/>
        <v>0.13764156401148528</v>
      </c>
      <c r="AD93" s="177">
        <f>1000*(DataUK1!$AO93+DataUK1!$BI93)/DataUK2!$E93</f>
        <v>162.08677685950414</v>
      </c>
      <c r="AE93" s="176">
        <f>1000*DataUK1!$BI93/(R93*DataUK2!$E93)</f>
        <v>152.26064954541613</v>
      </c>
      <c r="AF93" s="546"/>
      <c r="AG93" s="154">
        <f>1000*(DataUK1!$BK93)/(DataUK2!$S93*DataUK2!$E93)</f>
        <v>109.08722977604941</v>
      </c>
      <c r="AH93" s="546"/>
      <c r="AI93" s="176">
        <f>1000*DataUK1!$AO93/(W93*DataUK2!$E93)</f>
        <v>217.97605004450361</v>
      </c>
      <c r="AJ93" s="154">
        <f>1000*(DataUK1!$AQ93+DataUK1!$AT93)/(DataUK2!$X93*DataUK2!$E93)</f>
        <v>187.58386072601081</v>
      </c>
      <c r="AK93" s="154">
        <f>1000*(DataUK1!$AT93)/(DataUK2!$X93*DataUK2!$E93)</f>
        <v>131.46903059429818</v>
      </c>
      <c r="AL93" s="154">
        <f>1000*(DataUK1!$AU93)/(DataUK2!$Y93*DataUK2!$E93)</f>
        <v>226.32280324447581</v>
      </c>
      <c r="AM93" s="2136">
        <f>1000*(DataUK1!AQ93+DataUK1!AT93+DataUK1!BK93)/(DataUK2!Z93*DataUK2!E93)</f>
        <v>149.84509584622168</v>
      </c>
      <c r="AN93" s="303">
        <f t="shared" si="51"/>
        <v>1</v>
      </c>
      <c r="AO93" s="547"/>
      <c r="AP93" s="306">
        <f t="shared" si="52"/>
        <v>0.71645057407633739</v>
      </c>
      <c r="AQ93" s="547"/>
      <c r="AR93" s="305">
        <f t="shared" si="53"/>
        <v>1.4315980569850779</v>
      </c>
      <c r="AS93" s="306">
        <f t="shared" si="54"/>
        <v>1.2319917279090453</v>
      </c>
      <c r="AT93" s="306">
        <f t="shared" si="55"/>
        <v>0.86344719391915992</v>
      </c>
      <c r="AU93" s="306">
        <f t="shared" si="56"/>
        <v>1.4864169036463259</v>
      </c>
      <c r="AV93" s="2137">
        <f t="shared" si="57"/>
        <v>0.98413540395101273</v>
      </c>
      <c r="AW93" s="2133">
        <f t="shared" si="43"/>
        <v>1</v>
      </c>
    </row>
    <row r="94" spans="1:49" ht="12" customHeight="1">
      <c r="A94" s="110">
        <f t="shared" si="59"/>
        <v>1935</v>
      </c>
      <c r="B94" s="519">
        <v>46868</v>
      </c>
      <c r="C94" s="386">
        <f t="shared" si="64"/>
        <v>0.30493731124084</v>
      </c>
      <c r="D94" s="521"/>
      <c r="E94" s="542">
        <v>19704</v>
      </c>
      <c r="F94" s="522">
        <f t="shared" si="44"/>
        <v>0.60485879725655078</v>
      </c>
      <c r="G94" s="1156"/>
      <c r="H94" s="350"/>
      <c r="I94" s="350"/>
      <c r="J94" s="350"/>
      <c r="K94" s="350"/>
      <c r="L94" s="350"/>
      <c r="M94" s="2126"/>
      <c r="N94" s="350"/>
      <c r="O94" s="1133"/>
      <c r="P94" s="352"/>
      <c r="Q94" s="2134"/>
      <c r="R94" s="303">
        <f t="shared" si="46"/>
        <v>0.85232690717728732</v>
      </c>
      <c r="S94" s="203">
        <f t="shared" si="47"/>
        <v>2.9079363717489232E-2</v>
      </c>
      <c r="T94" s="203">
        <f t="shared" si="45"/>
        <v>0.82324754345979811</v>
      </c>
      <c r="U94" s="203">
        <f t="shared" si="48"/>
        <v>0.73754250487837558</v>
      </c>
      <c r="V94" s="203">
        <f t="shared" si="60"/>
        <v>8.5705038581422505E-2</v>
      </c>
      <c r="W94" s="29">
        <f t="shared" si="65"/>
        <v>0.14767309282271268</v>
      </c>
      <c r="X94" s="2055">
        <f t="shared" si="49"/>
        <v>3.2289423348640642E-2</v>
      </c>
      <c r="Y94" s="2058">
        <f t="shared" si="39"/>
        <v>0.11538366947407204</v>
      </c>
      <c r="Z94" s="203">
        <f t="shared" si="62"/>
        <v>6.1368787066129873E-2</v>
      </c>
      <c r="AA94" s="29">
        <f t="shared" si="63"/>
        <v>0.52615384615384619</v>
      </c>
      <c r="AB94" s="203"/>
      <c r="AC94" s="1155">
        <f t="shared" si="50"/>
        <v>0.13527978498452434</v>
      </c>
      <c r="AD94" s="177">
        <f>1000*(DataUK1!$AO94+DataUK1!$BI94)/DataUK2!$E94</f>
        <v>165.44863987007713</v>
      </c>
      <c r="AE94" s="176">
        <f>1000*DataUK1!$BI94/(R94*DataUK2!$E94)</f>
        <v>154.63626515181278</v>
      </c>
      <c r="AF94" s="546"/>
      <c r="AG94" s="154">
        <f>1000*(DataUK1!$BK94)/(DataUK2!$S94*DataUK2!$E94)</f>
        <v>113.44204798100917</v>
      </c>
      <c r="AH94" s="546"/>
      <c r="AI94" s="176">
        <f>1000*DataUK1!$AO94/(W94*DataUK2!$E94)</f>
        <v>227.85457805899247</v>
      </c>
      <c r="AJ94" s="154">
        <f>1000*(DataUK1!$AQ94+DataUK1!$AT94)/(DataUK2!$X94*DataUK2!$E94)</f>
        <v>171.32147704986232</v>
      </c>
      <c r="AK94" s="154">
        <f>1000*(DataUK1!$AT94)/(DataUK2!$X94*DataUK2!$E94)</f>
        <v>117.88175026366673</v>
      </c>
      <c r="AL94" s="154">
        <f>1000*(DataUK1!$AU94)/(DataUK2!$Y94*DataUK2!$E94)</f>
        <v>243.67502509465777</v>
      </c>
      <c r="AM94" s="2136">
        <f>1000*(DataUK1!AQ94+DataUK1!AT94+DataUK1!BK94)/(DataUK2!Z94*DataUK2!E94)</f>
        <v>143.89553219877496</v>
      </c>
      <c r="AN94" s="303">
        <f t="shared" si="51"/>
        <v>1</v>
      </c>
      <c r="AO94" s="547"/>
      <c r="AP94" s="306">
        <f t="shared" si="52"/>
        <v>0.73360571577203082</v>
      </c>
      <c r="AQ94" s="547"/>
      <c r="AR94" s="305">
        <f t="shared" si="53"/>
        <v>1.4734873338753898</v>
      </c>
      <c r="AS94" s="306">
        <f t="shared" si="54"/>
        <v>1.1078997341384893</v>
      </c>
      <c r="AT94" s="306">
        <f t="shared" si="55"/>
        <v>0.76231633082923578</v>
      </c>
      <c r="AU94" s="306">
        <f t="shared" si="56"/>
        <v>1.5757948166649782</v>
      </c>
      <c r="AV94" s="2137">
        <f t="shared" si="57"/>
        <v>0.93054195312792121</v>
      </c>
      <c r="AW94" s="2133">
        <f t="shared" si="43"/>
        <v>1</v>
      </c>
    </row>
    <row r="95" spans="1:49">
      <c r="A95" s="110">
        <f t="shared" si="59"/>
        <v>1936</v>
      </c>
      <c r="B95" s="519">
        <v>47081</v>
      </c>
      <c r="C95" s="386">
        <f t="shared" si="64"/>
        <v>0.30051684604820217</v>
      </c>
      <c r="D95" s="521"/>
      <c r="E95" s="542">
        <v>20321</v>
      </c>
      <c r="F95" s="522">
        <f t="shared" si="44"/>
        <v>0.61705253035713448</v>
      </c>
      <c r="G95" s="1156"/>
      <c r="H95" s="350"/>
      <c r="I95" s="350"/>
      <c r="J95" s="350"/>
      <c r="K95" s="350"/>
      <c r="L95" s="350"/>
      <c r="M95" s="2126"/>
      <c r="N95" s="350"/>
      <c r="O95" s="1133"/>
      <c r="P95" s="352"/>
      <c r="Q95" s="2134"/>
      <c r="R95" s="303">
        <f t="shared" si="46"/>
        <v>0.85417930213159021</v>
      </c>
      <c r="S95" s="203">
        <f t="shared" si="47"/>
        <v>2.8337574101446585E-2</v>
      </c>
      <c r="T95" s="203">
        <f t="shared" si="45"/>
        <v>0.82584172803014366</v>
      </c>
      <c r="U95" s="203">
        <f t="shared" si="48"/>
        <v>0.74010889924118872</v>
      </c>
      <c r="V95" s="203">
        <f t="shared" si="60"/>
        <v>8.5732828788954912E-2</v>
      </c>
      <c r="W95" s="29">
        <f t="shared" si="65"/>
        <v>0.14582069786840973</v>
      </c>
      <c r="X95" s="2055">
        <f t="shared" si="49"/>
        <v>3.2352452804452203E-2</v>
      </c>
      <c r="Y95" s="2058">
        <f t="shared" si="39"/>
        <v>0.11346824506395753</v>
      </c>
      <c r="Z95" s="203">
        <f t="shared" si="62"/>
        <v>6.0690026905898788E-2</v>
      </c>
      <c r="AA95" s="29">
        <f t="shared" si="63"/>
        <v>0.53307692307692311</v>
      </c>
      <c r="AB95" s="203"/>
      <c r="AC95" s="1155">
        <f t="shared" si="50"/>
        <v>0.13293261871055165</v>
      </c>
      <c r="AD95" s="177">
        <f>1000*(DataUK1!$AO95+DataUK1!$BI95)/DataUK2!$E95</f>
        <v>169.38142807932681</v>
      </c>
      <c r="AE95" s="176">
        <f>1000*DataUK1!$BI95/(R95*DataUK2!$E95)</f>
        <v>158.08475390413932</v>
      </c>
      <c r="AF95" s="546"/>
      <c r="AG95" s="154">
        <f>1000*(DataUK1!$BK95)/(DataUK2!$S95*DataUK2!$E95)</f>
        <v>112.87703992387404</v>
      </c>
      <c r="AH95" s="546"/>
      <c r="AI95" s="176">
        <f>1000*DataUK1!$AO95/(W95*DataUK2!$E95)</f>
        <v>235.55437474892318</v>
      </c>
      <c r="AJ95" s="154">
        <f>1000*(DataUK1!$AQ95+DataUK1!$AT95)/(DataUK2!$X95*DataUK2!$E95)</f>
        <v>184.04883896744974</v>
      </c>
      <c r="AK95" s="154">
        <f>1000*(DataUK1!$AT95)/(DataUK2!$X95*DataUK2!$E95)</f>
        <v>130.81157149752624</v>
      </c>
      <c r="AL95" s="154">
        <f>1000*(DataUK1!$AU95)/(DataUK2!$Y95*DataUK2!$E95)</f>
        <v>250.23980867450211</v>
      </c>
      <c r="AM95" s="2136">
        <f>1000*(DataUK1!AQ95+DataUK1!AT95+DataUK1!BK95)/(DataUK2!Z95*DataUK2!E95)</f>
        <v>150.81708356787246</v>
      </c>
      <c r="AN95" s="303">
        <f t="shared" si="51"/>
        <v>1</v>
      </c>
      <c r="AO95" s="547"/>
      <c r="AP95" s="306">
        <f t="shared" si="52"/>
        <v>0.71402862791133737</v>
      </c>
      <c r="AQ95" s="547"/>
      <c r="AR95" s="305">
        <f t="shared" si="53"/>
        <v>1.4900511841373425</v>
      </c>
      <c r="AS95" s="306">
        <f t="shared" si="54"/>
        <v>1.1642415503208787</v>
      </c>
      <c r="AT95" s="306">
        <f t="shared" si="55"/>
        <v>0.8274774655173186</v>
      </c>
      <c r="AU95" s="306">
        <f t="shared" si="56"/>
        <v>1.5829471374971713</v>
      </c>
      <c r="AV95" s="2137">
        <f t="shared" si="57"/>
        <v>0.95402674731888515</v>
      </c>
      <c r="AW95" s="2133">
        <f t="shared" si="43"/>
        <v>1</v>
      </c>
    </row>
    <row r="96" spans="1:49">
      <c r="A96" s="110">
        <f t="shared" si="59"/>
        <v>1937</v>
      </c>
      <c r="B96" s="519">
        <v>47289</v>
      </c>
      <c r="C96" s="386">
        <f t="shared" si="64"/>
        <v>0.29609638085556433</v>
      </c>
      <c r="D96" s="521"/>
      <c r="E96" s="542">
        <v>20987</v>
      </c>
      <c r="F96" s="522">
        <f t="shared" si="44"/>
        <v>0.63048830338818729</v>
      </c>
      <c r="G96" s="1156"/>
      <c r="H96" s="350"/>
      <c r="I96" s="350"/>
      <c r="J96" s="350"/>
      <c r="K96" s="350"/>
      <c r="L96" s="350"/>
      <c r="M96" s="2126"/>
      <c r="N96" s="350"/>
      <c r="O96" s="1133"/>
      <c r="P96" s="352"/>
      <c r="Q96" s="2134"/>
      <c r="R96" s="303">
        <f t="shared" si="46"/>
        <v>0.85603169708589322</v>
      </c>
      <c r="S96" s="203">
        <f t="shared" si="47"/>
        <v>2.7605182703007138E-2</v>
      </c>
      <c r="T96" s="203">
        <f t="shared" si="45"/>
        <v>0.82842651438288606</v>
      </c>
      <c r="U96" s="203">
        <f t="shared" si="48"/>
        <v>0.74266589538639871</v>
      </c>
      <c r="V96" s="203">
        <f t="shared" si="60"/>
        <v>8.576061899648732E-2</v>
      </c>
      <c r="W96" s="29">
        <f t="shared" si="65"/>
        <v>0.14396830291410678</v>
      </c>
      <c r="X96" s="2055">
        <f t="shared" si="49"/>
        <v>3.2406084042660564E-2</v>
      </c>
      <c r="Y96" s="2058">
        <f t="shared" si="39"/>
        <v>0.11156221887144621</v>
      </c>
      <c r="Z96" s="203">
        <f t="shared" si="62"/>
        <v>6.0011266745667702E-2</v>
      </c>
      <c r="AA96" s="307">
        <v>0.54</v>
      </c>
      <c r="AB96" s="203">
        <v>0.1</v>
      </c>
      <c r="AC96" s="1155">
        <f t="shared" si="50"/>
        <v>0.13060003178234386</v>
      </c>
      <c r="AD96" s="177">
        <f>1000*(DataUK1!$AO96+DataUK1!$BI96)/DataUK2!$E96</f>
        <v>170.29589746033258</v>
      </c>
      <c r="AE96" s="176">
        <f>1000*DataUK1!$BI96/(R96*DataUK2!$E96)</f>
        <v>161.8654629304072</v>
      </c>
      <c r="AF96" s="546"/>
      <c r="AG96" s="154">
        <f>1000*(DataUK1!$BK96)/(DataUK2!$S96*DataUK2!$E96)</f>
        <v>110.46863447253759</v>
      </c>
      <c r="AH96" s="546"/>
      <c r="AI96" s="176">
        <f>1000*DataUK1!$AO96/(W96*DataUK2!$E96)</f>
        <v>220.42303678022239</v>
      </c>
      <c r="AJ96" s="154">
        <f>1000*(DataUK1!$AQ96+DataUK1!$AT96)/(DataUK2!$X96*DataUK2!$E96)</f>
        <v>141.15436627046464</v>
      </c>
      <c r="AK96" s="154">
        <f>1000*(DataUK1!$AT96)/(DataUK2!$X96*DataUK2!$E96)</f>
        <v>89.691836901024402</v>
      </c>
      <c r="AL96" s="154">
        <f>1000*(DataUK1!$AU96)/(DataUK2!$Y96*DataUK2!$E96)</f>
        <v>243.44863831876123</v>
      </c>
      <c r="AM96" s="2136">
        <f>1000*(DataUK1!AQ96+DataUK1!AT96+DataUK1!BK96)/(DataUK2!Z96*DataUK2!E96)</f>
        <v>127.03892964341819</v>
      </c>
      <c r="AN96" s="303">
        <f t="shared" si="51"/>
        <v>1</v>
      </c>
      <c r="AO96" s="547"/>
      <c r="AP96" s="306">
        <f t="shared" si="52"/>
        <v>0.68247192744280916</v>
      </c>
      <c r="AQ96" s="547"/>
      <c r="AR96" s="305">
        <f t="shared" si="53"/>
        <v>1.3617669439155873</v>
      </c>
      <c r="AS96" s="306">
        <f t="shared" si="54"/>
        <v>0.87204746284358914</v>
      </c>
      <c r="AT96" s="306">
        <f t="shared" si="55"/>
        <v>0.55411349201519722</v>
      </c>
      <c r="AU96" s="306">
        <f t="shared" si="56"/>
        <v>1.5040184231483036</v>
      </c>
      <c r="AV96" s="2137">
        <f t="shared" si="57"/>
        <v>0.78484271655923032</v>
      </c>
      <c r="AW96" s="2133">
        <f t="shared" si="43"/>
        <v>1</v>
      </c>
    </row>
    <row r="97" spans="1:49">
      <c r="A97" s="110">
        <f t="shared" si="59"/>
        <v>1938</v>
      </c>
      <c r="B97" s="519">
        <v>47494</v>
      </c>
      <c r="C97" s="386">
        <f t="shared" si="64"/>
        <v>0.2916759156629265</v>
      </c>
      <c r="D97" s="521"/>
      <c r="E97" s="542">
        <v>20986</v>
      </c>
      <c r="F97" s="522">
        <f t="shared" si="44"/>
        <v>0.62381945042154341</v>
      </c>
      <c r="G97" s="2051">
        <f>(15.44+3.8)*1000*21.812/23.31</f>
        <v>18003.555555555558</v>
      </c>
      <c r="H97" s="350"/>
      <c r="I97" s="350"/>
      <c r="J97" s="350"/>
      <c r="K97" s="350"/>
      <c r="L97" s="350"/>
      <c r="M97" s="542">
        <f>E97-G97</f>
        <v>2982.4444444444416</v>
      </c>
      <c r="N97" s="350"/>
      <c r="O97" s="1133"/>
      <c r="P97" s="352"/>
      <c r="Q97" s="2134"/>
      <c r="R97" s="303">
        <f t="shared" si="46"/>
        <v>0.85788409204019622</v>
      </c>
      <c r="S97" s="203">
        <f t="shared" si="47"/>
        <v>2.6996290496373657E-2</v>
      </c>
      <c r="T97" s="203">
        <f t="shared" si="45"/>
        <v>0.83088780154382258</v>
      </c>
      <c r="U97" s="203">
        <f t="shared" si="48"/>
        <v>0.74509939233980294</v>
      </c>
      <c r="V97" s="307">
        <f>0.1*R97</f>
        <v>8.5788409204019631E-2</v>
      </c>
      <c r="W97" s="307">
        <f>M97/E97</f>
        <v>0.14211590795980375</v>
      </c>
      <c r="X97" s="2055">
        <f t="shared" si="49"/>
        <v>3.2336216089062959E-2</v>
      </c>
      <c r="Y97" s="2058">
        <f t="shared" si="39"/>
        <v>0.1097796918707408</v>
      </c>
      <c r="Z97" s="203">
        <f t="shared" si="62"/>
        <v>5.9332506585436616E-2</v>
      </c>
      <c r="AA97" s="29">
        <f>AA96+(AA$110-AA$96)/14</f>
        <v>0.54500000000000004</v>
      </c>
      <c r="AB97" s="203"/>
      <c r="AC97" s="1155">
        <f t="shared" si="50"/>
        <v>0.12841546120188352</v>
      </c>
      <c r="AD97" s="177">
        <f>1000*(DataUK1!$AO97+DataUK1!$BI97)/DataUK2!$E97</f>
        <v>173.40131516248928</v>
      </c>
      <c r="AE97" s="176">
        <f>1000*DataUK1!$BI97/(R97*DataUK2!$E97)</f>
        <v>166.02276093611135</v>
      </c>
      <c r="AF97" s="546"/>
      <c r="AG97" s="154">
        <f>1000*(DataUK1!$BK97)/(DataUK2!$S97*DataUK2!$E97)</f>
        <v>116.49577482254718</v>
      </c>
      <c r="AH97" s="546"/>
      <c r="AI97" s="176">
        <f>1000*DataUK1!$AO97/(W97*DataUK2!$E97)</f>
        <v>217.9420311452204</v>
      </c>
      <c r="AJ97" s="154">
        <f>1000*(DataUK1!$AQ97+DataUK1!$AT97)/(DataUK2!$X97*DataUK2!$E97)</f>
        <v>153.25493646380127</v>
      </c>
      <c r="AK97" s="154">
        <f>1000*(DataUK1!$AT97)/(DataUK2!$X97*DataUK2!$E97)</f>
        <v>101.67875592309892</v>
      </c>
      <c r="AL97" s="154">
        <f>1000*(DataUK1!$AU97)/(DataUK2!$Y97*DataUK2!$E97)</f>
        <v>236.99597305512245</v>
      </c>
      <c r="AM97" s="2136">
        <f>1000*(DataUK1!AQ97+DataUK1!AT97+DataUK1!BK97)/(DataUK2!Z97*DataUK2!E97)</f>
        <v>136.52951791703066</v>
      </c>
      <c r="AN97" s="303">
        <f t="shared" si="51"/>
        <v>1</v>
      </c>
      <c r="AO97" s="547"/>
      <c r="AP97" s="306">
        <f t="shared" si="52"/>
        <v>0.70168556507367641</v>
      </c>
      <c r="AQ97" s="547"/>
      <c r="AR97" s="305">
        <f t="shared" si="53"/>
        <v>1.3127238091714939</v>
      </c>
      <c r="AS97" s="306">
        <f t="shared" si="54"/>
        <v>0.92309593937409962</v>
      </c>
      <c r="AT97" s="306">
        <f t="shared" si="55"/>
        <v>0.61243865208473913</v>
      </c>
      <c r="AU97" s="306">
        <f t="shared" si="56"/>
        <v>1.4274908555840902</v>
      </c>
      <c r="AV97" s="2137">
        <f t="shared" si="57"/>
        <v>0.82235421906740702</v>
      </c>
      <c r="AW97" s="2133">
        <f t="shared" si="43"/>
        <v>1</v>
      </c>
    </row>
    <row r="98" spans="1:49">
      <c r="A98" s="110">
        <f t="shared" si="59"/>
        <v>1939</v>
      </c>
      <c r="B98" s="519">
        <v>47761</v>
      </c>
      <c r="C98" s="386">
        <f t="shared" si="64"/>
        <v>0.28725545047028866</v>
      </c>
      <c r="D98" s="521"/>
      <c r="E98" s="542">
        <v>21800</v>
      </c>
      <c r="F98" s="522">
        <f t="shared" si="44"/>
        <v>0.64039683584539253</v>
      </c>
      <c r="G98" s="1156"/>
      <c r="H98" s="350"/>
      <c r="I98" s="350"/>
      <c r="J98" s="350"/>
      <c r="K98" s="350"/>
      <c r="L98" s="350"/>
      <c r="M98" s="2126"/>
      <c r="N98" s="350"/>
      <c r="O98" s="1133"/>
      <c r="P98" s="352"/>
      <c r="Q98" s="2134"/>
      <c r="R98" s="303">
        <f t="shared" si="46"/>
        <v>0.86083226575927263</v>
      </c>
      <c r="S98" s="203">
        <f t="shared" si="47"/>
        <v>2.6394185891342486E-2</v>
      </c>
      <c r="T98" s="203">
        <f t="shared" si="45"/>
        <v>0.83443807986793017</v>
      </c>
      <c r="U98" s="203">
        <f t="shared" si="48"/>
        <v>0.66227162671607565</v>
      </c>
      <c r="V98" s="307">
        <f>0.2*R98</f>
        <v>0.17216645315185453</v>
      </c>
      <c r="W98" s="29">
        <f>W97+(W$110-W$97)/13</f>
        <v>0.1391677342407274</v>
      </c>
      <c r="X98" s="2055">
        <f t="shared" si="49"/>
        <v>3.2259560533863044E-2</v>
      </c>
      <c r="Y98" s="2058">
        <f t="shared" si="39"/>
        <v>0.10690817370686435</v>
      </c>
      <c r="Z98" s="203">
        <f t="shared" si="62"/>
        <v>5.865374642520553E-2</v>
      </c>
      <c r="AA98" s="29">
        <f t="shared" ref="AA98:AA109" si="66">AA97+(AA$110-AA$96)/14</f>
        <v>0.55000000000000004</v>
      </c>
      <c r="AB98" s="203"/>
      <c r="AC98" s="1155">
        <f t="shared" si="50"/>
        <v>0.13898983520898495</v>
      </c>
      <c r="AD98" s="177">
        <f>1000*(DataUK1!$AO98+DataUK1!$BI98)/DataUK2!$E98</f>
        <v>178.87691131498471</v>
      </c>
      <c r="AE98" s="176">
        <f>1000*DataUK1!$BI98/(R98*DataUK2!$E98)</f>
        <v>171.31916412322852</v>
      </c>
      <c r="AF98" s="546"/>
      <c r="AG98" s="154">
        <f>1000*(DataUK1!$BK98)/(DataUK2!$S98*DataUK2!$E98)</f>
        <v>121.65592784451687</v>
      </c>
      <c r="AH98" s="546"/>
      <c r="AI98" s="176">
        <f>1000*DataUK1!$AO98/(W98*DataUK2!$E98)</f>
        <v>225.62591297553845</v>
      </c>
      <c r="AJ98" s="154">
        <f>1000*(DataUK1!$AQ98+DataUK1!$AT98)/(DataUK2!$X98*DataUK2!$E98)</f>
        <v>197.65138406946826</v>
      </c>
      <c r="AK98" s="154">
        <f>1000*(DataUK1!$AT98)/(DataUK2!$X98*DataUK2!$E98)</f>
        <v>147.88304995125685</v>
      </c>
      <c r="AL98" s="154">
        <f>1000*(DataUK1!$AU98)/(DataUK2!$Y98*DataUK2!$E98)</f>
        <v>254.01204006358091</v>
      </c>
      <c r="AM98" s="2136">
        <f>1000*(DataUK1!AQ98+DataUK1!AT98+DataUK1!BK98)/(DataUK2!Z98*DataUK2!E98)</f>
        <v>163.45342876824014</v>
      </c>
      <c r="AN98" s="303">
        <f t="shared" si="51"/>
        <v>1</v>
      </c>
      <c r="AO98" s="547"/>
      <c r="AP98" s="306">
        <f t="shared" si="52"/>
        <v>0.71011277965966912</v>
      </c>
      <c r="AQ98" s="547"/>
      <c r="AR98" s="305">
        <f t="shared" si="53"/>
        <v>1.3169916753343924</v>
      </c>
      <c r="AS98" s="306">
        <f t="shared" si="54"/>
        <v>1.15370271084967</v>
      </c>
      <c r="AT98" s="306">
        <f t="shared" si="55"/>
        <v>0.86320202826162373</v>
      </c>
      <c r="AU98" s="306">
        <f t="shared" si="56"/>
        <v>1.4826831625262429</v>
      </c>
      <c r="AV98" s="2137">
        <f t="shared" si="57"/>
        <v>0.9540872418141696</v>
      </c>
      <c r="AW98" s="2133">
        <f t="shared" si="43"/>
        <v>1</v>
      </c>
    </row>
    <row r="99" spans="1:49">
      <c r="A99" s="110">
        <f t="shared" si="59"/>
        <v>1940</v>
      </c>
      <c r="B99" s="519">
        <v>48226</v>
      </c>
      <c r="C99" s="386">
        <f>(4/3)*D99/B99</f>
        <v>0.28283498527765105</v>
      </c>
      <c r="D99" s="352">
        <v>10230</v>
      </c>
      <c r="E99" s="542">
        <v>20800</v>
      </c>
      <c r="F99" s="522">
        <f t="shared" si="44"/>
        <v>0.6013994101659631</v>
      </c>
      <c r="G99" s="1156"/>
      <c r="H99" s="350"/>
      <c r="I99" s="350"/>
      <c r="J99" s="350"/>
      <c r="K99" s="350"/>
      <c r="L99" s="350"/>
      <c r="M99" s="2126"/>
      <c r="N99" s="350"/>
      <c r="O99" s="1133"/>
      <c r="P99" s="352"/>
      <c r="Q99" s="2134"/>
      <c r="R99" s="303">
        <f t="shared" si="46"/>
        <v>0.86378043947834893</v>
      </c>
      <c r="S99" s="203">
        <f t="shared" si="47"/>
        <v>2.5798868887913627E-2</v>
      </c>
      <c r="T99" s="203">
        <f t="shared" si="45"/>
        <v>0.83798157059043532</v>
      </c>
      <c r="U99" s="203">
        <f t="shared" si="48"/>
        <v>0.57884743874693068</v>
      </c>
      <c r="V99" s="307">
        <f>0.3*R99</f>
        <v>0.25913413184350464</v>
      </c>
      <c r="W99" s="29">
        <f t="shared" ref="W99:W109" si="67">W98+(W$110-W$97)/13</f>
        <v>0.13621956052165105</v>
      </c>
      <c r="X99" s="2055">
        <f t="shared" si="49"/>
        <v>3.2176117377060817E-2</v>
      </c>
      <c r="Y99" s="2058">
        <f t="shared" si="39"/>
        <v>0.10404344314459023</v>
      </c>
      <c r="Z99" s="203">
        <f t="shared" si="62"/>
        <v>5.7974986264974444E-2</v>
      </c>
      <c r="AA99" s="29">
        <f t="shared" si="66"/>
        <v>0.55500000000000005</v>
      </c>
      <c r="AB99" s="203"/>
      <c r="AC99" s="1155">
        <f t="shared" si="50"/>
        <v>0.1523573471304861</v>
      </c>
      <c r="AD99" s="177">
        <f>1000*(DataUK1!$AO99+DataUK1!$BI99)/DataUK2!$E99</f>
        <v>219.32852564102564</v>
      </c>
      <c r="AE99" s="176">
        <f>1000*DataUK1!$BI99/(R99*DataUK2!$E99)</f>
        <v>213.89650302360948</v>
      </c>
      <c r="AF99" s="546"/>
      <c r="AG99" s="154">
        <f>1000*(DataUK1!$BK99)/(DataUK2!$S99*DataUK2!$E99)</f>
        <v>163.99049311620328</v>
      </c>
      <c r="AH99" s="546"/>
      <c r="AI99" s="176">
        <f>1000*DataUK1!$AO99/(W99*DataUK2!$E99)</f>
        <v>253.77346780469014</v>
      </c>
      <c r="AJ99" s="154">
        <f>1000*(DataUK1!$AQ99+DataUK1!$AT99)/(DataUK2!$X99*DataUK2!$E99)</f>
        <v>312.2836980399772</v>
      </c>
      <c r="AK99" s="154">
        <f>1000*(DataUK1!$AT99)/(DataUK2!$X99*DataUK2!$E99)</f>
        <v>259.9873849710815</v>
      </c>
      <c r="AL99" s="154">
        <f>1000*(DataUK1!$AU99)/(DataUK2!$Y99*DataUK2!$E99)</f>
        <v>285.10649630498989</v>
      </c>
      <c r="AM99" s="2136">
        <f>1000*(DataUK1!AQ99+DataUK1!AT99+DataUK1!BK99)/(DataUK2!Z99*DataUK2!E99)</f>
        <v>246.29322184889782</v>
      </c>
      <c r="AN99" s="303">
        <f t="shared" si="51"/>
        <v>1</v>
      </c>
      <c r="AO99" s="547"/>
      <c r="AP99" s="306">
        <f t="shared" si="52"/>
        <v>0.76668150623342513</v>
      </c>
      <c r="AQ99" s="547"/>
      <c r="AR99" s="305">
        <f t="shared" si="53"/>
        <v>1.1864311207401044</v>
      </c>
      <c r="AS99" s="306">
        <f t="shared" si="54"/>
        <v>1.4599757061269389</v>
      </c>
      <c r="AT99" s="306">
        <f t="shared" si="55"/>
        <v>1.2154821668233846</v>
      </c>
      <c r="AU99" s="306">
        <f t="shared" si="56"/>
        <v>1.3329179873198786</v>
      </c>
      <c r="AV99" s="2137">
        <f t="shared" si="57"/>
        <v>1.1514597871743253</v>
      </c>
      <c r="AW99" s="2133">
        <f t="shared" si="43"/>
        <v>1</v>
      </c>
    </row>
    <row r="100" spans="1:49">
      <c r="A100" s="110">
        <f t="shared" si="59"/>
        <v>1941</v>
      </c>
      <c r="B100" s="519">
        <v>48216</v>
      </c>
      <c r="C100" s="386">
        <f t="shared" ref="C100:C108" si="68">C99+(C$109-C$99)/10</f>
        <v>0.28345148674988596</v>
      </c>
      <c r="D100" s="521"/>
      <c r="E100" s="542">
        <v>20600</v>
      </c>
      <c r="F100" s="522">
        <f t="shared" si="44"/>
        <v>0.5962528153483444</v>
      </c>
      <c r="G100" s="1156"/>
      <c r="H100" s="350"/>
      <c r="I100" s="350"/>
      <c r="J100" s="350"/>
      <c r="K100" s="350"/>
      <c r="L100" s="350"/>
      <c r="M100" s="2126"/>
      <c r="N100" s="350"/>
      <c r="O100" s="1133"/>
      <c r="P100" s="352"/>
      <c r="Q100" s="2134"/>
      <c r="R100" s="303">
        <f t="shared" si="46"/>
        <v>0.86672861319742533</v>
      </c>
      <c r="S100" s="203">
        <f t="shared" si="47"/>
        <v>2.5210339486087072E-2</v>
      </c>
      <c r="T100" s="203">
        <f t="shared" si="45"/>
        <v>0.84151827371133825</v>
      </c>
      <c r="U100" s="203">
        <f t="shared" si="48"/>
        <v>0.49482682843236808</v>
      </c>
      <c r="V100" s="307">
        <f>0.4*R100</f>
        <v>0.34669144527897017</v>
      </c>
      <c r="W100" s="29">
        <f t="shared" si="67"/>
        <v>0.13327138680257469</v>
      </c>
      <c r="X100" s="2055">
        <f t="shared" si="49"/>
        <v>3.2085886618656287E-2</v>
      </c>
      <c r="Y100" s="2058">
        <f t="shared" si="39"/>
        <v>0.10118550018391841</v>
      </c>
      <c r="Z100" s="203">
        <f t="shared" si="62"/>
        <v>5.7296226104743359E-2</v>
      </c>
      <c r="AA100" s="29">
        <f t="shared" si="66"/>
        <v>0.56000000000000005</v>
      </c>
      <c r="AB100" s="203"/>
      <c r="AC100" s="1155">
        <f t="shared" si="50"/>
        <v>0.16977081735680297</v>
      </c>
      <c r="AD100" s="177">
        <f>1000*(DataUK1!$AO100+DataUK1!$BI100)/DataUK2!$E100</f>
        <v>256.72572815533982</v>
      </c>
      <c r="AE100" s="176">
        <f>1000*DataUK1!$BI100/(R100*DataUK2!$E100)</f>
        <v>253.99603487858539</v>
      </c>
      <c r="AF100" s="546"/>
      <c r="AG100" s="154">
        <f>1000*(DataUK1!$BK100)/(DataUK2!$S100*DataUK2!$E100)</f>
        <v>213.7356983049275</v>
      </c>
      <c r="AH100" s="546"/>
      <c r="AI100" s="176">
        <f>1000*DataUK1!$AO100/(W100*DataUK2!$E100)</f>
        <v>274.47825047073002</v>
      </c>
      <c r="AJ100" s="154">
        <f>1000*(DataUK1!$AQ100+DataUK1!$AT100)/(DataUK2!$X100*DataUK2!$E100)</f>
        <v>382.77120230541368</v>
      </c>
      <c r="AK100" s="154">
        <f>1000*(DataUK1!$AT100)/(DataUK2!$X100*DataUK2!$E100)</f>
        <v>329.81866443707582</v>
      </c>
      <c r="AL100" s="154">
        <f>1000*(DataUK1!$AU100)/(DataUK2!$Y100*DataUK2!$E100)</f>
        <v>323.35113768743071</v>
      </c>
      <c r="AM100" s="2136">
        <f>1000*(DataUK1!AQ100+DataUK1!AT100+DataUK1!BK100)/(DataUK2!Z100*DataUK2!E100)</f>
        <v>308.39558054519978</v>
      </c>
      <c r="AN100" s="303">
        <f t="shared" si="51"/>
        <v>1</v>
      </c>
      <c r="AO100" s="547"/>
      <c r="AP100" s="306">
        <f t="shared" si="52"/>
        <v>0.8414922634800065</v>
      </c>
      <c r="AQ100" s="547"/>
      <c r="AR100" s="305">
        <f t="shared" si="53"/>
        <v>1.0806399029100415</v>
      </c>
      <c r="AS100" s="306">
        <f t="shared" si="54"/>
        <v>1.506996762718698</v>
      </c>
      <c r="AT100" s="306">
        <f t="shared" si="55"/>
        <v>1.2985189496943721</v>
      </c>
      <c r="AU100" s="306">
        <f t="shared" si="56"/>
        <v>1.2730558484584151</v>
      </c>
      <c r="AV100" s="2137">
        <f t="shared" si="57"/>
        <v>1.2141747830536738</v>
      </c>
      <c r="AW100" s="2133">
        <f t="shared" si="43"/>
        <v>1</v>
      </c>
    </row>
    <row r="101" spans="1:49">
      <c r="A101" s="110">
        <f t="shared" si="59"/>
        <v>1942</v>
      </c>
      <c r="B101" s="519">
        <v>48400</v>
      </c>
      <c r="C101" s="386">
        <f t="shared" si="68"/>
        <v>0.28406798822212087</v>
      </c>
      <c r="D101" s="521"/>
      <c r="E101" s="542">
        <v>20700</v>
      </c>
      <c r="F101" s="522">
        <f t="shared" si="44"/>
        <v>0.5973834713035775</v>
      </c>
      <c r="G101" s="1156"/>
      <c r="H101" s="350"/>
      <c r="I101" s="350"/>
      <c r="J101" s="350"/>
      <c r="K101" s="350"/>
      <c r="L101" s="350"/>
      <c r="M101" s="2126"/>
      <c r="N101" s="350"/>
      <c r="O101" s="1133"/>
      <c r="P101" s="352"/>
      <c r="Q101" s="2134"/>
      <c r="R101" s="303">
        <f t="shared" si="46"/>
        <v>0.86967678691650163</v>
      </c>
      <c r="S101" s="203">
        <f t="shared" si="47"/>
        <v>2.4628597685862834E-2</v>
      </c>
      <c r="T101" s="203">
        <f t="shared" si="45"/>
        <v>0.84504818923063885</v>
      </c>
      <c r="U101" s="203">
        <f t="shared" si="48"/>
        <v>0.49717747446403815</v>
      </c>
      <c r="V101" s="307">
        <f>0.4*R101</f>
        <v>0.3478707147666007</v>
      </c>
      <c r="W101" s="29">
        <f t="shared" si="67"/>
        <v>0.13032321308349834</v>
      </c>
      <c r="X101" s="2055">
        <f t="shared" si="49"/>
        <v>3.1988868258649439E-2</v>
      </c>
      <c r="Y101" s="2058">
        <f t="shared" si="39"/>
        <v>9.8334344824848902E-2</v>
      </c>
      <c r="Z101" s="203">
        <f t="shared" si="62"/>
        <v>5.6617465944512273E-2</v>
      </c>
      <c r="AA101" s="29">
        <f t="shared" si="66"/>
        <v>0.56500000000000006</v>
      </c>
      <c r="AB101" s="203"/>
      <c r="AC101" s="1155">
        <f t="shared" si="50"/>
        <v>0.16512576516494998</v>
      </c>
      <c r="AD101" s="177">
        <f>1000*(DataUK1!$AO101+DataUK1!$BI101)/DataUK2!$E101</f>
        <v>281.64573268921094</v>
      </c>
      <c r="AE101" s="176">
        <f>1000*DataUK1!$BI101/(R101*DataUK2!$E101)</f>
        <v>280.0751760785343</v>
      </c>
      <c r="AF101" s="546"/>
      <c r="AG101" s="154">
        <f>1000*(DataUK1!$BK101)/(DataUK2!$S101*DataUK2!$E101)</f>
        <v>258.91898822413589</v>
      </c>
      <c r="AH101" s="546"/>
      <c r="AI101" s="176">
        <f>1000*DataUK1!$AO101/(W101*DataUK2!$E101)</f>
        <v>292.12641832093061</v>
      </c>
      <c r="AJ101" s="154">
        <f>1000*(DataUK1!$AQ101+DataUK1!$AT101)/(DataUK2!$X101*DataUK2!$E101)</f>
        <v>409.26072575492418</v>
      </c>
      <c r="AK101" s="154">
        <f>1000*(DataUK1!$AT101)/(DataUK2!$X101*DataUK2!$E101)</f>
        <v>356.40417445816274</v>
      </c>
      <c r="AL101" s="154">
        <f>1000*(DataUK1!$AU101)/(DataUK2!$Y101*DataUK2!$E101)</f>
        <v>350.27888278298059</v>
      </c>
      <c r="AM101" s="2136">
        <f>1000*(DataUK1!AQ101+DataUK1!AT101+DataUK1!BK101)/(DataUK2!Z101*DataUK2!E101)</f>
        <v>343.86206992903124</v>
      </c>
      <c r="AN101" s="303">
        <f t="shared" si="51"/>
        <v>1</v>
      </c>
      <c r="AO101" s="547"/>
      <c r="AP101" s="306">
        <f t="shared" si="52"/>
        <v>0.92446246700397994</v>
      </c>
      <c r="AQ101" s="547"/>
      <c r="AR101" s="305">
        <f t="shared" si="53"/>
        <v>1.0430285982896859</v>
      </c>
      <c r="AS101" s="306">
        <f t="shared" si="54"/>
        <v>1.4612531231263626</v>
      </c>
      <c r="AT101" s="306">
        <f t="shared" si="55"/>
        <v>1.2725303950473121</v>
      </c>
      <c r="AU101" s="306">
        <f t="shared" si="56"/>
        <v>1.2506602251845442</v>
      </c>
      <c r="AV101" s="2137">
        <f t="shared" si="57"/>
        <v>1.2277491877131261</v>
      </c>
      <c r="AW101" s="2133">
        <f t="shared" si="43"/>
        <v>1</v>
      </c>
    </row>
    <row r="102" spans="1:49">
      <c r="A102" s="110">
        <f t="shared" si="59"/>
        <v>1943</v>
      </c>
      <c r="B102" s="519">
        <v>48789</v>
      </c>
      <c r="C102" s="386">
        <f t="shared" si="68"/>
        <v>0.28468448969435578</v>
      </c>
      <c r="D102" s="521"/>
      <c r="E102" s="542">
        <v>20200</v>
      </c>
      <c r="F102" s="522">
        <f t="shared" si="44"/>
        <v>0.57880438239112186</v>
      </c>
      <c r="G102" s="1156"/>
      <c r="H102" s="350"/>
      <c r="I102" s="350"/>
      <c r="J102" s="350"/>
      <c r="K102" s="350"/>
      <c r="L102" s="350"/>
      <c r="M102" s="2126"/>
      <c r="N102" s="350"/>
      <c r="O102" s="1133"/>
      <c r="P102" s="352"/>
      <c r="Q102" s="2134"/>
      <c r="R102" s="303">
        <f t="shared" si="46"/>
        <v>0.87262496063557804</v>
      </c>
      <c r="S102" s="203">
        <f t="shared" si="47"/>
        <v>2.4053643487240907E-2</v>
      </c>
      <c r="T102" s="203">
        <f t="shared" si="45"/>
        <v>0.84857131714833711</v>
      </c>
      <c r="U102" s="203">
        <f t="shared" si="48"/>
        <v>0.49952133289410589</v>
      </c>
      <c r="V102" s="307">
        <f>0.4*R102</f>
        <v>0.34904998425423123</v>
      </c>
      <c r="W102" s="29">
        <f t="shared" si="67"/>
        <v>0.12737503936442199</v>
      </c>
      <c r="X102" s="2055">
        <f t="shared" si="49"/>
        <v>3.188506229704028E-2</v>
      </c>
      <c r="Y102" s="2058">
        <f t="shared" si="39"/>
        <v>9.5489977067381715E-2</v>
      </c>
      <c r="Z102" s="203">
        <f t="shared" si="62"/>
        <v>5.5938705784281187E-2</v>
      </c>
      <c r="AA102" s="29">
        <f t="shared" si="66"/>
        <v>0.57000000000000006</v>
      </c>
      <c r="AB102" s="203"/>
      <c r="AC102" s="1155">
        <f t="shared" si="50"/>
        <v>0.16048430587573598</v>
      </c>
      <c r="AD102" s="177">
        <f>1000*(DataUK1!$AO102+DataUK1!$BI102)/DataUK2!$E102</f>
        <v>311.61303630363034</v>
      </c>
      <c r="AE102" s="176">
        <f>1000*DataUK1!$BI102/(R102*DataUK2!$E102)</f>
        <v>310.4324324067087</v>
      </c>
      <c r="AF102" s="546"/>
      <c r="AG102" s="154">
        <f>1000*(DataUK1!$BK102)/(DataUK2!$S102*DataUK2!$E102)</f>
        <v>306.65780956116072</v>
      </c>
      <c r="AH102" s="546"/>
      <c r="AI102" s="176">
        <f>1000*DataUK1!$AO102/(W102*DataUK2!$E102)</f>
        <v>319.70115493517795</v>
      </c>
      <c r="AJ102" s="154">
        <f>1000*(DataUK1!$AQ102+DataUK1!$AT102)/(DataUK2!$X102*DataUK2!$E102)</f>
        <v>444.04541881351156</v>
      </c>
      <c r="AK102" s="154">
        <f>1000*(DataUK1!$AT102)/(DataUK2!$X102*DataUK2!$E102)</f>
        <v>389.70419623143846</v>
      </c>
      <c r="AL102" s="154">
        <f>1000*(DataUK1!$AU102)/(DataUK2!$Y102*DataUK2!$E102)</f>
        <v>376.38080103469662</v>
      </c>
      <c r="AM102" s="2136">
        <f>1000*(DataUK1!AQ102+DataUK1!AT102+DataUK1!BK102)/(DataUK2!Z102*DataUK2!E102)</f>
        <v>384.96874683500067</v>
      </c>
      <c r="AN102" s="303">
        <f t="shared" si="51"/>
        <v>1</v>
      </c>
      <c r="AO102" s="547"/>
      <c r="AP102" s="306">
        <f t="shared" si="52"/>
        <v>0.98784075872393795</v>
      </c>
      <c r="AQ102" s="547"/>
      <c r="AR102" s="305">
        <f t="shared" si="53"/>
        <v>1.0298574554746456</v>
      </c>
      <c r="AS102" s="306">
        <f t="shared" si="54"/>
        <v>1.4304092371113843</v>
      </c>
      <c r="AT102" s="306">
        <f t="shared" si="55"/>
        <v>1.2553591556467043</v>
      </c>
      <c r="AU102" s="306">
        <f t="shared" si="56"/>
        <v>1.2124403307885905</v>
      </c>
      <c r="AV102" s="2137">
        <f t="shared" si="57"/>
        <v>1.2401047914047822</v>
      </c>
      <c r="AW102" s="2133">
        <f t="shared" si="43"/>
        <v>1</v>
      </c>
    </row>
    <row r="103" spans="1:49">
      <c r="A103" s="110">
        <f t="shared" si="59"/>
        <v>1944</v>
      </c>
      <c r="B103" s="519">
        <v>49016</v>
      </c>
      <c r="C103" s="386">
        <f t="shared" si="68"/>
        <v>0.28530099116659069</v>
      </c>
      <c r="D103" s="521"/>
      <c r="E103" s="542">
        <v>19700</v>
      </c>
      <c r="F103" s="522">
        <f t="shared" si="44"/>
        <v>0.56234803123787469</v>
      </c>
      <c r="G103" s="1156"/>
      <c r="H103" s="350"/>
      <c r="I103" s="350"/>
      <c r="J103" s="350"/>
      <c r="K103" s="350"/>
      <c r="L103" s="350"/>
      <c r="M103" s="2126"/>
      <c r="N103" s="350"/>
      <c r="O103" s="1133"/>
      <c r="P103" s="352"/>
      <c r="Q103" s="2134"/>
      <c r="R103" s="303">
        <f t="shared" si="46"/>
        <v>0.87557313435465434</v>
      </c>
      <c r="S103" s="203">
        <f t="shared" si="47"/>
        <v>2.3485476890221291E-2</v>
      </c>
      <c r="T103" s="203">
        <f t="shared" si="45"/>
        <v>0.85208765746443305</v>
      </c>
      <c r="U103" s="203">
        <f t="shared" si="48"/>
        <v>0.50185840372257129</v>
      </c>
      <c r="V103" s="307">
        <f>0.4*R103</f>
        <v>0.35022925374186176</v>
      </c>
      <c r="W103" s="29">
        <f t="shared" si="67"/>
        <v>0.12442686564534562</v>
      </c>
      <c r="X103" s="2055">
        <f t="shared" si="49"/>
        <v>3.177446873382881E-2</v>
      </c>
      <c r="Y103" s="2058">
        <f t="shared" si="39"/>
        <v>9.2652396911516804E-2</v>
      </c>
      <c r="Z103" s="203">
        <f t="shared" si="62"/>
        <v>5.5259945624050101E-2</v>
      </c>
      <c r="AA103" s="29">
        <f t="shared" si="66"/>
        <v>0.57500000000000007</v>
      </c>
      <c r="AB103" s="203"/>
      <c r="AC103" s="1155">
        <f t="shared" si="50"/>
        <v>0.15584644856358609</v>
      </c>
      <c r="AD103" s="177">
        <f>1000*(DataUK1!$AO103+DataUK1!$BI103)/DataUK2!$E103</f>
        <v>335.43654822335026</v>
      </c>
      <c r="AE103" s="176">
        <f>1000*DataUK1!$BI103/(R103*DataUK2!$E103)</f>
        <v>333.41467726201995</v>
      </c>
      <c r="AF103" s="546"/>
      <c r="AG103" s="154">
        <f>1000*(DataUK1!$BK103)/(DataUK2!$S103*DataUK2!$E103)</f>
        <v>350.14619001545947</v>
      </c>
      <c r="AH103" s="546"/>
      <c r="AI103" s="176">
        <f>1000*DataUK1!$AO103/(W103*DataUK2!$E103)</f>
        <v>349.66415000123754</v>
      </c>
      <c r="AJ103" s="154">
        <f>1000*(DataUK1!$AQ103+DataUK1!$AT103)/(DataUK2!$X103*DataUK2!$E103)</f>
        <v>431.33950943933405</v>
      </c>
      <c r="AK103" s="154">
        <f>1000*(DataUK1!$AT103)/(DataUK2!$X103*DataUK2!$E103)</f>
        <v>375.42512858608706</v>
      </c>
      <c r="AL103" s="154">
        <f>1000*(DataUK1!$AU103)/(DataUK2!$Y103*DataUK2!$E103)</f>
        <v>414.18933343316843</v>
      </c>
      <c r="AM103" s="2136">
        <f>1000*(DataUK1!AQ103+DataUK1!AT103+DataUK1!BK103)/(DataUK2!Z103*DataUK2!E103)</f>
        <v>396.83234868418737</v>
      </c>
      <c r="AN103" s="303">
        <f t="shared" si="51"/>
        <v>1</v>
      </c>
      <c r="AO103" s="547"/>
      <c r="AP103" s="306">
        <f t="shared" si="52"/>
        <v>1.0501822921859278</v>
      </c>
      <c r="AQ103" s="547"/>
      <c r="AR103" s="305">
        <f t="shared" si="53"/>
        <v>1.0487365249564213</v>
      </c>
      <c r="AS103" s="306">
        <f t="shared" si="54"/>
        <v>1.2937028237073023</v>
      </c>
      <c r="AT103" s="306">
        <f t="shared" si="55"/>
        <v>1.1260006058193186</v>
      </c>
      <c r="AU103" s="306">
        <f t="shared" si="56"/>
        <v>1.2422648481898422</v>
      </c>
      <c r="AV103" s="2137">
        <f t="shared" si="57"/>
        <v>1.1902065978107181</v>
      </c>
      <c r="AW103" s="2133">
        <f t="shared" si="43"/>
        <v>1</v>
      </c>
    </row>
    <row r="104" spans="1:49">
      <c r="A104" s="110">
        <f t="shared" si="59"/>
        <v>1945</v>
      </c>
      <c r="B104" s="519">
        <v>49182</v>
      </c>
      <c r="C104" s="386">
        <f t="shared" si="68"/>
        <v>0.2859174926388256</v>
      </c>
      <c r="D104" s="521"/>
      <c r="E104" s="542">
        <v>19100</v>
      </c>
      <c r="F104" s="522">
        <f t="shared" si="44"/>
        <v>0.54384956730568956</v>
      </c>
      <c r="G104" s="1156"/>
      <c r="H104" s="350"/>
      <c r="I104" s="350"/>
      <c r="J104" s="350"/>
      <c r="K104" s="350"/>
      <c r="L104" s="350"/>
      <c r="M104" s="2126"/>
      <c r="N104" s="350"/>
      <c r="O104" s="1133"/>
      <c r="P104" s="352"/>
      <c r="Q104" s="2134"/>
      <c r="R104" s="303">
        <f t="shared" si="46"/>
        <v>0.87852130807373074</v>
      </c>
      <c r="S104" s="203">
        <f t="shared" si="47"/>
        <v>2.2924097894803985E-2</v>
      </c>
      <c r="T104" s="203">
        <f t="shared" si="45"/>
        <v>0.85559721017892676</v>
      </c>
      <c r="U104" s="203">
        <f t="shared" si="48"/>
        <v>0.50418868694943442</v>
      </c>
      <c r="V104" s="307">
        <f>0.4*R104</f>
        <v>0.35140852322949234</v>
      </c>
      <c r="W104" s="29">
        <f t="shared" si="67"/>
        <v>0.12147869192626926</v>
      </c>
      <c r="X104" s="2055">
        <f t="shared" si="49"/>
        <v>3.165708756901503E-2</v>
      </c>
      <c r="Y104" s="2058">
        <f t="shared" si="39"/>
        <v>8.9821604357254226E-2</v>
      </c>
      <c r="Z104" s="203">
        <f t="shared" si="62"/>
        <v>5.4581185463819015E-2</v>
      </c>
      <c r="AA104" s="29">
        <f t="shared" si="66"/>
        <v>0.58000000000000007</v>
      </c>
      <c r="AB104" s="203"/>
      <c r="AC104" s="1155">
        <f t="shared" si="50"/>
        <v>0.15121220233350999</v>
      </c>
      <c r="AD104" s="177">
        <f>1000*(DataUK1!$AO104+DataUK1!$BI104)/DataUK2!$E104</f>
        <v>355.00610820244327</v>
      </c>
      <c r="AE104" s="176">
        <f>1000*DataUK1!$BI104/(R104*DataUK2!$E104)</f>
        <v>350.95859883681561</v>
      </c>
      <c r="AF104" s="546"/>
      <c r="AG104" s="154">
        <f>1000*(DataUK1!$BK104)/(DataUK2!$S104*DataUK2!$E104)</f>
        <v>399.68000952387354</v>
      </c>
      <c r="AH104" s="546"/>
      <c r="AI104" s="176">
        <f>1000*DataUK1!$AO104/(W104*DataUK2!$E104)</f>
        <v>384.27727638797256</v>
      </c>
      <c r="AJ104" s="154">
        <f>1000*(DataUK1!$AQ104+DataUK1!$AT104)/(DataUK2!$X104*DataUK2!$E104)</f>
        <v>433.30825860105455</v>
      </c>
      <c r="AK104" s="154">
        <f>1000*(DataUK1!$AT104)/(DataUK2!$X104*DataUK2!$E104)</f>
        <v>375.42356756656255</v>
      </c>
      <c r="AL104" s="154">
        <f>1000*(DataUK1!$AU104)/(DataUK2!$Y104*DataUK2!$E104)</f>
        <v>493.70694339683581</v>
      </c>
      <c r="AM104" s="2136">
        <f>1000*(DataUK1!AQ104+DataUK1!AT104+DataUK1!BK104)/(DataUK2!Z104*DataUK2!E104)</f>
        <v>419.18439398863853</v>
      </c>
      <c r="AN104" s="303">
        <f t="shared" si="51"/>
        <v>1</v>
      </c>
      <c r="AO104" s="547"/>
      <c r="AP104" s="306">
        <f t="shared" si="52"/>
        <v>1.1388238124056103</v>
      </c>
      <c r="AQ104" s="547"/>
      <c r="AR104" s="305">
        <f t="shared" si="53"/>
        <v>1.0949362051865528</v>
      </c>
      <c r="AS104" s="306">
        <f t="shared" si="54"/>
        <v>1.23464209179422</v>
      </c>
      <c r="AT104" s="306">
        <f t="shared" si="55"/>
        <v>1.0697089879285799</v>
      </c>
      <c r="AU104" s="306">
        <f t="shared" si="56"/>
        <v>1.4067384159645382</v>
      </c>
      <c r="AV104" s="2137">
        <f t="shared" si="57"/>
        <v>1.194398414451004</v>
      </c>
      <c r="AW104" s="2133">
        <f t="shared" si="43"/>
        <v>1</v>
      </c>
    </row>
    <row r="105" spans="1:49">
      <c r="A105" s="110">
        <f t="shared" si="59"/>
        <v>1946</v>
      </c>
      <c r="B105" s="2">
        <v>48939</v>
      </c>
      <c r="C105" s="386">
        <f t="shared" si="68"/>
        <v>0.28653399411106051</v>
      </c>
      <c r="D105" s="521"/>
      <c r="E105" s="542">
        <v>20300</v>
      </c>
      <c r="F105" s="522">
        <f t="shared" si="44"/>
        <v>0.58139013933447825</v>
      </c>
      <c r="G105" s="1156"/>
      <c r="H105" s="350"/>
      <c r="I105" s="350"/>
      <c r="J105" s="350"/>
      <c r="K105" s="350"/>
      <c r="L105" s="350"/>
      <c r="M105" s="2126"/>
      <c r="N105" s="350"/>
      <c r="O105" s="1133"/>
      <c r="P105" s="352"/>
      <c r="Q105" s="2134"/>
      <c r="R105" s="303">
        <f t="shared" si="46"/>
        <v>0.88146948179280715</v>
      </c>
      <c r="S105" s="203">
        <f t="shared" si="47"/>
        <v>2.2369506500988984E-2</v>
      </c>
      <c r="T105" s="203">
        <f t="shared" si="45"/>
        <v>0.85909997529181814</v>
      </c>
      <c r="U105" s="203">
        <f t="shared" si="48"/>
        <v>0.68280607893325673</v>
      </c>
      <c r="V105" s="307">
        <f t="shared" ref="V105:V136" si="69">0.2*R105</f>
        <v>0.17629389635856144</v>
      </c>
      <c r="W105" s="29">
        <f t="shared" si="67"/>
        <v>0.11853051820719289</v>
      </c>
      <c r="X105" s="2055">
        <f t="shared" si="49"/>
        <v>3.1532918802598946E-2</v>
      </c>
      <c r="Y105" s="2058">
        <f t="shared" si="39"/>
        <v>8.699759940459395E-2</v>
      </c>
      <c r="Z105" s="203">
        <f t="shared" si="62"/>
        <v>5.3902425303587929E-2</v>
      </c>
      <c r="AA105" s="29">
        <f t="shared" si="66"/>
        <v>0.58500000000000008</v>
      </c>
      <c r="AB105" s="203"/>
      <c r="AC105" s="1155">
        <f t="shared" si="50"/>
        <v>0.11301270941240232</v>
      </c>
      <c r="AD105" s="177">
        <f>1000*(DataUK1!$AO105+DataUK1!$BI105)/DataUK2!$E105</f>
        <v>330.10509031198683</v>
      </c>
      <c r="AE105" s="176">
        <f>1000*DataUK1!$BI105/(R105*DataUK2!$E105)</f>
        <v>322.7369347400259</v>
      </c>
      <c r="AF105" s="546"/>
      <c r="AG105" s="154">
        <f>1000*(DataUK1!$BK105)/(DataUK2!$S105*DataUK2!$E105)</f>
        <v>433.82421052104576</v>
      </c>
      <c r="AH105" s="546"/>
      <c r="AI105" s="176">
        <f>1000*DataUK1!$AO105/(W105*DataUK2!$E105)</f>
        <v>384.89945358670229</v>
      </c>
      <c r="AJ105" s="154">
        <f>1000*(DataUK1!$AQ105+DataUK1!$AT105)/(DataUK2!$X105*DataUK2!$E105)</f>
        <v>418.67264258016121</v>
      </c>
      <c r="AK105" s="154">
        <f>1000*(DataUK1!$AT105)/(DataUK2!$X105*DataUK2!$E105)</f>
        <v>363.99524522827448</v>
      </c>
      <c r="AL105" s="154">
        <f>1000*(DataUK1!$AU105)/(DataUK2!$Y105*DataUK2!$E105)</f>
        <v>505.64783493242356</v>
      </c>
      <c r="AM105" s="2136">
        <f>1000*(DataUK1!AQ105+DataUK1!AT105+DataUK1!BK105)/(DataUK2!Z105*DataUK2!E105)</f>
        <v>424.96054327562825</v>
      </c>
      <c r="AN105" s="303">
        <f t="shared" si="51"/>
        <v>1</v>
      </c>
      <c r="AO105" s="547"/>
      <c r="AP105" s="306">
        <f t="shared" si="52"/>
        <v>1.3442037889791074</v>
      </c>
      <c r="AQ105" s="547"/>
      <c r="AR105" s="305">
        <f t="shared" si="53"/>
        <v>1.1926104890868785</v>
      </c>
      <c r="AS105" s="306">
        <f t="shared" si="54"/>
        <v>1.2972566741312528</v>
      </c>
      <c r="AT105" s="306">
        <f t="shared" si="55"/>
        <v>1.1278388248976938</v>
      </c>
      <c r="AU105" s="306">
        <f t="shared" si="56"/>
        <v>1.5667492019149831</v>
      </c>
      <c r="AV105" s="2137">
        <f t="shared" si="57"/>
        <v>1.3167397267931125</v>
      </c>
      <c r="AW105" s="2133">
        <f t="shared" si="43"/>
        <v>1</v>
      </c>
    </row>
    <row r="106" spans="1:49">
      <c r="A106" s="110">
        <f t="shared" si="59"/>
        <v>1947</v>
      </c>
      <c r="B106" s="2">
        <v>49290</v>
      </c>
      <c r="C106" s="386">
        <f t="shared" si="68"/>
        <v>0.28715049558329542</v>
      </c>
      <c r="D106" s="521"/>
      <c r="E106" s="542">
        <v>21600</v>
      </c>
      <c r="F106" s="522">
        <f t="shared" si="44"/>
        <v>0.61474793841171149</v>
      </c>
      <c r="G106" s="1156"/>
      <c r="H106" s="350"/>
      <c r="I106" s="350"/>
      <c r="J106" s="350"/>
      <c r="K106" s="350"/>
      <c r="L106" s="350"/>
      <c r="M106" s="2126"/>
      <c r="N106" s="350"/>
      <c r="O106" s="1133"/>
      <c r="P106" s="352"/>
      <c r="Q106" s="2134"/>
      <c r="R106" s="303">
        <f t="shared" si="46"/>
        <v>0.88441765551188345</v>
      </c>
      <c r="S106" s="203">
        <f t="shared" si="47"/>
        <v>2.18217027087763E-2</v>
      </c>
      <c r="T106" s="203">
        <f t="shared" si="45"/>
        <v>0.86259595280310719</v>
      </c>
      <c r="U106" s="203">
        <f t="shared" si="48"/>
        <v>0.68571242170073043</v>
      </c>
      <c r="V106" s="309">
        <f t="shared" si="69"/>
        <v>0.1768835311023767</v>
      </c>
      <c r="W106" s="29">
        <f t="shared" si="67"/>
        <v>0.11558234448811652</v>
      </c>
      <c r="X106" s="2055">
        <f t="shared" si="49"/>
        <v>3.1401962434580544E-2</v>
      </c>
      <c r="Y106" s="2058">
        <f t="shared" si="39"/>
        <v>8.4180382053535979E-2</v>
      </c>
      <c r="Z106" s="203">
        <f t="shared" si="62"/>
        <v>5.3223665143356844E-2</v>
      </c>
      <c r="AA106" s="29">
        <f t="shared" si="66"/>
        <v>0.59000000000000008</v>
      </c>
      <c r="AB106" s="203"/>
      <c r="AC106" s="1155">
        <f t="shared" si="50"/>
        <v>0.10934039341976313</v>
      </c>
      <c r="AD106" s="177">
        <f>1000*(DataUK1!$AO106+DataUK1!$BI106)/DataUK2!$E106</f>
        <v>333.6412037037037</v>
      </c>
      <c r="AE106" s="176">
        <f>1000*DataUK1!$BI106/(R106*DataUK2!$E106)</f>
        <v>326.95713938377077</v>
      </c>
      <c r="AF106" s="546"/>
      <c r="AG106" s="546"/>
      <c r="AH106" s="546"/>
      <c r="AI106" s="176">
        <f>1000*DataUK1!$AO106/(W106*DataUK2!$E106)</f>
        <v>384.78659724374808</v>
      </c>
      <c r="AJ106" s="118"/>
      <c r="AK106" s="118"/>
      <c r="AL106" s="118"/>
      <c r="AM106" s="2136"/>
      <c r="AN106" s="303">
        <f t="shared" si="51"/>
        <v>1</v>
      </c>
      <c r="AO106" s="547"/>
      <c r="AP106" s="547"/>
      <c r="AQ106" s="547"/>
      <c r="AR106" s="305">
        <f t="shared" si="53"/>
        <v>1.1768716779482804</v>
      </c>
      <c r="AV106" s="2137"/>
      <c r="AW106" s="2133">
        <f t="shared" si="43"/>
        <v>1</v>
      </c>
    </row>
    <row r="107" spans="1:49">
      <c r="A107" s="110">
        <v>1948</v>
      </c>
      <c r="B107" s="2">
        <v>49732</v>
      </c>
      <c r="C107" s="386">
        <f t="shared" si="68"/>
        <v>0.28776699705553033</v>
      </c>
      <c r="D107" s="521"/>
      <c r="E107" s="542">
        <v>22124</v>
      </c>
      <c r="F107" s="522">
        <f t="shared" si="44"/>
        <v>0.62460525100528741</v>
      </c>
      <c r="G107" s="1156"/>
      <c r="H107" s="154">
        <f t="shared" ref="H107:H136" si="70">I107+J107</f>
        <v>1437</v>
      </c>
      <c r="I107" s="352">
        <v>1013</v>
      </c>
      <c r="J107" s="352">
        <v>424</v>
      </c>
      <c r="K107" s="352"/>
      <c r="L107" s="350"/>
      <c r="M107" s="2126"/>
      <c r="N107" s="350"/>
      <c r="O107" s="1133"/>
      <c r="P107" s="352"/>
      <c r="Q107" s="2134"/>
      <c r="R107" s="303">
        <f t="shared" si="46"/>
        <v>0.88736582923095986</v>
      </c>
      <c r="S107" s="203">
        <f t="shared" si="47"/>
        <v>2.1280686518165927E-2</v>
      </c>
      <c r="T107" s="203">
        <f t="shared" si="45"/>
        <v>0.86608514271279391</v>
      </c>
      <c r="U107" s="203">
        <f t="shared" si="48"/>
        <v>0.68861197686660192</v>
      </c>
      <c r="V107" s="309">
        <f t="shared" si="69"/>
        <v>0.17747316584619199</v>
      </c>
      <c r="W107" s="29">
        <f t="shared" si="67"/>
        <v>0.11263417076904016</v>
      </c>
      <c r="X107" s="2055">
        <f t="shared" si="49"/>
        <v>3.1264218464959831E-2</v>
      </c>
      <c r="Y107" s="2058">
        <f t="shared" si="39"/>
        <v>8.1369952304080326E-2</v>
      </c>
      <c r="Z107" s="203">
        <f t="shared" si="62"/>
        <v>5.2544904983125758E-2</v>
      </c>
      <c r="AA107" s="29">
        <f t="shared" si="66"/>
        <v>0.59500000000000008</v>
      </c>
      <c r="AB107" s="203"/>
      <c r="AC107" s="1155">
        <f t="shared" si="50"/>
        <v>0.10567774284225184</v>
      </c>
      <c r="AD107" s="177">
        <f>1000*(DataUK1!$AO107+DataUK1!$BI107)/DataUK2!$E107</f>
        <v>354.27589947568254</v>
      </c>
      <c r="AE107" s="176">
        <f>1000*DataUK1!$BI107/(R107*DataUK2!$E107)</f>
        <v>346.67745054363508</v>
      </c>
      <c r="AF107" s="546"/>
      <c r="AG107" s="546"/>
      <c r="AH107" s="546"/>
      <c r="AI107" s="176">
        <f>1000*DataUK1!$AO107/(W107*DataUK2!$E107)</f>
        <v>414.13876250755334</v>
      </c>
      <c r="AJ107" s="118"/>
      <c r="AK107" s="118"/>
      <c r="AL107" s="118"/>
      <c r="AM107" s="2136"/>
      <c r="AN107" s="303">
        <f t="shared" si="51"/>
        <v>1</v>
      </c>
      <c r="AO107" s="547"/>
      <c r="AP107" s="547"/>
      <c r="AQ107" s="547"/>
      <c r="AR107" s="305">
        <f t="shared" si="53"/>
        <v>1.1945938850598163</v>
      </c>
      <c r="AV107" s="2137"/>
      <c r="AW107" s="2133">
        <f t="shared" si="43"/>
        <v>1</v>
      </c>
    </row>
    <row r="108" spans="1:49">
      <c r="A108" s="110">
        <v>1949</v>
      </c>
      <c r="B108" s="2">
        <v>50028</v>
      </c>
      <c r="C108" s="386">
        <f t="shared" si="68"/>
        <v>0.28838349852776524</v>
      </c>
      <c r="D108" s="521"/>
      <c r="E108" s="542">
        <v>22300</v>
      </c>
      <c r="F108" s="522">
        <f t="shared" si="44"/>
        <v>0.62639129203036192</v>
      </c>
      <c r="G108" s="1156"/>
      <c r="H108" s="154">
        <f t="shared" si="70"/>
        <v>1449</v>
      </c>
      <c r="I108" s="352">
        <v>1029</v>
      </c>
      <c r="J108" s="352">
        <v>420</v>
      </c>
      <c r="K108" s="352"/>
      <c r="L108" s="350"/>
      <c r="M108" s="2126"/>
      <c r="N108" s="350"/>
      <c r="O108" s="1133"/>
      <c r="P108" s="352"/>
      <c r="Q108" s="2134"/>
      <c r="R108" s="303">
        <f t="shared" si="46"/>
        <v>0.89031400295003627</v>
      </c>
      <c r="S108" s="203">
        <f t="shared" si="47"/>
        <v>2.0746457929157865E-2</v>
      </c>
      <c r="T108" s="203">
        <f t="shared" si="45"/>
        <v>0.86956754502087841</v>
      </c>
      <c r="U108" s="203">
        <f t="shared" si="48"/>
        <v>0.69150474443087118</v>
      </c>
      <c r="V108" s="309">
        <f t="shared" si="69"/>
        <v>0.17806280059000726</v>
      </c>
      <c r="W108" s="29">
        <f t="shared" si="67"/>
        <v>0.10968599704996379</v>
      </c>
      <c r="X108" s="2055">
        <f t="shared" si="49"/>
        <v>3.1119686893736807E-2</v>
      </c>
      <c r="Y108" s="2058">
        <f t="shared" si="39"/>
        <v>7.8566310156226976E-2</v>
      </c>
      <c r="Z108" s="203">
        <f t="shared" si="62"/>
        <v>5.1866144822894672E-2</v>
      </c>
      <c r="AA108" s="29">
        <f t="shared" si="66"/>
        <v>0.60000000000000009</v>
      </c>
      <c r="AB108" s="203"/>
      <c r="AC108" s="1155">
        <f t="shared" si="50"/>
        <v>0.10202475432394117</v>
      </c>
      <c r="AD108" s="177">
        <f>1000*(DataUK1!$AO108+DataUK1!$BI108)/DataUK2!$E108</f>
        <v>374.66367713004485</v>
      </c>
      <c r="AE108" s="176">
        <f>1000*DataUK1!$BI108/(R108*DataUK2!$E108)</f>
        <v>366.02191853897102</v>
      </c>
      <c r="AF108" s="546"/>
      <c r="AG108" s="546"/>
      <c r="AH108" s="546"/>
      <c r="AI108" s="176">
        <f>1000*DataUK1!$AO108/(W108*DataUK2!$E108)</f>
        <v>444.80826158636393</v>
      </c>
      <c r="AJ108" s="118"/>
      <c r="AK108" s="118"/>
      <c r="AL108" s="118"/>
      <c r="AM108" s="2136"/>
      <c r="AN108" s="303">
        <f t="shared" si="51"/>
        <v>1</v>
      </c>
      <c r="AO108" s="547"/>
      <c r="AP108" s="547"/>
      <c r="AQ108" s="547"/>
      <c r="AR108" s="305">
        <f t="shared" si="53"/>
        <v>1.2152503417333036</v>
      </c>
      <c r="AV108" s="2137"/>
      <c r="AW108" s="2133">
        <f t="shared" ref="AW108:AW139" si="71">AW107</f>
        <v>1</v>
      </c>
    </row>
    <row r="109" spans="1:49">
      <c r="A109" s="110">
        <f t="shared" ref="A109:A140" si="72">A108+1</f>
        <v>1950</v>
      </c>
      <c r="B109" s="2">
        <v>50280</v>
      </c>
      <c r="C109" s="540">
        <v>0.28899999999999998</v>
      </c>
      <c r="D109" s="352">
        <f>11310</f>
        <v>11310</v>
      </c>
      <c r="E109" s="542">
        <v>22582</v>
      </c>
      <c r="F109" s="522">
        <f t="shared" ref="F109:F140" si="73">E109/((1-C109)*B109)</f>
        <v>0.63168059150053646</v>
      </c>
      <c r="G109" s="1156"/>
      <c r="H109" s="154">
        <f t="shared" si="70"/>
        <v>1423</v>
      </c>
      <c r="I109" s="352">
        <v>1025</v>
      </c>
      <c r="J109" s="352">
        <v>398</v>
      </c>
      <c r="K109" s="352"/>
      <c r="L109" s="350"/>
      <c r="M109" s="542"/>
      <c r="N109" s="350"/>
      <c r="O109" s="1133"/>
      <c r="P109" s="352"/>
      <c r="Q109" s="2134"/>
      <c r="R109" s="303">
        <f t="shared" si="46"/>
        <v>0.89326217666911256</v>
      </c>
      <c r="S109" s="203">
        <f t="shared" si="47"/>
        <v>2.0219016941752113E-2</v>
      </c>
      <c r="T109" s="203">
        <f t="shared" ref="T109:T140" si="74">R109-S109</f>
        <v>0.87304315972736046</v>
      </c>
      <c r="U109" s="203">
        <f t="shared" si="48"/>
        <v>0.69439072439353788</v>
      </c>
      <c r="V109" s="309">
        <f t="shared" si="69"/>
        <v>0.17865243533382252</v>
      </c>
      <c r="W109" s="29">
        <f t="shared" si="67"/>
        <v>0.10673782333088742</v>
      </c>
      <c r="X109" s="2055">
        <f t="shared" si="49"/>
        <v>3.0968367720911473E-2</v>
      </c>
      <c r="Y109" s="2058">
        <f t="shared" si="39"/>
        <v>7.5769455609975944E-2</v>
      </c>
      <c r="Z109" s="203">
        <f t="shared" si="62"/>
        <v>5.1187384662663586E-2</v>
      </c>
      <c r="AA109" s="29">
        <f t="shared" si="66"/>
        <v>0.60500000000000009</v>
      </c>
      <c r="AB109" s="203"/>
      <c r="AC109" s="1155">
        <f t="shared" si="50"/>
        <v>9.8381424510457352E-2</v>
      </c>
      <c r="AD109" s="177">
        <f>1000*(DataUK1!$AO109+DataUK1!$BI109)/DataUK2!$E109</f>
        <v>387.83101585333452</v>
      </c>
      <c r="AE109" s="176">
        <f>1000*DataUK1!$BI109/(R109*DataUK2!$E109)</f>
        <v>379.14604591308319</v>
      </c>
      <c r="AF109" s="546"/>
      <c r="AG109" s="546"/>
      <c r="AH109" s="546"/>
      <c r="AI109" s="176">
        <f>1000*DataUK1!$AO109/(W109*DataUK2!$E109)</f>
        <v>460.51335947847139</v>
      </c>
      <c r="AJ109" s="118"/>
      <c r="AK109" s="118"/>
      <c r="AL109" s="118"/>
      <c r="AM109" s="2136"/>
      <c r="AN109" s="303">
        <f t="shared" si="51"/>
        <v>1</v>
      </c>
      <c r="AO109" s="547"/>
      <c r="AP109" s="547"/>
      <c r="AQ109" s="547"/>
      <c r="AR109" s="305">
        <f t="shared" si="53"/>
        <v>1.2146067839621915</v>
      </c>
      <c r="AV109" s="2137"/>
      <c r="AW109" s="2133">
        <f t="shared" si="71"/>
        <v>1</v>
      </c>
    </row>
    <row r="110" spans="1:49">
      <c r="A110" s="110">
        <f t="shared" si="72"/>
        <v>1951</v>
      </c>
      <c r="B110" s="2">
        <v>50289</v>
      </c>
      <c r="C110" s="540">
        <v>0.28899999999999998</v>
      </c>
      <c r="D110" s="521"/>
      <c r="E110" s="542">
        <v>22751</v>
      </c>
      <c r="F110" s="522">
        <f t="shared" si="73"/>
        <v>0.63629409076018795</v>
      </c>
      <c r="G110" s="2051">
        <f>(16.84+4.95)*1000*21.812/23.31</f>
        <v>20389.681681681686</v>
      </c>
      <c r="H110" s="154">
        <f t="shared" si="70"/>
        <v>1402</v>
      </c>
      <c r="I110" s="352">
        <v>1008</v>
      </c>
      <c r="J110" s="352">
        <v>394</v>
      </c>
      <c r="K110" s="352"/>
      <c r="L110" s="350"/>
      <c r="M110" s="542">
        <f>E110-G110</f>
        <v>2361.3183183183137</v>
      </c>
      <c r="N110" s="350"/>
      <c r="O110" s="1133"/>
      <c r="P110" s="352">
        <f>1025+847+6153+1390+1838+1517+2806+73+117+14+2654+41+1322+217+2560+36</f>
        <v>22610</v>
      </c>
      <c r="Q110" s="352">
        <f>1025+117</f>
        <v>1142</v>
      </c>
      <c r="R110" s="303">
        <f t="shared" si="46"/>
        <v>0.89621035038818897</v>
      </c>
      <c r="S110" s="203">
        <f t="shared" si="47"/>
        <v>1.9698363555948693E-2</v>
      </c>
      <c r="T110" s="203">
        <f t="shared" si="74"/>
        <v>0.8765119868322403</v>
      </c>
      <c r="U110" s="203">
        <f t="shared" si="48"/>
        <v>0.69726991675460248</v>
      </c>
      <c r="V110" s="307">
        <f t="shared" si="69"/>
        <v>0.17924207007763782</v>
      </c>
      <c r="W110" s="307">
        <f>M110/E110</f>
        <v>0.10378964961181107</v>
      </c>
      <c r="X110" s="2055">
        <f t="shared" si="49"/>
        <v>3.0810260946483856E-2</v>
      </c>
      <c r="Y110" s="2057">
        <f t="shared" si="39"/>
        <v>7.2979388665327216E-2</v>
      </c>
      <c r="Z110" s="307">
        <f>Q110/P110</f>
        <v>5.0508624502432549E-2</v>
      </c>
      <c r="AA110" s="307">
        <v>0.61</v>
      </c>
      <c r="AB110" s="307">
        <v>7.0000000000000007E-2</v>
      </c>
      <c r="AC110" s="1155">
        <f t="shared" si="50"/>
        <v>9.4747750048979035E-2</v>
      </c>
      <c r="AD110" s="177">
        <f>1000*(DataUK1!$AO110+DataUK1!$BI110)/DataUK2!$E110</f>
        <v>425.38789503758079</v>
      </c>
      <c r="AE110" s="176">
        <f>1000*DataUK1!$BI110/(R110*DataUK2!$E110)</f>
        <v>417.95650040266486</v>
      </c>
      <c r="AF110" s="546"/>
      <c r="AG110" s="546"/>
      <c r="AH110" s="546"/>
      <c r="AI110" s="176">
        <f>1000*DataUK1!$AO110/(W110*DataUK2!$E110)</f>
        <v>489.5570372838514</v>
      </c>
      <c r="AJ110" s="118"/>
      <c r="AK110" s="118"/>
      <c r="AL110" s="118"/>
      <c r="AM110" s="2136"/>
      <c r="AN110" s="303">
        <f t="shared" si="51"/>
        <v>1</v>
      </c>
      <c r="AO110" s="547"/>
      <c r="AP110" s="547"/>
      <c r="AQ110" s="547"/>
      <c r="AR110" s="305">
        <f t="shared" si="53"/>
        <v>1.171310978085532</v>
      </c>
      <c r="AV110" s="2137"/>
      <c r="AW110" s="2133">
        <f t="shared" si="71"/>
        <v>1</v>
      </c>
    </row>
    <row r="111" spans="1:49">
      <c r="A111" s="110">
        <f t="shared" si="72"/>
        <v>1952</v>
      </c>
      <c r="B111" s="2">
        <v>50451</v>
      </c>
      <c r="C111" s="540">
        <v>0.28999999999999998</v>
      </c>
      <c r="D111" s="521"/>
      <c r="E111" s="542">
        <v>22677</v>
      </c>
      <c r="F111" s="522">
        <f t="shared" si="73"/>
        <v>0.63307836553722052</v>
      </c>
      <c r="G111" s="1156"/>
      <c r="H111" s="154">
        <f t="shared" si="70"/>
        <v>1396</v>
      </c>
      <c r="I111" s="352">
        <v>1009</v>
      </c>
      <c r="J111" s="352">
        <v>387</v>
      </c>
      <c r="K111" s="352"/>
      <c r="L111" s="350"/>
      <c r="M111" s="2126"/>
      <c r="N111" s="350"/>
      <c r="O111" s="1133"/>
      <c r="P111" s="352"/>
      <c r="Q111" s="2134"/>
      <c r="R111" s="303">
        <f t="shared" si="46"/>
        <v>0.89796627717296773</v>
      </c>
      <c r="S111" s="203">
        <f t="shared" si="47"/>
        <v>1.9068039074142663E-2</v>
      </c>
      <c r="T111" s="203">
        <f t="shared" si="74"/>
        <v>0.87889823809882506</v>
      </c>
      <c r="U111" s="203">
        <f t="shared" si="48"/>
        <v>0.69930498266423147</v>
      </c>
      <c r="V111" s="309">
        <f t="shared" si="69"/>
        <v>0.17959325543459356</v>
      </c>
      <c r="W111" s="29">
        <f>W110+(W$119-W$110)/9</f>
        <v>0.10203372282703232</v>
      </c>
      <c r="X111" s="2055">
        <f t="shared" si="49"/>
        <v>3.0829633269408237E-2</v>
      </c>
      <c r="Y111" s="2058">
        <f t="shared" si="39"/>
        <v>7.1204089557624084E-2</v>
      </c>
      <c r="Z111" s="203">
        <f>Z110+(Z$170-Z$110)/60</f>
        <v>4.98976723435509E-2</v>
      </c>
      <c r="AA111" s="29">
        <f>AA110+(AA$124-AA$110)/14</f>
        <v>0.61785714285714288</v>
      </c>
      <c r="AB111" s="203"/>
      <c r="AC111" s="1155">
        <f t="shared" si="50"/>
        <v>9.2411747148282805E-2</v>
      </c>
      <c r="AD111" s="177">
        <f>1000*(DataUK1!$AO111+DataUK1!$BI111)/DataUK2!$E111</f>
        <v>455.70401728623716</v>
      </c>
      <c r="AE111" s="176">
        <f>1000*DataUK1!$BI111/(R111*DataUK2!$E111)</f>
        <v>448.30912616742449</v>
      </c>
      <c r="AF111" s="546"/>
      <c r="AG111" s="546"/>
      <c r="AH111" s="546"/>
      <c r="AI111" s="176">
        <f>1000*DataUK1!$AO111/(W111*DataUK2!$E111)</f>
        <v>520.78409732326929</v>
      </c>
      <c r="AJ111" s="118"/>
      <c r="AK111" s="118"/>
      <c r="AL111" s="118"/>
      <c r="AM111" s="2136"/>
      <c r="AN111" s="303">
        <f t="shared" si="51"/>
        <v>1</v>
      </c>
      <c r="AO111" s="547"/>
      <c r="AP111" s="547"/>
      <c r="AQ111" s="547"/>
      <c r="AR111" s="305">
        <f t="shared" si="53"/>
        <v>1.1616629395333309</v>
      </c>
      <c r="AV111" s="2137"/>
      <c r="AW111" s="2133">
        <f t="shared" si="71"/>
        <v>1</v>
      </c>
    </row>
    <row r="112" spans="1:49">
      <c r="A112" s="110">
        <f t="shared" si="72"/>
        <v>1953</v>
      </c>
      <c r="B112" s="2">
        <v>50593</v>
      </c>
      <c r="C112" s="540">
        <v>0.29100000000000004</v>
      </c>
      <c r="D112" s="521"/>
      <c r="E112" s="542">
        <v>22841</v>
      </c>
      <c r="F112" s="522">
        <f t="shared" si="73"/>
        <v>0.63676391787476694</v>
      </c>
      <c r="G112" s="1156"/>
      <c r="H112" s="154">
        <f t="shared" si="70"/>
        <v>1382</v>
      </c>
      <c r="I112" s="352">
        <v>1013.0000000000001</v>
      </c>
      <c r="J112" s="352">
        <v>369</v>
      </c>
      <c r="K112" s="352"/>
      <c r="L112" s="350"/>
      <c r="M112" s="2126"/>
      <c r="N112" s="350"/>
      <c r="O112" s="1133"/>
      <c r="P112" s="352"/>
      <c r="Q112" s="2134"/>
      <c r="R112" s="303">
        <f t="shared" si="46"/>
        <v>0.89972220395774638</v>
      </c>
      <c r="S112" s="203">
        <f t="shared" si="47"/>
        <v>1.8447315269119059E-2</v>
      </c>
      <c r="T112" s="203">
        <f t="shared" si="74"/>
        <v>0.88127488868862736</v>
      </c>
      <c r="U112" s="203">
        <f t="shared" si="48"/>
        <v>0.7013304478970781</v>
      </c>
      <c r="V112" s="309">
        <f t="shared" si="69"/>
        <v>0.17994444079154928</v>
      </c>
      <c r="W112" s="29">
        <f t="shared" ref="W112:W118" si="75">W111+(W$119-W$110)/9</f>
        <v>0.10027779604225358</v>
      </c>
      <c r="X112" s="2055">
        <f t="shared" si="49"/>
        <v>3.0839404915550192E-2</v>
      </c>
      <c r="Y112" s="2058">
        <f t="shared" si="39"/>
        <v>6.9438391126703386E-2</v>
      </c>
      <c r="Z112" s="203">
        <f t="shared" ref="Z112:Z159" si="76">Z111+(Z$170-Z$110)/60</f>
        <v>4.9286720184669251E-2</v>
      </c>
      <c r="AA112" s="29">
        <f t="shared" ref="AA112:AA123" si="77">AA111+(AA$124-AA$110)/14</f>
        <v>0.62571428571428578</v>
      </c>
      <c r="AB112" s="203"/>
      <c r="AC112" s="1155">
        <f t="shared" si="50"/>
        <v>9.0089774795061375E-2</v>
      </c>
      <c r="AD112" s="177">
        <f>1000*(DataUK1!$AO112+DataUK1!$BI112)/DataUK2!$E112</f>
        <v>477.3871546779913</v>
      </c>
      <c r="AE112" s="176">
        <f>1000*DataUK1!$BI112/(R112*DataUK2!$E112)</f>
        <v>469.71967742377018</v>
      </c>
      <c r="AF112" s="546"/>
      <c r="AG112" s="546"/>
      <c r="AH112" s="546"/>
      <c r="AI112" s="176">
        <f>1000*DataUK1!$AO112/(W112*DataUK2!$E112)</f>
        <v>546.18204054741113</v>
      </c>
      <c r="AJ112" s="118"/>
      <c r="AK112" s="118"/>
      <c r="AL112" s="118"/>
      <c r="AM112" s="2136"/>
      <c r="AN112" s="303">
        <f t="shared" si="51"/>
        <v>1</v>
      </c>
      <c r="AO112" s="547"/>
      <c r="AP112" s="547"/>
      <c r="AQ112" s="547"/>
      <c r="AR112" s="305">
        <f t="shared" si="53"/>
        <v>1.1627829677968939</v>
      </c>
      <c r="AV112" s="2137"/>
      <c r="AW112" s="2133">
        <f t="shared" si="71"/>
        <v>1</v>
      </c>
    </row>
    <row r="113" spans="1:49">
      <c r="A113" s="110">
        <f t="shared" si="72"/>
        <v>1954</v>
      </c>
      <c r="B113" s="2">
        <v>50765</v>
      </c>
      <c r="C113" s="540">
        <v>0.29199999999999998</v>
      </c>
      <c r="D113" s="521"/>
      <c r="E113" s="542">
        <v>23216</v>
      </c>
      <c r="F113" s="522">
        <f t="shared" si="73"/>
        <v>0.64593638238899642</v>
      </c>
      <c r="G113" s="1156"/>
      <c r="H113" s="154">
        <f t="shared" si="70"/>
        <v>1383</v>
      </c>
      <c r="I113" s="352">
        <v>1014</v>
      </c>
      <c r="J113" s="352">
        <v>369</v>
      </c>
      <c r="K113" s="352"/>
      <c r="L113" s="350"/>
      <c r="M113" s="2126"/>
      <c r="N113" s="350"/>
      <c r="O113" s="1133"/>
      <c r="P113" s="352"/>
      <c r="Q113" s="2134"/>
      <c r="R113" s="303">
        <f t="shared" si="46"/>
        <v>0.90147813074252514</v>
      </c>
      <c r="S113" s="203">
        <f t="shared" si="47"/>
        <v>1.783619214087788E-2</v>
      </c>
      <c r="T113" s="203">
        <f t="shared" si="74"/>
        <v>0.8836419386016473</v>
      </c>
      <c r="U113" s="203">
        <f t="shared" si="48"/>
        <v>0.70334631245314227</v>
      </c>
      <c r="V113" s="309">
        <f t="shared" si="69"/>
        <v>0.18029562614850503</v>
      </c>
      <c r="W113" s="29">
        <f t="shared" si="75"/>
        <v>9.8521869257474831E-2</v>
      </c>
      <c r="X113" s="2055">
        <f t="shared" si="49"/>
        <v>3.0839575884909723E-2</v>
      </c>
      <c r="Y113" s="2058">
        <f t="shared" si="39"/>
        <v>6.7682293372565108E-2</v>
      </c>
      <c r="Z113" s="203">
        <f t="shared" si="76"/>
        <v>4.8675768025787602E-2</v>
      </c>
      <c r="AA113" s="29">
        <f t="shared" si="77"/>
        <v>0.63357142857142867</v>
      </c>
      <c r="AB113" s="203"/>
      <c r="AC113" s="1155">
        <f t="shared" si="50"/>
        <v>8.7781818808243844E-2</v>
      </c>
      <c r="AD113" s="177">
        <f>1000*(DataUK1!$AO113+DataUK1!$BI113)/DataUK2!$E113</f>
        <v>499.39696760854582</v>
      </c>
      <c r="AE113" s="176">
        <f>1000*DataUK1!$BI113/(R113*DataUK2!$E113)</f>
        <v>492.38567050640131</v>
      </c>
      <c r="AF113" s="546"/>
      <c r="AG113" s="546"/>
      <c r="AH113" s="546"/>
      <c r="AI113" s="176">
        <f>1000*DataUK1!$AO113/(W113*DataUK2!$E113)</f>
        <v>563.55055151187037</v>
      </c>
      <c r="AJ113" s="118"/>
      <c r="AK113" s="118"/>
      <c r="AL113" s="118"/>
      <c r="AM113" s="2136"/>
      <c r="AN113" s="303">
        <f t="shared" si="51"/>
        <v>1</v>
      </c>
      <c r="AO113" s="547"/>
      <c r="AP113" s="547"/>
      <c r="AQ113" s="547"/>
      <c r="AR113" s="305">
        <f t="shared" si="53"/>
        <v>1.1445307718485764</v>
      </c>
      <c r="AV113" s="2137"/>
      <c r="AW113" s="2133">
        <f t="shared" si="71"/>
        <v>1</v>
      </c>
    </row>
    <row r="114" spans="1:49">
      <c r="A114" s="110">
        <f t="shared" si="72"/>
        <v>1955</v>
      </c>
      <c r="B114" s="2">
        <v>50946</v>
      </c>
      <c r="C114" s="540">
        <v>0.29299999999999998</v>
      </c>
      <c r="D114" s="521"/>
      <c r="E114" s="542">
        <v>23542</v>
      </c>
      <c r="F114" s="522">
        <f t="shared" si="73"/>
        <v>0.65360271915611234</v>
      </c>
      <c r="G114" s="1156"/>
      <c r="H114" s="154">
        <f t="shared" si="70"/>
        <v>1342</v>
      </c>
      <c r="I114" s="352">
        <v>985</v>
      </c>
      <c r="J114" s="352">
        <v>357</v>
      </c>
      <c r="K114" s="352"/>
      <c r="L114" s="350"/>
      <c r="M114" s="2126"/>
      <c r="N114" s="350"/>
      <c r="O114" s="1133"/>
      <c r="P114" s="352"/>
      <c r="Q114" s="2134"/>
      <c r="R114" s="303">
        <f t="shared" si="46"/>
        <v>0.9032340575273039</v>
      </c>
      <c r="S114" s="203">
        <f t="shared" si="47"/>
        <v>1.7234669689419127E-2</v>
      </c>
      <c r="T114" s="203">
        <f t="shared" si="74"/>
        <v>0.88599938783788479</v>
      </c>
      <c r="U114" s="203">
        <f t="shared" si="48"/>
        <v>0.70535257633242399</v>
      </c>
      <c r="V114" s="309">
        <f t="shared" si="69"/>
        <v>0.1806468115054608</v>
      </c>
      <c r="W114" s="29">
        <f t="shared" si="75"/>
        <v>9.6765942472696084E-2</v>
      </c>
      <c r="X114" s="2055">
        <f t="shared" si="49"/>
        <v>3.0830146177486827E-2</v>
      </c>
      <c r="Y114" s="2058">
        <f t="shared" si="39"/>
        <v>6.5935796295209265E-2</v>
      </c>
      <c r="Z114" s="203">
        <f t="shared" si="76"/>
        <v>4.8064815866905954E-2</v>
      </c>
      <c r="AA114" s="29">
        <f t="shared" si="77"/>
        <v>0.64142857142857157</v>
      </c>
      <c r="AB114" s="203"/>
      <c r="AC114" s="1155">
        <f t="shared" si="50"/>
        <v>8.5487865025863807E-2</v>
      </c>
      <c r="AD114" s="177">
        <f>1000*(DataUK1!$AO114+DataUK1!$BI114)/DataUK2!$E114</f>
        <v>535.38356979016226</v>
      </c>
      <c r="AE114" s="176">
        <f>1000*DataUK1!$BI114/(R114*DataUK2!$E114)</f>
        <v>529.95832490205339</v>
      </c>
      <c r="AF114" s="546"/>
      <c r="AG114" s="546"/>
      <c r="AH114" s="546"/>
      <c r="AI114" s="176">
        <f>1000*DataUK1!$AO114/(W114*DataUK2!$E114)</f>
        <v>586.02396896519758</v>
      </c>
      <c r="AJ114" s="118"/>
      <c r="AK114" s="118"/>
      <c r="AL114" s="118"/>
      <c r="AM114" s="2136"/>
      <c r="AN114" s="303">
        <f t="shared" si="51"/>
        <v>1</v>
      </c>
      <c r="AO114" s="547"/>
      <c r="AP114" s="547"/>
      <c r="AQ114" s="547"/>
      <c r="AR114" s="305">
        <f t="shared" si="53"/>
        <v>1.1057925527889503</v>
      </c>
      <c r="AV114" s="2137"/>
      <c r="AW114" s="2133">
        <f t="shared" si="71"/>
        <v>1</v>
      </c>
    </row>
    <row r="115" spans="1:49">
      <c r="A115" s="110">
        <f t="shared" si="72"/>
        <v>1956</v>
      </c>
      <c r="B115" s="2">
        <v>51184</v>
      </c>
      <c r="C115" s="540">
        <v>0.29499999999999998</v>
      </c>
      <c r="D115" s="521"/>
      <c r="E115" s="542">
        <v>23736</v>
      </c>
      <c r="F115" s="522">
        <f t="shared" si="73"/>
        <v>0.65778534515440323</v>
      </c>
      <c r="G115" s="1156"/>
      <c r="H115" s="154">
        <f t="shared" si="70"/>
        <v>1353</v>
      </c>
      <c r="I115" s="352">
        <v>988.00000000000011</v>
      </c>
      <c r="J115" s="352">
        <v>365</v>
      </c>
      <c r="K115" s="352"/>
      <c r="L115" s="350"/>
      <c r="M115" s="2126"/>
      <c r="N115" s="350"/>
      <c r="O115" s="1133"/>
      <c r="P115" s="352"/>
      <c r="Q115" s="2134"/>
      <c r="R115" s="303">
        <f t="shared" si="46"/>
        <v>0.90498998431208266</v>
      </c>
      <c r="S115" s="203">
        <f t="shared" si="47"/>
        <v>1.6642747914742802E-2</v>
      </c>
      <c r="T115" s="203">
        <f t="shared" si="74"/>
        <v>0.88834723639733981</v>
      </c>
      <c r="U115" s="203">
        <f t="shared" si="48"/>
        <v>0.70734923953492324</v>
      </c>
      <c r="V115" s="309">
        <f t="shared" si="69"/>
        <v>0.18099799686241655</v>
      </c>
      <c r="W115" s="29">
        <f t="shared" si="75"/>
        <v>9.5010015687917337E-2</v>
      </c>
      <c r="X115" s="2055">
        <f t="shared" si="49"/>
        <v>3.0811115793281503E-2</v>
      </c>
      <c r="Y115" s="2058">
        <f t="shared" si="39"/>
        <v>6.4198899894635841E-2</v>
      </c>
      <c r="Z115" s="203">
        <f t="shared" si="76"/>
        <v>4.7453863708024305E-2</v>
      </c>
      <c r="AA115" s="29">
        <f t="shared" si="77"/>
        <v>0.64928571428571447</v>
      </c>
      <c r="AB115" s="203"/>
      <c r="AC115" s="1155">
        <f t="shared" si="50"/>
        <v>8.32078993050272E-2</v>
      </c>
      <c r="AD115" s="177">
        <f>1000*(DataUK1!$AO115+DataUK1!$BI115)/DataUK2!$E115</f>
        <v>576.33973710819009</v>
      </c>
      <c r="AE115" s="176">
        <f>1000*DataUK1!$BI115/(R115*DataUK2!$E115)</f>
        <v>572.13771447496663</v>
      </c>
      <c r="AF115" s="546"/>
      <c r="AG115" s="546"/>
      <c r="AH115" s="546"/>
      <c r="AI115" s="176">
        <f>1000*DataUK1!$AO115/(W115*DataUK2!$E115)</f>
        <v>616.36486887336162</v>
      </c>
      <c r="AJ115" s="118"/>
      <c r="AK115" s="118"/>
      <c r="AL115" s="118"/>
      <c r="AM115" s="2136"/>
      <c r="AN115" s="303">
        <f t="shared" si="51"/>
        <v>1</v>
      </c>
      <c r="AO115" s="547"/>
      <c r="AP115" s="547"/>
      <c r="AQ115" s="547"/>
      <c r="AR115" s="305">
        <f t="shared" si="53"/>
        <v>1.077301588899765</v>
      </c>
      <c r="AV115" s="2137"/>
      <c r="AW115" s="2133">
        <f t="shared" si="71"/>
        <v>1</v>
      </c>
    </row>
    <row r="116" spans="1:49">
      <c r="A116" s="110">
        <f t="shared" si="72"/>
        <v>1957</v>
      </c>
      <c r="B116" s="2">
        <v>51430</v>
      </c>
      <c r="C116" s="540">
        <v>0.29600000000000004</v>
      </c>
      <c r="D116" s="521"/>
      <c r="E116" s="542">
        <v>23775</v>
      </c>
      <c r="F116" s="522">
        <f t="shared" si="73"/>
        <v>0.65664605907411666</v>
      </c>
      <c r="G116" s="1156"/>
      <c r="H116" s="154">
        <f t="shared" si="70"/>
        <v>1359</v>
      </c>
      <c r="I116" s="352">
        <v>988.00000000000011</v>
      </c>
      <c r="J116" s="352">
        <v>371</v>
      </c>
      <c r="K116" s="352"/>
      <c r="L116" s="350"/>
      <c r="M116" s="2126"/>
      <c r="N116" s="350"/>
      <c r="O116" s="1133"/>
      <c r="P116" s="352"/>
      <c r="Q116" s="2134"/>
      <c r="R116" s="303">
        <f t="shared" si="46"/>
        <v>0.90674591109686142</v>
      </c>
      <c r="S116" s="203">
        <f t="shared" si="47"/>
        <v>1.60604268168489E-2</v>
      </c>
      <c r="T116" s="203">
        <f t="shared" si="74"/>
        <v>0.89068548428001248</v>
      </c>
      <c r="U116" s="203">
        <f t="shared" si="48"/>
        <v>0.70933630206064024</v>
      </c>
      <c r="V116" s="309">
        <f t="shared" si="69"/>
        <v>0.1813491822193723</v>
      </c>
      <c r="W116" s="29">
        <f t="shared" si="75"/>
        <v>9.3254088903138591E-2</v>
      </c>
      <c r="X116" s="2055">
        <f t="shared" si="49"/>
        <v>3.0782484732293756E-2</v>
      </c>
      <c r="Y116" s="2058">
        <f t="shared" si="39"/>
        <v>6.2471604170844838E-2</v>
      </c>
      <c r="Z116" s="203">
        <f t="shared" si="76"/>
        <v>4.6842911549142656E-2</v>
      </c>
      <c r="AA116" s="29">
        <f t="shared" si="77"/>
        <v>0.65714285714285736</v>
      </c>
      <c r="AB116" s="203"/>
      <c r="AC116" s="1155">
        <f t="shared" si="50"/>
        <v>8.0941907521880185E-2</v>
      </c>
      <c r="AD116" s="177">
        <f>1000*(DataUK1!$AO116+DataUK1!$BI116)/DataUK2!$E116</f>
        <v>606.94006309148267</v>
      </c>
      <c r="AE116" s="176">
        <f>1000*DataUK1!$BI116/(R116*DataUK2!$E116)</f>
        <v>602.33184194323348</v>
      </c>
      <c r="AF116" s="546"/>
      <c r="AG116" s="546"/>
      <c r="AH116" s="546"/>
      <c r="AI116" s="176">
        <f>1000*DataUK1!$AO116/(W116*DataUK2!$E116)</f>
        <v>651.74759628120876</v>
      </c>
      <c r="AJ116" s="118"/>
      <c r="AK116" s="118"/>
      <c r="AL116" s="118"/>
      <c r="AM116" s="2136"/>
      <c r="AN116" s="303">
        <f t="shared" si="51"/>
        <v>1</v>
      </c>
      <c r="AO116" s="547"/>
      <c r="AP116" s="547"/>
      <c r="AQ116" s="547"/>
      <c r="AR116" s="305">
        <f t="shared" si="53"/>
        <v>1.0820407471379081</v>
      </c>
      <c r="AV116" s="2137"/>
      <c r="AW116" s="2133">
        <f t="shared" si="71"/>
        <v>1</v>
      </c>
    </row>
    <row r="117" spans="1:49">
      <c r="A117" s="110">
        <f t="shared" si="72"/>
        <v>1958</v>
      </c>
      <c r="B117" s="2">
        <v>51652</v>
      </c>
      <c r="C117" s="540">
        <v>0.29699999999999999</v>
      </c>
      <c r="D117" s="521"/>
      <c r="E117" s="542">
        <v>23609</v>
      </c>
      <c r="F117" s="522">
        <f t="shared" si="73"/>
        <v>0.65018227355651481</v>
      </c>
      <c r="G117" s="1156"/>
      <c r="H117" s="154">
        <f t="shared" si="70"/>
        <v>1363</v>
      </c>
      <c r="I117" s="352">
        <v>986.99999999999989</v>
      </c>
      <c r="J117" s="352">
        <v>376</v>
      </c>
      <c r="K117" s="352"/>
      <c r="L117" s="350"/>
      <c r="M117" s="2126"/>
      <c r="N117" s="350"/>
      <c r="O117" s="1133"/>
      <c r="P117" s="352"/>
      <c r="Q117" s="2134"/>
      <c r="R117" s="303">
        <f t="shared" si="46"/>
        <v>0.90850183788164018</v>
      </c>
      <c r="S117" s="203">
        <f t="shared" si="47"/>
        <v>1.5487706395737426E-2</v>
      </c>
      <c r="T117" s="203">
        <f t="shared" si="74"/>
        <v>0.89301413148590281</v>
      </c>
      <c r="U117" s="203">
        <f t="shared" si="48"/>
        <v>0.71131376390957479</v>
      </c>
      <c r="V117" s="309">
        <f t="shared" si="69"/>
        <v>0.18170036757632804</v>
      </c>
      <c r="W117" s="29">
        <f t="shared" si="75"/>
        <v>9.1498162118359844E-2</v>
      </c>
      <c r="X117" s="2055">
        <f t="shared" si="49"/>
        <v>3.0744252994523581E-2</v>
      </c>
      <c r="Y117" s="2058">
        <f t="shared" si="39"/>
        <v>6.0753909123836262E-2</v>
      </c>
      <c r="Z117" s="203">
        <f t="shared" si="76"/>
        <v>4.6231959390261007E-2</v>
      </c>
      <c r="AA117" s="29">
        <f t="shared" si="77"/>
        <v>0.66500000000000026</v>
      </c>
      <c r="AB117" s="203"/>
      <c r="AC117" s="1155">
        <f t="shared" si="50"/>
        <v>7.8689875571577195E-2</v>
      </c>
      <c r="AD117" s="177">
        <f>1000*(DataUK1!$AO117+DataUK1!$BI117)/DataUK2!$E117</f>
        <v>633.48722944639758</v>
      </c>
      <c r="AE117" s="176">
        <f>1000*DataUK1!$BI117/(R117*DataUK2!$E117)</f>
        <v>629.07889892563639</v>
      </c>
      <c r="AF117" s="546"/>
      <c r="AG117" s="546"/>
      <c r="AH117" s="546"/>
      <c r="AI117" s="176">
        <f>1000*DataUK1!$AO117/(W117*DataUK2!$E117)</f>
        <v>677.25834230132568</v>
      </c>
      <c r="AJ117" s="118"/>
      <c r="AK117" s="118"/>
      <c r="AL117" s="118"/>
      <c r="AM117" s="2136"/>
      <c r="AN117" s="303">
        <f t="shared" si="51"/>
        <v>1</v>
      </c>
      <c r="AO117" s="547"/>
      <c r="AP117" s="547"/>
      <c r="AQ117" s="547"/>
      <c r="AR117" s="305">
        <f t="shared" si="53"/>
        <v>1.0765872825459126</v>
      </c>
      <c r="AV117" s="2137"/>
      <c r="AW117" s="2133">
        <f t="shared" si="71"/>
        <v>1</v>
      </c>
    </row>
    <row r="118" spans="1:49">
      <c r="A118" s="110">
        <f t="shared" si="72"/>
        <v>1959</v>
      </c>
      <c r="B118" s="2">
        <v>51956</v>
      </c>
      <c r="C118" s="540">
        <v>0.29899999999999999</v>
      </c>
      <c r="D118" s="521"/>
      <c r="E118" s="542">
        <v>23836</v>
      </c>
      <c r="F118" s="522">
        <f t="shared" si="73"/>
        <v>0.6544547899577926</v>
      </c>
      <c r="G118" s="1156"/>
      <c r="H118" s="154">
        <f t="shared" si="70"/>
        <v>1304</v>
      </c>
      <c r="I118" s="352">
        <v>953.99999999999989</v>
      </c>
      <c r="J118" s="352">
        <v>350</v>
      </c>
      <c r="K118" s="352"/>
      <c r="L118" s="350"/>
      <c r="M118" s="2126"/>
      <c r="N118" s="350"/>
      <c r="O118" s="1133"/>
      <c r="P118" s="352"/>
      <c r="Q118" s="2134"/>
      <c r="R118" s="303">
        <f t="shared" si="46"/>
        <v>0.91025776466641894</v>
      </c>
      <c r="S118" s="203">
        <f t="shared" si="47"/>
        <v>1.4924586651408375E-2</v>
      </c>
      <c r="T118" s="203">
        <f t="shared" si="74"/>
        <v>0.89533317801501056</v>
      </c>
      <c r="U118" s="203">
        <f t="shared" si="48"/>
        <v>0.71328162508172677</v>
      </c>
      <c r="V118" s="309">
        <f t="shared" si="69"/>
        <v>0.18205155293328379</v>
      </c>
      <c r="W118" s="29">
        <f t="shared" si="75"/>
        <v>8.9742235333581097E-2</v>
      </c>
      <c r="X118" s="2055">
        <f t="shared" si="49"/>
        <v>3.0696420579970983E-2</v>
      </c>
      <c r="Y118" s="2058">
        <f t="shared" si="39"/>
        <v>5.9045814753610114E-2</v>
      </c>
      <c r="Z118" s="203">
        <f t="shared" si="76"/>
        <v>4.5621007231379358E-2</v>
      </c>
      <c r="AA118" s="29">
        <f t="shared" si="77"/>
        <v>0.67285714285714315</v>
      </c>
      <c r="AB118" s="203"/>
      <c r="AC118" s="1155">
        <f t="shared" si="50"/>
        <v>7.645178936824891E-2</v>
      </c>
      <c r="AD118" s="177">
        <f>1000*(DataUK1!$AO118+DataUK1!$BI118)/DataUK2!$E118</f>
        <v>657.32505453935221</v>
      </c>
      <c r="AE118" s="176">
        <f>1000*DataUK1!$BI118/(R118*DataUK2!$E118)</f>
        <v>651.33716537678458</v>
      </c>
      <c r="AF118" s="546"/>
      <c r="AG118" s="546"/>
      <c r="AH118" s="546"/>
      <c r="AI118" s="176">
        <f>1000*DataUK1!$AO118/(W118*DataUK2!$E118)</f>
        <v>718.06036588889629</v>
      </c>
      <c r="AJ118" s="118"/>
      <c r="AK118" s="118"/>
      <c r="AL118" s="118"/>
      <c r="AM118" s="2136"/>
      <c r="AN118" s="303">
        <f t="shared" si="51"/>
        <v>1</v>
      </c>
      <c r="AO118" s="547"/>
      <c r="AP118" s="547"/>
      <c r="AQ118" s="547"/>
      <c r="AR118" s="305">
        <f t="shared" si="53"/>
        <v>1.1024403397486366</v>
      </c>
      <c r="AV118" s="2137"/>
      <c r="AW118" s="2133">
        <f t="shared" si="71"/>
        <v>1</v>
      </c>
    </row>
    <row r="119" spans="1:49">
      <c r="A119" s="110">
        <f t="shared" si="72"/>
        <v>1960</v>
      </c>
      <c r="B119" s="2">
        <v>52372</v>
      </c>
      <c r="C119" s="540">
        <v>0.29899999999999999</v>
      </c>
      <c r="D119" s="521"/>
      <c r="E119" s="542">
        <v>23699.46</v>
      </c>
      <c r="F119" s="522">
        <f t="shared" si="73"/>
        <v>0.64553719887999728</v>
      </c>
      <c r="G119" s="2051">
        <v>21484.431</v>
      </c>
      <c r="H119" s="154">
        <f t="shared" si="70"/>
        <v>1303</v>
      </c>
      <c r="I119" s="352">
        <v>947</v>
      </c>
      <c r="J119" s="352">
        <v>356</v>
      </c>
      <c r="K119" s="352"/>
      <c r="L119" s="352"/>
      <c r="M119" s="542">
        <v>2085.2280000000001</v>
      </c>
      <c r="N119" s="352"/>
      <c r="O119" s="1157"/>
      <c r="P119" s="352"/>
      <c r="Q119" s="2134"/>
      <c r="R119" s="303">
        <f>G119/$E119</f>
        <v>0.90653673121666067</v>
      </c>
      <c r="S119" s="203">
        <f t="shared" si="47"/>
        <v>1.4371067583861752E-2</v>
      </c>
      <c r="T119" s="203">
        <f t="shared" si="74"/>
        <v>0.89216566363279892</v>
      </c>
      <c r="U119" s="203">
        <f t="shared" si="48"/>
        <v>0.71085831738946681</v>
      </c>
      <c r="V119" s="309">
        <f t="shared" si="69"/>
        <v>0.18130734624333214</v>
      </c>
      <c r="W119" s="307">
        <f t="shared" ref="W119:W150" si="78">M119/$E119</f>
        <v>8.7986308548802378E-2</v>
      </c>
      <c r="X119" s="2055">
        <f t="shared" si="49"/>
        <v>3.0638987488635958E-2</v>
      </c>
      <c r="Y119" s="2059">
        <f t="shared" ref="Y119:Y150" si="79">W119-X119</f>
        <v>5.734732106016642E-2</v>
      </c>
      <c r="Z119" s="203">
        <f t="shared" si="76"/>
        <v>4.5010055072497709E-2</v>
      </c>
      <c r="AA119" s="29">
        <f t="shared" si="77"/>
        <v>0.68071428571428605</v>
      </c>
      <c r="AB119" s="203"/>
      <c r="AC119" s="1155">
        <f t="shared" si="50"/>
        <v>7.4651002530914584E-2</v>
      </c>
      <c r="AD119" s="177">
        <f>1000*(DataUK1!$AO119+DataUK1!$BI119)/DataUK2!$E119</f>
        <v>710.01617758379302</v>
      </c>
      <c r="AE119" s="176">
        <f>1000*DataUK1!$BI119/(R119*DataUK2!$E119)</f>
        <v>706.69779432371286</v>
      </c>
      <c r="AF119" s="546"/>
      <c r="AG119" s="546"/>
      <c r="AH119" s="546"/>
      <c r="AI119" s="176">
        <f>1000*DataUK1!$AO119/(W119*DataUK2!$E119)</f>
        <v>788.40299478042687</v>
      </c>
      <c r="AJ119" s="118"/>
      <c r="AK119" s="118"/>
      <c r="AL119" s="118"/>
      <c r="AM119" s="2136"/>
      <c r="AN119" s="303">
        <f t="shared" si="51"/>
        <v>1</v>
      </c>
      <c r="AO119" s="547"/>
      <c r="AP119" s="547"/>
      <c r="AQ119" s="547"/>
      <c r="AR119" s="305">
        <f t="shared" si="53"/>
        <v>1.115615473987581</v>
      </c>
      <c r="AV119" s="2137"/>
      <c r="AW119" s="2133">
        <f t="shared" si="71"/>
        <v>1</v>
      </c>
    </row>
    <row r="120" spans="1:49">
      <c r="A120" s="110">
        <f t="shared" si="72"/>
        <v>1961</v>
      </c>
      <c r="B120" s="2">
        <v>52807</v>
      </c>
      <c r="C120" s="540">
        <v>0.30399999999999999</v>
      </c>
      <c r="D120" s="521"/>
      <c r="E120" s="542">
        <v>24025.935000000001</v>
      </c>
      <c r="F120" s="522">
        <f t="shared" si="73"/>
        <v>0.65370162197671033</v>
      </c>
      <c r="G120" s="2051">
        <v>21812.108</v>
      </c>
      <c r="H120" s="154">
        <f t="shared" si="70"/>
        <v>1323</v>
      </c>
      <c r="I120" s="352">
        <v>952</v>
      </c>
      <c r="J120" s="352">
        <v>371</v>
      </c>
      <c r="K120" s="352"/>
      <c r="L120" s="352"/>
      <c r="M120" s="542">
        <v>2075.7820000000002</v>
      </c>
      <c r="N120" s="352"/>
      <c r="O120" s="1157"/>
      <c r="P120" s="352"/>
      <c r="Q120" s="2134"/>
      <c r="R120" s="303">
        <f t="shared" ref="R120:R170" si="80">G120/$E120</f>
        <v>0.90785678059979769</v>
      </c>
      <c r="S120" s="203">
        <f t="shared" si="47"/>
        <v>1.3827149193097556E-2</v>
      </c>
      <c r="T120" s="203">
        <f t="shared" si="74"/>
        <v>0.89402963140670011</v>
      </c>
      <c r="U120" s="203">
        <f t="shared" si="48"/>
        <v>0.71245827528674055</v>
      </c>
      <c r="V120" s="309">
        <f t="shared" si="69"/>
        <v>0.18157135611995956</v>
      </c>
      <c r="W120" s="307">
        <f t="shared" si="78"/>
        <v>8.6397553310620379E-2</v>
      </c>
      <c r="X120" s="2055">
        <f t="shared" si="49"/>
        <v>3.0571953720518505E-2</v>
      </c>
      <c r="Y120" s="203">
        <f t="shared" si="79"/>
        <v>5.5825599590101874E-2</v>
      </c>
      <c r="Z120" s="203">
        <f t="shared" si="76"/>
        <v>4.4399102913616061E-2</v>
      </c>
      <c r="AA120" s="29">
        <f t="shared" si="77"/>
        <v>0.68857142857142895</v>
      </c>
      <c r="AB120" s="203"/>
      <c r="AC120" s="1155">
        <f t="shared" si="50"/>
        <v>7.2662724567856954E-2</v>
      </c>
      <c r="AD120" s="177">
        <f>1000*(DataUK1!$AO120+DataUK1!$BI120)/DataUK2!$E120</f>
        <v>756.3493366647333</v>
      </c>
      <c r="AE120" s="176">
        <f>1000*DataUK1!$BI120/(R120*DataUK2!$E120)</f>
        <v>752.88459052192479</v>
      </c>
      <c r="AF120" s="546"/>
      <c r="AG120" s="546"/>
      <c r="AH120" s="546"/>
      <c r="AI120" s="176">
        <f>1000*DataUK1!$AO120/(W120*DataUK2!$E120)</f>
        <v>843.05577367950968</v>
      </c>
      <c r="AJ120" s="118"/>
      <c r="AK120" s="118"/>
      <c r="AL120" s="118"/>
      <c r="AM120" s="2136"/>
      <c r="AN120" s="303">
        <f t="shared" si="51"/>
        <v>1</v>
      </c>
      <c r="AO120" s="547"/>
      <c r="AP120" s="547"/>
      <c r="AQ120" s="547"/>
      <c r="AR120" s="305">
        <f t="shared" si="53"/>
        <v>1.1197676035513959</v>
      </c>
      <c r="AV120" s="2137"/>
      <c r="AW120" s="2133">
        <f t="shared" si="71"/>
        <v>1</v>
      </c>
    </row>
    <row r="121" spans="1:49">
      <c r="A121" s="110">
        <f t="shared" si="72"/>
        <v>1962</v>
      </c>
      <c r="B121" s="2">
        <v>53292</v>
      </c>
      <c r="C121" s="540">
        <v>0.308</v>
      </c>
      <c r="D121" s="521"/>
      <c r="E121" s="542">
        <v>24232.235000000001</v>
      </c>
      <c r="F121" s="522">
        <f t="shared" si="73"/>
        <v>0.65709075725884092</v>
      </c>
      <c r="G121" s="2051">
        <v>22026.962</v>
      </c>
      <c r="H121" s="154">
        <f t="shared" si="70"/>
        <v>1356</v>
      </c>
      <c r="I121" s="352">
        <v>974</v>
      </c>
      <c r="J121" s="352">
        <v>382</v>
      </c>
      <c r="K121" s="352"/>
      <c r="L121" s="352"/>
      <c r="M121" s="542">
        <v>2060.4319999999998</v>
      </c>
      <c r="N121" s="352"/>
      <c r="O121" s="1157"/>
      <c r="P121" s="352"/>
      <c r="Q121" s="2134"/>
      <c r="R121" s="303">
        <f t="shared" si="80"/>
        <v>0.90899423845963856</v>
      </c>
      <c r="S121" s="203">
        <f t="shared" si="47"/>
        <v>1.3292831479115787E-2</v>
      </c>
      <c r="T121" s="203">
        <f t="shared" si="74"/>
        <v>0.89570140698052281</v>
      </c>
      <c r="U121" s="203">
        <f t="shared" si="48"/>
        <v>0.71390255928859503</v>
      </c>
      <c r="V121" s="309">
        <f t="shared" si="69"/>
        <v>0.18179884769192772</v>
      </c>
      <c r="W121" s="307">
        <f t="shared" si="78"/>
        <v>8.5028558034370316E-2</v>
      </c>
      <c r="X121" s="2055">
        <f t="shared" si="49"/>
        <v>3.0495319275618625E-2</v>
      </c>
      <c r="Y121" s="203">
        <f t="shared" si="79"/>
        <v>5.4533238758751691E-2</v>
      </c>
      <c r="Z121" s="203">
        <f t="shared" si="76"/>
        <v>4.3788150754734412E-2</v>
      </c>
      <c r="AA121" s="29">
        <f t="shared" si="77"/>
        <v>0.69642857142857184</v>
      </c>
      <c r="AB121" s="203"/>
      <c r="AC121" s="1155">
        <f t="shared" si="50"/>
        <v>7.0966551658999691E-2</v>
      </c>
      <c r="AD121" s="177">
        <f>1000*(DataUK1!$AO121+DataUK1!$BI121)/DataUK2!$E121</f>
        <v>790.92993279406539</v>
      </c>
      <c r="AE121" s="176">
        <f>1000*DataUK1!$BI121/(R121*DataUK2!$E121)</f>
        <v>786.39986758046803</v>
      </c>
      <c r="AF121" s="546"/>
      <c r="AG121" s="546"/>
      <c r="AH121" s="546"/>
      <c r="AI121" s="176">
        <f>1000*DataUK1!$AO121/(W121*DataUK2!$E121)</f>
        <v>894.95795056570671</v>
      </c>
      <c r="AJ121" s="118"/>
      <c r="AK121" s="118"/>
      <c r="AL121" s="118"/>
      <c r="AM121" s="2136"/>
      <c r="AN121" s="303">
        <f t="shared" si="51"/>
        <v>1</v>
      </c>
      <c r="AO121" s="547"/>
      <c r="AP121" s="547"/>
      <c r="AQ121" s="547"/>
      <c r="AR121" s="305">
        <f t="shared" si="53"/>
        <v>1.1380443810592713</v>
      </c>
      <c r="AV121" s="2137"/>
      <c r="AW121" s="2133">
        <f t="shared" si="71"/>
        <v>1</v>
      </c>
    </row>
    <row r="122" spans="1:49">
      <c r="A122" s="110">
        <f t="shared" si="72"/>
        <v>1963</v>
      </c>
      <c r="B122" s="2">
        <v>53625</v>
      </c>
      <c r="C122" s="540">
        <v>0.308</v>
      </c>
      <c r="D122" s="521"/>
      <c r="E122" s="542">
        <v>24275.297999999999</v>
      </c>
      <c r="F122" s="522">
        <f t="shared" si="73"/>
        <v>0.65417082339625687</v>
      </c>
      <c r="G122" s="2051">
        <v>22082.883000000002</v>
      </c>
      <c r="H122" s="154">
        <f t="shared" si="70"/>
        <v>1410</v>
      </c>
      <c r="I122" s="352">
        <v>1016</v>
      </c>
      <c r="J122" s="352">
        <v>394</v>
      </c>
      <c r="K122" s="352"/>
      <c r="L122" s="352"/>
      <c r="M122" s="542">
        <v>2043.9010000000001</v>
      </c>
      <c r="N122" s="352"/>
      <c r="O122" s="1157"/>
      <c r="P122" s="352"/>
      <c r="Q122" s="2134"/>
      <c r="R122" s="303">
        <f t="shared" si="80"/>
        <v>0.90968535175139775</v>
      </c>
      <c r="S122" s="203">
        <f t="shared" si="47"/>
        <v>1.2768114441916441E-2</v>
      </c>
      <c r="T122" s="203">
        <f t="shared" si="74"/>
        <v>0.89691723730948136</v>
      </c>
      <c r="U122" s="203">
        <f t="shared" si="48"/>
        <v>0.71498016695920175</v>
      </c>
      <c r="V122" s="309">
        <f t="shared" si="69"/>
        <v>0.18193707035027956</v>
      </c>
      <c r="W122" s="307">
        <f t="shared" si="78"/>
        <v>8.4196741889636134E-2</v>
      </c>
      <c r="X122" s="2055">
        <f t="shared" si="49"/>
        <v>3.0409084153936321E-2</v>
      </c>
      <c r="Y122" s="203">
        <f t="shared" si="79"/>
        <v>5.3787657735699809E-2</v>
      </c>
      <c r="Z122" s="203">
        <f t="shared" si="76"/>
        <v>4.3177198595852763E-2</v>
      </c>
      <c r="AA122" s="29">
        <f t="shared" si="77"/>
        <v>0.70428571428571474</v>
      </c>
      <c r="AB122" s="203"/>
      <c r="AC122" s="1155">
        <f t="shared" si="50"/>
        <v>6.996606258469043E-2</v>
      </c>
      <c r="AD122" s="177">
        <f>1000*(DataUK1!$AO122+DataUK1!$BI122)/DataUK2!$E122</f>
        <v>831.17414253781772</v>
      </c>
      <c r="AE122" s="176">
        <f>1000*DataUK1!$BI122/(R122*DataUK2!$E122)</f>
        <v>825.02814510224948</v>
      </c>
      <c r="AF122" s="546"/>
      <c r="AG122" s="546"/>
      <c r="AH122" s="546"/>
      <c r="AI122" s="176">
        <f>1000*DataUK1!$AO122/(W122*DataUK2!$E122)</f>
        <v>957.97203484904594</v>
      </c>
      <c r="AJ122" s="118"/>
      <c r="AK122" s="118"/>
      <c r="AL122" s="118"/>
      <c r="AM122" s="2136"/>
      <c r="AN122" s="303">
        <f t="shared" si="51"/>
        <v>1</v>
      </c>
      <c r="AO122" s="547"/>
      <c r="AP122" s="547"/>
      <c r="AQ122" s="547"/>
      <c r="AR122" s="305">
        <f t="shared" si="53"/>
        <v>1.1611386114958782</v>
      </c>
      <c r="AV122" s="2137"/>
      <c r="AW122" s="2133">
        <f t="shared" si="71"/>
        <v>1</v>
      </c>
    </row>
    <row r="123" spans="1:49">
      <c r="A123" s="110">
        <f t="shared" si="72"/>
        <v>1964</v>
      </c>
      <c r="B123" s="2">
        <v>53991</v>
      </c>
      <c r="C123" s="540">
        <v>0.31</v>
      </c>
      <c r="D123" s="521"/>
      <c r="E123" s="542">
        <v>24567.723000000002</v>
      </c>
      <c r="F123" s="522">
        <f t="shared" si="73"/>
        <v>0.65946909025900469</v>
      </c>
      <c r="G123" s="2051">
        <v>22384.071</v>
      </c>
      <c r="H123" s="154">
        <f t="shared" si="70"/>
        <v>1341</v>
      </c>
      <c r="I123" s="352">
        <v>960</v>
      </c>
      <c r="J123" s="352">
        <v>381</v>
      </c>
      <c r="K123" s="352"/>
      <c r="L123" s="352"/>
      <c r="M123" s="542">
        <v>2026.19</v>
      </c>
      <c r="N123" s="352"/>
      <c r="O123" s="1157"/>
      <c r="P123" s="352"/>
      <c r="Q123" s="2134"/>
      <c r="R123" s="303">
        <f t="shared" si="80"/>
        <v>0.91111703758626705</v>
      </c>
      <c r="S123" s="203">
        <f t="shared" si="47"/>
        <v>1.225299808149952E-2</v>
      </c>
      <c r="T123" s="203">
        <f t="shared" si="74"/>
        <v>0.89886403950476756</v>
      </c>
      <c r="U123" s="203">
        <f t="shared" si="48"/>
        <v>0.71664063198751415</v>
      </c>
      <c r="V123" s="309">
        <f t="shared" si="69"/>
        <v>0.18222340751725341</v>
      </c>
      <c r="W123" s="307">
        <f t="shared" si="78"/>
        <v>8.2473658629251073E-2</v>
      </c>
      <c r="X123" s="2055">
        <f t="shared" si="49"/>
        <v>3.0313248355471594E-2</v>
      </c>
      <c r="Y123" s="203">
        <f t="shared" si="79"/>
        <v>5.2160410273779476E-2</v>
      </c>
      <c r="Z123" s="203">
        <f t="shared" si="76"/>
        <v>4.2566246436971114E-2</v>
      </c>
      <c r="AA123" s="29">
        <f t="shared" si="77"/>
        <v>0.71214285714285763</v>
      </c>
      <c r="AB123" s="203"/>
      <c r="AC123" s="1155">
        <f t="shared" si="50"/>
        <v>6.784643543192756E-2</v>
      </c>
      <c r="AD123" s="177">
        <f>1000*(DataUK1!$AO123+DataUK1!$BI123)/DataUK2!$E123</f>
        <v>888.07578952270012</v>
      </c>
      <c r="AE123" s="176">
        <f>1000*DataUK1!$BI123/(R123*DataUK2!$E123)</f>
        <v>882.68126025869026</v>
      </c>
      <c r="AF123" s="546"/>
      <c r="AG123" s="546"/>
      <c r="AH123" s="546"/>
      <c r="AI123" s="176">
        <f>1000*DataUK1!$AO123/(W123*DataUK2!$E123)</f>
        <v>1016.6864904081057</v>
      </c>
      <c r="AJ123" s="118"/>
      <c r="AK123" s="118"/>
      <c r="AL123" s="118"/>
      <c r="AM123" s="2136"/>
      <c r="AN123" s="303">
        <f t="shared" si="51"/>
        <v>1</v>
      </c>
      <c r="AO123" s="547"/>
      <c r="AP123" s="547"/>
      <c r="AQ123" s="547"/>
      <c r="AR123" s="305">
        <f t="shared" si="53"/>
        <v>1.1518161041621549</v>
      </c>
      <c r="AV123" s="2137"/>
      <c r="AW123" s="2133">
        <f t="shared" si="71"/>
        <v>1</v>
      </c>
    </row>
    <row r="124" spans="1:49">
      <c r="A124" s="110">
        <f t="shared" si="72"/>
        <v>1965</v>
      </c>
      <c r="B124" s="2">
        <v>54350</v>
      </c>
      <c r="C124" s="540">
        <v>0.31</v>
      </c>
      <c r="D124" s="521"/>
      <c r="E124" s="542">
        <v>24817.084999999999</v>
      </c>
      <c r="F124" s="522">
        <f t="shared" si="73"/>
        <v>0.66176246283481988</v>
      </c>
      <c r="G124" s="2051">
        <v>22647.977999999999</v>
      </c>
      <c r="H124" s="154">
        <f t="shared" si="70"/>
        <v>1355</v>
      </c>
      <c r="I124" s="352">
        <v>966</v>
      </c>
      <c r="J124" s="352">
        <v>389</v>
      </c>
      <c r="K124" s="352"/>
      <c r="L124" s="352"/>
      <c r="M124" s="542">
        <v>2002.575</v>
      </c>
      <c r="N124" s="352"/>
      <c r="O124" s="1157"/>
      <c r="P124" s="352"/>
      <c r="Q124" s="2134"/>
      <c r="R124" s="303">
        <f t="shared" si="80"/>
        <v>0.91259622151433173</v>
      </c>
      <c r="S124" s="203">
        <f t="shared" si="47"/>
        <v>1.174748239786505E-2</v>
      </c>
      <c r="T124" s="203">
        <f t="shared" si="74"/>
        <v>0.90084873911646668</v>
      </c>
      <c r="U124" s="203">
        <f t="shared" si="48"/>
        <v>0.71832949481360031</v>
      </c>
      <c r="V124" s="309">
        <f t="shared" si="69"/>
        <v>0.18251924430286637</v>
      </c>
      <c r="W124" s="307">
        <f t="shared" si="78"/>
        <v>8.0693401340246051E-2</v>
      </c>
      <c r="X124" s="2055">
        <f t="shared" si="49"/>
        <v>3.0207811880224415E-2</v>
      </c>
      <c r="Y124" s="203">
        <f t="shared" si="79"/>
        <v>5.0485589460021636E-2</v>
      </c>
      <c r="Z124" s="203">
        <f t="shared" si="76"/>
        <v>4.1955294278089465E-2</v>
      </c>
      <c r="AA124" s="307">
        <v>0.72</v>
      </c>
      <c r="AB124" s="203">
        <v>0.06</v>
      </c>
      <c r="AC124" s="1155">
        <f t="shared" si="50"/>
        <v>6.5666751983307556E-2</v>
      </c>
      <c r="AD124" s="177">
        <f>1000*(DataUK1!$AO124+DataUK1!$BI124)/DataUK2!$E124</f>
        <v>950.7965983917934</v>
      </c>
      <c r="AE124" s="176">
        <f>1000*DataUK1!$BI124/(R124*DataUK2!$E124)</f>
        <v>942.29162532743544</v>
      </c>
      <c r="AF124" s="546"/>
      <c r="AG124" s="546"/>
      <c r="AH124" s="546"/>
      <c r="AI124" s="176">
        <f>1000*DataUK1!$AO124/(W124*DataUK2!$E124)</f>
        <v>1126.0502103541689</v>
      </c>
      <c r="AJ124" s="118"/>
      <c r="AK124" s="118"/>
      <c r="AL124" s="118"/>
      <c r="AM124" s="2136"/>
      <c r="AN124" s="303">
        <f t="shared" si="51"/>
        <v>1</v>
      </c>
      <c r="AO124" s="547"/>
      <c r="AP124" s="547"/>
      <c r="AQ124" s="547"/>
      <c r="AR124" s="305">
        <f t="shared" si="53"/>
        <v>1.1950124357338732</v>
      </c>
      <c r="AV124" s="2137"/>
      <c r="AW124" s="2133">
        <f t="shared" si="71"/>
        <v>1</v>
      </c>
    </row>
    <row r="125" spans="1:49">
      <c r="A125" s="110">
        <f t="shared" si="72"/>
        <v>1966</v>
      </c>
      <c r="B125" s="2">
        <v>54643</v>
      </c>
      <c r="C125" s="540">
        <v>0.312</v>
      </c>
      <c r="D125" s="521"/>
      <c r="E125" s="542">
        <v>24974.313999999998</v>
      </c>
      <c r="F125" s="522">
        <f t="shared" si="73"/>
        <v>0.6643097011511081</v>
      </c>
      <c r="G125" s="2051">
        <v>22816.722000000002</v>
      </c>
      <c r="H125" s="154">
        <f t="shared" si="70"/>
        <v>1398</v>
      </c>
      <c r="I125" s="352">
        <v>982</v>
      </c>
      <c r="J125" s="352">
        <v>416</v>
      </c>
      <c r="K125" s="352"/>
      <c r="L125" s="352"/>
      <c r="M125" s="542">
        <v>1984.8630000000001</v>
      </c>
      <c r="N125" s="352"/>
      <c r="O125" s="1157"/>
      <c r="P125" s="352"/>
      <c r="Q125" s="2134"/>
      <c r="R125" s="303">
        <f t="shared" si="80"/>
        <v>0.91360755694831108</v>
      </c>
      <c r="S125" s="203">
        <f t="shared" si="47"/>
        <v>1.1783137503974229E-2</v>
      </c>
      <c r="T125" s="203">
        <f t="shared" si="74"/>
        <v>0.90182441944433689</v>
      </c>
      <c r="U125" s="203">
        <f t="shared" si="48"/>
        <v>0.71910290805467469</v>
      </c>
      <c r="V125" s="309">
        <f t="shared" si="69"/>
        <v>0.18272151138966222</v>
      </c>
      <c r="W125" s="307">
        <f t="shared" si="78"/>
        <v>7.9476177003300272E-2</v>
      </c>
      <c r="X125" s="2055">
        <f t="shared" si="49"/>
        <v>2.9561204615233587E-2</v>
      </c>
      <c r="Y125" s="203">
        <f t="shared" si="79"/>
        <v>4.9914972388066685E-2</v>
      </c>
      <c r="Z125" s="203">
        <f t="shared" si="76"/>
        <v>4.1344342119207816E-2</v>
      </c>
      <c r="AA125" s="29">
        <f>AA124+(AA$132-AA$124)/8</f>
        <v>0.71499999999999997</v>
      </c>
      <c r="AB125" s="203"/>
      <c r="AC125" s="1155">
        <f t="shared" si="50"/>
        <v>6.4907427587157646E-2</v>
      </c>
      <c r="AD125" s="177">
        <f>1000*(DataUK1!$AO125+DataUK1!$BI125)/DataUK2!$E125</f>
        <v>1012.1198924623116</v>
      </c>
      <c r="AE125" s="176">
        <f>1000*DataUK1!$BI125/(R125*DataUK2!$E125)</f>
        <v>1002.5541793426768</v>
      </c>
      <c r="AF125" s="546"/>
      <c r="AG125" s="546"/>
      <c r="AH125" s="546"/>
      <c r="AI125" s="176">
        <f>1000*DataUK1!$AO125/(W125*DataUK2!$E125)</f>
        <v>1210.159089065593</v>
      </c>
      <c r="AJ125" s="118"/>
      <c r="AK125" s="118"/>
      <c r="AL125" s="118"/>
      <c r="AM125" s="2136"/>
      <c r="AN125" s="303">
        <f t="shared" si="51"/>
        <v>1</v>
      </c>
      <c r="AO125" s="547"/>
      <c r="AP125" s="547"/>
      <c r="AQ125" s="547"/>
      <c r="AR125" s="305">
        <f t="shared" si="53"/>
        <v>1.2070760004801258</v>
      </c>
      <c r="AV125" s="2137"/>
      <c r="AW125" s="2133">
        <f t="shared" si="71"/>
        <v>1</v>
      </c>
    </row>
    <row r="126" spans="1:49">
      <c r="A126" s="110">
        <f t="shared" si="72"/>
        <v>1967</v>
      </c>
      <c r="B126" s="2">
        <v>54959</v>
      </c>
      <c r="C126" s="540">
        <v>0.312</v>
      </c>
      <c r="D126" s="521"/>
      <c r="E126" s="542">
        <v>24610.786</v>
      </c>
      <c r="F126" s="522">
        <f t="shared" si="73"/>
        <v>0.65087594896322298</v>
      </c>
      <c r="G126" s="2051">
        <v>22381.128000000001</v>
      </c>
      <c r="H126" s="154">
        <f t="shared" si="70"/>
        <v>1452</v>
      </c>
      <c r="I126" s="352">
        <v>1013</v>
      </c>
      <c r="J126" s="352">
        <v>439</v>
      </c>
      <c r="K126" s="352"/>
      <c r="L126" s="352"/>
      <c r="M126" s="542">
        <v>2080.5050000000001</v>
      </c>
      <c r="N126" s="352"/>
      <c r="O126" s="1157"/>
      <c r="P126" s="352"/>
      <c r="Q126" s="2134"/>
      <c r="R126" s="303">
        <f t="shared" si="80"/>
        <v>0.9094032185725397</v>
      </c>
      <c r="S126" s="203">
        <f t="shared" si="47"/>
        <v>1.1812683088494591E-2</v>
      </c>
      <c r="T126" s="203">
        <f t="shared" si="74"/>
        <v>0.8975905354840451</v>
      </c>
      <c r="U126" s="203">
        <f t="shared" si="48"/>
        <v>0.71570989176953714</v>
      </c>
      <c r="V126" s="309">
        <f t="shared" si="69"/>
        <v>0.18188064371450796</v>
      </c>
      <c r="W126" s="307">
        <f t="shared" si="78"/>
        <v>8.4536308592500872E-2</v>
      </c>
      <c r="X126" s="2055">
        <f t="shared" si="49"/>
        <v>2.8920706871831577E-2</v>
      </c>
      <c r="Y126" s="203">
        <f t="shared" si="79"/>
        <v>5.5615601720669296E-2</v>
      </c>
      <c r="Z126" s="203">
        <f t="shared" si="76"/>
        <v>4.0733389960326168E-2</v>
      </c>
      <c r="AA126" s="29">
        <f t="shared" ref="AA126:AA131" si="81">AA125+(AA$132-AA$124)/8</f>
        <v>0.71</v>
      </c>
      <c r="AB126" s="203"/>
      <c r="AC126" s="1155">
        <f t="shared" si="50"/>
        <v>7.2103933021857844E-2</v>
      </c>
      <c r="AD126" s="177">
        <f>1000*(DataUK1!$AO126+DataUK1!$BI126)/DataUK2!$E126</f>
        <v>1071.0344643198312</v>
      </c>
      <c r="AE126" s="176">
        <f>1000*DataUK1!$BI126/(R126*DataUK2!$E126)</f>
        <v>1064.8703675703923</v>
      </c>
      <c r="AF126" s="546"/>
      <c r="AG126" s="546"/>
      <c r="AH126" s="546"/>
      <c r="AI126" s="176">
        <f>1000*DataUK1!$AO126/(W126*DataUK2!$E126)</f>
        <v>1214.1283005808684</v>
      </c>
      <c r="AJ126" s="118"/>
      <c r="AK126" s="118"/>
      <c r="AL126" s="118"/>
      <c r="AM126" s="2136"/>
      <c r="AN126" s="303">
        <f t="shared" si="51"/>
        <v>1</v>
      </c>
      <c r="AO126" s="547"/>
      <c r="AP126" s="547"/>
      <c r="AQ126" s="547"/>
      <c r="AR126" s="305">
        <f t="shared" si="53"/>
        <v>1.1401653549164139</v>
      </c>
      <c r="AV126" s="2137"/>
      <c r="AW126" s="2133">
        <f t="shared" si="71"/>
        <v>1</v>
      </c>
    </row>
    <row r="127" spans="1:49">
      <c r="A127" s="110">
        <f t="shared" si="72"/>
        <v>1968</v>
      </c>
      <c r="B127" s="2">
        <v>55214</v>
      </c>
      <c r="C127" s="540">
        <v>0.31</v>
      </c>
      <c r="D127" s="521"/>
      <c r="E127" s="542">
        <v>24476.59</v>
      </c>
      <c r="F127" s="522">
        <f t="shared" si="73"/>
        <v>0.64246964249247862</v>
      </c>
      <c r="G127" s="2051">
        <v>22226.118999999999</v>
      </c>
      <c r="H127" s="154">
        <f t="shared" si="70"/>
        <v>1467</v>
      </c>
      <c r="I127" s="352">
        <v>1019</v>
      </c>
      <c r="J127" s="352">
        <v>448</v>
      </c>
      <c r="K127" s="352"/>
      <c r="L127" s="352"/>
      <c r="M127" s="542">
        <v>2108.8429999999998</v>
      </c>
      <c r="N127" s="352"/>
      <c r="O127" s="1157"/>
      <c r="P127" s="352"/>
      <c r="Q127" s="2134"/>
      <c r="R127" s="303">
        <f t="shared" si="80"/>
        <v>0.90805618756534301</v>
      </c>
      <c r="S127" s="203">
        <f t="shared" si="47"/>
        <v>1.1836119151426135E-2</v>
      </c>
      <c r="T127" s="203">
        <f t="shared" si="74"/>
        <v>0.89622006841391688</v>
      </c>
      <c r="U127" s="203">
        <f t="shared" si="48"/>
        <v>0.71460883090084826</v>
      </c>
      <c r="V127" s="309">
        <f t="shared" si="69"/>
        <v>0.18161123751306862</v>
      </c>
      <c r="W127" s="307">
        <f t="shared" si="78"/>
        <v>8.6157548906935152E-2</v>
      </c>
      <c r="X127" s="2055">
        <f t="shared" si="49"/>
        <v>2.8286318650018384E-2</v>
      </c>
      <c r="Y127" s="203">
        <f t="shared" si="79"/>
        <v>5.7871230256916768E-2</v>
      </c>
      <c r="Z127" s="203">
        <f t="shared" si="76"/>
        <v>4.0122437801444519E-2</v>
      </c>
      <c r="AA127" s="29">
        <f t="shared" si="81"/>
        <v>0.70499999999999996</v>
      </c>
      <c r="AB127" s="203"/>
      <c r="AC127" s="1155">
        <f t="shared" si="50"/>
        <v>7.4916147570438865E-2</v>
      </c>
      <c r="AD127" s="177">
        <f>1000*(DataUK1!$AO127+DataUK1!$BI127)/DataUK2!$E127</f>
        <v>1153.2243666295019</v>
      </c>
      <c r="AE127" s="176">
        <f>1000*DataUK1!$BI127/(R127*DataUK2!$E127)</f>
        <v>1147.0288627537718</v>
      </c>
      <c r="AF127" s="546"/>
      <c r="AG127" s="546"/>
      <c r="AH127" s="546"/>
      <c r="AI127" s="176">
        <f>1000*DataUK1!$AO127/(W127*DataUK2!$E127)</f>
        <v>1295.971298005589</v>
      </c>
      <c r="AJ127" s="118"/>
      <c r="AK127" s="118"/>
      <c r="AL127" s="118"/>
      <c r="AM127" s="2136"/>
      <c r="AN127" s="303">
        <f t="shared" si="51"/>
        <v>1</v>
      </c>
      <c r="AO127" s="547"/>
      <c r="AP127" s="547"/>
      <c r="AQ127" s="547"/>
      <c r="AR127" s="305">
        <f t="shared" si="53"/>
        <v>1.1298506428985913</v>
      </c>
      <c r="AV127" s="2137"/>
      <c r="AW127" s="2133">
        <f t="shared" si="71"/>
        <v>1</v>
      </c>
    </row>
    <row r="128" spans="1:49">
      <c r="A128" s="110">
        <f t="shared" si="72"/>
        <v>1969</v>
      </c>
      <c r="B128" s="2">
        <v>55461</v>
      </c>
      <c r="C128" s="540">
        <v>0.31</v>
      </c>
      <c r="D128" s="521"/>
      <c r="E128" s="542">
        <v>24512.643</v>
      </c>
      <c r="F128" s="522">
        <f t="shared" si="73"/>
        <v>0.64055046907227409</v>
      </c>
      <c r="G128" s="2051">
        <v>22195.705999999998</v>
      </c>
      <c r="H128" s="154">
        <f t="shared" si="70"/>
        <v>1443</v>
      </c>
      <c r="I128" s="352">
        <v>991</v>
      </c>
      <c r="J128" s="352">
        <v>452</v>
      </c>
      <c r="K128" s="352"/>
      <c r="L128" s="352"/>
      <c r="M128" s="542">
        <v>2187.9540000000002</v>
      </c>
      <c r="N128" s="352"/>
      <c r="O128" s="1157"/>
      <c r="P128" s="352"/>
      <c r="Q128" s="2134"/>
      <c r="R128" s="303">
        <f t="shared" si="80"/>
        <v>0.90547991907686165</v>
      </c>
      <c r="S128" s="203">
        <f t="shared" si="47"/>
        <v>1.1853445692768864E-2</v>
      </c>
      <c r="T128" s="203">
        <f t="shared" si="74"/>
        <v>0.89362647338409273</v>
      </c>
      <c r="U128" s="203">
        <f t="shared" si="48"/>
        <v>0.71253048956872034</v>
      </c>
      <c r="V128" s="309">
        <f t="shared" si="69"/>
        <v>0.18109598381537234</v>
      </c>
      <c r="W128" s="307">
        <f t="shared" si="78"/>
        <v>8.9258184031807589E-2</v>
      </c>
      <c r="X128" s="2055">
        <f t="shared" si="49"/>
        <v>2.7658039949794006E-2</v>
      </c>
      <c r="Y128" s="203">
        <f t="shared" si="79"/>
        <v>6.1600144082013586E-2</v>
      </c>
      <c r="Z128" s="203">
        <f t="shared" si="76"/>
        <v>3.951148564256287E-2</v>
      </c>
      <c r="AA128" s="29">
        <f t="shared" si="81"/>
        <v>0.7</v>
      </c>
      <c r="AB128" s="203"/>
      <c r="AC128" s="1155">
        <f t="shared" si="50"/>
        <v>7.9573319287873381E-2</v>
      </c>
      <c r="AD128" s="177">
        <f>1000*(DataUK1!$AO128+DataUK1!$BI128)/DataUK2!$E128</f>
        <v>1231.6501325458867</v>
      </c>
      <c r="AE128" s="176">
        <f>1000*DataUK1!$BI128/(R128*DataUK2!$E128)</f>
        <v>1228.5259139763341</v>
      </c>
      <c r="AF128" s="546"/>
      <c r="AG128" s="546"/>
      <c r="AH128" s="546"/>
      <c r="AI128" s="176">
        <f>1000*DataUK1!$AO128/(W128*DataUK2!$E128)</f>
        <v>1335.9513042778779</v>
      </c>
      <c r="AJ128" s="118"/>
      <c r="AK128" s="118"/>
      <c r="AL128" s="118"/>
      <c r="AM128" s="2136"/>
      <c r="AN128" s="303">
        <f t="shared" si="51"/>
        <v>1</v>
      </c>
      <c r="AO128" s="547"/>
      <c r="AP128" s="547"/>
      <c r="AQ128" s="547"/>
      <c r="AR128" s="305">
        <f t="shared" si="53"/>
        <v>1.0874425106376822</v>
      </c>
      <c r="AV128" s="2137"/>
      <c r="AW128" s="2133">
        <f t="shared" si="71"/>
        <v>1</v>
      </c>
    </row>
    <row r="129" spans="1:49">
      <c r="A129" s="110">
        <f t="shared" si="72"/>
        <v>1970</v>
      </c>
      <c r="B129" s="2">
        <v>55632</v>
      </c>
      <c r="C129" s="540">
        <v>0.31</v>
      </c>
      <c r="D129" s="521"/>
      <c r="E129" s="542">
        <v>24416.503000000001</v>
      </c>
      <c r="F129" s="522">
        <f t="shared" si="73"/>
        <v>0.63607701020786711</v>
      </c>
      <c r="G129" s="2051">
        <v>22053.451000000001</v>
      </c>
      <c r="H129" s="154">
        <f t="shared" si="70"/>
        <v>1457</v>
      </c>
      <c r="I129" s="352">
        <v>991</v>
      </c>
      <c r="J129" s="352">
        <v>466</v>
      </c>
      <c r="K129" s="352"/>
      <c r="L129" s="352"/>
      <c r="M129" s="542">
        <v>2245.8119999999999</v>
      </c>
      <c r="N129" s="352"/>
      <c r="O129" s="1157"/>
      <c r="P129" s="352"/>
      <c r="Q129" s="2134"/>
      <c r="R129" s="303">
        <f t="shared" si="80"/>
        <v>0.90321906458103363</v>
      </c>
      <c r="S129" s="203">
        <f t="shared" si="47"/>
        <v>1.1864662712522775E-2</v>
      </c>
      <c r="T129" s="203">
        <f t="shared" si="74"/>
        <v>0.89135440186851089</v>
      </c>
      <c r="U129" s="203">
        <f t="shared" si="48"/>
        <v>0.71071058895230421</v>
      </c>
      <c r="V129" s="309">
        <f t="shared" si="69"/>
        <v>0.18064381291620674</v>
      </c>
      <c r="W129" s="307">
        <f t="shared" si="78"/>
        <v>9.197926500776954E-2</v>
      </c>
      <c r="X129" s="2055">
        <f t="shared" si="49"/>
        <v>2.7035870771158446E-2</v>
      </c>
      <c r="Y129" s="203">
        <f t="shared" si="79"/>
        <v>6.4943394236611093E-2</v>
      </c>
      <c r="Z129" s="203">
        <f t="shared" si="76"/>
        <v>3.8900533483681221E-2</v>
      </c>
      <c r="AA129" s="29">
        <f t="shared" si="81"/>
        <v>0.69499999999999995</v>
      </c>
      <c r="AB129" s="203"/>
      <c r="AC129" s="1155">
        <f t="shared" si="50"/>
        <v>8.3727274846977395E-2</v>
      </c>
      <c r="AD129" s="177">
        <f>1000*(DataUK1!$AO129+DataUK1!$BI129)/DataUK2!$E129</f>
        <v>1384.3505763294604</v>
      </c>
      <c r="AE129" s="176">
        <f>1000*DataUK1!$BI129/(R129*DataUK2!$E129)</f>
        <v>1387.5379413407904</v>
      </c>
      <c r="AF129" s="546"/>
      <c r="AG129" s="546"/>
      <c r="AH129" s="546"/>
      <c r="AI129" s="176">
        <f>1000*DataUK1!$AO129/(W129*DataUK2!$E129)</f>
        <v>1425.3196616635764</v>
      </c>
      <c r="AJ129" s="118"/>
      <c r="AK129" s="118"/>
      <c r="AL129" s="118"/>
      <c r="AM129" s="2136"/>
      <c r="AN129" s="303">
        <f t="shared" si="51"/>
        <v>1</v>
      </c>
      <c r="AO129" s="547"/>
      <c r="AP129" s="547"/>
      <c r="AQ129" s="547"/>
      <c r="AR129" s="305">
        <f t="shared" si="53"/>
        <v>1.0272293241122308</v>
      </c>
      <c r="AV129" s="2137"/>
      <c r="AW129" s="2133">
        <f t="shared" si="71"/>
        <v>1</v>
      </c>
    </row>
    <row r="130" spans="1:49">
      <c r="A130" s="110">
        <f t="shared" si="72"/>
        <v>1971</v>
      </c>
      <c r="B130" s="2">
        <v>55928</v>
      </c>
      <c r="C130" s="540">
        <v>0.31</v>
      </c>
      <c r="D130" s="521"/>
      <c r="E130" s="542">
        <v>24200.187999999998</v>
      </c>
      <c r="F130" s="522">
        <f t="shared" si="73"/>
        <v>0.6271051393199123</v>
      </c>
      <c r="G130" s="2051">
        <v>21719.886999999999</v>
      </c>
      <c r="H130" s="154">
        <f t="shared" si="70"/>
        <v>1510</v>
      </c>
      <c r="I130" s="352">
        <v>996</v>
      </c>
      <c r="J130" s="352">
        <v>514</v>
      </c>
      <c r="K130" s="352"/>
      <c r="L130" s="352"/>
      <c r="M130" s="542">
        <v>2392.2260000000001</v>
      </c>
      <c r="N130" s="352"/>
      <c r="O130" s="1157"/>
      <c r="P130" s="352"/>
      <c r="Q130" s="2134"/>
      <c r="R130" s="303">
        <f t="shared" si="80"/>
        <v>0.89750901935141991</v>
      </c>
      <c r="S130" s="203">
        <f t="shared" si="47"/>
        <v>1.1869770210687868E-2</v>
      </c>
      <c r="T130" s="203">
        <f t="shared" si="74"/>
        <v>0.885639249140732</v>
      </c>
      <c r="U130" s="203">
        <f t="shared" si="48"/>
        <v>0.70613744527044797</v>
      </c>
      <c r="V130" s="309">
        <f t="shared" si="69"/>
        <v>0.179501803870284</v>
      </c>
      <c r="W130" s="307">
        <f t="shared" si="78"/>
        <v>9.8851546111955832E-2</v>
      </c>
      <c r="X130" s="2055">
        <f t="shared" si="49"/>
        <v>2.6419811114111704E-2</v>
      </c>
      <c r="Y130" s="203">
        <f t="shared" si="79"/>
        <v>7.2431734997844124E-2</v>
      </c>
      <c r="Z130" s="203">
        <f t="shared" si="76"/>
        <v>3.8289581324799572E-2</v>
      </c>
      <c r="AA130" s="29">
        <f t="shared" si="81"/>
        <v>0.69</v>
      </c>
      <c r="AB130" s="203"/>
      <c r="AC130" s="1155">
        <f t="shared" si="50"/>
        <v>9.303185488652968E-2</v>
      </c>
      <c r="AD130" s="177">
        <f>1000*(DataUK1!$AO130+DataUK1!$BI130)/DataUK2!$E130</f>
        <v>1541.5582721919352</v>
      </c>
      <c r="AE130" s="176">
        <f>1000*DataUK1!$BI130/(R130*DataUK2!$E130)</f>
        <v>1545.2198254990922</v>
      </c>
      <c r="AF130" s="546"/>
      <c r="AG130" s="546"/>
      <c r="AH130" s="546"/>
      <c r="AI130" s="176">
        <f>1000*DataUK1!$AO130/(W130*DataUK2!$E130)</f>
        <v>1565.0695210235153</v>
      </c>
      <c r="AJ130" s="118"/>
      <c r="AK130" s="118"/>
      <c r="AL130" s="118"/>
      <c r="AM130" s="2136"/>
      <c r="AN130" s="303">
        <f t="shared" si="51"/>
        <v>1</v>
      </c>
      <c r="AO130" s="547"/>
      <c r="AP130" s="547"/>
      <c r="AQ130" s="547"/>
      <c r="AR130" s="305">
        <f t="shared" si="53"/>
        <v>1.0128458716338382</v>
      </c>
      <c r="AV130" s="2137"/>
      <c r="AW130" s="2133">
        <f t="shared" si="71"/>
        <v>1</v>
      </c>
    </row>
    <row r="131" spans="1:49">
      <c r="A131" s="110">
        <f t="shared" si="72"/>
        <v>1972</v>
      </c>
      <c r="B131" s="2">
        <v>56097</v>
      </c>
      <c r="C131" s="540">
        <v>0.31</v>
      </c>
      <c r="D131" s="521"/>
      <c r="E131" s="542">
        <v>24168.142</v>
      </c>
      <c r="F131" s="522">
        <f t="shared" si="73"/>
        <v>0.62438798427051689</v>
      </c>
      <c r="G131" s="2051">
        <v>21717.924999999999</v>
      </c>
      <c r="H131" s="154">
        <f t="shared" si="70"/>
        <v>1551</v>
      </c>
      <c r="I131" s="352">
        <v>1014</v>
      </c>
      <c r="J131" s="352">
        <v>537</v>
      </c>
      <c r="K131" s="352"/>
      <c r="L131" s="352"/>
      <c r="M131" s="542">
        <v>2356.8040000000001</v>
      </c>
      <c r="N131" s="352"/>
      <c r="O131" s="1157"/>
      <c r="P131" s="352"/>
      <c r="Q131" s="2134"/>
      <c r="R131" s="303">
        <f t="shared" si="80"/>
        <v>0.89861789954726345</v>
      </c>
      <c r="S131" s="203">
        <f t="shared" si="47"/>
        <v>1.1868768187264147E-2</v>
      </c>
      <c r="T131" s="203">
        <f t="shared" si="74"/>
        <v>0.88674913135999933</v>
      </c>
      <c r="U131" s="203">
        <f t="shared" si="48"/>
        <v>0.70702555145054657</v>
      </c>
      <c r="V131" s="309">
        <f t="shared" si="69"/>
        <v>0.1797235799094527</v>
      </c>
      <c r="W131" s="307">
        <f t="shared" si="78"/>
        <v>9.7516970894990604E-2</v>
      </c>
      <c r="X131" s="2055">
        <f t="shared" si="49"/>
        <v>2.5809860978653777E-2</v>
      </c>
      <c r="Y131" s="203">
        <f t="shared" si="79"/>
        <v>7.1707109916336831E-2</v>
      </c>
      <c r="Z131" s="203">
        <f t="shared" si="76"/>
        <v>3.7678629165917923E-2</v>
      </c>
      <c r="AA131" s="29">
        <f t="shared" si="81"/>
        <v>0.68499999999999994</v>
      </c>
      <c r="AB131" s="203"/>
      <c r="AC131" s="1155">
        <f t="shared" si="50"/>
        <v>9.2081806085379456E-2</v>
      </c>
      <c r="AD131" s="177">
        <f>1000*(DataUK1!$AO131+DataUK1!$BI131)/DataUK2!$E131</f>
        <v>1753.796382030526</v>
      </c>
      <c r="AE131" s="176">
        <f>1000*DataUK1!$BI131/(R131*DataUK2!$E131)</f>
        <v>1746.4375625203606</v>
      </c>
      <c r="AF131" s="546"/>
      <c r="AG131" s="546"/>
      <c r="AH131" s="546"/>
      <c r="AI131" s="176">
        <f>1000*DataUK1!$AO131/(W131*DataUK2!$E131)</f>
        <v>1891.1203477251395</v>
      </c>
      <c r="AJ131" s="118"/>
      <c r="AK131" s="118"/>
      <c r="AL131" s="118"/>
      <c r="AM131" s="2136"/>
      <c r="AN131" s="303">
        <f t="shared" si="51"/>
        <v>1</v>
      </c>
      <c r="AO131" s="547"/>
      <c r="AP131" s="547"/>
      <c r="AQ131" s="547"/>
      <c r="AR131" s="305">
        <f t="shared" si="53"/>
        <v>1.0828445220772627</v>
      </c>
      <c r="AV131" s="2137"/>
      <c r="AW131" s="2133">
        <f t="shared" si="71"/>
        <v>1</v>
      </c>
    </row>
    <row r="132" spans="1:49">
      <c r="A132" s="110">
        <f t="shared" si="72"/>
        <v>1973</v>
      </c>
      <c r="B132" s="2">
        <v>56223</v>
      </c>
      <c r="C132" s="540">
        <v>0.31</v>
      </c>
      <c r="D132" s="521"/>
      <c r="E132" s="542">
        <v>24621.802</v>
      </c>
      <c r="F132" s="522">
        <f t="shared" si="73"/>
        <v>0.63468279911233405</v>
      </c>
      <c r="G132" s="2051">
        <v>22249.664000000001</v>
      </c>
      <c r="H132" s="154">
        <f t="shared" si="70"/>
        <v>1584</v>
      </c>
      <c r="I132" s="352">
        <v>1022</v>
      </c>
      <c r="J132" s="352">
        <v>562</v>
      </c>
      <c r="K132" s="352"/>
      <c r="L132" s="352"/>
      <c r="M132" s="542">
        <v>2251.7159999999999</v>
      </c>
      <c r="N132" s="352"/>
      <c r="O132" s="1157"/>
      <c r="P132" s="352"/>
      <c r="Q132" s="2134"/>
      <c r="R132" s="303">
        <f t="shared" si="80"/>
        <v>0.903657010969384</v>
      </c>
      <c r="S132" s="203">
        <f t="shared" si="47"/>
        <v>1.1861656642251608E-2</v>
      </c>
      <c r="T132" s="203">
        <f t="shared" si="74"/>
        <v>0.89179535432713242</v>
      </c>
      <c r="U132" s="203">
        <f t="shared" si="48"/>
        <v>0.71106395213325557</v>
      </c>
      <c r="V132" s="309">
        <f t="shared" si="69"/>
        <v>0.18073140219387682</v>
      </c>
      <c r="W132" s="307">
        <f t="shared" si="78"/>
        <v>9.1452120360646219E-2</v>
      </c>
      <c r="X132" s="2055">
        <f t="shared" si="49"/>
        <v>2.5206020364784667E-2</v>
      </c>
      <c r="Y132" s="203">
        <f t="shared" si="79"/>
        <v>6.6246099995861549E-2</v>
      </c>
      <c r="Z132" s="203">
        <f t="shared" si="76"/>
        <v>3.7067677007036275E-2</v>
      </c>
      <c r="AA132" s="307">
        <v>0.68</v>
      </c>
      <c r="AB132" s="203">
        <v>7.0000000000000007E-2</v>
      </c>
      <c r="AC132" s="1155">
        <f t="shared" si="50"/>
        <v>8.5224808060062981E-2</v>
      </c>
      <c r="AD132" s="177">
        <f>1000*(DataUK1!$AO132+DataUK1!$BI132)/DataUK2!$E132</f>
        <v>2008.707567382761</v>
      </c>
      <c r="AE132" s="176">
        <f>1000*DataUK1!$BI132/(R132*DataUK2!$E132)</f>
        <v>1975.4905062836006</v>
      </c>
      <c r="AF132" s="546"/>
      <c r="AG132" s="546"/>
      <c r="AH132" s="546"/>
      <c r="AI132" s="176">
        <f>1000*DataUK1!$AO132/(W132*DataUK2!$E132)</f>
        <v>2444.35799186043</v>
      </c>
      <c r="AJ132" s="118"/>
      <c r="AK132" s="118"/>
      <c r="AL132" s="118"/>
      <c r="AM132" s="2136"/>
      <c r="AN132" s="303">
        <f t="shared" si="51"/>
        <v>1</v>
      </c>
      <c r="AO132" s="547"/>
      <c r="AP132" s="547"/>
      <c r="AQ132" s="547"/>
      <c r="AR132" s="305">
        <f t="shared" si="53"/>
        <v>1.2373423127499046</v>
      </c>
      <c r="AV132" s="2137"/>
      <c r="AW132" s="2133">
        <f t="shared" si="71"/>
        <v>1</v>
      </c>
    </row>
    <row r="133" spans="1:49">
      <c r="A133" s="110">
        <f t="shared" si="72"/>
        <v>1974</v>
      </c>
      <c r="B133" s="2">
        <v>56236</v>
      </c>
      <c r="C133" s="540">
        <v>0.309</v>
      </c>
      <c r="D133" s="521"/>
      <c r="E133" s="542">
        <v>24773.021000000001</v>
      </c>
      <c r="F133" s="522">
        <f t="shared" si="73"/>
        <v>0.63750926553168685</v>
      </c>
      <c r="G133" s="2051">
        <v>22372.297999999999</v>
      </c>
      <c r="H133" s="154">
        <f t="shared" si="70"/>
        <v>1596</v>
      </c>
      <c r="I133" s="352">
        <v>997</v>
      </c>
      <c r="J133" s="352">
        <v>599</v>
      </c>
      <c r="K133" s="352"/>
      <c r="L133" s="352"/>
      <c r="M133" s="542">
        <v>2282.415</v>
      </c>
      <c r="N133" s="352"/>
      <c r="O133" s="1157"/>
      <c r="P133" s="352"/>
      <c r="Q133" s="2134"/>
      <c r="R133" s="303">
        <f t="shared" si="80"/>
        <v>0.9030912297696756</v>
      </c>
      <c r="S133" s="203">
        <f t="shared" si="47"/>
        <v>1.1666151951409479E-2</v>
      </c>
      <c r="T133" s="203">
        <f t="shared" si="74"/>
        <v>0.89142507781826608</v>
      </c>
      <c r="U133" s="203">
        <f t="shared" si="48"/>
        <v>0.71080683186433091</v>
      </c>
      <c r="V133" s="309">
        <f t="shared" si="69"/>
        <v>0.18061824595393514</v>
      </c>
      <c r="W133" s="307">
        <f t="shared" si="78"/>
        <v>9.2133091075165999E-2</v>
      </c>
      <c r="X133" s="2055">
        <f t="shared" si="49"/>
        <v>2.4790572896745147E-2</v>
      </c>
      <c r="Y133" s="203">
        <f t="shared" si="79"/>
        <v>6.7342518178420852E-2</v>
      </c>
      <c r="Z133" s="203">
        <f t="shared" si="76"/>
        <v>3.6456724848154626E-2</v>
      </c>
      <c r="AA133" s="203">
        <f>AA$132</f>
        <v>0.68</v>
      </c>
      <c r="AB133" s="203"/>
      <c r="AC133" s="1155">
        <f t="shared" si="50"/>
        <v>8.6541893499905945E-2</v>
      </c>
      <c r="AD133" s="177">
        <f>1000*(DataUK1!$AO133+DataUK1!$BI133)/DataUK2!$E133</f>
        <v>2362.4490529435225</v>
      </c>
      <c r="AE133" s="176">
        <f>1000*DataUK1!$BI133/(R133*DataUK2!$E133)</f>
        <v>2347.5907571050593</v>
      </c>
      <c r="AF133" s="546"/>
      <c r="AG133" s="546"/>
      <c r="AH133" s="546"/>
      <c r="AI133" s="176">
        <f>1000*DataUK1!$AO133/(W133*DataUK2!$E133)</f>
        <v>2630.5470302289459</v>
      </c>
      <c r="AJ133" s="118"/>
      <c r="AK133" s="118"/>
      <c r="AL133" s="118"/>
      <c r="AM133" s="2136"/>
      <c r="AN133" s="303">
        <f t="shared" si="51"/>
        <v>1</v>
      </c>
      <c r="AO133" s="547"/>
      <c r="AP133" s="547"/>
      <c r="AQ133" s="547"/>
      <c r="AR133" s="305">
        <f t="shared" si="53"/>
        <v>1.1205304937700535</v>
      </c>
      <c r="AV133" s="2137"/>
      <c r="AW133" s="2133">
        <f t="shared" si="71"/>
        <v>1</v>
      </c>
    </row>
    <row r="134" spans="1:49">
      <c r="A134" s="110">
        <f t="shared" si="72"/>
        <v>1975</v>
      </c>
      <c r="B134" s="2">
        <v>56226</v>
      </c>
      <c r="C134" s="540">
        <v>0.308</v>
      </c>
      <c r="D134" s="521"/>
      <c r="E134" s="542">
        <v>24754.994999999999</v>
      </c>
      <c r="F134" s="522">
        <f t="shared" si="73"/>
        <v>0.63623793550758923</v>
      </c>
      <c r="G134" s="2051">
        <v>22292.830999999998</v>
      </c>
      <c r="H134" s="154">
        <f t="shared" si="70"/>
        <v>1655</v>
      </c>
      <c r="I134" s="352">
        <v>1026</v>
      </c>
      <c r="J134" s="352">
        <v>629</v>
      </c>
      <c r="K134" s="352"/>
      <c r="L134" s="352"/>
      <c r="M134" s="542">
        <v>2356.8040000000001</v>
      </c>
      <c r="N134" s="352"/>
      <c r="O134" s="1157"/>
      <c r="P134" s="352"/>
      <c r="Q134" s="2134"/>
      <c r="R134" s="303">
        <f t="shared" si="80"/>
        <v>0.90053869936148234</v>
      </c>
      <c r="S134" s="203">
        <f t="shared" si="47"/>
        <v>1.1470647260567349E-2</v>
      </c>
      <c r="T134" s="203">
        <f t="shared" si="74"/>
        <v>0.889068052100915</v>
      </c>
      <c r="U134" s="203">
        <f t="shared" si="48"/>
        <v>0.70896031222861855</v>
      </c>
      <c r="V134" s="309">
        <f t="shared" si="69"/>
        <v>0.18010773987229647</v>
      </c>
      <c r="W134" s="307">
        <f t="shared" si="78"/>
        <v>9.5205189902078352E-2</v>
      </c>
      <c r="X134" s="2055">
        <f t="shared" si="49"/>
        <v>2.4375125428705628E-2</v>
      </c>
      <c r="Y134" s="203">
        <f t="shared" si="79"/>
        <v>7.0830064473372728E-2</v>
      </c>
      <c r="Z134" s="203">
        <f t="shared" si="76"/>
        <v>3.5845772689272977E-2</v>
      </c>
      <c r="AA134" s="203">
        <f t="shared" ref="AA134:AA169" si="82">AA$132</f>
        <v>0.68</v>
      </c>
      <c r="AB134" s="203"/>
      <c r="AC134" s="1155">
        <f t="shared" si="50"/>
        <v>9.0832185917628372E-2</v>
      </c>
      <c r="AD134" s="177">
        <f>1000*(DataUK1!$AO134+DataUK1!$BI134)/DataUK2!$E134</f>
        <v>3062.9373990986469</v>
      </c>
      <c r="AE134" s="176">
        <f>1000*DataUK1!$BI134/(R134*DataUK2!$E134)</f>
        <v>3082.1567704882345</v>
      </c>
      <c r="AF134" s="546"/>
      <c r="AG134" s="546"/>
      <c r="AH134" s="546"/>
      <c r="AI134" s="176">
        <f>1000*DataUK1!$AO134/(W134*DataUK2!$E134)</f>
        <v>3018.0702340966832</v>
      </c>
      <c r="AJ134" s="118"/>
      <c r="AK134" s="118"/>
      <c r="AL134" s="118"/>
      <c r="AM134" s="2136"/>
      <c r="AN134" s="303">
        <f t="shared" si="51"/>
        <v>1</v>
      </c>
      <c r="AO134" s="547"/>
      <c r="AP134" s="547"/>
      <c r="AQ134" s="547"/>
      <c r="AR134" s="305">
        <f t="shared" si="53"/>
        <v>0.97920724312105656</v>
      </c>
      <c r="AV134" s="2137"/>
      <c r="AW134" s="2133">
        <f t="shared" si="71"/>
        <v>1</v>
      </c>
    </row>
    <row r="135" spans="1:49">
      <c r="A135" s="110">
        <f t="shared" si="72"/>
        <v>1976</v>
      </c>
      <c r="B135" s="2">
        <v>56216</v>
      </c>
      <c r="C135" s="540">
        <v>0.30599999999999999</v>
      </c>
      <c r="D135" s="521"/>
      <c r="E135" s="542">
        <v>24544.688999999998</v>
      </c>
      <c r="F135" s="522">
        <f t="shared" si="73"/>
        <v>0.62912670826277728</v>
      </c>
      <c r="G135" s="2051">
        <v>22129.973999999998</v>
      </c>
      <c r="H135" s="154">
        <f t="shared" si="70"/>
        <v>1627</v>
      </c>
      <c r="I135" s="352">
        <v>1018</v>
      </c>
      <c r="J135" s="352">
        <v>609</v>
      </c>
      <c r="K135" s="352"/>
      <c r="L135" s="352"/>
      <c r="M135" s="542">
        <v>2304.85</v>
      </c>
      <c r="N135" s="352"/>
      <c r="O135" s="1157"/>
      <c r="P135" s="352"/>
      <c r="Q135" s="2134"/>
      <c r="R135" s="303">
        <f t="shared" si="80"/>
        <v>0.90161965384853726</v>
      </c>
      <c r="S135" s="203">
        <f t="shared" si="47"/>
        <v>1.1275142569725224E-2</v>
      </c>
      <c r="T135" s="203">
        <f t="shared" si="74"/>
        <v>0.89034451127881209</v>
      </c>
      <c r="U135" s="203">
        <f t="shared" si="48"/>
        <v>0.71002058050910466</v>
      </c>
      <c r="V135" s="309">
        <f t="shared" si="69"/>
        <v>0.18032393076970746</v>
      </c>
      <c r="W135" s="307">
        <f t="shared" si="78"/>
        <v>9.3904225064738042E-2</v>
      </c>
      <c r="X135" s="2055">
        <f t="shared" si="49"/>
        <v>2.3959677960666104E-2</v>
      </c>
      <c r="Y135" s="203">
        <f t="shared" si="79"/>
        <v>6.9944547104071941E-2</v>
      </c>
      <c r="Z135" s="203">
        <f t="shared" si="76"/>
        <v>3.5234820530391328E-2</v>
      </c>
      <c r="AA135" s="203">
        <f t="shared" si="82"/>
        <v>0.68</v>
      </c>
      <c r="AB135" s="203"/>
      <c r="AC135" s="1155">
        <f t="shared" si="50"/>
        <v>8.9676505561362627E-2</v>
      </c>
      <c r="AD135" s="177">
        <f>1000*(DataUK1!$AO135+DataUK1!$BI135)/DataUK2!$E135</f>
        <v>3536.0399147856388</v>
      </c>
      <c r="AE135" s="176">
        <f>1000*DataUK1!$BI135/(R135*DataUK2!$E135)</f>
        <v>3531.770981746296</v>
      </c>
      <c r="AF135" s="546"/>
      <c r="AG135" s="546"/>
      <c r="AH135" s="546"/>
      <c r="AI135" s="176">
        <f>1000*DataUK1!$AO135/(W135*DataUK2!$E135)</f>
        <v>3745.579972666334</v>
      </c>
      <c r="AJ135" s="118"/>
      <c r="AK135" s="118"/>
      <c r="AL135" s="118"/>
      <c r="AM135" s="2136"/>
      <c r="AN135" s="303">
        <f t="shared" si="51"/>
        <v>1</v>
      </c>
      <c r="AO135" s="547"/>
      <c r="AP135" s="547"/>
      <c r="AQ135" s="547"/>
      <c r="AR135" s="305">
        <f t="shared" si="53"/>
        <v>1.0605387472814898</v>
      </c>
      <c r="AV135" s="2137"/>
      <c r="AW135" s="2133">
        <f t="shared" si="71"/>
        <v>1</v>
      </c>
    </row>
    <row r="136" spans="1:49">
      <c r="A136" s="110">
        <f t="shared" si="72"/>
        <v>1977</v>
      </c>
      <c r="B136" s="2">
        <v>56190</v>
      </c>
      <c r="C136" s="540">
        <v>0.30299999999999999</v>
      </c>
      <c r="D136" s="521"/>
      <c r="E136" s="542">
        <v>24573.732</v>
      </c>
      <c r="F136" s="522">
        <f t="shared" si="73"/>
        <v>0.62745026545771254</v>
      </c>
      <c r="G136" s="2051">
        <v>22202.573</v>
      </c>
      <c r="H136" s="154">
        <f t="shared" si="70"/>
        <v>1614</v>
      </c>
      <c r="I136" s="352">
        <v>1005</v>
      </c>
      <c r="J136" s="352">
        <v>609</v>
      </c>
      <c r="K136" s="352"/>
      <c r="L136" s="352"/>
      <c r="M136" s="542">
        <v>2251.7159999999999</v>
      </c>
      <c r="N136" s="352"/>
      <c r="O136" s="1157"/>
      <c r="P136" s="352"/>
      <c r="Q136" s="2134"/>
      <c r="R136" s="303">
        <f t="shared" si="80"/>
        <v>0.90350838855083149</v>
      </c>
      <c r="S136" s="203">
        <f t="shared" si="47"/>
        <v>1.1079637878883095E-2</v>
      </c>
      <c r="T136" s="203">
        <f t="shared" si="74"/>
        <v>0.89242875067194838</v>
      </c>
      <c r="U136" s="203">
        <f t="shared" si="48"/>
        <v>0.71172707296178206</v>
      </c>
      <c r="V136" s="309">
        <f t="shared" si="69"/>
        <v>0.18070167771016632</v>
      </c>
      <c r="W136" s="307">
        <f t="shared" si="78"/>
        <v>9.1631014776265965E-2</v>
      </c>
      <c r="X136" s="2055">
        <f t="shared" si="49"/>
        <v>2.3544230492626585E-2</v>
      </c>
      <c r="Y136" s="203">
        <f t="shared" si="79"/>
        <v>6.8086784283639373E-2</v>
      </c>
      <c r="Z136" s="203">
        <f t="shared" si="76"/>
        <v>3.4623868371509679E-2</v>
      </c>
      <c r="AA136" s="203">
        <f t="shared" si="82"/>
        <v>0.68</v>
      </c>
      <c r="AB136" s="203"/>
      <c r="AC136" s="1155">
        <f t="shared" si="50"/>
        <v>8.7311585516248708E-2</v>
      </c>
      <c r="AD136" s="177">
        <f>1000*(DataUK1!$AO136+DataUK1!$BI136)/DataUK2!$E136</f>
        <v>3905.1048493570288</v>
      </c>
      <c r="AE136" s="176">
        <f>1000*DataUK1!$BI136/(R136*DataUK2!$E136)</f>
        <v>3902.3855478371806</v>
      </c>
      <c r="AF136" s="546"/>
      <c r="AG136" s="546"/>
      <c r="AH136" s="546"/>
      <c r="AI136" s="176">
        <f>1000*DataUK1!$AO136/(W136*DataUK2!$E136)</f>
        <v>4139.0654949380832</v>
      </c>
      <c r="AJ136" s="118"/>
      <c r="AK136" s="118"/>
      <c r="AL136" s="118"/>
      <c r="AM136" s="2136"/>
      <c r="AN136" s="303">
        <f t="shared" si="51"/>
        <v>1</v>
      </c>
      <c r="AO136" s="547"/>
      <c r="AP136" s="547"/>
      <c r="AQ136" s="547"/>
      <c r="AR136" s="305">
        <f t="shared" si="53"/>
        <v>1.0606500675547237</v>
      </c>
      <c r="AV136" s="2137"/>
      <c r="AW136" s="2133">
        <f t="shared" si="71"/>
        <v>1</v>
      </c>
    </row>
    <row r="137" spans="1:49">
      <c r="A137" s="110">
        <f t="shared" si="72"/>
        <v>1978</v>
      </c>
      <c r="B137" s="2">
        <v>56178</v>
      </c>
      <c r="C137" s="540">
        <v>0.3</v>
      </c>
      <c r="D137" s="521"/>
      <c r="E137" s="542">
        <v>24848.131000000001</v>
      </c>
      <c r="F137" s="522">
        <f t="shared" si="73"/>
        <v>0.63187244116914099</v>
      </c>
      <c r="G137" s="2051">
        <v>22355.62</v>
      </c>
      <c r="H137" s="154">
        <f>I137+J137</f>
        <v>1605</v>
      </c>
      <c r="I137" s="352">
        <v>986</v>
      </c>
      <c r="J137" s="352">
        <v>619</v>
      </c>
      <c r="K137" s="352"/>
      <c r="L137" s="352"/>
      <c r="M137" s="542">
        <v>2391.0459999999998</v>
      </c>
      <c r="N137" s="352"/>
      <c r="O137" s="1157"/>
      <c r="P137" s="352"/>
      <c r="Q137" s="2134"/>
      <c r="R137" s="303">
        <f t="shared" si="80"/>
        <v>0.89969020205181616</v>
      </c>
      <c r="S137" s="203">
        <f t="shared" si="47"/>
        <v>1.0884133188040969E-2</v>
      </c>
      <c r="T137" s="203">
        <f t="shared" si="74"/>
        <v>0.88880606886377522</v>
      </c>
      <c r="U137" s="203">
        <f t="shared" si="48"/>
        <v>0.70886802845341201</v>
      </c>
      <c r="V137" s="309">
        <f t="shared" ref="V137:V169" si="83">0.2*R137</f>
        <v>0.17993804041036324</v>
      </c>
      <c r="W137" s="307">
        <f t="shared" si="78"/>
        <v>9.6226392238514827E-2</v>
      </c>
      <c r="X137" s="2055">
        <f t="shared" si="49"/>
        <v>2.3128783024587062E-2</v>
      </c>
      <c r="Y137" s="203">
        <f t="shared" si="79"/>
        <v>7.3097609213927772E-2</v>
      </c>
      <c r="Z137" s="203">
        <f t="shared" si="76"/>
        <v>3.401291621262803E-2</v>
      </c>
      <c r="AA137" s="203">
        <f t="shared" si="82"/>
        <v>0.68</v>
      </c>
      <c r="AB137" s="203"/>
      <c r="AC137" s="1155">
        <f t="shared" si="50"/>
        <v>9.3479311229049955E-2</v>
      </c>
      <c r="AD137" s="177">
        <f>1000*(DataUK1!$AO137+DataUK1!$BI137)/DataUK2!$E137</f>
        <v>4389.4247016002928</v>
      </c>
      <c r="AE137" s="176">
        <f>1000*DataUK1!$BI137/(R137*DataUK2!$E137)</f>
        <v>4423.5409261742689</v>
      </c>
      <c r="AF137" s="546"/>
      <c r="AG137" s="546"/>
      <c r="AH137" s="546"/>
      <c r="AI137" s="176">
        <f>1000*DataUK1!$AO137/(W137*DataUK2!$E137)</f>
        <v>4256.714425402105</v>
      </c>
      <c r="AJ137" s="118"/>
      <c r="AK137" s="118"/>
      <c r="AL137" s="118"/>
      <c r="AM137" s="2136"/>
      <c r="AN137" s="303">
        <f t="shared" si="51"/>
        <v>1</v>
      </c>
      <c r="AO137" s="547"/>
      <c r="AP137" s="547"/>
      <c r="AQ137" s="547"/>
      <c r="AR137" s="305">
        <f t="shared" si="53"/>
        <v>0.96228666049294476</v>
      </c>
      <c r="AV137" s="2137"/>
      <c r="AW137" s="2133">
        <f t="shared" si="71"/>
        <v>1</v>
      </c>
    </row>
    <row r="138" spans="1:49">
      <c r="A138" s="110">
        <f t="shared" si="72"/>
        <v>1979</v>
      </c>
      <c r="B138" s="2">
        <v>56240</v>
      </c>
      <c r="C138" s="540">
        <v>0.29799999999999999</v>
      </c>
      <c r="D138" s="521"/>
      <c r="E138" s="542">
        <v>25229.685000000001</v>
      </c>
      <c r="F138" s="522">
        <f t="shared" si="73"/>
        <v>0.63904200252884469</v>
      </c>
      <c r="G138" s="2051">
        <v>22731.368999999999</v>
      </c>
      <c r="H138" s="352"/>
      <c r="I138" s="352"/>
      <c r="J138" s="352"/>
      <c r="K138" s="352"/>
      <c r="L138" s="352"/>
      <c r="M138" s="542">
        <v>2388.6840000000002</v>
      </c>
      <c r="N138" s="352"/>
      <c r="O138" s="1157"/>
      <c r="P138" s="352"/>
      <c r="Q138" s="2134"/>
      <c r="R138" s="303">
        <f t="shared" si="80"/>
        <v>0.90097712278215114</v>
      </c>
      <c r="S138" s="203">
        <f t="shared" si="47"/>
        <v>1.068862849719884E-2</v>
      </c>
      <c r="T138" s="203">
        <f t="shared" si="74"/>
        <v>0.89028849428495227</v>
      </c>
      <c r="U138" s="203">
        <f t="shared" si="48"/>
        <v>0.71009306972852204</v>
      </c>
      <c r="V138" s="309">
        <f t="shared" si="83"/>
        <v>0.18019542455643023</v>
      </c>
      <c r="W138" s="307">
        <f t="shared" si="78"/>
        <v>9.4677519755002895E-2</v>
      </c>
      <c r="X138" s="2055">
        <f t="shared" si="49"/>
        <v>2.2713335556547542E-2</v>
      </c>
      <c r="Y138" s="203">
        <f t="shared" si="79"/>
        <v>7.196418419845535E-2</v>
      </c>
      <c r="Z138" s="203">
        <f t="shared" si="76"/>
        <v>3.3401964053746382E-2</v>
      </c>
      <c r="AA138" s="203">
        <f t="shared" si="82"/>
        <v>0.68</v>
      </c>
      <c r="AB138" s="203"/>
      <c r="AC138" s="1155">
        <f t="shared" si="50"/>
        <v>9.2019073842865756E-2</v>
      </c>
      <c r="AD138" s="177">
        <f>1000*(DataUK1!$AO138+DataUK1!$BI138)/DataUK2!$E138</f>
        <v>5045.7625610466403</v>
      </c>
      <c r="AE138" s="176">
        <f>1000*DataUK1!$BI138/(R138*DataUK2!$E138)</f>
        <v>5101.2325742457488</v>
      </c>
      <c r="AF138" s="546"/>
      <c r="AG138" s="546"/>
      <c r="AH138" s="546"/>
      <c r="AI138" s="176">
        <f>1000*DataUK1!$AO138/(W138*DataUK2!$E138)</f>
        <v>4749.4771179444406</v>
      </c>
      <c r="AJ138" s="118"/>
      <c r="AK138" s="118"/>
      <c r="AL138" s="118"/>
      <c r="AM138" s="2136"/>
      <c r="AN138" s="303">
        <f t="shared" si="51"/>
        <v>1</v>
      </c>
      <c r="AO138" s="547"/>
      <c r="AP138" s="547"/>
      <c r="AQ138" s="547"/>
      <c r="AR138" s="305">
        <f t="shared" si="53"/>
        <v>0.93104500702885173</v>
      </c>
      <c r="AV138" s="2137"/>
      <c r="AW138" s="2133">
        <f t="shared" si="71"/>
        <v>1</v>
      </c>
    </row>
    <row r="139" spans="1:49">
      <c r="A139" s="110">
        <f t="shared" si="72"/>
        <v>1980</v>
      </c>
      <c r="B139" s="2">
        <v>56330</v>
      </c>
      <c r="C139" s="540">
        <v>0.29499999999999998</v>
      </c>
      <c r="D139" s="521"/>
      <c r="E139" s="542">
        <v>24995.579000000002</v>
      </c>
      <c r="F139" s="522">
        <f t="shared" si="73"/>
        <v>0.62941100631662705</v>
      </c>
      <c r="G139" s="2051">
        <v>22376.412</v>
      </c>
      <c r="H139" s="352"/>
      <c r="I139" s="352"/>
      <c r="J139" s="352"/>
      <c r="K139" s="352"/>
      <c r="L139" s="352"/>
      <c r="M139" s="542">
        <v>2521.922</v>
      </c>
      <c r="N139" s="352"/>
      <c r="O139" s="1157"/>
      <c r="P139" s="352"/>
      <c r="Q139" s="2134"/>
      <c r="R139" s="303">
        <f t="shared" si="80"/>
        <v>0.89521478978342528</v>
      </c>
      <c r="S139" s="203">
        <f t="shared" si="47"/>
        <v>1.0493123806356714E-2</v>
      </c>
      <c r="T139" s="203">
        <f t="shared" si="74"/>
        <v>0.88472166597706858</v>
      </c>
      <c r="U139" s="203">
        <f t="shared" si="48"/>
        <v>0.70567870802038346</v>
      </c>
      <c r="V139" s="309">
        <f t="shared" si="83"/>
        <v>0.17904295795668507</v>
      </c>
      <c r="W139" s="307">
        <f t="shared" si="78"/>
        <v>0.10089472222267785</v>
      </c>
      <c r="X139" s="2055">
        <f t="shared" si="49"/>
        <v>2.2297888088508019E-2</v>
      </c>
      <c r="Y139" s="203">
        <f t="shared" si="79"/>
        <v>7.8596834134169832E-2</v>
      </c>
      <c r="Z139" s="203">
        <f t="shared" si="76"/>
        <v>3.2791011894864733E-2</v>
      </c>
      <c r="AA139" s="203">
        <f t="shared" si="82"/>
        <v>0.68</v>
      </c>
      <c r="AB139" s="203"/>
      <c r="AC139" s="1155">
        <f t="shared" si="50"/>
        <v>0.10021584240437928</v>
      </c>
      <c r="AD139" s="177">
        <f>1000*(DataUK1!$AO139+DataUK1!$BI139)/DataUK2!$E139</f>
        <v>6027.7059395183442</v>
      </c>
      <c r="AE139" s="176">
        <f>1000*DataUK1!$BI139/(R139*DataUK2!$E139)</f>
        <v>6164.5718714868135</v>
      </c>
      <c r="AF139" s="546"/>
      <c r="AG139" s="546"/>
      <c r="AH139" s="546"/>
      <c r="AI139" s="176">
        <f>1000*DataUK1!$AO139/(W139*DataUK2!$E139)</f>
        <v>5045.7547854374561</v>
      </c>
      <c r="AJ139" s="118"/>
      <c r="AK139" s="118"/>
      <c r="AL139" s="118"/>
      <c r="AM139" s="2136"/>
      <c r="AN139" s="303">
        <f t="shared" si="51"/>
        <v>1</v>
      </c>
      <c r="AO139" s="547"/>
      <c r="AP139" s="547"/>
      <c r="AQ139" s="547"/>
      <c r="AR139" s="305">
        <f t="shared" si="53"/>
        <v>0.81850855024916536</v>
      </c>
      <c r="AV139" s="2137"/>
      <c r="AW139" s="2133">
        <f t="shared" si="71"/>
        <v>1</v>
      </c>
    </row>
    <row r="140" spans="1:49">
      <c r="A140" s="110">
        <f t="shared" si="72"/>
        <v>1981</v>
      </c>
      <c r="B140" s="2">
        <v>56357</v>
      </c>
      <c r="C140" s="540">
        <v>0.29199999999999998</v>
      </c>
      <c r="D140" s="521"/>
      <c r="E140" s="542">
        <v>24198.554</v>
      </c>
      <c r="F140" s="522">
        <f t="shared" si="73"/>
        <v>0.60646855914208742</v>
      </c>
      <c r="G140" s="2051">
        <v>21463.894</v>
      </c>
      <c r="H140" s="352"/>
      <c r="I140" s="352"/>
      <c r="J140" s="352"/>
      <c r="K140" s="352"/>
      <c r="L140" s="352"/>
      <c r="M140" s="542">
        <v>2656.2249999999999</v>
      </c>
      <c r="N140" s="352"/>
      <c r="O140" s="1157"/>
      <c r="P140" s="352"/>
      <c r="Q140" s="2134"/>
      <c r="R140" s="303">
        <f t="shared" si="80"/>
        <v>0.88699076812606237</v>
      </c>
      <c r="S140" s="203">
        <f t="shared" si="47"/>
        <v>1.0297619115514585E-2</v>
      </c>
      <c r="T140" s="203">
        <f t="shared" si="74"/>
        <v>0.87669314901054773</v>
      </c>
      <c r="U140" s="203">
        <f t="shared" si="48"/>
        <v>0.69929499538533524</v>
      </c>
      <c r="V140" s="309">
        <f t="shared" si="83"/>
        <v>0.1773981536252125</v>
      </c>
      <c r="W140" s="307">
        <f t="shared" si="78"/>
        <v>0.10976792249652603</v>
      </c>
      <c r="X140" s="2055">
        <f t="shared" si="49"/>
        <v>2.1882440620468499E-2</v>
      </c>
      <c r="Y140" s="203">
        <f t="shared" si="79"/>
        <v>8.7885481876057533E-2</v>
      </c>
      <c r="Z140" s="203">
        <f t="shared" si="76"/>
        <v>3.2180059735983084E-2</v>
      </c>
      <c r="AA140" s="203">
        <f t="shared" si="82"/>
        <v>0.68</v>
      </c>
      <c r="AB140" s="203"/>
      <c r="AC140" s="1155">
        <f t="shared" si="50"/>
        <v>0.11164591147104136</v>
      </c>
      <c r="AD140" s="177">
        <f>1000*(DataUK1!$AO140+DataUK1!$BI140)/DataUK2!$E140</f>
        <v>6776.0247161875868</v>
      </c>
      <c r="AE140" s="176">
        <f>1000*DataUK1!$BI140/(R140*DataUK2!$E140)</f>
        <v>6977.8112023848053</v>
      </c>
      <c r="AF140" s="546"/>
      <c r="AG140" s="546"/>
      <c r="AH140" s="546"/>
      <c r="AI140" s="176">
        <f>1000*DataUK1!$AO140/(W140*DataUK2!$E140)</f>
        <v>5345.5561934700563</v>
      </c>
      <c r="AJ140" s="118"/>
      <c r="AK140" s="118"/>
      <c r="AL140" s="118"/>
      <c r="AM140" s="2136"/>
      <c r="AN140" s="303">
        <f t="shared" si="51"/>
        <v>1</v>
      </c>
      <c r="AO140" s="547"/>
      <c r="AP140" s="547"/>
      <c r="AQ140" s="547"/>
      <c r="AR140" s="305">
        <f t="shared" si="53"/>
        <v>0.76607922433371467</v>
      </c>
      <c r="AV140" s="2137"/>
      <c r="AW140" s="2133">
        <f t="shared" ref="AW140:AW169" si="84">AW139</f>
        <v>1</v>
      </c>
    </row>
    <row r="141" spans="1:49">
      <c r="A141" s="110">
        <f t="shared" ref="A141:A170" si="85">A140+1</f>
        <v>1982</v>
      </c>
      <c r="B141" s="2">
        <v>56291</v>
      </c>
      <c r="C141" s="540">
        <v>0.28800000000000003</v>
      </c>
      <c r="D141" s="521"/>
      <c r="E141" s="542">
        <v>23762.911</v>
      </c>
      <c r="F141" s="522">
        <f t="shared" ref="F141:F169" si="86">E141/((1-C141)*B141)</f>
        <v>0.59289895365156076</v>
      </c>
      <c r="G141" s="2051">
        <v>20969.935000000001</v>
      </c>
      <c r="H141" s="352"/>
      <c r="I141" s="352"/>
      <c r="J141" s="352"/>
      <c r="K141" s="352"/>
      <c r="L141" s="352"/>
      <c r="M141" s="542">
        <v>2724.4430000000002</v>
      </c>
      <c r="N141" s="352"/>
      <c r="O141" s="1157"/>
      <c r="P141" s="352"/>
      <c r="Q141" s="2134"/>
      <c r="R141" s="303">
        <f t="shared" si="80"/>
        <v>0.8824649050783383</v>
      </c>
      <c r="S141" s="203">
        <f t="shared" si="47"/>
        <v>1.0102114424672459E-2</v>
      </c>
      <c r="T141" s="203">
        <f t="shared" ref="T141:T169" si="87">R141-S141</f>
        <v>0.87236279065366584</v>
      </c>
      <c r="U141" s="203">
        <f t="shared" si="48"/>
        <v>0.69586980963799816</v>
      </c>
      <c r="V141" s="309">
        <f t="shared" si="83"/>
        <v>0.17649298101566768</v>
      </c>
      <c r="W141" s="307">
        <f t="shared" si="78"/>
        <v>0.11465106274227094</v>
      </c>
      <c r="X141" s="2055">
        <f t="shared" si="49"/>
        <v>2.1466993152428976E-2</v>
      </c>
      <c r="Y141" s="203">
        <f t="shared" si="79"/>
        <v>9.3184069589841961E-2</v>
      </c>
      <c r="Z141" s="203">
        <f t="shared" si="76"/>
        <v>3.1569107577101435E-2</v>
      </c>
      <c r="AA141" s="203">
        <f t="shared" si="82"/>
        <v>0.68</v>
      </c>
      <c r="AB141" s="203"/>
      <c r="AC141" s="1155">
        <f t="shared" si="50"/>
        <v>0.11809595268833976</v>
      </c>
      <c r="AD141" s="177">
        <f>1000*(DataUK1!$AO141+DataUK1!$BI141)/DataUK2!$E141</f>
        <v>7350.8249894131241</v>
      </c>
      <c r="AE141" s="176">
        <f>1000*DataUK1!$BI141/(R141*DataUK2!$E141)</f>
        <v>7575.0354018741591</v>
      </c>
      <c r="AF141" s="546"/>
      <c r="AG141" s="546"/>
      <c r="AH141" s="546"/>
      <c r="AI141" s="176">
        <f>1000*DataUK1!$AO141/(W141*DataUK2!$E141)</f>
        <v>5809.9949237330338</v>
      </c>
      <c r="AJ141" s="118"/>
      <c r="AK141" s="118"/>
      <c r="AL141" s="118"/>
      <c r="AM141" s="2136"/>
      <c r="AN141" s="303">
        <f t="shared" si="51"/>
        <v>1</v>
      </c>
      <c r="AO141" s="547"/>
      <c r="AP141" s="547"/>
      <c r="AQ141" s="547"/>
      <c r="AR141" s="305">
        <f t="shared" si="53"/>
        <v>0.76699244498521657</v>
      </c>
      <c r="AV141" s="2137"/>
      <c r="AW141" s="2133">
        <f t="shared" si="84"/>
        <v>1</v>
      </c>
    </row>
    <row r="142" spans="1:49">
      <c r="A142" s="110">
        <f t="shared" si="85"/>
        <v>1983</v>
      </c>
      <c r="B142" s="2">
        <v>56316</v>
      </c>
      <c r="C142" s="540">
        <v>0.28399999999999997</v>
      </c>
      <c r="D142" s="521"/>
      <c r="E142" s="542">
        <v>23638.757000000001</v>
      </c>
      <c r="F142" s="522">
        <f t="shared" si="86"/>
        <v>0.58624589358293844</v>
      </c>
      <c r="G142" s="2051">
        <v>20742.46</v>
      </c>
      <c r="H142" s="352"/>
      <c r="I142" s="352"/>
      <c r="J142" s="352"/>
      <c r="K142" s="352"/>
      <c r="L142" s="352"/>
      <c r="M142" s="542">
        <v>2837.4279999999999</v>
      </c>
      <c r="N142" s="352"/>
      <c r="O142" s="1157"/>
      <c r="P142" s="352"/>
      <c r="Q142" s="2134"/>
      <c r="R142" s="303">
        <f t="shared" si="80"/>
        <v>0.8774767641124277</v>
      </c>
      <c r="S142" s="203">
        <f t="shared" ref="S142:S169" si="88">Z142-X142</f>
        <v>9.9066097338303301E-3</v>
      </c>
      <c r="T142" s="203">
        <f t="shared" si="87"/>
        <v>0.86757015437859741</v>
      </c>
      <c r="U142" s="203">
        <f t="shared" ref="U142:U169" si="89">T142-V142</f>
        <v>0.6920748015561119</v>
      </c>
      <c r="V142" s="309">
        <f t="shared" si="83"/>
        <v>0.17549535282248555</v>
      </c>
      <c r="W142" s="307">
        <f t="shared" si="78"/>
        <v>0.12003287651715358</v>
      </c>
      <c r="X142" s="2055">
        <f t="shared" ref="X142:X169" si="90">AA142*Z142</f>
        <v>2.105154568438946E-2</v>
      </c>
      <c r="Y142" s="203">
        <f t="shared" si="79"/>
        <v>9.8981330832764114E-2</v>
      </c>
      <c r="Z142" s="203">
        <f t="shared" si="76"/>
        <v>3.095815541821979E-2</v>
      </c>
      <c r="AA142" s="203">
        <f t="shared" si="82"/>
        <v>0.68</v>
      </c>
      <c r="AB142" s="203"/>
      <c r="AC142" s="1155">
        <f t="shared" ref="AC142:AC169" si="91">Y142/(Y142+U142)</f>
        <v>0.12512554644365714</v>
      </c>
      <c r="AD142" s="177">
        <f>1000*(DataUK1!$AO142+DataUK1!$BI142)/DataUK2!$E142</f>
        <v>7935.0195951504556</v>
      </c>
      <c r="AE142" s="176">
        <f>1000*DataUK1!$BI142/(R142*DataUK2!$E142)</f>
        <v>8201.727278249542</v>
      </c>
      <c r="AF142" s="546"/>
      <c r="AG142" s="546"/>
      <c r="AH142" s="546"/>
      <c r="AI142" s="176">
        <f>1000*DataUK1!$AO142/(W142*DataUK2!$E142)</f>
        <v>6149.9357869168844</v>
      </c>
      <c r="AJ142" s="118"/>
      <c r="AK142" s="118"/>
      <c r="AL142" s="118"/>
      <c r="AM142" s="2136"/>
      <c r="AN142" s="303">
        <f t="shared" ref="AN142:AN169" si="92">AE142/$AE142</f>
        <v>1</v>
      </c>
      <c r="AO142" s="547"/>
      <c r="AP142" s="547"/>
      <c r="AQ142" s="547"/>
      <c r="AR142" s="305">
        <f t="shared" ref="AR142:AR169" si="93">AI142/$AE142</f>
        <v>0.74983422128971811</v>
      </c>
      <c r="AV142" s="2137"/>
      <c r="AW142" s="2133">
        <f t="shared" si="84"/>
        <v>1</v>
      </c>
    </row>
    <row r="143" spans="1:49">
      <c r="A143" s="110">
        <f t="shared" si="85"/>
        <v>1984</v>
      </c>
      <c r="B143" s="2">
        <v>56409</v>
      </c>
      <c r="C143" s="540">
        <v>0.27899999999999997</v>
      </c>
      <c r="D143" s="521"/>
      <c r="E143" s="542">
        <v>24111.966</v>
      </c>
      <c r="F143" s="522">
        <f t="shared" si="86"/>
        <v>0.59285564178348793</v>
      </c>
      <c r="G143" s="2051">
        <v>20948.538</v>
      </c>
      <c r="H143" s="352"/>
      <c r="I143" s="352"/>
      <c r="J143" s="352"/>
      <c r="K143" s="352"/>
      <c r="L143" s="352"/>
      <c r="M143" s="542">
        <v>3119.8919999999998</v>
      </c>
      <c r="N143" s="352"/>
      <c r="O143" s="1157"/>
      <c r="P143" s="352"/>
      <c r="Q143" s="2134"/>
      <c r="R143" s="303">
        <f t="shared" si="80"/>
        <v>0.86880256881583195</v>
      </c>
      <c r="S143" s="203">
        <f t="shared" si="88"/>
        <v>9.7111050429882044E-3</v>
      </c>
      <c r="T143" s="203">
        <f t="shared" si="87"/>
        <v>0.85909146377284373</v>
      </c>
      <c r="U143" s="203">
        <f t="shared" si="89"/>
        <v>0.68533095000967736</v>
      </c>
      <c r="V143" s="309">
        <f t="shared" si="83"/>
        <v>0.1737605137631664</v>
      </c>
      <c r="W143" s="307">
        <f t="shared" si="78"/>
        <v>0.12939185465009365</v>
      </c>
      <c r="X143" s="2055">
        <f t="shared" si="90"/>
        <v>2.063609821634994E-2</v>
      </c>
      <c r="Y143" s="203">
        <f t="shared" si="79"/>
        <v>0.1087557564337437</v>
      </c>
      <c r="Z143" s="203">
        <f t="shared" si="76"/>
        <v>3.0347203259338144E-2</v>
      </c>
      <c r="AA143" s="203">
        <f t="shared" si="82"/>
        <v>0.68</v>
      </c>
      <c r="AB143" s="203"/>
      <c r="AC143" s="1155">
        <f t="shared" si="91"/>
        <v>0.13695702944183791</v>
      </c>
      <c r="AD143" s="177">
        <f>1000*(DataUK1!$AO143+DataUK1!$BI143)/DataUK2!$E143</f>
        <v>8389.029745645792</v>
      </c>
      <c r="AE143" s="176">
        <f>1000*DataUK1!$BI143/(R143*DataUK2!$E143)</f>
        <v>8678.88728082122</v>
      </c>
      <c r="AF143" s="546"/>
      <c r="AG143" s="546"/>
      <c r="AH143" s="546"/>
      <c r="AI143" s="176">
        <f>1000*DataUK1!$AO143/(W143*DataUK2!$E143)</f>
        <v>6559.842456085019</v>
      </c>
      <c r="AJ143" s="118"/>
      <c r="AK143" s="118"/>
      <c r="AL143" s="118"/>
      <c r="AM143" s="2136"/>
      <c r="AN143" s="303">
        <f t="shared" si="92"/>
        <v>1</v>
      </c>
      <c r="AO143" s="547"/>
      <c r="AP143" s="547"/>
      <c r="AQ143" s="547"/>
      <c r="AR143" s="305">
        <f t="shared" si="93"/>
        <v>0.75583911206925003</v>
      </c>
      <c r="AV143" s="2137"/>
      <c r="AW143" s="2133">
        <f t="shared" si="84"/>
        <v>1</v>
      </c>
    </row>
    <row r="144" spans="1:49">
      <c r="A144" s="110">
        <f t="shared" si="85"/>
        <v>1985</v>
      </c>
      <c r="B144" s="2">
        <v>56554</v>
      </c>
      <c r="C144" s="540">
        <v>0.27500000000000002</v>
      </c>
      <c r="D144" s="521"/>
      <c r="E144" s="542">
        <v>24372.217000000001</v>
      </c>
      <c r="F144" s="522">
        <f t="shared" si="86"/>
        <v>0.59442039527677548</v>
      </c>
      <c r="G144" s="2051">
        <v>21096.197</v>
      </c>
      <c r="H144" s="352"/>
      <c r="I144" s="352"/>
      <c r="J144" s="352"/>
      <c r="K144" s="352"/>
      <c r="L144" s="352"/>
      <c r="M144" s="542">
        <v>3238.2069999999999</v>
      </c>
      <c r="N144" s="352"/>
      <c r="O144" s="1157"/>
      <c r="P144" s="352"/>
      <c r="Q144" s="2134"/>
      <c r="R144" s="303">
        <f t="shared" si="80"/>
        <v>0.86558383260743166</v>
      </c>
      <c r="S144" s="203">
        <f t="shared" si="88"/>
        <v>9.5156003521460787E-3</v>
      </c>
      <c r="T144" s="203">
        <f t="shared" si="87"/>
        <v>0.85606823225528561</v>
      </c>
      <c r="U144" s="203">
        <f t="shared" si="89"/>
        <v>0.68295146573379928</v>
      </c>
      <c r="V144" s="309">
        <f t="shared" si="83"/>
        <v>0.17311676652148633</v>
      </c>
      <c r="W144" s="307">
        <f t="shared" si="78"/>
        <v>0.13286468768926518</v>
      </c>
      <c r="X144" s="2055">
        <f t="shared" si="90"/>
        <v>2.022065074831042E-2</v>
      </c>
      <c r="Y144" s="203">
        <f t="shared" si="79"/>
        <v>0.11264403694095476</v>
      </c>
      <c r="Z144" s="203">
        <f t="shared" si="76"/>
        <v>2.9736251100456499E-2</v>
      </c>
      <c r="AA144" s="203">
        <f t="shared" si="82"/>
        <v>0.68</v>
      </c>
      <c r="AB144" s="203"/>
      <c r="AC144" s="1155">
        <f t="shared" si="91"/>
        <v>0.14158455718044016</v>
      </c>
      <c r="AD144" s="177">
        <f>1000*(DataUK1!$AO144+DataUK1!$BI144)/DataUK2!$E144</f>
        <v>9010.6698130908644</v>
      </c>
      <c r="AE144" s="176">
        <f>1000*DataUK1!$BI144/(R144*DataUK2!$E144)</f>
        <v>9349.5998354584954</v>
      </c>
      <c r="AF144" s="546"/>
      <c r="AG144" s="546"/>
      <c r="AH144" s="546"/>
      <c r="AI144" s="176">
        <f>1000*DataUK1!$AO144/(W144*DataUK2!$E144)</f>
        <v>6907.8351075147457</v>
      </c>
      <c r="AJ144" s="118"/>
      <c r="AK144" s="118"/>
      <c r="AL144" s="118"/>
      <c r="AM144" s="2136"/>
      <c r="AN144" s="303">
        <f t="shared" si="92"/>
        <v>1</v>
      </c>
      <c r="AO144" s="547"/>
      <c r="AP144" s="547"/>
      <c r="AQ144" s="547"/>
      <c r="AR144" s="305">
        <f t="shared" si="93"/>
        <v>0.73883751487594995</v>
      </c>
      <c r="AV144" s="2137"/>
      <c r="AW144" s="2133">
        <f t="shared" si="84"/>
        <v>1</v>
      </c>
    </row>
    <row r="145" spans="1:49">
      <c r="A145" s="110">
        <f t="shared" si="85"/>
        <v>1986</v>
      </c>
      <c r="B145" s="2">
        <v>56684</v>
      </c>
      <c r="C145" s="540">
        <v>0.27100000000000002</v>
      </c>
      <c r="D145" s="521"/>
      <c r="E145" s="542">
        <v>24402.361000000001</v>
      </c>
      <c r="F145" s="522">
        <f t="shared" si="86"/>
        <v>0.59053253524291149</v>
      </c>
      <c r="G145" s="2051">
        <v>21048.942999999999</v>
      </c>
      <c r="H145" s="352"/>
      <c r="I145" s="352"/>
      <c r="J145" s="352"/>
      <c r="K145" s="352"/>
      <c r="L145" s="352"/>
      <c r="M145" s="542">
        <v>3321.348</v>
      </c>
      <c r="N145" s="352"/>
      <c r="O145" s="1157"/>
      <c r="P145" s="352"/>
      <c r="Q145" s="2134"/>
      <c r="R145" s="303">
        <f t="shared" si="80"/>
        <v>0.86257813332078803</v>
      </c>
      <c r="S145" s="203">
        <f t="shared" si="88"/>
        <v>9.320095661303953E-3</v>
      </c>
      <c r="T145" s="203">
        <f t="shared" si="87"/>
        <v>0.85325803765948405</v>
      </c>
      <c r="U145" s="203">
        <f t="shared" si="89"/>
        <v>0.6807424109953264</v>
      </c>
      <c r="V145" s="309">
        <f t="shared" si="83"/>
        <v>0.17251562666415762</v>
      </c>
      <c r="W145" s="307">
        <f t="shared" si="78"/>
        <v>0.13610764958357921</v>
      </c>
      <c r="X145" s="2055">
        <f t="shared" si="90"/>
        <v>1.9805203280270901E-2</v>
      </c>
      <c r="Y145" s="203">
        <f t="shared" si="79"/>
        <v>0.11630244630330831</v>
      </c>
      <c r="Z145" s="203">
        <f t="shared" si="76"/>
        <v>2.9125298941574854E-2</v>
      </c>
      <c r="AA145" s="203">
        <f t="shared" si="82"/>
        <v>0.68</v>
      </c>
      <c r="AB145" s="203"/>
      <c r="AC145" s="1155">
        <f t="shared" si="91"/>
        <v>0.14591706506643001</v>
      </c>
      <c r="AD145" s="177">
        <f>1000*(DataUK1!$AO145+DataUK1!$BI145)/DataUK2!$E145</f>
        <v>9740.5904289343143</v>
      </c>
      <c r="AE145" s="176">
        <f>1000*DataUK1!$BI145/(R145*DataUK2!$E145)</f>
        <v>10106.398216765565</v>
      </c>
      <c r="AF145" s="546"/>
      <c r="AG145" s="546"/>
      <c r="AH145" s="546"/>
      <c r="AI145" s="176">
        <f>1000*DataUK1!$AO145/(W145*DataUK2!$E145)</f>
        <v>7516.3469771911905</v>
      </c>
      <c r="AJ145" s="118"/>
      <c r="AK145" s="118"/>
      <c r="AL145" s="118"/>
      <c r="AM145" s="2136"/>
      <c r="AN145" s="303">
        <f t="shared" si="92"/>
        <v>1</v>
      </c>
      <c r="AO145" s="547"/>
      <c r="AP145" s="547"/>
      <c r="AQ145" s="547"/>
      <c r="AR145" s="305">
        <f t="shared" si="93"/>
        <v>0.74372163217577125</v>
      </c>
      <c r="AV145" s="2137"/>
      <c r="AW145" s="2133">
        <f t="shared" si="84"/>
        <v>1</v>
      </c>
    </row>
    <row r="146" spans="1:49">
      <c r="A146" s="110">
        <f t="shared" si="85"/>
        <v>1987</v>
      </c>
      <c r="B146" s="2">
        <v>56804</v>
      </c>
      <c r="C146" s="540">
        <v>0.26700000000000002</v>
      </c>
      <c r="D146" s="521"/>
      <c r="E146" s="542">
        <v>25045.335999999999</v>
      </c>
      <c r="F146" s="522">
        <f t="shared" si="86"/>
        <v>0.60151154737772339</v>
      </c>
      <c r="G146" s="2051">
        <v>21471.279999999999</v>
      </c>
      <c r="H146" s="352"/>
      <c r="I146" s="352"/>
      <c r="J146" s="352"/>
      <c r="K146" s="352"/>
      <c r="L146" s="352"/>
      <c r="M146" s="542">
        <v>3551.5819999999999</v>
      </c>
      <c r="N146" s="352"/>
      <c r="O146" s="1157"/>
      <c r="P146" s="352"/>
      <c r="Q146" s="2134"/>
      <c r="R146" s="303">
        <f t="shared" si="80"/>
        <v>0.85729654415496759</v>
      </c>
      <c r="S146" s="203">
        <f t="shared" si="88"/>
        <v>9.1245909704618239E-3</v>
      </c>
      <c r="T146" s="203">
        <f t="shared" si="87"/>
        <v>0.84817195318450578</v>
      </c>
      <c r="U146" s="203">
        <f t="shared" si="89"/>
        <v>0.6767126443535123</v>
      </c>
      <c r="V146" s="309">
        <f t="shared" si="83"/>
        <v>0.17145930883099353</v>
      </c>
      <c r="W146" s="307">
        <f t="shared" si="78"/>
        <v>0.14180612310411805</v>
      </c>
      <c r="X146" s="2055">
        <f t="shared" si="90"/>
        <v>1.9389755812231384E-2</v>
      </c>
      <c r="Y146" s="203">
        <f t="shared" si="79"/>
        <v>0.12241636729188667</v>
      </c>
      <c r="Z146" s="203">
        <f t="shared" si="76"/>
        <v>2.8514346782693208E-2</v>
      </c>
      <c r="AA146" s="203">
        <f t="shared" si="82"/>
        <v>0.68</v>
      </c>
      <c r="AB146" s="203"/>
      <c r="AC146" s="1155">
        <f t="shared" si="91"/>
        <v>0.15318723949194704</v>
      </c>
      <c r="AD146" s="177">
        <f>1000*(DataUK1!$AO146+DataUK1!$BI146)/DataUK2!$E146</f>
        <v>10253.485918495962</v>
      </c>
      <c r="AE146" s="176">
        <f>1000*DataUK1!$BI146/(R146*DataUK2!$E146)</f>
        <v>10721.298404193882</v>
      </c>
      <c r="AF146" s="546"/>
      <c r="AG146" s="546"/>
      <c r="AH146" s="546"/>
      <c r="AI146" s="176">
        <f>1000*DataUK1!$AO146/(W146*DataUK2!$E146)</f>
        <v>7490.1832479160003</v>
      </c>
      <c r="AJ146" s="118"/>
      <c r="AK146" s="118"/>
      <c r="AL146" s="118"/>
      <c r="AM146" s="2136"/>
      <c r="AN146" s="303">
        <f t="shared" si="92"/>
        <v>1</v>
      </c>
      <c r="AO146" s="547"/>
      <c r="AP146" s="547"/>
      <c r="AQ146" s="547"/>
      <c r="AR146" s="305">
        <f t="shared" si="93"/>
        <v>0.69862650637408275</v>
      </c>
      <c r="AV146" s="2137"/>
      <c r="AW146" s="2133">
        <f t="shared" si="84"/>
        <v>1</v>
      </c>
    </row>
    <row r="147" spans="1:49">
      <c r="A147" s="110">
        <f t="shared" si="85"/>
        <v>1988</v>
      </c>
      <c r="B147" s="2">
        <v>56916</v>
      </c>
      <c r="C147" s="540">
        <v>0.26400000000000001</v>
      </c>
      <c r="D147" s="521"/>
      <c r="E147" s="542">
        <v>26112.109</v>
      </c>
      <c r="F147" s="522">
        <f t="shared" si="86"/>
        <v>0.62334684389962935</v>
      </c>
      <c r="G147" s="2051">
        <v>22288.927</v>
      </c>
      <c r="H147" s="352"/>
      <c r="I147" s="352"/>
      <c r="J147" s="352"/>
      <c r="K147" s="352"/>
      <c r="L147" s="352"/>
      <c r="M147" s="542">
        <v>3807.3980000000001</v>
      </c>
      <c r="N147" s="352"/>
      <c r="O147" s="1157"/>
      <c r="P147" s="352"/>
      <c r="Q147" s="2134"/>
      <c r="R147" s="303">
        <f t="shared" si="80"/>
        <v>0.85358585934211595</v>
      </c>
      <c r="S147" s="203">
        <f t="shared" si="88"/>
        <v>8.9290862796196982E-3</v>
      </c>
      <c r="T147" s="203">
        <f t="shared" si="87"/>
        <v>0.8446567730624962</v>
      </c>
      <c r="U147" s="203">
        <f t="shared" si="89"/>
        <v>0.67393960119407303</v>
      </c>
      <c r="V147" s="309">
        <f t="shared" si="83"/>
        <v>0.1707171718684232</v>
      </c>
      <c r="W147" s="307">
        <f t="shared" si="78"/>
        <v>0.14580967014192533</v>
      </c>
      <c r="X147" s="2055">
        <f t="shared" si="90"/>
        <v>1.8974308344191865E-2</v>
      </c>
      <c r="Y147" s="203">
        <f t="shared" si="79"/>
        <v>0.12683536179773347</v>
      </c>
      <c r="Z147" s="203">
        <f t="shared" si="76"/>
        <v>2.7903394623811563E-2</v>
      </c>
      <c r="AA147" s="203">
        <f t="shared" si="82"/>
        <v>0.68</v>
      </c>
      <c r="AB147" s="203"/>
      <c r="AC147" s="1155">
        <f t="shared" si="91"/>
        <v>0.15839076851736092</v>
      </c>
      <c r="AD147" s="177">
        <f>1000*(DataUK1!$AO147+DataUK1!$BI147)/DataUK2!$E147</f>
        <v>10967.09576388487</v>
      </c>
      <c r="AE147" s="176">
        <f>1000*DataUK1!$BI147/(R147*DataUK2!$E147)</f>
        <v>11539.003201006492</v>
      </c>
      <c r="AF147" s="546"/>
      <c r="AG147" s="546"/>
      <c r="AH147" s="546"/>
      <c r="AI147" s="176">
        <f>1000*DataUK1!$AO147/(W147*DataUK2!$E147)</f>
        <v>7664.5520116362941</v>
      </c>
      <c r="AJ147" s="118"/>
      <c r="AK147" s="118"/>
      <c r="AL147" s="118"/>
      <c r="AM147" s="2136"/>
      <c r="AN147" s="303">
        <f t="shared" si="92"/>
        <v>1</v>
      </c>
      <c r="AO147" s="547"/>
      <c r="AP147" s="547"/>
      <c r="AQ147" s="547"/>
      <c r="AR147" s="305">
        <f t="shared" si="93"/>
        <v>0.66422999267109595</v>
      </c>
      <c r="AV147" s="2137"/>
      <c r="AW147" s="2133">
        <f t="shared" si="84"/>
        <v>1</v>
      </c>
    </row>
    <row r="148" spans="1:49">
      <c r="A148" s="110">
        <f t="shared" si="85"/>
        <v>1989</v>
      </c>
      <c r="B148" s="2">
        <v>57076</v>
      </c>
      <c r="C148" s="540">
        <v>0.26100000000000001</v>
      </c>
      <c r="D148" s="521"/>
      <c r="E148" s="542">
        <v>26737.602999999999</v>
      </c>
      <c r="F148" s="522">
        <f t="shared" si="86"/>
        <v>0.63390547522468677</v>
      </c>
      <c r="G148" s="2051">
        <v>22646.561000000002</v>
      </c>
      <c r="H148" s="352"/>
      <c r="I148" s="352"/>
      <c r="J148" s="352"/>
      <c r="K148" s="352"/>
      <c r="L148" s="352"/>
      <c r="M148" s="542">
        <v>4088.7959999999998</v>
      </c>
      <c r="N148" s="352"/>
      <c r="O148" s="1157"/>
      <c r="P148" s="352"/>
      <c r="Q148" s="2134"/>
      <c r="R148" s="303">
        <f t="shared" si="80"/>
        <v>0.84699294099026012</v>
      </c>
      <c r="S148" s="203">
        <f t="shared" si="88"/>
        <v>8.7335815887775725E-3</v>
      </c>
      <c r="T148" s="203">
        <f t="shared" si="87"/>
        <v>0.83825935940148255</v>
      </c>
      <c r="U148" s="203">
        <f t="shared" si="89"/>
        <v>0.66886077120343046</v>
      </c>
      <c r="V148" s="309">
        <f t="shared" si="83"/>
        <v>0.16939858819805204</v>
      </c>
      <c r="W148" s="307">
        <f t="shared" si="78"/>
        <v>0.15292305746330365</v>
      </c>
      <c r="X148" s="2055">
        <f t="shared" si="90"/>
        <v>1.8558860876152345E-2</v>
      </c>
      <c r="Y148" s="203">
        <f t="shared" si="79"/>
        <v>0.13436419658715129</v>
      </c>
      <c r="Z148" s="203">
        <f t="shared" si="76"/>
        <v>2.7292442464929918E-2</v>
      </c>
      <c r="AA148" s="203">
        <f t="shared" si="82"/>
        <v>0.68</v>
      </c>
      <c r="AB148" s="203"/>
      <c r="AC148" s="1155">
        <f t="shared" si="91"/>
        <v>0.1672809013354562</v>
      </c>
      <c r="AD148" s="177">
        <f>1000*(DataUK1!$AO148+DataUK1!$BI148)/DataUK2!$E148</f>
        <v>11880.159938046803</v>
      </c>
      <c r="AE148" s="176">
        <f>1000*DataUK1!$BI148/(R148*DataUK2!$E148)</f>
        <v>12634.721890003519</v>
      </c>
      <c r="AF148" s="546"/>
      <c r="AG148" s="546"/>
      <c r="AH148" s="546"/>
      <c r="AI148" s="176">
        <f>1000*DataUK1!$AO148/(W148*DataUK2!$E148)</f>
        <v>7707.4033529674753</v>
      </c>
      <c r="AJ148" s="118"/>
      <c r="AK148" s="118"/>
      <c r="AL148" s="118"/>
      <c r="AM148" s="2136"/>
      <c r="AN148" s="303">
        <f t="shared" si="92"/>
        <v>1</v>
      </c>
      <c r="AO148" s="547"/>
      <c r="AP148" s="547"/>
      <c r="AQ148" s="547"/>
      <c r="AR148" s="305">
        <f t="shared" si="93"/>
        <v>0.61001764978028561</v>
      </c>
      <c r="AV148" s="2137"/>
      <c r="AW148" s="2133">
        <f t="shared" si="84"/>
        <v>1</v>
      </c>
    </row>
    <row r="149" spans="1:49">
      <c r="A149" s="110">
        <f t="shared" si="85"/>
        <v>1990</v>
      </c>
      <c r="B149" s="2">
        <v>57237</v>
      </c>
      <c r="C149" s="540">
        <v>0.25900000000000001</v>
      </c>
      <c r="D149" s="521"/>
      <c r="E149" s="542">
        <v>26822.317999999999</v>
      </c>
      <c r="F149" s="522">
        <f t="shared" si="86"/>
        <v>0.63241365181497766</v>
      </c>
      <c r="G149" s="2051">
        <v>22707.598999999998</v>
      </c>
      <c r="H149" s="352"/>
      <c r="I149" s="352"/>
      <c r="J149" s="352"/>
      <c r="K149" s="352"/>
      <c r="L149" s="352"/>
      <c r="M149" s="542">
        <v>4113.3119999999999</v>
      </c>
      <c r="N149" s="352"/>
      <c r="O149" s="1157"/>
      <c r="P149" s="352"/>
      <c r="Q149" s="2134"/>
      <c r="R149" s="303">
        <f t="shared" si="80"/>
        <v>0.8465934599686723</v>
      </c>
      <c r="S149" s="203">
        <f t="shared" si="88"/>
        <v>8.5380768979354468E-3</v>
      </c>
      <c r="T149" s="203">
        <f t="shared" si="87"/>
        <v>0.8380553830707369</v>
      </c>
      <c r="U149" s="203">
        <f t="shared" si="89"/>
        <v>0.6687366910770024</v>
      </c>
      <c r="V149" s="309">
        <f t="shared" si="83"/>
        <v>0.16931869199373448</v>
      </c>
      <c r="W149" s="307">
        <f t="shared" si="78"/>
        <v>0.15335408371491233</v>
      </c>
      <c r="X149" s="2055">
        <f t="shared" si="90"/>
        <v>1.8143413408112825E-2</v>
      </c>
      <c r="Y149" s="203">
        <f t="shared" si="79"/>
        <v>0.13521067030679951</v>
      </c>
      <c r="Z149" s="203">
        <f t="shared" si="76"/>
        <v>2.6681490306048272E-2</v>
      </c>
      <c r="AA149" s="203">
        <f t="shared" si="82"/>
        <v>0.68</v>
      </c>
      <c r="AB149" s="203"/>
      <c r="AC149" s="1155">
        <f t="shared" si="91"/>
        <v>0.16818348663283983</v>
      </c>
      <c r="AD149" s="177">
        <f>1000*(DataUK1!$AO149+DataUK1!$BI149)/DataUK2!$E149</f>
        <v>13126.04674957623</v>
      </c>
      <c r="AE149" s="176">
        <f>1000*DataUK1!$BI149/(R149*DataUK2!$E149)</f>
        <v>13915.694037049008</v>
      </c>
      <c r="AF149" s="546"/>
      <c r="AG149" s="546"/>
      <c r="AH149" s="546"/>
      <c r="AI149" s="176">
        <f>1000*DataUK1!$AO149/(W149*DataUK2!$E149)</f>
        <v>8771.2772578399108</v>
      </c>
      <c r="AJ149" s="118"/>
      <c r="AK149" s="118"/>
      <c r="AL149" s="118"/>
      <c r="AM149" s="2136"/>
      <c r="AN149" s="303">
        <f t="shared" si="92"/>
        <v>1</v>
      </c>
      <c r="AO149" s="547"/>
      <c r="AP149" s="547"/>
      <c r="AQ149" s="547"/>
      <c r="AR149" s="305">
        <f t="shared" si="93"/>
        <v>0.63031547219185391</v>
      </c>
      <c r="AV149" s="2137"/>
      <c r="AW149" s="2133">
        <f t="shared" si="84"/>
        <v>1</v>
      </c>
    </row>
    <row r="150" spans="1:49">
      <c r="A150" s="110">
        <f t="shared" si="85"/>
        <v>1991</v>
      </c>
      <c r="B150" s="2">
        <v>57439</v>
      </c>
      <c r="C150" s="540">
        <v>0.25700000000000001</v>
      </c>
      <c r="D150" s="521"/>
      <c r="E150" s="542">
        <v>26016.484</v>
      </c>
      <c r="F150" s="522">
        <f t="shared" si="86"/>
        <v>0.60961117460979208</v>
      </c>
      <c r="G150" s="2051">
        <v>22041.254000000001</v>
      </c>
      <c r="H150" s="352"/>
      <c r="I150" s="352"/>
      <c r="J150" s="352"/>
      <c r="K150" s="352"/>
      <c r="L150" s="352"/>
      <c r="M150" s="542">
        <v>3972.6129999999998</v>
      </c>
      <c r="N150" s="352"/>
      <c r="O150" s="1157"/>
      <c r="P150" s="352"/>
      <c r="Q150" s="2134"/>
      <c r="R150" s="303">
        <f t="shared" si="80"/>
        <v>0.84720341149864831</v>
      </c>
      <c r="S150" s="203">
        <f t="shared" si="88"/>
        <v>8.3425722070933177E-3</v>
      </c>
      <c r="T150" s="203">
        <f t="shared" si="87"/>
        <v>0.83886083929155497</v>
      </c>
      <c r="U150" s="203">
        <f t="shared" si="89"/>
        <v>0.66942015699182533</v>
      </c>
      <c r="V150" s="309">
        <f t="shared" si="83"/>
        <v>0.16944068229972967</v>
      </c>
      <c r="W150" s="307">
        <f t="shared" si="78"/>
        <v>0.15269599842930351</v>
      </c>
      <c r="X150" s="2055">
        <f t="shared" si="90"/>
        <v>1.7727965940073309E-2</v>
      </c>
      <c r="Y150" s="203">
        <f t="shared" si="79"/>
        <v>0.1349680324892302</v>
      </c>
      <c r="Z150" s="203">
        <f t="shared" si="76"/>
        <v>2.6070538147166627E-2</v>
      </c>
      <c r="AA150" s="203">
        <f t="shared" si="82"/>
        <v>0.68</v>
      </c>
      <c r="AB150" s="203"/>
      <c r="AC150" s="1155">
        <f t="shared" si="91"/>
        <v>0.16778967450566837</v>
      </c>
      <c r="AD150" s="177">
        <f>1000*(DataUK1!$AO150+DataUK1!$BI150)/DataUK2!$E150</f>
        <v>14276.179671319152</v>
      </c>
      <c r="AE150" s="176">
        <f>1000*DataUK1!$BI150/(R150*DataUK2!$E150)</f>
        <v>15227.854095778761</v>
      </c>
      <c r="AF150" s="546"/>
      <c r="AG150" s="546"/>
      <c r="AH150" s="546"/>
      <c r="AI150" s="176">
        <f>1000*DataUK1!$AO150/(W150*DataUK2!$E150)</f>
        <v>9005.4077756881943</v>
      </c>
      <c r="AJ150" s="118"/>
      <c r="AK150" s="118"/>
      <c r="AL150" s="118"/>
      <c r="AM150" s="2136"/>
      <c r="AN150" s="303">
        <f t="shared" si="92"/>
        <v>1</v>
      </c>
      <c r="AO150" s="547"/>
      <c r="AP150" s="547"/>
      <c r="AQ150" s="547"/>
      <c r="AR150" s="305">
        <f t="shared" si="93"/>
        <v>0.59137733518109681</v>
      </c>
      <c r="AV150" s="2137"/>
      <c r="AW150" s="2133">
        <f t="shared" si="84"/>
        <v>1</v>
      </c>
    </row>
    <row r="151" spans="1:49">
      <c r="A151" s="110">
        <f t="shared" si="85"/>
        <v>1992</v>
      </c>
      <c r="B151" s="2">
        <v>57585</v>
      </c>
      <c r="C151" s="540">
        <v>0.25600000000000001</v>
      </c>
      <c r="D151" s="521"/>
      <c r="E151" s="542">
        <v>25516.543000000001</v>
      </c>
      <c r="F151" s="522">
        <f t="shared" si="86"/>
        <v>0.59557920922880725</v>
      </c>
      <c r="G151" s="2051">
        <v>21634.873</v>
      </c>
      <c r="H151" s="352"/>
      <c r="I151" s="352"/>
      <c r="J151" s="352"/>
      <c r="K151" s="352"/>
      <c r="L151" s="352"/>
      <c r="M151" s="542">
        <v>3877.748</v>
      </c>
      <c r="N151" s="352"/>
      <c r="O151" s="1157"/>
      <c r="P151" s="352"/>
      <c r="Q151" s="2134"/>
      <c r="R151" s="303">
        <f t="shared" si="80"/>
        <v>0.847876336539789</v>
      </c>
      <c r="S151" s="203">
        <f t="shared" si="88"/>
        <v>8.147067516251192E-3</v>
      </c>
      <c r="T151" s="203">
        <f t="shared" si="87"/>
        <v>0.83972926902353784</v>
      </c>
      <c r="U151" s="203">
        <f t="shared" si="89"/>
        <v>0.67015400171558004</v>
      </c>
      <c r="V151" s="309">
        <f t="shared" si="83"/>
        <v>0.1695752673079578</v>
      </c>
      <c r="W151" s="307">
        <f t="shared" ref="W151:W170" si="94">M151/$E151</f>
        <v>0.15196995925349291</v>
      </c>
      <c r="X151" s="2055">
        <f t="shared" si="90"/>
        <v>1.7312518472033789E-2</v>
      </c>
      <c r="Y151" s="203">
        <f t="shared" ref="Y151:Y169" si="95">W151-X151</f>
        <v>0.13465744078145911</v>
      </c>
      <c r="Z151" s="203">
        <f t="shared" si="76"/>
        <v>2.5459585988284981E-2</v>
      </c>
      <c r="AA151" s="203">
        <f t="shared" si="82"/>
        <v>0.68</v>
      </c>
      <c r="AB151" s="203"/>
      <c r="AC151" s="1155">
        <f t="shared" si="91"/>
        <v>0.16731551475419598</v>
      </c>
      <c r="AD151" s="177">
        <f>1000*(DataUK1!$AO151+DataUK1!$BI151)/DataUK2!$E151</f>
        <v>15146.64427700884</v>
      </c>
      <c r="AE151" s="176">
        <f>1000*DataUK1!$BI151/(R151*DataUK2!$E151)</f>
        <v>16061.892297680693</v>
      </c>
      <c r="AF151" s="546"/>
      <c r="AG151" s="546"/>
      <c r="AH151" s="546"/>
      <c r="AI151" s="176">
        <f>1000*DataUK1!$AO151/(W151*DataUK2!$E151)</f>
        <v>10055.578650288775</v>
      </c>
      <c r="AJ151" s="118"/>
      <c r="AK151" s="118"/>
      <c r="AL151" s="118"/>
      <c r="AM151" s="2136"/>
      <c r="AN151" s="303">
        <f t="shared" si="92"/>
        <v>1</v>
      </c>
      <c r="AO151" s="547"/>
      <c r="AP151" s="547"/>
      <c r="AQ151" s="547"/>
      <c r="AR151" s="305">
        <f t="shared" si="93"/>
        <v>0.62605192862243142</v>
      </c>
      <c r="AV151" s="2137"/>
      <c r="AW151" s="2133">
        <f t="shared" si="84"/>
        <v>1</v>
      </c>
    </row>
    <row r="152" spans="1:49">
      <c r="A152" s="110">
        <f t="shared" si="85"/>
        <v>1993</v>
      </c>
      <c r="B152" s="2">
        <v>57714</v>
      </c>
      <c r="C152" s="540">
        <v>0.254</v>
      </c>
      <c r="D152" s="521"/>
      <c r="E152" s="542">
        <v>25300</v>
      </c>
      <c r="F152" s="522">
        <f t="shared" si="86"/>
        <v>0.58762534420212598</v>
      </c>
      <c r="G152" s="2051">
        <v>21402</v>
      </c>
      <c r="H152" s="352"/>
      <c r="I152" s="352"/>
      <c r="J152" s="352"/>
      <c r="K152" s="352"/>
      <c r="L152" s="352"/>
      <c r="M152" s="542">
        <v>3898</v>
      </c>
      <c r="N152" s="352"/>
      <c r="O152" s="1157"/>
      <c r="P152" s="352"/>
      <c r="Q152" s="2134"/>
      <c r="R152" s="303">
        <f t="shared" si="80"/>
        <v>0.84592885375494076</v>
      </c>
      <c r="S152" s="203">
        <f t="shared" si="88"/>
        <v>7.9515628254090663E-3</v>
      </c>
      <c r="T152" s="203">
        <f t="shared" si="87"/>
        <v>0.83797729092953166</v>
      </c>
      <c r="U152" s="203">
        <f t="shared" si="89"/>
        <v>0.66879152017854349</v>
      </c>
      <c r="V152" s="309">
        <f t="shared" si="83"/>
        <v>0.16918577075098817</v>
      </c>
      <c r="W152" s="307">
        <f t="shared" si="94"/>
        <v>0.1540711462450593</v>
      </c>
      <c r="X152" s="2055">
        <f t="shared" si="90"/>
        <v>1.689707100399427E-2</v>
      </c>
      <c r="Y152" s="203">
        <f t="shared" si="95"/>
        <v>0.13717407524106504</v>
      </c>
      <c r="Z152" s="203">
        <f t="shared" si="76"/>
        <v>2.4848633829403336E-2</v>
      </c>
      <c r="AA152" s="203">
        <f t="shared" si="82"/>
        <v>0.68</v>
      </c>
      <c r="AB152" s="203"/>
      <c r="AC152" s="1155">
        <f t="shared" si="91"/>
        <v>0.17019842536783264</v>
      </c>
      <c r="AD152" s="177">
        <f>1000*(DataUK1!$AO152+DataUK1!$BI152)/DataUK2!$E152</f>
        <v>15739.881422924902</v>
      </c>
      <c r="AE152" s="176">
        <f>1000*DataUK1!$BI152/(R152*DataUK2!$E152)</f>
        <v>16663.39594430427</v>
      </c>
      <c r="AF152" s="546"/>
      <c r="AG152" s="546"/>
      <c r="AH152" s="546"/>
      <c r="AI152" s="176">
        <f>1000*DataUK1!$AO152/(W152*DataUK2!$E152)</f>
        <v>10669.317598768597</v>
      </c>
      <c r="AJ152" s="118"/>
      <c r="AK152" s="118"/>
      <c r="AL152" s="118"/>
      <c r="AM152" s="2136"/>
      <c r="AN152" s="303">
        <f t="shared" si="92"/>
        <v>1</v>
      </c>
      <c r="AO152" s="547"/>
      <c r="AP152" s="547"/>
      <c r="AQ152" s="547"/>
      <c r="AR152" s="305">
        <f t="shared" si="93"/>
        <v>0.64028470753679034</v>
      </c>
      <c r="AV152" s="2137"/>
      <c r="AW152" s="2133">
        <f t="shared" si="84"/>
        <v>1</v>
      </c>
    </row>
    <row r="153" spans="1:49">
      <c r="A153" s="110">
        <f t="shared" si="85"/>
        <v>1994</v>
      </c>
      <c r="B153" s="2">
        <v>57862</v>
      </c>
      <c r="C153" s="540">
        <v>0.254</v>
      </c>
      <c r="D153" s="521"/>
      <c r="E153" s="542">
        <v>25501</v>
      </c>
      <c r="F153" s="522">
        <f t="shared" si="86"/>
        <v>0.59077885507933592</v>
      </c>
      <c r="G153" s="2051">
        <v>21524</v>
      </c>
      <c r="H153" s="352"/>
      <c r="I153" s="352"/>
      <c r="J153" s="352"/>
      <c r="K153" s="352"/>
      <c r="L153" s="352"/>
      <c r="M153" s="542">
        <v>3977</v>
      </c>
      <c r="N153" s="352"/>
      <c r="O153" s="1157"/>
      <c r="P153" s="352"/>
      <c r="Q153" s="2134"/>
      <c r="R153" s="303">
        <f t="shared" si="80"/>
        <v>0.84404533155562522</v>
      </c>
      <c r="S153" s="203">
        <f t="shared" si="88"/>
        <v>7.7560581345669406E-3</v>
      </c>
      <c r="T153" s="203">
        <f t="shared" si="87"/>
        <v>0.8362892734210583</v>
      </c>
      <c r="U153" s="203">
        <f t="shared" si="89"/>
        <v>0.66748020710993328</v>
      </c>
      <c r="V153" s="309">
        <f t="shared" si="83"/>
        <v>0.16880906631112505</v>
      </c>
      <c r="W153" s="307">
        <f t="shared" si="94"/>
        <v>0.15595466844437472</v>
      </c>
      <c r="X153" s="2055">
        <f t="shared" si="90"/>
        <v>1.648162353595475E-2</v>
      </c>
      <c r="Y153" s="203">
        <f t="shared" si="95"/>
        <v>0.13947304490841997</v>
      </c>
      <c r="Z153" s="203">
        <f t="shared" si="76"/>
        <v>2.4237681670521691E-2</v>
      </c>
      <c r="AA153" s="203">
        <f t="shared" si="82"/>
        <v>0.68</v>
      </c>
      <c r="AB153" s="203"/>
      <c r="AC153" s="1155">
        <f t="shared" si="91"/>
        <v>0.17283906417078027</v>
      </c>
      <c r="AD153" s="177">
        <f>1000*(DataUK1!$AO153+DataUK1!$BI153)/DataUK2!$E153</f>
        <v>16151.288184777068</v>
      </c>
      <c r="AE153" s="176">
        <f>1000*DataUK1!$BI153/(R153*DataUK2!$E153)</f>
        <v>17142.538561605648</v>
      </c>
      <c r="AF153" s="546"/>
      <c r="AG153" s="546"/>
      <c r="AH153" s="546"/>
      <c r="AI153" s="176">
        <f>1000*DataUK1!$AO153/(W153*DataUK2!$E153)</f>
        <v>10786.522504400302</v>
      </c>
      <c r="AJ153" s="118"/>
      <c r="AK153" s="118"/>
      <c r="AL153" s="118"/>
      <c r="AM153" s="2136"/>
      <c r="AN153" s="303">
        <f t="shared" si="92"/>
        <v>1</v>
      </c>
      <c r="AO153" s="547"/>
      <c r="AP153" s="547"/>
      <c r="AQ153" s="547"/>
      <c r="AR153" s="305">
        <f t="shared" si="93"/>
        <v>0.62922550622455686</v>
      </c>
      <c r="AV153" s="2137"/>
      <c r="AW153" s="2133">
        <f t="shared" si="84"/>
        <v>1</v>
      </c>
    </row>
    <row r="154" spans="1:49">
      <c r="A154" s="110">
        <f t="shared" si="85"/>
        <v>1995</v>
      </c>
      <c r="B154" s="2">
        <v>58025</v>
      </c>
      <c r="C154" s="540">
        <v>0.254</v>
      </c>
      <c r="D154" s="521"/>
      <c r="E154" s="542">
        <v>25814</v>
      </c>
      <c r="F154" s="522">
        <f t="shared" si="86"/>
        <v>0.59635014490610849</v>
      </c>
      <c r="G154" s="2051">
        <v>21861</v>
      </c>
      <c r="H154" s="352"/>
      <c r="I154" s="352"/>
      <c r="J154" s="352"/>
      <c r="K154" s="352"/>
      <c r="L154" s="352"/>
      <c r="M154" s="542">
        <v>3953</v>
      </c>
      <c r="N154" s="352"/>
      <c r="O154" s="1157"/>
      <c r="P154" s="352"/>
      <c r="Q154" s="2134"/>
      <c r="R154" s="303">
        <f t="shared" si="80"/>
        <v>0.84686604168280777</v>
      </c>
      <c r="S154" s="203">
        <f t="shared" si="88"/>
        <v>7.5605534437248149E-3</v>
      </c>
      <c r="T154" s="203">
        <f t="shared" si="87"/>
        <v>0.83930548823908291</v>
      </c>
      <c r="U154" s="203">
        <f t="shared" si="89"/>
        <v>0.66993227990252135</v>
      </c>
      <c r="V154" s="309">
        <f t="shared" si="83"/>
        <v>0.16937320833656155</v>
      </c>
      <c r="W154" s="307">
        <f t="shared" si="94"/>
        <v>0.15313395831719223</v>
      </c>
      <c r="X154" s="2055">
        <f t="shared" si="90"/>
        <v>1.606617606791523E-2</v>
      </c>
      <c r="Y154" s="203">
        <f t="shared" si="95"/>
        <v>0.13706778224927701</v>
      </c>
      <c r="Z154" s="203">
        <f t="shared" si="76"/>
        <v>2.3626729511640045E-2</v>
      </c>
      <c r="AA154" s="203">
        <f t="shared" si="82"/>
        <v>0.68</v>
      </c>
      <c r="AB154" s="203"/>
      <c r="AC154" s="1155">
        <f t="shared" si="91"/>
        <v>0.16984853989205059</v>
      </c>
      <c r="AD154" s="177">
        <f>1000*(DataUK1!$AO154+DataUK1!$BI154)/DataUK2!$E154</f>
        <v>16697.412256914853</v>
      </c>
      <c r="AE154" s="176">
        <f>1000*DataUK1!$BI154/(R154*DataUK2!$E154)</f>
        <v>17645.075705594438</v>
      </c>
      <c r="AF154" s="546"/>
      <c r="AG154" s="546"/>
      <c r="AH154" s="546"/>
      <c r="AI154" s="176">
        <f>1000*DataUK1!$AO154/(W154*DataUK2!$E154)</f>
        <v>11456.615228940043</v>
      </c>
      <c r="AJ154" s="118"/>
      <c r="AK154" s="118"/>
      <c r="AL154" s="118"/>
      <c r="AM154" s="2136"/>
      <c r="AN154" s="303">
        <f t="shared" si="92"/>
        <v>1</v>
      </c>
      <c r="AO154" s="547"/>
      <c r="AP154" s="547"/>
      <c r="AQ154" s="547"/>
      <c r="AR154" s="305">
        <f t="shared" si="93"/>
        <v>0.64928116036972738</v>
      </c>
      <c r="AV154" s="2137"/>
      <c r="AW154" s="2133">
        <f t="shared" si="84"/>
        <v>1</v>
      </c>
    </row>
    <row r="155" spans="1:49">
      <c r="A155" s="110">
        <f t="shared" si="85"/>
        <v>1996</v>
      </c>
      <c r="B155" s="2">
        <v>58164</v>
      </c>
      <c r="C155" s="540">
        <v>0.254</v>
      </c>
      <c r="D155" s="521"/>
      <c r="E155" s="542">
        <v>26056</v>
      </c>
      <c r="F155" s="522">
        <f t="shared" si="86"/>
        <v>0.6005022684309671</v>
      </c>
      <c r="G155" s="2051">
        <v>22194</v>
      </c>
      <c r="H155" s="352"/>
      <c r="I155" s="352"/>
      <c r="J155" s="352"/>
      <c r="K155" s="352"/>
      <c r="L155" s="352"/>
      <c r="M155" s="542">
        <v>3862</v>
      </c>
      <c r="N155" s="352"/>
      <c r="O155" s="1157"/>
      <c r="P155" s="352"/>
      <c r="Q155" s="2134"/>
      <c r="R155" s="303">
        <f t="shared" si="80"/>
        <v>0.85178077985876577</v>
      </c>
      <c r="S155" s="203">
        <f t="shared" si="88"/>
        <v>7.3650487528826858E-3</v>
      </c>
      <c r="T155" s="203">
        <f t="shared" si="87"/>
        <v>0.84441573110588308</v>
      </c>
      <c r="U155" s="203">
        <f t="shared" si="89"/>
        <v>0.67405957513412995</v>
      </c>
      <c r="V155" s="309">
        <f t="shared" si="83"/>
        <v>0.17035615597175316</v>
      </c>
      <c r="W155" s="307">
        <f t="shared" si="94"/>
        <v>0.14821922014123426</v>
      </c>
      <c r="X155" s="2055">
        <f t="shared" si="90"/>
        <v>1.5650728599875714E-2</v>
      </c>
      <c r="Y155" s="203">
        <f t="shared" si="95"/>
        <v>0.13256849154135855</v>
      </c>
      <c r="Z155" s="203">
        <f t="shared" si="76"/>
        <v>2.30157773527584E-2</v>
      </c>
      <c r="AA155" s="203">
        <f t="shared" si="82"/>
        <v>0.68</v>
      </c>
      <c r="AB155" s="203"/>
      <c r="AC155" s="1155">
        <f t="shared" si="91"/>
        <v>0.16434896951669262</v>
      </c>
      <c r="AD155" s="177">
        <f>1000*(DataUK1!$AO155+DataUK1!$BI155)/DataUK2!$E155</f>
        <v>17400.483573840957</v>
      </c>
      <c r="AE155" s="176">
        <f>1000*DataUK1!$BI155/(R155*DataUK2!$E155)</f>
        <v>18202.216815355503</v>
      </c>
      <c r="AF155" s="546"/>
      <c r="AG155" s="546"/>
      <c r="AH155" s="546"/>
      <c r="AI155" s="176">
        <f>1000*DataUK1!$AO155/(W155*DataUK2!$E155)</f>
        <v>12793.112377006732</v>
      </c>
      <c r="AJ155" s="118"/>
      <c r="AK155" s="118"/>
      <c r="AL155" s="118"/>
      <c r="AM155" s="2136"/>
      <c r="AN155" s="303">
        <f t="shared" si="92"/>
        <v>1</v>
      </c>
      <c r="AO155" s="547"/>
      <c r="AP155" s="547"/>
      <c r="AQ155" s="547"/>
      <c r="AR155" s="305">
        <f t="shared" si="93"/>
        <v>0.70283265531780625</v>
      </c>
      <c r="AV155" s="2137"/>
      <c r="AW155" s="2133">
        <f t="shared" si="84"/>
        <v>1</v>
      </c>
    </row>
    <row r="156" spans="1:49">
      <c r="A156" s="110">
        <f t="shared" si="85"/>
        <v>1997</v>
      </c>
      <c r="B156" s="2">
        <v>58314</v>
      </c>
      <c r="C156" s="540">
        <v>0.254</v>
      </c>
      <c r="D156" s="521"/>
      <c r="E156" s="542">
        <v>26523</v>
      </c>
      <c r="F156" s="522">
        <f t="shared" si="86"/>
        <v>0.609692686197981</v>
      </c>
      <c r="G156" s="2051">
        <v>22742</v>
      </c>
      <c r="H156" s="352"/>
      <c r="I156" s="352"/>
      <c r="J156" s="352"/>
      <c r="K156" s="352"/>
      <c r="L156" s="352"/>
      <c r="M156" s="542">
        <v>3781</v>
      </c>
      <c r="N156" s="352"/>
      <c r="O156" s="1157"/>
      <c r="P156" s="352"/>
      <c r="Q156" s="2134"/>
      <c r="R156" s="303">
        <f t="shared" si="80"/>
        <v>0.85744448214757008</v>
      </c>
      <c r="S156" s="203">
        <f t="shared" si="88"/>
        <v>7.1695440620405601E-3</v>
      </c>
      <c r="T156" s="203">
        <f t="shared" si="87"/>
        <v>0.85027493808552956</v>
      </c>
      <c r="U156" s="203">
        <f t="shared" si="89"/>
        <v>0.67878604165601553</v>
      </c>
      <c r="V156" s="309">
        <f t="shared" si="83"/>
        <v>0.17148889642951404</v>
      </c>
      <c r="W156" s="307">
        <f t="shared" si="94"/>
        <v>0.14255551785242995</v>
      </c>
      <c r="X156" s="2055">
        <f t="shared" si="90"/>
        <v>1.5235281131836195E-2</v>
      </c>
      <c r="Y156" s="203">
        <f t="shared" si="95"/>
        <v>0.12732023672059375</v>
      </c>
      <c r="Z156" s="203">
        <f t="shared" si="76"/>
        <v>2.2404825193876755E-2</v>
      </c>
      <c r="AA156" s="203">
        <f t="shared" si="82"/>
        <v>0.68</v>
      </c>
      <c r="AB156" s="203"/>
      <c r="AC156" s="1155">
        <f t="shared" si="91"/>
        <v>0.15794472780561858</v>
      </c>
      <c r="AD156" s="177">
        <f>1000*(DataUK1!$AO156+DataUK1!$BI156)/DataUK2!$E156</f>
        <v>17997.436187459942</v>
      </c>
      <c r="AE156" s="176">
        <f>1000*DataUK1!$BI156/(R156*DataUK2!$E156)</f>
        <v>18900.888224430568</v>
      </c>
      <c r="AF156" s="546"/>
      <c r="AG156" s="546"/>
      <c r="AH156" s="546"/>
      <c r="AI156" s="176">
        <f>1000*DataUK1!$AO156/(W156*DataUK2!$E156)</f>
        <v>12563.343030944196</v>
      </c>
      <c r="AJ156" s="118"/>
      <c r="AK156" s="118"/>
      <c r="AL156" s="118"/>
      <c r="AM156" s="2136"/>
      <c r="AN156" s="303">
        <f t="shared" si="92"/>
        <v>1</v>
      </c>
      <c r="AO156" s="547"/>
      <c r="AP156" s="547"/>
      <c r="AQ156" s="547"/>
      <c r="AR156" s="305">
        <f t="shared" si="93"/>
        <v>0.6646959064445076</v>
      </c>
      <c r="AV156" s="2137"/>
      <c r="AW156" s="2133">
        <f t="shared" si="84"/>
        <v>1</v>
      </c>
    </row>
    <row r="157" spans="1:49">
      <c r="A157" s="110">
        <f t="shared" si="85"/>
        <v>1998</v>
      </c>
      <c r="B157" s="2">
        <v>58475</v>
      </c>
      <c r="C157" s="540">
        <v>0.255</v>
      </c>
      <c r="D157" s="521"/>
      <c r="E157" s="542">
        <v>26794</v>
      </c>
      <c r="F157" s="522">
        <f t="shared" si="86"/>
        <v>0.61505088792032392</v>
      </c>
      <c r="G157" s="2051">
        <v>23182</v>
      </c>
      <c r="H157" s="352"/>
      <c r="I157" s="352"/>
      <c r="J157" s="352"/>
      <c r="K157" s="352"/>
      <c r="L157" s="352"/>
      <c r="M157" s="542">
        <v>3612</v>
      </c>
      <c r="N157" s="352"/>
      <c r="O157" s="1157"/>
      <c r="P157" s="352"/>
      <c r="Q157" s="2134"/>
      <c r="R157" s="303">
        <f t="shared" si="80"/>
        <v>0.86519370008210794</v>
      </c>
      <c r="S157" s="203">
        <f t="shared" si="88"/>
        <v>6.9740393711984344E-3</v>
      </c>
      <c r="T157" s="203">
        <f t="shared" si="87"/>
        <v>0.85821966071090949</v>
      </c>
      <c r="U157" s="203">
        <f t="shared" si="89"/>
        <v>0.68518092069448788</v>
      </c>
      <c r="V157" s="309">
        <f t="shared" si="83"/>
        <v>0.17303874001642161</v>
      </c>
      <c r="W157" s="307">
        <f t="shared" si="94"/>
        <v>0.13480629991789206</v>
      </c>
      <c r="X157" s="2055">
        <f t="shared" si="90"/>
        <v>1.4819833663796675E-2</v>
      </c>
      <c r="Y157" s="203">
        <f t="shared" si="95"/>
        <v>0.11998646625409538</v>
      </c>
      <c r="Z157" s="203">
        <f t="shared" si="76"/>
        <v>2.1793873034995109E-2</v>
      </c>
      <c r="AA157" s="203">
        <f t="shared" si="82"/>
        <v>0.68</v>
      </c>
      <c r="AB157" s="203"/>
      <c r="AC157" s="1155">
        <f t="shared" si="91"/>
        <v>0.14902052442637934</v>
      </c>
      <c r="AD157" s="177">
        <f>1000*(DataUK1!$AO157+DataUK1!$BI157)/DataUK2!$E157</f>
        <v>19267.709188624318</v>
      </c>
      <c r="AE157" s="176">
        <f>1000*DataUK1!$BI157/(R157*DataUK2!$E157)</f>
        <v>20085.842463980676</v>
      </c>
      <c r="AF157" s="546"/>
      <c r="AG157" s="546"/>
      <c r="AH157" s="546"/>
      <c r="AI157" s="176">
        <f>1000*DataUK1!$AO157/(W157*DataUK2!$E157)</f>
        <v>14016.88815060908</v>
      </c>
      <c r="AJ157" s="118"/>
      <c r="AK157" s="118"/>
      <c r="AL157" s="118"/>
      <c r="AM157" s="2136"/>
      <c r="AN157" s="303">
        <f t="shared" si="92"/>
        <v>1</v>
      </c>
      <c r="AO157" s="547"/>
      <c r="AP157" s="547"/>
      <c r="AQ157" s="547"/>
      <c r="AR157" s="305">
        <f t="shared" si="93"/>
        <v>0.69784915299147321</v>
      </c>
      <c r="AV157" s="2137"/>
      <c r="AW157" s="2133">
        <f t="shared" si="84"/>
        <v>1</v>
      </c>
    </row>
    <row r="158" spans="1:49">
      <c r="A158" s="110">
        <f t="shared" si="85"/>
        <v>1999</v>
      </c>
      <c r="B158" s="2">
        <v>58684</v>
      </c>
      <c r="C158" s="540">
        <v>0.254</v>
      </c>
      <c r="D158" s="521"/>
      <c r="E158" s="542">
        <v>27167</v>
      </c>
      <c r="F158" s="522">
        <f t="shared" si="86"/>
        <v>0.62055909754667293</v>
      </c>
      <c r="G158" s="2051">
        <v>23606</v>
      </c>
      <c r="H158" s="352"/>
      <c r="I158" s="352"/>
      <c r="J158" s="352"/>
      <c r="K158" s="352"/>
      <c r="L158" s="352"/>
      <c r="M158" s="542">
        <v>3561</v>
      </c>
      <c r="N158" s="352"/>
      <c r="O158" s="1157"/>
      <c r="P158" s="352"/>
      <c r="Q158" s="2134"/>
      <c r="R158" s="303">
        <f t="shared" si="80"/>
        <v>0.8689218537195863</v>
      </c>
      <c r="S158" s="203">
        <f t="shared" si="88"/>
        <v>6.778534680356307E-3</v>
      </c>
      <c r="T158" s="203">
        <f t="shared" si="87"/>
        <v>0.86214331903923003</v>
      </c>
      <c r="U158" s="203">
        <f t="shared" si="89"/>
        <v>0.68835894829531274</v>
      </c>
      <c r="V158" s="309">
        <f t="shared" si="83"/>
        <v>0.17378437074391728</v>
      </c>
      <c r="W158" s="307">
        <f t="shared" si="94"/>
        <v>0.13107814628041373</v>
      </c>
      <c r="X158" s="2055">
        <f t="shared" si="90"/>
        <v>1.4404386195757157E-2</v>
      </c>
      <c r="Y158" s="203">
        <f t="shared" si="95"/>
        <v>0.11667376008465657</v>
      </c>
      <c r="Z158" s="203">
        <f t="shared" si="76"/>
        <v>2.1182920876113464E-2</v>
      </c>
      <c r="AA158" s="203">
        <f t="shared" si="82"/>
        <v>0.68</v>
      </c>
      <c r="AB158" s="203"/>
      <c r="AC158" s="1155">
        <f t="shared" si="91"/>
        <v>0.14493045918525269</v>
      </c>
      <c r="AD158" s="177">
        <f>1000*(DataUK1!$AO158+DataUK1!$BI158)/DataUK2!$E158</f>
        <v>20248.794493319099</v>
      </c>
      <c r="AE158" s="176">
        <f>1000*DataUK1!$BI158/(R158*DataUK2!$E158)</f>
        <v>21024.231127679403</v>
      </c>
      <c r="AF158" s="546"/>
      <c r="AG158" s="546"/>
      <c r="AH158" s="546"/>
      <c r="AI158" s="176">
        <f>1000*DataUK1!$AO158/(W158*DataUK2!$E158)</f>
        <v>15108.396517832072</v>
      </c>
      <c r="AJ158" s="118"/>
      <c r="AK158" s="118"/>
      <c r="AL158" s="118"/>
      <c r="AM158" s="2136"/>
      <c r="AN158" s="303">
        <f t="shared" si="92"/>
        <v>1</v>
      </c>
      <c r="AO158" s="547"/>
      <c r="AP158" s="547"/>
      <c r="AQ158" s="547"/>
      <c r="AR158" s="305">
        <f t="shared" si="93"/>
        <v>0.71861826604166024</v>
      </c>
      <c r="AV158" s="2137"/>
      <c r="AW158" s="2133">
        <f t="shared" si="84"/>
        <v>1</v>
      </c>
    </row>
    <row r="159" spans="1:49">
      <c r="A159" s="110">
        <f t="shared" si="85"/>
        <v>2000</v>
      </c>
      <c r="B159" s="2">
        <v>58886</v>
      </c>
      <c r="C159" s="540">
        <v>0.253</v>
      </c>
      <c r="D159" s="521"/>
      <c r="E159" s="542">
        <v>27484</v>
      </c>
      <c r="F159" s="522">
        <f t="shared" si="86"/>
        <v>0.6248090097259148</v>
      </c>
      <c r="G159" s="2051">
        <v>23976</v>
      </c>
      <c r="H159" s="352"/>
      <c r="I159" s="352"/>
      <c r="J159" s="352"/>
      <c r="K159" s="352"/>
      <c r="L159" s="352"/>
      <c r="M159" s="542">
        <v>3508</v>
      </c>
      <c r="N159" s="352"/>
      <c r="O159" s="1157"/>
      <c r="P159" s="352"/>
      <c r="Q159" s="2134"/>
      <c r="R159" s="303">
        <f t="shared" si="80"/>
        <v>0.8723621015863775</v>
      </c>
      <c r="S159" s="203">
        <f t="shared" si="88"/>
        <v>6.5830299895141813E-3</v>
      </c>
      <c r="T159" s="203">
        <f t="shared" si="87"/>
        <v>0.86577907159686329</v>
      </c>
      <c r="U159" s="203">
        <f t="shared" si="89"/>
        <v>0.69130665127958779</v>
      </c>
      <c r="V159" s="309">
        <f t="shared" si="83"/>
        <v>0.1744724203172755</v>
      </c>
      <c r="W159" s="307">
        <f t="shared" si="94"/>
        <v>0.12763789841362247</v>
      </c>
      <c r="X159" s="2055">
        <f t="shared" si="90"/>
        <v>1.3988938727717637E-2</v>
      </c>
      <c r="Y159" s="203">
        <f t="shared" si="95"/>
        <v>0.11364895968590483</v>
      </c>
      <c r="Z159" s="203">
        <f t="shared" si="76"/>
        <v>2.0571968717231819E-2</v>
      </c>
      <c r="AA159" s="203">
        <f t="shared" si="82"/>
        <v>0.68</v>
      </c>
      <c r="AB159" s="203"/>
      <c r="AC159" s="1155">
        <f t="shared" si="91"/>
        <v>0.14118661717208256</v>
      </c>
      <c r="AD159" s="177">
        <f>1000*(DataUK1!$AO159+DataUK1!$BI159)/DataUK2!$E159</f>
        <v>21440.547227477804</v>
      </c>
      <c r="AE159" s="176">
        <f>1000*DataUK1!$BI159/(R159*DataUK2!$E159)</f>
        <v>22208.249916583249</v>
      </c>
      <c r="AF159" s="546"/>
      <c r="AG159" s="546"/>
      <c r="AH159" s="546"/>
      <c r="AI159" s="176">
        <f>1000*DataUK1!$AO159/(W159*DataUK2!$E159)</f>
        <v>16193.557582668187</v>
      </c>
      <c r="AJ159" s="118"/>
      <c r="AK159" s="118"/>
      <c r="AL159" s="118"/>
      <c r="AM159" s="2136"/>
      <c r="AN159" s="303">
        <f t="shared" si="92"/>
        <v>1</v>
      </c>
      <c r="AO159" s="547"/>
      <c r="AP159" s="547"/>
      <c r="AQ159" s="547"/>
      <c r="AR159" s="305">
        <f t="shared" si="93"/>
        <v>0.72916855868846309</v>
      </c>
      <c r="AV159" s="2137"/>
      <c r="AW159" s="2133">
        <f t="shared" si="84"/>
        <v>1</v>
      </c>
    </row>
    <row r="160" spans="1:49">
      <c r="A160" s="110">
        <f t="shared" si="85"/>
        <v>2001</v>
      </c>
      <c r="B160" s="2">
        <v>59113</v>
      </c>
      <c r="C160" s="540">
        <v>0.251</v>
      </c>
      <c r="D160" s="521"/>
      <c r="E160" s="542">
        <v>27711</v>
      </c>
      <c r="F160" s="522">
        <f t="shared" si="86"/>
        <v>0.62587467685671017</v>
      </c>
      <c r="G160" s="2051">
        <v>24182</v>
      </c>
      <c r="H160" s="352"/>
      <c r="I160" s="352"/>
      <c r="J160" s="352"/>
      <c r="K160" s="352"/>
      <c r="L160" s="352"/>
      <c r="M160" s="542">
        <v>3529</v>
      </c>
      <c r="N160" s="352"/>
      <c r="O160" s="1157"/>
      <c r="P160" s="352">
        <f>305+104+3596+1858+5132+1512+2952+104+86+11+1226+200+4748+495+5785+114</f>
        <v>28228</v>
      </c>
      <c r="Q160" s="981">
        <f>305+86</f>
        <v>391</v>
      </c>
      <c r="R160" s="303">
        <f t="shared" si="80"/>
        <v>0.87264985023997688</v>
      </c>
      <c r="S160" s="203">
        <f t="shared" si="88"/>
        <v>4.4324783902508144E-3</v>
      </c>
      <c r="T160" s="203">
        <f t="shared" si="87"/>
        <v>0.86821737184972603</v>
      </c>
      <c r="U160" s="203">
        <f t="shared" si="89"/>
        <v>0.69368740180173061</v>
      </c>
      <c r="V160" s="309">
        <f t="shared" si="83"/>
        <v>0.17452997004799539</v>
      </c>
      <c r="W160" s="307">
        <f t="shared" si="94"/>
        <v>0.1273501497600231</v>
      </c>
      <c r="X160" s="2055">
        <f t="shared" si="90"/>
        <v>9.4190165792829815E-3</v>
      </c>
      <c r="Y160" s="203">
        <f t="shared" si="95"/>
        <v>0.11793113318074011</v>
      </c>
      <c r="Z160" s="307">
        <f>Q160/P160</f>
        <v>1.3851494969533796E-2</v>
      </c>
      <c r="AA160" s="203">
        <f t="shared" si="82"/>
        <v>0.68</v>
      </c>
      <c r="AB160" s="203"/>
      <c r="AC160" s="1155">
        <f t="shared" si="91"/>
        <v>0.14530364709239565</v>
      </c>
      <c r="AD160" s="177">
        <f>1000*(DataUK1!$AO160+DataUK1!$BI160)/DataUK2!$E160</f>
        <v>22552.668615351304</v>
      </c>
      <c r="AE160" s="176">
        <f>1000*DataUK1!$BI160/(R160*DataUK2!$E160)</f>
        <v>23336.324538913243</v>
      </c>
      <c r="AF160" s="546"/>
      <c r="AG160" s="546"/>
      <c r="AH160" s="546"/>
      <c r="AI160" s="176">
        <f>1000*DataUK1!$AO160/(W160*DataUK2!$E160)</f>
        <v>17182.771323321052</v>
      </c>
      <c r="AJ160" s="118"/>
      <c r="AK160" s="118"/>
      <c r="AL160" s="118"/>
      <c r="AM160" s="2136"/>
      <c r="AN160" s="303">
        <f t="shared" si="92"/>
        <v>1</v>
      </c>
      <c r="AO160" s="547"/>
      <c r="AP160" s="547"/>
      <c r="AQ160" s="547"/>
      <c r="AR160" s="305">
        <f t="shared" si="93"/>
        <v>0.7363100943624965</v>
      </c>
      <c r="AV160" s="2137"/>
      <c r="AW160" s="2133">
        <f t="shared" si="84"/>
        <v>1</v>
      </c>
    </row>
    <row r="161" spans="1:49">
      <c r="A161" s="110">
        <f t="shared" si="85"/>
        <v>2002</v>
      </c>
      <c r="B161" s="2">
        <v>59319</v>
      </c>
      <c r="C161" s="540">
        <v>0.25</v>
      </c>
      <c r="D161" s="521"/>
      <c r="E161" s="542">
        <v>27922</v>
      </c>
      <c r="F161" s="522">
        <f t="shared" si="86"/>
        <v>0.62761228836179528</v>
      </c>
      <c r="G161" s="2051">
        <v>24385</v>
      </c>
      <c r="H161" s="352"/>
      <c r="I161" s="352"/>
      <c r="J161" s="352"/>
      <c r="K161" s="352"/>
      <c r="L161" s="352"/>
      <c r="M161" s="542">
        <v>3537</v>
      </c>
      <c r="N161" s="352"/>
      <c r="O161" s="1157"/>
      <c r="P161" s="352"/>
      <c r="Q161" s="2134"/>
      <c r="R161" s="303">
        <f t="shared" si="80"/>
        <v>0.87332569300193397</v>
      </c>
      <c r="S161" s="203">
        <f t="shared" si="88"/>
        <v>4.4324783902508144E-3</v>
      </c>
      <c r="T161" s="203">
        <f t="shared" si="87"/>
        <v>0.86889321461168312</v>
      </c>
      <c r="U161" s="203">
        <f t="shared" si="89"/>
        <v>0.69422807601129632</v>
      </c>
      <c r="V161" s="309">
        <f t="shared" si="83"/>
        <v>0.17466513860038679</v>
      </c>
      <c r="W161" s="307">
        <f t="shared" si="94"/>
        <v>0.12667430699806603</v>
      </c>
      <c r="X161" s="2055">
        <f t="shared" si="90"/>
        <v>9.4190165792829815E-3</v>
      </c>
      <c r="Y161" s="203">
        <f t="shared" si="95"/>
        <v>0.11725529041878305</v>
      </c>
      <c r="Z161" s="203">
        <f>Z$160</f>
        <v>1.3851494969533796E-2</v>
      </c>
      <c r="AA161" s="203">
        <f t="shared" si="82"/>
        <v>0.68</v>
      </c>
      <c r="AB161" s="203"/>
      <c r="AC161" s="1155">
        <f t="shared" si="91"/>
        <v>0.14449500170856089</v>
      </c>
      <c r="AD161" s="177">
        <f>1000*(DataUK1!$AO161+DataUK1!$BI161)/DataUK2!$E161</f>
        <v>23394.670868848938</v>
      </c>
      <c r="AE161" s="176">
        <f>1000*DataUK1!$BI161/(R161*DataUK2!$E161)</f>
        <v>24068.484724215705</v>
      </c>
      <c r="AF161" s="546"/>
      <c r="AG161" s="546"/>
      <c r="AH161" s="546"/>
      <c r="AI161" s="176">
        <f>1000*DataUK1!$AO161/(W161*DataUK2!$E161)</f>
        <v>18749.222504947695</v>
      </c>
      <c r="AJ161" s="118"/>
      <c r="AK161" s="118"/>
      <c r="AL161" s="118"/>
      <c r="AM161" s="2136"/>
      <c r="AN161" s="303">
        <f t="shared" si="92"/>
        <v>1</v>
      </c>
      <c r="AO161" s="547"/>
      <c r="AP161" s="547"/>
      <c r="AQ161" s="547"/>
      <c r="AR161" s="305">
        <f t="shared" si="93"/>
        <v>0.77899471943423959</v>
      </c>
      <c r="AV161" s="2137"/>
      <c r="AW161" s="2133">
        <f t="shared" si="84"/>
        <v>1</v>
      </c>
    </row>
    <row r="162" spans="1:49">
      <c r="A162" s="110">
        <f t="shared" si="85"/>
        <v>2003</v>
      </c>
      <c r="B162" s="2">
        <v>59552</v>
      </c>
      <c r="C162" s="540">
        <v>0.249</v>
      </c>
      <c r="D162" s="521"/>
      <c r="E162" s="542">
        <v>28189</v>
      </c>
      <c r="F162" s="522">
        <f t="shared" si="86"/>
        <v>0.63029430220569238</v>
      </c>
      <c r="G162" s="2051">
        <v>24427</v>
      </c>
      <c r="H162" s="352"/>
      <c r="I162" s="352"/>
      <c r="J162" s="352"/>
      <c r="K162" s="352"/>
      <c r="L162" s="352"/>
      <c r="M162" s="542">
        <v>3762</v>
      </c>
      <c r="N162" s="352"/>
      <c r="O162" s="1157"/>
      <c r="P162" s="352"/>
      <c r="Q162" s="2134"/>
      <c r="R162" s="303">
        <f t="shared" si="80"/>
        <v>0.86654368725389341</v>
      </c>
      <c r="S162" s="203">
        <f t="shared" si="88"/>
        <v>4.4324783902508144E-3</v>
      </c>
      <c r="T162" s="203">
        <f t="shared" si="87"/>
        <v>0.86211120886364256</v>
      </c>
      <c r="U162" s="203">
        <f t="shared" si="89"/>
        <v>0.68880247141286388</v>
      </c>
      <c r="V162" s="309">
        <f t="shared" si="83"/>
        <v>0.17330873745077868</v>
      </c>
      <c r="W162" s="307">
        <f t="shared" si="94"/>
        <v>0.13345631274610664</v>
      </c>
      <c r="X162" s="2055">
        <f t="shared" si="90"/>
        <v>9.4190165792829815E-3</v>
      </c>
      <c r="Y162" s="203">
        <f t="shared" si="95"/>
        <v>0.12403729616682366</v>
      </c>
      <c r="Z162" s="203">
        <f t="shared" ref="Z162:Z170" si="96">Z$160</f>
        <v>1.3851494969533796E-2</v>
      </c>
      <c r="AA162" s="203">
        <f t="shared" si="82"/>
        <v>0.68</v>
      </c>
      <c r="AB162" s="203"/>
      <c r="AC162" s="1155">
        <f t="shared" si="91"/>
        <v>0.15259747506714297</v>
      </c>
      <c r="AD162" s="177">
        <f>1000*(DataUK1!$AO162+DataUK1!$BI162)/DataUK2!$E162</f>
        <v>24419.809145411331</v>
      </c>
      <c r="AE162" s="176">
        <f>1000*DataUK1!$BI162/(R162*DataUK2!$E162)</f>
        <v>25220.207147828223</v>
      </c>
      <c r="AF162" s="546"/>
      <c r="AG162" s="546"/>
      <c r="AH162" s="546"/>
      <c r="AI162" s="176">
        <f>1000*DataUK1!$AO162/(W162*DataUK2!$E162)</f>
        <v>19222.753854332801</v>
      </c>
      <c r="AJ162" s="118"/>
      <c r="AK162" s="118"/>
      <c r="AL162" s="118"/>
      <c r="AM162" s="2136"/>
      <c r="AN162" s="303">
        <f t="shared" si="92"/>
        <v>1</v>
      </c>
      <c r="AO162" s="547"/>
      <c r="AP162" s="547"/>
      <c r="AQ162" s="547"/>
      <c r="AR162" s="305">
        <f t="shared" si="93"/>
        <v>0.76219650939655825</v>
      </c>
      <c r="AV162" s="2137"/>
      <c r="AW162" s="2133">
        <f t="shared" si="84"/>
        <v>1</v>
      </c>
    </row>
    <row r="163" spans="1:49">
      <c r="A163" s="110">
        <f t="shared" si="85"/>
        <v>2004</v>
      </c>
      <c r="B163" s="2">
        <v>59842</v>
      </c>
      <c r="C163" s="540">
        <v>0.248</v>
      </c>
      <c r="D163" s="521"/>
      <c r="E163" s="542">
        <v>28489</v>
      </c>
      <c r="F163" s="522">
        <f t="shared" si="86"/>
        <v>0.63307223205504992</v>
      </c>
      <c r="G163" s="2051">
        <v>24647</v>
      </c>
      <c r="H163" s="352"/>
      <c r="I163" s="352"/>
      <c r="J163" s="352"/>
      <c r="K163" s="352"/>
      <c r="L163" s="352"/>
      <c r="M163" s="542">
        <v>3842</v>
      </c>
      <c r="N163" s="352"/>
      <c r="O163" s="1157"/>
      <c r="P163" s="352"/>
      <c r="Q163" s="1157"/>
      <c r="R163" s="303">
        <f t="shared" si="80"/>
        <v>0.86514093158763028</v>
      </c>
      <c r="S163" s="203">
        <f t="shared" si="88"/>
        <v>4.4324783902508144E-3</v>
      </c>
      <c r="T163" s="203">
        <f t="shared" si="87"/>
        <v>0.86070845319737943</v>
      </c>
      <c r="U163" s="203">
        <f t="shared" si="89"/>
        <v>0.6876802668798534</v>
      </c>
      <c r="V163" s="309">
        <f t="shared" si="83"/>
        <v>0.17302818631752606</v>
      </c>
      <c r="W163" s="307">
        <f t="shared" si="94"/>
        <v>0.13485906841236969</v>
      </c>
      <c r="X163" s="2055">
        <f t="shared" si="90"/>
        <v>9.4190165792829815E-3</v>
      </c>
      <c r="Y163" s="203">
        <f t="shared" si="95"/>
        <v>0.12544005183308671</v>
      </c>
      <c r="Z163" s="203">
        <f t="shared" si="96"/>
        <v>1.3851494969533796E-2</v>
      </c>
      <c r="AA163" s="203">
        <f t="shared" si="82"/>
        <v>0.68</v>
      </c>
      <c r="AB163" s="203"/>
      <c r="AC163" s="1155">
        <f t="shared" si="91"/>
        <v>0.15426997572959608</v>
      </c>
      <c r="AD163" s="177">
        <f>1000*(DataUK1!$AO163+DataUK1!$BI163)/DataUK2!$E163</f>
        <v>25232.44059110534</v>
      </c>
      <c r="AE163" s="176">
        <f>1000*DataUK1!$BI163/(R163*DataUK2!$E163)</f>
        <v>26190.286850326611</v>
      </c>
      <c r="AF163" s="546"/>
      <c r="AG163" s="546"/>
      <c r="AH163" s="546"/>
      <c r="AI163" s="176">
        <f>1000*DataUK1!$AO163/(W163*DataUK2!$E163)</f>
        <v>19087.714731910462</v>
      </c>
      <c r="AJ163" s="118"/>
      <c r="AK163" s="118"/>
      <c r="AL163" s="118"/>
      <c r="AM163" s="2136"/>
      <c r="AN163" s="303">
        <f t="shared" si="92"/>
        <v>1</v>
      </c>
      <c r="AO163" s="547"/>
      <c r="AP163" s="547"/>
      <c r="AQ163" s="547"/>
      <c r="AR163" s="305">
        <f t="shared" si="93"/>
        <v>0.72880892221584914</v>
      </c>
      <c r="AV163" s="2137"/>
      <c r="AW163" s="2133">
        <f t="shared" si="84"/>
        <v>1</v>
      </c>
    </row>
    <row r="164" spans="1:49">
      <c r="A164" s="110">
        <f t="shared" si="85"/>
        <v>2005</v>
      </c>
      <c r="B164" s="2">
        <v>60235</v>
      </c>
      <c r="C164" s="540">
        <v>0.24600000000000002</v>
      </c>
      <c r="D164" s="521"/>
      <c r="E164" s="542">
        <v>28779</v>
      </c>
      <c r="F164" s="522">
        <f t="shared" si="86"/>
        <v>0.63365875343674938</v>
      </c>
      <c r="G164" s="2051">
        <v>25009</v>
      </c>
      <c r="H164" s="352"/>
      <c r="I164" s="352"/>
      <c r="J164" s="352"/>
      <c r="K164" s="352"/>
      <c r="L164" s="352"/>
      <c r="M164" s="542">
        <v>3770</v>
      </c>
      <c r="N164" s="352"/>
      <c r="O164" s="1157"/>
      <c r="P164" s="352"/>
      <c r="Q164" s="1157"/>
      <c r="R164" s="303">
        <f t="shared" si="80"/>
        <v>0.86900170263039023</v>
      </c>
      <c r="S164" s="203">
        <f t="shared" si="88"/>
        <v>4.4324783902508144E-3</v>
      </c>
      <c r="T164" s="203">
        <f t="shared" si="87"/>
        <v>0.86456922424013938</v>
      </c>
      <c r="U164" s="203">
        <f t="shared" si="89"/>
        <v>0.69076888371406131</v>
      </c>
      <c r="V164" s="309">
        <f t="shared" si="83"/>
        <v>0.17380034052607807</v>
      </c>
      <c r="W164" s="307">
        <f t="shared" si="94"/>
        <v>0.13099829736960977</v>
      </c>
      <c r="X164" s="2055">
        <f t="shared" si="90"/>
        <v>9.4190165792829815E-3</v>
      </c>
      <c r="Y164" s="203">
        <f t="shared" si="95"/>
        <v>0.12157928079032679</v>
      </c>
      <c r="Z164" s="203">
        <f t="shared" si="96"/>
        <v>1.3851494969533796E-2</v>
      </c>
      <c r="AA164" s="203">
        <f t="shared" si="82"/>
        <v>0.68</v>
      </c>
      <c r="AB164" s="203"/>
      <c r="AC164" s="1155">
        <f t="shared" si="91"/>
        <v>0.14966400627556295</v>
      </c>
      <c r="AD164" s="177">
        <f>1000*(DataUK1!$AO164+DataUK1!$BI164)/DataUK2!$E164</f>
        <v>26248.097571145627</v>
      </c>
      <c r="AE164" s="176">
        <f>1000*DataUK1!$BI164/(R164*DataUK2!$E164)</f>
        <v>27066.536047023073</v>
      </c>
      <c r="AF164" s="546"/>
      <c r="AG164" s="546"/>
      <c r="AH164" s="546"/>
      <c r="AI164" s="176">
        <f>1000*DataUK1!$AO164/(W164*DataUK2!$E164)</f>
        <v>20818.832891246686</v>
      </c>
      <c r="AJ164" s="118"/>
      <c r="AK164" s="118"/>
      <c r="AL164" s="118"/>
      <c r="AM164" s="2136"/>
      <c r="AN164" s="303">
        <f t="shared" si="92"/>
        <v>1</v>
      </c>
      <c r="AO164" s="547"/>
      <c r="AP164" s="547"/>
      <c r="AQ164" s="547"/>
      <c r="AR164" s="305">
        <f t="shared" si="93"/>
        <v>0.76917241478842491</v>
      </c>
      <c r="AV164" s="2137"/>
      <c r="AW164" s="2133">
        <f t="shared" si="84"/>
        <v>1</v>
      </c>
    </row>
    <row r="165" spans="1:49">
      <c r="A165" s="110">
        <f t="shared" si="85"/>
        <v>2006</v>
      </c>
      <c r="B165" s="2">
        <v>60584</v>
      </c>
      <c r="C165" s="540">
        <v>0.24399999999999999</v>
      </c>
      <c r="D165" s="521"/>
      <c r="E165" s="542">
        <v>29031</v>
      </c>
      <c r="F165" s="522">
        <f t="shared" si="86"/>
        <v>0.63384381438653192</v>
      </c>
      <c r="G165" s="2051">
        <v>25099</v>
      </c>
      <c r="H165" s="352"/>
      <c r="I165" s="352"/>
      <c r="J165" s="352"/>
      <c r="K165" s="352"/>
      <c r="L165" s="352"/>
      <c r="M165" s="542">
        <v>3932</v>
      </c>
      <c r="N165" s="352"/>
      <c r="O165" s="1157"/>
      <c r="P165" s="352"/>
      <c r="Q165" s="1157"/>
      <c r="R165" s="303">
        <f t="shared" si="80"/>
        <v>0.86455857531604152</v>
      </c>
      <c r="S165" s="203">
        <f t="shared" si="88"/>
        <v>4.4324783902508144E-3</v>
      </c>
      <c r="T165" s="203">
        <f t="shared" si="87"/>
        <v>0.86012609692579067</v>
      </c>
      <c r="U165" s="203">
        <f t="shared" si="89"/>
        <v>0.68721438186258232</v>
      </c>
      <c r="V165" s="309">
        <f t="shared" si="83"/>
        <v>0.17291171506320832</v>
      </c>
      <c r="W165" s="307">
        <f t="shared" si="94"/>
        <v>0.13544142468395853</v>
      </c>
      <c r="X165" s="2055">
        <f t="shared" si="90"/>
        <v>9.4190165792829815E-3</v>
      </c>
      <c r="Y165" s="203">
        <f t="shared" si="95"/>
        <v>0.12602240810467555</v>
      </c>
      <c r="Z165" s="203">
        <f t="shared" si="96"/>
        <v>1.3851494969533796E-2</v>
      </c>
      <c r="AA165" s="203">
        <f t="shared" si="82"/>
        <v>0.68</v>
      </c>
      <c r="AB165" s="203"/>
      <c r="AC165" s="1155">
        <f t="shared" si="91"/>
        <v>0.15496397809271442</v>
      </c>
      <c r="AD165" s="177">
        <f>1000*(DataUK1!$AO165+DataUK1!$BI165)/DataUK2!$E165</f>
        <v>27315.180324480727</v>
      </c>
      <c r="AE165" s="176">
        <f>1000*DataUK1!$BI165/(R165*DataUK2!$E165)</f>
        <v>28389.776485118928</v>
      </c>
      <c r="AF165" s="546"/>
      <c r="AG165" s="546"/>
      <c r="AH165" s="546"/>
      <c r="AI165" s="176">
        <f>1000*DataUK1!$AO165/(W165*DataUK2!$E165)</f>
        <v>20455.747711088505</v>
      </c>
      <c r="AJ165" s="118"/>
      <c r="AK165" s="118"/>
      <c r="AL165" s="118"/>
      <c r="AM165" s="2136"/>
      <c r="AN165" s="303">
        <f t="shared" si="92"/>
        <v>1</v>
      </c>
      <c r="AO165" s="547"/>
      <c r="AP165" s="547"/>
      <c r="AQ165" s="547"/>
      <c r="AR165" s="305">
        <f t="shared" si="93"/>
        <v>0.72053218600755087</v>
      </c>
      <c r="AV165" s="2137"/>
      <c r="AW165" s="2133">
        <f t="shared" si="84"/>
        <v>1</v>
      </c>
    </row>
    <row r="166" spans="1:49">
      <c r="A166" s="110">
        <f t="shared" si="85"/>
        <v>2007</v>
      </c>
      <c r="B166" s="2">
        <v>60986</v>
      </c>
      <c r="C166" s="540">
        <v>0.24199999999999999</v>
      </c>
      <c r="D166" s="521"/>
      <c r="E166" s="542">
        <v>29228</v>
      </c>
      <c r="F166" s="522">
        <f t="shared" si="86"/>
        <v>0.63226587667034095</v>
      </c>
      <c r="G166" s="2051">
        <v>25211</v>
      </c>
      <c r="H166" s="352"/>
      <c r="I166" s="352"/>
      <c r="J166" s="352"/>
      <c r="K166" s="352"/>
      <c r="L166" s="352"/>
      <c r="M166" s="542">
        <v>4017</v>
      </c>
      <c r="N166" s="352"/>
      <c r="O166" s="1157"/>
      <c r="P166" s="352"/>
      <c r="Q166" s="1157"/>
      <c r="R166" s="303">
        <f t="shared" si="80"/>
        <v>0.86256329547009714</v>
      </c>
      <c r="S166" s="203">
        <f t="shared" si="88"/>
        <v>4.4324783902508144E-3</v>
      </c>
      <c r="T166" s="203">
        <f t="shared" si="87"/>
        <v>0.85813081707984629</v>
      </c>
      <c r="U166" s="203">
        <f t="shared" si="89"/>
        <v>0.68561815798582681</v>
      </c>
      <c r="V166" s="309">
        <f t="shared" si="83"/>
        <v>0.17251265909401944</v>
      </c>
      <c r="W166" s="307">
        <f t="shared" si="94"/>
        <v>0.13743670452990284</v>
      </c>
      <c r="X166" s="2055">
        <f t="shared" si="90"/>
        <v>9.4190165792829815E-3</v>
      </c>
      <c r="Y166" s="203">
        <f t="shared" si="95"/>
        <v>0.12801768795061985</v>
      </c>
      <c r="Z166" s="203">
        <f t="shared" si="96"/>
        <v>1.3851494969533796E-2</v>
      </c>
      <c r="AA166" s="203">
        <f t="shared" si="82"/>
        <v>0.68</v>
      </c>
      <c r="AB166" s="203"/>
      <c r="AC166" s="1155">
        <f t="shared" si="91"/>
        <v>0.15734027524718883</v>
      </c>
      <c r="AD166" s="177">
        <f>1000*(DataUK1!$AO166+DataUK1!$BI166)/DataUK2!$E166</f>
        <v>28535.034898042974</v>
      </c>
      <c r="AE166" s="176">
        <f>1000*DataUK1!$BI166/(R166*DataUK2!$E166)</f>
        <v>29793.502836063624</v>
      </c>
      <c r="AF166" s="546"/>
      <c r="AG166" s="546"/>
      <c r="AH166" s="546"/>
      <c r="AI166" s="176">
        <f>1000*DataUK1!$AO166/(W166*DataUK2!$E166)</f>
        <v>20636.793627084888</v>
      </c>
      <c r="AJ166" s="118"/>
      <c r="AK166" s="118"/>
      <c r="AL166" s="118"/>
      <c r="AM166" s="2136"/>
      <c r="AN166" s="303">
        <f t="shared" si="92"/>
        <v>1</v>
      </c>
      <c r="AO166" s="547"/>
      <c r="AP166" s="547"/>
      <c r="AQ166" s="547"/>
      <c r="AR166" s="305">
        <f t="shared" si="93"/>
        <v>0.69266087108445085</v>
      </c>
      <c r="AV166" s="2137"/>
      <c r="AW166" s="2133">
        <f t="shared" si="84"/>
        <v>1</v>
      </c>
    </row>
    <row r="167" spans="1:49">
      <c r="A167" s="110">
        <f t="shared" si="85"/>
        <v>2008</v>
      </c>
      <c r="B167" s="2">
        <v>61398</v>
      </c>
      <c r="C167" s="540">
        <v>0.24100000000000002</v>
      </c>
      <c r="D167" s="521"/>
      <c r="E167" s="542">
        <v>29442</v>
      </c>
      <c r="F167" s="522">
        <f t="shared" si="86"/>
        <v>0.63178790569712517</v>
      </c>
      <c r="G167" s="2051">
        <v>25410</v>
      </c>
      <c r="H167" s="352"/>
      <c r="I167" s="352"/>
      <c r="J167" s="352"/>
      <c r="K167" s="352"/>
      <c r="L167" s="352"/>
      <c r="M167" s="542">
        <v>4032</v>
      </c>
      <c r="N167" s="352"/>
      <c r="O167" s="1157"/>
      <c r="P167" s="352"/>
      <c r="Q167" s="1157"/>
      <c r="R167" s="303">
        <f t="shared" si="80"/>
        <v>0.86305278174037092</v>
      </c>
      <c r="S167" s="203">
        <f t="shared" si="88"/>
        <v>4.4324783902508144E-3</v>
      </c>
      <c r="T167" s="203">
        <f t="shared" si="87"/>
        <v>0.85862030335012007</v>
      </c>
      <c r="U167" s="203">
        <f t="shared" si="89"/>
        <v>0.68600974700204587</v>
      </c>
      <c r="V167" s="309">
        <f t="shared" si="83"/>
        <v>0.17261055634807421</v>
      </c>
      <c r="W167" s="307">
        <f t="shared" si="94"/>
        <v>0.13694721825962911</v>
      </c>
      <c r="X167" s="2055">
        <f t="shared" si="90"/>
        <v>9.4190165792829815E-3</v>
      </c>
      <c r="Y167" s="203">
        <f t="shared" si="95"/>
        <v>0.12752820168034612</v>
      </c>
      <c r="Z167" s="203">
        <f t="shared" si="96"/>
        <v>1.3851494969533796E-2</v>
      </c>
      <c r="AA167" s="203">
        <f t="shared" si="82"/>
        <v>0.68</v>
      </c>
      <c r="AB167" s="203"/>
      <c r="AC167" s="1155">
        <f t="shared" si="91"/>
        <v>0.15675753280703267</v>
      </c>
      <c r="AD167" s="177">
        <f>1000*(DataUK1!$AO167+DataUK1!$BI167)/DataUK2!$E167</f>
        <v>29095.509815909245</v>
      </c>
      <c r="AE167" s="176">
        <f>1000*DataUK1!$BI167/(R167*DataUK2!$E167)</f>
        <v>30313.026367571823</v>
      </c>
      <c r="AF167" s="546"/>
      <c r="AG167" s="546"/>
      <c r="AH167" s="546"/>
      <c r="AI167" s="176">
        <f>1000*DataUK1!$AO167/(W167*DataUK2!$E167)</f>
        <v>21422.619047619046</v>
      </c>
      <c r="AJ167" s="118"/>
      <c r="AK167" s="118"/>
      <c r="AL167" s="118"/>
      <c r="AM167" s="2136"/>
      <c r="AN167" s="303">
        <f t="shared" si="92"/>
        <v>1</v>
      </c>
      <c r="AO167" s="547"/>
      <c r="AP167" s="547"/>
      <c r="AQ167" s="547"/>
      <c r="AR167" s="305">
        <f t="shared" si="93"/>
        <v>0.70671330496173979</v>
      </c>
      <c r="AV167" s="2137"/>
      <c r="AW167" s="2133">
        <f t="shared" si="84"/>
        <v>1</v>
      </c>
    </row>
    <row r="168" spans="1:49">
      <c r="A168" s="110">
        <f t="shared" si="85"/>
        <v>2009</v>
      </c>
      <c r="B168" s="2">
        <v>61792</v>
      </c>
      <c r="C168" s="540">
        <v>0.23899999999999999</v>
      </c>
      <c r="D168" s="521"/>
      <c r="E168" s="542">
        <v>28978</v>
      </c>
      <c r="F168" s="522">
        <f t="shared" si="86"/>
        <v>0.61624229069793557</v>
      </c>
      <c r="G168" s="2051">
        <v>24938</v>
      </c>
      <c r="H168" s="352"/>
      <c r="I168" s="352"/>
      <c r="J168" s="352"/>
      <c r="K168" s="352"/>
      <c r="L168" s="352"/>
      <c r="M168" s="542">
        <v>4040</v>
      </c>
      <c r="N168" s="352"/>
      <c r="O168" s="1157"/>
      <c r="P168" s="352"/>
      <c r="Q168" s="1157"/>
      <c r="R168" s="303">
        <f t="shared" si="80"/>
        <v>0.86058389122782797</v>
      </c>
      <c r="S168" s="203">
        <f t="shared" si="88"/>
        <v>4.4324783902508144E-3</v>
      </c>
      <c r="T168" s="203">
        <f t="shared" si="87"/>
        <v>0.85615141283757712</v>
      </c>
      <c r="U168" s="203">
        <f t="shared" si="89"/>
        <v>0.68403463459201153</v>
      </c>
      <c r="V168" s="309">
        <f t="shared" si="83"/>
        <v>0.17211677824556559</v>
      </c>
      <c r="W168" s="307">
        <f t="shared" si="94"/>
        <v>0.139416108772172</v>
      </c>
      <c r="X168" s="2055">
        <f t="shared" si="90"/>
        <v>9.4190165792829815E-3</v>
      </c>
      <c r="Y168" s="203">
        <f t="shared" si="95"/>
        <v>0.12999709219288902</v>
      </c>
      <c r="Z168" s="203">
        <f t="shared" si="96"/>
        <v>1.3851494969533796E-2</v>
      </c>
      <c r="AA168" s="203">
        <f t="shared" si="82"/>
        <v>0.68</v>
      </c>
      <c r="AB168" s="203"/>
      <c r="AC168" s="1155">
        <f t="shared" si="91"/>
        <v>0.15969536311112281</v>
      </c>
      <c r="AD168" s="177">
        <f>1000*(DataUK1!$AO168+DataUK1!$BI168)/DataUK2!$E168</f>
        <v>29609.945475878252</v>
      </c>
      <c r="AE168" s="176">
        <f>1000*DataUK1!$BI168/(R168*DataUK2!$E168)</f>
        <v>31141.751543828694</v>
      </c>
      <c r="AF168" s="546"/>
      <c r="AG168" s="546"/>
      <c r="AH168" s="546"/>
      <c r="AI168" s="176">
        <f>1000*DataUK1!$AO168/(W168*DataUK2!$E168)</f>
        <v>20154.45544554455</v>
      </c>
      <c r="AJ168" s="118"/>
      <c r="AK168" s="118"/>
      <c r="AL168" s="118"/>
      <c r="AM168" s="2136"/>
      <c r="AN168" s="303">
        <f t="shared" si="92"/>
        <v>1</v>
      </c>
      <c r="AO168" s="547"/>
      <c r="AP168" s="547"/>
      <c r="AQ168" s="547"/>
      <c r="AR168" s="305">
        <f t="shared" si="93"/>
        <v>0.64718438900841224</v>
      </c>
      <c r="AV168" s="2137"/>
      <c r="AW168" s="2133">
        <f t="shared" si="84"/>
        <v>1</v>
      </c>
    </row>
    <row r="169" spans="1:49">
      <c r="A169" s="110">
        <f t="shared" si="85"/>
        <v>2010</v>
      </c>
      <c r="B169" s="2">
        <v>62181</v>
      </c>
      <c r="C169" s="540">
        <v>0.23800000000000002</v>
      </c>
      <c r="D169" s="521"/>
      <c r="E169" s="542">
        <v>29043</v>
      </c>
      <c r="F169" s="522">
        <f t="shared" si="86"/>
        <v>0.61295529548168182</v>
      </c>
      <c r="G169" s="2051">
        <v>24860</v>
      </c>
      <c r="H169" s="352"/>
      <c r="I169" s="352"/>
      <c r="J169" s="352"/>
      <c r="K169" s="352"/>
      <c r="L169" s="352"/>
      <c r="M169" s="542">
        <v>4183</v>
      </c>
      <c r="N169" s="352"/>
      <c r="O169" s="1157"/>
      <c r="P169" s="352"/>
      <c r="Q169" s="1157"/>
      <c r="R169" s="303">
        <f t="shared" si="80"/>
        <v>0.85597217918259128</v>
      </c>
      <c r="S169" s="203">
        <f t="shared" si="88"/>
        <v>4.4324783902508144E-3</v>
      </c>
      <c r="T169" s="203">
        <f t="shared" si="87"/>
        <v>0.85153970079234043</v>
      </c>
      <c r="U169" s="203">
        <f t="shared" si="89"/>
        <v>0.68034526495582215</v>
      </c>
      <c r="V169" s="309">
        <f t="shared" si="83"/>
        <v>0.17119443583651828</v>
      </c>
      <c r="W169" s="307">
        <f t="shared" si="94"/>
        <v>0.14402782081740867</v>
      </c>
      <c r="X169" s="2055">
        <f t="shared" si="90"/>
        <v>9.4190165792829815E-3</v>
      </c>
      <c r="Y169" s="203">
        <f t="shared" si="95"/>
        <v>0.13460880423812568</v>
      </c>
      <c r="Z169" s="203">
        <f t="shared" si="96"/>
        <v>1.3851494969533796E-2</v>
      </c>
      <c r="AA169" s="203">
        <f t="shared" si="82"/>
        <v>0.68</v>
      </c>
      <c r="AB169" s="203"/>
      <c r="AC169" s="1155">
        <f t="shared" si="91"/>
        <v>0.16517348563123824</v>
      </c>
      <c r="AD169" s="177">
        <f>1000*(DataUK1!$AO169+DataUK1!$BI169)/DataUK2!$E169</f>
        <v>30321.660985435388</v>
      </c>
      <c r="AE169" s="176">
        <f>1000*DataUK1!$BI169/(R169*DataUK2!$E169)</f>
        <v>32163.51568785197</v>
      </c>
      <c r="AF169" s="546"/>
      <c r="AG169" s="546"/>
      <c r="AH169" s="546"/>
      <c r="AI169" s="176">
        <f>1000*DataUK1!$AO169/(W169*DataUK2!$E169)</f>
        <v>19375.328711451111</v>
      </c>
      <c r="AJ169" s="118"/>
      <c r="AK169" s="118"/>
      <c r="AL169" s="118"/>
      <c r="AM169" s="2136"/>
      <c r="AN169" s="303">
        <f t="shared" si="92"/>
        <v>1</v>
      </c>
      <c r="AO169" s="547"/>
      <c r="AP169" s="547"/>
      <c r="AQ169" s="547"/>
      <c r="AR169" s="305">
        <f t="shared" si="93"/>
        <v>0.60240083514157294</v>
      </c>
      <c r="AV169" s="2137"/>
      <c r="AW169" s="2133">
        <f t="shared" si="84"/>
        <v>1</v>
      </c>
    </row>
    <row r="170" spans="1:49">
      <c r="A170" s="110">
        <f t="shared" si="85"/>
        <v>2011</v>
      </c>
      <c r="B170" s="170">
        <v>62777.2</v>
      </c>
      <c r="C170" s="29"/>
      <c r="D170" s="521"/>
      <c r="E170" s="542">
        <v>29294.945</v>
      </c>
      <c r="F170" s="1151"/>
      <c r="G170" s="2051">
        <v>25049.786</v>
      </c>
      <c r="H170" s="352"/>
      <c r="I170" s="352"/>
      <c r="J170" s="352"/>
      <c r="K170" s="352"/>
      <c r="L170" s="352"/>
      <c r="M170" s="542">
        <v>4246.8389999999999</v>
      </c>
      <c r="N170" s="352"/>
      <c r="O170" s="1157"/>
      <c r="P170" s="352"/>
      <c r="Q170" s="1157"/>
      <c r="R170" s="303">
        <f t="shared" si="80"/>
        <v>0.85508902645149187</v>
      </c>
      <c r="S170" s="203"/>
      <c r="T170" s="83"/>
      <c r="U170" s="83"/>
      <c r="V170" s="83"/>
      <c r="W170" s="307">
        <f t="shared" si="94"/>
        <v>0.14496832132642679</v>
      </c>
      <c r="X170" s="83"/>
      <c r="Y170" s="83"/>
      <c r="Z170" s="203">
        <f t="shared" si="96"/>
        <v>1.3851494969533796E-2</v>
      </c>
      <c r="AA170" s="83"/>
      <c r="AB170" s="83"/>
      <c r="AC170" s="84"/>
      <c r="AE170" s="154"/>
      <c r="AM170" s="2136"/>
      <c r="AN170" s="1032"/>
      <c r="AV170" s="2137"/>
      <c r="AW170" s="2133"/>
    </row>
    <row r="171" spans="1:49">
      <c r="M171" s="75"/>
      <c r="O171" s="1157"/>
      <c r="Q171" s="77"/>
      <c r="AM171" s="2136"/>
      <c r="AV171" s="2137"/>
    </row>
    <row r="172" spans="1:49">
      <c r="O172" s="1157"/>
      <c r="Q172" s="77"/>
      <c r="AM172" s="2136"/>
      <c r="AV172" s="2137"/>
    </row>
    <row r="173" spans="1:49">
      <c r="O173" s="77"/>
      <c r="Q173" s="77"/>
      <c r="AM173" s="2136"/>
      <c r="AV173" s="2137"/>
    </row>
    <row r="174" spans="1:49">
      <c r="O174" s="77"/>
      <c r="Q174" s="77"/>
      <c r="AM174" s="2136"/>
      <c r="AV174" s="2137"/>
    </row>
    <row r="175" spans="1:49">
      <c r="O175" s="77"/>
      <c r="Q175" s="77"/>
      <c r="AM175" s="2136"/>
      <c r="AV175" s="2137"/>
    </row>
    <row r="176" spans="1:49">
      <c r="O176" s="77"/>
      <c r="Q176" s="77"/>
      <c r="AM176" s="2136"/>
      <c r="AV176" s="2137"/>
    </row>
    <row r="177" spans="15:48">
      <c r="O177" s="77"/>
      <c r="Q177" s="77"/>
      <c r="AM177" s="2136"/>
      <c r="AV177" s="2137"/>
    </row>
    <row r="178" spans="15:48">
      <c r="O178" s="77"/>
      <c r="Q178" s="77"/>
      <c r="AM178" s="2136"/>
      <c r="AV178" s="2137"/>
    </row>
    <row r="179" spans="15:48">
      <c r="O179" s="77"/>
      <c r="Q179" s="77"/>
      <c r="AM179" s="2136"/>
      <c r="AV179" s="2137"/>
    </row>
    <row r="180" spans="15:48">
      <c r="O180" s="77"/>
      <c r="Q180" s="77"/>
      <c r="AM180" s="2136"/>
      <c r="AV180" s="2137"/>
    </row>
    <row r="181" spans="15:48">
      <c r="O181" s="77"/>
      <c r="Q181" s="77"/>
      <c r="AM181" s="2136"/>
      <c r="AV181" s="2137"/>
    </row>
    <row r="182" spans="15:48">
      <c r="AM182" s="2136"/>
      <c r="AV182" s="2137"/>
    </row>
    <row r="183" spans="15:48">
      <c r="AM183" s="2136"/>
      <c r="AV183" s="2137"/>
    </row>
    <row r="184" spans="15:48">
      <c r="AM184" s="2136"/>
      <c r="AV184" s="2137"/>
    </row>
    <row r="185" spans="15:48">
      <c r="AM185" s="2136"/>
      <c r="AV185" s="2137"/>
    </row>
    <row r="186" spans="15:48">
      <c r="AM186" s="2136"/>
      <c r="AV186" s="2137"/>
    </row>
    <row r="187" spans="15:48">
      <c r="AM187" s="2136"/>
      <c r="AV187" s="2137"/>
    </row>
    <row r="188" spans="15:48">
      <c r="AM188" s="2136"/>
      <c r="AV188" s="2137"/>
    </row>
    <row r="189" spans="15:48">
      <c r="AM189" s="2136"/>
      <c r="AV189" s="2137"/>
    </row>
    <row r="190" spans="15:48">
      <c r="AM190" s="2136"/>
      <c r="AV190" s="2137"/>
    </row>
    <row r="191" spans="15:48">
      <c r="AM191" s="2136"/>
      <c r="AV191" s="2137"/>
    </row>
    <row r="192" spans="15:48">
      <c r="AM192" s="2136"/>
      <c r="AV192" s="2137"/>
    </row>
    <row r="193" spans="39:48">
      <c r="AM193" s="2136"/>
      <c r="AV193" s="2137"/>
    </row>
    <row r="194" spans="39:48">
      <c r="AM194" s="2136"/>
      <c r="AV194" s="2137"/>
    </row>
    <row r="195" spans="39:48">
      <c r="AM195" s="2136"/>
      <c r="AV195" s="2137"/>
    </row>
    <row r="196" spans="39:48">
      <c r="AM196" s="2136"/>
      <c r="AV196" s="2137"/>
    </row>
    <row r="197" spans="39:48">
      <c r="AM197" s="2136"/>
      <c r="AV197" s="2137"/>
    </row>
    <row r="198" spans="39:48">
      <c r="AM198" s="2136"/>
      <c r="AV198" s="2137"/>
    </row>
    <row r="199" spans="39:48">
      <c r="AM199" s="2136"/>
      <c r="AV199" s="2137"/>
    </row>
    <row r="200" spans="39:48">
      <c r="AM200" s="2136"/>
      <c r="AV200" s="2137"/>
    </row>
    <row r="201" spans="39:48">
      <c r="AM201" s="2136"/>
      <c r="AV201" s="2137"/>
    </row>
    <row r="202" spans="39:48">
      <c r="AM202" s="2136"/>
    </row>
    <row r="203" spans="39:48">
      <c r="AM203" s="2136"/>
    </row>
    <row r="204" spans="39:48">
      <c r="AM204" s="2136"/>
    </row>
    <row r="205" spans="39:48">
      <c r="AM205" s="2136"/>
    </row>
    <row r="206" spans="39:48">
      <c r="AM206" s="2136"/>
    </row>
    <row r="207" spans="39:48">
      <c r="AM207" s="2136"/>
    </row>
    <row r="208" spans="39:48">
      <c r="AM208" s="2136"/>
    </row>
    <row r="209" spans="39:39">
      <c r="AM209" s="2136"/>
    </row>
    <row r="210" spans="39:39">
      <c r="AM210" s="2136"/>
    </row>
    <row r="211" spans="39:39">
      <c r="AM211" s="2136"/>
    </row>
    <row r="212" spans="39:39">
      <c r="AM212" s="2136"/>
    </row>
    <row r="213" spans="39:39">
      <c r="AM213" s="2136"/>
    </row>
    <row r="214" spans="39:39">
      <c r="AM214" s="2136"/>
    </row>
    <row r="215" spans="39:39">
      <c r="AM215" s="2136"/>
    </row>
    <row r="216" spans="39:39">
      <c r="AM216" s="2136"/>
    </row>
    <row r="217" spans="39:39">
      <c r="AM217" s="2136"/>
    </row>
    <row r="218" spans="39:39">
      <c r="AM218" s="2136"/>
    </row>
    <row r="219" spans="39:39">
      <c r="AM219" s="2136"/>
    </row>
    <row r="220" spans="39:39">
      <c r="AM220" s="2136"/>
    </row>
  </sheetData>
  <phoneticPr fontId="43" type="noConversion"/>
  <pageMargins left="0.75" right="0.75" top="1" bottom="1" header="0.4921259845" footer="0.4921259845"/>
  <pageSetup paperSize="9"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enableFormatConditionsCalculation="0"/>
  <dimension ref="A1:CY239"/>
  <sheetViews>
    <sheetView workbookViewId="0">
      <pane xSplit="1" ySplit="12" topLeftCell="B129" activePane="bottomRight" state="frozen"/>
      <selection pane="topRight" activeCell="B1" sqref="B1"/>
      <selection pane="bottomLeft" activeCell="A11" sqref="A11"/>
      <selection pane="bottomRight"/>
    </sheetView>
  </sheetViews>
  <sheetFormatPr baseColWidth="10" defaultColWidth="11.1640625" defaultRowHeight="12" x14ac:dyDescent="0"/>
  <cols>
    <col min="1" max="1" width="10.33203125" style="76" customWidth="1"/>
    <col min="2" max="83" width="11.1640625" style="76"/>
    <col min="84" max="84" width="11.1640625" style="83"/>
    <col min="85" max="16384" width="11.1640625" style="76"/>
  </cols>
  <sheetData>
    <row r="1" spans="1:103">
      <c r="A1" s="75" t="s">
        <v>1166</v>
      </c>
      <c r="CF1" s="76"/>
    </row>
    <row r="2" spans="1:103">
      <c r="A2" s="87" t="s">
        <v>1462</v>
      </c>
      <c r="CF2" s="76"/>
    </row>
    <row r="3" spans="1:103">
      <c r="A3" s="87" t="s">
        <v>1163</v>
      </c>
      <c r="CF3" s="76"/>
    </row>
    <row r="4" spans="1:103">
      <c r="CF4" s="76"/>
    </row>
    <row r="5" spans="1:103" ht="13" customHeight="1">
      <c r="CF5" s="76"/>
    </row>
    <row r="6" spans="1:103" ht="15" customHeight="1">
      <c r="B6" s="85" t="s">
        <v>790</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3"/>
      <c r="BA6" s="83"/>
      <c r="BB6" s="83"/>
      <c r="BC6" s="83"/>
      <c r="BD6" s="83"/>
      <c r="BE6" s="83"/>
      <c r="BF6" s="83"/>
      <c r="BG6" s="84"/>
      <c r="BH6" s="1072" t="s">
        <v>47</v>
      </c>
      <c r="BI6" s="85"/>
      <c r="BJ6" s="85"/>
      <c r="BK6" s="83"/>
      <c r="BL6" s="83"/>
      <c r="BM6" s="83"/>
      <c r="BN6" s="83"/>
      <c r="BO6" s="83"/>
      <c r="BP6" s="83"/>
      <c r="BQ6" s="84"/>
      <c r="BR6" s="1132" t="s">
        <v>48</v>
      </c>
      <c r="BS6" s="86"/>
      <c r="BT6" s="86"/>
      <c r="BU6" s="1133"/>
      <c r="BV6" s="1133"/>
      <c r="BW6" s="1134"/>
      <c r="BX6" s="1132" t="s">
        <v>779</v>
      </c>
      <c r="BY6" s="86"/>
      <c r="BZ6" s="83"/>
      <c r="CA6" s="83"/>
      <c r="CB6" s="83"/>
      <c r="CC6" s="582" t="s">
        <v>1068</v>
      </c>
      <c r="CD6" s="1141"/>
      <c r="CE6" s="83"/>
      <c r="CG6" s="84"/>
      <c r="CH6" s="1147" t="s">
        <v>1065</v>
      </c>
      <c r="CI6" s="437"/>
      <c r="CJ6" s="437"/>
      <c r="CK6" s="84"/>
      <c r="CL6" s="75" t="s">
        <v>1053</v>
      </c>
      <c r="CP6" s="84"/>
      <c r="CQ6" s="75" t="s">
        <v>1182</v>
      </c>
    </row>
    <row r="7" spans="1:103" ht="19.75" customHeight="1">
      <c r="A7" s="76" t="s">
        <v>49</v>
      </c>
      <c r="B7" s="92" t="s">
        <v>976</v>
      </c>
      <c r="C7" s="91" t="s">
        <v>719</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91" t="s">
        <v>720</v>
      </c>
      <c r="AT7" s="78"/>
      <c r="AU7" s="78"/>
      <c r="AV7" s="78"/>
      <c r="AW7" s="78"/>
      <c r="AX7" s="78"/>
      <c r="AY7" s="78"/>
      <c r="AZ7" s="83"/>
      <c r="BA7" s="83"/>
      <c r="BB7" s="83"/>
      <c r="BC7" s="83"/>
      <c r="BD7" s="83"/>
      <c r="BE7" s="91" t="s">
        <v>600</v>
      </c>
      <c r="BF7" s="83"/>
      <c r="BG7" s="84"/>
      <c r="BH7" s="108"/>
      <c r="BI7" s="83"/>
      <c r="BJ7" s="78" t="s">
        <v>27</v>
      </c>
      <c r="BK7" s="78" t="s">
        <v>28</v>
      </c>
      <c r="BL7" s="78" t="s">
        <v>29</v>
      </c>
      <c r="BM7" s="94" t="s">
        <v>117</v>
      </c>
      <c r="BN7" s="78" t="s">
        <v>27</v>
      </c>
      <c r="BO7" s="78" t="s">
        <v>28</v>
      </c>
      <c r="BP7" s="78" t="s">
        <v>29</v>
      </c>
      <c r="BQ7" s="95" t="s">
        <v>117</v>
      </c>
      <c r="BR7" s="1135" t="s">
        <v>1059</v>
      </c>
      <c r="BS7" s="581"/>
      <c r="BT7" s="96" t="s">
        <v>31</v>
      </c>
      <c r="BU7" s="96" t="s">
        <v>118</v>
      </c>
      <c r="BV7" s="96" t="s">
        <v>33</v>
      </c>
      <c r="BW7" s="97" t="s">
        <v>119</v>
      </c>
      <c r="BX7" s="98"/>
      <c r="BY7" s="96"/>
      <c r="BZ7" s="78" t="s">
        <v>981</v>
      </c>
      <c r="CA7" s="78" t="s">
        <v>982</v>
      </c>
      <c r="CB7" s="78" t="s">
        <v>983</v>
      </c>
      <c r="CC7" s="78"/>
      <c r="CD7" s="83"/>
      <c r="CE7" s="83"/>
      <c r="CG7" s="84"/>
      <c r="CH7" s="108"/>
      <c r="CI7" s="83"/>
      <c r="CJ7" s="83"/>
      <c r="CK7" s="84"/>
      <c r="CP7" s="84"/>
    </row>
    <row r="8" spans="1:103" ht="93" customHeight="1">
      <c r="A8" s="79" t="s">
        <v>871</v>
      </c>
      <c r="B8" s="320" t="s">
        <v>672</v>
      </c>
      <c r="C8" s="320" t="s">
        <v>876</v>
      </c>
      <c r="D8" s="318" t="s">
        <v>35</v>
      </c>
      <c r="E8" s="318" t="s">
        <v>675</v>
      </c>
      <c r="F8" s="313" t="s">
        <v>737</v>
      </c>
      <c r="G8" s="313" t="s">
        <v>1058</v>
      </c>
      <c r="H8" s="318" t="s">
        <v>11</v>
      </c>
      <c r="I8" s="318" t="s">
        <v>13</v>
      </c>
      <c r="J8" s="313" t="s">
        <v>740</v>
      </c>
      <c r="K8" s="313" t="s">
        <v>741</v>
      </c>
      <c r="L8" s="313" t="s">
        <v>678</v>
      </c>
      <c r="M8" s="313" t="s">
        <v>680</v>
      </c>
      <c r="N8" s="313" t="s">
        <v>671</v>
      </c>
      <c r="O8" s="313" t="s">
        <v>673</v>
      </c>
      <c r="P8" s="313" t="s">
        <v>674</v>
      </c>
      <c r="Q8" s="313" t="s">
        <v>1057</v>
      </c>
      <c r="R8" s="313" t="s">
        <v>1056</v>
      </c>
      <c r="S8" s="318" t="s">
        <v>574</v>
      </c>
      <c r="T8" s="318" t="s">
        <v>576</v>
      </c>
      <c r="U8" s="318" t="s">
        <v>17</v>
      </c>
      <c r="V8" s="318" t="s">
        <v>605</v>
      </c>
      <c r="W8" s="318" t="s">
        <v>14</v>
      </c>
      <c r="X8" s="318" t="s">
        <v>604</v>
      </c>
      <c r="Y8" s="318" t="s">
        <v>15</v>
      </c>
      <c r="Z8" s="318" t="s">
        <v>570</v>
      </c>
      <c r="AA8" s="313" t="s">
        <v>16</v>
      </c>
      <c r="AB8" s="318" t="s">
        <v>581</v>
      </c>
      <c r="AC8" s="318" t="s">
        <v>595</v>
      </c>
      <c r="AD8" s="318" t="s">
        <v>599</v>
      </c>
      <c r="AE8" s="318" t="s">
        <v>596</v>
      </c>
      <c r="AF8" s="318" t="s">
        <v>597</v>
      </c>
      <c r="AG8" s="318" t="s">
        <v>578</v>
      </c>
      <c r="AH8" s="318" t="s">
        <v>601</v>
      </c>
      <c r="AI8" s="318" t="s">
        <v>583</v>
      </c>
      <c r="AJ8" s="318" t="s">
        <v>584</v>
      </c>
      <c r="AK8" s="318" t="s">
        <v>586</v>
      </c>
      <c r="AL8" s="318" t="s">
        <v>588</v>
      </c>
      <c r="AM8" s="318" t="s">
        <v>589</v>
      </c>
      <c r="AN8" s="318" t="s">
        <v>590</v>
      </c>
      <c r="AO8" s="318" t="s">
        <v>591</v>
      </c>
      <c r="AP8" s="318" t="s">
        <v>592</v>
      </c>
      <c r="AQ8" s="318" t="s">
        <v>593</v>
      </c>
      <c r="AR8" s="318" t="s">
        <v>594</v>
      </c>
      <c r="AS8" s="1104" t="s">
        <v>877</v>
      </c>
      <c r="AT8" s="1105" t="s">
        <v>721</v>
      </c>
      <c r="AU8" s="1106" t="s">
        <v>670</v>
      </c>
      <c r="AV8" s="1106" t="s">
        <v>722</v>
      </c>
      <c r="AW8" s="1106" t="s">
        <v>725</v>
      </c>
      <c r="AX8" s="1106" t="s">
        <v>729</v>
      </c>
      <c r="AY8" s="1106" t="s">
        <v>730</v>
      </c>
      <c r="AZ8" s="1106" t="s">
        <v>733</v>
      </c>
      <c r="BA8" s="1107" t="s">
        <v>744</v>
      </c>
      <c r="BB8" s="1107" t="s">
        <v>746</v>
      </c>
      <c r="BC8" s="1107" t="s">
        <v>745</v>
      </c>
      <c r="BD8" s="1107" t="s">
        <v>747</v>
      </c>
      <c r="BE8" s="1104" t="s">
        <v>878</v>
      </c>
      <c r="BF8" s="1107" t="s">
        <v>36</v>
      </c>
      <c r="BG8" s="1108" t="s">
        <v>325</v>
      </c>
      <c r="BH8" s="1118" t="s">
        <v>1051</v>
      </c>
      <c r="BI8" s="1105" t="s">
        <v>1055</v>
      </c>
      <c r="BJ8" s="1106" t="s">
        <v>879</v>
      </c>
      <c r="BK8" s="1106" t="s">
        <v>880</v>
      </c>
      <c r="BL8" s="1106" t="s">
        <v>930</v>
      </c>
      <c r="BM8" s="1119" t="s">
        <v>931</v>
      </c>
      <c r="BN8" s="1106" t="s">
        <v>932</v>
      </c>
      <c r="BO8" s="1106" t="s">
        <v>933</v>
      </c>
      <c r="BP8" s="1106" t="s">
        <v>934</v>
      </c>
      <c r="BQ8" s="1120" t="s">
        <v>935</v>
      </c>
      <c r="BR8" s="1136" t="s">
        <v>1060</v>
      </c>
      <c r="BS8" s="1105" t="s">
        <v>612</v>
      </c>
      <c r="BT8" s="1106" t="s">
        <v>936</v>
      </c>
      <c r="BU8" s="1106" t="s">
        <v>937</v>
      </c>
      <c r="BV8" s="1106" t="s">
        <v>938</v>
      </c>
      <c r="BW8" s="1137" t="s">
        <v>939</v>
      </c>
      <c r="BX8" s="1142" t="s">
        <v>1061</v>
      </c>
      <c r="BY8" s="1106" t="s">
        <v>1054</v>
      </c>
      <c r="BZ8" s="1106" t="s">
        <v>75</v>
      </c>
      <c r="CA8" s="1106" t="s">
        <v>940</v>
      </c>
      <c r="CB8" s="1106" t="s">
        <v>941</v>
      </c>
      <c r="CC8" s="1106" t="s">
        <v>1052</v>
      </c>
      <c r="CD8" s="1106" t="s">
        <v>753</v>
      </c>
      <c r="CE8" s="1106" t="s">
        <v>755</v>
      </c>
      <c r="CF8" s="1106" t="s">
        <v>756</v>
      </c>
      <c r="CG8" s="1137" t="s">
        <v>8</v>
      </c>
      <c r="CH8" s="1142" t="s">
        <v>1</v>
      </c>
      <c r="CI8" s="1106" t="s">
        <v>1064</v>
      </c>
      <c r="CJ8" s="1106" t="s">
        <v>0</v>
      </c>
      <c r="CK8" s="1137" t="s">
        <v>1075</v>
      </c>
      <c r="CL8" s="79" t="s">
        <v>524</v>
      </c>
      <c r="CM8" s="79" t="s">
        <v>503</v>
      </c>
      <c r="CN8" s="79" t="s">
        <v>525</v>
      </c>
      <c r="CO8" s="79" t="s">
        <v>4</v>
      </c>
      <c r="CP8" s="93" t="s">
        <v>526</v>
      </c>
      <c r="CQ8" s="1270" t="s">
        <v>1183</v>
      </c>
      <c r="CR8" s="79" t="s">
        <v>1181</v>
      </c>
      <c r="CS8" s="79" t="s">
        <v>1186</v>
      </c>
      <c r="CT8" s="79" t="s">
        <v>1178</v>
      </c>
      <c r="CU8" s="1270" t="s">
        <v>1184</v>
      </c>
      <c r="CV8" s="79" t="s">
        <v>1185</v>
      </c>
      <c r="CW8" s="79" t="s">
        <v>1180</v>
      </c>
      <c r="CX8" s="79" t="s">
        <v>1187</v>
      </c>
      <c r="CY8" s="79" t="s">
        <v>1195</v>
      </c>
    </row>
    <row r="9" spans="1:103" ht="26" customHeight="1">
      <c r="A9" s="79" t="s">
        <v>131</v>
      </c>
      <c r="B9" s="321"/>
      <c r="C9" s="105" t="s">
        <v>91</v>
      </c>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321" t="s">
        <v>92</v>
      </c>
      <c r="AT9" s="105" t="s">
        <v>789</v>
      </c>
      <c r="AU9" s="105" t="s">
        <v>736</v>
      </c>
      <c r="AV9" s="105" t="s">
        <v>724</v>
      </c>
      <c r="AW9" s="105" t="s">
        <v>727</v>
      </c>
      <c r="AX9" s="105" t="s">
        <v>728</v>
      </c>
      <c r="AY9" s="105" t="s">
        <v>93</v>
      </c>
      <c r="AZ9" s="105" t="s">
        <v>734</v>
      </c>
      <c r="BA9" s="105"/>
      <c r="BB9" s="105"/>
      <c r="BC9" s="105"/>
      <c r="BD9" s="105"/>
      <c r="BE9" s="321"/>
      <c r="BF9" s="999"/>
      <c r="BG9" s="1109"/>
      <c r="BH9" s="1121"/>
      <c r="BI9" s="999"/>
      <c r="BJ9" s="105" t="s">
        <v>91</v>
      </c>
      <c r="BK9" s="105" t="s">
        <v>92</v>
      </c>
      <c r="BL9" s="105" t="s">
        <v>94</v>
      </c>
      <c r="BM9" s="105" t="s">
        <v>95</v>
      </c>
      <c r="BN9" s="105" t="s">
        <v>91</v>
      </c>
      <c r="BO9" s="105" t="s">
        <v>92</v>
      </c>
      <c r="BP9" s="105" t="s">
        <v>94</v>
      </c>
      <c r="BQ9" s="106" t="s">
        <v>95</v>
      </c>
      <c r="BR9" s="1046"/>
      <c r="BS9" s="105"/>
      <c r="BT9" s="105" t="s">
        <v>94</v>
      </c>
      <c r="BU9" s="105" t="s">
        <v>95</v>
      </c>
      <c r="BV9" s="105" t="s">
        <v>92</v>
      </c>
      <c r="BW9" s="106" t="s">
        <v>93</v>
      </c>
      <c r="BX9" s="1046"/>
      <c r="BY9" s="105"/>
      <c r="BZ9" s="105" t="s">
        <v>91</v>
      </c>
      <c r="CA9" s="105" t="s">
        <v>92</v>
      </c>
      <c r="CB9" s="105" t="s">
        <v>94</v>
      </c>
      <c r="CC9" s="105"/>
      <c r="CD9" s="105" t="s">
        <v>91</v>
      </c>
      <c r="CE9" s="105" t="s">
        <v>92</v>
      </c>
      <c r="CF9" s="105" t="s">
        <v>94</v>
      </c>
      <c r="CG9" s="106" t="s">
        <v>94</v>
      </c>
      <c r="CH9" s="1046"/>
      <c r="CI9" s="105"/>
      <c r="CJ9" s="105"/>
      <c r="CK9" s="106"/>
      <c r="CL9" s="107" t="s">
        <v>506</v>
      </c>
      <c r="CM9" s="107" t="s">
        <v>501</v>
      </c>
      <c r="CN9" s="107"/>
      <c r="CO9" s="107"/>
      <c r="CP9" s="1109"/>
      <c r="CQ9" s="1279"/>
      <c r="CR9" s="1279"/>
      <c r="CS9" s="1279"/>
      <c r="CT9" s="1279"/>
      <c r="CU9" s="1279"/>
      <c r="CV9" s="1279"/>
      <c r="CW9" s="1279"/>
      <c r="CX9" s="1279"/>
      <c r="CY9" s="1279"/>
    </row>
    <row r="10" spans="1:103" ht="25" customHeight="1">
      <c r="A10" s="79" t="s">
        <v>942</v>
      </c>
      <c r="B10" s="1" t="s">
        <v>216</v>
      </c>
      <c r="C10" s="1" t="s">
        <v>1138</v>
      </c>
      <c r="D10" s="1" t="s">
        <v>738</v>
      </c>
      <c r="E10" s="1" t="s">
        <v>739</v>
      </c>
      <c r="F10" s="1" t="s">
        <v>217</v>
      </c>
      <c r="G10" s="1"/>
      <c r="H10" s="1" t="s">
        <v>711</v>
      </c>
      <c r="I10" s="1"/>
      <c r="J10" s="1" t="s">
        <v>679</v>
      </c>
      <c r="K10" s="1"/>
      <c r="L10" s="1" t="s">
        <v>572</v>
      </c>
      <c r="M10" s="1" t="s">
        <v>217</v>
      </c>
      <c r="N10" s="1" t="s">
        <v>1066</v>
      </c>
      <c r="O10" s="1" t="s">
        <v>711</v>
      </c>
      <c r="P10" s="1" t="s">
        <v>711</v>
      </c>
      <c r="Q10" s="1"/>
      <c r="R10" s="1"/>
      <c r="S10" s="1" t="s">
        <v>575</v>
      </c>
      <c r="T10" s="1" t="s">
        <v>577</v>
      </c>
      <c r="U10" s="1" t="s">
        <v>580</v>
      </c>
      <c r="V10" s="1"/>
      <c r="W10" s="1" t="s">
        <v>567</v>
      </c>
      <c r="X10" s="1"/>
      <c r="Y10" s="1" t="s">
        <v>568</v>
      </c>
      <c r="Z10" s="1" t="s">
        <v>571</v>
      </c>
      <c r="AA10" s="1" t="s">
        <v>569</v>
      </c>
      <c r="AB10" s="1" t="s">
        <v>580</v>
      </c>
      <c r="AC10" s="1" t="s">
        <v>217</v>
      </c>
      <c r="AD10" s="1"/>
      <c r="AE10" s="1" t="s">
        <v>580</v>
      </c>
      <c r="AF10" s="1" t="s">
        <v>217</v>
      </c>
      <c r="AG10" s="1" t="s">
        <v>579</v>
      </c>
      <c r="AH10" s="1"/>
      <c r="AI10" s="1" t="s">
        <v>582</v>
      </c>
      <c r="AJ10" s="1" t="s">
        <v>217</v>
      </c>
      <c r="AK10" s="1" t="s">
        <v>587</v>
      </c>
      <c r="AL10" s="1" t="s">
        <v>217</v>
      </c>
      <c r="AM10" s="1" t="s">
        <v>587</v>
      </c>
      <c r="AN10" s="1" t="s">
        <v>587</v>
      </c>
      <c r="AO10" s="1" t="s">
        <v>587</v>
      </c>
      <c r="AP10" s="1" t="s">
        <v>587</v>
      </c>
      <c r="AQ10" s="1" t="s">
        <v>587</v>
      </c>
      <c r="AR10" s="1" t="s">
        <v>217</v>
      </c>
      <c r="AS10" s="1110" t="s">
        <v>602</v>
      </c>
      <c r="AT10" s="1111" t="s">
        <v>748</v>
      </c>
      <c r="AU10" s="1111" t="s">
        <v>749</v>
      </c>
      <c r="AV10" s="1111" t="s">
        <v>712</v>
      </c>
      <c r="AW10" s="1111" t="s">
        <v>712</v>
      </c>
      <c r="AX10" s="1111" t="s">
        <v>712</v>
      </c>
      <c r="AY10" s="1111" t="s">
        <v>712</v>
      </c>
      <c r="AZ10" s="1111" t="s">
        <v>712</v>
      </c>
      <c r="BA10" s="1111" t="s">
        <v>742</v>
      </c>
      <c r="BB10" s="1111"/>
      <c r="BC10" s="1111" t="s">
        <v>743</v>
      </c>
      <c r="BD10" s="1111"/>
      <c r="BE10" s="1110" t="s">
        <v>603</v>
      </c>
      <c r="BF10" s="1111" t="s">
        <v>713</v>
      </c>
      <c r="BG10" s="1112" t="s">
        <v>217</v>
      </c>
      <c r="BH10" s="1122" t="s">
        <v>714</v>
      </c>
      <c r="BI10" s="1111" t="s">
        <v>1070</v>
      </c>
      <c r="BJ10" s="1111" t="s">
        <v>714</v>
      </c>
      <c r="BK10" s="1111" t="s">
        <v>714</v>
      </c>
      <c r="BL10" s="1111" t="s">
        <v>714</v>
      </c>
      <c r="BM10" s="1111" t="s">
        <v>714</v>
      </c>
      <c r="BN10" s="1111" t="s">
        <v>715</v>
      </c>
      <c r="BO10" s="1111" t="s">
        <v>715</v>
      </c>
      <c r="BP10" s="1111" t="s">
        <v>715</v>
      </c>
      <c r="BQ10" s="1112" t="s">
        <v>715</v>
      </c>
      <c r="BR10" s="1122" t="s">
        <v>613</v>
      </c>
      <c r="BS10" s="1111"/>
      <c r="BT10" s="1111" t="s">
        <v>716</v>
      </c>
      <c r="BU10" s="1111" t="s">
        <v>716</v>
      </c>
      <c r="BV10" s="1111" t="s">
        <v>716</v>
      </c>
      <c r="BW10" s="1112" t="s">
        <v>716</v>
      </c>
      <c r="BX10" s="1122" t="s">
        <v>718</v>
      </c>
      <c r="BY10" s="1111" t="s">
        <v>1072</v>
      </c>
      <c r="BZ10" s="1111" t="s">
        <v>717</v>
      </c>
      <c r="CA10" s="1111" t="s">
        <v>393</v>
      </c>
      <c r="CB10" s="1111" t="s">
        <v>1164</v>
      </c>
      <c r="CC10" s="1111" t="s">
        <v>1071</v>
      </c>
      <c r="CD10" s="1111" t="s">
        <v>754</v>
      </c>
      <c r="CE10" s="1111" t="s">
        <v>1062</v>
      </c>
      <c r="CF10" s="1111" t="s">
        <v>1062</v>
      </c>
      <c r="CG10" s="1112" t="s">
        <v>1062</v>
      </c>
      <c r="CH10" s="1122" t="s">
        <v>1074</v>
      </c>
      <c r="CI10" s="1111" t="s">
        <v>1074</v>
      </c>
      <c r="CJ10" s="1111" t="s">
        <v>1067</v>
      </c>
      <c r="CK10" s="1112" t="s">
        <v>1069</v>
      </c>
      <c r="CL10" s="100" t="s">
        <v>502</v>
      </c>
      <c r="CM10" s="100" t="s">
        <v>504</v>
      </c>
      <c r="CN10" s="100"/>
      <c r="CO10" s="100" t="s">
        <v>5</v>
      </c>
      <c r="CP10" s="1109"/>
      <c r="CQ10" s="1279"/>
      <c r="CR10" s="1279" t="s">
        <v>1201</v>
      </c>
      <c r="CS10" s="1279" t="s">
        <v>1198</v>
      </c>
      <c r="CT10" s="1279" t="s">
        <v>1190</v>
      </c>
      <c r="CU10" s="1279"/>
      <c r="CV10" s="1279" t="s">
        <v>1199</v>
      </c>
      <c r="CW10" s="1279" t="s">
        <v>1193</v>
      </c>
      <c r="CX10" s="1279" t="s">
        <v>1192</v>
      </c>
      <c r="CY10" s="1279" t="s">
        <v>1200</v>
      </c>
    </row>
    <row r="11" spans="1:103" ht="26.25" customHeight="1">
      <c r="A11" s="79" t="s">
        <v>130</v>
      </c>
      <c r="B11" s="322"/>
      <c r="C11" s="322"/>
      <c r="D11" s="264" t="s">
        <v>949</v>
      </c>
      <c r="E11" s="264"/>
      <c r="F11" s="264"/>
      <c r="G11" s="264"/>
      <c r="H11" s="264" t="s">
        <v>12</v>
      </c>
      <c r="I11" s="264"/>
      <c r="J11" s="264"/>
      <c r="K11" s="264"/>
      <c r="L11" s="264"/>
      <c r="M11" s="264"/>
      <c r="N11" s="1" t="s">
        <v>947</v>
      </c>
      <c r="O11" s="1" t="s">
        <v>948</v>
      </c>
      <c r="P11" s="264" t="s">
        <v>949</v>
      </c>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1113" t="s">
        <v>950</v>
      </c>
      <c r="AT11" s="1114" t="s">
        <v>788</v>
      </c>
      <c r="AU11" s="1114"/>
      <c r="AV11" s="1114" t="s">
        <v>723</v>
      </c>
      <c r="AW11" s="1114" t="s">
        <v>726</v>
      </c>
      <c r="AX11" s="1114" t="s">
        <v>732</v>
      </c>
      <c r="AY11" s="1114" t="s">
        <v>731</v>
      </c>
      <c r="AZ11" s="1114" t="s">
        <v>735</v>
      </c>
      <c r="BA11" s="1114"/>
      <c r="BB11" s="1114"/>
      <c r="BC11" s="1114"/>
      <c r="BD11" s="1114"/>
      <c r="BE11" s="1113" t="s">
        <v>951</v>
      </c>
      <c r="BF11" s="1114" t="s">
        <v>37</v>
      </c>
      <c r="BG11" s="1115"/>
      <c r="BH11" s="1123"/>
      <c r="BI11" s="1114"/>
      <c r="BJ11" s="1124" t="s">
        <v>771</v>
      </c>
      <c r="BK11" s="1124" t="s">
        <v>772</v>
      </c>
      <c r="BL11" s="1124" t="s">
        <v>773</v>
      </c>
      <c r="BM11" s="1124" t="s">
        <v>774</v>
      </c>
      <c r="BN11" s="1124" t="s">
        <v>775</v>
      </c>
      <c r="BO11" s="1124" t="s">
        <v>776</v>
      </c>
      <c r="BP11" s="1124" t="s">
        <v>777</v>
      </c>
      <c r="BQ11" s="1125" t="s">
        <v>778</v>
      </c>
      <c r="BR11" s="1138"/>
      <c r="BS11" s="1124"/>
      <c r="BT11" s="1124" t="s">
        <v>785</v>
      </c>
      <c r="BU11" s="1124" t="s">
        <v>786</v>
      </c>
      <c r="BV11" s="1124" t="s">
        <v>783</v>
      </c>
      <c r="BW11" s="1125" t="s">
        <v>784</v>
      </c>
      <c r="BX11" s="1138"/>
      <c r="BY11" s="105"/>
      <c r="BZ11" s="1124" t="s">
        <v>780</v>
      </c>
      <c r="CA11" s="1124" t="s">
        <v>781</v>
      </c>
      <c r="CB11" s="1124" t="s">
        <v>782</v>
      </c>
      <c r="CC11" s="1124"/>
      <c r="CD11" s="105" t="s">
        <v>750</v>
      </c>
      <c r="CE11" s="105" t="s">
        <v>751</v>
      </c>
      <c r="CF11" s="105" t="s">
        <v>752</v>
      </c>
      <c r="CG11" s="106" t="s">
        <v>7</v>
      </c>
      <c r="CH11" s="1046"/>
      <c r="CI11" s="105"/>
      <c r="CJ11" s="105"/>
      <c r="CK11" s="106"/>
      <c r="CL11" s="996"/>
      <c r="CM11" s="996"/>
      <c r="CN11" s="996"/>
      <c r="CO11" s="996"/>
      <c r="CP11" s="1109"/>
      <c r="CQ11" s="1279"/>
      <c r="CR11" s="1279"/>
      <c r="CS11" s="1279"/>
      <c r="CT11" s="1279"/>
      <c r="CU11" s="1279"/>
      <c r="CV11" s="1279"/>
      <c r="CW11" s="1279"/>
      <c r="CX11" s="1279"/>
      <c r="CY11" s="1279"/>
    </row>
    <row r="12" spans="1:103" ht="20.25" customHeight="1">
      <c r="A12" s="79" t="s">
        <v>261</v>
      </c>
      <c r="B12" s="103" t="s">
        <v>1141</v>
      </c>
      <c r="C12" s="514"/>
      <c r="D12" s="102"/>
      <c r="E12" s="102"/>
      <c r="F12" s="102"/>
      <c r="G12" s="102"/>
      <c r="H12" s="102"/>
      <c r="I12" s="102"/>
      <c r="J12" s="102"/>
      <c r="K12" s="102"/>
      <c r="L12" s="102" t="s">
        <v>573</v>
      </c>
      <c r="M12" s="102"/>
      <c r="N12" s="102" t="s">
        <v>677</v>
      </c>
      <c r="O12" s="102"/>
      <c r="P12" s="102"/>
      <c r="Q12" s="102" t="s">
        <v>1139</v>
      </c>
      <c r="R12" s="102"/>
      <c r="S12" s="102"/>
      <c r="T12" s="102"/>
      <c r="U12" s="102"/>
      <c r="V12" s="102"/>
      <c r="W12" s="102"/>
      <c r="X12" s="102"/>
      <c r="Y12" s="102"/>
      <c r="Z12" s="102"/>
      <c r="AA12" s="102"/>
      <c r="AB12" s="102"/>
      <c r="AC12" s="102"/>
      <c r="AD12" s="102"/>
      <c r="AE12" s="102" t="s">
        <v>598</v>
      </c>
      <c r="AF12" s="102"/>
      <c r="AG12" s="102"/>
      <c r="AH12" s="102"/>
      <c r="AI12" s="102" t="s">
        <v>585</v>
      </c>
      <c r="AJ12" s="102"/>
      <c r="AK12" s="102"/>
      <c r="AL12" s="102"/>
      <c r="AM12" s="102"/>
      <c r="AN12" s="102"/>
      <c r="AO12" s="102"/>
      <c r="AP12" s="102"/>
      <c r="AQ12" s="102"/>
      <c r="AR12" s="102"/>
      <c r="AS12" s="514"/>
      <c r="AT12" s="102"/>
      <c r="AU12" s="102"/>
      <c r="AV12" s="102"/>
      <c r="AW12" s="102"/>
      <c r="AX12" s="102"/>
      <c r="AY12" s="102"/>
      <c r="AZ12" s="999"/>
      <c r="BA12" s="999"/>
      <c r="BB12" s="999"/>
      <c r="BC12" s="999"/>
      <c r="BD12" s="999"/>
      <c r="BE12" s="514"/>
      <c r="BF12" s="102"/>
      <c r="BG12" s="101"/>
      <c r="BH12" s="103"/>
      <c r="BI12" s="102"/>
      <c r="BJ12" s="102"/>
      <c r="BK12" s="102"/>
      <c r="BL12" s="102"/>
      <c r="BM12" s="102"/>
      <c r="BN12" s="102"/>
      <c r="BO12" s="102"/>
      <c r="BP12" s="102"/>
      <c r="BQ12" s="101"/>
      <c r="BR12" s="103" t="s">
        <v>614</v>
      </c>
      <c r="BS12" s="102"/>
      <c r="BT12" s="102"/>
      <c r="BU12" s="102"/>
      <c r="BV12" s="102"/>
      <c r="BW12" s="101"/>
      <c r="BX12" s="103"/>
      <c r="BY12" s="1143" t="s">
        <v>1073</v>
      </c>
      <c r="BZ12" s="102"/>
      <c r="CA12" s="102" t="s">
        <v>787</v>
      </c>
      <c r="CB12" s="102"/>
      <c r="CC12" s="102" t="s">
        <v>1063</v>
      </c>
      <c r="CD12" s="999"/>
      <c r="CE12" s="999"/>
      <c r="CF12" s="999"/>
      <c r="CG12" s="1109"/>
      <c r="CH12" s="1121"/>
      <c r="CI12" s="999"/>
      <c r="CJ12" s="102" t="s">
        <v>2</v>
      </c>
      <c r="CK12" s="1109"/>
      <c r="CL12" s="100" t="s">
        <v>505</v>
      </c>
      <c r="CM12" s="996"/>
      <c r="CN12" s="996"/>
      <c r="CO12" s="100" t="s">
        <v>6</v>
      </c>
      <c r="CP12" s="101" t="s">
        <v>3</v>
      </c>
      <c r="CQ12" s="1279"/>
      <c r="CT12" s="1276" t="s">
        <v>1189</v>
      </c>
      <c r="CU12" s="1279"/>
      <c r="CV12" s="1276" t="s">
        <v>1191</v>
      </c>
      <c r="CW12" s="1276" t="s">
        <v>1194</v>
      </c>
      <c r="CX12" s="1279"/>
      <c r="CY12" s="1279"/>
    </row>
    <row r="13" spans="1:103" s="598" customFormat="1" ht="12" customHeight="1">
      <c r="A13" s="78">
        <f t="shared" ref="A13:A53" si="0">A14-1</f>
        <v>1855</v>
      </c>
      <c r="B13" s="91"/>
      <c r="C13" s="91"/>
      <c r="D13" s="78"/>
      <c r="E13" s="78"/>
      <c r="F13" s="78"/>
      <c r="G13" s="78"/>
      <c r="H13" s="78"/>
      <c r="I13" s="78"/>
      <c r="J13" s="78"/>
      <c r="K13" s="78"/>
      <c r="L13" s="78"/>
      <c r="M13" s="78"/>
      <c r="N13" s="78"/>
      <c r="O13" s="78"/>
      <c r="P13" s="78"/>
      <c r="Q13" s="78"/>
      <c r="R13" s="78"/>
      <c r="S13" s="78"/>
      <c r="T13" s="78"/>
      <c r="U13" s="175"/>
      <c r="V13" s="175"/>
      <c r="W13" s="175"/>
      <c r="X13" s="175"/>
      <c r="Y13" s="175"/>
      <c r="Z13" s="175"/>
      <c r="AA13" s="175"/>
      <c r="AB13" s="175"/>
      <c r="AC13" s="175"/>
      <c r="AD13" s="175"/>
      <c r="AE13" s="175"/>
      <c r="AF13" s="175"/>
      <c r="AG13" s="78"/>
      <c r="AH13" s="78"/>
      <c r="AI13" s="78"/>
      <c r="AJ13" s="78"/>
      <c r="AK13" s="78"/>
      <c r="AL13" s="78"/>
      <c r="AM13" s="78"/>
      <c r="AN13" s="78"/>
      <c r="AO13" s="78"/>
      <c r="AP13" s="78"/>
      <c r="AQ13" s="78"/>
      <c r="AR13" s="78"/>
      <c r="AS13" s="91"/>
      <c r="AT13" s="78"/>
      <c r="AU13" s="78"/>
      <c r="AV13" s="78"/>
      <c r="AW13" s="78"/>
      <c r="AX13" s="78"/>
      <c r="AY13" s="78"/>
      <c r="BE13" s="91"/>
      <c r="BF13" s="78"/>
      <c r="BG13" s="93"/>
      <c r="BH13" s="166"/>
      <c r="BI13" s="78"/>
      <c r="BJ13" s="78"/>
      <c r="BK13" s="78"/>
      <c r="BL13" s="78"/>
      <c r="BM13" s="78"/>
      <c r="BN13" s="78"/>
      <c r="BO13" s="78"/>
      <c r="BP13" s="78"/>
      <c r="BQ13" s="93"/>
      <c r="BR13" s="178">
        <v>260</v>
      </c>
      <c r="BS13" s="307">
        <f>BR13/DataUK1!B13</f>
        <v>0.39244358001991797</v>
      </c>
      <c r="BT13" s="78"/>
      <c r="BU13" s="78"/>
      <c r="BV13" s="78"/>
      <c r="BW13" s="93"/>
      <c r="BX13" s="166"/>
      <c r="BZ13" s="78"/>
      <c r="CA13" s="78"/>
      <c r="CB13" s="991"/>
      <c r="CC13" s="78"/>
      <c r="CG13" s="979"/>
      <c r="CH13" s="1126"/>
      <c r="CK13" s="979"/>
      <c r="CL13" s="975">
        <v>2.4500000000000002</v>
      </c>
      <c r="CM13" s="975">
        <v>0.59</v>
      </c>
      <c r="CN13" s="308">
        <f>1000*CL13/DataUK1!CD13</f>
        <v>3.7040268627133819</v>
      </c>
      <c r="CO13" s="976">
        <v>0.3</v>
      </c>
      <c r="CP13" s="979"/>
      <c r="CQ13" s="1285">
        <f>CU13</f>
        <v>51.1</v>
      </c>
      <c r="CR13" s="1292">
        <v>20</v>
      </c>
      <c r="CS13" s="981">
        <f>CQ13-CR13-CT13</f>
        <v>17.600000000000001</v>
      </c>
      <c r="CT13" s="1030">
        <v>13.5</v>
      </c>
      <c r="CU13" s="1273">
        <f t="shared" ref="CU13:CU76" si="1">CV13+CW13+CY13</f>
        <v>51.1</v>
      </c>
      <c r="CV13" s="959">
        <v>19.8</v>
      </c>
      <c r="CW13" s="2607">
        <v>16.7</v>
      </c>
      <c r="CX13" s="2607"/>
      <c r="CY13" s="1030">
        <v>14.6</v>
      </c>
    </row>
    <row r="14" spans="1:103" s="598" customFormat="1" ht="12" customHeight="1">
      <c r="A14" s="78">
        <f t="shared" si="0"/>
        <v>1856</v>
      </c>
      <c r="B14" s="91"/>
      <c r="C14" s="91"/>
      <c r="D14" s="78"/>
      <c r="E14" s="78"/>
      <c r="F14" s="78"/>
      <c r="G14" s="78"/>
      <c r="H14" s="78"/>
      <c r="I14" s="78"/>
      <c r="J14" s="78"/>
      <c r="K14" s="78"/>
      <c r="L14" s="78"/>
      <c r="M14" s="78"/>
      <c r="N14" s="78"/>
      <c r="O14" s="78"/>
      <c r="P14" s="78"/>
      <c r="Q14" s="78"/>
      <c r="R14" s="78"/>
      <c r="S14" s="78"/>
      <c r="T14" s="78"/>
      <c r="U14" s="175"/>
      <c r="V14" s="175"/>
      <c r="W14" s="175"/>
      <c r="X14" s="175"/>
      <c r="Y14" s="175"/>
      <c r="Z14" s="175"/>
      <c r="AA14" s="175"/>
      <c r="AB14" s="175"/>
      <c r="AC14" s="175"/>
      <c r="AD14" s="175"/>
      <c r="AE14" s="175"/>
      <c r="AF14" s="175"/>
      <c r="AG14" s="78"/>
      <c r="AH14" s="78"/>
      <c r="AI14" s="78"/>
      <c r="AJ14" s="78"/>
      <c r="AK14" s="78"/>
      <c r="AL14" s="78"/>
      <c r="AM14" s="78"/>
      <c r="AN14" s="78"/>
      <c r="AO14" s="78"/>
      <c r="AP14" s="78"/>
      <c r="AQ14" s="78"/>
      <c r="AR14" s="78"/>
      <c r="AS14" s="91"/>
      <c r="AT14" s="78"/>
      <c r="AU14" s="78"/>
      <c r="AV14" s="78"/>
      <c r="AW14" s="78"/>
      <c r="AX14" s="78"/>
      <c r="AY14" s="78"/>
      <c r="BE14" s="91"/>
      <c r="BF14" s="78"/>
      <c r="BG14" s="93"/>
      <c r="BH14" s="166"/>
      <c r="BI14" s="78"/>
      <c r="BJ14" s="78"/>
      <c r="BK14" s="78"/>
      <c r="BL14" s="78"/>
      <c r="BM14" s="78"/>
      <c r="BN14" s="78"/>
      <c r="BO14" s="78"/>
      <c r="BP14" s="78"/>
      <c r="BQ14" s="93"/>
      <c r="BR14" s="1139">
        <f>BR13+DataUK1!FI13</f>
        <v>281</v>
      </c>
      <c r="BS14" s="308">
        <f>BR14/DataUK1!B14</f>
        <v>0.40449510596316995</v>
      </c>
      <c r="BT14" s="78"/>
      <c r="BU14" s="78"/>
      <c r="BV14" s="78"/>
      <c r="BW14" s="93"/>
      <c r="BX14" s="166"/>
      <c r="BZ14" s="78"/>
      <c r="CA14" s="78"/>
      <c r="CB14" s="991"/>
      <c r="CC14" s="78"/>
      <c r="CG14" s="979"/>
      <c r="CH14" s="1126"/>
      <c r="CK14" s="979"/>
      <c r="CL14" s="975">
        <v>2.39</v>
      </c>
      <c r="CM14" s="975">
        <v>0.56000000000000005</v>
      </c>
      <c r="CN14" s="308">
        <f>1000*CL14/DataUK1!CD14</f>
        <v>3.445928572094779</v>
      </c>
      <c r="CP14" s="979"/>
      <c r="CQ14" s="1285">
        <f t="shared" ref="CQ14:CQ77" si="2">CU14</f>
        <v>50.300000000000004</v>
      </c>
      <c r="CR14" s="1292">
        <v>20</v>
      </c>
      <c r="CS14" s="981">
        <f>CQ14-CR14-CT14</f>
        <v>20.000000000000004</v>
      </c>
      <c r="CT14" s="1030">
        <v>10.3</v>
      </c>
      <c r="CU14" s="1273">
        <f t="shared" si="1"/>
        <v>50.300000000000004</v>
      </c>
      <c r="CV14" s="959">
        <v>19.7</v>
      </c>
      <c r="CW14" s="2607">
        <v>16</v>
      </c>
      <c r="CX14" s="2607"/>
      <c r="CY14" s="1030">
        <v>14.6</v>
      </c>
    </row>
    <row r="15" spans="1:103" s="598" customFormat="1" ht="12" customHeight="1">
      <c r="A15" s="78">
        <f t="shared" si="0"/>
        <v>1857</v>
      </c>
      <c r="B15" s="91"/>
      <c r="C15" s="91"/>
      <c r="D15" s="78"/>
      <c r="E15" s="78"/>
      <c r="F15" s="78"/>
      <c r="G15" s="78"/>
      <c r="H15" s="78"/>
      <c r="I15" s="78"/>
      <c r="J15" s="78"/>
      <c r="K15" s="78"/>
      <c r="L15" s="78"/>
      <c r="M15" s="78"/>
      <c r="N15" s="78"/>
      <c r="O15" s="78"/>
      <c r="P15" s="78"/>
      <c r="Q15" s="78"/>
      <c r="R15" s="78"/>
      <c r="S15" s="78"/>
      <c r="T15" s="78"/>
      <c r="U15" s="175"/>
      <c r="V15" s="175"/>
      <c r="W15" s="175"/>
      <c r="X15" s="175"/>
      <c r="Y15" s="175"/>
      <c r="Z15" s="175"/>
      <c r="AA15" s="175"/>
      <c r="AB15" s="175"/>
      <c r="AC15" s="175"/>
      <c r="AD15" s="175"/>
      <c r="AE15" s="175"/>
      <c r="AF15" s="175"/>
      <c r="AG15" s="78"/>
      <c r="AH15" s="78"/>
      <c r="AI15" s="78"/>
      <c r="AJ15" s="78"/>
      <c r="AK15" s="78"/>
      <c r="AL15" s="78"/>
      <c r="AM15" s="78"/>
      <c r="AN15" s="78"/>
      <c r="AO15" s="78"/>
      <c r="AP15" s="78"/>
      <c r="AQ15" s="78"/>
      <c r="AR15" s="78"/>
      <c r="AS15" s="91"/>
      <c r="AT15" s="78"/>
      <c r="AU15" s="78"/>
      <c r="AV15" s="78"/>
      <c r="AW15" s="78"/>
      <c r="AX15" s="78"/>
      <c r="AY15" s="78"/>
      <c r="BE15" s="91"/>
      <c r="BF15" s="78"/>
      <c r="BG15" s="93"/>
      <c r="BH15" s="166"/>
      <c r="BI15" s="78"/>
      <c r="BJ15" s="78"/>
      <c r="BK15" s="78"/>
      <c r="BL15" s="78"/>
      <c r="BM15" s="78"/>
      <c r="BN15" s="78"/>
      <c r="BO15" s="78"/>
      <c r="BP15" s="78"/>
      <c r="BQ15" s="93"/>
      <c r="BR15" s="1139">
        <f>BR14+DataUK1!FI14</f>
        <v>303</v>
      </c>
      <c r="BS15" s="308">
        <f>BR15/DataUK1!B15</f>
        <v>0.4442963761805242</v>
      </c>
      <c r="BT15" s="78"/>
      <c r="BU15" s="78"/>
      <c r="BV15" s="78"/>
      <c r="BW15" s="93"/>
      <c r="BX15" s="166"/>
      <c r="BZ15" s="78"/>
      <c r="CA15" s="78"/>
      <c r="CB15" s="991"/>
      <c r="CC15" s="78"/>
      <c r="CG15" s="979"/>
      <c r="CH15" s="1126"/>
      <c r="CK15" s="979"/>
      <c r="CL15" s="975">
        <v>2.37</v>
      </c>
      <c r="CM15" s="975">
        <v>0.56999999999999995</v>
      </c>
      <c r="CN15" s="308">
        <f>1000*CL15/DataUK1!CD15</f>
        <v>3.4807981179716645</v>
      </c>
      <c r="CP15" s="979"/>
      <c r="CQ15" s="1285">
        <f t="shared" si="2"/>
        <v>51.2</v>
      </c>
      <c r="CR15" s="1292">
        <v>20</v>
      </c>
      <c r="CS15" s="981">
        <f t="shared" ref="CS15:CS71" si="3">CQ15-CR15-CT15</f>
        <v>21.500000000000004</v>
      </c>
      <c r="CT15" s="1030">
        <v>9.6999999999999993</v>
      </c>
      <c r="CU15" s="1273">
        <f t="shared" si="1"/>
        <v>51.2</v>
      </c>
      <c r="CV15" s="959">
        <v>19.5</v>
      </c>
      <c r="CW15" s="2607">
        <v>17.100000000000001</v>
      </c>
      <c r="CX15" s="2607"/>
      <c r="CY15" s="1030">
        <v>14.6</v>
      </c>
    </row>
    <row r="16" spans="1:103" s="598" customFormat="1" ht="12" customHeight="1">
      <c r="A16" s="78">
        <f t="shared" si="0"/>
        <v>1858</v>
      </c>
      <c r="B16" s="91"/>
      <c r="C16" s="91"/>
      <c r="D16" s="78"/>
      <c r="E16" s="78"/>
      <c r="F16" s="78"/>
      <c r="G16" s="78"/>
      <c r="H16" s="78"/>
      <c r="I16" s="78"/>
      <c r="J16" s="78"/>
      <c r="K16" s="78"/>
      <c r="L16" s="78"/>
      <c r="M16" s="78"/>
      <c r="N16" s="78"/>
      <c r="O16" s="78"/>
      <c r="P16" s="78"/>
      <c r="Q16" s="78"/>
      <c r="R16" s="78"/>
      <c r="S16" s="78"/>
      <c r="T16" s="78"/>
      <c r="U16" s="175"/>
      <c r="V16" s="175"/>
      <c r="W16" s="175"/>
      <c r="X16" s="175"/>
      <c r="Y16" s="175"/>
      <c r="Z16" s="175"/>
      <c r="AA16" s="175"/>
      <c r="AB16" s="175"/>
      <c r="AC16" s="175"/>
      <c r="AD16" s="175"/>
      <c r="AE16" s="175"/>
      <c r="AF16" s="175"/>
      <c r="AG16" s="78"/>
      <c r="AH16" s="78"/>
      <c r="AI16" s="78"/>
      <c r="AJ16" s="78"/>
      <c r="AK16" s="78"/>
      <c r="AL16" s="78"/>
      <c r="AM16" s="78"/>
      <c r="AN16" s="78"/>
      <c r="AO16" s="78"/>
      <c r="AP16" s="78"/>
      <c r="AQ16" s="78"/>
      <c r="AR16" s="78"/>
      <c r="AS16" s="91"/>
      <c r="AT16" s="78"/>
      <c r="AU16" s="78"/>
      <c r="AV16" s="78"/>
      <c r="AW16" s="78"/>
      <c r="AX16" s="78"/>
      <c r="AY16" s="78"/>
      <c r="BE16" s="91"/>
      <c r="BF16" s="78"/>
      <c r="BG16" s="93"/>
      <c r="BH16" s="166"/>
      <c r="BI16" s="78"/>
      <c r="BJ16" s="78"/>
      <c r="BK16" s="78"/>
      <c r="BL16" s="78"/>
      <c r="BM16" s="78"/>
      <c r="BN16" s="78"/>
      <c r="BO16" s="78"/>
      <c r="BP16" s="78"/>
      <c r="BQ16" s="93"/>
      <c r="BR16" s="1139">
        <f>BR15+DataUK1!FI15</f>
        <v>322</v>
      </c>
      <c r="BS16" s="308">
        <f>BR16/DataUK1!B16</f>
        <v>0.47933556006150685</v>
      </c>
      <c r="BT16" s="78"/>
      <c r="BU16" s="78"/>
      <c r="BV16" s="78"/>
      <c r="BW16" s="93"/>
      <c r="BX16" s="166"/>
      <c r="BZ16" s="78"/>
      <c r="CA16" s="78"/>
      <c r="CB16" s="991"/>
      <c r="CC16" s="78"/>
      <c r="CG16" s="979"/>
      <c r="CH16" s="1126"/>
      <c r="CK16" s="979"/>
      <c r="CL16" s="975">
        <v>2.2799999999999998</v>
      </c>
      <c r="CM16" s="975">
        <v>0.55000000000000004</v>
      </c>
      <c r="CN16" s="308">
        <f>1000*CL16/DataUK1!CD16</f>
        <v>3.3995355608119029</v>
      </c>
      <c r="CP16" s="979"/>
      <c r="CQ16" s="1285">
        <f t="shared" si="2"/>
        <v>54.800000000000004</v>
      </c>
      <c r="CR16" s="1292">
        <v>20</v>
      </c>
      <c r="CS16" s="981">
        <f t="shared" si="3"/>
        <v>17.700000000000003</v>
      </c>
      <c r="CT16" s="1030">
        <v>17.100000000000001</v>
      </c>
      <c r="CU16" s="1273">
        <f t="shared" si="1"/>
        <v>54.800000000000004</v>
      </c>
      <c r="CV16" s="959">
        <v>20.2</v>
      </c>
      <c r="CW16" s="2607">
        <v>20</v>
      </c>
      <c r="CX16" s="2607"/>
      <c r="CY16" s="1030">
        <v>14.6</v>
      </c>
    </row>
    <row r="17" spans="1:103" s="598" customFormat="1" ht="12" customHeight="1">
      <c r="A17" s="78">
        <f t="shared" si="0"/>
        <v>1859</v>
      </c>
      <c r="B17" s="91"/>
      <c r="C17" s="91"/>
      <c r="D17" s="78"/>
      <c r="E17" s="78"/>
      <c r="F17" s="78"/>
      <c r="G17" s="78"/>
      <c r="H17" s="78"/>
      <c r="I17" s="78"/>
      <c r="J17" s="78"/>
      <c r="K17" s="78"/>
      <c r="L17" s="78"/>
      <c r="M17" s="78"/>
      <c r="N17" s="78"/>
      <c r="O17" s="78"/>
      <c r="P17" s="78"/>
      <c r="Q17" s="78"/>
      <c r="R17" s="78"/>
      <c r="S17" s="78"/>
      <c r="T17" s="78"/>
      <c r="U17" s="175"/>
      <c r="V17" s="175"/>
      <c r="W17" s="175"/>
      <c r="X17" s="175"/>
      <c r="Y17" s="175"/>
      <c r="Z17" s="175"/>
      <c r="AA17" s="175"/>
      <c r="AB17" s="175"/>
      <c r="AC17" s="175"/>
      <c r="AD17" s="175"/>
      <c r="AE17" s="175"/>
      <c r="AF17" s="175"/>
      <c r="AG17" s="78"/>
      <c r="AH17" s="78"/>
      <c r="AI17" s="78"/>
      <c r="AJ17" s="78"/>
      <c r="AK17" s="78"/>
      <c r="AL17" s="78"/>
      <c r="AM17" s="78"/>
      <c r="AN17" s="78"/>
      <c r="AO17" s="78"/>
      <c r="AP17" s="78"/>
      <c r="AQ17" s="78"/>
      <c r="AR17" s="78"/>
      <c r="AS17" s="91"/>
      <c r="AT17" s="78"/>
      <c r="AU17" s="78"/>
      <c r="AV17" s="78"/>
      <c r="AW17" s="78"/>
      <c r="AX17" s="78"/>
      <c r="AY17" s="78"/>
      <c r="BE17" s="91"/>
      <c r="BF17" s="78"/>
      <c r="BG17" s="93"/>
      <c r="BH17" s="166"/>
      <c r="BI17" s="78"/>
      <c r="BJ17" s="78"/>
      <c r="BK17" s="78"/>
      <c r="BL17" s="78"/>
      <c r="BM17" s="78"/>
      <c r="BN17" s="78"/>
      <c r="BO17" s="78"/>
      <c r="BP17" s="78"/>
      <c r="BQ17" s="93"/>
      <c r="BR17" s="1139">
        <f>BR16+DataUK1!FI16</f>
        <v>353</v>
      </c>
      <c r="BS17" s="308">
        <f>BR17/DataUK1!B17</f>
        <v>0.50399758783518089</v>
      </c>
      <c r="BT17" s="78"/>
      <c r="BU17" s="78"/>
      <c r="BV17" s="78"/>
      <c r="BW17" s="93"/>
      <c r="BX17" s="166"/>
      <c r="BZ17" s="78"/>
      <c r="CA17" s="78"/>
      <c r="CB17" s="991"/>
      <c r="CC17" s="78"/>
      <c r="CG17" s="979"/>
      <c r="CH17" s="1126"/>
      <c r="CK17" s="979"/>
      <c r="CL17" s="975">
        <v>2.2599999999999998</v>
      </c>
      <c r="CM17" s="975">
        <v>0.55000000000000004</v>
      </c>
      <c r="CN17" s="308">
        <f>1000*CL17/DataUK1!CD17</f>
        <v>3.2319220895389775</v>
      </c>
      <c r="CP17" s="979"/>
      <c r="CQ17" s="1285">
        <f t="shared" si="2"/>
        <v>57.6</v>
      </c>
      <c r="CR17" s="1292">
        <v>20</v>
      </c>
      <c r="CS17" s="981">
        <f t="shared" si="3"/>
        <v>20.3</v>
      </c>
      <c r="CT17" s="1030">
        <v>17.3</v>
      </c>
      <c r="CU17" s="1273">
        <f t="shared" si="1"/>
        <v>57.6</v>
      </c>
      <c r="CV17" s="959">
        <v>21.3</v>
      </c>
      <c r="CW17" s="2607">
        <v>21.7</v>
      </c>
      <c r="CX17" s="2607"/>
      <c r="CY17" s="1030">
        <v>14.6</v>
      </c>
    </row>
    <row r="18" spans="1:103" s="598" customFormat="1" ht="12" customHeight="1">
      <c r="A18" s="78">
        <f t="shared" si="0"/>
        <v>1860</v>
      </c>
      <c r="B18" s="91"/>
      <c r="C18" s="91"/>
      <c r="D18" s="78"/>
      <c r="E18" s="78"/>
      <c r="F18" s="78"/>
      <c r="G18" s="78"/>
      <c r="H18" s="78"/>
      <c r="I18" s="78"/>
      <c r="J18" s="78"/>
      <c r="K18" s="78"/>
      <c r="L18" s="78"/>
      <c r="M18" s="78"/>
      <c r="N18" s="78"/>
      <c r="O18" s="78"/>
      <c r="P18" s="78"/>
      <c r="Q18" s="78"/>
      <c r="R18" s="78"/>
      <c r="S18" s="78"/>
      <c r="T18" s="78"/>
      <c r="U18" s="175"/>
      <c r="V18" s="175"/>
      <c r="W18" s="175"/>
      <c r="X18" s="175"/>
      <c r="Y18" s="175"/>
      <c r="Z18" s="175"/>
      <c r="AA18" s="175"/>
      <c r="AB18" s="175"/>
      <c r="AC18" s="175"/>
      <c r="AD18" s="175"/>
      <c r="AE18" s="175"/>
      <c r="AF18" s="175"/>
      <c r="AG18" s="78"/>
      <c r="AH18" s="78"/>
      <c r="AI18" s="78"/>
      <c r="AJ18" s="78"/>
      <c r="AK18" s="78"/>
      <c r="AL18" s="78"/>
      <c r="AM18" s="78"/>
      <c r="AN18" s="78"/>
      <c r="AO18" s="78"/>
      <c r="AP18" s="78"/>
      <c r="AQ18" s="78"/>
      <c r="AR18" s="78"/>
      <c r="AS18" s="91"/>
      <c r="AT18" s="78"/>
      <c r="AU18" s="78"/>
      <c r="AV18" s="78"/>
      <c r="AW18" s="78"/>
      <c r="AX18" s="78"/>
      <c r="AY18" s="78"/>
      <c r="BE18" s="91"/>
      <c r="BF18" s="78"/>
      <c r="BG18" s="93"/>
      <c r="BH18" s="166"/>
      <c r="BI18" s="78"/>
      <c r="BJ18" s="78"/>
      <c r="BK18" s="78"/>
      <c r="BL18" s="78"/>
      <c r="BM18" s="78"/>
      <c r="BN18" s="78"/>
      <c r="BO18" s="78"/>
      <c r="BP18" s="78"/>
      <c r="BQ18" s="93"/>
      <c r="BR18" s="178">
        <v>420</v>
      </c>
      <c r="BS18" s="307">
        <f>BR18/DataUK1!B18</f>
        <v>0.57759049099947235</v>
      </c>
      <c r="BT18" s="78"/>
      <c r="BU18" s="78"/>
      <c r="BV18" s="78"/>
      <c r="BW18" s="93"/>
      <c r="BX18" s="166"/>
      <c r="BZ18" s="78"/>
      <c r="CA18" s="78"/>
      <c r="CB18" s="991"/>
      <c r="CC18" s="78"/>
      <c r="CG18" s="979"/>
      <c r="CH18" s="1126"/>
      <c r="CK18" s="979"/>
      <c r="CL18" s="975">
        <v>2.27</v>
      </c>
      <c r="CM18" s="975">
        <v>0.55000000000000004</v>
      </c>
      <c r="CN18" s="308">
        <f>1000*CL18/DataUK1!CD18</f>
        <v>3.1267491149958522</v>
      </c>
      <c r="CO18" s="976"/>
      <c r="CP18" s="979"/>
      <c r="CQ18" s="1285">
        <f t="shared" si="2"/>
        <v>56.1</v>
      </c>
      <c r="CR18" s="1292">
        <v>20</v>
      </c>
      <c r="CS18" s="981">
        <f t="shared" si="3"/>
        <v>21.6</v>
      </c>
      <c r="CT18" s="1030">
        <v>14.5</v>
      </c>
      <c r="CU18" s="1273">
        <f t="shared" si="1"/>
        <v>56.1</v>
      </c>
      <c r="CV18" s="959">
        <v>21.3</v>
      </c>
      <c r="CW18" s="2607">
        <v>20.2</v>
      </c>
      <c r="CX18" s="2607"/>
      <c r="CY18" s="1030">
        <v>14.6</v>
      </c>
    </row>
    <row r="19" spans="1:103" s="598" customFormat="1" ht="12" customHeight="1">
      <c r="A19" s="78">
        <f t="shared" si="0"/>
        <v>1861</v>
      </c>
      <c r="B19" s="91"/>
      <c r="C19" s="91"/>
      <c r="D19" s="78"/>
      <c r="E19" s="78"/>
      <c r="F19" s="78"/>
      <c r="G19" s="78"/>
      <c r="H19" s="78"/>
      <c r="I19" s="78"/>
      <c r="J19" s="78"/>
      <c r="K19" s="78"/>
      <c r="L19" s="78"/>
      <c r="M19" s="78"/>
      <c r="N19" s="78"/>
      <c r="O19" s="78"/>
      <c r="P19" s="78"/>
      <c r="Q19" s="78"/>
      <c r="R19" s="78"/>
      <c r="S19" s="78"/>
      <c r="T19" s="78"/>
      <c r="U19" s="175"/>
      <c r="V19" s="175"/>
      <c r="W19" s="175"/>
      <c r="X19" s="175"/>
      <c r="Y19" s="175"/>
      <c r="Z19" s="175"/>
      <c r="AA19" s="175"/>
      <c r="AB19" s="175"/>
      <c r="AC19" s="175"/>
      <c r="AD19" s="175"/>
      <c r="AE19" s="175"/>
      <c r="AF19" s="175"/>
      <c r="AG19" s="78"/>
      <c r="AH19" s="78"/>
      <c r="AI19" s="78"/>
      <c r="AJ19" s="78"/>
      <c r="AK19" s="78"/>
      <c r="AL19" s="78"/>
      <c r="AM19" s="78"/>
      <c r="AN19" s="78"/>
      <c r="AO19" s="78"/>
      <c r="AP19" s="78"/>
      <c r="AQ19" s="78"/>
      <c r="AR19" s="78"/>
      <c r="AS19" s="91"/>
      <c r="AT19" s="78"/>
      <c r="AU19" s="78"/>
      <c r="AV19" s="78"/>
      <c r="AW19" s="78"/>
      <c r="AX19" s="78"/>
      <c r="AY19" s="78"/>
      <c r="BE19" s="91"/>
      <c r="BF19" s="78"/>
      <c r="BG19" s="93"/>
      <c r="BH19" s="166"/>
      <c r="BI19" s="78"/>
      <c r="BJ19" s="78"/>
      <c r="BK19" s="78"/>
      <c r="BL19" s="78"/>
      <c r="BM19" s="78"/>
      <c r="BN19" s="78"/>
      <c r="BO19" s="78"/>
      <c r="BP19" s="78"/>
      <c r="BQ19" s="93"/>
      <c r="BR19" s="1139">
        <f>BR18+DataUK1!FI18</f>
        <v>441</v>
      </c>
      <c r="BS19" s="308">
        <f>BR19/DataUK1!B19</f>
        <v>0.57744368927039047</v>
      </c>
      <c r="BT19" s="78"/>
      <c r="BU19" s="78"/>
      <c r="BV19" s="78"/>
      <c r="BW19" s="93"/>
      <c r="BX19" s="166"/>
      <c r="BZ19" s="78"/>
      <c r="CA19" s="78"/>
      <c r="CB19" s="991"/>
      <c r="CC19" s="78"/>
      <c r="CG19" s="979"/>
      <c r="CH19" s="1126"/>
      <c r="CK19" s="979"/>
      <c r="CL19" s="975">
        <v>2.23</v>
      </c>
      <c r="CM19" s="975">
        <v>0.54</v>
      </c>
      <c r="CN19" s="308">
        <f>1000*CL19/DataUK1!CD19</f>
        <v>2.9246302560671054</v>
      </c>
      <c r="CO19" s="976"/>
      <c r="CP19" s="979"/>
      <c r="CQ19" s="1285">
        <f t="shared" si="2"/>
        <v>52.4</v>
      </c>
      <c r="CR19" s="1292">
        <v>20</v>
      </c>
      <c r="CS19" s="981">
        <f t="shared" si="3"/>
        <v>20.2</v>
      </c>
      <c r="CT19" s="1030">
        <v>12.2</v>
      </c>
      <c r="CU19" s="1273">
        <f t="shared" si="1"/>
        <v>52.4</v>
      </c>
      <c r="CV19" s="959">
        <v>20</v>
      </c>
      <c r="CW19" s="2607">
        <v>17.8</v>
      </c>
      <c r="CX19" s="2607"/>
      <c r="CY19" s="1030">
        <v>14.6</v>
      </c>
    </row>
    <row r="20" spans="1:103" s="598" customFormat="1" ht="12" customHeight="1">
      <c r="A20" s="78">
        <f t="shared" si="0"/>
        <v>1862</v>
      </c>
      <c r="B20" s="91"/>
      <c r="C20" s="91"/>
      <c r="D20" s="78"/>
      <c r="E20" s="78"/>
      <c r="F20" s="78"/>
      <c r="G20" s="78"/>
      <c r="H20" s="78"/>
      <c r="I20" s="78"/>
      <c r="J20" s="78"/>
      <c r="K20" s="78"/>
      <c r="L20" s="78"/>
      <c r="M20" s="78"/>
      <c r="N20" s="78"/>
      <c r="O20" s="78"/>
      <c r="P20" s="78"/>
      <c r="Q20" s="78"/>
      <c r="R20" s="78"/>
      <c r="S20" s="78"/>
      <c r="T20" s="78"/>
      <c r="U20" s="175"/>
      <c r="V20" s="175"/>
      <c r="W20" s="175"/>
      <c r="X20" s="175"/>
      <c r="Y20" s="175"/>
      <c r="Z20" s="175"/>
      <c r="AA20" s="175"/>
      <c r="AB20" s="175"/>
      <c r="AC20" s="175"/>
      <c r="AD20" s="175"/>
      <c r="AE20" s="175"/>
      <c r="AF20" s="175"/>
      <c r="AG20" s="78"/>
      <c r="AH20" s="78"/>
      <c r="AI20" s="78"/>
      <c r="AJ20" s="78"/>
      <c r="AK20" s="78"/>
      <c r="AL20" s="78"/>
      <c r="AM20" s="78"/>
      <c r="AN20" s="78"/>
      <c r="AO20" s="78"/>
      <c r="AP20" s="78"/>
      <c r="AQ20" s="78"/>
      <c r="AR20" s="78"/>
      <c r="AS20" s="91"/>
      <c r="AT20" s="78"/>
      <c r="AU20" s="78"/>
      <c r="AV20" s="78"/>
      <c r="AW20" s="78"/>
      <c r="AX20" s="78"/>
      <c r="AY20" s="78"/>
      <c r="BE20" s="91"/>
      <c r="BF20" s="78"/>
      <c r="BG20" s="93"/>
      <c r="BH20" s="166"/>
      <c r="BI20" s="78"/>
      <c r="BJ20" s="78"/>
      <c r="BK20" s="78"/>
      <c r="BL20" s="78"/>
      <c r="BM20" s="78"/>
      <c r="BN20" s="78"/>
      <c r="BO20" s="78"/>
      <c r="BP20" s="78"/>
      <c r="BQ20" s="93"/>
      <c r="BR20" s="1139">
        <f>BR19+DataUK1!FI19</f>
        <v>454</v>
      </c>
      <c r="BS20" s="308">
        <f>BR20/DataUK1!B20</f>
        <v>0.57892227977686717</v>
      </c>
      <c r="BT20" s="78"/>
      <c r="BU20" s="78"/>
      <c r="BV20" s="78"/>
      <c r="BW20" s="93"/>
      <c r="BX20" s="166"/>
      <c r="BZ20" s="78"/>
      <c r="CA20" s="78"/>
      <c r="CB20" s="991"/>
      <c r="CC20" s="78"/>
      <c r="CG20" s="979"/>
      <c r="CH20" s="1126"/>
      <c r="CK20" s="979"/>
      <c r="CL20" s="975">
        <v>2.2200000000000002</v>
      </c>
      <c r="CM20" s="975">
        <v>0.53</v>
      </c>
      <c r="CN20" s="308">
        <f>1000*CL20/DataUK1!CD20</f>
        <v>2.8353858240950882</v>
      </c>
      <c r="CO20" s="976"/>
      <c r="CP20" s="979"/>
      <c r="CQ20" s="1285">
        <f t="shared" si="2"/>
        <v>57.1</v>
      </c>
      <c r="CR20" s="1292">
        <v>20</v>
      </c>
      <c r="CS20" s="981">
        <f t="shared" si="3"/>
        <v>21.6</v>
      </c>
      <c r="CT20" s="1030">
        <v>15.5</v>
      </c>
      <c r="CU20" s="1273">
        <f t="shared" si="1"/>
        <v>57.1</v>
      </c>
      <c r="CV20" s="959">
        <v>20.8</v>
      </c>
      <c r="CW20" s="2607">
        <v>21.7</v>
      </c>
      <c r="CX20" s="2607"/>
      <c r="CY20" s="1030">
        <v>14.6</v>
      </c>
    </row>
    <row r="21" spans="1:103" s="598" customFormat="1" ht="12" customHeight="1">
      <c r="A21" s="78">
        <f t="shared" si="0"/>
        <v>1863</v>
      </c>
      <c r="B21" s="91"/>
      <c r="C21" s="91"/>
      <c r="D21" s="78"/>
      <c r="E21" s="78"/>
      <c r="F21" s="78"/>
      <c r="G21" s="78"/>
      <c r="H21" s="78"/>
      <c r="I21" s="78"/>
      <c r="J21" s="78"/>
      <c r="K21" s="78"/>
      <c r="L21" s="78"/>
      <c r="M21" s="78"/>
      <c r="N21" s="78"/>
      <c r="O21" s="78"/>
      <c r="P21" s="78"/>
      <c r="Q21" s="78"/>
      <c r="R21" s="78"/>
      <c r="S21" s="78"/>
      <c r="T21" s="78"/>
      <c r="U21" s="175"/>
      <c r="V21" s="175"/>
      <c r="W21" s="175"/>
      <c r="X21" s="175"/>
      <c r="Y21" s="175"/>
      <c r="Z21" s="175"/>
      <c r="AA21" s="175"/>
      <c r="AB21" s="175"/>
      <c r="AC21" s="175"/>
      <c r="AD21" s="175"/>
      <c r="AE21" s="175"/>
      <c r="AF21" s="175"/>
      <c r="AG21" s="78"/>
      <c r="AH21" s="78"/>
      <c r="AI21" s="78"/>
      <c r="AJ21" s="78"/>
      <c r="AK21" s="78"/>
      <c r="AL21" s="78"/>
      <c r="AM21" s="78"/>
      <c r="AN21" s="78"/>
      <c r="AO21" s="78"/>
      <c r="AP21" s="78"/>
      <c r="AQ21" s="78"/>
      <c r="AR21" s="78"/>
      <c r="AS21" s="91"/>
      <c r="AT21" s="78"/>
      <c r="AU21" s="78"/>
      <c r="AV21" s="78"/>
      <c r="AW21" s="78"/>
      <c r="AX21" s="78"/>
      <c r="AY21" s="78"/>
      <c r="BE21" s="91"/>
      <c r="BF21" s="78"/>
      <c r="BG21" s="93"/>
      <c r="BH21" s="166"/>
      <c r="BI21" s="78"/>
      <c r="BJ21" s="78"/>
      <c r="BK21" s="78"/>
      <c r="BL21" s="78"/>
      <c r="BM21" s="78"/>
      <c r="BN21" s="78"/>
      <c r="BO21" s="78"/>
      <c r="BP21" s="78"/>
      <c r="BQ21" s="93"/>
      <c r="BR21" s="1139">
        <f>BR20+DataUK1!FI20</f>
        <v>468</v>
      </c>
      <c r="BS21" s="308">
        <f>BR21/DataUK1!B21</f>
        <v>0.57364232395660797</v>
      </c>
      <c r="BT21" s="78"/>
      <c r="BU21" s="78"/>
      <c r="BV21" s="78"/>
      <c r="BW21" s="93"/>
      <c r="BX21" s="166"/>
      <c r="BZ21" s="78"/>
      <c r="CA21" s="78"/>
      <c r="CB21" s="991"/>
      <c r="CC21" s="78"/>
      <c r="CG21" s="979"/>
      <c r="CH21" s="1126"/>
      <c r="CK21" s="979"/>
      <c r="CL21" s="975">
        <v>2.2999999999999998</v>
      </c>
      <c r="CM21" s="975">
        <v>0.55000000000000004</v>
      </c>
      <c r="CN21" s="308">
        <f>1000*CL21/DataUK1!CD21</f>
        <v>2.8237030831123788</v>
      </c>
      <c r="CO21" s="976"/>
      <c r="CP21" s="979"/>
      <c r="CQ21" s="1285">
        <f t="shared" si="2"/>
        <v>56.6</v>
      </c>
      <c r="CR21" s="1292">
        <v>20</v>
      </c>
      <c r="CS21" s="981">
        <f t="shared" si="3"/>
        <v>22.8</v>
      </c>
      <c r="CT21" s="1030">
        <v>13.8</v>
      </c>
      <c r="CU21" s="1273">
        <f t="shared" si="1"/>
        <v>56.6</v>
      </c>
      <c r="CV21" s="959">
        <v>20.7</v>
      </c>
      <c r="CW21" s="2607">
        <v>21.3</v>
      </c>
      <c r="CX21" s="2607"/>
      <c r="CY21" s="1030">
        <v>14.6</v>
      </c>
    </row>
    <row r="22" spans="1:103" s="598" customFormat="1" ht="12" customHeight="1">
      <c r="A22" s="78">
        <f t="shared" si="0"/>
        <v>1864</v>
      </c>
      <c r="B22" s="91"/>
      <c r="C22" s="91"/>
      <c r="D22" s="78"/>
      <c r="E22" s="78"/>
      <c r="F22" s="78"/>
      <c r="G22" s="78"/>
      <c r="H22" s="78"/>
      <c r="I22" s="78"/>
      <c r="J22" s="78"/>
      <c r="K22" s="78"/>
      <c r="L22" s="78"/>
      <c r="M22" s="78"/>
      <c r="N22" s="78"/>
      <c r="O22" s="78"/>
      <c r="P22" s="78"/>
      <c r="Q22" s="78"/>
      <c r="R22" s="78"/>
      <c r="S22" s="78"/>
      <c r="T22" s="78"/>
      <c r="U22" s="175"/>
      <c r="V22" s="175"/>
      <c r="W22" s="175"/>
      <c r="X22" s="175"/>
      <c r="Y22" s="175"/>
      <c r="Z22" s="175"/>
      <c r="AA22" s="175"/>
      <c r="AB22" s="175"/>
      <c r="AC22" s="175"/>
      <c r="AD22" s="175"/>
      <c r="AE22" s="175"/>
      <c r="AF22" s="175"/>
      <c r="AG22" s="78"/>
      <c r="AH22" s="78"/>
      <c r="AI22" s="78"/>
      <c r="AJ22" s="78"/>
      <c r="AK22" s="78"/>
      <c r="AL22" s="78"/>
      <c r="AM22" s="78"/>
      <c r="AN22" s="78"/>
      <c r="AO22" s="78"/>
      <c r="AP22" s="78"/>
      <c r="AQ22" s="78"/>
      <c r="AR22" s="78"/>
      <c r="AS22" s="91"/>
      <c r="AT22" s="78"/>
      <c r="AU22" s="78"/>
      <c r="AV22" s="78"/>
      <c r="AW22" s="78"/>
      <c r="AX22" s="78"/>
      <c r="AY22" s="78"/>
      <c r="BE22" s="91"/>
      <c r="BF22" s="78"/>
      <c r="BG22" s="93"/>
      <c r="BH22" s="166"/>
      <c r="BI22" s="78"/>
      <c r="BJ22" s="78"/>
      <c r="BK22" s="78"/>
      <c r="BL22" s="78"/>
      <c r="BM22" s="78"/>
      <c r="BN22" s="78"/>
      <c r="BO22" s="78"/>
      <c r="BP22" s="78"/>
      <c r="BQ22" s="93"/>
      <c r="BR22" s="1139">
        <f>BR21+DataUK1!FI21</f>
        <v>497</v>
      </c>
      <c r="BS22" s="308">
        <f>BR22/DataUK1!B22</f>
        <v>0.58799932391608312</v>
      </c>
      <c r="BT22" s="78"/>
      <c r="BU22" s="78"/>
      <c r="BV22" s="78"/>
      <c r="BW22" s="93"/>
      <c r="BX22" s="166"/>
      <c r="BZ22" s="78"/>
      <c r="CA22" s="78"/>
      <c r="CB22" s="991"/>
      <c r="CC22" s="78"/>
      <c r="CG22" s="979"/>
      <c r="CH22" s="1126"/>
      <c r="CK22" s="979"/>
      <c r="CL22" s="975">
        <v>2.39</v>
      </c>
      <c r="CM22" s="975">
        <v>0.56000000000000005</v>
      </c>
      <c r="CN22" s="308">
        <f>1000*CL22/DataUK1!CD22</f>
        <v>2.8321330055920959</v>
      </c>
      <c r="CO22" s="976"/>
      <c r="CP22" s="979"/>
      <c r="CQ22" s="1285">
        <f t="shared" si="2"/>
        <v>55.300000000000004</v>
      </c>
      <c r="CR22" s="1292">
        <v>20</v>
      </c>
      <c r="CS22" s="981">
        <f t="shared" si="3"/>
        <v>22.500000000000004</v>
      </c>
      <c r="CT22" s="1030">
        <v>12.8</v>
      </c>
      <c r="CU22" s="1273">
        <f t="shared" si="1"/>
        <v>55.300000000000004</v>
      </c>
      <c r="CV22" s="959">
        <v>20.6</v>
      </c>
      <c r="CW22" s="2607">
        <v>20.100000000000001</v>
      </c>
      <c r="CX22" s="2607"/>
      <c r="CY22" s="1030">
        <v>14.6</v>
      </c>
    </row>
    <row r="23" spans="1:103" s="598" customFormat="1" ht="12" customHeight="1">
      <c r="A23" s="78">
        <f t="shared" si="0"/>
        <v>1865</v>
      </c>
      <c r="B23" s="91"/>
      <c r="C23" s="91"/>
      <c r="D23" s="78"/>
      <c r="E23" s="78"/>
      <c r="F23" s="78"/>
      <c r="G23" s="78"/>
      <c r="H23" s="78"/>
      <c r="I23" s="78"/>
      <c r="J23" s="78"/>
      <c r="K23" s="78"/>
      <c r="L23" s="78"/>
      <c r="M23" s="78"/>
      <c r="N23" s="78"/>
      <c r="O23" s="78"/>
      <c r="P23" s="78"/>
      <c r="Q23" s="78"/>
      <c r="R23" s="78"/>
      <c r="S23" s="78"/>
      <c r="T23" s="78"/>
      <c r="U23" s="175"/>
      <c r="V23" s="175"/>
      <c r="W23" s="175"/>
      <c r="X23" s="175"/>
      <c r="Y23" s="175"/>
      <c r="Z23" s="175"/>
      <c r="AA23" s="175"/>
      <c r="AB23" s="175"/>
      <c r="AC23" s="175"/>
      <c r="AD23" s="175"/>
      <c r="AE23" s="175"/>
      <c r="AF23" s="175"/>
      <c r="AG23" s="78"/>
      <c r="AH23" s="78"/>
      <c r="AI23" s="78"/>
      <c r="AJ23" s="78"/>
      <c r="AK23" s="78"/>
      <c r="AL23" s="78"/>
      <c r="AM23" s="78"/>
      <c r="AN23" s="78"/>
      <c r="AO23" s="78"/>
      <c r="AP23" s="78"/>
      <c r="AQ23" s="78"/>
      <c r="AR23" s="78"/>
      <c r="AS23" s="91"/>
      <c r="AT23" s="78"/>
      <c r="AU23" s="78"/>
      <c r="AV23" s="78"/>
      <c r="AW23" s="78"/>
      <c r="AX23" s="78"/>
      <c r="AY23" s="78"/>
      <c r="BE23" s="91"/>
      <c r="BF23" s="78"/>
      <c r="BG23" s="93"/>
      <c r="BH23" s="166"/>
      <c r="BI23" s="78"/>
      <c r="BJ23" s="78"/>
      <c r="BK23" s="78"/>
      <c r="BL23" s="78"/>
      <c r="BM23" s="78"/>
      <c r="BN23" s="78"/>
      <c r="BO23" s="78"/>
      <c r="BP23" s="78"/>
      <c r="BQ23" s="93"/>
      <c r="BR23" s="1139">
        <f>BR22+DataUK1!FI22</f>
        <v>523</v>
      </c>
      <c r="BS23" s="308">
        <f>BR23/DataUK1!B23</f>
        <v>0.5966608142882861</v>
      </c>
      <c r="BT23" s="78"/>
      <c r="BU23" s="78"/>
      <c r="BV23" s="78"/>
      <c r="BW23" s="93"/>
      <c r="BX23" s="166"/>
      <c r="BZ23" s="78"/>
      <c r="CA23" s="78"/>
      <c r="CB23" s="991"/>
      <c r="CC23" s="78"/>
      <c r="CG23" s="979"/>
      <c r="CH23" s="1126"/>
      <c r="CK23" s="979"/>
      <c r="CL23" s="975">
        <v>2.4</v>
      </c>
      <c r="CM23" s="975">
        <v>0.55000000000000004</v>
      </c>
      <c r="CN23" s="308">
        <f>1000*CL23/DataUK1!CD23</f>
        <v>2.7424074695021914</v>
      </c>
      <c r="CO23" s="976"/>
      <c r="CP23" s="979"/>
      <c r="CQ23" s="1285">
        <f t="shared" si="2"/>
        <v>56.4</v>
      </c>
      <c r="CR23" s="1292">
        <v>20</v>
      </c>
      <c r="CS23" s="981">
        <f t="shared" si="3"/>
        <v>22.7</v>
      </c>
      <c r="CT23" s="1030">
        <v>13.7</v>
      </c>
      <c r="CU23" s="1273">
        <f t="shared" si="1"/>
        <v>56.4</v>
      </c>
      <c r="CV23" s="959">
        <v>21.1</v>
      </c>
      <c r="CW23" s="2607">
        <v>20.7</v>
      </c>
      <c r="CX23" s="2607"/>
      <c r="CY23" s="1030">
        <v>14.6</v>
      </c>
    </row>
    <row r="24" spans="1:103" s="598" customFormat="1" ht="12" customHeight="1">
      <c r="A24" s="78">
        <f t="shared" si="0"/>
        <v>1866</v>
      </c>
      <c r="B24" s="91"/>
      <c r="C24" s="91"/>
      <c r="D24" s="78"/>
      <c r="E24" s="78"/>
      <c r="F24" s="78"/>
      <c r="G24" s="78"/>
      <c r="H24" s="78"/>
      <c r="I24" s="78"/>
      <c r="J24" s="78"/>
      <c r="K24" s="78"/>
      <c r="L24" s="78"/>
      <c r="M24" s="78"/>
      <c r="N24" s="78"/>
      <c r="O24" s="78"/>
      <c r="P24" s="78"/>
      <c r="Q24" s="78"/>
      <c r="R24" s="78"/>
      <c r="S24" s="78"/>
      <c r="T24" s="78"/>
      <c r="U24" s="175"/>
      <c r="V24" s="175"/>
      <c r="W24" s="175"/>
      <c r="X24" s="175"/>
      <c r="Y24" s="175"/>
      <c r="Z24" s="175"/>
      <c r="AA24" s="175"/>
      <c r="AB24" s="175"/>
      <c r="AC24" s="175"/>
      <c r="AD24" s="175"/>
      <c r="AE24" s="175"/>
      <c r="AF24" s="175"/>
      <c r="AG24" s="78"/>
      <c r="AH24" s="78"/>
      <c r="AI24" s="78"/>
      <c r="AJ24" s="78"/>
      <c r="AK24" s="78"/>
      <c r="AL24" s="78"/>
      <c r="AM24" s="78"/>
      <c r="AN24" s="78"/>
      <c r="AO24" s="78"/>
      <c r="AP24" s="78"/>
      <c r="AQ24" s="78"/>
      <c r="AR24" s="78"/>
      <c r="AS24" s="91"/>
      <c r="AT24" s="78"/>
      <c r="AU24" s="78"/>
      <c r="AV24" s="78"/>
      <c r="AW24" s="78"/>
      <c r="AX24" s="78"/>
      <c r="AY24" s="78"/>
      <c r="BE24" s="91"/>
      <c r="BF24" s="78"/>
      <c r="BG24" s="93"/>
      <c r="BH24" s="166"/>
      <c r="BI24" s="78"/>
      <c r="BJ24" s="78"/>
      <c r="BK24" s="78"/>
      <c r="BL24" s="78"/>
      <c r="BM24" s="78"/>
      <c r="BN24" s="78"/>
      <c r="BO24" s="78"/>
      <c r="BP24" s="78"/>
      <c r="BQ24" s="93"/>
      <c r="BR24" s="1139">
        <f>BR23+DataUK1!FI23</f>
        <v>564</v>
      </c>
      <c r="BS24" s="308">
        <f>BR24/DataUK1!B24</f>
        <v>0.6280352428632533</v>
      </c>
      <c r="BT24" s="78"/>
      <c r="BU24" s="78"/>
      <c r="BV24" s="78"/>
      <c r="BW24" s="93"/>
      <c r="BX24" s="166"/>
      <c r="BZ24" s="78"/>
      <c r="CA24" s="78"/>
      <c r="CB24" s="991"/>
      <c r="CC24" s="78"/>
      <c r="CG24" s="979"/>
      <c r="CH24" s="1126"/>
      <c r="CK24" s="979"/>
      <c r="CL24" s="975">
        <v>2.46</v>
      </c>
      <c r="CM24" s="975">
        <v>0.56999999999999995</v>
      </c>
      <c r="CN24" s="308">
        <f>1000*CL24/DataUK1!CD24</f>
        <v>2.7436832295989979</v>
      </c>
      <c r="CO24" s="976"/>
      <c r="CP24" s="979"/>
      <c r="CQ24" s="1285">
        <f t="shared" si="2"/>
        <v>59.9</v>
      </c>
      <c r="CR24" s="1292">
        <v>20</v>
      </c>
      <c r="CS24" s="981">
        <f t="shared" si="3"/>
        <v>25.9</v>
      </c>
      <c r="CT24" s="1030">
        <v>14</v>
      </c>
      <c r="CU24" s="1273">
        <f t="shared" si="1"/>
        <v>59.9</v>
      </c>
      <c r="CV24" s="959">
        <v>23.2</v>
      </c>
      <c r="CW24" s="2607">
        <v>22.1</v>
      </c>
      <c r="CX24" s="2607"/>
      <c r="CY24" s="1030">
        <v>14.6</v>
      </c>
    </row>
    <row r="25" spans="1:103" s="598" customFormat="1" ht="12" customHeight="1">
      <c r="A25" s="78">
        <f t="shared" si="0"/>
        <v>1867</v>
      </c>
      <c r="B25" s="91"/>
      <c r="C25" s="91"/>
      <c r="D25" s="78"/>
      <c r="E25" s="78"/>
      <c r="F25" s="78"/>
      <c r="G25" s="78"/>
      <c r="H25" s="78"/>
      <c r="I25" s="78"/>
      <c r="J25" s="78"/>
      <c r="K25" s="78"/>
      <c r="L25" s="78"/>
      <c r="M25" s="78"/>
      <c r="N25" s="78"/>
      <c r="O25" s="78"/>
      <c r="P25" s="78"/>
      <c r="Q25" s="78"/>
      <c r="R25" s="78"/>
      <c r="S25" s="78"/>
      <c r="T25" s="78"/>
      <c r="U25" s="175"/>
      <c r="V25" s="175"/>
      <c r="W25" s="175"/>
      <c r="X25" s="175"/>
      <c r="Y25" s="175"/>
      <c r="Z25" s="175"/>
      <c r="AA25" s="175"/>
      <c r="AB25" s="175"/>
      <c r="AC25" s="175"/>
      <c r="AD25" s="175"/>
      <c r="AE25" s="175"/>
      <c r="AF25" s="175"/>
      <c r="AG25" s="78"/>
      <c r="AH25" s="78"/>
      <c r="AI25" s="78"/>
      <c r="AJ25" s="78"/>
      <c r="AK25" s="78"/>
      <c r="AL25" s="78"/>
      <c r="AM25" s="78"/>
      <c r="AN25" s="78"/>
      <c r="AO25" s="78"/>
      <c r="AP25" s="78"/>
      <c r="AQ25" s="78"/>
      <c r="AR25" s="78"/>
      <c r="AS25" s="91"/>
      <c r="AT25" s="78"/>
      <c r="AU25" s="78"/>
      <c r="AV25" s="78"/>
      <c r="AW25" s="78"/>
      <c r="AX25" s="78"/>
      <c r="AY25" s="78"/>
      <c r="BE25" s="91"/>
      <c r="BF25" s="78"/>
      <c r="BG25" s="93"/>
      <c r="BH25" s="166"/>
      <c r="BI25" s="78"/>
      <c r="BJ25" s="78"/>
      <c r="BK25" s="78"/>
      <c r="BL25" s="78"/>
      <c r="BM25" s="78"/>
      <c r="BN25" s="78"/>
      <c r="BO25" s="78"/>
      <c r="BP25" s="78"/>
      <c r="BQ25" s="93"/>
      <c r="BR25" s="1139">
        <f>BR24+DataUK1!FI24</f>
        <v>609</v>
      </c>
      <c r="BS25" s="308">
        <f>BR25/DataUK1!B25</f>
        <v>0.68785328131860535</v>
      </c>
      <c r="BT25" s="78"/>
      <c r="BU25" s="78"/>
      <c r="BV25" s="78"/>
      <c r="BW25" s="93"/>
      <c r="BX25" s="166"/>
      <c r="BZ25" s="78"/>
      <c r="CA25" s="78"/>
      <c r="CB25" s="991"/>
      <c r="CC25" s="78"/>
      <c r="CG25" s="979"/>
      <c r="CH25" s="1126"/>
      <c r="CK25" s="979"/>
      <c r="CL25" s="975">
        <v>2.42</v>
      </c>
      <c r="CM25" s="975">
        <v>0.56999999999999995</v>
      </c>
      <c r="CN25" s="308">
        <f>1000*CL25/DataUK1!CD25</f>
        <v>2.7377015757846932</v>
      </c>
      <c r="CO25" s="976"/>
      <c r="CP25" s="979"/>
      <c r="CQ25" s="1285">
        <f t="shared" si="2"/>
        <v>63.6</v>
      </c>
      <c r="CR25" s="1292">
        <v>20</v>
      </c>
      <c r="CS25" s="981">
        <f t="shared" si="3"/>
        <v>23.400000000000002</v>
      </c>
      <c r="CT25" s="1030">
        <v>20.2</v>
      </c>
      <c r="CU25" s="1273">
        <f t="shared" si="1"/>
        <v>63.6</v>
      </c>
      <c r="CV25" s="959">
        <v>23.4</v>
      </c>
      <c r="CW25" s="2607">
        <v>25.6</v>
      </c>
      <c r="CX25" s="2607"/>
      <c r="CY25" s="1030">
        <v>14.6</v>
      </c>
    </row>
    <row r="26" spans="1:103" s="598" customFormat="1" ht="12" customHeight="1">
      <c r="A26" s="78">
        <f t="shared" si="0"/>
        <v>1868</v>
      </c>
      <c r="B26" s="91"/>
      <c r="C26" s="91"/>
      <c r="D26" s="78"/>
      <c r="E26" s="78"/>
      <c r="F26" s="78"/>
      <c r="G26" s="78"/>
      <c r="H26" s="78"/>
      <c r="I26" s="78"/>
      <c r="J26" s="78"/>
      <c r="K26" s="78"/>
      <c r="L26" s="78"/>
      <c r="M26" s="78"/>
      <c r="N26" s="78"/>
      <c r="O26" s="78"/>
      <c r="P26" s="78"/>
      <c r="Q26" s="78"/>
      <c r="R26" s="78"/>
      <c r="S26" s="78"/>
      <c r="T26" s="78"/>
      <c r="U26" s="175"/>
      <c r="V26" s="175"/>
      <c r="W26" s="175"/>
      <c r="X26" s="175"/>
      <c r="Y26" s="175"/>
      <c r="Z26" s="175"/>
      <c r="AA26" s="175"/>
      <c r="AB26" s="175"/>
      <c r="AC26" s="175"/>
      <c r="AD26" s="175"/>
      <c r="AE26" s="175"/>
      <c r="AF26" s="175"/>
      <c r="AG26" s="78"/>
      <c r="AH26" s="78"/>
      <c r="AI26" s="78"/>
      <c r="AJ26" s="78"/>
      <c r="AK26" s="78"/>
      <c r="AL26" s="78"/>
      <c r="AM26" s="78"/>
      <c r="AN26" s="78"/>
      <c r="AO26" s="78"/>
      <c r="AP26" s="78"/>
      <c r="AQ26" s="78"/>
      <c r="AR26" s="78"/>
      <c r="AS26" s="91"/>
      <c r="AT26" s="78"/>
      <c r="AU26" s="78"/>
      <c r="AV26" s="78"/>
      <c r="AW26" s="78"/>
      <c r="AX26" s="78"/>
      <c r="AY26" s="78"/>
      <c r="BE26" s="91"/>
      <c r="BF26" s="78"/>
      <c r="BG26" s="93"/>
      <c r="BH26" s="166"/>
      <c r="BI26" s="78"/>
      <c r="BJ26" s="78"/>
      <c r="BK26" s="78"/>
      <c r="BL26" s="78"/>
      <c r="BM26" s="78"/>
      <c r="BN26" s="78"/>
      <c r="BO26" s="78"/>
      <c r="BP26" s="78"/>
      <c r="BQ26" s="93"/>
      <c r="BR26" s="1139">
        <f>BR25+DataUK1!FI25</f>
        <v>660</v>
      </c>
      <c r="BS26" s="308">
        <f>BR26/DataUK1!B26</f>
        <v>0.74495444362846519</v>
      </c>
      <c r="BT26" s="78"/>
      <c r="BU26" s="78"/>
      <c r="BV26" s="78"/>
      <c r="BW26" s="93"/>
      <c r="BX26" s="166"/>
      <c r="BZ26" s="78"/>
      <c r="CA26" s="78"/>
      <c r="CB26" s="991"/>
      <c r="CC26" s="78"/>
      <c r="CG26" s="979"/>
      <c r="CH26" s="1126"/>
      <c r="CK26" s="979"/>
      <c r="CL26" s="975">
        <v>2.4</v>
      </c>
      <c r="CM26" s="975">
        <v>0.56000000000000005</v>
      </c>
      <c r="CN26" s="308">
        <f>1000*CL26/DataUK1!CD26</f>
        <v>2.713233598709532</v>
      </c>
      <c r="CO26" s="976"/>
      <c r="CP26" s="979"/>
      <c r="CQ26" s="1285">
        <f t="shared" si="2"/>
        <v>63.6</v>
      </c>
      <c r="CR26" s="1292">
        <v>20</v>
      </c>
      <c r="CS26" s="981">
        <f t="shared" si="3"/>
        <v>23.900000000000002</v>
      </c>
      <c r="CT26" s="1030">
        <v>19.7</v>
      </c>
      <c r="CU26" s="1273">
        <f t="shared" si="1"/>
        <v>63.6</v>
      </c>
      <c r="CV26" s="959">
        <v>23.9</v>
      </c>
      <c r="CW26" s="2607">
        <v>25.1</v>
      </c>
      <c r="CX26" s="2607"/>
      <c r="CY26" s="1030">
        <v>14.6</v>
      </c>
    </row>
    <row r="27" spans="1:103" s="598" customFormat="1" ht="12" customHeight="1">
      <c r="A27" s="78">
        <f t="shared" si="0"/>
        <v>1869</v>
      </c>
      <c r="B27" s="91"/>
      <c r="C27" s="91"/>
      <c r="D27" s="78"/>
      <c r="E27" s="78"/>
      <c r="F27" s="78"/>
      <c r="G27" s="78"/>
      <c r="H27" s="78"/>
      <c r="I27" s="78"/>
      <c r="J27" s="78"/>
      <c r="K27" s="78"/>
      <c r="L27" s="78"/>
      <c r="M27" s="78"/>
      <c r="N27" s="78"/>
      <c r="O27" s="78"/>
      <c r="P27" s="78"/>
      <c r="Q27" s="78"/>
      <c r="R27" s="78"/>
      <c r="S27" s="78"/>
      <c r="T27" s="78"/>
      <c r="U27" s="175"/>
      <c r="V27" s="175"/>
      <c r="W27" s="175"/>
      <c r="X27" s="175"/>
      <c r="Y27" s="175"/>
      <c r="Z27" s="175"/>
      <c r="AA27" s="175"/>
      <c r="AB27" s="175"/>
      <c r="AC27" s="175"/>
      <c r="AD27" s="175"/>
      <c r="AE27" s="175"/>
      <c r="AF27" s="175"/>
      <c r="AG27" s="78"/>
      <c r="AH27" s="78"/>
      <c r="AI27" s="78"/>
      <c r="AJ27" s="78"/>
      <c r="AK27" s="78"/>
      <c r="AL27" s="78"/>
      <c r="AM27" s="78"/>
      <c r="AN27" s="78"/>
      <c r="AO27" s="78"/>
      <c r="AP27" s="78"/>
      <c r="AQ27" s="78"/>
      <c r="AR27" s="78"/>
      <c r="AS27" s="91"/>
      <c r="AT27" s="78"/>
      <c r="AU27" s="78"/>
      <c r="AV27" s="78"/>
      <c r="AW27" s="78"/>
      <c r="AX27" s="78"/>
      <c r="AY27" s="78"/>
      <c r="BE27" s="91"/>
      <c r="BF27" s="78"/>
      <c r="BG27" s="93"/>
      <c r="BH27" s="166"/>
      <c r="BI27" s="78"/>
      <c r="BJ27" s="78"/>
      <c r="BK27" s="78"/>
      <c r="BL27" s="78"/>
      <c r="BM27" s="78"/>
      <c r="BN27" s="78"/>
      <c r="BO27" s="78"/>
      <c r="BP27" s="78"/>
      <c r="BQ27" s="93"/>
      <c r="BR27" s="1139">
        <f>BR26+DataUK1!FI26</f>
        <v>700</v>
      </c>
      <c r="BS27" s="308">
        <f>BR27/DataUK1!B27</f>
        <v>0.76408678689797305</v>
      </c>
      <c r="BT27" s="78"/>
      <c r="BU27" s="78"/>
      <c r="BV27" s="78"/>
      <c r="BW27" s="93"/>
      <c r="BX27" s="166"/>
      <c r="BZ27" s="78"/>
      <c r="CA27" s="78"/>
      <c r="CB27" s="991"/>
      <c r="CC27" s="78"/>
      <c r="CG27" s="979"/>
      <c r="CH27" s="1126"/>
      <c r="CK27" s="979"/>
      <c r="CL27" s="975">
        <v>2.4500000000000002</v>
      </c>
      <c r="CM27" s="975">
        <v>0.57999999999999996</v>
      </c>
      <c r="CN27" s="308">
        <f>1000*CL27/DataUK1!CD27</f>
        <v>2.6785514381115929</v>
      </c>
      <c r="CO27" s="976"/>
      <c r="CP27" s="979"/>
      <c r="CQ27" s="1285">
        <f t="shared" si="2"/>
        <v>61.300000000000004</v>
      </c>
      <c r="CR27" s="1292">
        <v>20</v>
      </c>
      <c r="CS27" s="981">
        <f t="shared" si="3"/>
        <v>23.500000000000004</v>
      </c>
      <c r="CT27" s="1030">
        <v>17.8</v>
      </c>
      <c r="CU27" s="1273">
        <f t="shared" si="1"/>
        <v>61.300000000000004</v>
      </c>
      <c r="CV27" s="959">
        <v>23.5</v>
      </c>
      <c r="CW27" s="2607">
        <v>23.2</v>
      </c>
      <c r="CX27" s="2607"/>
      <c r="CY27" s="1030">
        <v>14.6</v>
      </c>
    </row>
    <row r="28" spans="1:103" s="598" customFormat="1" ht="12" customHeight="1">
      <c r="A28" s="78">
        <f t="shared" si="0"/>
        <v>1870</v>
      </c>
      <c r="B28" s="91"/>
      <c r="C28" s="91"/>
      <c r="D28" s="78"/>
      <c r="E28" s="78"/>
      <c r="F28" s="78"/>
      <c r="G28" s="78"/>
      <c r="H28" s="78"/>
      <c r="I28" s="78"/>
      <c r="J28" s="78"/>
      <c r="K28" s="78"/>
      <c r="L28" s="78"/>
      <c r="M28" s="78"/>
      <c r="N28" s="78"/>
      <c r="O28" s="78"/>
      <c r="P28" s="78"/>
      <c r="Q28" s="78"/>
      <c r="R28" s="78"/>
      <c r="S28" s="78"/>
      <c r="T28" s="78"/>
      <c r="U28" s="175"/>
      <c r="V28" s="175"/>
      <c r="W28" s="175"/>
      <c r="X28" s="175"/>
      <c r="Y28" s="175"/>
      <c r="Z28" s="175"/>
      <c r="AA28" s="175"/>
      <c r="AB28" s="175"/>
      <c r="AC28" s="175"/>
      <c r="AD28" s="175"/>
      <c r="AE28" s="175"/>
      <c r="AF28" s="175"/>
      <c r="AG28" s="78"/>
      <c r="AH28" s="78"/>
      <c r="AI28" s="78"/>
      <c r="AJ28" s="78"/>
      <c r="AK28" s="78"/>
      <c r="AL28" s="78"/>
      <c r="AM28" s="78"/>
      <c r="AN28" s="78"/>
      <c r="AO28" s="78"/>
      <c r="AP28" s="78"/>
      <c r="AQ28" s="78"/>
      <c r="AR28" s="78"/>
      <c r="AS28" s="91"/>
      <c r="AT28" s="78"/>
      <c r="AU28" s="78"/>
      <c r="AV28" s="78"/>
      <c r="AW28" s="78"/>
      <c r="AX28" s="78"/>
      <c r="AY28" s="78"/>
      <c r="BE28" s="91"/>
      <c r="BF28" s="78"/>
      <c r="BG28" s="93"/>
      <c r="BH28" s="166"/>
      <c r="BI28" s="78"/>
      <c r="BJ28" s="78"/>
      <c r="BK28" s="78"/>
      <c r="BL28" s="78"/>
      <c r="BM28" s="78"/>
      <c r="BN28" s="78"/>
      <c r="BO28" s="78"/>
      <c r="BP28" s="78"/>
      <c r="BQ28" s="93"/>
      <c r="BR28" s="178">
        <v>790</v>
      </c>
      <c r="BS28" s="307">
        <f>BR28/DataUK1!B28</f>
        <v>0.79971077368040488</v>
      </c>
      <c r="BT28" s="78"/>
      <c r="BU28" s="78"/>
      <c r="BV28" s="78"/>
      <c r="BW28" s="93"/>
      <c r="BX28" s="166"/>
      <c r="BZ28" s="78"/>
      <c r="CA28" s="78"/>
      <c r="CB28" s="991"/>
      <c r="CC28" s="78"/>
      <c r="CG28" s="979"/>
      <c r="CH28" s="1126"/>
      <c r="CK28" s="979"/>
      <c r="CL28" s="975">
        <v>2.4900000000000002</v>
      </c>
      <c r="CM28" s="975">
        <v>0.59</v>
      </c>
      <c r="CN28" s="308">
        <f>1000*CL28/DataUK1!CD28</f>
        <v>2.5247784626402319</v>
      </c>
      <c r="CO28" s="976">
        <v>0.4</v>
      </c>
      <c r="CP28" s="979"/>
      <c r="CQ28" s="1285">
        <f t="shared" si="2"/>
        <v>63.6</v>
      </c>
      <c r="CR28" s="1292">
        <v>20</v>
      </c>
      <c r="CS28" s="981">
        <f t="shared" si="3"/>
        <v>23.700000000000003</v>
      </c>
      <c r="CT28" s="1030">
        <v>19.899999999999999</v>
      </c>
      <c r="CU28" s="1273">
        <f t="shared" si="1"/>
        <v>63.6</v>
      </c>
      <c r="CV28" s="959">
        <v>23.3</v>
      </c>
      <c r="CW28" s="2607">
        <v>25.7</v>
      </c>
      <c r="CX28" s="2607"/>
      <c r="CY28" s="1030">
        <v>14.6</v>
      </c>
    </row>
    <row r="29" spans="1:103" s="598" customFormat="1" ht="12" customHeight="1">
      <c r="A29" s="78">
        <f t="shared" si="0"/>
        <v>1871</v>
      </c>
      <c r="B29" s="91"/>
      <c r="C29" s="91"/>
      <c r="D29" s="78"/>
      <c r="E29" s="78"/>
      <c r="F29" s="78"/>
      <c r="G29" s="78"/>
      <c r="H29" s="78"/>
      <c r="I29" s="78"/>
      <c r="J29" s="78"/>
      <c r="K29" s="78"/>
      <c r="L29" s="78"/>
      <c r="M29" s="78"/>
      <c r="N29" s="78"/>
      <c r="O29" s="78"/>
      <c r="P29" s="78"/>
      <c r="Q29" s="78"/>
      <c r="R29" s="78"/>
      <c r="S29" s="78"/>
      <c r="T29" s="78"/>
      <c r="U29" s="175"/>
      <c r="V29" s="175"/>
      <c r="W29" s="175"/>
      <c r="X29" s="175"/>
      <c r="Y29" s="175"/>
      <c r="Z29" s="175"/>
      <c r="AA29" s="175"/>
      <c r="AB29" s="175"/>
      <c r="AC29" s="175"/>
      <c r="AD29" s="175"/>
      <c r="AE29" s="175"/>
      <c r="AF29" s="175"/>
      <c r="AG29" s="78"/>
      <c r="AH29" s="78"/>
      <c r="AI29" s="78"/>
      <c r="AJ29" s="78"/>
      <c r="AK29" s="78"/>
      <c r="AL29" s="78"/>
      <c r="AM29" s="78"/>
      <c r="AN29" s="78"/>
      <c r="AO29" s="78"/>
      <c r="AP29" s="78"/>
      <c r="AQ29" s="78"/>
      <c r="AR29" s="78"/>
      <c r="AS29" s="91"/>
      <c r="AT29" s="78"/>
      <c r="AU29" s="78"/>
      <c r="AV29" s="78"/>
      <c r="AW29" s="78"/>
      <c r="AX29" s="78"/>
      <c r="AY29" s="78"/>
      <c r="BE29" s="91"/>
      <c r="BF29" s="78"/>
      <c r="BG29" s="93"/>
      <c r="BH29" s="166"/>
      <c r="BI29" s="78"/>
      <c r="BJ29" s="78"/>
      <c r="BK29" s="78"/>
      <c r="BL29" s="78"/>
      <c r="BM29" s="78"/>
      <c r="BN29" s="78"/>
      <c r="BO29" s="78"/>
      <c r="BP29" s="78"/>
      <c r="BQ29" s="93"/>
      <c r="BR29" s="1139">
        <f>BR28+DataUK1!FI28</f>
        <v>847</v>
      </c>
      <c r="BS29" s="308">
        <f>BR29/DataUK1!B29</f>
        <v>0.79738660541130824</v>
      </c>
      <c r="BT29" s="78"/>
      <c r="BU29" s="78"/>
      <c r="BV29" s="78"/>
      <c r="BW29" s="93"/>
      <c r="BX29" s="166"/>
      <c r="BZ29" s="78"/>
      <c r="CA29" s="78"/>
      <c r="CB29" s="991"/>
      <c r="CC29" s="78"/>
      <c r="CG29" s="979"/>
      <c r="CH29" s="1126"/>
      <c r="CK29" s="979"/>
      <c r="CL29" s="975">
        <v>2.57</v>
      </c>
      <c r="CM29" s="975">
        <v>0.61</v>
      </c>
      <c r="CN29" s="308">
        <f>1000*CL29/DataUK1!CD29</f>
        <v>2.4236685854828854</v>
      </c>
      <c r="CO29" s="976"/>
      <c r="CP29" s="979"/>
      <c r="CQ29" s="1285">
        <f t="shared" si="2"/>
        <v>67.399999999999991</v>
      </c>
      <c r="CR29" s="1292">
        <v>20</v>
      </c>
      <c r="CS29" s="981">
        <f t="shared" si="3"/>
        <v>24.499999999999993</v>
      </c>
      <c r="CT29" s="1030">
        <v>22.9</v>
      </c>
      <c r="CU29" s="1273">
        <f t="shared" si="1"/>
        <v>67.399999999999991</v>
      </c>
      <c r="CV29" s="959">
        <v>24.4</v>
      </c>
      <c r="CW29" s="2607">
        <v>28.4</v>
      </c>
      <c r="CX29" s="2607"/>
      <c r="CY29" s="1030">
        <v>14.6</v>
      </c>
    </row>
    <row r="30" spans="1:103" s="598" customFormat="1" ht="12" customHeight="1">
      <c r="A30" s="78">
        <f t="shared" si="0"/>
        <v>1872</v>
      </c>
      <c r="B30" s="91"/>
      <c r="C30" s="91"/>
      <c r="D30" s="78"/>
      <c r="E30" s="78"/>
      <c r="F30" s="78"/>
      <c r="G30" s="78"/>
      <c r="H30" s="78"/>
      <c r="I30" s="78"/>
      <c r="J30" s="78"/>
      <c r="K30" s="78"/>
      <c r="L30" s="78"/>
      <c r="M30" s="78"/>
      <c r="N30" s="78"/>
      <c r="O30" s="78"/>
      <c r="P30" s="78"/>
      <c r="Q30" s="78"/>
      <c r="R30" s="78"/>
      <c r="S30" s="78"/>
      <c r="T30" s="78"/>
      <c r="U30" s="175"/>
      <c r="V30" s="175"/>
      <c r="W30" s="175"/>
      <c r="X30" s="175"/>
      <c r="Y30" s="175"/>
      <c r="Z30" s="175"/>
      <c r="AA30" s="175"/>
      <c r="AB30" s="175"/>
      <c r="AC30" s="175"/>
      <c r="AD30" s="175"/>
      <c r="AE30" s="175"/>
      <c r="AF30" s="175"/>
      <c r="AG30" s="78"/>
      <c r="AH30" s="78"/>
      <c r="AI30" s="78"/>
      <c r="AJ30" s="78"/>
      <c r="AK30" s="78"/>
      <c r="AL30" s="78"/>
      <c r="AM30" s="78"/>
      <c r="AN30" s="78"/>
      <c r="AO30" s="78"/>
      <c r="AP30" s="78"/>
      <c r="AQ30" s="78"/>
      <c r="AR30" s="78"/>
      <c r="AS30" s="91"/>
      <c r="AT30" s="78"/>
      <c r="AU30" s="78"/>
      <c r="AV30" s="78"/>
      <c r="AW30" s="78"/>
      <c r="AX30" s="78"/>
      <c r="AY30" s="78"/>
      <c r="BE30" s="91"/>
      <c r="BF30" s="78"/>
      <c r="BG30" s="93"/>
      <c r="BH30" s="166"/>
      <c r="BI30" s="78"/>
      <c r="BJ30" s="78"/>
      <c r="BK30" s="78"/>
      <c r="BL30" s="78"/>
      <c r="BM30" s="78"/>
      <c r="BN30" s="78"/>
      <c r="BO30" s="78"/>
      <c r="BP30" s="78"/>
      <c r="BQ30" s="93"/>
      <c r="BR30" s="1139">
        <f>BR29+DataUK1!FI29</f>
        <v>925</v>
      </c>
      <c r="BS30" s="308">
        <f>BR30/DataUK1!B30</f>
        <v>0.81800391883885126</v>
      </c>
      <c r="BT30" s="78"/>
      <c r="BU30" s="78"/>
      <c r="BV30" s="78"/>
      <c r="BW30" s="93"/>
      <c r="BX30" s="166"/>
      <c r="BZ30" s="78"/>
      <c r="CA30" s="78"/>
      <c r="CB30" s="991"/>
      <c r="CC30" s="78"/>
      <c r="CG30" s="979"/>
      <c r="CH30" s="1126"/>
      <c r="CK30" s="979"/>
      <c r="CL30" s="975">
        <v>2.84</v>
      </c>
      <c r="CM30" s="975">
        <v>0.67</v>
      </c>
      <c r="CN30" s="308">
        <f>1000*CL30/DataUK1!CD30</f>
        <v>2.515635407998607</v>
      </c>
      <c r="CO30" s="976"/>
      <c r="CP30" s="979"/>
      <c r="CQ30" s="1285">
        <f t="shared" si="2"/>
        <v>69</v>
      </c>
      <c r="CR30" s="1292">
        <v>20</v>
      </c>
      <c r="CS30" s="981">
        <f t="shared" si="3"/>
        <v>27.1</v>
      </c>
      <c r="CT30" s="1030">
        <v>21.9</v>
      </c>
      <c r="CU30" s="1273">
        <f t="shared" si="1"/>
        <v>69</v>
      </c>
      <c r="CV30" s="959">
        <v>25.5</v>
      </c>
      <c r="CW30" s="2607">
        <v>28.9</v>
      </c>
      <c r="CX30" s="2607"/>
      <c r="CY30" s="1030">
        <v>14.6</v>
      </c>
    </row>
    <row r="31" spans="1:103" s="598" customFormat="1" ht="12" customHeight="1">
      <c r="A31" s="78">
        <f t="shared" si="0"/>
        <v>1873</v>
      </c>
      <c r="B31" s="91"/>
      <c r="C31" s="91"/>
      <c r="D31" s="78"/>
      <c r="E31" s="78"/>
      <c r="F31" s="78"/>
      <c r="G31" s="78"/>
      <c r="H31" s="78"/>
      <c r="I31" s="78"/>
      <c r="J31" s="78"/>
      <c r="K31" s="78"/>
      <c r="L31" s="78"/>
      <c r="M31" s="78"/>
      <c r="N31" s="78"/>
      <c r="O31" s="78"/>
      <c r="P31" s="78"/>
      <c r="Q31" s="78"/>
      <c r="R31" s="78"/>
      <c r="S31" s="78"/>
      <c r="T31" s="78"/>
      <c r="U31" s="175"/>
      <c r="V31" s="175"/>
      <c r="W31" s="175"/>
      <c r="X31" s="175"/>
      <c r="Y31" s="175"/>
      <c r="Z31" s="175"/>
      <c r="AA31" s="175"/>
      <c r="AB31" s="175"/>
      <c r="AC31" s="175"/>
      <c r="AD31" s="175"/>
      <c r="AE31" s="175"/>
      <c r="AF31" s="175"/>
      <c r="AG31" s="78"/>
      <c r="AH31" s="78"/>
      <c r="AI31" s="78"/>
      <c r="AJ31" s="78"/>
      <c r="AK31" s="78"/>
      <c r="AL31" s="78"/>
      <c r="AM31" s="78"/>
      <c r="AN31" s="78"/>
      <c r="AO31" s="78"/>
      <c r="AP31" s="78"/>
      <c r="AQ31" s="78"/>
      <c r="AR31" s="78"/>
      <c r="AS31" s="91"/>
      <c r="AT31" s="78"/>
      <c r="AU31" s="78"/>
      <c r="AV31" s="78"/>
      <c r="AW31" s="78"/>
      <c r="AX31" s="78"/>
      <c r="AY31" s="78"/>
      <c r="BE31" s="91"/>
      <c r="BF31" s="78"/>
      <c r="BG31" s="93"/>
      <c r="BH31" s="166"/>
      <c r="BI31" s="78"/>
      <c r="BJ31" s="78"/>
      <c r="BK31" s="78"/>
      <c r="BL31" s="78"/>
      <c r="BM31" s="78"/>
      <c r="BN31" s="78"/>
      <c r="BO31" s="78"/>
      <c r="BP31" s="78"/>
      <c r="BQ31" s="93"/>
      <c r="BR31" s="171">
        <f>BT31-BV31</f>
        <v>1000</v>
      </c>
      <c r="BS31" s="307">
        <f>BR31/DataUK1!B31</f>
        <v>0.82837540790092623</v>
      </c>
      <c r="BT31" s="175">
        <v>1100</v>
      </c>
      <c r="BU31" s="175"/>
      <c r="BV31" s="175">
        <v>100</v>
      </c>
      <c r="BW31" s="93"/>
      <c r="BX31" s="166"/>
      <c r="BZ31" s="78"/>
      <c r="CA31" s="78"/>
      <c r="CB31" s="991"/>
      <c r="CC31" s="78"/>
      <c r="CG31" s="979"/>
      <c r="CH31" s="1126"/>
      <c r="CK31" s="979"/>
      <c r="CL31" s="975">
        <v>3.14</v>
      </c>
      <c r="CM31" s="975">
        <v>0.74</v>
      </c>
      <c r="CN31" s="308">
        <f>1000*CL31/DataUK1!CD31</f>
        <v>2.6048641512385551</v>
      </c>
      <c r="CO31" s="976"/>
      <c r="CP31" s="979"/>
      <c r="CQ31" s="1285">
        <f t="shared" si="2"/>
        <v>68.7</v>
      </c>
      <c r="CR31" s="1292">
        <v>20</v>
      </c>
      <c r="CS31" s="981">
        <f t="shared" si="3"/>
        <v>26.800000000000004</v>
      </c>
      <c r="CT31" s="1030">
        <v>21.9</v>
      </c>
      <c r="CU31" s="1273">
        <f t="shared" si="1"/>
        <v>68.7</v>
      </c>
      <c r="CV31" s="959">
        <v>25.6</v>
      </c>
      <c r="CW31" s="2607">
        <v>28.5</v>
      </c>
      <c r="CX31" s="2607"/>
      <c r="CY31" s="1030">
        <v>14.6</v>
      </c>
    </row>
    <row r="32" spans="1:103" s="598" customFormat="1" ht="12" customHeight="1">
      <c r="A32" s="78">
        <f t="shared" si="0"/>
        <v>1874</v>
      </c>
      <c r="B32" s="91"/>
      <c r="C32" s="91"/>
      <c r="D32" s="78"/>
      <c r="E32" s="78"/>
      <c r="F32" s="78"/>
      <c r="G32" s="78"/>
      <c r="H32" s="78"/>
      <c r="I32" s="78"/>
      <c r="J32" s="78"/>
      <c r="K32" s="78"/>
      <c r="L32" s="78"/>
      <c r="M32" s="78"/>
      <c r="N32" s="78"/>
      <c r="O32" s="78"/>
      <c r="P32" s="78"/>
      <c r="Q32" s="78"/>
      <c r="R32" s="78"/>
      <c r="S32" s="78"/>
      <c r="T32" s="78"/>
      <c r="U32" s="175"/>
      <c r="V32" s="175"/>
      <c r="W32" s="175"/>
      <c r="X32" s="175"/>
      <c r="Y32" s="175"/>
      <c r="Z32" s="175"/>
      <c r="AA32" s="175"/>
      <c r="AB32" s="175"/>
      <c r="AC32" s="175"/>
      <c r="AD32" s="175"/>
      <c r="AE32" s="175"/>
      <c r="AF32" s="175"/>
      <c r="AG32" s="78"/>
      <c r="AH32" s="78"/>
      <c r="AI32" s="78"/>
      <c r="AJ32" s="78"/>
      <c r="AK32" s="78"/>
      <c r="AL32" s="78"/>
      <c r="AM32" s="78"/>
      <c r="AN32" s="78"/>
      <c r="AO32" s="78"/>
      <c r="AP32" s="78"/>
      <c r="AQ32" s="78"/>
      <c r="AR32" s="78"/>
      <c r="AS32" s="91"/>
      <c r="AT32" s="78"/>
      <c r="AU32" s="78"/>
      <c r="AV32" s="78"/>
      <c r="AW32" s="78"/>
      <c r="AX32" s="78"/>
      <c r="AY32" s="78"/>
      <c r="BE32" s="91"/>
      <c r="BF32" s="78"/>
      <c r="BG32" s="93"/>
      <c r="BH32" s="166"/>
      <c r="BI32" s="78"/>
      <c r="BJ32" s="78"/>
      <c r="BK32" s="78"/>
      <c r="BL32" s="78"/>
      <c r="BM32" s="78"/>
      <c r="BN32" s="78"/>
      <c r="BO32" s="78"/>
      <c r="BP32" s="78"/>
      <c r="BQ32" s="93"/>
      <c r="BR32" s="1139">
        <f>BR31+DataUK1!FI31</f>
        <v>1088</v>
      </c>
      <c r="BS32" s="308">
        <f>BR32/DataUK1!B32</f>
        <v>0.92208971487378177</v>
      </c>
      <c r="BT32" s="78"/>
      <c r="BU32" s="78"/>
      <c r="BV32" s="78"/>
      <c r="BW32" s="93"/>
      <c r="BX32" s="166"/>
      <c r="BZ32" s="78"/>
      <c r="CA32" s="78"/>
      <c r="CB32" s="991"/>
      <c r="CC32" s="78"/>
      <c r="CG32" s="979"/>
      <c r="CH32" s="1126"/>
      <c r="CK32" s="979"/>
      <c r="CL32" s="975">
        <v>3.1</v>
      </c>
      <c r="CM32" s="975">
        <v>0.74</v>
      </c>
      <c r="CN32" s="308">
        <f>1000*CL32/DataUK1!CD32</f>
        <v>2.6318368329081965</v>
      </c>
      <c r="CO32" s="976"/>
      <c r="CP32" s="979"/>
      <c r="CQ32" s="1285">
        <f t="shared" si="2"/>
        <v>66</v>
      </c>
      <c r="CR32" s="1292">
        <v>20</v>
      </c>
      <c r="CS32" s="981">
        <f t="shared" si="3"/>
        <v>24.4</v>
      </c>
      <c r="CT32" s="1030">
        <v>21.6</v>
      </c>
      <c r="CU32" s="1273">
        <f t="shared" si="1"/>
        <v>66</v>
      </c>
      <c r="CV32" s="959">
        <v>26.3</v>
      </c>
      <c r="CW32" s="2607">
        <v>25.1</v>
      </c>
      <c r="CX32" s="2607"/>
      <c r="CY32" s="1030">
        <v>14.6</v>
      </c>
    </row>
    <row r="33" spans="1:103" s="598" customFormat="1" ht="12" customHeight="1">
      <c r="A33" s="78">
        <f t="shared" si="0"/>
        <v>1875</v>
      </c>
      <c r="B33" s="91"/>
      <c r="C33" s="91"/>
      <c r="D33" s="78"/>
      <c r="E33" s="78"/>
      <c r="F33" s="78"/>
      <c r="G33" s="78"/>
      <c r="H33" s="78"/>
      <c r="I33" s="78"/>
      <c r="J33" s="78"/>
      <c r="K33" s="78"/>
      <c r="L33" s="78"/>
      <c r="M33" s="78"/>
      <c r="N33" s="78"/>
      <c r="O33" s="78"/>
      <c r="P33" s="78"/>
      <c r="Q33" s="78"/>
      <c r="R33" s="78"/>
      <c r="S33" s="78"/>
      <c r="T33" s="78"/>
      <c r="U33" s="175"/>
      <c r="V33" s="175"/>
      <c r="W33" s="175"/>
      <c r="X33" s="175"/>
      <c r="Y33" s="175"/>
      <c r="Z33" s="175"/>
      <c r="AA33" s="175"/>
      <c r="AB33" s="175"/>
      <c r="AC33" s="175"/>
      <c r="AD33" s="175"/>
      <c r="AE33" s="175"/>
      <c r="AF33" s="175"/>
      <c r="AG33" s="78"/>
      <c r="AH33" s="78"/>
      <c r="AI33" s="78"/>
      <c r="AJ33" s="78"/>
      <c r="AK33" s="78"/>
      <c r="AL33" s="78"/>
      <c r="AM33" s="78"/>
      <c r="AN33" s="78"/>
      <c r="AO33" s="78"/>
      <c r="AP33" s="78"/>
      <c r="AQ33" s="78"/>
      <c r="AR33" s="78"/>
      <c r="AS33" s="91"/>
      <c r="AT33" s="78"/>
      <c r="AU33" s="78"/>
      <c r="AV33" s="78"/>
      <c r="AW33" s="78"/>
      <c r="AX33" s="78"/>
      <c r="AY33" s="78"/>
      <c r="BE33" s="91"/>
      <c r="BF33" s="78"/>
      <c r="BG33" s="93"/>
      <c r="BH33" s="166"/>
      <c r="BI33" s="78"/>
      <c r="BJ33" s="78"/>
      <c r="BK33" s="78"/>
      <c r="BL33" s="78"/>
      <c r="BM33" s="78"/>
      <c r="BN33" s="78"/>
      <c r="BO33" s="78"/>
      <c r="BP33" s="78"/>
      <c r="BQ33" s="93"/>
      <c r="BR33" s="1139">
        <f>BR32+DataUK1!FI32</f>
        <v>1168</v>
      </c>
      <c r="BS33" s="308">
        <f>BR33/DataUK1!B33</f>
        <v>1.0001767680320215</v>
      </c>
      <c r="BT33" s="78"/>
      <c r="BU33" s="78"/>
      <c r="BV33" s="78"/>
      <c r="BW33" s="93"/>
      <c r="BX33" s="166"/>
      <c r="BZ33" s="78"/>
      <c r="CA33" s="78"/>
      <c r="CB33" s="991"/>
      <c r="CC33" s="78"/>
      <c r="CG33" s="979"/>
      <c r="CH33" s="1126"/>
      <c r="CK33" s="979"/>
      <c r="CL33" s="975">
        <v>2.9</v>
      </c>
      <c r="CM33" s="975">
        <v>0.7</v>
      </c>
      <c r="CN33" s="308">
        <f>1000*CL33/DataUK1!CD33</f>
        <v>2.4874244153817422</v>
      </c>
      <c r="CO33" s="976"/>
      <c r="CP33" s="979"/>
      <c r="CQ33" s="1285">
        <f t="shared" si="2"/>
        <v>68.3</v>
      </c>
      <c r="CR33" s="1292">
        <v>20</v>
      </c>
      <c r="CS33" s="981">
        <f t="shared" si="3"/>
        <v>25.099999999999998</v>
      </c>
      <c r="CT33" s="1030">
        <v>23.2</v>
      </c>
      <c r="CU33" s="1273">
        <f t="shared" si="1"/>
        <v>68.3</v>
      </c>
      <c r="CV33" s="959">
        <v>27.3</v>
      </c>
      <c r="CW33" s="2607">
        <v>26.4</v>
      </c>
      <c r="CX33" s="2607"/>
      <c r="CY33" s="1030">
        <v>14.6</v>
      </c>
    </row>
    <row r="34" spans="1:103" s="598" customFormat="1" ht="12" customHeight="1">
      <c r="A34" s="78">
        <f t="shared" si="0"/>
        <v>1876</v>
      </c>
      <c r="B34" s="91"/>
      <c r="C34" s="91"/>
      <c r="D34" s="78"/>
      <c r="E34" s="78"/>
      <c r="F34" s="78"/>
      <c r="G34" s="78"/>
      <c r="H34" s="78"/>
      <c r="I34" s="78"/>
      <c r="J34" s="78"/>
      <c r="K34" s="78"/>
      <c r="L34" s="78"/>
      <c r="M34" s="78"/>
      <c r="N34" s="78"/>
      <c r="O34" s="78"/>
      <c r="P34" s="78"/>
      <c r="Q34" s="78"/>
      <c r="R34" s="78"/>
      <c r="S34" s="78"/>
      <c r="T34" s="78"/>
      <c r="U34" s="175"/>
      <c r="V34" s="175"/>
      <c r="W34" s="175"/>
      <c r="X34" s="175"/>
      <c r="Y34" s="175"/>
      <c r="Z34" s="175"/>
      <c r="AA34" s="175"/>
      <c r="AB34" s="175"/>
      <c r="AC34" s="175"/>
      <c r="AD34" s="175"/>
      <c r="AE34" s="175"/>
      <c r="AF34" s="175"/>
      <c r="AG34" s="78"/>
      <c r="AH34" s="78"/>
      <c r="AI34" s="78"/>
      <c r="AJ34" s="78"/>
      <c r="AK34" s="78"/>
      <c r="AL34" s="78"/>
      <c r="AM34" s="78"/>
      <c r="AN34" s="78"/>
      <c r="AO34" s="78"/>
      <c r="AP34" s="78"/>
      <c r="AQ34" s="78"/>
      <c r="AR34" s="78"/>
      <c r="AS34" s="91"/>
      <c r="AT34" s="78"/>
      <c r="AU34" s="78"/>
      <c r="AV34" s="78"/>
      <c r="AW34" s="78"/>
      <c r="AX34" s="78"/>
      <c r="AY34" s="78"/>
      <c r="BE34" s="91"/>
      <c r="BF34" s="78"/>
      <c r="BG34" s="93"/>
      <c r="BH34" s="166"/>
      <c r="BI34" s="78"/>
      <c r="BJ34" s="78"/>
      <c r="BK34" s="78"/>
      <c r="BL34" s="78"/>
      <c r="BM34" s="78"/>
      <c r="BN34" s="78"/>
      <c r="BO34" s="78"/>
      <c r="BP34" s="78"/>
      <c r="BQ34" s="93"/>
      <c r="BR34" s="1139">
        <f>BR33+DataUK1!FI33</f>
        <v>1226</v>
      </c>
      <c r="BS34" s="308">
        <f>BR34/DataUK1!B34</f>
        <v>1.0631471236060286</v>
      </c>
      <c r="BT34" s="78"/>
      <c r="BU34" s="78"/>
      <c r="BV34" s="78"/>
      <c r="BW34" s="93"/>
      <c r="BX34" s="166"/>
      <c r="BZ34" s="78"/>
      <c r="CA34" s="78"/>
      <c r="CB34" s="991"/>
      <c r="CC34" s="78"/>
      <c r="CG34" s="979"/>
      <c r="CH34" s="1126"/>
      <c r="CK34" s="979"/>
      <c r="CL34" s="975">
        <v>2.89</v>
      </c>
      <c r="CM34" s="975">
        <v>0.7</v>
      </c>
      <c r="CN34" s="308">
        <f>1000*CL34/DataUK1!CD34</f>
        <v>2.5102843483336574</v>
      </c>
      <c r="CO34" s="976"/>
      <c r="CP34" s="979"/>
      <c r="CQ34" s="1285">
        <f t="shared" si="2"/>
        <v>72.599999999999994</v>
      </c>
      <c r="CR34" s="1292">
        <v>20</v>
      </c>
      <c r="CS34" s="981">
        <f t="shared" si="3"/>
        <v>24.699999999999996</v>
      </c>
      <c r="CT34" s="1030">
        <v>27.9</v>
      </c>
      <c r="CU34" s="1273">
        <f t="shared" si="1"/>
        <v>72.599999999999994</v>
      </c>
      <c r="CV34" s="959">
        <v>27.7</v>
      </c>
      <c r="CW34" s="2607">
        <v>30.3</v>
      </c>
      <c r="CX34" s="2607"/>
      <c r="CY34" s="1030">
        <v>14.6</v>
      </c>
    </row>
    <row r="35" spans="1:103" s="598" customFormat="1" ht="12" customHeight="1">
      <c r="A35" s="78">
        <f t="shared" si="0"/>
        <v>1877</v>
      </c>
      <c r="B35" s="91"/>
      <c r="C35" s="91"/>
      <c r="D35" s="78"/>
      <c r="E35" s="78"/>
      <c r="F35" s="78"/>
      <c r="G35" s="78"/>
      <c r="H35" s="78"/>
      <c r="I35" s="78"/>
      <c r="J35" s="78"/>
      <c r="K35" s="78"/>
      <c r="L35" s="78"/>
      <c r="M35" s="78"/>
      <c r="N35" s="78"/>
      <c r="O35" s="78"/>
      <c r="P35" s="78"/>
      <c r="Q35" s="78"/>
      <c r="R35" s="78"/>
      <c r="S35" s="78"/>
      <c r="T35" s="78"/>
      <c r="U35" s="175"/>
      <c r="V35" s="175"/>
      <c r="W35" s="175"/>
      <c r="X35" s="175"/>
      <c r="Y35" s="175"/>
      <c r="Z35" s="175"/>
      <c r="AA35" s="175"/>
      <c r="AB35" s="175"/>
      <c r="AC35" s="175"/>
      <c r="AD35" s="175"/>
      <c r="AE35" s="175"/>
      <c r="AF35" s="175"/>
      <c r="AG35" s="78"/>
      <c r="AH35" s="78"/>
      <c r="AI35" s="78"/>
      <c r="AJ35" s="78"/>
      <c r="AK35" s="78"/>
      <c r="AL35" s="78"/>
      <c r="AM35" s="78"/>
      <c r="AN35" s="78"/>
      <c r="AO35" s="78"/>
      <c r="AP35" s="78"/>
      <c r="AQ35" s="78"/>
      <c r="AR35" s="78"/>
      <c r="AS35" s="91"/>
      <c r="AT35" s="78"/>
      <c r="AU35" s="78"/>
      <c r="AV35" s="78"/>
      <c r="AW35" s="78"/>
      <c r="AX35" s="78"/>
      <c r="AY35" s="78"/>
      <c r="BE35" s="91"/>
      <c r="BF35" s="78"/>
      <c r="BG35" s="93"/>
      <c r="BH35" s="166"/>
      <c r="BI35" s="78"/>
      <c r="BJ35" s="78"/>
      <c r="BK35" s="78"/>
      <c r="BL35" s="78"/>
      <c r="BM35" s="78"/>
      <c r="BN35" s="78"/>
      <c r="BO35" s="78"/>
      <c r="BP35" s="78"/>
      <c r="BQ35" s="93"/>
      <c r="BR35" s="1139">
        <f>BR34+DataUK1!FI34</f>
        <v>1257</v>
      </c>
      <c r="BS35" s="308">
        <f>BR35/DataUK1!B35</f>
        <v>1.098266040251032</v>
      </c>
      <c r="BT35" s="78"/>
      <c r="BU35" s="78"/>
      <c r="BV35" s="78"/>
      <c r="BW35" s="93"/>
      <c r="BX35" s="166"/>
      <c r="BZ35" s="78"/>
      <c r="CA35" s="78"/>
      <c r="CB35" s="991"/>
      <c r="CC35" s="78"/>
      <c r="CG35" s="979"/>
      <c r="CH35" s="1126"/>
      <c r="CK35" s="979"/>
      <c r="CL35" s="975">
        <v>2.9</v>
      </c>
      <c r="CM35" s="975">
        <v>0.71</v>
      </c>
      <c r="CN35" s="308">
        <f>1000*CL35/DataUK1!CD35</f>
        <v>2.5378679908586745</v>
      </c>
      <c r="CO35" s="976"/>
      <c r="CP35" s="979"/>
      <c r="CQ35" s="1285">
        <f t="shared" si="2"/>
        <v>70.899999999999991</v>
      </c>
      <c r="CR35" s="1292">
        <v>20</v>
      </c>
      <c r="CS35" s="981">
        <f t="shared" si="3"/>
        <v>26.399999999999991</v>
      </c>
      <c r="CT35" s="1030">
        <v>24.5</v>
      </c>
      <c r="CU35" s="1273">
        <f t="shared" si="1"/>
        <v>70.899999999999991</v>
      </c>
      <c r="CV35" s="959">
        <v>27.9</v>
      </c>
      <c r="CW35" s="2607">
        <v>28.4</v>
      </c>
      <c r="CX35" s="2607"/>
      <c r="CY35" s="1030">
        <v>14.6</v>
      </c>
    </row>
    <row r="36" spans="1:103" s="598" customFormat="1" ht="12" customHeight="1">
      <c r="A36" s="78">
        <f t="shared" si="0"/>
        <v>1878</v>
      </c>
      <c r="B36" s="91"/>
      <c r="C36" s="91"/>
      <c r="D36" s="78"/>
      <c r="E36" s="78"/>
      <c r="F36" s="78"/>
      <c r="G36" s="78"/>
      <c r="H36" s="78"/>
      <c r="I36" s="78"/>
      <c r="J36" s="78"/>
      <c r="K36" s="78"/>
      <c r="L36" s="78"/>
      <c r="M36" s="78"/>
      <c r="N36" s="78"/>
      <c r="O36" s="78"/>
      <c r="P36" s="78"/>
      <c r="Q36" s="78"/>
      <c r="R36" s="78"/>
      <c r="S36" s="78"/>
      <c r="T36" s="78"/>
      <c r="U36" s="175"/>
      <c r="V36" s="175"/>
      <c r="W36" s="175"/>
      <c r="X36" s="175"/>
      <c r="Y36" s="175"/>
      <c r="Z36" s="175"/>
      <c r="AA36" s="175"/>
      <c r="AB36" s="175"/>
      <c r="AC36" s="175"/>
      <c r="AD36" s="175"/>
      <c r="AE36" s="175"/>
      <c r="AF36" s="175"/>
      <c r="AG36" s="78"/>
      <c r="AH36" s="78"/>
      <c r="AI36" s="78"/>
      <c r="AJ36" s="78"/>
      <c r="AK36" s="78"/>
      <c r="AL36" s="78"/>
      <c r="AM36" s="78"/>
      <c r="AN36" s="78"/>
      <c r="AO36" s="78"/>
      <c r="AP36" s="78"/>
      <c r="AQ36" s="78"/>
      <c r="AR36" s="78"/>
      <c r="AS36" s="91"/>
      <c r="AT36" s="78"/>
      <c r="AU36" s="78"/>
      <c r="AV36" s="78"/>
      <c r="AW36" s="78"/>
      <c r="AX36" s="78"/>
      <c r="AY36" s="78"/>
      <c r="BE36" s="91"/>
      <c r="BF36" s="78"/>
      <c r="BG36" s="93"/>
      <c r="BH36" s="166"/>
      <c r="BI36" s="78"/>
      <c r="BJ36" s="78"/>
      <c r="BK36" s="78"/>
      <c r="BL36" s="78"/>
      <c r="BM36" s="78"/>
      <c r="BN36" s="78"/>
      <c r="BO36" s="78"/>
      <c r="BP36" s="78"/>
      <c r="BQ36" s="93"/>
      <c r="BR36" s="1139">
        <f>BR35+DataUK1!FI35</f>
        <v>1267</v>
      </c>
      <c r="BS36" s="308">
        <f>BR36/DataUK1!B36</f>
        <v>1.1385489117736922</v>
      </c>
      <c r="BT36" s="78"/>
      <c r="BU36" s="78"/>
      <c r="BV36" s="78"/>
      <c r="BW36" s="93"/>
      <c r="BX36" s="166"/>
      <c r="BZ36" s="78"/>
      <c r="CA36" s="78"/>
      <c r="CB36" s="991"/>
      <c r="CC36" s="78"/>
      <c r="CG36" s="979"/>
      <c r="CH36" s="1126"/>
      <c r="CK36" s="979"/>
      <c r="CL36" s="975">
        <v>2.83</v>
      </c>
      <c r="CM36" s="975">
        <v>0.69</v>
      </c>
      <c r="CN36" s="308">
        <f>1000*CL36/DataUK1!CD36</f>
        <v>2.5474565042055537</v>
      </c>
      <c r="CO36" s="976"/>
      <c r="CP36" s="979"/>
      <c r="CQ36" s="1285">
        <f t="shared" si="2"/>
        <v>71.5</v>
      </c>
      <c r="CR36" s="1292">
        <v>20</v>
      </c>
      <c r="CS36" s="981">
        <f t="shared" si="3"/>
        <v>28.6</v>
      </c>
      <c r="CT36" s="1030">
        <v>22.9</v>
      </c>
      <c r="CU36" s="1273">
        <f t="shared" si="1"/>
        <v>71.5</v>
      </c>
      <c r="CV36" s="959">
        <v>28.1</v>
      </c>
      <c r="CW36" s="2607">
        <v>28.8</v>
      </c>
      <c r="CX36" s="2607"/>
      <c r="CY36" s="1030">
        <v>14.6</v>
      </c>
    </row>
    <row r="37" spans="1:103" s="598" customFormat="1" ht="12" customHeight="1">
      <c r="A37" s="78">
        <f t="shared" si="0"/>
        <v>1879</v>
      </c>
      <c r="B37" s="91"/>
      <c r="C37" s="91"/>
      <c r="D37" s="78"/>
      <c r="E37" s="78"/>
      <c r="F37" s="78"/>
      <c r="G37" s="78"/>
      <c r="H37" s="78"/>
      <c r="I37" s="78"/>
      <c r="J37" s="78"/>
      <c r="K37" s="78"/>
      <c r="L37" s="78"/>
      <c r="M37" s="78"/>
      <c r="N37" s="78"/>
      <c r="O37" s="78"/>
      <c r="P37" s="78"/>
      <c r="Q37" s="78"/>
      <c r="R37" s="78"/>
      <c r="S37" s="78"/>
      <c r="T37" s="78"/>
      <c r="U37" s="175"/>
      <c r="V37" s="175"/>
      <c r="W37" s="175"/>
      <c r="X37" s="175"/>
      <c r="Y37" s="175"/>
      <c r="Z37" s="175"/>
      <c r="AA37" s="175"/>
      <c r="AB37" s="175"/>
      <c r="AC37" s="175"/>
      <c r="AD37" s="175"/>
      <c r="AE37" s="175"/>
      <c r="AF37" s="175"/>
      <c r="AG37" s="78"/>
      <c r="AH37" s="78"/>
      <c r="AI37" s="78"/>
      <c r="AJ37" s="78"/>
      <c r="AK37" s="78"/>
      <c r="AL37" s="78"/>
      <c r="AM37" s="78"/>
      <c r="AN37" s="78"/>
      <c r="AO37" s="78"/>
      <c r="AP37" s="78"/>
      <c r="AQ37" s="78"/>
      <c r="AR37" s="78"/>
      <c r="AS37" s="91"/>
      <c r="AT37" s="78"/>
      <c r="AU37" s="78"/>
      <c r="AV37" s="78"/>
      <c r="AW37" s="78"/>
      <c r="AX37" s="78"/>
      <c r="AY37" s="78"/>
      <c r="BE37" s="91"/>
      <c r="BF37" s="78"/>
      <c r="BG37" s="93"/>
      <c r="BH37" s="166"/>
      <c r="BI37" s="78"/>
      <c r="BJ37" s="78"/>
      <c r="BK37" s="78"/>
      <c r="BL37" s="78"/>
      <c r="BM37" s="78"/>
      <c r="BN37" s="78"/>
      <c r="BO37" s="78"/>
      <c r="BP37" s="78"/>
      <c r="BQ37" s="93"/>
      <c r="BR37" s="1139">
        <f>BR36+DataUK1!FI36</f>
        <v>1291</v>
      </c>
      <c r="BS37" s="308">
        <f>BR37/DataUK1!B37</f>
        <v>1.186922964273448</v>
      </c>
      <c r="BT37" s="78"/>
      <c r="BU37" s="78"/>
      <c r="BV37" s="78"/>
      <c r="BW37" s="93"/>
      <c r="BX37" s="166"/>
      <c r="BZ37" s="78"/>
      <c r="CA37" s="78"/>
      <c r="CB37" s="991"/>
      <c r="CC37" s="78"/>
      <c r="CG37" s="979"/>
      <c r="CH37" s="1126"/>
      <c r="CK37" s="979"/>
      <c r="CL37" s="975">
        <v>2.75</v>
      </c>
      <c r="CM37" s="975">
        <v>0.67</v>
      </c>
      <c r="CN37" s="308">
        <f>1000*CL37/DataUK1!CD37</f>
        <v>2.5320524962223092</v>
      </c>
      <c r="CO37" s="976"/>
      <c r="CP37" s="979"/>
      <c r="CQ37" s="1285">
        <f t="shared" si="2"/>
        <v>80.399999999999991</v>
      </c>
      <c r="CR37" s="1292">
        <v>20</v>
      </c>
      <c r="CS37" s="981">
        <f t="shared" si="3"/>
        <v>29.099999999999991</v>
      </c>
      <c r="CT37" s="1030">
        <v>31.3</v>
      </c>
      <c r="CU37" s="1273">
        <f t="shared" si="1"/>
        <v>80.399999999999991</v>
      </c>
      <c r="CV37" s="959">
        <v>29.2</v>
      </c>
      <c r="CW37" s="2607">
        <v>36.6</v>
      </c>
      <c r="CX37" s="2607"/>
      <c r="CY37" s="1030">
        <v>14.6</v>
      </c>
    </row>
    <row r="38" spans="1:103" s="598" customFormat="1" ht="12" customHeight="1">
      <c r="A38" s="78">
        <f t="shared" si="0"/>
        <v>1880</v>
      </c>
      <c r="B38" s="91"/>
      <c r="C38" s="91"/>
      <c r="D38" s="78"/>
      <c r="E38" s="78"/>
      <c r="F38" s="78"/>
      <c r="G38" s="78"/>
      <c r="H38" s="78"/>
      <c r="I38" s="78"/>
      <c r="J38" s="78"/>
      <c r="K38" s="78"/>
      <c r="L38" s="78"/>
      <c r="M38" s="78"/>
      <c r="N38" s="78"/>
      <c r="O38" s="78"/>
      <c r="P38" s="78"/>
      <c r="Q38" s="78"/>
      <c r="R38" s="78"/>
      <c r="S38" s="78"/>
      <c r="T38" s="78"/>
      <c r="U38" s="175"/>
      <c r="V38" s="175"/>
      <c r="W38" s="175"/>
      <c r="X38" s="175"/>
      <c r="Y38" s="175"/>
      <c r="Z38" s="175"/>
      <c r="AA38" s="175"/>
      <c r="AB38" s="175"/>
      <c r="AC38" s="175"/>
      <c r="AD38" s="175"/>
      <c r="AE38" s="175"/>
      <c r="AF38" s="175"/>
      <c r="AG38" s="78"/>
      <c r="AH38" s="78"/>
      <c r="AI38" s="78"/>
      <c r="AJ38" s="78"/>
      <c r="AK38" s="78"/>
      <c r="AL38" s="78"/>
      <c r="AM38" s="78"/>
      <c r="AN38" s="78"/>
      <c r="AO38" s="78"/>
      <c r="AP38" s="78"/>
      <c r="AQ38" s="78"/>
      <c r="AR38" s="78"/>
      <c r="AS38" s="91"/>
      <c r="AT38" s="78"/>
      <c r="AU38" s="78"/>
      <c r="AV38" s="78"/>
      <c r="AW38" s="78"/>
      <c r="AX38" s="78"/>
      <c r="AY38" s="78"/>
      <c r="BE38" s="91"/>
      <c r="BF38" s="78"/>
      <c r="BG38" s="93"/>
      <c r="BH38" s="166"/>
      <c r="BI38" s="78"/>
      <c r="BJ38" s="78"/>
      <c r="BK38" s="78"/>
      <c r="BL38" s="78"/>
      <c r="BM38" s="78"/>
      <c r="BN38" s="78"/>
      <c r="BO38" s="78"/>
      <c r="BP38" s="78"/>
      <c r="BQ38" s="93"/>
      <c r="BR38" s="178">
        <v>1310</v>
      </c>
      <c r="BS38" s="307">
        <f>BR38/DataUK1!B38</f>
        <v>1.1581280508212353</v>
      </c>
      <c r="BT38" s="78"/>
      <c r="BU38" s="78"/>
      <c r="BV38" s="78"/>
      <c r="BW38" s="93"/>
      <c r="BX38" s="166"/>
      <c r="BZ38" s="78"/>
      <c r="CA38" s="78"/>
      <c r="CB38" s="991"/>
      <c r="CC38" s="78"/>
      <c r="CG38" s="979"/>
      <c r="CH38" s="1126"/>
      <c r="CK38" s="979"/>
      <c r="CL38" s="975">
        <v>2.92</v>
      </c>
      <c r="CM38" s="975">
        <v>0.72</v>
      </c>
      <c r="CN38" s="308">
        <f>1000*CL38/DataUK1!CD38</f>
        <v>2.5863923369902189</v>
      </c>
      <c r="CO38" s="976"/>
      <c r="CP38" s="979"/>
      <c r="CQ38" s="1285">
        <f t="shared" si="2"/>
        <v>74.5</v>
      </c>
      <c r="CR38" s="1292">
        <v>20</v>
      </c>
      <c r="CS38" s="981">
        <f t="shared" si="3"/>
        <v>27.8</v>
      </c>
      <c r="CT38" s="1030">
        <v>26.7</v>
      </c>
      <c r="CU38" s="1273">
        <f t="shared" si="1"/>
        <v>74.5</v>
      </c>
      <c r="CV38" s="959">
        <v>26.9</v>
      </c>
      <c r="CW38" s="2607">
        <v>33</v>
      </c>
      <c r="CX38" s="2607"/>
      <c r="CY38" s="1030">
        <v>14.6</v>
      </c>
    </row>
    <row r="39" spans="1:103" s="598" customFormat="1" ht="12" customHeight="1">
      <c r="A39" s="78">
        <f t="shared" si="0"/>
        <v>1881</v>
      </c>
      <c r="B39" s="91"/>
      <c r="C39" s="91"/>
      <c r="D39" s="78"/>
      <c r="E39" s="78"/>
      <c r="F39" s="78"/>
      <c r="G39" s="78"/>
      <c r="H39" s="78"/>
      <c r="I39" s="78"/>
      <c r="J39" s="78"/>
      <c r="K39" s="78"/>
      <c r="L39" s="78"/>
      <c r="M39" s="78"/>
      <c r="N39" s="78"/>
      <c r="O39" s="78"/>
      <c r="P39" s="78"/>
      <c r="Q39" s="78"/>
      <c r="R39" s="78"/>
      <c r="S39" s="78"/>
      <c r="T39" s="78"/>
      <c r="U39" s="175"/>
      <c r="V39" s="175"/>
      <c r="W39" s="175"/>
      <c r="X39" s="175"/>
      <c r="Y39" s="175"/>
      <c r="Z39" s="175"/>
      <c r="AA39" s="175"/>
      <c r="AB39" s="175"/>
      <c r="AC39" s="175"/>
      <c r="AD39" s="175"/>
      <c r="AE39" s="175"/>
      <c r="AF39" s="175"/>
      <c r="AG39" s="78"/>
      <c r="AH39" s="78"/>
      <c r="AI39" s="78"/>
      <c r="AJ39" s="78"/>
      <c r="AK39" s="78"/>
      <c r="AL39" s="78"/>
      <c r="AM39" s="78"/>
      <c r="AN39" s="78"/>
      <c r="AO39" s="78"/>
      <c r="AP39" s="78"/>
      <c r="AQ39" s="78"/>
      <c r="AR39" s="78"/>
      <c r="AS39" s="91"/>
      <c r="AT39" s="78"/>
      <c r="AU39" s="78"/>
      <c r="AV39" s="78"/>
      <c r="AW39" s="78"/>
      <c r="AX39" s="78"/>
      <c r="AY39" s="78"/>
      <c r="BE39" s="91"/>
      <c r="BF39" s="78"/>
      <c r="BG39" s="93"/>
      <c r="BH39" s="166"/>
      <c r="BI39" s="78"/>
      <c r="BJ39" s="78"/>
      <c r="BK39" s="78"/>
      <c r="BL39" s="78"/>
      <c r="BM39" s="78"/>
      <c r="BN39" s="78"/>
      <c r="BO39" s="78"/>
      <c r="BP39" s="78"/>
      <c r="BQ39" s="93"/>
      <c r="BR39" s="1139">
        <f>BR38+DataUK1!FI38</f>
        <v>1345</v>
      </c>
      <c r="BS39" s="308">
        <f>BR39/DataUK1!B39</f>
        <v>1.1471683583795378</v>
      </c>
      <c r="BT39" s="78"/>
      <c r="BU39" s="78"/>
      <c r="BV39" s="78"/>
      <c r="BW39" s="93"/>
      <c r="BX39" s="166"/>
      <c r="BZ39" s="78"/>
      <c r="CA39" s="78"/>
      <c r="CB39" s="991"/>
      <c r="CC39" s="78"/>
      <c r="CG39" s="979"/>
      <c r="CH39" s="1126"/>
      <c r="CK39" s="979"/>
      <c r="CL39" s="975">
        <v>2.86</v>
      </c>
      <c r="CM39" s="975">
        <v>0.71</v>
      </c>
      <c r="CN39" s="308">
        <f>1000*CL39/DataUK1!CD39</f>
        <v>2.4431891404269943</v>
      </c>
      <c r="CO39" s="976"/>
      <c r="CP39" s="979"/>
      <c r="CQ39" s="1285">
        <f t="shared" si="2"/>
        <v>72.599999999999994</v>
      </c>
      <c r="CR39" s="1292">
        <v>20</v>
      </c>
      <c r="CS39" s="981">
        <f t="shared" si="3"/>
        <v>29.099999999999994</v>
      </c>
      <c r="CT39" s="1030">
        <v>23.5</v>
      </c>
      <c r="CU39" s="1273">
        <f t="shared" si="1"/>
        <v>72.599999999999994</v>
      </c>
      <c r="CV39" s="959">
        <v>26.3</v>
      </c>
      <c r="CW39" s="2607">
        <v>31.7</v>
      </c>
      <c r="CX39" s="2607"/>
      <c r="CY39" s="1030">
        <v>14.6</v>
      </c>
    </row>
    <row r="40" spans="1:103" s="598" customFormat="1" ht="12" customHeight="1">
      <c r="A40" s="78">
        <f t="shared" si="0"/>
        <v>1882</v>
      </c>
      <c r="B40" s="91"/>
      <c r="C40" s="91"/>
      <c r="D40" s="78"/>
      <c r="E40" s="78"/>
      <c r="F40" s="78"/>
      <c r="G40" s="78"/>
      <c r="H40" s="78"/>
      <c r="I40" s="78"/>
      <c r="J40" s="78"/>
      <c r="K40" s="78"/>
      <c r="L40" s="78"/>
      <c r="M40" s="78"/>
      <c r="N40" s="78"/>
      <c r="O40" s="78"/>
      <c r="P40" s="78"/>
      <c r="Q40" s="78"/>
      <c r="R40" s="78"/>
      <c r="S40" s="78"/>
      <c r="T40" s="78"/>
      <c r="U40" s="175"/>
      <c r="V40" s="175"/>
      <c r="W40" s="175"/>
      <c r="X40" s="175"/>
      <c r="Y40" s="175"/>
      <c r="Z40" s="175"/>
      <c r="AA40" s="175"/>
      <c r="AB40" s="175"/>
      <c r="AC40" s="175"/>
      <c r="AD40" s="175"/>
      <c r="AE40" s="175"/>
      <c r="AF40" s="175"/>
      <c r="AG40" s="78"/>
      <c r="AH40" s="78"/>
      <c r="AI40" s="78"/>
      <c r="AJ40" s="78"/>
      <c r="AK40" s="78"/>
      <c r="AL40" s="78"/>
      <c r="AM40" s="78"/>
      <c r="AN40" s="78"/>
      <c r="AO40" s="78"/>
      <c r="AP40" s="78"/>
      <c r="AQ40" s="78"/>
      <c r="AR40" s="78"/>
      <c r="AS40" s="91"/>
      <c r="AT40" s="78"/>
      <c r="AU40" s="78"/>
      <c r="AV40" s="78"/>
      <c r="AW40" s="78"/>
      <c r="AX40" s="78"/>
      <c r="AY40" s="78"/>
      <c r="BE40" s="91"/>
      <c r="BF40" s="78"/>
      <c r="BG40" s="93"/>
      <c r="BH40" s="166"/>
      <c r="BI40" s="78"/>
      <c r="BJ40" s="78"/>
      <c r="BK40" s="78"/>
      <c r="BL40" s="78"/>
      <c r="BM40" s="78"/>
      <c r="BN40" s="78"/>
      <c r="BO40" s="78"/>
      <c r="BP40" s="78"/>
      <c r="BQ40" s="93"/>
      <c r="BR40" s="1139">
        <f>BR39+DataUK1!FI39</f>
        <v>1407</v>
      </c>
      <c r="BS40" s="308">
        <f>BR40/DataUK1!B40</f>
        <v>1.1588190376236736</v>
      </c>
      <c r="BT40" s="78"/>
      <c r="BU40" s="78"/>
      <c r="BV40" s="78"/>
      <c r="BW40" s="93"/>
      <c r="BX40" s="166"/>
      <c r="BZ40" s="78"/>
      <c r="CA40" s="78"/>
      <c r="CB40" s="991"/>
      <c r="CC40" s="78"/>
      <c r="CG40" s="979"/>
      <c r="CH40" s="1126"/>
      <c r="CK40" s="979"/>
      <c r="CL40" s="975">
        <v>2.91</v>
      </c>
      <c r="CM40" s="975">
        <v>0.72</v>
      </c>
      <c r="CN40" s="308">
        <f>1000*CL40/DataUK1!CD40</f>
        <v>2.4004412003855791</v>
      </c>
      <c r="CO40" s="976"/>
      <c r="CP40" s="979"/>
      <c r="CQ40" s="1285">
        <f t="shared" si="2"/>
        <v>70.099999999999994</v>
      </c>
      <c r="CR40" s="1292">
        <v>20</v>
      </c>
      <c r="CS40" s="981">
        <f t="shared" si="3"/>
        <v>29.099999999999994</v>
      </c>
      <c r="CT40" s="1030">
        <v>21</v>
      </c>
      <c r="CU40" s="1273">
        <f t="shared" si="1"/>
        <v>70.099999999999994</v>
      </c>
      <c r="CV40" s="959">
        <v>26</v>
      </c>
      <c r="CW40" s="2607">
        <v>29.5</v>
      </c>
      <c r="CX40" s="2607"/>
      <c r="CY40" s="1030">
        <v>14.6</v>
      </c>
    </row>
    <row r="41" spans="1:103" s="598" customFormat="1" ht="12" customHeight="1">
      <c r="A41" s="78">
        <f t="shared" si="0"/>
        <v>1883</v>
      </c>
      <c r="B41" s="91"/>
      <c r="C41" s="91"/>
      <c r="D41" s="78"/>
      <c r="E41" s="78"/>
      <c r="F41" s="78"/>
      <c r="G41" s="78"/>
      <c r="H41" s="78"/>
      <c r="I41" s="78"/>
      <c r="J41" s="78"/>
      <c r="K41" s="78"/>
      <c r="L41" s="78"/>
      <c r="M41" s="78"/>
      <c r="N41" s="78"/>
      <c r="O41" s="78"/>
      <c r="P41" s="78"/>
      <c r="Q41" s="78"/>
      <c r="R41" s="78"/>
      <c r="S41" s="78"/>
      <c r="T41" s="78"/>
      <c r="U41" s="175"/>
      <c r="V41" s="175"/>
      <c r="W41" s="175"/>
      <c r="X41" s="175"/>
      <c r="Y41" s="175"/>
      <c r="Z41" s="175"/>
      <c r="AA41" s="175"/>
      <c r="AB41" s="175"/>
      <c r="AC41" s="175"/>
      <c r="AD41" s="175"/>
      <c r="AE41" s="175"/>
      <c r="AF41" s="175"/>
      <c r="AG41" s="78"/>
      <c r="AH41" s="78"/>
      <c r="AI41" s="78"/>
      <c r="AJ41" s="78"/>
      <c r="AK41" s="78"/>
      <c r="AL41" s="78"/>
      <c r="AM41" s="78"/>
      <c r="AN41" s="78"/>
      <c r="AO41" s="78"/>
      <c r="AP41" s="78"/>
      <c r="AQ41" s="78"/>
      <c r="AR41" s="78"/>
      <c r="AS41" s="91"/>
      <c r="AT41" s="78"/>
      <c r="AU41" s="78"/>
      <c r="AV41" s="78"/>
      <c r="AW41" s="78"/>
      <c r="AX41" s="78"/>
      <c r="AY41" s="78"/>
      <c r="BE41" s="91"/>
      <c r="BF41" s="78"/>
      <c r="BG41" s="93"/>
      <c r="BH41" s="166"/>
      <c r="BI41" s="78"/>
      <c r="BJ41" s="78"/>
      <c r="BK41" s="78"/>
      <c r="BL41" s="78"/>
      <c r="BM41" s="78"/>
      <c r="BN41" s="78"/>
      <c r="BO41" s="78"/>
      <c r="BP41" s="78"/>
      <c r="BQ41" s="93"/>
      <c r="BR41" s="1139">
        <f>BR40+DataUK1!FI40</f>
        <v>1470</v>
      </c>
      <c r="BS41" s="308">
        <f>BR41/DataUK1!B41</f>
        <v>1.2251735662552197</v>
      </c>
      <c r="BT41" s="78"/>
      <c r="BU41" s="78"/>
      <c r="BV41" s="78"/>
      <c r="BW41" s="93"/>
      <c r="BX41" s="166"/>
      <c r="BZ41" s="78"/>
      <c r="CA41" s="78"/>
      <c r="CB41" s="991"/>
      <c r="CC41" s="78"/>
      <c r="CG41" s="979"/>
      <c r="CH41" s="1126"/>
      <c r="CK41" s="979"/>
      <c r="CL41" s="975">
        <v>2.89</v>
      </c>
      <c r="CM41" s="975">
        <v>0.71</v>
      </c>
      <c r="CN41" s="308">
        <f>1000*CL41/DataUK1!CD41</f>
        <v>2.4130387589132138</v>
      </c>
      <c r="CO41" s="976"/>
      <c r="CP41" s="979"/>
      <c r="CQ41" s="1285">
        <f t="shared" si="2"/>
        <v>70</v>
      </c>
      <c r="CR41" s="1292">
        <v>20</v>
      </c>
      <c r="CS41" s="981">
        <f t="shared" si="3"/>
        <v>28.7</v>
      </c>
      <c r="CT41" s="1030">
        <v>21.3</v>
      </c>
      <c r="CU41" s="1273">
        <f t="shared" si="1"/>
        <v>70</v>
      </c>
      <c r="CV41" s="959">
        <v>25.6</v>
      </c>
      <c r="CW41" s="2607">
        <v>29.8</v>
      </c>
      <c r="CX41" s="2607"/>
      <c r="CY41" s="1030">
        <v>14.6</v>
      </c>
    </row>
    <row r="42" spans="1:103" s="598" customFormat="1" ht="12" customHeight="1">
      <c r="A42" s="78">
        <f t="shared" si="0"/>
        <v>1884</v>
      </c>
      <c r="B42" s="91"/>
      <c r="C42" s="91"/>
      <c r="D42" s="78"/>
      <c r="E42" s="78"/>
      <c r="F42" s="78"/>
      <c r="G42" s="78"/>
      <c r="H42" s="78"/>
      <c r="I42" s="78"/>
      <c r="J42" s="78"/>
      <c r="K42" s="78"/>
      <c r="L42" s="78"/>
      <c r="M42" s="78"/>
      <c r="N42" s="78"/>
      <c r="O42" s="78"/>
      <c r="P42" s="78"/>
      <c r="Q42" s="78"/>
      <c r="R42" s="78"/>
      <c r="S42" s="78"/>
      <c r="T42" s="78"/>
      <c r="U42" s="175"/>
      <c r="V42" s="175"/>
      <c r="W42" s="175"/>
      <c r="X42" s="175"/>
      <c r="Y42" s="175"/>
      <c r="Z42" s="175"/>
      <c r="AA42" s="175"/>
      <c r="AB42" s="175"/>
      <c r="AC42" s="175"/>
      <c r="AD42" s="175"/>
      <c r="AE42" s="175"/>
      <c r="AF42" s="175"/>
      <c r="AG42" s="78"/>
      <c r="AH42" s="78"/>
      <c r="AI42" s="78"/>
      <c r="AJ42" s="78"/>
      <c r="AK42" s="78"/>
      <c r="AL42" s="78"/>
      <c r="AM42" s="78"/>
      <c r="AN42" s="78"/>
      <c r="AO42" s="78"/>
      <c r="AP42" s="78"/>
      <c r="AQ42" s="78"/>
      <c r="AR42" s="78"/>
      <c r="AS42" s="91"/>
      <c r="AT42" s="78"/>
      <c r="AU42" s="78"/>
      <c r="AV42" s="78"/>
      <c r="AW42" s="78"/>
      <c r="AX42" s="78"/>
      <c r="AY42" s="78"/>
      <c r="BE42" s="91"/>
      <c r="BF42" s="78"/>
      <c r="BG42" s="93"/>
      <c r="BH42" s="166"/>
      <c r="BI42" s="78"/>
      <c r="BJ42" s="78"/>
      <c r="BK42" s="78"/>
      <c r="BL42" s="78"/>
      <c r="BM42" s="78"/>
      <c r="BN42" s="78"/>
      <c r="BO42" s="78"/>
      <c r="BP42" s="78"/>
      <c r="BQ42" s="93"/>
      <c r="BR42" s="1139">
        <f>BR41+DataUK1!FI41</f>
        <v>1522</v>
      </c>
      <c r="BS42" s="308">
        <f>BR42/DataUK1!B42</f>
        <v>1.299832610255184</v>
      </c>
      <c r="BT42" s="78"/>
      <c r="BU42" s="78"/>
      <c r="BV42" s="78"/>
      <c r="BW42" s="93"/>
      <c r="BX42" s="166"/>
      <c r="BZ42" s="78"/>
      <c r="CA42" s="78"/>
      <c r="CB42" s="991"/>
      <c r="CC42" s="78"/>
      <c r="CG42" s="979"/>
      <c r="CH42" s="1126"/>
      <c r="CK42" s="979"/>
      <c r="CL42" s="975">
        <v>2.81</v>
      </c>
      <c r="CM42" s="975">
        <v>0.69</v>
      </c>
      <c r="CN42" s="308">
        <f>1000*CL42/DataUK1!CD42</f>
        <v>2.4040353572858528</v>
      </c>
      <c r="CO42" s="976"/>
      <c r="CP42" s="979"/>
      <c r="CQ42" s="1285">
        <f t="shared" si="2"/>
        <v>71.3</v>
      </c>
      <c r="CR42" s="1292">
        <v>20</v>
      </c>
      <c r="CS42" s="981">
        <f t="shared" si="3"/>
        <v>29.299999999999997</v>
      </c>
      <c r="CT42" s="1030">
        <v>22</v>
      </c>
      <c r="CU42" s="1273">
        <f t="shared" si="1"/>
        <v>71.3</v>
      </c>
      <c r="CV42" s="959">
        <v>25.4</v>
      </c>
      <c r="CW42" s="2607">
        <v>31.3</v>
      </c>
      <c r="CX42" s="2607"/>
      <c r="CY42" s="1030">
        <v>14.6</v>
      </c>
    </row>
    <row r="43" spans="1:103" s="598" customFormat="1" ht="12" customHeight="1">
      <c r="A43" s="78">
        <f t="shared" si="0"/>
        <v>1885</v>
      </c>
      <c r="B43" s="91"/>
      <c r="C43" s="91"/>
      <c r="D43" s="78"/>
      <c r="E43" s="78"/>
      <c r="F43" s="78"/>
      <c r="G43" s="78"/>
      <c r="H43" s="78"/>
      <c r="I43" s="78"/>
      <c r="J43" s="78"/>
      <c r="K43" s="78"/>
      <c r="L43" s="78"/>
      <c r="M43" s="78"/>
      <c r="N43" s="78"/>
      <c r="O43" s="78"/>
      <c r="P43" s="78"/>
      <c r="Q43" s="78"/>
      <c r="R43" s="78"/>
      <c r="S43" s="78"/>
      <c r="T43" s="78"/>
      <c r="U43" s="175"/>
      <c r="V43" s="175"/>
      <c r="W43" s="175"/>
      <c r="X43" s="175"/>
      <c r="Y43" s="175"/>
      <c r="Z43" s="175"/>
      <c r="AA43" s="175"/>
      <c r="AB43" s="175"/>
      <c r="AC43" s="175"/>
      <c r="AD43" s="175"/>
      <c r="AE43" s="175"/>
      <c r="AF43" s="175"/>
      <c r="AG43" s="78"/>
      <c r="AH43" s="78"/>
      <c r="AI43" s="78"/>
      <c r="AJ43" s="78"/>
      <c r="AK43" s="78"/>
      <c r="AL43" s="78"/>
      <c r="AM43" s="78"/>
      <c r="AN43" s="78"/>
      <c r="AO43" s="78"/>
      <c r="AP43" s="78"/>
      <c r="AQ43" s="78"/>
      <c r="AR43" s="78"/>
      <c r="AS43" s="91"/>
      <c r="AT43" s="78"/>
      <c r="AU43" s="78"/>
      <c r="AV43" s="78"/>
      <c r="AW43" s="78"/>
      <c r="AX43" s="78"/>
      <c r="AY43" s="78"/>
      <c r="BE43" s="91"/>
      <c r="BF43" s="78"/>
      <c r="BG43" s="93"/>
      <c r="BH43" s="166"/>
      <c r="BI43" s="78"/>
      <c r="BJ43" s="78"/>
      <c r="BK43" s="78"/>
      <c r="BL43" s="78"/>
      <c r="BM43" s="78"/>
      <c r="BN43" s="78"/>
      <c r="BO43" s="78"/>
      <c r="BP43" s="78"/>
      <c r="BQ43" s="93"/>
      <c r="BR43" s="1139">
        <f>BR42+DataUK1!FI42</f>
        <v>1594</v>
      </c>
      <c r="BS43" s="308">
        <f>BR43/DataUK1!B43</f>
        <v>1.38113032854761</v>
      </c>
      <c r="BT43" s="78"/>
      <c r="BU43" s="78"/>
      <c r="BV43" s="78"/>
      <c r="BW43" s="93"/>
      <c r="BX43" s="166"/>
      <c r="BZ43" s="78"/>
      <c r="CA43" s="78"/>
      <c r="CB43" s="991"/>
      <c r="CC43" s="78"/>
      <c r="CG43" s="979"/>
      <c r="CH43" s="1126"/>
      <c r="CK43" s="979"/>
      <c r="CL43" s="975">
        <v>2.77</v>
      </c>
      <c r="CM43" s="975">
        <v>0.69</v>
      </c>
      <c r="CN43" s="308">
        <f>1000*CL43/DataUK1!CD43</f>
        <v>2.4040857803595492</v>
      </c>
      <c r="CO43" s="976"/>
      <c r="CP43" s="979"/>
      <c r="CQ43" s="1285">
        <f t="shared" si="2"/>
        <v>72.8</v>
      </c>
      <c r="CR43" s="1292">
        <v>20</v>
      </c>
      <c r="CS43" s="981">
        <f t="shared" si="3"/>
        <v>29.799999999999997</v>
      </c>
      <c r="CT43" s="1030">
        <v>23</v>
      </c>
      <c r="CU43" s="1273">
        <f t="shared" si="1"/>
        <v>72.8</v>
      </c>
      <c r="CV43" s="959">
        <v>24.7</v>
      </c>
      <c r="CW43" s="2607">
        <v>33.5</v>
      </c>
      <c r="CX43" s="2607"/>
      <c r="CY43" s="1030">
        <v>14.6</v>
      </c>
    </row>
    <row r="44" spans="1:103" s="598" customFormat="1" ht="12" customHeight="1">
      <c r="A44" s="78">
        <f t="shared" si="0"/>
        <v>1886</v>
      </c>
      <c r="B44" s="91"/>
      <c r="C44" s="91"/>
      <c r="D44" s="78"/>
      <c r="E44" s="78"/>
      <c r="F44" s="78"/>
      <c r="G44" s="78"/>
      <c r="H44" s="78"/>
      <c r="I44" s="78"/>
      <c r="J44" s="78"/>
      <c r="K44" s="78"/>
      <c r="L44" s="78"/>
      <c r="M44" s="78"/>
      <c r="N44" s="78"/>
      <c r="O44" s="78"/>
      <c r="P44" s="78"/>
      <c r="Q44" s="78"/>
      <c r="R44" s="78"/>
      <c r="S44" s="78"/>
      <c r="T44" s="78"/>
      <c r="U44" s="175"/>
      <c r="V44" s="175"/>
      <c r="W44" s="175"/>
      <c r="X44" s="175"/>
      <c r="Y44" s="175"/>
      <c r="Z44" s="175"/>
      <c r="AA44" s="175"/>
      <c r="AB44" s="175"/>
      <c r="AC44" s="175"/>
      <c r="AD44" s="175"/>
      <c r="AE44" s="175"/>
      <c r="AF44" s="175"/>
      <c r="AG44" s="78"/>
      <c r="AH44" s="78"/>
      <c r="AI44" s="78"/>
      <c r="AJ44" s="78"/>
      <c r="AK44" s="78"/>
      <c r="AL44" s="78"/>
      <c r="AM44" s="78"/>
      <c r="AN44" s="78"/>
      <c r="AO44" s="78"/>
      <c r="AP44" s="78"/>
      <c r="AQ44" s="78"/>
      <c r="AR44" s="78"/>
      <c r="AS44" s="91"/>
      <c r="AT44" s="78"/>
      <c r="AU44" s="78"/>
      <c r="AV44" s="78"/>
      <c r="AW44" s="78"/>
      <c r="AX44" s="78"/>
      <c r="AY44" s="78"/>
      <c r="BE44" s="91"/>
      <c r="BF44" s="78"/>
      <c r="BG44" s="93"/>
      <c r="BH44" s="166"/>
      <c r="BI44" s="78"/>
      <c r="BJ44" s="78"/>
      <c r="BK44" s="78"/>
      <c r="BL44" s="78"/>
      <c r="BM44" s="78"/>
      <c r="BN44" s="78"/>
      <c r="BO44" s="78"/>
      <c r="BP44" s="78"/>
      <c r="BQ44" s="93"/>
      <c r="BR44" s="1139">
        <f>BR43+DataUK1!FI43</f>
        <v>1657</v>
      </c>
      <c r="BS44" s="308">
        <f>BR44/DataUK1!B44</f>
        <v>1.407240024871472</v>
      </c>
      <c r="BT44" s="78"/>
      <c r="BU44" s="78"/>
      <c r="BV44" s="78"/>
      <c r="BW44" s="93"/>
      <c r="BX44" s="166"/>
      <c r="BZ44" s="78"/>
      <c r="CA44" s="78"/>
      <c r="CB44" s="991"/>
      <c r="CC44" s="78"/>
      <c r="CG44" s="979"/>
      <c r="CH44" s="1126"/>
      <c r="CK44" s="979"/>
      <c r="CL44" s="975">
        <v>2.69</v>
      </c>
      <c r="CM44" s="975">
        <v>0.68</v>
      </c>
      <c r="CN44" s="308">
        <f>1000*CL44/DataUK1!CD44</f>
        <v>2.2880431216539039</v>
      </c>
      <c r="CO44" s="976"/>
      <c r="CP44" s="979"/>
      <c r="CQ44" s="1285">
        <f t="shared" si="2"/>
        <v>68.5</v>
      </c>
      <c r="CR44" s="1292">
        <v>20</v>
      </c>
      <c r="CS44" s="981">
        <f t="shared" si="3"/>
        <v>28.7</v>
      </c>
      <c r="CT44" s="1030">
        <v>19.8</v>
      </c>
      <c r="CU44" s="1273">
        <f t="shared" si="1"/>
        <v>68.5</v>
      </c>
      <c r="CV44" s="959">
        <v>24.7</v>
      </c>
      <c r="CW44" s="2607">
        <v>29.2</v>
      </c>
      <c r="CX44" s="2607"/>
      <c r="CY44" s="1030">
        <v>14.6</v>
      </c>
    </row>
    <row r="45" spans="1:103" s="598" customFormat="1" ht="12" customHeight="1">
      <c r="A45" s="78">
        <f t="shared" si="0"/>
        <v>1887</v>
      </c>
      <c r="B45" s="91"/>
      <c r="C45" s="91"/>
      <c r="D45" s="78"/>
      <c r="E45" s="78"/>
      <c r="F45" s="78"/>
      <c r="G45" s="78"/>
      <c r="H45" s="78"/>
      <c r="I45" s="78"/>
      <c r="J45" s="78"/>
      <c r="K45" s="78"/>
      <c r="L45" s="78"/>
      <c r="M45" s="78"/>
      <c r="N45" s="78"/>
      <c r="O45" s="78"/>
      <c r="P45" s="78"/>
      <c r="Q45" s="78"/>
      <c r="R45" s="78"/>
      <c r="S45" s="78"/>
      <c r="T45" s="78"/>
      <c r="U45" s="175"/>
      <c r="V45" s="175"/>
      <c r="W45" s="175"/>
      <c r="X45" s="175"/>
      <c r="Y45" s="175"/>
      <c r="Z45" s="175"/>
      <c r="AA45" s="175"/>
      <c r="AB45" s="175"/>
      <c r="AC45" s="175"/>
      <c r="AD45" s="175"/>
      <c r="AE45" s="175"/>
      <c r="AF45" s="175"/>
      <c r="AG45" s="78"/>
      <c r="AH45" s="78"/>
      <c r="AI45" s="78"/>
      <c r="AJ45" s="78"/>
      <c r="AK45" s="78"/>
      <c r="AL45" s="78"/>
      <c r="AM45" s="78"/>
      <c r="AN45" s="78"/>
      <c r="AO45" s="78"/>
      <c r="AP45" s="78"/>
      <c r="AQ45" s="78"/>
      <c r="AR45" s="78"/>
      <c r="AS45" s="91"/>
      <c r="AT45" s="78"/>
      <c r="AU45" s="78"/>
      <c r="AV45" s="78"/>
      <c r="AW45" s="78"/>
      <c r="AX45" s="78"/>
      <c r="AY45" s="78"/>
      <c r="BE45" s="91"/>
      <c r="BF45" s="78"/>
      <c r="BG45" s="93"/>
      <c r="BH45" s="166"/>
      <c r="BI45" s="78"/>
      <c r="BJ45" s="78"/>
      <c r="BK45" s="78"/>
      <c r="BL45" s="78"/>
      <c r="BM45" s="78"/>
      <c r="BN45" s="78"/>
      <c r="BO45" s="78"/>
      <c r="BP45" s="78"/>
      <c r="BQ45" s="93"/>
      <c r="BR45" s="1139">
        <f>BR44+DataUK1!FI44</f>
        <v>1736</v>
      </c>
      <c r="BS45" s="308">
        <f>BR45/DataUK1!B45</f>
        <v>1.4191263240809457</v>
      </c>
      <c r="BT45" s="78"/>
      <c r="BU45" s="78"/>
      <c r="BV45" s="78"/>
      <c r="BW45" s="93"/>
      <c r="BX45" s="166"/>
      <c r="BZ45" s="78"/>
      <c r="CA45" s="78"/>
      <c r="CB45" s="991"/>
      <c r="CC45" s="78"/>
      <c r="CG45" s="979"/>
      <c r="CH45" s="1126"/>
      <c r="CK45" s="979"/>
      <c r="CL45" s="975">
        <v>2.66</v>
      </c>
      <c r="CM45" s="975">
        <v>0.68</v>
      </c>
      <c r="CN45" s="308">
        <f>1000*CL45/DataUK1!CD45</f>
        <v>2.1779591470073294</v>
      </c>
      <c r="CO45" s="976"/>
      <c r="CP45" s="979"/>
      <c r="CQ45" s="1285">
        <f t="shared" si="2"/>
        <v>68.399999999999991</v>
      </c>
      <c r="CR45" s="1292">
        <v>20</v>
      </c>
      <c r="CS45" s="981">
        <f t="shared" si="3"/>
        <v>27.899999999999991</v>
      </c>
      <c r="CT45" s="1030">
        <v>20.5</v>
      </c>
      <c r="CU45" s="1273">
        <f t="shared" si="1"/>
        <v>68.399999999999991</v>
      </c>
      <c r="CV45" s="959">
        <v>24.4</v>
      </c>
      <c r="CW45" s="2607">
        <v>29.4</v>
      </c>
      <c r="CX45" s="2607"/>
      <c r="CY45" s="1030">
        <v>14.6</v>
      </c>
    </row>
    <row r="46" spans="1:103" s="598" customFormat="1" ht="12" customHeight="1">
      <c r="A46" s="78">
        <f t="shared" si="0"/>
        <v>1888</v>
      </c>
      <c r="B46" s="91"/>
      <c r="C46" s="91"/>
      <c r="D46" s="78"/>
      <c r="E46" s="78"/>
      <c r="F46" s="78"/>
      <c r="G46" s="78"/>
      <c r="H46" s="78"/>
      <c r="I46" s="78"/>
      <c r="J46" s="78"/>
      <c r="K46" s="78"/>
      <c r="L46" s="78"/>
      <c r="M46" s="78"/>
      <c r="N46" s="78"/>
      <c r="O46" s="78"/>
      <c r="P46" s="78"/>
      <c r="Q46" s="78"/>
      <c r="R46" s="78"/>
      <c r="S46" s="78"/>
      <c r="T46" s="78"/>
      <c r="U46" s="175"/>
      <c r="V46" s="175"/>
      <c r="W46" s="175"/>
      <c r="X46" s="175"/>
      <c r="Y46" s="175"/>
      <c r="Z46" s="175"/>
      <c r="AA46" s="175"/>
      <c r="AB46" s="175"/>
      <c r="AC46" s="175"/>
      <c r="AD46" s="175"/>
      <c r="AE46" s="175"/>
      <c r="AF46" s="175"/>
      <c r="AG46" s="78"/>
      <c r="AH46" s="78"/>
      <c r="AI46" s="78"/>
      <c r="AJ46" s="78"/>
      <c r="AK46" s="78"/>
      <c r="AL46" s="78"/>
      <c r="AM46" s="78"/>
      <c r="AN46" s="78"/>
      <c r="AO46" s="78"/>
      <c r="AP46" s="78"/>
      <c r="AQ46" s="78"/>
      <c r="AR46" s="78"/>
      <c r="AS46" s="91"/>
      <c r="AT46" s="78"/>
      <c r="AU46" s="78"/>
      <c r="AV46" s="78"/>
      <c r="AW46" s="78"/>
      <c r="AX46" s="78"/>
      <c r="AY46" s="78"/>
      <c r="BE46" s="91"/>
      <c r="BF46" s="78"/>
      <c r="BG46" s="93"/>
      <c r="BH46" s="166"/>
      <c r="BI46" s="78"/>
      <c r="BJ46" s="78"/>
      <c r="BK46" s="78"/>
      <c r="BL46" s="78"/>
      <c r="BM46" s="78"/>
      <c r="BN46" s="78"/>
      <c r="BO46" s="78"/>
      <c r="BP46" s="78"/>
      <c r="BQ46" s="93"/>
      <c r="BR46" s="1139">
        <f>BR45+DataUK1!FI45</f>
        <v>1826</v>
      </c>
      <c r="BS46" s="308">
        <f>BR46/DataUK1!B46</f>
        <v>1.4026047276184852</v>
      </c>
      <c r="BT46" s="78"/>
      <c r="BU46" s="78"/>
      <c r="BV46" s="78"/>
      <c r="BW46" s="93"/>
      <c r="BX46" s="166"/>
      <c r="BZ46" s="78"/>
      <c r="CA46" s="78"/>
      <c r="CB46" s="991"/>
      <c r="CC46" s="78"/>
      <c r="CG46" s="979"/>
      <c r="CH46" s="1126"/>
      <c r="CK46" s="979"/>
      <c r="CL46" s="975">
        <v>2.67</v>
      </c>
      <c r="CM46" s="975">
        <v>0.68</v>
      </c>
      <c r="CN46" s="308">
        <f>1000*CL46/DataUK1!CD46</f>
        <v>2.0536746381620876</v>
      </c>
      <c r="CO46" s="976"/>
      <c r="CP46" s="979"/>
      <c r="CQ46" s="1285">
        <f t="shared" si="2"/>
        <v>69.899999999999991</v>
      </c>
      <c r="CR46" s="1292">
        <v>20</v>
      </c>
      <c r="CS46" s="981">
        <f t="shared" si="3"/>
        <v>30.499999999999993</v>
      </c>
      <c r="CT46" s="1030">
        <v>19.399999999999999</v>
      </c>
      <c r="CU46" s="1273">
        <f t="shared" si="1"/>
        <v>69.899999999999991</v>
      </c>
      <c r="CV46" s="959">
        <v>24.3</v>
      </c>
      <c r="CW46" s="2607">
        <v>31</v>
      </c>
      <c r="CX46" s="2607"/>
      <c r="CY46" s="1030">
        <v>14.6</v>
      </c>
    </row>
    <row r="47" spans="1:103" s="598" customFormat="1" ht="12" customHeight="1">
      <c r="A47" s="78">
        <f t="shared" si="0"/>
        <v>1889</v>
      </c>
      <c r="B47" s="91"/>
      <c r="C47" s="91"/>
      <c r="D47" s="78"/>
      <c r="E47" s="78"/>
      <c r="F47" s="78"/>
      <c r="G47" s="78"/>
      <c r="H47" s="78"/>
      <c r="I47" s="78"/>
      <c r="J47" s="78"/>
      <c r="K47" s="78"/>
      <c r="L47" s="78"/>
      <c r="M47" s="78"/>
      <c r="N47" s="78"/>
      <c r="O47" s="78"/>
      <c r="P47" s="78"/>
      <c r="Q47" s="78"/>
      <c r="R47" s="78"/>
      <c r="S47" s="78"/>
      <c r="T47" s="78"/>
      <c r="U47" s="175"/>
      <c r="V47" s="175"/>
      <c r="W47" s="175"/>
      <c r="X47" s="175"/>
      <c r="Y47" s="175"/>
      <c r="Z47" s="175"/>
      <c r="AA47" s="175"/>
      <c r="AB47" s="175"/>
      <c r="AC47" s="175"/>
      <c r="AD47" s="175"/>
      <c r="AE47" s="175"/>
      <c r="AF47" s="175"/>
      <c r="AG47" s="78"/>
      <c r="AH47" s="78"/>
      <c r="AI47" s="78"/>
      <c r="AJ47" s="78"/>
      <c r="AK47" s="78"/>
      <c r="AL47" s="78"/>
      <c r="AM47" s="78"/>
      <c r="AN47" s="78"/>
      <c r="AO47" s="78"/>
      <c r="AP47" s="78"/>
      <c r="AQ47" s="78"/>
      <c r="AR47" s="78"/>
      <c r="AS47" s="91"/>
      <c r="AT47" s="78"/>
      <c r="AU47" s="78"/>
      <c r="AV47" s="78"/>
      <c r="AW47" s="78"/>
      <c r="AX47" s="78"/>
      <c r="AY47" s="78"/>
      <c r="BE47" s="91"/>
      <c r="BF47" s="78"/>
      <c r="BG47" s="93"/>
      <c r="BH47" s="166"/>
      <c r="BI47" s="78"/>
      <c r="BJ47" s="78"/>
      <c r="BK47" s="78"/>
      <c r="BL47" s="78"/>
      <c r="BM47" s="78"/>
      <c r="BN47" s="78"/>
      <c r="BO47" s="78"/>
      <c r="BP47" s="78"/>
      <c r="BQ47" s="93"/>
      <c r="BR47" s="1139">
        <f>BR46+DataUK1!FI46</f>
        <v>1919</v>
      </c>
      <c r="BS47" s="308">
        <f>BR47/DataUK1!B47</f>
        <v>1.3810325719302792</v>
      </c>
      <c r="BT47" s="78"/>
      <c r="BU47" s="78"/>
      <c r="BV47" s="78"/>
      <c r="BW47" s="93"/>
      <c r="BX47" s="166"/>
      <c r="BZ47" s="78"/>
      <c r="CA47" s="78"/>
      <c r="CB47" s="991"/>
      <c r="CC47" s="78"/>
      <c r="CG47" s="979"/>
      <c r="CH47" s="1126"/>
      <c r="CK47" s="979"/>
      <c r="CL47" s="975">
        <v>2.8</v>
      </c>
      <c r="CM47" s="975">
        <v>0.71</v>
      </c>
      <c r="CN47" s="308">
        <f>1000*CL47/DataUK1!CD47</f>
        <v>2.0150553420556445</v>
      </c>
      <c r="CO47" s="976"/>
      <c r="CP47" s="979"/>
      <c r="CQ47" s="1285">
        <f t="shared" si="2"/>
        <v>71.5</v>
      </c>
      <c r="CR47" s="1292">
        <v>20</v>
      </c>
      <c r="CS47" s="981">
        <f t="shared" si="3"/>
        <v>31</v>
      </c>
      <c r="CT47" s="1030">
        <v>20.5</v>
      </c>
      <c r="CU47" s="1273">
        <f t="shared" si="1"/>
        <v>71.5</v>
      </c>
      <c r="CV47" s="959">
        <v>24.4</v>
      </c>
      <c r="CW47" s="2607">
        <v>32.5</v>
      </c>
      <c r="CX47" s="2607"/>
      <c r="CY47" s="1030">
        <v>14.6</v>
      </c>
    </row>
    <row r="48" spans="1:103" s="598" customFormat="1" ht="12" customHeight="1">
      <c r="A48" s="78">
        <f t="shared" si="0"/>
        <v>1890</v>
      </c>
      <c r="B48" s="91"/>
      <c r="C48" s="91"/>
      <c r="D48" s="78"/>
      <c r="E48" s="78"/>
      <c r="F48" s="78"/>
      <c r="G48" s="78"/>
      <c r="H48" s="78"/>
      <c r="I48" s="78"/>
      <c r="J48" s="78"/>
      <c r="K48" s="78"/>
      <c r="L48" s="78"/>
      <c r="M48" s="78"/>
      <c r="N48" s="78"/>
      <c r="O48" s="78"/>
      <c r="P48" s="78"/>
      <c r="Q48" s="78"/>
      <c r="R48" s="78"/>
      <c r="S48" s="78"/>
      <c r="T48" s="78"/>
      <c r="U48" s="175"/>
      <c r="V48" s="175"/>
      <c r="W48" s="175"/>
      <c r="X48" s="175"/>
      <c r="Y48" s="175"/>
      <c r="Z48" s="175"/>
      <c r="AA48" s="175"/>
      <c r="AB48" s="175"/>
      <c r="AC48" s="175"/>
      <c r="AD48" s="175"/>
      <c r="AE48" s="175"/>
      <c r="AF48" s="175"/>
      <c r="AG48" s="78"/>
      <c r="AH48" s="78"/>
      <c r="AI48" s="78"/>
      <c r="AJ48" s="78"/>
      <c r="AK48" s="78"/>
      <c r="AL48" s="78"/>
      <c r="AM48" s="78"/>
      <c r="AN48" s="78"/>
      <c r="AO48" s="78"/>
      <c r="AP48" s="78"/>
      <c r="AQ48" s="78"/>
      <c r="AR48" s="78"/>
      <c r="AS48" s="91"/>
      <c r="AT48" s="78"/>
      <c r="AU48" s="78"/>
      <c r="AV48" s="78"/>
      <c r="AW48" s="78"/>
      <c r="AX48" s="78"/>
      <c r="AY48" s="78"/>
      <c r="BE48" s="91"/>
      <c r="BF48" s="78"/>
      <c r="BG48" s="93"/>
      <c r="BH48" s="166"/>
      <c r="BI48" s="78"/>
      <c r="BJ48" s="78"/>
      <c r="BK48" s="78"/>
      <c r="BL48" s="78"/>
      <c r="BM48" s="78"/>
      <c r="BN48" s="78"/>
      <c r="BO48" s="78"/>
      <c r="BP48" s="78"/>
      <c r="BQ48" s="93"/>
      <c r="BR48" s="178">
        <v>2060</v>
      </c>
      <c r="BS48" s="307">
        <f>BR48/DataUK1!B48</f>
        <v>1.449683321604504</v>
      </c>
      <c r="BT48" s="78"/>
      <c r="BU48" s="78"/>
      <c r="BV48" s="78"/>
      <c r="BW48" s="93"/>
      <c r="BX48" s="166"/>
      <c r="BZ48" s="78"/>
      <c r="CA48" s="78"/>
      <c r="CB48" s="991"/>
      <c r="CC48" s="78"/>
      <c r="CG48" s="979"/>
      <c r="CH48" s="1126"/>
      <c r="CK48" s="979"/>
      <c r="CL48" s="975">
        <v>2.95</v>
      </c>
      <c r="CM48" s="975">
        <v>0.74</v>
      </c>
      <c r="CN48" s="308">
        <f>1000*CL48/DataUK1!CD48</f>
        <v>2.0760028149190712</v>
      </c>
      <c r="CO48" s="976"/>
      <c r="CP48" s="979"/>
      <c r="CQ48" s="1285">
        <f t="shared" si="2"/>
        <v>72.599999999999994</v>
      </c>
      <c r="CR48" s="1292">
        <v>20</v>
      </c>
      <c r="CS48" s="981">
        <f t="shared" si="3"/>
        <v>31.799999999999994</v>
      </c>
      <c r="CT48" s="1030">
        <v>20.8</v>
      </c>
      <c r="CU48" s="1273">
        <f t="shared" si="1"/>
        <v>72.599999999999994</v>
      </c>
      <c r="CV48" s="959">
        <v>24.6</v>
      </c>
      <c r="CW48" s="2607">
        <v>33.4</v>
      </c>
      <c r="CX48" s="2607"/>
      <c r="CY48" s="1030">
        <v>14.6</v>
      </c>
    </row>
    <row r="49" spans="1:103" s="598" customFormat="1" ht="12" customHeight="1">
      <c r="A49" s="78">
        <f t="shared" si="0"/>
        <v>1891</v>
      </c>
      <c r="B49" s="91"/>
      <c r="C49" s="91"/>
      <c r="D49" s="78"/>
      <c r="E49" s="78"/>
      <c r="F49" s="78"/>
      <c r="G49" s="78"/>
      <c r="H49" s="78"/>
      <c r="I49" s="78"/>
      <c r="J49" s="78"/>
      <c r="K49" s="78"/>
      <c r="L49" s="78"/>
      <c r="M49" s="78"/>
      <c r="N49" s="78"/>
      <c r="O49" s="78"/>
      <c r="P49" s="78"/>
      <c r="Q49" s="78"/>
      <c r="R49" s="78"/>
      <c r="S49" s="78"/>
      <c r="T49" s="78"/>
      <c r="U49" s="175"/>
      <c r="V49" s="175"/>
      <c r="W49" s="175"/>
      <c r="X49" s="175"/>
      <c r="Y49" s="175"/>
      <c r="Z49" s="175"/>
      <c r="AA49" s="175"/>
      <c r="AB49" s="175"/>
      <c r="AC49" s="175"/>
      <c r="AD49" s="175"/>
      <c r="AE49" s="175"/>
      <c r="AF49" s="175"/>
      <c r="AG49" s="78"/>
      <c r="AH49" s="78"/>
      <c r="AI49" s="78"/>
      <c r="AJ49" s="78"/>
      <c r="AK49" s="78"/>
      <c r="AL49" s="78"/>
      <c r="AM49" s="78"/>
      <c r="AN49" s="78"/>
      <c r="AO49" s="78"/>
      <c r="AP49" s="78"/>
      <c r="AQ49" s="78"/>
      <c r="AR49" s="78"/>
      <c r="AS49" s="91"/>
      <c r="AT49" s="78"/>
      <c r="AU49" s="78"/>
      <c r="AV49" s="78"/>
      <c r="AW49" s="78"/>
      <c r="AX49" s="78"/>
      <c r="AY49" s="78"/>
      <c r="BE49" s="91"/>
      <c r="BF49" s="78"/>
      <c r="BG49" s="93"/>
      <c r="BH49" s="166"/>
      <c r="BI49" s="78"/>
      <c r="BJ49" s="78"/>
      <c r="BK49" s="78"/>
      <c r="BL49" s="78"/>
      <c r="BM49" s="78"/>
      <c r="BN49" s="78"/>
      <c r="BO49" s="78"/>
      <c r="BP49" s="78"/>
      <c r="BQ49" s="93"/>
      <c r="BR49" s="1139">
        <f>BR48+DataUK1!FI48</f>
        <v>2168</v>
      </c>
      <c r="BS49" s="308">
        <f>BR49/DataUK1!B49</f>
        <v>1.5563531945441493</v>
      </c>
      <c r="BT49" s="78"/>
      <c r="BU49" s="78"/>
      <c r="BV49" s="78"/>
      <c r="BW49" s="93"/>
      <c r="BX49" s="166"/>
      <c r="BZ49" s="78"/>
      <c r="CA49" s="78"/>
      <c r="CB49" s="991"/>
      <c r="CC49" s="78"/>
      <c r="CG49" s="979"/>
      <c r="CH49" s="1126"/>
      <c r="CK49" s="979"/>
      <c r="CL49" s="975">
        <v>2.89</v>
      </c>
      <c r="CM49" s="975">
        <v>0.73</v>
      </c>
      <c r="CN49" s="308">
        <f>1000*CL49/DataUK1!CD49</f>
        <v>2.059871703492516</v>
      </c>
      <c r="CO49" s="976"/>
      <c r="CP49" s="979"/>
      <c r="CQ49" s="1285">
        <f t="shared" si="2"/>
        <v>77.7</v>
      </c>
      <c r="CR49" s="1292">
        <v>20</v>
      </c>
      <c r="CS49" s="981">
        <f t="shared" si="3"/>
        <v>34.300000000000004</v>
      </c>
      <c r="CT49" s="1030">
        <v>23.4</v>
      </c>
      <c r="CU49" s="1273">
        <f t="shared" si="1"/>
        <v>77.7</v>
      </c>
      <c r="CV49" s="959">
        <v>25.1</v>
      </c>
      <c r="CW49" s="2607">
        <v>38</v>
      </c>
      <c r="CX49" s="2607"/>
      <c r="CY49" s="1030">
        <v>14.6</v>
      </c>
    </row>
    <row r="50" spans="1:103" s="598" customFormat="1" ht="12" customHeight="1">
      <c r="A50" s="78">
        <f t="shared" si="0"/>
        <v>1892</v>
      </c>
      <c r="B50" s="91"/>
      <c r="C50" s="91"/>
      <c r="D50" s="78"/>
      <c r="E50" s="78"/>
      <c r="F50" s="78"/>
      <c r="G50" s="78"/>
      <c r="H50" s="78"/>
      <c r="I50" s="78"/>
      <c r="J50" s="78"/>
      <c r="K50" s="78"/>
      <c r="L50" s="78"/>
      <c r="M50" s="78"/>
      <c r="N50" s="78"/>
      <c r="O50" s="78"/>
      <c r="P50" s="78"/>
      <c r="Q50" s="78"/>
      <c r="R50" s="78"/>
      <c r="S50" s="78"/>
      <c r="T50" s="78"/>
      <c r="U50" s="175"/>
      <c r="V50" s="175"/>
      <c r="W50" s="175"/>
      <c r="X50" s="175"/>
      <c r="Y50" s="175"/>
      <c r="Z50" s="175"/>
      <c r="AA50" s="175"/>
      <c r="AB50" s="175"/>
      <c r="AC50" s="175"/>
      <c r="AD50" s="175"/>
      <c r="AE50" s="175"/>
      <c r="AF50" s="175"/>
      <c r="AG50" s="78"/>
      <c r="AH50" s="78"/>
      <c r="AI50" s="78"/>
      <c r="AJ50" s="78"/>
      <c r="AK50" s="78"/>
      <c r="AL50" s="78"/>
      <c r="AM50" s="78"/>
      <c r="AN50" s="78"/>
      <c r="AO50" s="78"/>
      <c r="AP50" s="78"/>
      <c r="AQ50" s="78"/>
      <c r="AR50" s="78"/>
      <c r="AS50" s="91"/>
      <c r="AT50" s="78"/>
      <c r="AU50" s="78"/>
      <c r="AV50" s="78"/>
      <c r="AW50" s="78"/>
      <c r="AX50" s="78"/>
      <c r="AY50" s="78"/>
      <c r="BE50" s="91"/>
      <c r="BF50" s="78"/>
      <c r="BG50" s="93"/>
      <c r="BH50" s="166"/>
      <c r="BI50" s="78"/>
      <c r="BJ50" s="78"/>
      <c r="BK50" s="78"/>
      <c r="BL50" s="78"/>
      <c r="BM50" s="78"/>
      <c r="BN50" s="78"/>
      <c r="BO50" s="78"/>
      <c r="BP50" s="78"/>
      <c r="BQ50" s="93"/>
      <c r="BR50" s="1139">
        <f>BR49+DataUK1!FI49</f>
        <v>2241</v>
      </c>
      <c r="BS50" s="308">
        <f>BR50/DataUK1!B50</f>
        <v>1.6417582417582417</v>
      </c>
      <c r="BT50" s="78"/>
      <c r="BU50" s="78"/>
      <c r="BV50" s="78"/>
      <c r="BW50" s="93"/>
      <c r="BX50" s="166"/>
      <c r="BZ50" s="78"/>
      <c r="CA50" s="78"/>
      <c r="CB50" s="991"/>
      <c r="CC50" s="78"/>
      <c r="CG50" s="979"/>
      <c r="CH50" s="1126"/>
      <c r="CK50" s="979"/>
      <c r="CL50" s="975">
        <v>2.87</v>
      </c>
      <c r="CM50" s="975">
        <v>0.73</v>
      </c>
      <c r="CN50" s="308">
        <f>1000*CL50/DataUK1!CD50</f>
        <v>2.1025641025641026</v>
      </c>
      <c r="CO50" s="976"/>
      <c r="CP50" s="979"/>
      <c r="CQ50" s="1285">
        <f t="shared" si="2"/>
        <v>76.7</v>
      </c>
      <c r="CR50" s="1292">
        <v>20</v>
      </c>
      <c r="CS50" s="981">
        <f t="shared" si="3"/>
        <v>32.400000000000006</v>
      </c>
      <c r="CT50" s="1030">
        <v>24.3</v>
      </c>
      <c r="CU50" s="1273">
        <f t="shared" si="1"/>
        <v>76.7</v>
      </c>
      <c r="CV50" s="959">
        <v>25.9</v>
      </c>
      <c r="CW50" s="2607">
        <v>36.200000000000003</v>
      </c>
      <c r="CX50" s="2607"/>
      <c r="CY50" s="1030">
        <v>14.6</v>
      </c>
    </row>
    <row r="51" spans="1:103" s="598" customFormat="1" ht="12" customHeight="1">
      <c r="A51" s="78">
        <f t="shared" si="0"/>
        <v>1893</v>
      </c>
      <c r="B51" s="91"/>
      <c r="C51" s="91"/>
      <c r="D51" s="78"/>
      <c r="E51" s="78"/>
      <c r="F51" s="78"/>
      <c r="G51" s="78"/>
      <c r="H51" s="78"/>
      <c r="I51" s="78"/>
      <c r="J51" s="78"/>
      <c r="K51" s="78"/>
      <c r="L51" s="78"/>
      <c r="M51" s="78"/>
      <c r="N51" s="78"/>
      <c r="O51" s="78"/>
      <c r="P51" s="78"/>
      <c r="Q51" s="78"/>
      <c r="R51" s="78"/>
      <c r="S51" s="78"/>
      <c r="T51" s="78"/>
      <c r="U51" s="175"/>
      <c r="V51" s="175"/>
      <c r="W51" s="175"/>
      <c r="X51" s="175"/>
      <c r="Y51" s="175"/>
      <c r="Z51" s="175"/>
      <c r="AA51" s="175"/>
      <c r="AB51" s="175"/>
      <c r="AC51" s="175"/>
      <c r="AD51" s="175"/>
      <c r="AE51" s="175"/>
      <c r="AF51" s="175"/>
      <c r="AG51" s="78"/>
      <c r="AH51" s="78"/>
      <c r="AI51" s="78"/>
      <c r="AJ51" s="78"/>
      <c r="AK51" s="78"/>
      <c r="AL51" s="78"/>
      <c r="AM51" s="78"/>
      <c r="AN51" s="78"/>
      <c r="AO51" s="78"/>
      <c r="AP51" s="78"/>
      <c r="AQ51" s="78"/>
      <c r="AR51" s="78"/>
      <c r="AS51" s="91"/>
      <c r="AT51" s="78"/>
      <c r="AU51" s="78"/>
      <c r="AV51" s="78"/>
      <c r="AW51" s="78"/>
      <c r="AX51" s="78"/>
      <c r="AY51" s="78"/>
      <c r="BE51" s="91"/>
      <c r="BF51" s="78"/>
      <c r="BG51" s="93"/>
      <c r="BH51" s="166"/>
      <c r="BI51" s="78"/>
      <c r="BJ51" s="78"/>
      <c r="BK51" s="78"/>
      <c r="BL51" s="78"/>
      <c r="BM51" s="78"/>
      <c r="BN51" s="78"/>
      <c r="BO51" s="78"/>
      <c r="BP51" s="78"/>
      <c r="BQ51" s="93"/>
      <c r="BR51" s="1139">
        <f>BR50+DataUK1!FI50</f>
        <v>2305</v>
      </c>
      <c r="BS51" s="308">
        <f>BR51/DataUK1!B51</f>
        <v>1.6800291545189505</v>
      </c>
      <c r="BT51" s="78"/>
      <c r="BU51" s="78"/>
      <c r="BV51" s="78"/>
      <c r="BW51" s="93"/>
      <c r="BX51" s="166"/>
      <c r="BZ51" s="78"/>
      <c r="CA51" s="78"/>
      <c r="CB51" s="991"/>
      <c r="CC51" s="78"/>
      <c r="CG51" s="979"/>
      <c r="CH51" s="1126"/>
      <c r="CK51" s="979"/>
      <c r="CL51" s="975">
        <v>2.82</v>
      </c>
      <c r="CM51" s="975">
        <v>0.72</v>
      </c>
      <c r="CN51" s="308">
        <f>1000*CL51/DataUK1!CD51</f>
        <v>2.055393586005831</v>
      </c>
      <c r="CO51" s="976"/>
      <c r="CP51" s="979"/>
      <c r="CQ51" s="1285">
        <f t="shared" si="2"/>
        <v>76.5</v>
      </c>
      <c r="CR51" s="1292">
        <v>20</v>
      </c>
      <c r="CS51" s="981">
        <f t="shared" si="3"/>
        <v>31.9</v>
      </c>
      <c r="CT51" s="1030">
        <v>24.6</v>
      </c>
      <c r="CU51" s="1273">
        <f t="shared" si="1"/>
        <v>76.5</v>
      </c>
      <c r="CV51" s="959">
        <v>25.9</v>
      </c>
      <c r="CW51" s="2607">
        <v>36</v>
      </c>
      <c r="CX51" s="2607"/>
      <c r="CY51" s="1030">
        <v>14.6</v>
      </c>
    </row>
    <row r="52" spans="1:103" s="598" customFormat="1" ht="12" customHeight="1">
      <c r="A52" s="78">
        <f t="shared" si="0"/>
        <v>1894</v>
      </c>
      <c r="B52" s="91"/>
      <c r="C52" s="91"/>
      <c r="D52" s="78"/>
      <c r="E52" s="78"/>
      <c r="F52" s="78"/>
      <c r="G52" s="78"/>
      <c r="H52" s="78"/>
      <c r="I52" s="78"/>
      <c r="J52" s="78"/>
      <c r="K52" s="78"/>
      <c r="L52" s="78"/>
      <c r="M52" s="78"/>
      <c r="N52" s="78"/>
      <c r="O52" s="78"/>
      <c r="P52" s="78"/>
      <c r="Q52" s="78"/>
      <c r="R52" s="78"/>
      <c r="S52" s="78"/>
      <c r="T52" s="78"/>
      <c r="U52" s="175"/>
      <c r="V52" s="175"/>
      <c r="W52" s="175"/>
      <c r="X52" s="175"/>
      <c r="Y52" s="175"/>
      <c r="Z52" s="175"/>
      <c r="AA52" s="175"/>
      <c r="AB52" s="175"/>
      <c r="AC52" s="175"/>
      <c r="AD52" s="175"/>
      <c r="AE52" s="175"/>
      <c r="AF52" s="175"/>
      <c r="AG52" s="78"/>
      <c r="AH52" s="78"/>
      <c r="AI52" s="78"/>
      <c r="AJ52" s="78"/>
      <c r="AK52" s="78"/>
      <c r="AL52" s="78"/>
      <c r="AM52" s="78"/>
      <c r="AN52" s="78"/>
      <c r="AO52" s="78"/>
      <c r="AP52" s="78"/>
      <c r="AQ52" s="78"/>
      <c r="AR52" s="78"/>
      <c r="AS52" s="91"/>
      <c r="AT52" s="78"/>
      <c r="AU52" s="78"/>
      <c r="AV52" s="78"/>
      <c r="AW52" s="78"/>
      <c r="AX52" s="78"/>
      <c r="AY52" s="78"/>
      <c r="BE52" s="91"/>
      <c r="BF52" s="78"/>
      <c r="BG52" s="93"/>
      <c r="BH52" s="166"/>
      <c r="BI52" s="78"/>
      <c r="BJ52" s="78"/>
      <c r="BK52" s="78"/>
      <c r="BL52" s="78"/>
      <c r="BM52" s="78"/>
      <c r="BN52" s="78"/>
      <c r="BO52" s="78"/>
      <c r="BP52" s="78"/>
      <c r="BQ52" s="93"/>
      <c r="BR52" s="1139">
        <f>BR51+DataUK1!FI51</f>
        <v>2363</v>
      </c>
      <c r="BS52" s="308">
        <f>BR52/DataUK1!B52</f>
        <v>1.6140710382513661</v>
      </c>
      <c r="BT52" s="78"/>
      <c r="BU52" s="78"/>
      <c r="BV52" s="78"/>
      <c r="BW52" s="93"/>
      <c r="BX52" s="166"/>
      <c r="BZ52" s="78"/>
      <c r="CA52" s="78"/>
      <c r="CB52" s="991"/>
      <c r="CC52" s="78"/>
      <c r="CG52" s="979"/>
      <c r="CH52" s="1126"/>
      <c r="CK52" s="979"/>
      <c r="CL52" s="975">
        <v>2.83</v>
      </c>
      <c r="CM52" s="975">
        <v>0.72</v>
      </c>
      <c r="CN52" s="308">
        <f>1000*CL52/DataUK1!CD52</f>
        <v>1.9330601092896176</v>
      </c>
      <c r="CO52" s="976"/>
      <c r="CP52" s="979"/>
      <c r="CQ52" s="1285">
        <f t="shared" si="2"/>
        <v>80.5</v>
      </c>
      <c r="CR52" s="1292">
        <v>20</v>
      </c>
      <c r="CS52" s="981">
        <f t="shared" si="3"/>
        <v>28.6</v>
      </c>
      <c r="CT52" s="1030">
        <v>31.9</v>
      </c>
      <c r="CU52" s="1273">
        <f t="shared" si="1"/>
        <v>80.5</v>
      </c>
      <c r="CV52" s="959">
        <v>25.3</v>
      </c>
      <c r="CW52" s="2607">
        <v>40.6</v>
      </c>
      <c r="CX52" s="2607"/>
      <c r="CY52" s="1030">
        <v>14.6</v>
      </c>
    </row>
    <row r="53" spans="1:103" s="598" customFormat="1" ht="12" customHeight="1">
      <c r="A53" s="78">
        <f t="shared" si="0"/>
        <v>1895</v>
      </c>
      <c r="B53" s="91"/>
      <c r="C53" s="91"/>
      <c r="D53" s="78"/>
      <c r="E53" s="78"/>
      <c r="F53" s="78"/>
      <c r="G53" s="78"/>
      <c r="H53" s="78"/>
      <c r="I53" s="78"/>
      <c r="J53" s="78"/>
      <c r="K53" s="78"/>
      <c r="L53" s="78"/>
      <c r="M53" s="78"/>
      <c r="N53" s="78"/>
      <c r="O53" s="78"/>
      <c r="P53" s="78"/>
      <c r="Q53" s="78"/>
      <c r="R53" s="78"/>
      <c r="S53" s="78"/>
      <c r="T53" s="78"/>
      <c r="U53" s="175"/>
      <c r="V53" s="175"/>
      <c r="W53" s="175"/>
      <c r="X53" s="175"/>
      <c r="Y53" s="175"/>
      <c r="Z53" s="175"/>
      <c r="AA53" s="175"/>
      <c r="AB53" s="175"/>
      <c r="AC53" s="175"/>
      <c r="AD53" s="175"/>
      <c r="AE53" s="175"/>
      <c r="AF53" s="175"/>
      <c r="AG53" s="78"/>
      <c r="AH53" s="78"/>
      <c r="AI53" s="78"/>
      <c r="AJ53" s="78"/>
      <c r="AK53" s="78"/>
      <c r="AL53" s="78"/>
      <c r="AM53" s="78"/>
      <c r="AN53" s="78"/>
      <c r="AO53" s="78"/>
      <c r="AP53" s="78"/>
      <c r="AQ53" s="78"/>
      <c r="AR53" s="78"/>
      <c r="AS53" s="91"/>
      <c r="AT53" s="78"/>
      <c r="AU53" s="78"/>
      <c r="AV53" s="78"/>
      <c r="AW53" s="78"/>
      <c r="AX53" s="78"/>
      <c r="AY53" s="78"/>
      <c r="BE53" s="91"/>
      <c r="BF53" s="78"/>
      <c r="BG53" s="93"/>
      <c r="BH53" s="166"/>
      <c r="BI53" s="78"/>
      <c r="BJ53" s="78"/>
      <c r="BK53" s="78"/>
      <c r="BL53" s="78"/>
      <c r="BM53" s="78"/>
      <c r="BN53" s="78"/>
      <c r="BO53" s="78"/>
      <c r="BP53" s="78"/>
      <c r="BQ53" s="93"/>
      <c r="BR53" s="1139">
        <f>BR52+DataUK1!FI52</f>
        <v>2413</v>
      </c>
      <c r="BS53" s="308">
        <f>BR53/DataUK1!B53</f>
        <v>1.6065246338215715</v>
      </c>
      <c r="BT53" s="78"/>
      <c r="BU53" s="78"/>
      <c r="BV53" s="78"/>
      <c r="BW53" s="93"/>
      <c r="BX53" s="166"/>
      <c r="BZ53" s="78"/>
      <c r="CA53" s="78"/>
      <c r="CB53" s="991"/>
      <c r="CC53" s="78"/>
      <c r="CG53" s="979"/>
      <c r="CH53" s="1126"/>
      <c r="CK53" s="979"/>
      <c r="CL53" s="975">
        <v>2.83</v>
      </c>
      <c r="CM53" s="975">
        <v>0.72</v>
      </c>
      <c r="CN53" s="308">
        <f>1000*CL53/DataUK1!CD53</f>
        <v>1.8841544607190412</v>
      </c>
      <c r="CO53" s="976"/>
      <c r="CP53" s="979"/>
      <c r="CQ53" s="1285">
        <f t="shared" si="2"/>
        <v>88.6</v>
      </c>
      <c r="CR53" s="1292">
        <v>20</v>
      </c>
      <c r="CS53" s="981">
        <f t="shared" si="3"/>
        <v>32.199999999999996</v>
      </c>
      <c r="CT53" s="1030">
        <v>36.4</v>
      </c>
      <c r="CU53" s="1273">
        <f t="shared" si="1"/>
        <v>88.6</v>
      </c>
      <c r="CV53" s="959">
        <v>25.8</v>
      </c>
      <c r="CW53" s="2607">
        <v>48.2</v>
      </c>
      <c r="CX53" s="2607"/>
      <c r="CY53" s="1030">
        <v>14.6</v>
      </c>
    </row>
    <row r="54" spans="1:103" s="598" customFormat="1" ht="12" customHeight="1">
      <c r="A54" s="577">
        <v>1896</v>
      </c>
      <c r="B54" s="969"/>
      <c r="C54" s="437"/>
      <c r="N54" s="977"/>
      <c r="U54" s="978"/>
      <c r="V54" s="978"/>
      <c r="W54" s="978"/>
      <c r="X54" s="978"/>
      <c r="Y54" s="978"/>
      <c r="Z54" s="978"/>
      <c r="AA54" s="978"/>
      <c r="AB54" s="978"/>
      <c r="AC54" s="978"/>
      <c r="AD54" s="978"/>
      <c r="AE54" s="978"/>
      <c r="AF54" s="978"/>
      <c r="AS54" s="437"/>
      <c r="BE54" s="437"/>
      <c r="BG54" s="979"/>
      <c r="BH54" s="1126"/>
      <c r="BQ54" s="979"/>
      <c r="BR54" s="1139">
        <f>BR53+DataUK1!FI53</f>
        <v>2469</v>
      </c>
      <c r="BS54" s="308">
        <f>BR54/DataUK1!B54</f>
        <v>1.6011673151750974</v>
      </c>
      <c r="BT54" s="977"/>
      <c r="BU54" s="977"/>
      <c r="BV54" s="977"/>
      <c r="BW54" s="980"/>
      <c r="BX54" s="1144"/>
      <c r="CB54" s="991"/>
      <c r="CG54" s="979"/>
      <c r="CH54" s="1126"/>
      <c r="CK54" s="979"/>
      <c r="CL54" s="975">
        <v>2.92</v>
      </c>
      <c r="CM54" s="975">
        <v>0.75</v>
      </c>
      <c r="CN54" s="308">
        <f>1000*CL54/DataUK1!CD54</f>
        <v>1.8936446173800259</v>
      </c>
      <c r="CO54" s="976"/>
      <c r="CP54" s="979"/>
      <c r="CQ54" s="1285">
        <f t="shared" si="2"/>
        <v>100.89999999999999</v>
      </c>
      <c r="CR54" s="1292">
        <v>20</v>
      </c>
      <c r="CS54" s="981">
        <f t="shared" si="3"/>
        <v>38.899999999999991</v>
      </c>
      <c r="CT54" s="1030">
        <v>42</v>
      </c>
      <c r="CU54" s="1273">
        <f t="shared" si="1"/>
        <v>100.89999999999999</v>
      </c>
      <c r="CV54" s="959">
        <v>26.5</v>
      </c>
      <c r="CW54" s="2607">
        <v>59.8</v>
      </c>
      <c r="CX54" s="2607"/>
      <c r="CY54" s="1030">
        <v>14.6</v>
      </c>
    </row>
    <row r="55" spans="1:103" s="598" customFormat="1" ht="12" customHeight="1">
      <c r="A55" s="577">
        <f t="shared" ref="A55:A77" si="4">A54+1</f>
        <v>1897</v>
      </c>
      <c r="B55" s="969"/>
      <c r="C55" s="437"/>
      <c r="N55" s="977"/>
      <c r="U55" s="978"/>
      <c r="V55" s="978"/>
      <c r="W55" s="978"/>
      <c r="X55" s="978"/>
      <c r="Y55" s="978"/>
      <c r="Z55" s="978"/>
      <c r="AA55" s="978"/>
      <c r="AB55" s="978"/>
      <c r="AC55" s="978"/>
      <c r="AD55" s="978"/>
      <c r="AE55" s="978"/>
      <c r="AF55" s="978"/>
      <c r="AS55" s="437"/>
      <c r="BE55" s="437"/>
      <c r="BG55" s="979"/>
      <c r="BH55" s="1126"/>
      <c r="BQ55" s="979"/>
      <c r="BR55" s="1139">
        <f>BR54+DataUK1!FI54</f>
        <v>2520</v>
      </c>
      <c r="BS55" s="308">
        <f>BR55/DataUK1!B55</f>
        <v>1.5809284818067755</v>
      </c>
      <c r="BT55" s="977"/>
      <c r="BU55" s="977"/>
      <c r="BV55" s="977"/>
      <c r="BW55" s="980"/>
      <c r="BX55" s="1144"/>
      <c r="CB55" s="991"/>
      <c r="CG55" s="979"/>
      <c r="CH55" s="1126"/>
      <c r="CK55" s="979"/>
      <c r="CL55" s="975">
        <v>3.04</v>
      </c>
      <c r="CM55" s="975">
        <v>0.79</v>
      </c>
      <c r="CN55" s="308">
        <f>1000*CL55/DataUK1!CD55</f>
        <v>1.9071518193224593</v>
      </c>
      <c r="CO55" s="976"/>
      <c r="CP55" s="979"/>
      <c r="CQ55" s="1285">
        <f t="shared" si="2"/>
        <v>91.6</v>
      </c>
      <c r="CR55" s="1292">
        <v>20</v>
      </c>
      <c r="CS55" s="981">
        <f t="shared" si="3"/>
        <v>38.399999999999991</v>
      </c>
      <c r="CT55" s="1030">
        <v>33.200000000000003</v>
      </c>
      <c r="CU55" s="1273">
        <f t="shared" si="1"/>
        <v>91.6</v>
      </c>
      <c r="CV55" s="959">
        <v>27.2</v>
      </c>
      <c r="CW55" s="2607">
        <v>49.8</v>
      </c>
      <c r="CX55" s="2607"/>
      <c r="CY55" s="1030">
        <v>14.6</v>
      </c>
    </row>
    <row r="56" spans="1:103" s="598" customFormat="1" ht="12" customHeight="1">
      <c r="A56" s="577">
        <f t="shared" si="4"/>
        <v>1898</v>
      </c>
      <c r="B56" s="969"/>
      <c r="C56" s="437"/>
      <c r="N56" s="977"/>
      <c r="U56" s="978"/>
      <c r="V56" s="978"/>
      <c r="W56" s="978"/>
      <c r="X56" s="978"/>
      <c r="Y56" s="978"/>
      <c r="Z56" s="978"/>
      <c r="AA56" s="978"/>
      <c r="AB56" s="978"/>
      <c r="AC56" s="978"/>
      <c r="AD56" s="978"/>
      <c r="AE56" s="978"/>
      <c r="AF56" s="978"/>
      <c r="AS56" s="437"/>
      <c r="BE56" s="437"/>
      <c r="BG56" s="979"/>
      <c r="BH56" s="1126"/>
      <c r="BQ56" s="979"/>
      <c r="BR56" s="1139">
        <f>BR55+DataUK1!FI55</f>
        <v>2562</v>
      </c>
      <c r="BS56" s="308">
        <f>BR56/DataUK1!B56</f>
        <v>1.5268176400476761</v>
      </c>
      <c r="BT56" s="977"/>
      <c r="BU56" s="977"/>
      <c r="BV56" s="977"/>
      <c r="BW56" s="980"/>
      <c r="BX56" s="1144"/>
      <c r="CB56" s="991"/>
      <c r="CG56" s="979"/>
      <c r="CH56" s="1126"/>
      <c r="CK56" s="979"/>
      <c r="CL56" s="975">
        <v>3.26</v>
      </c>
      <c r="CM56" s="975">
        <v>0.85</v>
      </c>
      <c r="CN56" s="308">
        <f>1000*CL56/DataUK1!CD56</f>
        <v>1.9427890345649583</v>
      </c>
      <c r="CO56" s="976"/>
      <c r="CP56" s="979"/>
      <c r="CQ56" s="1285">
        <f t="shared" si="2"/>
        <v>91.699999999999989</v>
      </c>
      <c r="CR56" s="1292">
        <v>20</v>
      </c>
      <c r="CS56" s="981">
        <f t="shared" si="3"/>
        <v>40.499999999999986</v>
      </c>
      <c r="CT56" s="1030">
        <v>31.2</v>
      </c>
      <c r="CU56" s="1273">
        <f t="shared" si="1"/>
        <v>91.699999999999989</v>
      </c>
      <c r="CV56" s="959">
        <v>27.4</v>
      </c>
      <c r="CW56" s="2607">
        <v>49.7</v>
      </c>
      <c r="CX56" s="2607"/>
      <c r="CY56" s="1030">
        <v>14.6</v>
      </c>
    </row>
    <row r="57" spans="1:103" s="598" customFormat="1" ht="12" customHeight="1">
      <c r="A57" s="577">
        <f t="shared" si="4"/>
        <v>1899</v>
      </c>
      <c r="B57" s="969"/>
      <c r="C57" s="437"/>
      <c r="N57" s="977"/>
      <c r="U57" s="978"/>
      <c r="V57" s="978"/>
      <c r="W57" s="978"/>
      <c r="X57" s="978"/>
      <c r="Y57" s="978"/>
      <c r="Z57" s="978"/>
      <c r="AA57" s="978"/>
      <c r="AB57" s="978"/>
      <c r="AC57" s="978"/>
      <c r="AD57" s="978"/>
      <c r="AE57" s="978"/>
      <c r="AF57" s="978"/>
      <c r="AS57" s="437"/>
      <c r="BE57" s="437"/>
      <c r="BG57" s="979"/>
      <c r="BH57" s="1126"/>
      <c r="BQ57" s="979"/>
      <c r="BR57" s="1139">
        <f>BR56+DataUK1!FI56</f>
        <v>2592</v>
      </c>
      <c r="BS57" s="308">
        <f>BR57/DataUK1!B57</f>
        <v>1.464406779661017</v>
      </c>
      <c r="BT57" s="977"/>
      <c r="BU57" s="977"/>
      <c r="BV57" s="977"/>
      <c r="BW57" s="980"/>
      <c r="BX57" s="1144"/>
      <c r="CB57" s="991"/>
      <c r="CG57" s="979"/>
      <c r="CH57" s="1126"/>
      <c r="CK57" s="979"/>
      <c r="CL57" s="975">
        <v>3.55</v>
      </c>
      <c r="CM57" s="975">
        <v>0.92</v>
      </c>
      <c r="CN57" s="308">
        <f>1000*CL57/DataUK1!CD57</f>
        <v>2.0056497175141241</v>
      </c>
      <c r="CO57" s="976"/>
      <c r="CP57" s="979"/>
      <c r="CQ57" s="1285">
        <f t="shared" si="2"/>
        <v>92.1</v>
      </c>
      <c r="CR57" s="1292">
        <v>20</v>
      </c>
      <c r="CS57" s="981">
        <f t="shared" si="3"/>
        <v>41.8</v>
      </c>
      <c r="CT57" s="1030">
        <v>30.3</v>
      </c>
      <c r="CU57" s="1273">
        <f t="shared" si="1"/>
        <v>92.1</v>
      </c>
      <c r="CV57" s="959">
        <v>27.9</v>
      </c>
      <c r="CW57" s="2607">
        <v>49.6</v>
      </c>
      <c r="CX57" s="2607"/>
      <c r="CY57" s="1030">
        <v>14.6</v>
      </c>
    </row>
    <row r="58" spans="1:103" s="598" customFormat="1" ht="12" customHeight="1">
      <c r="A58" s="577">
        <f t="shared" si="4"/>
        <v>1900</v>
      </c>
      <c r="B58" s="969"/>
      <c r="C58" s="437"/>
      <c r="N58" s="977"/>
      <c r="U58" s="978"/>
      <c r="V58" s="978"/>
      <c r="W58" s="978"/>
      <c r="X58" s="978"/>
      <c r="Y58" s="978"/>
      <c r="Z58" s="978"/>
      <c r="AA58" s="978"/>
      <c r="AB58" s="978"/>
      <c r="AC58" s="978"/>
      <c r="AD58" s="978"/>
      <c r="AE58" s="978"/>
      <c r="AF58" s="978"/>
      <c r="AS58" s="437"/>
      <c r="BE58" s="437"/>
      <c r="BG58" s="979"/>
      <c r="BH58" s="1126"/>
      <c r="BQ58" s="979"/>
      <c r="BR58" s="178">
        <v>2560</v>
      </c>
      <c r="BS58" s="307">
        <f>BR58/DataUK1!B58</f>
        <v>1.404278661546901</v>
      </c>
      <c r="BT58" s="977"/>
      <c r="BU58" s="977"/>
      <c r="BV58" s="977"/>
      <c r="BW58" s="980"/>
      <c r="BX58" s="1144"/>
      <c r="CB58" s="991"/>
      <c r="CG58" s="979"/>
      <c r="CH58" s="1126"/>
      <c r="CK58" s="979"/>
      <c r="CL58" s="975">
        <v>3.92</v>
      </c>
      <c r="CM58" s="975">
        <v>0.99</v>
      </c>
      <c r="CN58" s="308">
        <f>1000*CL58/DataUK1!CD58</f>
        <v>2.1503017004936917</v>
      </c>
      <c r="CO58" s="976">
        <v>0.7</v>
      </c>
      <c r="CP58" s="979"/>
      <c r="CQ58" s="1285">
        <f t="shared" si="2"/>
        <v>93.799999999999983</v>
      </c>
      <c r="CR58" s="1292">
        <v>20</v>
      </c>
      <c r="CS58" s="981">
        <f t="shared" si="3"/>
        <v>42.09999999999998</v>
      </c>
      <c r="CT58" s="1030">
        <v>31.7</v>
      </c>
      <c r="CU58" s="1273">
        <f t="shared" si="1"/>
        <v>93.799999999999983</v>
      </c>
      <c r="CV58" s="959">
        <v>29.4</v>
      </c>
      <c r="CW58" s="2607">
        <v>49.8</v>
      </c>
      <c r="CX58" s="2607"/>
      <c r="CY58" s="1030">
        <v>14.6</v>
      </c>
    </row>
    <row r="59" spans="1:103" s="598" customFormat="1" ht="12" customHeight="1">
      <c r="A59" s="577">
        <f t="shared" si="4"/>
        <v>1901</v>
      </c>
      <c r="B59" s="969"/>
      <c r="C59" s="437"/>
      <c r="N59" s="977"/>
      <c r="U59" s="978"/>
      <c r="V59" s="978"/>
      <c r="W59" s="978"/>
      <c r="X59" s="978"/>
      <c r="Y59" s="978"/>
      <c r="Z59" s="978"/>
      <c r="AA59" s="978"/>
      <c r="AB59" s="978"/>
      <c r="AC59" s="978"/>
      <c r="AD59" s="978"/>
      <c r="AE59" s="978"/>
      <c r="AF59" s="978"/>
      <c r="AS59" s="437"/>
      <c r="BE59" s="437"/>
      <c r="BG59" s="979"/>
      <c r="BH59" s="1126"/>
      <c r="BQ59" s="979"/>
      <c r="BR59" s="1139">
        <f>BR58*(DataUK1!HT59/DataUK1!HT58)+DataUK1!FI58</f>
        <v>2596</v>
      </c>
      <c r="BS59" s="308">
        <f>BR59/DataUK1!B59</f>
        <v>1.4390243902439022</v>
      </c>
      <c r="BT59" s="977"/>
      <c r="BU59" s="977"/>
      <c r="BV59" s="977"/>
      <c r="BW59" s="980"/>
      <c r="BX59" s="1144"/>
      <c r="CB59" s="991"/>
      <c r="CG59" s="979"/>
      <c r="CH59" s="1126"/>
      <c r="CK59" s="979"/>
      <c r="CL59" s="975">
        <v>3.83</v>
      </c>
      <c r="CM59" s="975">
        <v>1</v>
      </c>
      <c r="CN59" s="308">
        <f>1000*CL59/DataUK1!CD59</f>
        <v>2.123059866962306</v>
      </c>
      <c r="CO59" s="976"/>
      <c r="CP59" s="979"/>
      <c r="CQ59" s="1285">
        <f t="shared" si="2"/>
        <v>94.6</v>
      </c>
      <c r="CR59" s="1292">
        <v>20</v>
      </c>
      <c r="CS59" s="981">
        <f t="shared" si="3"/>
        <v>40.799999999999997</v>
      </c>
      <c r="CT59" s="1030">
        <v>33.799999999999997</v>
      </c>
      <c r="CU59" s="1273">
        <f t="shared" si="1"/>
        <v>94.6</v>
      </c>
      <c r="CV59" s="959">
        <v>29.6</v>
      </c>
      <c r="CW59" s="2607">
        <v>50.4</v>
      </c>
      <c r="CX59" s="2607"/>
      <c r="CY59" s="1030">
        <v>14.6</v>
      </c>
    </row>
    <row r="60" spans="1:103" s="598" customFormat="1" ht="12" customHeight="1">
      <c r="A60" s="577">
        <f t="shared" si="4"/>
        <v>1902</v>
      </c>
      <c r="B60" s="969"/>
      <c r="C60" s="437"/>
      <c r="N60" s="977"/>
      <c r="U60" s="978"/>
      <c r="V60" s="978"/>
      <c r="W60" s="978"/>
      <c r="X60" s="978"/>
      <c r="Y60" s="978"/>
      <c r="Z60" s="978"/>
      <c r="AA60" s="978"/>
      <c r="AB60" s="978"/>
      <c r="AC60" s="978"/>
      <c r="AD60" s="978"/>
      <c r="AE60" s="978"/>
      <c r="AF60" s="978"/>
      <c r="AS60" s="437"/>
      <c r="BE60" s="437"/>
      <c r="BG60" s="979"/>
      <c r="BH60" s="1126"/>
      <c r="BQ60" s="979"/>
      <c r="BR60" s="1139">
        <f>BR59*(DataUK1!HT60/DataUK1!HT59)+DataUK1!FI59</f>
        <v>2620</v>
      </c>
      <c r="BS60" s="308">
        <f>BR60/DataUK1!B60</f>
        <v>1.4293507910529186</v>
      </c>
      <c r="BT60" s="977"/>
      <c r="BU60" s="977"/>
      <c r="BV60" s="977"/>
      <c r="BW60" s="980"/>
      <c r="BX60" s="1144"/>
      <c r="CB60" s="991"/>
      <c r="CG60" s="979"/>
      <c r="CH60" s="1126"/>
      <c r="CK60" s="979"/>
      <c r="CL60" s="975">
        <v>3.74</v>
      </c>
      <c r="CM60" s="975">
        <v>0.97</v>
      </c>
      <c r="CN60" s="308">
        <f>1000*CL60/DataUK1!CD60</f>
        <v>2.0403709765411895</v>
      </c>
      <c r="CO60" s="976"/>
      <c r="CP60" s="979"/>
      <c r="CQ60" s="1285">
        <f t="shared" si="2"/>
        <v>96</v>
      </c>
      <c r="CR60" s="1292">
        <v>20</v>
      </c>
      <c r="CS60" s="981">
        <f t="shared" si="3"/>
        <v>42.6</v>
      </c>
      <c r="CT60" s="1030">
        <v>33.4</v>
      </c>
      <c r="CU60" s="1273">
        <f t="shared" si="1"/>
        <v>96</v>
      </c>
      <c r="CV60" s="959">
        <v>29.4</v>
      </c>
      <c r="CW60" s="2607">
        <v>52</v>
      </c>
      <c r="CX60" s="2607"/>
      <c r="CY60" s="1030">
        <v>14.6</v>
      </c>
    </row>
    <row r="61" spans="1:103" s="598" customFormat="1" ht="12" customHeight="1">
      <c r="A61" s="577">
        <f t="shared" si="4"/>
        <v>1903</v>
      </c>
      <c r="B61" s="969"/>
      <c r="C61" s="437"/>
      <c r="N61" s="977"/>
      <c r="U61" s="978"/>
      <c r="V61" s="978"/>
      <c r="W61" s="978"/>
      <c r="X61" s="978"/>
      <c r="Y61" s="978"/>
      <c r="Z61" s="978"/>
      <c r="AA61" s="978"/>
      <c r="AB61" s="978"/>
      <c r="AC61" s="978"/>
      <c r="AD61" s="978"/>
      <c r="AE61" s="978"/>
      <c r="AF61" s="978"/>
      <c r="AS61" s="437"/>
      <c r="BE61" s="437"/>
      <c r="BG61" s="979"/>
      <c r="BH61" s="1126"/>
      <c r="BQ61" s="979"/>
      <c r="BR61" s="1139">
        <f>BR60*(DataUK1!HT61/DataUK1!HT60)+DataUK1!FI60</f>
        <v>2680.4782608695655</v>
      </c>
      <c r="BS61" s="308">
        <f>BR61/DataUK1!B61</f>
        <v>1.4833858665575901</v>
      </c>
      <c r="BT61" s="977"/>
      <c r="BU61" s="977"/>
      <c r="BV61" s="977"/>
      <c r="BW61" s="980"/>
      <c r="BX61" s="1144"/>
      <c r="CB61" s="991"/>
      <c r="CG61" s="979"/>
      <c r="CH61" s="1126"/>
      <c r="CK61" s="979"/>
      <c r="CL61" s="975">
        <v>3.8</v>
      </c>
      <c r="CM61" s="975">
        <v>0.97</v>
      </c>
      <c r="CN61" s="308">
        <f>1000*CL61/DataUK1!CD61</f>
        <v>2.1029330381848368</v>
      </c>
      <c r="CO61" s="976"/>
      <c r="CP61" s="979"/>
      <c r="CQ61" s="1285">
        <f t="shared" si="2"/>
        <v>93.6</v>
      </c>
      <c r="CR61" s="1292">
        <v>20</v>
      </c>
      <c r="CS61" s="981">
        <f t="shared" si="3"/>
        <v>41.3</v>
      </c>
      <c r="CT61" s="1030">
        <v>32.299999999999997</v>
      </c>
      <c r="CU61" s="1273">
        <f t="shared" si="1"/>
        <v>93.6</v>
      </c>
      <c r="CV61" s="959">
        <v>28.9</v>
      </c>
      <c r="CW61" s="2607">
        <v>50.1</v>
      </c>
      <c r="CX61" s="2607"/>
      <c r="CY61" s="1030">
        <v>14.6</v>
      </c>
    </row>
    <row r="62" spans="1:103" s="598" customFormat="1" ht="12" customHeight="1">
      <c r="A62" s="577">
        <f t="shared" si="4"/>
        <v>1904</v>
      </c>
      <c r="B62" s="969"/>
      <c r="C62" s="437"/>
      <c r="N62" s="977"/>
      <c r="U62" s="978"/>
      <c r="V62" s="978"/>
      <c r="W62" s="978"/>
      <c r="X62" s="978"/>
      <c r="Y62" s="978"/>
      <c r="Z62" s="978"/>
      <c r="AA62" s="978"/>
      <c r="AB62" s="978"/>
      <c r="AC62" s="978"/>
      <c r="AD62" s="978"/>
      <c r="AE62" s="978"/>
      <c r="AF62" s="978"/>
      <c r="AS62" s="437"/>
      <c r="BE62" s="437"/>
      <c r="BG62" s="979"/>
      <c r="BH62" s="1126"/>
      <c r="BQ62" s="979"/>
      <c r="BR62" s="1139">
        <f>BR61*(DataUK1!HT62/DataUK1!HT61)+DataUK1!FI61</f>
        <v>2728.4782608695655</v>
      </c>
      <c r="BS62" s="308">
        <f>BR62/DataUK1!B62</f>
        <v>1.517507375344586</v>
      </c>
      <c r="BT62" s="977"/>
      <c r="BU62" s="977"/>
      <c r="BV62" s="977"/>
      <c r="BW62" s="980"/>
      <c r="BX62" s="1144"/>
      <c r="CB62" s="991"/>
      <c r="CG62" s="979"/>
      <c r="CH62" s="1126"/>
      <c r="CK62" s="979"/>
      <c r="CL62" s="975">
        <v>3.89</v>
      </c>
      <c r="CM62" s="975">
        <v>0.97</v>
      </c>
      <c r="CN62" s="308">
        <f>1000*CL62/DataUK1!CD62</f>
        <v>2.163515016685206</v>
      </c>
      <c r="CO62" s="976"/>
      <c r="CP62" s="979"/>
      <c r="CQ62" s="1285">
        <f t="shared" si="2"/>
        <v>92.699999999999989</v>
      </c>
      <c r="CR62" s="1292">
        <v>20</v>
      </c>
      <c r="CS62" s="981">
        <f t="shared" si="3"/>
        <v>40.199999999999989</v>
      </c>
      <c r="CT62" s="1030">
        <v>32.5</v>
      </c>
      <c r="CU62" s="1273">
        <f t="shared" si="1"/>
        <v>92.699999999999989</v>
      </c>
      <c r="CV62" s="959">
        <v>28.3</v>
      </c>
      <c r="CW62" s="2607">
        <v>49.8</v>
      </c>
      <c r="CX62" s="2607"/>
      <c r="CY62" s="1030">
        <v>14.6</v>
      </c>
    </row>
    <row r="63" spans="1:103" s="598" customFormat="1" ht="12" customHeight="1">
      <c r="A63" s="577">
        <f t="shared" si="4"/>
        <v>1905</v>
      </c>
      <c r="B63" s="969"/>
      <c r="C63" s="437"/>
      <c r="N63" s="977"/>
      <c r="U63" s="978"/>
      <c r="V63" s="978"/>
      <c r="W63" s="978"/>
      <c r="X63" s="978"/>
      <c r="Y63" s="978"/>
      <c r="Z63" s="978"/>
      <c r="AA63" s="978"/>
      <c r="AB63" s="978"/>
      <c r="AC63" s="978"/>
      <c r="AD63" s="978"/>
      <c r="AE63" s="978"/>
      <c r="AF63" s="978"/>
      <c r="AS63" s="437"/>
      <c r="BE63" s="437"/>
      <c r="BG63" s="979"/>
      <c r="BH63" s="1126"/>
      <c r="BQ63" s="979"/>
      <c r="BR63" s="1139">
        <f>BR62*(DataUK1!HT63/DataUK1!HT62)+DataUK1!FI62</f>
        <v>2782.4782608695655</v>
      </c>
      <c r="BS63" s="308">
        <f>BR63/DataUK1!B63</f>
        <v>1.4824071714808553</v>
      </c>
      <c r="BT63" s="977"/>
      <c r="BU63" s="977"/>
      <c r="BV63" s="977"/>
      <c r="BW63" s="980"/>
      <c r="BX63" s="1144"/>
      <c r="CB63" s="991"/>
      <c r="CG63" s="979"/>
      <c r="CH63" s="1126"/>
      <c r="CK63" s="979"/>
      <c r="CL63" s="975">
        <v>3.89</v>
      </c>
      <c r="CM63" s="975">
        <v>0.98</v>
      </c>
      <c r="CN63" s="308">
        <f>1000*CL63/DataUK1!CD63</f>
        <v>2.0724560468833246</v>
      </c>
      <c r="CO63" s="976"/>
      <c r="CP63" s="979"/>
      <c r="CQ63" s="1285">
        <f t="shared" si="2"/>
        <v>97.6</v>
      </c>
      <c r="CR63" s="1292">
        <v>20</v>
      </c>
      <c r="CS63" s="981">
        <f t="shared" si="3"/>
        <v>43.699999999999996</v>
      </c>
      <c r="CT63" s="1030">
        <v>33.9</v>
      </c>
      <c r="CU63" s="1273">
        <f t="shared" si="1"/>
        <v>97.6</v>
      </c>
      <c r="CV63" s="959">
        <v>28.9</v>
      </c>
      <c r="CW63" s="2607">
        <v>54.1</v>
      </c>
      <c r="CX63" s="2607"/>
      <c r="CY63" s="1030">
        <v>14.6</v>
      </c>
    </row>
    <row r="64" spans="1:103" s="598" customFormat="1" ht="12" customHeight="1">
      <c r="A64" s="577">
        <f t="shared" si="4"/>
        <v>1906</v>
      </c>
      <c r="B64" s="969"/>
      <c r="C64" s="437"/>
      <c r="N64" s="977"/>
      <c r="U64" s="978"/>
      <c r="V64" s="978"/>
      <c r="W64" s="978"/>
      <c r="X64" s="978"/>
      <c r="Y64" s="978"/>
      <c r="Z64" s="978"/>
      <c r="AA64" s="978"/>
      <c r="AB64" s="978"/>
      <c r="AC64" s="978"/>
      <c r="AD64" s="978"/>
      <c r="AE64" s="978"/>
      <c r="AF64" s="978"/>
      <c r="AS64" s="437"/>
      <c r="BE64" s="437"/>
      <c r="BG64" s="979"/>
      <c r="BH64" s="1126"/>
      <c r="BQ64" s="979"/>
      <c r="BR64" s="1139">
        <f>BR63*(DataUK1!HT64/DataUK1!HT63)+DataUK1!FI63</f>
        <v>2873.4782608695655</v>
      </c>
      <c r="BS64" s="308">
        <f>BR64/DataUK1!B64</f>
        <v>1.451251646903821</v>
      </c>
      <c r="BT64" s="977"/>
      <c r="BU64" s="977"/>
      <c r="BV64" s="977"/>
      <c r="BW64" s="980"/>
      <c r="BX64" s="1144"/>
      <c r="CB64" s="991"/>
      <c r="CG64" s="979"/>
      <c r="CH64" s="1126"/>
      <c r="CK64" s="979"/>
      <c r="CL64" s="975">
        <v>4.03</v>
      </c>
      <c r="CM64" s="975">
        <v>1.02</v>
      </c>
      <c r="CN64" s="308">
        <f>1000*CL64/DataUK1!CD64</f>
        <v>2.0353535353535355</v>
      </c>
      <c r="CO64" s="976"/>
      <c r="CP64" s="979"/>
      <c r="CQ64" s="1285">
        <f t="shared" si="2"/>
        <v>97.399999999999991</v>
      </c>
      <c r="CR64" s="1292">
        <v>20</v>
      </c>
      <c r="CS64" s="981">
        <f t="shared" si="3"/>
        <v>44.899999999999991</v>
      </c>
      <c r="CT64" s="1030">
        <v>32.5</v>
      </c>
      <c r="CU64" s="1273">
        <f t="shared" si="1"/>
        <v>97.399999999999991</v>
      </c>
      <c r="CV64" s="959">
        <v>28.9</v>
      </c>
      <c r="CW64" s="2607">
        <v>53.9</v>
      </c>
      <c r="CX64" s="2607"/>
      <c r="CY64" s="1030">
        <v>14.6</v>
      </c>
    </row>
    <row r="65" spans="1:103" s="598" customFormat="1" ht="12" customHeight="1">
      <c r="A65" s="577">
        <f t="shared" si="4"/>
        <v>1907</v>
      </c>
      <c r="B65" s="969"/>
      <c r="C65" s="437"/>
      <c r="N65" s="977"/>
      <c r="U65" s="978"/>
      <c r="V65" s="978"/>
      <c r="W65" s="978"/>
      <c r="X65" s="978"/>
      <c r="Y65" s="978"/>
      <c r="Z65" s="978"/>
      <c r="AA65" s="978"/>
      <c r="AB65" s="978"/>
      <c r="AC65" s="978"/>
      <c r="AD65" s="978"/>
      <c r="AE65" s="978"/>
      <c r="AF65" s="978"/>
      <c r="AS65" s="437"/>
      <c r="BE65" s="437"/>
      <c r="BG65" s="979"/>
      <c r="BH65" s="1126"/>
      <c r="BQ65" s="979"/>
      <c r="BR65" s="1139">
        <f>BR64*(DataUK1!HT65/DataUK1!HT64)+DataUK1!FI64</f>
        <v>3028.3758765778402</v>
      </c>
      <c r="BS65" s="308">
        <f>BR65/DataUK1!B65</f>
        <v>1.458755239199345</v>
      </c>
      <c r="BT65" s="977"/>
      <c r="BU65" s="977"/>
      <c r="BV65" s="977"/>
      <c r="BW65" s="980"/>
      <c r="BX65" s="1144"/>
      <c r="CB65" s="991"/>
      <c r="CG65" s="979"/>
      <c r="CH65" s="1126"/>
      <c r="CK65" s="979"/>
      <c r="CL65" s="975">
        <v>4.22</v>
      </c>
      <c r="CM65" s="975">
        <v>1.08</v>
      </c>
      <c r="CN65" s="308">
        <f>1000*CL65/DataUK1!CD65</f>
        <v>2.0327552986512525</v>
      </c>
      <c r="CO65" s="976"/>
      <c r="CP65" s="979"/>
      <c r="CQ65" s="1285">
        <f t="shared" si="2"/>
        <v>97.199999999999989</v>
      </c>
      <c r="CR65" s="1292">
        <v>20</v>
      </c>
      <c r="CS65" s="981">
        <f t="shared" si="3"/>
        <v>43.599999999999987</v>
      </c>
      <c r="CT65" s="1030">
        <v>33.6</v>
      </c>
      <c r="CU65" s="1273">
        <f t="shared" si="1"/>
        <v>97.199999999999989</v>
      </c>
      <c r="CV65" s="959">
        <v>28.9</v>
      </c>
      <c r="CW65" s="2607">
        <v>53.7</v>
      </c>
      <c r="CX65" s="2607"/>
      <c r="CY65" s="1030">
        <v>14.6</v>
      </c>
    </row>
    <row r="66" spans="1:103" s="598" customFormat="1" ht="12" customHeight="1">
      <c r="A66" s="577">
        <f t="shared" si="4"/>
        <v>1908</v>
      </c>
      <c r="B66" s="969"/>
      <c r="C66" s="437"/>
      <c r="N66" s="977"/>
      <c r="U66" s="978"/>
      <c r="V66" s="978"/>
      <c r="W66" s="978"/>
      <c r="X66" s="978"/>
      <c r="Y66" s="978"/>
      <c r="Z66" s="978"/>
      <c r="AA66" s="978"/>
      <c r="AB66" s="978"/>
      <c r="AC66" s="978"/>
      <c r="AD66" s="978"/>
      <c r="AE66" s="978"/>
      <c r="AF66" s="978"/>
      <c r="AS66" s="437"/>
      <c r="BE66" s="437"/>
      <c r="BG66" s="979"/>
      <c r="BH66" s="1126"/>
      <c r="BQ66" s="979"/>
      <c r="BR66" s="1139">
        <f>BR65*(DataUK1!HT66/DataUK1!HT65)+DataUK1!FI65</f>
        <v>3194.3758765778402</v>
      </c>
      <c r="BS66" s="308">
        <f>BR66/DataUK1!B66</f>
        <v>1.6125067524370722</v>
      </c>
      <c r="BT66" s="977"/>
      <c r="BU66" s="977"/>
      <c r="BV66" s="977"/>
      <c r="BW66" s="980"/>
      <c r="BX66" s="1144"/>
      <c r="CB66" s="991"/>
      <c r="CG66" s="979"/>
      <c r="CH66" s="1126"/>
      <c r="CK66" s="979"/>
      <c r="CL66" s="975">
        <v>4.17</v>
      </c>
      <c r="CM66" s="975">
        <v>1.05</v>
      </c>
      <c r="CN66" s="308">
        <f>1000*CL66/DataUK1!CD66</f>
        <v>2.104997476022211</v>
      </c>
      <c r="CO66" s="976"/>
      <c r="CP66" s="979"/>
      <c r="CQ66" s="1285">
        <f t="shared" si="2"/>
        <v>96.799999999999983</v>
      </c>
      <c r="CR66" s="1292">
        <v>20</v>
      </c>
      <c r="CS66" s="981">
        <f t="shared" si="3"/>
        <v>41.09999999999998</v>
      </c>
      <c r="CT66" s="1030">
        <v>35.700000000000003</v>
      </c>
      <c r="CU66" s="1273">
        <f t="shared" si="1"/>
        <v>96.799999999999983</v>
      </c>
      <c r="CV66" s="959">
        <v>28.9</v>
      </c>
      <c r="CW66" s="2607">
        <v>53.3</v>
      </c>
      <c r="CX66" s="2607"/>
      <c r="CY66" s="1030">
        <v>14.6</v>
      </c>
    </row>
    <row r="67" spans="1:103" s="598" customFormat="1" ht="12" customHeight="1">
      <c r="A67" s="577">
        <f t="shared" si="4"/>
        <v>1909</v>
      </c>
      <c r="B67" s="969"/>
      <c r="C67" s="437"/>
      <c r="N67" s="977"/>
      <c r="U67" s="978"/>
      <c r="V67" s="978"/>
      <c r="W67" s="978"/>
      <c r="X67" s="978"/>
      <c r="Y67" s="978"/>
      <c r="Z67" s="978"/>
      <c r="AA67" s="978"/>
      <c r="AB67" s="978"/>
      <c r="AC67" s="978"/>
      <c r="AD67" s="978"/>
      <c r="AE67" s="978"/>
      <c r="AF67" s="978"/>
      <c r="AS67" s="437"/>
      <c r="BE67" s="437"/>
      <c r="BG67" s="979"/>
      <c r="BH67" s="1126"/>
      <c r="BQ67" s="979"/>
      <c r="BR67" s="1139">
        <f>BR66*(DataUK1!HT67/DataUK1!HT66)+DataUK1!FI66</f>
        <v>3380.3585986690941</v>
      </c>
      <c r="BS67" s="308">
        <f>BR67/DataUK1!B67</f>
        <v>1.680098707091995</v>
      </c>
      <c r="BT67" s="977"/>
      <c r="BU67" s="977"/>
      <c r="BV67" s="977"/>
      <c r="BW67" s="980"/>
      <c r="BX67" s="1144"/>
      <c r="CB67" s="991"/>
      <c r="CG67" s="979"/>
      <c r="CH67" s="1126"/>
      <c r="CK67" s="979"/>
      <c r="CL67" s="975">
        <v>4.1399999999999997</v>
      </c>
      <c r="CM67" s="975">
        <v>1.05</v>
      </c>
      <c r="CN67" s="308">
        <f>1000*CL67/DataUK1!CD67</f>
        <v>2.0576540755467199</v>
      </c>
      <c r="CO67" s="976"/>
      <c r="CP67" s="979"/>
      <c r="CQ67" s="1285">
        <f t="shared" si="2"/>
        <v>98.1</v>
      </c>
      <c r="CR67" s="1292">
        <v>20</v>
      </c>
      <c r="CS67" s="981">
        <f t="shared" si="3"/>
        <v>42.199999999999996</v>
      </c>
      <c r="CT67" s="1030">
        <v>35.9</v>
      </c>
      <c r="CU67" s="1273">
        <f t="shared" si="1"/>
        <v>98.1</v>
      </c>
      <c r="CV67" s="959">
        <v>29.2</v>
      </c>
      <c r="CW67" s="2607">
        <v>54.3</v>
      </c>
      <c r="CX67" s="2607"/>
      <c r="CY67" s="1030">
        <v>14.6</v>
      </c>
    </row>
    <row r="68" spans="1:103" s="598" customFormat="1" ht="12" customHeight="1">
      <c r="A68" s="577">
        <f t="shared" si="4"/>
        <v>1910</v>
      </c>
      <c r="B68" s="969"/>
      <c r="C68" s="437"/>
      <c r="N68" s="977"/>
      <c r="U68" s="978"/>
      <c r="V68" s="978"/>
      <c r="W68" s="978"/>
      <c r="X68" s="978"/>
      <c r="Y68" s="978"/>
      <c r="Z68" s="978"/>
      <c r="AA68" s="978"/>
      <c r="AB68" s="978"/>
      <c r="AC68" s="978"/>
      <c r="AD68" s="978"/>
      <c r="AE68" s="978"/>
      <c r="AF68" s="978"/>
      <c r="AS68" s="437"/>
      <c r="BE68" s="437"/>
      <c r="BG68" s="979"/>
      <c r="BH68" s="1126"/>
      <c r="BQ68" s="979"/>
      <c r="BR68" s="1139">
        <f>BR67*(DataUK1!HT68/DataUK1!HT67)+DataUK1!FI67</f>
        <v>3560.9413207603479</v>
      </c>
      <c r="BS68" s="308">
        <f>BR68/DataUK1!B68</f>
        <v>1.6900528337733023</v>
      </c>
      <c r="BT68" s="977"/>
      <c r="BU68" s="977"/>
      <c r="BV68" s="977"/>
      <c r="BW68" s="980"/>
      <c r="BX68" s="1144"/>
      <c r="CB68" s="991"/>
      <c r="CG68" s="979"/>
      <c r="CH68" s="1126"/>
      <c r="CK68" s="979"/>
      <c r="CL68" s="975">
        <v>4.24</v>
      </c>
      <c r="CM68" s="975">
        <v>1.0900000000000001</v>
      </c>
      <c r="CN68" s="308">
        <f>1000*CL68/DataUK1!CD68</f>
        <v>2.0123398196487896</v>
      </c>
      <c r="CO68" s="976"/>
      <c r="CP68" s="979"/>
      <c r="CQ68" s="1285">
        <f t="shared" si="2"/>
        <v>97.699999999999989</v>
      </c>
      <c r="CR68" s="1292">
        <v>20</v>
      </c>
      <c r="CS68" s="981">
        <f t="shared" si="3"/>
        <v>41.999999999999986</v>
      </c>
      <c r="CT68" s="1030">
        <v>35.700000000000003</v>
      </c>
      <c r="CU68" s="1273">
        <f t="shared" si="1"/>
        <v>97.699999999999989</v>
      </c>
      <c r="CV68" s="959">
        <v>28.3</v>
      </c>
      <c r="CW68" s="2607">
        <v>54.8</v>
      </c>
      <c r="CX68" s="2607"/>
      <c r="CY68" s="1030">
        <v>14.6</v>
      </c>
    </row>
    <row r="69" spans="1:103" s="598" customFormat="1" ht="12" customHeight="1">
      <c r="A69" s="577">
        <f t="shared" si="4"/>
        <v>1911</v>
      </c>
      <c r="B69" s="969"/>
      <c r="C69" s="437"/>
      <c r="N69" s="977"/>
      <c r="U69" s="978"/>
      <c r="V69" s="978"/>
      <c r="W69" s="978"/>
      <c r="X69" s="978"/>
      <c r="Y69" s="978"/>
      <c r="Z69" s="978"/>
      <c r="AA69" s="978"/>
      <c r="AB69" s="978"/>
      <c r="AC69" s="978"/>
      <c r="AD69" s="978"/>
      <c r="AE69" s="978"/>
      <c r="AF69" s="978"/>
      <c r="AS69" s="437"/>
      <c r="BE69" s="437"/>
      <c r="BG69" s="979"/>
      <c r="BH69" s="1126"/>
      <c r="BQ69" s="979"/>
      <c r="BR69" s="1139">
        <f>BR68*(DataUK1!HT69/DataUK1!HT68)+DataUK1!FI68</f>
        <v>3738.9413207603479</v>
      </c>
      <c r="BS69" s="308">
        <f>BR69/DataUK1!B69</f>
        <v>1.7057214054563632</v>
      </c>
      <c r="BT69" s="977"/>
      <c r="BU69" s="977"/>
      <c r="BV69" s="977"/>
      <c r="BW69" s="980"/>
      <c r="BX69" s="1144"/>
      <c r="CB69" s="991"/>
      <c r="CG69" s="979"/>
      <c r="CH69" s="1126"/>
      <c r="CK69" s="979"/>
      <c r="CL69" s="975">
        <v>4.32</v>
      </c>
      <c r="CM69" s="975">
        <v>1.1399999999999999</v>
      </c>
      <c r="CN69" s="308">
        <f>1000*CL69/DataUK1!CD69</f>
        <v>1.9708029197080292</v>
      </c>
      <c r="CO69" s="976"/>
      <c r="CP69" s="979"/>
      <c r="CQ69" s="1285">
        <f t="shared" si="2"/>
        <v>98.699999999999989</v>
      </c>
      <c r="CR69" s="1292">
        <v>20</v>
      </c>
      <c r="CS69" s="981">
        <f t="shared" si="3"/>
        <v>41.599999999999987</v>
      </c>
      <c r="CT69" s="1030">
        <v>37.1</v>
      </c>
      <c r="CU69" s="1273">
        <f t="shared" si="1"/>
        <v>98.699999999999989</v>
      </c>
      <c r="CV69" s="959">
        <v>28.6</v>
      </c>
      <c r="CW69" s="2607">
        <v>55.5</v>
      </c>
      <c r="CX69" s="2607"/>
      <c r="CY69" s="1030">
        <v>14.6</v>
      </c>
    </row>
    <row r="70" spans="1:103" s="598" customFormat="1" ht="12" customHeight="1">
      <c r="A70" s="577">
        <f t="shared" si="4"/>
        <v>1912</v>
      </c>
      <c r="B70" s="969"/>
      <c r="C70" s="437"/>
      <c r="N70" s="977"/>
      <c r="U70" s="978"/>
      <c r="V70" s="978"/>
      <c r="W70" s="978"/>
      <c r="X70" s="978"/>
      <c r="Y70" s="978"/>
      <c r="Z70" s="978"/>
      <c r="AA70" s="978"/>
      <c r="AB70" s="978"/>
      <c r="AC70" s="978"/>
      <c r="AD70" s="978"/>
      <c r="AE70" s="978"/>
      <c r="AF70" s="978"/>
      <c r="AS70" s="437"/>
      <c r="BE70" s="437"/>
      <c r="BG70" s="979"/>
      <c r="BH70" s="1126"/>
      <c r="BQ70" s="979"/>
      <c r="BR70" s="1139">
        <f>BR69*(DataUK1!HT70/DataUK1!HT69)+DataUK1!FI69</f>
        <v>4062.7832370341089</v>
      </c>
      <c r="BS70" s="308">
        <f>BR70/DataUK1!B70</f>
        <v>1.7633607799627211</v>
      </c>
      <c r="BT70" s="977"/>
      <c r="BU70" s="977"/>
      <c r="BV70" s="977"/>
      <c r="BW70" s="980"/>
      <c r="BX70" s="1144"/>
      <c r="CB70" s="991"/>
      <c r="CG70" s="979"/>
      <c r="CH70" s="1126"/>
      <c r="CK70" s="979"/>
      <c r="CL70" s="975">
        <v>4.5599999999999996</v>
      </c>
      <c r="CM70" s="975">
        <v>1.19</v>
      </c>
      <c r="CN70" s="308">
        <f>1000*CL70/DataUK1!CD70</f>
        <v>1.9791666666666667</v>
      </c>
      <c r="CO70" s="976"/>
      <c r="CP70" s="979"/>
      <c r="CQ70" s="1285">
        <f t="shared" si="2"/>
        <v>103</v>
      </c>
      <c r="CR70" s="1292">
        <v>20</v>
      </c>
      <c r="CS70" s="981">
        <f t="shared" si="3"/>
        <v>45.6</v>
      </c>
      <c r="CT70" s="1030">
        <v>37.4</v>
      </c>
      <c r="CU70" s="1273">
        <f t="shared" si="1"/>
        <v>103</v>
      </c>
      <c r="CV70" s="959">
        <v>28.8</v>
      </c>
      <c r="CW70" s="2607">
        <v>59.6</v>
      </c>
      <c r="CX70" s="2607"/>
      <c r="CY70" s="1030">
        <v>14.6</v>
      </c>
    </row>
    <row r="71" spans="1:103" s="598" customFormat="1" ht="12" customHeight="1">
      <c r="A71" s="577">
        <f t="shared" si="4"/>
        <v>1913</v>
      </c>
      <c r="B71" s="969"/>
      <c r="C71" s="437"/>
      <c r="N71" s="977"/>
      <c r="U71" s="978"/>
      <c r="V71" s="978"/>
      <c r="W71" s="978"/>
      <c r="X71" s="978"/>
      <c r="Y71" s="978"/>
      <c r="Z71" s="978"/>
      <c r="AA71" s="978"/>
      <c r="AB71" s="978"/>
      <c r="AC71" s="978"/>
      <c r="AD71" s="978"/>
      <c r="AE71" s="978"/>
      <c r="AF71" s="978"/>
      <c r="AS71" s="437"/>
      <c r="BE71" s="437"/>
      <c r="BG71" s="979"/>
      <c r="BH71" s="1126"/>
      <c r="BQ71" s="979"/>
      <c r="BR71" s="178">
        <f>BT71-BV71</f>
        <v>4200</v>
      </c>
      <c r="BS71" s="307">
        <f>BR71/DataUK1!B71</f>
        <v>1.7639647207055855</v>
      </c>
      <c r="BT71" s="981">
        <v>4600</v>
      </c>
      <c r="BU71" s="981"/>
      <c r="BV71" s="981">
        <v>400</v>
      </c>
      <c r="BW71" s="980"/>
      <c r="BX71" s="1144"/>
      <c r="CB71" s="991"/>
      <c r="CG71" s="979"/>
      <c r="CH71" s="1126"/>
      <c r="CK71" s="979"/>
      <c r="CL71" s="975">
        <v>4.8600000000000003</v>
      </c>
      <c r="CM71" s="975">
        <v>1.22</v>
      </c>
      <c r="CN71" s="308">
        <f>1000*CL71/DataUK1!CD71</f>
        <v>2.0411591768164636</v>
      </c>
      <c r="CO71" s="976">
        <v>0.9</v>
      </c>
      <c r="CP71" s="979"/>
      <c r="CQ71" s="1285">
        <f t="shared" si="2"/>
        <v>98.199999999999989</v>
      </c>
      <c r="CR71" s="1292">
        <v>20</v>
      </c>
      <c r="CS71" s="981">
        <f t="shared" si="3"/>
        <v>41.999999999999986</v>
      </c>
      <c r="CT71" s="1030">
        <v>36.200000000000003</v>
      </c>
      <c r="CU71" s="1273">
        <f t="shared" si="1"/>
        <v>98.199999999999989</v>
      </c>
      <c r="CV71" s="959">
        <v>28.7</v>
      </c>
      <c r="CW71" s="2607">
        <v>54.9</v>
      </c>
      <c r="CX71" s="2607"/>
      <c r="CY71" s="1030">
        <v>14.6</v>
      </c>
    </row>
    <row r="72" spans="1:103" s="598" customFormat="1" ht="12" customHeight="1">
      <c r="A72" s="577">
        <f t="shared" si="4"/>
        <v>1914</v>
      </c>
      <c r="B72" s="969"/>
      <c r="C72" s="437"/>
      <c r="N72" s="977"/>
      <c r="U72" s="978"/>
      <c r="V72" s="978"/>
      <c r="W72" s="978"/>
      <c r="X72" s="978"/>
      <c r="Y72" s="978"/>
      <c r="Z72" s="978"/>
      <c r="AA72" s="978"/>
      <c r="AB72" s="978"/>
      <c r="AC72" s="978"/>
      <c r="AD72" s="978"/>
      <c r="AE72" s="978"/>
      <c r="AF72" s="978"/>
      <c r="AS72" s="437"/>
      <c r="BE72" s="437"/>
      <c r="BG72" s="979"/>
      <c r="BH72" s="1126"/>
      <c r="BQ72" s="979"/>
      <c r="BR72" s="1139">
        <f>BR71+DataUK1!FI71</f>
        <v>4439</v>
      </c>
      <c r="BS72" s="308">
        <f>BR72/DataUK1!B72</f>
        <v>1.8103588907014683</v>
      </c>
      <c r="BT72" s="977"/>
      <c r="BU72" s="977"/>
      <c r="BV72" s="977"/>
      <c r="BW72" s="980"/>
      <c r="BX72" s="1144"/>
      <c r="CB72" s="991"/>
      <c r="CG72" s="979"/>
      <c r="CH72" s="1126"/>
      <c r="CK72" s="979"/>
      <c r="CL72" s="975">
        <v>4.92</v>
      </c>
      <c r="CM72" s="975">
        <v>1.24</v>
      </c>
      <c r="CN72" s="308">
        <f>1000*CL72/DataUK1!CD72</f>
        <v>2.0065252854812399</v>
      </c>
      <c r="CO72" s="976"/>
      <c r="CP72" s="979"/>
      <c r="CQ72" s="1285">
        <f t="shared" si="2"/>
        <v>145.5</v>
      </c>
      <c r="CR72" s="1293">
        <v>31.6</v>
      </c>
      <c r="CS72" s="981">
        <f t="shared" ref="CS72:CS77" si="5">CQ72-CR72-CT72</f>
        <v>68</v>
      </c>
      <c r="CT72" s="1030">
        <v>45.9</v>
      </c>
      <c r="CU72" s="1273">
        <f t="shared" si="1"/>
        <v>145.5</v>
      </c>
      <c r="CV72" s="959">
        <v>31.6</v>
      </c>
      <c r="CW72" s="2607">
        <v>99.3</v>
      </c>
      <c r="CX72" s="2607"/>
      <c r="CY72" s="1030">
        <v>14.6</v>
      </c>
    </row>
    <row r="73" spans="1:103" s="598" customFormat="1" ht="12" customHeight="1">
      <c r="A73" s="577">
        <f t="shared" si="4"/>
        <v>1915</v>
      </c>
      <c r="B73" s="969"/>
      <c r="C73" s="437"/>
      <c r="N73" s="977"/>
      <c r="U73" s="978"/>
      <c r="V73" s="978"/>
      <c r="W73" s="978"/>
      <c r="X73" s="978"/>
      <c r="Y73" s="978"/>
      <c r="Z73" s="978"/>
      <c r="AA73" s="978"/>
      <c r="AB73" s="978"/>
      <c r="AC73" s="978"/>
      <c r="AD73" s="978"/>
      <c r="AE73" s="978"/>
      <c r="AF73" s="978"/>
      <c r="AS73" s="437"/>
      <c r="BE73" s="437"/>
      <c r="BG73" s="979"/>
      <c r="BH73" s="1126"/>
      <c r="BQ73" s="979"/>
      <c r="BR73" s="1139">
        <f>BR72+DataUK1!FI72</f>
        <v>4574</v>
      </c>
      <c r="BS73" s="308">
        <f>BR73/DataUK1!B73</f>
        <v>1.5637606837606837</v>
      </c>
      <c r="BT73" s="977"/>
      <c r="BU73" s="977"/>
      <c r="BV73" s="977"/>
      <c r="BW73" s="980"/>
      <c r="BX73" s="1144"/>
      <c r="CB73" s="991"/>
      <c r="CG73" s="979"/>
      <c r="CH73" s="1126"/>
      <c r="CK73" s="979"/>
      <c r="CL73" s="975"/>
      <c r="CM73" s="975"/>
      <c r="CN73" s="308"/>
      <c r="CO73" s="976"/>
      <c r="CP73" s="979"/>
      <c r="CQ73" s="1285">
        <f t="shared" si="2"/>
        <v>237.49999999999997</v>
      </c>
      <c r="CR73" s="1292">
        <v>100</v>
      </c>
      <c r="CS73" s="1293">
        <f t="shared" si="5"/>
        <v>78.799999999999969</v>
      </c>
      <c r="CT73" s="1030">
        <v>58.7</v>
      </c>
      <c r="CU73" s="1273">
        <f t="shared" si="1"/>
        <v>237.49999999999997</v>
      </c>
      <c r="CV73" s="959">
        <v>33.799999999999997</v>
      </c>
      <c r="CW73" s="2608">
        <v>189.1</v>
      </c>
      <c r="CX73" s="2608"/>
      <c r="CY73" s="1030">
        <v>14.6</v>
      </c>
    </row>
    <row r="74" spans="1:103" s="598" customFormat="1" ht="12" customHeight="1">
      <c r="A74" s="577">
        <f t="shared" si="4"/>
        <v>1916</v>
      </c>
      <c r="B74" s="969"/>
      <c r="C74" s="437"/>
      <c r="N74" s="977"/>
      <c r="U74" s="978"/>
      <c r="V74" s="978"/>
      <c r="W74" s="978"/>
      <c r="X74" s="978"/>
      <c r="Y74" s="978"/>
      <c r="Z74" s="978"/>
      <c r="AA74" s="978"/>
      <c r="AB74" s="978"/>
      <c r="AC74" s="978"/>
      <c r="AD74" s="978"/>
      <c r="AE74" s="978"/>
      <c r="AF74" s="978"/>
      <c r="AS74" s="437"/>
      <c r="BE74" s="437"/>
      <c r="BG74" s="979"/>
      <c r="BH74" s="1126"/>
      <c r="BQ74" s="979"/>
      <c r="BR74" s="1139">
        <f>BR73+DataUK1!FI73</f>
        <v>4519</v>
      </c>
      <c r="BS74" s="308">
        <f>BR74/DataUK1!B74</f>
        <v>1.2704526286196234</v>
      </c>
      <c r="BT74" s="977"/>
      <c r="BU74" s="977"/>
      <c r="BV74" s="977"/>
      <c r="BW74" s="980"/>
      <c r="BX74" s="1144"/>
      <c r="CB74" s="991"/>
      <c r="CG74" s="979"/>
      <c r="CH74" s="1126"/>
      <c r="CK74" s="979"/>
      <c r="CL74" s="975"/>
      <c r="CM74" s="975"/>
      <c r="CN74" s="308"/>
      <c r="CO74" s="976"/>
      <c r="CP74" s="979"/>
      <c r="CQ74" s="1285">
        <f t="shared" si="2"/>
        <v>203.5</v>
      </c>
      <c r="CR74" s="1292">
        <v>100</v>
      </c>
      <c r="CS74" s="1293">
        <f t="shared" si="5"/>
        <v>48.5</v>
      </c>
      <c r="CT74" s="1030">
        <v>55</v>
      </c>
      <c r="CU74" s="1273">
        <f t="shared" si="1"/>
        <v>203.5</v>
      </c>
      <c r="CV74" s="959">
        <v>35.5</v>
      </c>
      <c r="CW74" s="2608">
        <v>153.4</v>
      </c>
      <c r="CX74" s="2608"/>
      <c r="CY74" s="1030">
        <v>14.6</v>
      </c>
    </row>
    <row r="75" spans="1:103" s="598" customFormat="1" ht="12" customHeight="1">
      <c r="A75" s="577">
        <f t="shared" si="4"/>
        <v>1917</v>
      </c>
      <c r="B75" s="969"/>
      <c r="C75" s="437"/>
      <c r="N75" s="977"/>
      <c r="U75" s="978"/>
      <c r="V75" s="978"/>
      <c r="W75" s="978"/>
      <c r="X75" s="978"/>
      <c r="Y75" s="978"/>
      <c r="Z75" s="978"/>
      <c r="AA75" s="978"/>
      <c r="AB75" s="978"/>
      <c r="AC75" s="978"/>
      <c r="AD75" s="978"/>
      <c r="AE75" s="978"/>
      <c r="AF75" s="978"/>
      <c r="AS75" s="437"/>
      <c r="BE75" s="437"/>
      <c r="BG75" s="979"/>
      <c r="BH75" s="1126"/>
      <c r="BQ75" s="979"/>
      <c r="BR75" s="1139">
        <f>BR74+DataUK1!FI74</f>
        <v>4579</v>
      </c>
      <c r="BS75" s="308">
        <f>BR75/DataUK1!B75</f>
        <v>1.0978182690002398</v>
      </c>
      <c r="BT75" s="977"/>
      <c r="BU75" s="977"/>
      <c r="BV75" s="977"/>
      <c r="BW75" s="980"/>
      <c r="BX75" s="1144"/>
      <c r="CB75" s="991"/>
      <c r="CG75" s="979"/>
      <c r="CH75" s="1126"/>
      <c r="CK75" s="979"/>
      <c r="CL75" s="975"/>
      <c r="CM75" s="975"/>
      <c r="CN75" s="308"/>
      <c r="CO75" s="976"/>
      <c r="CP75" s="979"/>
      <c r="CQ75" s="1285">
        <f t="shared" si="2"/>
        <v>233.49999999999997</v>
      </c>
      <c r="CR75" s="1292">
        <v>100</v>
      </c>
      <c r="CS75" s="1293">
        <f t="shared" si="5"/>
        <v>80.299999999999969</v>
      </c>
      <c r="CT75" s="1030">
        <v>53.2</v>
      </c>
      <c r="CU75" s="1273">
        <f t="shared" si="1"/>
        <v>233.49999999999997</v>
      </c>
      <c r="CV75" s="959">
        <v>40.200000000000003</v>
      </c>
      <c r="CW75" s="2608">
        <v>178.7</v>
      </c>
      <c r="CX75" s="2608"/>
      <c r="CY75" s="1030">
        <v>14.6</v>
      </c>
    </row>
    <row r="76" spans="1:103" s="598" customFormat="1" ht="12" customHeight="1">
      <c r="A76" s="577">
        <f t="shared" si="4"/>
        <v>1918</v>
      </c>
      <c r="B76" s="969"/>
      <c r="C76" s="437"/>
      <c r="N76" s="977"/>
      <c r="U76" s="978"/>
      <c r="V76" s="978"/>
      <c r="W76" s="978"/>
      <c r="X76" s="978"/>
      <c r="Y76" s="978"/>
      <c r="Z76" s="978"/>
      <c r="AA76" s="978"/>
      <c r="AB76" s="978"/>
      <c r="AC76" s="978"/>
      <c r="AD76" s="978"/>
      <c r="AE76" s="978"/>
      <c r="AF76" s="978"/>
      <c r="AS76" s="437"/>
      <c r="BE76" s="437"/>
      <c r="BG76" s="979"/>
      <c r="BH76" s="1126"/>
      <c r="BQ76" s="979"/>
      <c r="BR76" s="1139">
        <f>BR75+DataUK1!FI75</f>
        <v>4599</v>
      </c>
      <c r="BS76" s="308">
        <f>BR76/DataUK1!B76</f>
        <v>0.96072696887403386</v>
      </c>
      <c r="BT76" s="977"/>
      <c r="BU76" s="977"/>
      <c r="BV76" s="977"/>
      <c r="BW76" s="980"/>
      <c r="BX76" s="1144"/>
      <c r="CB76" s="991"/>
      <c r="CG76" s="979"/>
      <c r="CH76" s="1126"/>
      <c r="CK76" s="979"/>
      <c r="CL76" s="975"/>
      <c r="CM76" s="975"/>
      <c r="CN76" s="308"/>
      <c r="CO76" s="976"/>
      <c r="CP76" s="979"/>
      <c r="CQ76" s="1285">
        <f t="shared" si="2"/>
        <v>240.49999999999997</v>
      </c>
      <c r="CR76" s="1292">
        <v>100</v>
      </c>
      <c r="CS76" s="1293">
        <f t="shared" si="5"/>
        <v>74.899999999999977</v>
      </c>
      <c r="CT76" s="1030">
        <v>65.599999999999994</v>
      </c>
      <c r="CU76" s="1273">
        <f t="shared" si="1"/>
        <v>240.49999999999997</v>
      </c>
      <c r="CV76" s="959">
        <v>54.8</v>
      </c>
      <c r="CW76" s="2608">
        <v>171.1</v>
      </c>
      <c r="CX76" s="2608"/>
      <c r="CY76" s="1030">
        <v>14.6</v>
      </c>
    </row>
    <row r="77" spans="1:103" s="598" customFormat="1" ht="12" customHeight="1">
      <c r="A77" s="577">
        <f t="shared" si="4"/>
        <v>1919</v>
      </c>
      <c r="B77" s="969"/>
      <c r="C77" s="437"/>
      <c r="N77" s="977"/>
      <c r="U77" s="978"/>
      <c r="V77" s="978"/>
      <c r="W77" s="978"/>
      <c r="X77" s="978"/>
      <c r="Y77" s="978"/>
      <c r="Z77" s="978"/>
      <c r="AA77" s="978"/>
      <c r="AB77" s="978"/>
      <c r="AC77" s="978"/>
      <c r="AD77" s="978"/>
      <c r="AE77" s="978"/>
      <c r="AF77" s="978"/>
      <c r="AS77" s="437"/>
      <c r="BE77" s="437"/>
      <c r="BG77" s="979"/>
      <c r="BH77" s="1126"/>
      <c r="BQ77" s="979"/>
      <c r="BR77" s="1139">
        <f>BR76+DataUK1!FI76</f>
        <v>4314</v>
      </c>
      <c r="BS77" s="308">
        <f>BR77/DataUK1!B77</f>
        <v>0.83701979045401631</v>
      </c>
      <c r="BT77" s="977"/>
      <c r="BU77" s="977"/>
      <c r="BV77" s="977"/>
      <c r="BW77" s="980"/>
      <c r="BX77" s="1144"/>
      <c r="CB77" s="991"/>
      <c r="CG77" s="979"/>
      <c r="CH77" s="1126"/>
      <c r="CK77" s="979"/>
      <c r="CL77" s="975">
        <v>11.5</v>
      </c>
      <c r="CM77" s="975">
        <v>2.87</v>
      </c>
      <c r="CN77" s="308">
        <f>1000*CL77/DataUK1!CD77</f>
        <v>2.2312766783081104</v>
      </c>
      <c r="CO77" s="976"/>
      <c r="CP77" s="979"/>
      <c r="CQ77" s="1285">
        <f t="shared" si="2"/>
        <v>237.29999999999998</v>
      </c>
      <c r="CR77" s="1292">
        <v>100</v>
      </c>
      <c r="CS77" s="1293">
        <f t="shared" si="5"/>
        <v>52.499999999999986</v>
      </c>
      <c r="CT77" s="1030">
        <v>84.8</v>
      </c>
      <c r="CU77" s="1273">
        <f t="shared" ref="CU77:CU134" si="6">CV77+CW77+CY77</f>
        <v>237.29999999999998</v>
      </c>
      <c r="CV77" s="959">
        <v>78</v>
      </c>
      <c r="CW77" s="2608">
        <v>144.69999999999999</v>
      </c>
      <c r="CX77" s="2608"/>
      <c r="CY77" s="1030">
        <v>14.6</v>
      </c>
    </row>
    <row r="78" spans="1:103" s="598" customFormat="1" ht="12" customHeight="1">
      <c r="A78" s="577" t="s">
        <v>651</v>
      </c>
      <c r="B78" s="969"/>
      <c r="C78" s="437"/>
      <c r="N78" s="977"/>
      <c r="U78" s="978"/>
      <c r="V78" s="978"/>
      <c r="W78" s="978"/>
      <c r="X78" s="978"/>
      <c r="Y78" s="978"/>
      <c r="Z78" s="978"/>
      <c r="AA78" s="978"/>
      <c r="AB78" s="978"/>
      <c r="AC78" s="978"/>
      <c r="AD78" s="978"/>
      <c r="AE78" s="978"/>
      <c r="AF78" s="978"/>
      <c r="AK78" s="978"/>
      <c r="AL78" s="978"/>
      <c r="AM78" s="978"/>
      <c r="AN78" s="978"/>
      <c r="AO78" s="978"/>
      <c r="AP78" s="978"/>
      <c r="AQ78" s="978"/>
      <c r="AR78" s="978"/>
      <c r="AS78" s="437"/>
      <c r="BE78" s="437"/>
      <c r="BG78" s="979"/>
      <c r="BH78" s="1126"/>
      <c r="BQ78" s="979"/>
      <c r="BR78" s="1139">
        <f>BR77+DataUK1!FI77</f>
        <v>4269</v>
      </c>
      <c r="BS78" s="308">
        <f>BR78/DataUK1!B78</f>
        <v>0.78778372393430518</v>
      </c>
      <c r="BT78" s="977"/>
      <c r="BU78" s="977"/>
      <c r="BV78" s="977"/>
      <c r="BW78" s="980"/>
      <c r="BX78" s="1144"/>
      <c r="CB78" s="991"/>
      <c r="CG78" s="979"/>
      <c r="CH78" s="1126"/>
      <c r="CK78" s="979"/>
      <c r="CL78" s="975">
        <v>13.98</v>
      </c>
      <c r="CM78" s="975">
        <v>3.39</v>
      </c>
      <c r="CN78" s="308">
        <f>1000*CL78/DataUK1!CD78</f>
        <v>2.5798117733899244</v>
      </c>
      <c r="CO78" s="976"/>
      <c r="CP78" s="979"/>
      <c r="CQ78" s="1285"/>
      <c r="CR78" s="1292"/>
      <c r="CS78" s="977"/>
      <c r="CT78" s="1030"/>
      <c r="CU78" s="1273"/>
      <c r="CV78" s="959"/>
      <c r="CW78" s="2608"/>
      <c r="CX78" s="2608"/>
    </row>
    <row r="79" spans="1:103" s="598" customFormat="1" ht="12" customHeight="1">
      <c r="A79" s="577" t="s">
        <v>652</v>
      </c>
      <c r="B79" s="982">
        <f t="shared" ref="B79:B110" si="7">C79+AS79-BE79</f>
        <v>18220</v>
      </c>
      <c r="C79" s="254">
        <f t="shared" ref="C79:C105" si="8">U79/V79</f>
        <v>6483</v>
      </c>
      <c r="D79" s="519">
        <f t="shared" ref="D79:D105" si="9">W79/X79</f>
        <v>3701</v>
      </c>
      <c r="E79" s="519">
        <f t="shared" ref="E79:E105" si="10">C79-D79</f>
        <v>2782</v>
      </c>
      <c r="F79" s="988">
        <f t="shared" ref="F79:F105" si="11">D79/C79</f>
        <v>0.57087768008637974</v>
      </c>
      <c r="G79" s="988">
        <f>E79/DataUK1!$B79</f>
        <v>0.53020773775490759</v>
      </c>
      <c r="H79" s="519">
        <f t="shared" ref="H79:H105" si="12">Y79+Z79</f>
        <v>1986</v>
      </c>
      <c r="I79" s="988">
        <f>H79/DataUK1!$B79</f>
        <v>0.37850200114351057</v>
      </c>
      <c r="L79" s="970">
        <v>1621</v>
      </c>
      <c r="M79" s="983">
        <f>L79/DataUK1!B79</f>
        <v>0.30893844101391271</v>
      </c>
      <c r="N79" s="977"/>
      <c r="S79" s="519">
        <v>18220</v>
      </c>
      <c r="T79" s="519">
        <v>18690</v>
      </c>
      <c r="U79" s="984">
        <f t="shared" ref="U79:U108" si="13">W79+Y79+Z79+AA79</f>
        <v>6483</v>
      </c>
      <c r="V79" s="308">
        <v>1</v>
      </c>
      <c r="W79" s="519">
        <v>3701</v>
      </c>
      <c r="X79" s="308">
        <v>1</v>
      </c>
      <c r="Y79" s="519">
        <v>1182</v>
      </c>
      <c r="Z79" s="519">
        <v>804</v>
      </c>
      <c r="AA79" s="519">
        <v>796</v>
      </c>
      <c r="AB79" s="984">
        <f t="shared" ref="AB79:AB108" si="14">T79-U79</f>
        <v>12207</v>
      </c>
      <c r="AC79" s="983">
        <f>AB79/DataUK1!$B79</f>
        <v>2.3264722698684963</v>
      </c>
      <c r="AD79" s="983">
        <v>1</v>
      </c>
      <c r="AE79" s="984">
        <f>AB79-AI79-AQ79</f>
        <v>6185</v>
      </c>
      <c r="AF79" s="983">
        <f>AE79/DataUK1!$B79</f>
        <v>1.1787688202782542</v>
      </c>
      <c r="AG79" s="984">
        <f t="shared" ref="AG79:AG108" si="15">T79-S79</f>
        <v>470</v>
      </c>
      <c r="AH79" s="983">
        <v>1</v>
      </c>
      <c r="AI79" s="984">
        <v>1030</v>
      </c>
      <c r="AJ79" s="983">
        <f>AI79/DataUK1!B79</f>
        <v>0.19630264913283782</v>
      </c>
      <c r="AK79" s="984">
        <v>6781</v>
      </c>
      <c r="AL79" s="983">
        <f>AK79/DataUK1!$B79</f>
        <v>1.2923575376405565</v>
      </c>
      <c r="AM79" s="984">
        <v>1014</v>
      </c>
      <c r="AN79" s="984">
        <v>13</v>
      </c>
      <c r="AO79" s="984">
        <v>455</v>
      </c>
      <c r="AP79" s="984">
        <v>333</v>
      </c>
      <c r="AQ79" s="984">
        <f t="shared" ref="AQ79:AQ108" si="16">AK79-AM79--AN79-AO79-AP79</f>
        <v>4992</v>
      </c>
      <c r="AR79" s="983">
        <f>AQ79/DataUK1!$B79</f>
        <v>0.95140080045740427</v>
      </c>
      <c r="AS79" s="254">
        <f t="shared" ref="AS79:AS105" si="17">AB79/AD79</f>
        <v>12207</v>
      </c>
      <c r="BE79" s="254">
        <f t="shared" ref="BE79:BE105" si="18">AG79/AH79</f>
        <v>470</v>
      </c>
      <c r="BG79" s="979"/>
      <c r="BH79" s="1126"/>
      <c r="BQ79" s="979"/>
      <c r="BR79" s="178">
        <v>4410</v>
      </c>
      <c r="BS79" s="307">
        <f>BR79/DataUK1!B79</f>
        <v>0.84048027444253859</v>
      </c>
      <c r="BT79" s="977"/>
      <c r="BU79" s="977"/>
      <c r="BV79" s="977"/>
      <c r="BW79" s="980"/>
      <c r="BX79" s="1144"/>
      <c r="CB79" s="991"/>
      <c r="CG79" s="979"/>
      <c r="CH79" s="1126"/>
      <c r="CK79" s="979"/>
      <c r="CL79" s="975">
        <v>13.44</v>
      </c>
      <c r="CM79" s="975">
        <v>3.2</v>
      </c>
      <c r="CN79" s="308">
        <f>1000*CL79/DataUK1!CD79</f>
        <v>2.561463693539165</v>
      </c>
      <c r="CO79" s="976">
        <v>3</v>
      </c>
      <c r="CP79" s="979"/>
      <c r="CQ79" s="1285">
        <f t="shared" ref="CQ79:CQ135" si="19">CU79</f>
        <v>262.5</v>
      </c>
      <c r="CR79" s="1294">
        <v>100</v>
      </c>
      <c r="CS79" s="1293">
        <f>CQ79-CR79-CT79</f>
        <v>46.599999999999994</v>
      </c>
      <c r="CT79" s="1030">
        <v>115.9</v>
      </c>
      <c r="CU79" s="1273">
        <f t="shared" si="6"/>
        <v>262.5</v>
      </c>
      <c r="CV79" s="959">
        <v>102.8</v>
      </c>
      <c r="CW79" s="2608">
        <v>145.1</v>
      </c>
      <c r="CX79" s="2608"/>
      <c r="CY79" s="1030">
        <v>14.6</v>
      </c>
    </row>
    <row r="80" spans="1:103" s="598" customFormat="1" ht="12" customHeight="1">
      <c r="A80" s="577">
        <v>1921</v>
      </c>
      <c r="B80" s="982">
        <f t="shared" si="7"/>
        <v>17167</v>
      </c>
      <c r="C80" s="254">
        <f t="shared" si="8"/>
        <v>5524</v>
      </c>
      <c r="D80" s="519">
        <f t="shared" si="9"/>
        <v>3262</v>
      </c>
      <c r="E80" s="519">
        <f t="shared" si="10"/>
        <v>2262</v>
      </c>
      <c r="F80" s="988">
        <f t="shared" si="11"/>
        <v>0.59051412020275162</v>
      </c>
      <c r="G80" s="988">
        <f>E80/DataUK1!$B80</f>
        <v>0.52592420367356429</v>
      </c>
      <c r="H80" s="519">
        <f t="shared" si="12"/>
        <v>1607</v>
      </c>
      <c r="I80" s="988">
        <f>H80/DataUK1!$B80</f>
        <v>0.3736340385956754</v>
      </c>
      <c r="L80" s="970">
        <v>1310</v>
      </c>
      <c r="M80" s="983">
        <f>L80/DataUK1!B80</f>
        <v>0.30458033015577773</v>
      </c>
      <c r="N80" s="977"/>
      <c r="S80" s="519">
        <v>17167</v>
      </c>
      <c r="T80" s="519">
        <v>17636</v>
      </c>
      <c r="U80" s="984">
        <f t="shared" si="13"/>
        <v>5524</v>
      </c>
      <c r="V80" s="308">
        <v>1</v>
      </c>
      <c r="W80" s="519">
        <v>3262</v>
      </c>
      <c r="X80" s="308">
        <v>1</v>
      </c>
      <c r="Y80" s="519">
        <v>953</v>
      </c>
      <c r="Z80" s="519">
        <v>654</v>
      </c>
      <c r="AA80" s="519">
        <v>655</v>
      </c>
      <c r="AB80" s="984">
        <f t="shared" si="14"/>
        <v>12112</v>
      </c>
      <c r="AC80" s="983">
        <f>AB80/DataUK1!$B80</f>
        <v>2.8160892815624274</v>
      </c>
      <c r="AD80" s="983">
        <v>1</v>
      </c>
      <c r="AE80" s="984">
        <f t="shared" ref="AE80:AE109" si="20">AB80-AI80-AQ80</f>
        <v>6132</v>
      </c>
      <c r="AF80" s="983">
        <f>AE80/DataUK1!$B80</f>
        <v>1.4257149500116253</v>
      </c>
      <c r="AG80" s="984">
        <f t="shared" si="15"/>
        <v>469</v>
      </c>
      <c r="AH80" s="983">
        <v>1</v>
      </c>
      <c r="AI80" s="984">
        <v>954</v>
      </c>
      <c r="AJ80" s="983">
        <f>AI80/DataUK1!B80</f>
        <v>0.22180888165542897</v>
      </c>
      <c r="AK80" s="984">
        <v>6909</v>
      </c>
      <c r="AL80" s="983">
        <f>AK80/DataUK1!$B80</f>
        <v>1.606370611485701</v>
      </c>
      <c r="AM80" s="984">
        <v>1217</v>
      </c>
      <c r="AN80" s="984">
        <v>14</v>
      </c>
      <c r="AO80" s="984">
        <v>337</v>
      </c>
      <c r="AP80" s="984">
        <v>343</v>
      </c>
      <c r="AQ80" s="984">
        <f t="shared" si="16"/>
        <v>5026</v>
      </c>
      <c r="AR80" s="983">
        <f>AQ80/DataUK1!$B80</f>
        <v>1.1685654498953733</v>
      </c>
      <c r="AS80" s="254">
        <f t="shared" si="17"/>
        <v>12112</v>
      </c>
      <c r="BE80" s="254">
        <f t="shared" si="18"/>
        <v>469</v>
      </c>
      <c r="BG80" s="979"/>
      <c r="BH80" s="1126"/>
      <c r="BQ80" s="979"/>
      <c r="BR80" s="1139">
        <f>BR79+DataUK1!FI79</f>
        <v>4748</v>
      </c>
      <c r="BS80" s="308">
        <f>BR80/DataUK1!B80</f>
        <v>1.1039293187630783</v>
      </c>
      <c r="BT80" s="977"/>
      <c r="BU80" s="977"/>
      <c r="BV80" s="977"/>
      <c r="BW80" s="980"/>
      <c r="BX80" s="1144"/>
      <c r="CB80" s="991"/>
      <c r="CG80" s="979"/>
      <c r="CH80" s="1126"/>
      <c r="CK80" s="979"/>
      <c r="CL80" s="975">
        <v>11.06</v>
      </c>
      <c r="CM80" s="975">
        <v>2.67</v>
      </c>
      <c r="CN80" s="308">
        <f>1000*CL80/DataUK1!CD80</f>
        <v>2.5714950011625204</v>
      </c>
      <c r="CO80" s="976"/>
      <c r="CP80" s="979"/>
      <c r="CQ80" s="1285">
        <f t="shared" si="19"/>
        <v>262.2</v>
      </c>
      <c r="CR80" s="1293">
        <v>90.85</v>
      </c>
      <c r="CS80" s="1293">
        <f>CQ80-CR80-CT80</f>
        <v>44.75</v>
      </c>
      <c r="CT80" s="1030">
        <v>126.6</v>
      </c>
      <c r="CU80" s="1273">
        <f t="shared" si="6"/>
        <v>262.2</v>
      </c>
      <c r="CV80" s="959">
        <v>107.9</v>
      </c>
      <c r="CW80" s="2608">
        <v>139.69999999999999</v>
      </c>
      <c r="CX80" s="2608"/>
      <c r="CY80" s="1030">
        <v>14.6</v>
      </c>
    </row>
    <row r="81" spans="1:103" s="598" customFormat="1" ht="12" customHeight="1">
      <c r="A81" s="577">
        <f t="shared" ref="A81:A106" si="21">A80+1</f>
        <v>1922</v>
      </c>
      <c r="B81" s="982">
        <f t="shared" si="7"/>
        <v>17596</v>
      </c>
      <c r="C81" s="254">
        <f t="shared" si="8"/>
        <v>5013</v>
      </c>
      <c r="D81" s="519">
        <f t="shared" si="9"/>
        <v>2839</v>
      </c>
      <c r="E81" s="519">
        <f t="shared" si="10"/>
        <v>2174</v>
      </c>
      <c r="F81" s="988">
        <f t="shared" si="11"/>
        <v>0.56632754837422705</v>
      </c>
      <c r="G81" s="988">
        <f>E81/DataUK1!$B81</f>
        <v>0.5315403422982885</v>
      </c>
      <c r="H81" s="519">
        <f t="shared" si="12"/>
        <v>1511</v>
      </c>
      <c r="I81" s="988">
        <f>H81/DataUK1!$B81</f>
        <v>0.36943765281173596</v>
      </c>
      <c r="L81" s="970">
        <v>1176</v>
      </c>
      <c r="M81" s="983">
        <f>L81/DataUK1!B81</f>
        <v>0.28753056234718827</v>
      </c>
      <c r="N81" s="977"/>
      <c r="S81" s="519">
        <v>17596</v>
      </c>
      <c r="T81" s="519">
        <v>18054</v>
      </c>
      <c r="U81" s="984">
        <f t="shared" si="13"/>
        <v>5013</v>
      </c>
      <c r="V81" s="308">
        <v>1</v>
      </c>
      <c r="W81" s="519">
        <v>2839</v>
      </c>
      <c r="X81" s="308">
        <v>1</v>
      </c>
      <c r="Y81" s="519">
        <v>953</v>
      </c>
      <c r="Z81" s="519">
        <v>558</v>
      </c>
      <c r="AA81" s="519">
        <v>663</v>
      </c>
      <c r="AB81" s="984">
        <f t="shared" si="14"/>
        <v>13041</v>
      </c>
      <c r="AC81" s="983">
        <f>AB81/DataUK1!$B81</f>
        <v>3.1885085574572125</v>
      </c>
      <c r="AD81" s="983">
        <v>1</v>
      </c>
      <c r="AE81" s="984">
        <f t="shared" si="20"/>
        <v>7600</v>
      </c>
      <c r="AF81" s="983">
        <f>AE81/DataUK1!$B81</f>
        <v>1.8581907090464547</v>
      </c>
      <c r="AG81" s="984">
        <f t="shared" si="15"/>
        <v>458</v>
      </c>
      <c r="AH81" s="983">
        <v>1</v>
      </c>
      <c r="AI81" s="984">
        <v>1226</v>
      </c>
      <c r="AJ81" s="983">
        <f>AI81/DataUK1!B81</f>
        <v>0.29975550122249389</v>
      </c>
      <c r="AK81" s="984">
        <v>5989</v>
      </c>
      <c r="AL81" s="983">
        <f>AK81/DataUK1!$B81</f>
        <v>1.4643031784841076</v>
      </c>
      <c r="AM81" s="984">
        <v>1164</v>
      </c>
      <c r="AN81" s="984">
        <v>18</v>
      </c>
      <c r="AO81" s="984">
        <v>322</v>
      </c>
      <c r="AP81" s="984">
        <v>306</v>
      </c>
      <c r="AQ81" s="984">
        <f t="shared" si="16"/>
        <v>4215</v>
      </c>
      <c r="AR81" s="983">
        <f>AQ81/DataUK1!$B81</f>
        <v>1.0305623471882641</v>
      </c>
      <c r="AS81" s="254">
        <f t="shared" si="17"/>
        <v>13041</v>
      </c>
      <c r="BE81" s="254">
        <f t="shared" si="18"/>
        <v>458</v>
      </c>
      <c r="BG81" s="979"/>
      <c r="BH81" s="1126"/>
      <c r="BQ81" s="979"/>
      <c r="BR81" s="1139">
        <f>BR80+DataUK1!FI80</f>
        <v>4898</v>
      </c>
      <c r="BS81" s="308">
        <f>BR81/DataUK1!B81</f>
        <v>1.197555012224939</v>
      </c>
      <c r="BT81" s="977"/>
      <c r="BU81" s="977"/>
      <c r="BV81" s="977"/>
      <c r="BW81" s="980"/>
      <c r="BX81" s="1144"/>
      <c r="CB81" s="991"/>
      <c r="CG81" s="979"/>
      <c r="CH81" s="1126"/>
      <c r="CK81" s="979"/>
      <c r="CL81" s="975">
        <v>9.23</v>
      </c>
      <c r="CM81" s="975">
        <v>2.2000000000000002</v>
      </c>
      <c r="CN81" s="308">
        <f>1000*CL81/DataUK1!CD81</f>
        <v>2.2567237163814182</v>
      </c>
      <c r="CO81" s="976"/>
      <c r="CP81" s="979"/>
      <c r="CQ81" s="1285">
        <f t="shared" si="19"/>
        <v>251.6</v>
      </c>
      <c r="CR81" s="1293">
        <v>62.900000000000006</v>
      </c>
      <c r="CS81" s="1293">
        <f t="shared" ref="CS81:CS135" si="22">CQ81-CR81-CT81</f>
        <v>62.399999999999991</v>
      </c>
      <c r="CT81" s="1030">
        <v>126.3</v>
      </c>
      <c r="CU81" s="1273">
        <f t="shared" si="6"/>
        <v>251.6</v>
      </c>
      <c r="CV81" s="959">
        <v>102.6</v>
      </c>
      <c r="CW81" s="2608">
        <v>134.4</v>
      </c>
      <c r="CX81" s="2608"/>
      <c r="CY81" s="1030">
        <v>14.6</v>
      </c>
    </row>
    <row r="82" spans="1:103" s="598" customFormat="1" ht="12" customHeight="1">
      <c r="A82" s="577">
        <f t="shared" si="21"/>
        <v>1923</v>
      </c>
      <c r="B82" s="982">
        <f t="shared" si="7"/>
        <v>17569</v>
      </c>
      <c r="C82" s="254">
        <f t="shared" si="8"/>
        <v>4871</v>
      </c>
      <c r="D82" s="519">
        <f t="shared" si="9"/>
        <v>2713</v>
      </c>
      <c r="E82" s="519">
        <f t="shared" si="10"/>
        <v>2158</v>
      </c>
      <c r="F82" s="988">
        <f t="shared" si="11"/>
        <v>0.55696982139191131</v>
      </c>
      <c r="G82" s="988">
        <f>E82/DataUK1!$B82</f>
        <v>0.5340262311309083</v>
      </c>
      <c r="H82" s="519">
        <f t="shared" si="12"/>
        <v>1508</v>
      </c>
      <c r="I82" s="988">
        <f>H82/DataUK1!$B82</f>
        <v>0.37317495669388767</v>
      </c>
      <c r="L82" s="970">
        <v>1156</v>
      </c>
      <c r="M82" s="983">
        <f>L82/DataUK1!B82</f>
        <v>0.28606780499876272</v>
      </c>
      <c r="N82" s="977"/>
      <c r="S82" s="519">
        <v>17569</v>
      </c>
      <c r="T82" s="519">
        <v>18057</v>
      </c>
      <c r="U82" s="984">
        <f t="shared" si="13"/>
        <v>4871</v>
      </c>
      <c r="V82" s="308">
        <v>1</v>
      </c>
      <c r="W82" s="519">
        <v>2713</v>
      </c>
      <c r="X82" s="308">
        <v>1</v>
      </c>
      <c r="Y82" s="519">
        <v>1003</v>
      </c>
      <c r="Z82" s="519">
        <v>505</v>
      </c>
      <c r="AA82" s="519">
        <v>650</v>
      </c>
      <c r="AB82" s="984">
        <f t="shared" si="14"/>
        <v>13186</v>
      </c>
      <c r="AC82" s="983">
        <f>AB82/DataUK1!$B82</f>
        <v>3.2630536995793125</v>
      </c>
      <c r="AD82" s="983">
        <v>1</v>
      </c>
      <c r="AE82" s="984">
        <f t="shared" si="20"/>
        <v>7853</v>
      </c>
      <c r="AF82" s="983">
        <f>AE82/DataUK1!$B82</f>
        <v>1.9433308586983422</v>
      </c>
      <c r="AG82" s="984">
        <f t="shared" si="15"/>
        <v>488</v>
      </c>
      <c r="AH82" s="983">
        <v>1</v>
      </c>
      <c r="AI82" s="984">
        <v>1348</v>
      </c>
      <c r="AJ82" s="983">
        <f>AI82/DataUK1!B82</f>
        <v>0.33358079683246727</v>
      </c>
      <c r="AK82" s="984">
        <v>5688</v>
      </c>
      <c r="AL82" s="983">
        <f>AK82/DataUK1!$B82</f>
        <v>1.4075723830734967</v>
      </c>
      <c r="AM82" s="984">
        <v>1117</v>
      </c>
      <c r="AN82" s="984">
        <v>24</v>
      </c>
      <c r="AO82" s="984">
        <v>316</v>
      </c>
      <c r="AP82" s="984">
        <v>294</v>
      </c>
      <c r="AQ82" s="984">
        <f t="shared" si="16"/>
        <v>3985</v>
      </c>
      <c r="AR82" s="983">
        <f>AQ82/DataUK1!$B82</f>
        <v>0.98614204404850292</v>
      </c>
      <c r="AS82" s="254">
        <f t="shared" si="17"/>
        <v>13186</v>
      </c>
      <c r="BE82" s="254">
        <f t="shared" si="18"/>
        <v>488</v>
      </c>
      <c r="BG82" s="979"/>
      <c r="BH82" s="1126"/>
      <c r="BQ82" s="979"/>
      <c r="BR82" s="1139">
        <f>BR81+DataUK1!FI81</f>
        <v>5087</v>
      </c>
      <c r="BS82" s="308">
        <f>BR82/DataUK1!B82</f>
        <v>1.2588468200940364</v>
      </c>
      <c r="BT82" s="977"/>
      <c r="BU82" s="977"/>
      <c r="BV82" s="977"/>
      <c r="BW82" s="980"/>
      <c r="BX82" s="1144"/>
      <c r="CB82" s="991"/>
      <c r="CG82" s="979"/>
      <c r="CH82" s="1126"/>
      <c r="CK82" s="979"/>
      <c r="CL82" s="975">
        <v>8.51</v>
      </c>
      <c r="CM82" s="975">
        <v>2.1</v>
      </c>
      <c r="CN82" s="308">
        <f>1000*CL82/DataUK1!CD82</f>
        <v>2.1059143776292997</v>
      </c>
      <c r="CO82" s="976"/>
      <c r="CP82" s="979"/>
      <c r="CQ82" s="1285">
        <f t="shared" si="19"/>
        <v>241.5</v>
      </c>
      <c r="CR82" s="1293">
        <v>69.900000000000006</v>
      </c>
      <c r="CS82" s="1293">
        <f t="shared" si="22"/>
        <v>45.8</v>
      </c>
      <c r="CT82" s="1030">
        <v>125.8</v>
      </c>
      <c r="CU82" s="1273">
        <f t="shared" si="6"/>
        <v>241.5</v>
      </c>
      <c r="CV82" s="959">
        <v>101.9</v>
      </c>
      <c r="CW82" s="2608">
        <v>125</v>
      </c>
      <c r="CX82" s="2608"/>
      <c r="CY82" s="1030">
        <v>14.6</v>
      </c>
    </row>
    <row r="83" spans="1:103" s="598" customFormat="1" ht="12" customHeight="1">
      <c r="A83" s="577">
        <f t="shared" si="21"/>
        <v>1924</v>
      </c>
      <c r="B83" s="982">
        <f t="shared" si="7"/>
        <v>18849</v>
      </c>
      <c r="C83" s="254">
        <f t="shared" si="8"/>
        <v>5070</v>
      </c>
      <c r="D83" s="519">
        <f t="shared" si="9"/>
        <v>2858</v>
      </c>
      <c r="E83" s="519">
        <f t="shared" si="10"/>
        <v>2212</v>
      </c>
      <c r="F83" s="988">
        <f t="shared" si="11"/>
        <v>0.56370808678500983</v>
      </c>
      <c r="G83" s="988">
        <f>E83/DataUK1!$B83</f>
        <v>0.53339763684591268</v>
      </c>
      <c r="H83" s="519">
        <f t="shared" si="12"/>
        <v>1542</v>
      </c>
      <c r="I83" s="988">
        <f>H83/DataUK1!$B83</f>
        <v>0.37183506149023393</v>
      </c>
      <c r="L83" s="970">
        <v>1196</v>
      </c>
      <c r="M83" s="983">
        <f>L83/DataUK1!B83</f>
        <v>0.2884012539184953</v>
      </c>
      <c r="N83" s="977"/>
      <c r="S83" s="519">
        <v>18849</v>
      </c>
      <c r="T83" s="519">
        <v>19391</v>
      </c>
      <c r="U83" s="984">
        <f t="shared" si="13"/>
        <v>5070</v>
      </c>
      <c r="V83" s="308">
        <v>1</v>
      </c>
      <c r="W83" s="519">
        <v>2858</v>
      </c>
      <c r="X83" s="308">
        <v>1</v>
      </c>
      <c r="Y83" s="519">
        <v>1012</v>
      </c>
      <c r="Z83" s="519">
        <v>530</v>
      </c>
      <c r="AA83" s="519">
        <v>670</v>
      </c>
      <c r="AB83" s="984">
        <f t="shared" si="14"/>
        <v>14321</v>
      </c>
      <c r="AC83" s="983">
        <f>AB83/DataUK1!$B83</f>
        <v>3.4533397636845913</v>
      </c>
      <c r="AD83" s="983">
        <v>1</v>
      </c>
      <c r="AE83" s="984">
        <f t="shared" si="20"/>
        <v>8792</v>
      </c>
      <c r="AF83" s="983">
        <f>AE83/DataUK1!$B83</f>
        <v>2.120086809741982</v>
      </c>
      <c r="AG83" s="984">
        <f t="shared" si="15"/>
        <v>542</v>
      </c>
      <c r="AH83" s="983">
        <v>1</v>
      </c>
      <c r="AI83" s="984">
        <v>1445</v>
      </c>
      <c r="AJ83" s="983">
        <f>AI83/DataUK1!B83</f>
        <v>0.34844465878948638</v>
      </c>
      <c r="AK83" s="984">
        <v>5753</v>
      </c>
      <c r="AL83" s="983">
        <f>AK83/DataUK1!$B83</f>
        <v>1.3872679045092837</v>
      </c>
      <c r="AM83" s="984">
        <v>1061</v>
      </c>
      <c r="AN83" s="984">
        <v>17</v>
      </c>
      <c r="AO83" s="984">
        <v>328</v>
      </c>
      <c r="AP83" s="984">
        <v>297</v>
      </c>
      <c r="AQ83" s="984">
        <f t="shared" si="16"/>
        <v>4084</v>
      </c>
      <c r="AR83" s="983">
        <f>AQ83/DataUK1!$B83</f>
        <v>0.98480829515312274</v>
      </c>
      <c r="AS83" s="254">
        <f t="shared" si="17"/>
        <v>14321</v>
      </c>
      <c r="BE83" s="254">
        <f t="shared" si="18"/>
        <v>542</v>
      </c>
      <c r="BG83" s="979"/>
      <c r="BH83" s="1126"/>
      <c r="BQ83" s="979"/>
      <c r="BR83" s="178">
        <f>BT83-BV83</f>
        <v>5200</v>
      </c>
      <c r="BS83" s="307">
        <f>BR83/DataUK1!B83</f>
        <v>1.2539184952978057</v>
      </c>
      <c r="BT83" s="981">
        <v>6800</v>
      </c>
      <c r="BU83" s="981"/>
      <c r="BV83" s="981">
        <v>1600</v>
      </c>
      <c r="BW83" s="980"/>
      <c r="BX83" s="1144"/>
      <c r="CB83" s="991"/>
      <c r="CG83" s="979"/>
      <c r="CH83" s="1126"/>
      <c r="CK83" s="979"/>
      <c r="CL83" s="975">
        <v>8.61</v>
      </c>
      <c r="CM83" s="975">
        <v>2.23</v>
      </c>
      <c r="CN83" s="308">
        <f>1000*CL83/DataUK1!CD83</f>
        <v>2.0761996624065588</v>
      </c>
      <c r="CO83" s="976"/>
      <c r="CP83" s="979"/>
      <c r="CQ83" s="1285">
        <f t="shared" si="19"/>
        <v>244.4</v>
      </c>
      <c r="CR83" s="1293">
        <v>78.849999999999994</v>
      </c>
      <c r="CS83" s="1293">
        <f t="shared" si="22"/>
        <v>39.150000000000006</v>
      </c>
      <c r="CT83" s="1030">
        <v>126.4</v>
      </c>
      <c r="CU83" s="1273">
        <f t="shared" si="6"/>
        <v>244.4</v>
      </c>
      <c r="CV83" s="959">
        <v>102.7</v>
      </c>
      <c r="CW83" s="2608">
        <v>127.1</v>
      </c>
      <c r="CX83" s="2608"/>
      <c r="CY83" s="1030">
        <v>14.6</v>
      </c>
    </row>
    <row r="84" spans="1:103" s="598" customFormat="1" ht="12" customHeight="1">
      <c r="A84" s="577">
        <f t="shared" si="21"/>
        <v>1925</v>
      </c>
      <c r="B84" s="982">
        <f t="shared" si="7"/>
        <v>19880</v>
      </c>
      <c r="C84" s="254">
        <f t="shared" si="8"/>
        <v>5116</v>
      </c>
      <c r="D84" s="519">
        <f t="shared" si="9"/>
        <v>2887</v>
      </c>
      <c r="E84" s="519">
        <f t="shared" si="10"/>
        <v>2229</v>
      </c>
      <c r="F84" s="988">
        <f t="shared" si="11"/>
        <v>0.56430805316653632</v>
      </c>
      <c r="G84" s="988">
        <f>E84/DataUK1!$B84</f>
        <v>0.52459402212285244</v>
      </c>
      <c r="H84" s="519">
        <f t="shared" si="12"/>
        <v>1538</v>
      </c>
      <c r="I84" s="988">
        <f>H84/DataUK1!$B84</f>
        <v>0.36196752176982822</v>
      </c>
      <c r="L84" s="970">
        <v>1244</v>
      </c>
      <c r="M84" s="983">
        <f>L84/DataUK1!B84</f>
        <v>0.29277477053424333</v>
      </c>
      <c r="N84" s="977"/>
      <c r="S84" s="519">
        <v>19880</v>
      </c>
      <c r="T84" s="519">
        <v>20471</v>
      </c>
      <c r="U84" s="984">
        <f t="shared" si="13"/>
        <v>5116</v>
      </c>
      <c r="V84" s="308">
        <v>1</v>
      </c>
      <c r="W84" s="519">
        <v>2887</v>
      </c>
      <c r="X84" s="308">
        <v>1</v>
      </c>
      <c r="Y84" s="519">
        <v>1017</v>
      </c>
      <c r="Z84" s="519">
        <v>521</v>
      </c>
      <c r="AA84" s="519">
        <v>691</v>
      </c>
      <c r="AB84" s="984">
        <f t="shared" si="14"/>
        <v>15355</v>
      </c>
      <c r="AC84" s="983">
        <f>AB84/DataUK1!$B84</f>
        <v>3.6137914803483171</v>
      </c>
      <c r="AD84" s="983">
        <v>1</v>
      </c>
      <c r="AE84" s="984">
        <f t="shared" si="20"/>
        <v>9750</v>
      </c>
      <c r="AF84" s="983">
        <f>AE84/DataUK1!$B84</f>
        <v>2.2946575664862321</v>
      </c>
      <c r="AG84" s="984">
        <f t="shared" si="15"/>
        <v>591</v>
      </c>
      <c r="AH84" s="983">
        <v>1</v>
      </c>
      <c r="AI84" s="984">
        <v>1495</v>
      </c>
      <c r="AJ84" s="983">
        <f>AI84/DataUK1!B84</f>
        <v>0.35184749352788891</v>
      </c>
      <c r="AK84" s="984">
        <v>5744</v>
      </c>
      <c r="AL84" s="983">
        <f>AK84/DataUK1!$B84</f>
        <v>1.351847493527889</v>
      </c>
      <c r="AM84" s="984">
        <v>1030</v>
      </c>
      <c r="AN84" s="984">
        <v>14</v>
      </c>
      <c r="AO84" s="984">
        <v>321</v>
      </c>
      <c r="AP84" s="984">
        <v>297</v>
      </c>
      <c r="AQ84" s="984">
        <f t="shared" si="16"/>
        <v>4110</v>
      </c>
      <c r="AR84" s="983">
        <f>AQ84/DataUK1!$B84</f>
        <v>0.96728642033419632</v>
      </c>
      <c r="AS84" s="254">
        <f t="shared" si="17"/>
        <v>15355</v>
      </c>
      <c r="BE84" s="254">
        <f t="shared" si="18"/>
        <v>591</v>
      </c>
      <c r="BG84" s="979"/>
      <c r="BH84" s="1126"/>
      <c r="BQ84" s="979"/>
      <c r="BR84" s="1139">
        <f>BR83+DataUK1!FI83</f>
        <v>5272</v>
      </c>
      <c r="BS84" s="308">
        <f>BR84/DataUK1!B84</f>
        <v>1.2407625323605553</v>
      </c>
      <c r="BT84" s="977"/>
      <c r="BU84" s="977"/>
      <c r="BV84" s="977"/>
      <c r="BW84" s="980"/>
      <c r="BX84" s="1144"/>
      <c r="CB84" s="991"/>
      <c r="CG84" s="979"/>
      <c r="CH84" s="1126"/>
      <c r="CK84" s="979"/>
      <c r="CL84" s="975">
        <v>8.6999999999999993</v>
      </c>
      <c r="CM84" s="975">
        <v>2.31</v>
      </c>
      <c r="CN84" s="308">
        <f>1000*CL84/DataUK1!CD84</f>
        <v>2.0475405977877146</v>
      </c>
      <c r="CO84" s="976"/>
      <c r="CP84" s="979"/>
      <c r="CQ84" s="1285">
        <f t="shared" si="19"/>
        <v>233.29999999999998</v>
      </c>
      <c r="CR84" s="1293">
        <v>70</v>
      </c>
      <c r="CS84" s="1293">
        <f t="shared" si="22"/>
        <v>17.699999999999989</v>
      </c>
      <c r="CT84" s="1030">
        <v>145.6</v>
      </c>
      <c r="CU84" s="1273">
        <f t="shared" si="6"/>
        <v>233.29999999999998</v>
      </c>
      <c r="CV84" s="959">
        <v>91.8</v>
      </c>
      <c r="CW84" s="2608">
        <v>126.9</v>
      </c>
      <c r="CX84" s="2608"/>
      <c r="CY84" s="1030">
        <v>14.6</v>
      </c>
    </row>
    <row r="85" spans="1:103" s="598" customFormat="1" ht="12" customHeight="1">
      <c r="A85" s="577">
        <f t="shared" si="21"/>
        <v>1926</v>
      </c>
      <c r="B85" s="982">
        <f t="shared" si="7"/>
        <v>19673</v>
      </c>
      <c r="C85" s="254">
        <f t="shared" si="8"/>
        <v>5018</v>
      </c>
      <c r="D85" s="519">
        <f t="shared" si="9"/>
        <v>2883</v>
      </c>
      <c r="E85" s="519">
        <f t="shared" si="10"/>
        <v>2135</v>
      </c>
      <c r="F85" s="988">
        <f t="shared" si="11"/>
        <v>0.57453168593064963</v>
      </c>
      <c r="G85" s="988">
        <f>E85/DataUK1!$B85</f>
        <v>0.5157004830917874</v>
      </c>
      <c r="H85" s="519">
        <f t="shared" si="12"/>
        <v>1455</v>
      </c>
      <c r="I85" s="988">
        <f>H85/DataUK1!$B85</f>
        <v>0.35144927536231885</v>
      </c>
      <c r="L85" s="970">
        <v>1251</v>
      </c>
      <c r="M85" s="983">
        <f>L85/DataUK1!B85</f>
        <v>0.30217391304347824</v>
      </c>
      <c r="N85" s="977"/>
      <c r="S85" s="519">
        <v>19673</v>
      </c>
      <c r="T85" s="519">
        <v>20319</v>
      </c>
      <c r="U85" s="984">
        <f t="shared" si="13"/>
        <v>5018</v>
      </c>
      <c r="V85" s="308">
        <v>1</v>
      </c>
      <c r="W85" s="519">
        <v>2883</v>
      </c>
      <c r="X85" s="308">
        <v>1</v>
      </c>
      <c r="Y85" s="519">
        <v>949</v>
      </c>
      <c r="Z85" s="519">
        <v>506</v>
      </c>
      <c r="AA85" s="519">
        <v>680</v>
      </c>
      <c r="AB85" s="984">
        <f t="shared" si="14"/>
        <v>15301</v>
      </c>
      <c r="AC85" s="983">
        <f>AB85/DataUK1!$B85</f>
        <v>3.6958937198067634</v>
      </c>
      <c r="AD85" s="983">
        <v>1</v>
      </c>
      <c r="AE85" s="984">
        <f t="shared" si="20"/>
        <v>9490</v>
      </c>
      <c r="AF85" s="983">
        <f>AE85/DataUK1!$B85</f>
        <v>2.2922705314009661</v>
      </c>
      <c r="AG85" s="984">
        <f t="shared" si="15"/>
        <v>646</v>
      </c>
      <c r="AH85" s="983">
        <v>1</v>
      </c>
      <c r="AI85" s="984">
        <v>1532</v>
      </c>
      <c r="AJ85" s="983">
        <f>AI85/DataUK1!B85</f>
        <v>0.37004830917874398</v>
      </c>
      <c r="AK85" s="984">
        <v>5876</v>
      </c>
      <c r="AL85" s="983">
        <f>AK85/DataUK1!$B85</f>
        <v>1.4193236714975845</v>
      </c>
      <c r="AM85" s="984">
        <v>1013</v>
      </c>
      <c r="AN85" s="984">
        <v>12</v>
      </c>
      <c r="AO85" s="984">
        <v>291</v>
      </c>
      <c r="AP85" s="984">
        <v>305</v>
      </c>
      <c r="AQ85" s="984">
        <f t="shared" si="16"/>
        <v>4279</v>
      </c>
      <c r="AR85" s="983">
        <f>AQ85/DataUK1!$B85</f>
        <v>1.0335748792270532</v>
      </c>
      <c r="AS85" s="254">
        <f t="shared" si="17"/>
        <v>15301</v>
      </c>
      <c r="BE85" s="254">
        <f t="shared" si="18"/>
        <v>646</v>
      </c>
      <c r="BG85" s="979"/>
      <c r="BH85" s="1126"/>
      <c r="BQ85" s="979"/>
      <c r="BR85" s="1139">
        <f>BR84+DataUK1!FI84</f>
        <v>5305</v>
      </c>
      <c r="BS85" s="308">
        <f>BR85/DataUK1!B85</f>
        <v>1.2814009661835748</v>
      </c>
      <c r="BT85" s="977"/>
      <c r="BU85" s="977"/>
      <c r="BV85" s="977"/>
      <c r="BW85" s="980"/>
      <c r="BX85" s="1144"/>
      <c r="CB85" s="991"/>
      <c r="CG85" s="979"/>
      <c r="CH85" s="1126"/>
      <c r="CK85" s="979"/>
      <c r="CL85" s="975">
        <v>8.59</v>
      </c>
      <c r="CM85" s="975">
        <v>2.35</v>
      </c>
      <c r="CN85" s="308">
        <f>1000*CL85/DataUK1!CD85</f>
        <v>2.07487922705314</v>
      </c>
      <c r="CO85" s="976"/>
      <c r="CP85" s="979"/>
      <c r="CQ85" s="1285">
        <f t="shared" si="19"/>
        <v>222.79999999999998</v>
      </c>
      <c r="CR85" s="1293">
        <v>50</v>
      </c>
      <c r="CS85" s="1293">
        <f t="shared" si="22"/>
        <v>24.199999999999989</v>
      </c>
      <c r="CT85" s="1030">
        <v>148.6</v>
      </c>
      <c r="CU85" s="1273">
        <f t="shared" si="6"/>
        <v>222.79999999999998</v>
      </c>
      <c r="CV85" s="959">
        <v>84.5</v>
      </c>
      <c r="CW85" s="2608">
        <v>123.7</v>
      </c>
      <c r="CX85" s="2608"/>
      <c r="CY85" s="1030">
        <v>14.6</v>
      </c>
    </row>
    <row r="86" spans="1:103" s="598" customFormat="1" ht="12" customHeight="1">
      <c r="A86" s="577">
        <f t="shared" si="21"/>
        <v>1927</v>
      </c>
      <c r="B86" s="982">
        <f t="shared" si="7"/>
        <v>20502</v>
      </c>
      <c r="C86" s="254">
        <f t="shared" si="8"/>
        <v>4970</v>
      </c>
      <c r="D86" s="519">
        <f t="shared" si="9"/>
        <v>2908</v>
      </c>
      <c r="E86" s="519">
        <f t="shared" si="10"/>
        <v>2062</v>
      </c>
      <c r="F86" s="988">
        <f t="shared" si="11"/>
        <v>0.58511066398390343</v>
      </c>
      <c r="G86" s="988">
        <f>E86/DataUK1!$B86</f>
        <v>0.46504285069914297</v>
      </c>
      <c r="H86" s="519">
        <f t="shared" si="12"/>
        <v>1370</v>
      </c>
      <c r="I86" s="988">
        <f>H86/DataUK1!$B86</f>
        <v>0.30897609382047814</v>
      </c>
      <c r="L86" s="970">
        <v>1288</v>
      </c>
      <c r="M86" s="983">
        <f>L86/DataUK1!B86</f>
        <v>0.29048263419034731</v>
      </c>
      <c r="N86" s="977"/>
      <c r="S86" s="519">
        <v>20502</v>
      </c>
      <c r="T86" s="519">
        <v>21196</v>
      </c>
      <c r="U86" s="984">
        <f t="shared" si="13"/>
        <v>4970</v>
      </c>
      <c r="V86" s="308">
        <v>1</v>
      </c>
      <c r="W86" s="519">
        <v>2908</v>
      </c>
      <c r="X86" s="308">
        <v>1</v>
      </c>
      <c r="Y86" s="519">
        <v>903</v>
      </c>
      <c r="Z86" s="519">
        <v>467</v>
      </c>
      <c r="AA86" s="519">
        <v>692</v>
      </c>
      <c r="AB86" s="984">
        <f t="shared" si="14"/>
        <v>16226</v>
      </c>
      <c r="AC86" s="983">
        <f>AB86/DataUK1!$B86</f>
        <v>3.6594497068110057</v>
      </c>
      <c r="AD86" s="983">
        <v>1</v>
      </c>
      <c r="AE86" s="984">
        <f t="shared" si="20"/>
        <v>10414</v>
      </c>
      <c r="AF86" s="983">
        <f>AE86/DataUK1!$B86</f>
        <v>2.3486693730266124</v>
      </c>
      <c r="AG86" s="984">
        <f t="shared" si="15"/>
        <v>694</v>
      </c>
      <c r="AH86" s="983">
        <v>1</v>
      </c>
      <c r="AI86" s="984">
        <v>1623</v>
      </c>
      <c r="AJ86" s="983">
        <f>AI86/DataUK1!B86</f>
        <v>0.36603518267929636</v>
      </c>
      <c r="AK86" s="984">
        <v>5827</v>
      </c>
      <c r="AL86" s="983">
        <f>AK86/DataUK1!$B86</f>
        <v>1.3141632837167343</v>
      </c>
      <c r="AM86" s="984">
        <v>1034</v>
      </c>
      <c r="AN86" s="984">
        <v>14</v>
      </c>
      <c r="AO86" s="984">
        <v>310</v>
      </c>
      <c r="AP86" s="984">
        <v>308</v>
      </c>
      <c r="AQ86" s="984">
        <f t="shared" si="16"/>
        <v>4189</v>
      </c>
      <c r="AR86" s="983">
        <f>AQ86/DataUK1!$B86</f>
        <v>0.94474515110509694</v>
      </c>
      <c r="AS86" s="254">
        <f t="shared" si="17"/>
        <v>16226</v>
      </c>
      <c r="BE86" s="254">
        <f t="shared" si="18"/>
        <v>694</v>
      </c>
      <c r="BG86" s="979"/>
      <c r="BH86" s="1126"/>
      <c r="BQ86" s="979"/>
      <c r="BR86" s="1139">
        <f>BR85+DataUK1!FI85</f>
        <v>5267</v>
      </c>
      <c r="BS86" s="308">
        <f>BR86/DataUK1!B86</f>
        <v>1.1878664862426702</v>
      </c>
      <c r="BT86" s="977"/>
      <c r="BU86" s="977"/>
      <c r="BV86" s="977"/>
      <c r="BW86" s="980"/>
      <c r="BX86" s="1144"/>
      <c r="CB86" s="991"/>
      <c r="CG86" s="979"/>
      <c r="CH86" s="1126"/>
      <c r="CK86" s="979"/>
      <c r="CL86" s="975">
        <v>8.56</v>
      </c>
      <c r="CM86" s="975">
        <v>2.42</v>
      </c>
      <c r="CN86" s="308">
        <f>1000*CL86/DataUK1!CD86</f>
        <v>1.9305367613892648</v>
      </c>
      <c r="CO86" s="976"/>
      <c r="CP86" s="979"/>
      <c r="CQ86" s="1285">
        <f t="shared" si="19"/>
        <v>214.70000000000002</v>
      </c>
      <c r="CR86" s="1293">
        <v>50</v>
      </c>
      <c r="CS86" s="1293">
        <f t="shared" si="22"/>
        <v>14.600000000000023</v>
      </c>
      <c r="CT86" s="1030">
        <v>150.1</v>
      </c>
      <c r="CU86" s="1273">
        <f t="shared" si="6"/>
        <v>214.70000000000002</v>
      </c>
      <c r="CV86" s="959">
        <v>80.7</v>
      </c>
      <c r="CW86" s="2607">
        <v>119.4</v>
      </c>
      <c r="CX86" s="2607"/>
      <c r="CY86" s="1030">
        <v>14.6</v>
      </c>
    </row>
    <row r="87" spans="1:103" s="598" customFormat="1" ht="12" customHeight="1">
      <c r="A87" s="577">
        <f t="shared" si="21"/>
        <v>1928</v>
      </c>
      <c r="B87" s="982">
        <f t="shared" si="7"/>
        <v>21381</v>
      </c>
      <c r="C87" s="254">
        <f t="shared" si="8"/>
        <v>4947</v>
      </c>
      <c r="D87" s="519">
        <f t="shared" si="9"/>
        <v>2860</v>
      </c>
      <c r="E87" s="519">
        <f t="shared" si="10"/>
        <v>2087</v>
      </c>
      <c r="F87" s="988">
        <f t="shared" si="11"/>
        <v>0.57812815847988686</v>
      </c>
      <c r="G87" s="988">
        <f>E87/DataUK1!$B87</f>
        <v>0.46678595392529637</v>
      </c>
      <c r="H87" s="519">
        <f t="shared" si="12"/>
        <v>1377</v>
      </c>
      <c r="I87" s="988">
        <f>H87/DataUK1!$B87</f>
        <v>0.30798479087452474</v>
      </c>
      <c r="L87" s="970">
        <v>1320</v>
      </c>
      <c r="M87" s="983">
        <f>L87/DataUK1!B87</f>
        <v>0.29523596510847683</v>
      </c>
      <c r="N87" s="977"/>
      <c r="S87" s="519">
        <v>21381</v>
      </c>
      <c r="T87" s="519">
        <v>22126</v>
      </c>
      <c r="U87" s="984">
        <f t="shared" si="13"/>
        <v>4947</v>
      </c>
      <c r="V87" s="308">
        <v>1</v>
      </c>
      <c r="W87" s="519">
        <v>2860</v>
      </c>
      <c r="X87" s="308">
        <v>1</v>
      </c>
      <c r="Y87" s="519">
        <v>894</v>
      </c>
      <c r="Z87" s="519">
        <v>483</v>
      </c>
      <c r="AA87" s="519">
        <v>710</v>
      </c>
      <c r="AB87" s="984">
        <f t="shared" si="14"/>
        <v>17179</v>
      </c>
      <c r="AC87" s="983">
        <f>AB87/DataUK1!$B87</f>
        <v>3.8423171549988817</v>
      </c>
      <c r="AD87" s="983">
        <v>1</v>
      </c>
      <c r="AE87" s="984">
        <f t="shared" si="20"/>
        <v>11405</v>
      </c>
      <c r="AF87" s="983">
        <f>AE87/DataUK1!$B87</f>
        <v>2.5508834712592261</v>
      </c>
      <c r="AG87" s="984">
        <f t="shared" si="15"/>
        <v>745</v>
      </c>
      <c r="AH87" s="983">
        <v>1</v>
      </c>
      <c r="AI87" s="984">
        <v>1689</v>
      </c>
      <c r="AJ87" s="983">
        <f>AI87/DataUK1!B87</f>
        <v>0.37776783717289197</v>
      </c>
      <c r="AK87" s="984">
        <v>5737</v>
      </c>
      <c r="AL87" s="983">
        <f>AK87/DataUK1!$B87</f>
        <v>1.283158130172221</v>
      </c>
      <c r="AM87" s="984">
        <v>1074</v>
      </c>
      <c r="AN87" s="984">
        <v>45</v>
      </c>
      <c r="AO87" s="984">
        <v>312</v>
      </c>
      <c r="AP87" s="984">
        <v>311</v>
      </c>
      <c r="AQ87" s="984">
        <f t="shared" si="16"/>
        <v>4085</v>
      </c>
      <c r="AR87" s="983">
        <f>AQ87/DataUK1!$B87</f>
        <v>0.91366584656676364</v>
      </c>
      <c r="AS87" s="254">
        <f t="shared" si="17"/>
        <v>17179</v>
      </c>
      <c r="BE87" s="254">
        <f t="shared" si="18"/>
        <v>745</v>
      </c>
      <c r="BG87" s="979"/>
      <c r="BH87" s="1126"/>
      <c r="BQ87" s="979"/>
      <c r="BR87" s="1139">
        <f>BR86+DataUK1!FI86</f>
        <v>5339</v>
      </c>
      <c r="BS87" s="308">
        <f>BR87/DataUK1!B87</f>
        <v>1.1941400134198166</v>
      </c>
      <c r="BT87" s="977"/>
      <c r="BU87" s="977"/>
      <c r="BV87" s="977"/>
      <c r="BW87" s="980"/>
      <c r="BX87" s="1144"/>
      <c r="CB87" s="991"/>
      <c r="CG87" s="979"/>
      <c r="CH87" s="1126"/>
      <c r="CK87" s="979"/>
      <c r="CL87" s="975">
        <v>8.4600000000000009</v>
      </c>
      <c r="CM87" s="975">
        <v>2.4</v>
      </c>
      <c r="CN87" s="308">
        <f>1000*CL87/DataUK1!CD87</f>
        <v>1.8921941400134199</v>
      </c>
      <c r="CO87" s="976"/>
      <c r="CP87" s="979"/>
      <c r="CQ87" s="1285">
        <f t="shared" si="19"/>
        <v>210.79999999999998</v>
      </c>
      <c r="CR87" s="1295">
        <v>40</v>
      </c>
      <c r="CS87" s="1293">
        <f t="shared" si="22"/>
        <v>8.1999999999999886</v>
      </c>
      <c r="CT87" s="1030">
        <v>162.6</v>
      </c>
      <c r="CU87" s="1273">
        <f t="shared" si="6"/>
        <v>210.79999999999998</v>
      </c>
      <c r="CV87" s="1280">
        <v>78.8</v>
      </c>
      <c r="CW87" s="2607">
        <v>117.4</v>
      </c>
      <c r="CX87" s="2607"/>
      <c r="CY87" s="1030">
        <v>14.6</v>
      </c>
    </row>
    <row r="88" spans="1:103" s="598" customFormat="1" ht="12" customHeight="1">
      <c r="A88" s="577">
        <f t="shared" si="21"/>
        <v>1929</v>
      </c>
      <c r="B88" s="982">
        <f t="shared" si="7"/>
        <v>20048</v>
      </c>
      <c r="C88" s="254">
        <f t="shared" si="8"/>
        <v>4786</v>
      </c>
      <c r="D88" s="519">
        <f t="shared" si="9"/>
        <v>2917</v>
      </c>
      <c r="E88" s="519">
        <f t="shared" si="10"/>
        <v>1869</v>
      </c>
      <c r="F88" s="988">
        <f t="shared" si="11"/>
        <v>0.60948600083577098</v>
      </c>
      <c r="G88" s="988">
        <f>E88/DataUK1!$B88</f>
        <v>0.41322131328764095</v>
      </c>
      <c r="H88" s="519">
        <f t="shared" si="12"/>
        <v>1161</v>
      </c>
      <c r="I88" s="988">
        <f>H88/DataUK1!$B88</f>
        <v>0.25668803891222641</v>
      </c>
      <c r="L88" s="970">
        <v>1343</v>
      </c>
      <c r="M88" s="983">
        <f>L88/DataUK1!B88</f>
        <v>0.29692681848330754</v>
      </c>
      <c r="N88" s="977"/>
      <c r="S88" s="519">
        <v>20048</v>
      </c>
      <c r="T88" s="519">
        <v>20862</v>
      </c>
      <c r="U88" s="984">
        <f t="shared" si="13"/>
        <v>4786</v>
      </c>
      <c r="V88" s="308">
        <v>1</v>
      </c>
      <c r="W88" s="519">
        <v>2917</v>
      </c>
      <c r="X88" s="308">
        <v>1</v>
      </c>
      <c r="Y88" s="519">
        <v>693</v>
      </c>
      <c r="Z88" s="519">
        <v>468</v>
      </c>
      <c r="AA88" s="519">
        <v>708</v>
      </c>
      <c r="AB88" s="984">
        <f t="shared" si="14"/>
        <v>16076</v>
      </c>
      <c r="AC88" s="983">
        <f>AB88/DataUK1!$B88</f>
        <v>3.5542781339818705</v>
      </c>
      <c r="AD88" s="983">
        <v>1</v>
      </c>
      <c r="AE88" s="984">
        <f t="shared" si="20"/>
        <v>10007</v>
      </c>
      <c r="AF88" s="983">
        <f>AE88/DataUK1!$B88</f>
        <v>2.2124695998231263</v>
      </c>
      <c r="AG88" s="984">
        <f t="shared" si="15"/>
        <v>814</v>
      </c>
      <c r="AH88" s="983">
        <v>1</v>
      </c>
      <c r="AI88" s="984">
        <v>1897</v>
      </c>
      <c r="AJ88" s="983">
        <f>AI88/DataUK1!B88</f>
        <v>0.41941189476011498</v>
      </c>
      <c r="AK88" s="984">
        <v>5809</v>
      </c>
      <c r="AL88" s="983">
        <f>AK88/DataUK1!$B88</f>
        <v>1.2843245633429139</v>
      </c>
      <c r="AM88" s="984">
        <v>1037</v>
      </c>
      <c r="AN88" s="984">
        <v>29</v>
      </c>
      <c r="AO88" s="984">
        <v>312</v>
      </c>
      <c r="AP88" s="984">
        <v>317</v>
      </c>
      <c r="AQ88" s="984">
        <f t="shared" si="16"/>
        <v>4172</v>
      </c>
      <c r="AR88" s="983">
        <f>AQ88/DataUK1!$B88</f>
        <v>0.92239663939862926</v>
      </c>
      <c r="AS88" s="254">
        <f t="shared" si="17"/>
        <v>16076</v>
      </c>
      <c r="BE88" s="254">
        <f t="shared" si="18"/>
        <v>814</v>
      </c>
      <c r="BG88" s="979"/>
      <c r="BH88" s="1126"/>
      <c r="BQ88" s="979"/>
      <c r="BR88" s="1139">
        <f>BR87+DataUK1!FI87</f>
        <v>5436</v>
      </c>
      <c r="BS88" s="308">
        <f>BR88/DataUK1!B88</f>
        <v>1.2018571744417421</v>
      </c>
      <c r="BT88" s="977"/>
      <c r="BU88" s="977"/>
      <c r="BV88" s="977"/>
      <c r="BW88" s="980"/>
      <c r="BX88" s="1144"/>
      <c r="CB88" s="991"/>
      <c r="CG88" s="979"/>
      <c r="CH88" s="1126"/>
      <c r="CK88" s="979"/>
      <c r="CL88" s="975">
        <v>8.66</v>
      </c>
      <c r="CM88" s="975">
        <v>2.5</v>
      </c>
      <c r="CN88" s="308">
        <f>1000*CL88/DataUK1!CD88</f>
        <v>1.9146584125580366</v>
      </c>
      <c r="CO88" s="976"/>
      <c r="CP88" s="979"/>
      <c r="CQ88" s="1285">
        <f t="shared" si="19"/>
        <v>491.30000000000007</v>
      </c>
      <c r="CR88" s="1293">
        <v>307.2</v>
      </c>
      <c r="CS88" s="1293">
        <f t="shared" si="22"/>
        <v>37.200000000000074</v>
      </c>
      <c r="CT88" s="1030">
        <v>146.9</v>
      </c>
      <c r="CU88" s="1273">
        <f t="shared" si="6"/>
        <v>491.30000000000007</v>
      </c>
      <c r="CV88" s="959">
        <v>362.3</v>
      </c>
      <c r="CW88" s="2607">
        <v>114.4</v>
      </c>
      <c r="CX88" s="2607"/>
      <c r="CY88" s="1030">
        <v>14.6</v>
      </c>
    </row>
    <row r="89" spans="1:103" s="598" customFormat="1" ht="12" customHeight="1">
      <c r="A89" s="577">
        <f t="shared" si="21"/>
        <v>1930</v>
      </c>
      <c r="B89" s="982">
        <f t="shared" si="7"/>
        <v>19553</v>
      </c>
      <c r="C89" s="254">
        <f t="shared" si="8"/>
        <v>4772</v>
      </c>
      <c r="D89" s="519">
        <f t="shared" si="9"/>
        <v>2945</v>
      </c>
      <c r="E89" s="519">
        <f t="shared" si="10"/>
        <v>1827</v>
      </c>
      <c r="F89" s="988">
        <f t="shared" si="11"/>
        <v>0.61714165968147527</v>
      </c>
      <c r="G89" s="988">
        <f>E89/DataUK1!$B89</f>
        <v>0.42399628684149454</v>
      </c>
      <c r="H89" s="519">
        <f t="shared" si="12"/>
        <v>1175</v>
      </c>
      <c r="I89" s="988">
        <f>H89/DataUK1!$B89</f>
        <v>0.27268507774425621</v>
      </c>
      <c r="L89" s="970">
        <v>1334</v>
      </c>
      <c r="M89" s="983">
        <f>L89/DataUK1!B89</f>
        <v>0.30958459039220237</v>
      </c>
      <c r="N89" s="977"/>
      <c r="S89" s="519">
        <v>19553</v>
      </c>
      <c r="T89" s="519">
        <v>20405</v>
      </c>
      <c r="U89" s="984">
        <f t="shared" si="13"/>
        <v>4772</v>
      </c>
      <c r="V89" s="308">
        <v>1</v>
      </c>
      <c r="W89" s="519">
        <v>2945</v>
      </c>
      <c r="X89" s="308">
        <v>1</v>
      </c>
      <c r="Y89" s="519">
        <v>727</v>
      </c>
      <c r="Z89" s="519">
        <v>448</v>
      </c>
      <c r="AA89" s="519">
        <v>652</v>
      </c>
      <c r="AB89" s="984">
        <f t="shared" si="14"/>
        <v>15633</v>
      </c>
      <c r="AC89" s="983">
        <f>AB89/DataUK1!$B89</f>
        <v>3.6279879322348574</v>
      </c>
      <c r="AD89" s="983">
        <v>1</v>
      </c>
      <c r="AE89" s="984">
        <f t="shared" si="20"/>
        <v>9311</v>
      </c>
      <c r="AF89" s="983">
        <f>AE89/DataUK1!$B89</f>
        <v>2.1608261777674636</v>
      </c>
      <c r="AG89" s="984">
        <f t="shared" si="15"/>
        <v>852</v>
      </c>
      <c r="AH89" s="983">
        <v>1</v>
      </c>
      <c r="AI89" s="984">
        <v>2063</v>
      </c>
      <c r="AJ89" s="983">
        <f>AI89/DataUK1!B89</f>
        <v>0.47876537479693665</v>
      </c>
      <c r="AK89" s="984">
        <v>6010</v>
      </c>
      <c r="AL89" s="983">
        <f>AK89/DataUK1!$B89</f>
        <v>1.3947551636110467</v>
      </c>
      <c r="AM89" s="984">
        <v>1155</v>
      </c>
      <c r="AN89" s="984">
        <v>37</v>
      </c>
      <c r="AO89" s="984">
        <v>304</v>
      </c>
      <c r="AP89" s="984">
        <v>329</v>
      </c>
      <c r="AQ89" s="984">
        <f t="shared" si="16"/>
        <v>4259</v>
      </c>
      <c r="AR89" s="983">
        <f>AQ89/DataUK1!$B89</f>
        <v>0.98839637967045724</v>
      </c>
      <c r="AS89" s="254">
        <f t="shared" si="17"/>
        <v>15633</v>
      </c>
      <c r="BE89" s="254">
        <f t="shared" si="18"/>
        <v>852</v>
      </c>
      <c r="BG89" s="979"/>
      <c r="BH89" s="1126"/>
      <c r="BQ89" s="979"/>
      <c r="BR89" s="178">
        <v>5450</v>
      </c>
      <c r="BS89" s="307">
        <f>BR89/DataUK1!B89</f>
        <v>1.2647946159201671</v>
      </c>
      <c r="BT89" s="977"/>
      <c r="BU89" s="977"/>
      <c r="BV89" s="977"/>
      <c r="BW89" s="980"/>
      <c r="BX89" s="1144"/>
      <c r="CB89" s="991"/>
      <c r="CG89" s="979"/>
      <c r="CH89" s="1126"/>
      <c r="CK89" s="979"/>
      <c r="CL89" s="975">
        <v>8.59</v>
      </c>
      <c r="CM89" s="975">
        <v>2.5299999999999998</v>
      </c>
      <c r="CN89" s="308">
        <f>1000*CL89/DataUK1!CD89</f>
        <v>1.9935019726154559</v>
      </c>
      <c r="CO89" s="976">
        <v>1.6</v>
      </c>
      <c r="CP89" s="979"/>
      <c r="CQ89" s="1285">
        <f t="shared" si="19"/>
        <v>489.1</v>
      </c>
      <c r="CR89" s="1293">
        <v>326.5</v>
      </c>
      <c r="CS89" s="1293">
        <f t="shared" si="22"/>
        <v>7.5000000000000284</v>
      </c>
      <c r="CT89" s="1030">
        <v>155.1</v>
      </c>
      <c r="CU89" s="1273">
        <f t="shared" si="6"/>
        <v>489.1</v>
      </c>
      <c r="CV89" s="959">
        <v>358.6</v>
      </c>
      <c r="CW89" s="2607">
        <v>115.9</v>
      </c>
      <c r="CX89" s="2607"/>
      <c r="CY89" s="1030">
        <v>14.6</v>
      </c>
    </row>
    <row r="90" spans="1:103" s="598" customFormat="1" ht="12" customHeight="1">
      <c r="A90" s="577">
        <f t="shared" si="21"/>
        <v>1931</v>
      </c>
      <c r="B90" s="982">
        <f t="shared" si="7"/>
        <v>18353</v>
      </c>
      <c r="C90" s="254">
        <f t="shared" si="8"/>
        <v>4703</v>
      </c>
      <c r="D90" s="519">
        <f t="shared" si="9"/>
        <v>2922</v>
      </c>
      <c r="E90" s="519">
        <f t="shared" si="10"/>
        <v>1781</v>
      </c>
      <c r="F90" s="988">
        <f t="shared" si="11"/>
        <v>0.62130554964916007</v>
      </c>
      <c r="G90" s="988">
        <f>E90/DataUK1!$B90</f>
        <v>0.43931919092254568</v>
      </c>
      <c r="H90" s="519">
        <f t="shared" si="12"/>
        <v>1196</v>
      </c>
      <c r="I90" s="988">
        <f>H90/DataUK1!$B90</f>
        <v>0.29501726689689201</v>
      </c>
      <c r="L90" s="970">
        <v>1288</v>
      </c>
      <c r="M90" s="983">
        <f>L90/DataUK1!B90</f>
        <v>0.31771090281203751</v>
      </c>
      <c r="N90" s="977"/>
      <c r="S90" s="519">
        <v>18353</v>
      </c>
      <c r="T90" s="519">
        <v>19248</v>
      </c>
      <c r="U90" s="984">
        <f t="shared" si="13"/>
        <v>4703</v>
      </c>
      <c r="V90" s="308">
        <v>1</v>
      </c>
      <c r="W90" s="519">
        <v>2922</v>
      </c>
      <c r="X90" s="308">
        <v>1</v>
      </c>
      <c r="Y90" s="519">
        <v>764</v>
      </c>
      <c r="Z90" s="519">
        <v>432</v>
      </c>
      <c r="AA90" s="519">
        <v>585</v>
      </c>
      <c r="AB90" s="984">
        <f t="shared" si="14"/>
        <v>14545</v>
      </c>
      <c r="AC90" s="983">
        <f>AB90/DataUK1!$B90</f>
        <v>3.5878145041933895</v>
      </c>
      <c r="AD90" s="983">
        <v>1</v>
      </c>
      <c r="AE90" s="984">
        <f t="shared" si="20"/>
        <v>8720</v>
      </c>
      <c r="AF90" s="983">
        <f>AE90/DataUK1!$B90</f>
        <v>2.1509620128268381</v>
      </c>
      <c r="AG90" s="984">
        <f t="shared" si="15"/>
        <v>895</v>
      </c>
      <c r="AH90" s="983">
        <v>1</v>
      </c>
      <c r="AI90" s="984">
        <v>1984</v>
      </c>
      <c r="AJ90" s="983">
        <f>AI90/DataUK1!B90</f>
        <v>0.48939319190922553</v>
      </c>
      <c r="AK90" s="984">
        <v>5532</v>
      </c>
      <c r="AL90" s="983">
        <f>AK90/DataUK1!$B90</f>
        <v>1.3645781943759252</v>
      </c>
      <c r="AM90" s="984">
        <v>1088</v>
      </c>
      <c r="AN90" s="984">
        <v>39</v>
      </c>
      <c r="AO90" s="984">
        <v>326</v>
      </c>
      <c r="AP90" s="984">
        <v>316</v>
      </c>
      <c r="AQ90" s="984">
        <f t="shared" si="16"/>
        <v>3841</v>
      </c>
      <c r="AR90" s="983">
        <f>AQ90/DataUK1!$B90</f>
        <v>0.94745929945732621</v>
      </c>
      <c r="AS90" s="254">
        <f t="shared" si="17"/>
        <v>14545</v>
      </c>
      <c r="BE90" s="254">
        <f t="shared" si="18"/>
        <v>895</v>
      </c>
      <c r="BG90" s="979"/>
      <c r="BH90" s="1126"/>
      <c r="BQ90" s="979"/>
      <c r="BR90" s="1139">
        <f>BR89*0.97+DataUK1!FI89</f>
        <v>5285.5</v>
      </c>
      <c r="BS90" s="308">
        <f>BR90/DataUK1!B90</f>
        <v>1.3037740503206712</v>
      </c>
      <c r="BT90" s="977"/>
      <c r="BU90" s="977"/>
      <c r="BV90" s="977"/>
      <c r="BW90" s="980"/>
      <c r="BX90" s="1144"/>
      <c r="CB90" s="991"/>
      <c r="CG90" s="979"/>
      <c r="CH90" s="1126"/>
      <c r="CK90" s="979"/>
      <c r="CL90" s="975">
        <v>8.41</v>
      </c>
      <c r="CM90" s="975">
        <v>2.5099999999999998</v>
      </c>
      <c r="CN90" s="308">
        <f>1000*CL90/DataUK1!CD90</f>
        <v>2.0744943265910214</v>
      </c>
      <c r="CO90" s="976"/>
      <c r="CP90" s="979"/>
      <c r="CQ90" s="1285">
        <f t="shared" si="19"/>
        <v>487.70000000000005</v>
      </c>
      <c r="CR90" s="1296">
        <v>325.2</v>
      </c>
      <c r="CS90" s="1293">
        <f t="shared" si="22"/>
        <v>22.800000000000068</v>
      </c>
      <c r="CT90" s="1030">
        <v>139.69999999999999</v>
      </c>
      <c r="CU90" s="1273">
        <f t="shared" si="6"/>
        <v>487.70000000000005</v>
      </c>
      <c r="CV90" s="959">
        <v>354.8</v>
      </c>
      <c r="CW90" s="2607">
        <v>118.3</v>
      </c>
      <c r="CX90" s="2607"/>
      <c r="CY90" s="1030">
        <v>14.6</v>
      </c>
    </row>
    <row r="91" spans="1:103" s="598" customFormat="1" ht="12" customHeight="1">
      <c r="A91" s="577">
        <f t="shared" si="21"/>
        <v>1932</v>
      </c>
      <c r="B91" s="982">
        <f t="shared" si="7"/>
        <v>20543</v>
      </c>
      <c r="C91" s="254">
        <f t="shared" si="8"/>
        <v>4525</v>
      </c>
      <c r="D91" s="519">
        <f t="shared" si="9"/>
        <v>2812</v>
      </c>
      <c r="E91" s="519">
        <f t="shared" si="10"/>
        <v>1713</v>
      </c>
      <c r="F91" s="988">
        <f t="shared" si="11"/>
        <v>0.62143646408839781</v>
      </c>
      <c r="G91" s="988">
        <f>E91/DataUK1!$B91</f>
        <v>0.42760858711932109</v>
      </c>
      <c r="H91" s="519">
        <f t="shared" si="12"/>
        <v>1133</v>
      </c>
      <c r="I91" s="988">
        <f>H91/DataUK1!$B91</f>
        <v>0.28282576135796311</v>
      </c>
      <c r="L91" s="970">
        <v>1264</v>
      </c>
      <c r="M91" s="983">
        <f>L91/DataUK1!B91</f>
        <v>0.3155267099350974</v>
      </c>
      <c r="N91" s="977"/>
      <c r="S91" s="519">
        <v>20543</v>
      </c>
      <c r="T91" s="519">
        <v>21420</v>
      </c>
      <c r="U91" s="984">
        <f t="shared" si="13"/>
        <v>4525</v>
      </c>
      <c r="V91" s="308">
        <v>1</v>
      </c>
      <c r="W91" s="519">
        <v>2812</v>
      </c>
      <c r="X91" s="308">
        <v>1</v>
      </c>
      <c r="Y91" s="519">
        <v>736</v>
      </c>
      <c r="Z91" s="519">
        <v>397</v>
      </c>
      <c r="AA91" s="519">
        <v>580</v>
      </c>
      <c r="AB91" s="984">
        <f t="shared" si="14"/>
        <v>16895</v>
      </c>
      <c r="AC91" s="983">
        <f>AB91/DataUK1!$B91</f>
        <v>4.2174238642036945</v>
      </c>
      <c r="AD91" s="983">
        <v>1</v>
      </c>
      <c r="AE91" s="984">
        <f t="shared" si="20"/>
        <v>10368</v>
      </c>
      <c r="AF91" s="983">
        <f>AE91/DataUK1!$B91</f>
        <v>2.5881178232651028</v>
      </c>
      <c r="AG91" s="984">
        <f t="shared" si="15"/>
        <v>877</v>
      </c>
      <c r="AH91" s="983">
        <v>1</v>
      </c>
      <c r="AI91" s="984">
        <v>2055</v>
      </c>
      <c r="AJ91" s="983">
        <f>AI91/DataUK1!B91</f>
        <v>0.51298052920619075</v>
      </c>
      <c r="AK91" s="984">
        <v>6542</v>
      </c>
      <c r="AL91" s="983">
        <f>AK91/DataUK1!$B91</f>
        <v>1.6330504243634549</v>
      </c>
      <c r="AM91" s="984">
        <v>1413</v>
      </c>
      <c r="AN91" s="984">
        <v>59</v>
      </c>
      <c r="AO91" s="984">
        <v>356</v>
      </c>
      <c r="AP91" s="984">
        <v>360</v>
      </c>
      <c r="AQ91" s="984">
        <f t="shared" si="16"/>
        <v>4472</v>
      </c>
      <c r="AR91" s="983">
        <f>AQ91/DataUK1!$B91</f>
        <v>1.1163255117324016</v>
      </c>
      <c r="AS91" s="254">
        <f t="shared" si="17"/>
        <v>16895</v>
      </c>
      <c r="BE91" s="254">
        <f t="shared" si="18"/>
        <v>877</v>
      </c>
      <c r="BG91" s="979"/>
      <c r="BH91" s="1126"/>
      <c r="BQ91" s="979"/>
      <c r="BR91" s="1139">
        <f>BR90*0.97+DataUK1!FI90</f>
        <v>4995.9349999999995</v>
      </c>
      <c r="BS91" s="308">
        <f>BR91/DataUK1!B91</f>
        <v>1.2471130803794308</v>
      </c>
      <c r="BT91" s="977"/>
      <c r="BU91" s="977"/>
      <c r="BV91" s="977"/>
      <c r="BW91" s="980"/>
      <c r="BX91" s="1144"/>
      <c r="CB91" s="991"/>
      <c r="CG91" s="979"/>
      <c r="CH91" s="1126"/>
      <c r="CK91" s="979"/>
      <c r="CL91" s="975">
        <v>8.1300000000000008</v>
      </c>
      <c r="CM91" s="975">
        <v>2.4700000000000002</v>
      </c>
      <c r="CN91" s="308">
        <f>1000*CL91/DataUK1!CD91</f>
        <v>2.0294558162755867</v>
      </c>
      <c r="CO91" s="976"/>
      <c r="CP91" s="979"/>
      <c r="CQ91" s="1285">
        <f t="shared" si="19"/>
        <v>505.90000000000003</v>
      </c>
      <c r="CR91" s="1292">
        <v>290</v>
      </c>
      <c r="CS91" s="1293">
        <f t="shared" si="22"/>
        <v>85.500000000000028</v>
      </c>
      <c r="CT91" s="1030">
        <v>130.4</v>
      </c>
      <c r="CU91" s="1273">
        <f t="shared" si="6"/>
        <v>505.90000000000003</v>
      </c>
      <c r="CV91" s="959">
        <v>359.5</v>
      </c>
      <c r="CW91" s="2607">
        <v>131.80000000000001</v>
      </c>
      <c r="CX91" s="2607"/>
      <c r="CY91" s="1030">
        <v>14.6</v>
      </c>
    </row>
    <row r="92" spans="1:103" s="598" customFormat="1" ht="12" customHeight="1">
      <c r="A92" s="577">
        <f t="shared" si="21"/>
        <v>1933</v>
      </c>
      <c r="B92" s="982">
        <f t="shared" si="7"/>
        <v>22851</v>
      </c>
      <c r="C92" s="254">
        <f t="shared" si="8"/>
        <v>4674</v>
      </c>
      <c r="D92" s="519">
        <f t="shared" si="9"/>
        <v>2907</v>
      </c>
      <c r="E92" s="519">
        <f t="shared" si="10"/>
        <v>1767</v>
      </c>
      <c r="F92" s="988">
        <f t="shared" si="11"/>
        <v>0.62195121951219512</v>
      </c>
      <c r="G92" s="988">
        <f>E92/DataUK1!$B92</f>
        <v>0.42262616598899783</v>
      </c>
      <c r="H92" s="519">
        <f t="shared" si="12"/>
        <v>1142</v>
      </c>
      <c r="I92" s="988">
        <f>H92/DataUK1!$B92</f>
        <v>0.27314039703420234</v>
      </c>
      <c r="L92" s="970">
        <v>1305</v>
      </c>
      <c r="M92" s="983">
        <f>L92/DataUK1!B92</f>
        <v>0.31212628557761302</v>
      </c>
      <c r="N92" s="977"/>
      <c r="S92" s="519">
        <v>22851</v>
      </c>
      <c r="T92" s="519">
        <v>23753</v>
      </c>
      <c r="U92" s="984">
        <f t="shared" si="13"/>
        <v>4674</v>
      </c>
      <c r="V92" s="308">
        <v>1</v>
      </c>
      <c r="W92" s="519">
        <v>2907</v>
      </c>
      <c r="X92" s="308">
        <v>1</v>
      </c>
      <c r="Y92" s="519">
        <v>798</v>
      </c>
      <c r="Z92" s="519">
        <v>344</v>
      </c>
      <c r="AA92" s="519">
        <v>625</v>
      </c>
      <c r="AB92" s="984">
        <f t="shared" si="14"/>
        <v>19079</v>
      </c>
      <c r="AC92" s="983">
        <f>AB92/DataUK1!$B92</f>
        <v>4.5632623774216698</v>
      </c>
      <c r="AD92" s="983">
        <v>1</v>
      </c>
      <c r="AE92" s="984">
        <f t="shared" si="20"/>
        <v>12380</v>
      </c>
      <c r="AF92" s="983">
        <f>AE92/DataUK1!$B92</f>
        <v>2.9610141114565893</v>
      </c>
      <c r="AG92" s="984">
        <f t="shared" si="15"/>
        <v>902</v>
      </c>
      <c r="AH92" s="983">
        <v>1</v>
      </c>
      <c r="AI92" s="984">
        <v>2098</v>
      </c>
      <c r="AJ92" s="983">
        <f>AI92/DataUK1!B92</f>
        <v>0.50179382922745752</v>
      </c>
      <c r="AK92" s="984">
        <v>6785</v>
      </c>
      <c r="AL92" s="983">
        <f>AK92/DataUK1!$B92</f>
        <v>1.6228175077732601</v>
      </c>
      <c r="AM92" s="984">
        <v>1489</v>
      </c>
      <c r="AN92" s="984">
        <v>53</v>
      </c>
      <c r="AO92" s="984">
        <v>334</v>
      </c>
      <c r="AP92" s="984">
        <v>414</v>
      </c>
      <c r="AQ92" s="984">
        <f t="shared" si="16"/>
        <v>4601</v>
      </c>
      <c r="AR92" s="983">
        <f>AQ92/DataUK1!$B92</f>
        <v>1.1004544367376226</v>
      </c>
      <c r="AS92" s="254">
        <f t="shared" si="17"/>
        <v>19079</v>
      </c>
      <c r="BE92" s="254">
        <f t="shared" si="18"/>
        <v>902</v>
      </c>
      <c r="BG92" s="979"/>
      <c r="BH92" s="1126"/>
      <c r="BQ92" s="979"/>
      <c r="BR92" s="1139">
        <f>BR91*0.97+DataUK1!FI91</f>
        <v>4787.0569499999992</v>
      </c>
      <c r="BS92" s="308">
        <f>BR92/DataUK1!B92</f>
        <v>1.1449550227218368</v>
      </c>
      <c r="BT92" s="977"/>
      <c r="BU92" s="977"/>
      <c r="BV92" s="977"/>
      <c r="BW92" s="980"/>
      <c r="BX92" s="1144"/>
      <c r="CB92" s="991"/>
      <c r="CG92" s="979"/>
      <c r="CH92" s="1126"/>
      <c r="CK92" s="979"/>
      <c r="CL92" s="975">
        <v>8.08</v>
      </c>
      <c r="CM92" s="975">
        <v>2.5299999999999998</v>
      </c>
      <c r="CN92" s="308">
        <f>1000*CL92/DataUK1!CD92</f>
        <v>1.9325520210475962</v>
      </c>
      <c r="CO92" s="976"/>
      <c r="CP92" s="979"/>
      <c r="CQ92" s="1285">
        <f t="shared" si="19"/>
        <v>543.6</v>
      </c>
      <c r="CR92" s="1292">
        <v>300</v>
      </c>
      <c r="CS92" s="1293">
        <f t="shared" si="22"/>
        <v>67.000000000000028</v>
      </c>
      <c r="CT92" s="1030">
        <v>176.6</v>
      </c>
      <c r="CU92" s="1273">
        <f t="shared" si="6"/>
        <v>543.6</v>
      </c>
      <c r="CV92" s="959">
        <v>371.2</v>
      </c>
      <c r="CW92" s="2607">
        <v>157.80000000000001</v>
      </c>
      <c r="CX92" s="2607"/>
      <c r="CY92" s="1030">
        <v>14.6</v>
      </c>
    </row>
    <row r="93" spans="1:103" s="598" customFormat="1">
      <c r="A93" s="577">
        <f t="shared" si="21"/>
        <v>1934</v>
      </c>
      <c r="B93" s="982">
        <f t="shared" si="7"/>
        <v>24486</v>
      </c>
      <c r="C93" s="254">
        <f t="shared" si="8"/>
        <v>4778</v>
      </c>
      <c r="D93" s="519">
        <f t="shared" si="9"/>
        <v>2907</v>
      </c>
      <c r="E93" s="519">
        <f t="shared" si="10"/>
        <v>1871</v>
      </c>
      <c r="F93" s="988">
        <f t="shared" si="11"/>
        <v>0.6084135621598995</v>
      </c>
      <c r="G93" s="988">
        <f>E93/DataUK1!$B93</f>
        <v>0.42311171415649029</v>
      </c>
      <c r="H93" s="519">
        <f t="shared" si="12"/>
        <v>1240</v>
      </c>
      <c r="I93" s="988">
        <f>H93/DataUK1!$B93</f>
        <v>0.2804161013116237</v>
      </c>
      <c r="L93" s="970">
        <v>1360</v>
      </c>
      <c r="M93" s="983">
        <f>L93/DataUK1!B93</f>
        <v>0.30755314337403888</v>
      </c>
      <c r="N93" s="977"/>
      <c r="S93" s="519">
        <v>24486</v>
      </c>
      <c r="T93" s="519">
        <v>25465</v>
      </c>
      <c r="U93" s="984">
        <f t="shared" si="13"/>
        <v>4778</v>
      </c>
      <c r="V93" s="308">
        <v>1</v>
      </c>
      <c r="W93" s="519">
        <v>2907</v>
      </c>
      <c r="X93" s="308">
        <v>1</v>
      </c>
      <c r="Y93" s="519">
        <v>870</v>
      </c>
      <c r="Z93" s="519">
        <v>370</v>
      </c>
      <c r="AA93" s="519">
        <v>631</v>
      </c>
      <c r="AB93" s="984">
        <f t="shared" si="14"/>
        <v>20687</v>
      </c>
      <c r="AC93" s="983">
        <f>AB93/DataUK1!$B93</f>
        <v>4.678199909543193</v>
      </c>
      <c r="AD93" s="983">
        <v>1</v>
      </c>
      <c r="AE93" s="984">
        <f t="shared" si="20"/>
        <v>12042</v>
      </c>
      <c r="AF93" s="983">
        <f>AE93/DataUK1!$B93</f>
        <v>2.7232021709633649</v>
      </c>
      <c r="AG93" s="984">
        <f t="shared" si="15"/>
        <v>979</v>
      </c>
      <c r="AH93" s="983">
        <v>1</v>
      </c>
      <c r="AI93" s="984">
        <v>2401</v>
      </c>
      <c r="AJ93" s="983">
        <f>AI93/DataUK1!B93</f>
        <v>0.54296698326549075</v>
      </c>
      <c r="AK93" s="984">
        <v>7178</v>
      </c>
      <c r="AL93" s="983">
        <f>AK93/DataUK1!$B93</f>
        <v>1.6232473993668024</v>
      </c>
      <c r="AM93" s="984">
        <v>198</v>
      </c>
      <c r="AN93" s="984">
        <v>52</v>
      </c>
      <c r="AO93" s="984">
        <v>342</v>
      </c>
      <c r="AP93" s="984">
        <v>446</v>
      </c>
      <c r="AQ93" s="984">
        <f t="shared" si="16"/>
        <v>6244</v>
      </c>
      <c r="AR93" s="983">
        <f>AQ93/DataUK1!$B93</f>
        <v>1.4120307553143374</v>
      </c>
      <c r="AS93" s="254">
        <f t="shared" si="17"/>
        <v>20687</v>
      </c>
      <c r="BE93" s="254">
        <f t="shared" si="18"/>
        <v>979</v>
      </c>
      <c r="BG93" s="979"/>
      <c r="BH93" s="1126"/>
      <c r="BQ93" s="979"/>
      <c r="BR93" s="1139">
        <f>BR92*0.97+DataUK1!FI92</f>
        <v>4631.4452414999987</v>
      </c>
      <c r="BS93" s="308">
        <f>BR93/DataUK1!B93</f>
        <v>1.0473643694029848</v>
      </c>
      <c r="BT93" s="977"/>
      <c r="BU93" s="977"/>
      <c r="BV93" s="977"/>
      <c r="BW93" s="980"/>
      <c r="BX93" s="1144"/>
      <c r="CB93" s="991"/>
      <c r="CG93" s="979"/>
      <c r="CH93" s="1126"/>
      <c r="CK93" s="979"/>
      <c r="CL93" s="975">
        <v>8.2200000000000006</v>
      </c>
      <c r="CM93" s="975">
        <v>2.66</v>
      </c>
      <c r="CN93" s="308">
        <f>1000*CL93/DataUK1!CD93</f>
        <v>1.858887381275441</v>
      </c>
      <c r="CO93" s="976"/>
      <c r="CP93" s="979"/>
      <c r="CQ93" s="1285">
        <f t="shared" si="19"/>
        <v>548.70000000000005</v>
      </c>
      <c r="CR93" s="1292">
        <v>300</v>
      </c>
      <c r="CS93" s="1293">
        <f t="shared" si="22"/>
        <v>57.200000000000045</v>
      </c>
      <c r="CT93" s="1030">
        <v>191.5</v>
      </c>
      <c r="CU93" s="1273">
        <f t="shared" si="6"/>
        <v>548.70000000000005</v>
      </c>
      <c r="CV93" s="959">
        <v>378.5</v>
      </c>
      <c r="CW93" s="2607">
        <v>155.6</v>
      </c>
      <c r="CX93" s="2607"/>
      <c r="CY93" s="1030">
        <v>14.6</v>
      </c>
    </row>
    <row r="94" spans="1:103" s="598" customFormat="1">
      <c r="A94" s="577">
        <f t="shared" si="21"/>
        <v>1935</v>
      </c>
      <c r="B94" s="982">
        <f t="shared" si="7"/>
        <v>25786</v>
      </c>
      <c r="C94" s="254">
        <f t="shared" si="8"/>
        <v>4979</v>
      </c>
      <c r="D94" s="519">
        <f t="shared" si="9"/>
        <v>3156</v>
      </c>
      <c r="E94" s="519">
        <f t="shared" si="10"/>
        <v>1823</v>
      </c>
      <c r="F94" s="988">
        <f t="shared" si="11"/>
        <v>0.63386222132958425</v>
      </c>
      <c r="G94" s="988">
        <f>E94/DataUK1!$B94</f>
        <v>0.3940769563337656</v>
      </c>
      <c r="H94" s="519">
        <f t="shared" si="12"/>
        <v>1157</v>
      </c>
      <c r="I94" s="988">
        <f>H94/DataUK1!$B94</f>
        <v>0.25010808473843488</v>
      </c>
      <c r="L94" s="970">
        <v>1429</v>
      </c>
      <c r="M94" s="983">
        <f>L94/DataUK1!B94</f>
        <v>0.30890618244703844</v>
      </c>
      <c r="N94" s="977"/>
      <c r="S94" s="519">
        <v>25786</v>
      </c>
      <c r="T94" s="519">
        <v>26845</v>
      </c>
      <c r="U94" s="984">
        <f t="shared" si="13"/>
        <v>4979</v>
      </c>
      <c r="V94" s="308">
        <v>1</v>
      </c>
      <c r="W94" s="519">
        <v>3156</v>
      </c>
      <c r="X94" s="308">
        <v>1</v>
      </c>
      <c r="Y94" s="519">
        <v>791</v>
      </c>
      <c r="Z94" s="519">
        <v>366</v>
      </c>
      <c r="AA94" s="519">
        <v>666</v>
      </c>
      <c r="AB94" s="984">
        <f t="shared" si="14"/>
        <v>21866</v>
      </c>
      <c r="AC94" s="983">
        <f>AB94/DataUK1!$B94</f>
        <v>4.7267617812364886</v>
      </c>
      <c r="AD94" s="983">
        <v>1</v>
      </c>
      <c r="AE94" s="984">
        <f t="shared" si="20"/>
        <v>14559</v>
      </c>
      <c r="AF94" s="983">
        <f>AE94/DataUK1!$B94</f>
        <v>3.1472114137483782</v>
      </c>
      <c r="AG94" s="984">
        <f t="shared" si="15"/>
        <v>1059</v>
      </c>
      <c r="AH94" s="983">
        <v>1</v>
      </c>
      <c r="AI94" s="984">
        <v>2512</v>
      </c>
      <c r="AJ94" s="983">
        <f>AI94/DataUK1!B94</f>
        <v>0.54301772589710318</v>
      </c>
      <c r="AK94" s="984">
        <v>7214</v>
      </c>
      <c r="AL94" s="983">
        <f>AK94/DataUK1!$B94</f>
        <v>1.5594466061392129</v>
      </c>
      <c r="AM94" s="984">
        <v>1658</v>
      </c>
      <c r="AN94" s="984">
        <v>42</v>
      </c>
      <c r="AO94" s="984">
        <v>342</v>
      </c>
      <c r="AP94" s="984">
        <v>461</v>
      </c>
      <c r="AQ94" s="984">
        <f t="shared" si="16"/>
        <v>4795</v>
      </c>
      <c r="AR94" s="983">
        <f>AQ94/DataUK1!$B94</f>
        <v>1.0365326415910072</v>
      </c>
      <c r="AS94" s="254">
        <f t="shared" si="17"/>
        <v>21866</v>
      </c>
      <c r="BE94" s="254">
        <f t="shared" si="18"/>
        <v>1059</v>
      </c>
      <c r="BG94" s="979"/>
      <c r="BH94" s="1126"/>
      <c r="BQ94" s="979"/>
      <c r="BR94" s="1139">
        <f>BR93*0.97+DataUK1!FI93</f>
        <v>4468.5018842549989</v>
      </c>
      <c r="BS94" s="308">
        <f>BR94/DataUK1!B94</f>
        <v>0.96595371471141334</v>
      </c>
      <c r="BT94" s="977"/>
      <c r="BU94" s="977"/>
      <c r="BV94" s="977"/>
      <c r="BW94" s="980"/>
      <c r="BX94" s="1144"/>
      <c r="CB94" s="991"/>
      <c r="CG94" s="979"/>
      <c r="CH94" s="1126"/>
      <c r="CK94" s="979"/>
      <c r="CL94" s="975">
        <v>8.56</v>
      </c>
      <c r="CM94" s="975">
        <v>2.84</v>
      </c>
      <c r="CN94" s="308">
        <f>1000*CL94/DataUK1!CD94</f>
        <v>1.8504107220060528</v>
      </c>
      <c r="CO94" s="976"/>
      <c r="CP94" s="979"/>
      <c r="CQ94" s="1285">
        <f t="shared" si="19"/>
        <v>559.4</v>
      </c>
      <c r="CR94" s="1292">
        <v>320</v>
      </c>
      <c r="CS94" s="1293">
        <f t="shared" si="22"/>
        <v>45.699999999999989</v>
      </c>
      <c r="CT94" s="1030">
        <v>193.7</v>
      </c>
      <c r="CU94" s="1273">
        <f t="shared" si="6"/>
        <v>559.4</v>
      </c>
      <c r="CV94" s="959">
        <v>394.7</v>
      </c>
      <c r="CW94" s="2607">
        <v>150.1</v>
      </c>
      <c r="CX94" s="2607"/>
      <c r="CY94" s="1030">
        <v>14.6</v>
      </c>
    </row>
    <row r="95" spans="1:103" s="598" customFormat="1">
      <c r="A95" s="577">
        <f t="shared" si="21"/>
        <v>1936</v>
      </c>
      <c r="B95" s="982">
        <f t="shared" si="7"/>
        <v>27120</v>
      </c>
      <c r="C95" s="254">
        <f t="shared" si="8"/>
        <v>5318</v>
      </c>
      <c r="D95" s="519">
        <f t="shared" si="9"/>
        <v>3361</v>
      </c>
      <c r="E95" s="519">
        <f t="shared" si="10"/>
        <v>1957</v>
      </c>
      <c r="F95" s="988">
        <f t="shared" si="11"/>
        <v>0.63200451297480253</v>
      </c>
      <c r="G95" s="988">
        <f>E95/DataUK1!$B95</f>
        <v>0.39431795285109811</v>
      </c>
      <c r="H95" s="519">
        <f t="shared" si="12"/>
        <v>1255</v>
      </c>
      <c r="I95" s="988">
        <f>H95/DataUK1!$B95</f>
        <v>0.25287124722949827</v>
      </c>
      <c r="L95" s="970">
        <v>1555</v>
      </c>
      <c r="M95" s="983">
        <f>L95/DataUK1!B95</f>
        <v>0.31331855732419905</v>
      </c>
      <c r="N95" s="977"/>
      <c r="S95" s="519">
        <v>27120</v>
      </c>
      <c r="T95" s="519">
        <v>28290</v>
      </c>
      <c r="U95" s="984">
        <f t="shared" si="13"/>
        <v>5318</v>
      </c>
      <c r="V95" s="308">
        <v>1</v>
      </c>
      <c r="W95" s="519">
        <v>3361</v>
      </c>
      <c r="X95" s="308">
        <v>1</v>
      </c>
      <c r="Y95" s="519">
        <v>872</v>
      </c>
      <c r="Z95" s="519">
        <v>383</v>
      </c>
      <c r="AA95" s="519">
        <v>702</v>
      </c>
      <c r="AB95" s="984">
        <f t="shared" si="14"/>
        <v>22972</v>
      </c>
      <c r="AC95" s="983">
        <f>AB95/DataUK1!$B95</f>
        <v>4.6286520249848886</v>
      </c>
      <c r="AD95" s="983">
        <v>1</v>
      </c>
      <c r="AE95" s="984">
        <f t="shared" si="20"/>
        <v>16137</v>
      </c>
      <c r="AF95" s="983">
        <f>AE95/DataUK1!$B95</f>
        <v>3.2514608099939553</v>
      </c>
      <c r="AG95" s="984">
        <f t="shared" si="15"/>
        <v>1170</v>
      </c>
      <c r="AH95" s="983">
        <v>1</v>
      </c>
      <c r="AI95" s="984">
        <v>2567</v>
      </c>
      <c r="AJ95" s="983">
        <f>AI95/DataUK1!B95</f>
        <v>0.51722748337698976</v>
      </c>
      <c r="AK95" s="984">
        <v>6920</v>
      </c>
      <c r="AL95" s="983">
        <f>AK95/DataUK1!$B95</f>
        <v>1.3943179528510981</v>
      </c>
      <c r="AM95" s="984">
        <v>1815</v>
      </c>
      <c r="AN95" s="984">
        <v>35</v>
      </c>
      <c r="AO95" s="984">
        <v>318</v>
      </c>
      <c r="AP95" s="984">
        <v>554</v>
      </c>
      <c r="AQ95" s="984">
        <f t="shared" si="16"/>
        <v>4268</v>
      </c>
      <c r="AR95" s="983">
        <f>AQ95/DataUK1!$B95</f>
        <v>0.85996373161394313</v>
      </c>
      <c r="AS95" s="254">
        <f t="shared" si="17"/>
        <v>22972</v>
      </c>
      <c r="BE95" s="254">
        <f t="shared" si="18"/>
        <v>1170</v>
      </c>
      <c r="BG95" s="979"/>
      <c r="BH95" s="1126"/>
      <c r="BQ95" s="979"/>
      <c r="BR95" s="1139">
        <f>BR94*0.97+DataUK1!FI94</f>
        <v>4357.446827727349</v>
      </c>
      <c r="BS95" s="308">
        <f>BR95/DataUK1!B95</f>
        <v>0.87798646538935099</v>
      </c>
      <c r="BT95" s="977"/>
      <c r="BU95" s="977"/>
      <c r="BV95" s="977"/>
      <c r="BW95" s="980"/>
      <c r="BX95" s="1144"/>
      <c r="CB95" s="991"/>
      <c r="CG95" s="979"/>
      <c r="CH95" s="1126"/>
      <c r="CK95" s="979"/>
      <c r="CL95" s="975">
        <v>9.08</v>
      </c>
      <c r="CM95" s="975">
        <v>3.07</v>
      </c>
      <c r="CN95" s="308">
        <f>1000*CL95/DataUK1!CD95</f>
        <v>1.8295385855329438</v>
      </c>
      <c r="CO95" s="976"/>
      <c r="CP95" s="979"/>
      <c r="CQ95" s="1285">
        <f t="shared" si="19"/>
        <v>597.1</v>
      </c>
      <c r="CR95" s="1292">
        <v>325</v>
      </c>
      <c r="CS95" s="1293">
        <f t="shared" si="22"/>
        <v>44.600000000000023</v>
      </c>
      <c r="CT95" s="1030">
        <v>227.5</v>
      </c>
      <c r="CU95" s="1273">
        <f t="shared" si="6"/>
        <v>597.1</v>
      </c>
      <c r="CV95" s="959">
        <v>431.2</v>
      </c>
      <c r="CW95" s="2607">
        <v>151.30000000000001</v>
      </c>
      <c r="CX95" s="2607"/>
      <c r="CY95" s="1030">
        <v>14.6</v>
      </c>
    </row>
    <row r="96" spans="1:103" s="598" customFormat="1">
      <c r="A96" s="577">
        <f t="shared" si="21"/>
        <v>1937</v>
      </c>
      <c r="B96" s="982">
        <f t="shared" si="7"/>
        <v>25409</v>
      </c>
      <c r="C96" s="254">
        <f t="shared" si="8"/>
        <v>5492</v>
      </c>
      <c r="D96" s="519">
        <f t="shared" si="9"/>
        <v>3532</v>
      </c>
      <c r="E96" s="519">
        <f t="shared" si="10"/>
        <v>1960</v>
      </c>
      <c r="F96" s="988">
        <f t="shared" si="11"/>
        <v>0.64311726147123083</v>
      </c>
      <c r="G96" s="988">
        <f>E96/DataUK1!$B96</f>
        <v>0.37656099903938522</v>
      </c>
      <c r="H96" s="519">
        <f t="shared" si="12"/>
        <v>1292</v>
      </c>
      <c r="I96" s="988">
        <f>H96/DataUK1!$B96</f>
        <v>0.24822286263208454</v>
      </c>
      <c r="L96" s="970">
        <v>1677</v>
      </c>
      <c r="M96" s="983">
        <f>L96/DataUK1!B96</f>
        <v>0.32219020172910662</v>
      </c>
      <c r="N96" s="977"/>
      <c r="S96" s="519">
        <v>25409</v>
      </c>
      <c r="T96" s="519">
        <v>26672</v>
      </c>
      <c r="U96" s="984">
        <f t="shared" si="13"/>
        <v>5492</v>
      </c>
      <c r="V96" s="308">
        <v>1</v>
      </c>
      <c r="W96" s="519">
        <v>3532</v>
      </c>
      <c r="X96" s="308">
        <v>1</v>
      </c>
      <c r="Y96" s="519">
        <v>869</v>
      </c>
      <c r="Z96" s="519">
        <v>423</v>
      </c>
      <c r="AA96" s="519">
        <v>668</v>
      </c>
      <c r="AB96" s="984">
        <f t="shared" si="14"/>
        <v>21180</v>
      </c>
      <c r="AC96" s="983">
        <f>AB96/DataUK1!$B96</f>
        <v>4.0691642651296833</v>
      </c>
      <c r="AD96" s="983">
        <v>1</v>
      </c>
      <c r="AE96" s="984">
        <f t="shared" si="20"/>
        <v>14463</v>
      </c>
      <c r="AF96" s="983">
        <f>AE96/DataUK1!$B96</f>
        <v>2.7786743515850145</v>
      </c>
      <c r="AG96" s="984">
        <f t="shared" si="15"/>
        <v>1263</v>
      </c>
      <c r="AH96" s="983">
        <v>1</v>
      </c>
      <c r="AI96" s="984">
        <v>2524</v>
      </c>
      <c r="AJ96" s="983">
        <f>AI96/DataUK1!B96</f>
        <v>0.48491834774255521</v>
      </c>
      <c r="AK96" s="984">
        <v>6888</v>
      </c>
      <c r="AL96" s="983">
        <f>AK96/DataUK1!$B96</f>
        <v>1.3233429394812679</v>
      </c>
      <c r="AM96" s="984">
        <v>1792</v>
      </c>
      <c r="AN96" s="984">
        <v>36</v>
      </c>
      <c r="AO96" s="984">
        <v>318</v>
      </c>
      <c r="AP96" s="984">
        <v>621</v>
      </c>
      <c r="AQ96" s="984">
        <f t="shared" si="16"/>
        <v>4193</v>
      </c>
      <c r="AR96" s="983">
        <f>AQ96/DataUK1!$B96</f>
        <v>0.80557156580211331</v>
      </c>
      <c r="AS96" s="254">
        <f t="shared" si="17"/>
        <v>21180</v>
      </c>
      <c r="BE96" s="254">
        <f t="shared" si="18"/>
        <v>1263</v>
      </c>
      <c r="BG96" s="979"/>
      <c r="BH96" s="1126"/>
      <c r="BQ96" s="979"/>
      <c r="BR96" s="1139">
        <f>BR95*0.97+DataUK1!FI95</f>
        <v>4199.7234228955285</v>
      </c>
      <c r="BS96" s="308">
        <f>BR96/DataUK1!B96</f>
        <v>0.80686328970135035</v>
      </c>
      <c r="BT96" s="977"/>
      <c r="BU96" s="977"/>
      <c r="BV96" s="977"/>
      <c r="BW96" s="980"/>
      <c r="BX96" s="1144"/>
      <c r="CB96" s="991"/>
      <c r="CG96" s="979"/>
      <c r="CH96" s="1126"/>
      <c r="CK96" s="979"/>
      <c r="CL96" s="975">
        <v>9.86</v>
      </c>
      <c r="CM96" s="975">
        <v>3.34</v>
      </c>
      <c r="CN96" s="308">
        <f>1000*CL96/DataUK1!CD96</f>
        <v>1.8943323727185399</v>
      </c>
      <c r="CO96" s="976"/>
      <c r="CP96" s="979"/>
      <c r="CQ96" s="1285">
        <f t="shared" si="19"/>
        <v>648.1</v>
      </c>
      <c r="CR96" s="1292">
        <v>325</v>
      </c>
      <c r="CS96" s="1293">
        <f t="shared" si="22"/>
        <v>1.7000000000000455</v>
      </c>
      <c r="CT96" s="1030">
        <v>321.39999999999998</v>
      </c>
      <c r="CU96" s="1273">
        <f t="shared" si="6"/>
        <v>648.1</v>
      </c>
      <c r="CV96" s="959">
        <v>479.6</v>
      </c>
      <c r="CW96" s="2607">
        <v>153.9</v>
      </c>
      <c r="CX96" s="2607"/>
      <c r="CY96" s="1030">
        <v>14.6</v>
      </c>
    </row>
    <row r="97" spans="1:103" s="598" customFormat="1">
      <c r="A97" s="577">
        <f t="shared" si="21"/>
        <v>1938</v>
      </c>
      <c r="B97" s="982">
        <f t="shared" si="7"/>
        <v>24289</v>
      </c>
      <c r="C97" s="254">
        <f t="shared" si="8"/>
        <v>5661</v>
      </c>
      <c r="D97" s="519">
        <f t="shared" si="9"/>
        <v>3695</v>
      </c>
      <c r="E97" s="519">
        <f t="shared" si="10"/>
        <v>1966</v>
      </c>
      <c r="F97" s="988">
        <f t="shared" si="11"/>
        <v>0.65271153506447621</v>
      </c>
      <c r="G97" s="988">
        <f>E97/DataUK1!$B97</f>
        <v>0.37576452599388377</v>
      </c>
      <c r="H97" s="519">
        <f t="shared" si="12"/>
        <v>1315</v>
      </c>
      <c r="I97" s="988">
        <f>H97/DataUK1!$B97</f>
        <v>0.25133792048929665</v>
      </c>
      <c r="L97" s="970">
        <v>1714</v>
      </c>
      <c r="M97" s="983">
        <f>L97/DataUK1!B97</f>
        <v>0.32759938837920488</v>
      </c>
      <c r="N97" s="977"/>
      <c r="S97" s="519">
        <v>24289</v>
      </c>
      <c r="T97" s="519">
        <v>25588</v>
      </c>
      <c r="U97" s="984">
        <f t="shared" si="13"/>
        <v>5661</v>
      </c>
      <c r="V97" s="308">
        <v>1</v>
      </c>
      <c r="W97" s="519">
        <v>3695</v>
      </c>
      <c r="X97" s="308">
        <v>1</v>
      </c>
      <c r="Y97" s="519">
        <v>876</v>
      </c>
      <c r="Z97" s="519">
        <v>439</v>
      </c>
      <c r="AA97" s="519">
        <v>651</v>
      </c>
      <c r="AB97" s="984">
        <f t="shared" si="14"/>
        <v>19927</v>
      </c>
      <c r="AC97" s="983">
        <f>AB97/DataUK1!$B97</f>
        <v>3.8086773700305812</v>
      </c>
      <c r="AD97" s="983">
        <v>1</v>
      </c>
      <c r="AE97" s="984">
        <f t="shared" si="20"/>
        <v>13445</v>
      </c>
      <c r="AF97" s="983">
        <f>AE97/DataUK1!$B97</f>
        <v>2.569762996941896</v>
      </c>
      <c r="AG97" s="984">
        <f t="shared" si="15"/>
        <v>1299</v>
      </c>
      <c r="AH97" s="983">
        <v>1</v>
      </c>
      <c r="AI97" s="984">
        <v>2276</v>
      </c>
      <c r="AJ97" s="983">
        <f>AI97/DataUK1!B97</f>
        <v>0.4350152905198777</v>
      </c>
      <c r="AK97" s="984">
        <v>6736</v>
      </c>
      <c r="AL97" s="983">
        <f>AK97/DataUK1!$B97</f>
        <v>1.2874617737003058</v>
      </c>
      <c r="AM97" s="984">
        <v>1805</v>
      </c>
      <c r="AN97" s="984">
        <v>31</v>
      </c>
      <c r="AO97" s="984">
        <v>296</v>
      </c>
      <c r="AP97" s="984">
        <v>460</v>
      </c>
      <c r="AQ97" s="984">
        <f t="shared" si="16"/>
        <v>4206</v>
      </c>
      <c r="AR97" s="983">
        <f>AQ97/DataUK1!$B97</f>
        <v>0.80389908256880738</v>
      </c>
      <c r="AS97" s="254">
        <f t="shared" si="17"/>
        <v>19927</v>
      </c>
      <c r="BE97" s="254">
        <f t="shared" si="18"/>
        <v>1299</v>
      </c>
      <c r="BG97" s="979"/>
      <c r="BH97" s="1126"/>
      <c r="BQ97" s="979"/>
      <c r="BR97" s="178">
        <f>BT97-BV97</f>
        <v>4000</v>
      </c>
      <c r="BS97" s="307">
        <f>BR97/DataUK1!B97</f>
        <v>0.76452599388379205</v>
      </c>
      <c r="BT97" s="981">
        <v>5300</v>
      </c>
      <c r="BU97" s="981"/>
      <c r="BV97" s="981">
        <v>1300</v>
      </c>
      <c r="BW97" s="980"/>
      <c r="BX97" s="1144"/>
      <c r="CB97" s="991"/>
      <c r="CG97" s="979"/>
      <c r="CH97" s="1126"/>
      <c r="CK97" s="979"/>
      <c r="CL97" s="975">
        <v>10.23</v>
      </c>
      <c r="CM97" s="975">
        <v>3.51</v>
      </c>
      <c r="CN97" s="308">
        <f>1000*CL97/DataUK1!CD97</f>
        <v>1.9552752293577982</v>
      </c>
      <c r="CO97" s="976">
        <v>1.7</v>
      </c>
      <c r="CP97" s="979"/>
      <c r="CQ97" s="1285">
        <f t="shared" si="19"/>
        <v>660.9</v>
      </c>
      <c r="CR97" s="1292">
        <v>300</v>
      </c>
      <c r="CS97" s="1293">
        <f t="shared" si="22"/>
        <v>34.5</v>
      </c>
      <c r="CT97" s="1030">
        <v>326.39999999999998</v>
      </c>
      <c r="CU97" s="1273">
        <f t="shared" si="6"/>
        <v>660.9</v>
      </c>
      <c r="CV97" s="959">
        <v>485.6</v>
      </c>
      <c r="CW97" s="2609">
        <v>160.69999999999999</v>
      </c>
      <c r="CX97" s="2609"/>
      <c r="CY97" s="1030">
        <v>14.6</v>
      </c>
    </row>
    <row r="98" spans="1:103" s="598" customFormat="1">
      <c r="A98" s="577">
        <f t="shared" si="21"/>
        <v>1939</v>
      </c>
      <c r="B98" s="982">
        <f t="shared" si="7"/>
        <v>24265</v>
      </c>
      <c r="C98" s="254">
        <f t="shared" si="8"/>
        <v>6067</v>
      </c>
      <c r="D98" s="519">
        <f t="shared" si="9"/>
        <v>3948</v>
      </c>
      <c r="E98" s="519">
        <f t="shared" si="10"/>
        <v>2119</v>
      </c>
      <c r="F98" s="988">
        <f t="shared" si="11"/>
        <v>0.65073347618262734</v>
      </c>
      <c r="G98" s="988">
        <f>E98/DataUK1!$B98</f>
        <v>0.36903517938000702</v>
      </c>
      <c r="H98" s="519">
        <f t="shared" si="12"/>
        <v>876</v>
      </c>
      <c r="I98" s="988">
        <f>H98/DataUK1!$B98</f>
        <v>0.15256008359456638</v>
      </c>
      <c r="L98" s="970">
        <v>1836</v>
      </c>
      <c r="M98" s="983">
        <f>L98/DataUK1!B98</f>
        <v>0.3197492163009405</v>
      </c>
      <c r="N98" s="977"/>
      <c r="S98" s="519">
        <v>24265</v>
      </c>
      <c r="T98" s="519">
        <v>25590</v>
      </c>
      <c r="U98" s="984">
        <f t="shared" si="13"/>
        <v>6067</v>
      </c>
      <c r="V98" s="308">
        <v>1</v>
      </c>
      <c r="W98" s="519">
        <v>3948</v>
      </c>
      <c r="X98" s="308">
        <v>1</v>
      </c>
      <c r="Y98" s="519">
        <v>876</v>
      </c>
      <c r="Z98" s="519">
        <v>0</v>
      </c>
      <c r="AA98" s="519">
        <v>1243</v>
      </c>
      <c r="AB98" s="984">
        <f t="shared" si="14"/>
        <v>19523</v>
      </c>
      <c r="AC98" s="983">
        <f>AB98/DataUK1!$B98</f>
        <v>3.4000348310693145</v>
      </c>
      <c r="AD98" s="983">
        <v>1</v>
      </c>
      <c r="AE98" s="984">
        <f t="shared" si="20"/>
        <v>13306</v>
      </c>
      <c r="AF98" s="983">
        <f>AE98/DataUK1!$B98</f>
        <v>2.3173110414489728</v>
      </c>
      <c r="AG98" s="984">
        <f t="shared" si="15"/>
        <v>1325</v>
      </c>
      <c r="AH98" s="983">
        <v>1</v>
      </c>
      <c r="AI98" s="984">
        <v>2167</v>
      </c>
      <c r="AJ98" s="983">
        <f>AI98/DataUK1!B98</f>
        <v>0.37739463601532575</v>
      </c>
      <c r="AK98" s="984">
        <v>7028</v>
      </c>
      <c r="AL98" s="983">
        <f>AK98/DataUK1!$B98</f>
        <v>1.2239637756879138</v>
      </c>
      <c r="AM98" s="984">
        <v>1894</v>
      </c>
      <c r="AN98" s="984">
        <v>24</v>
      </c>
      <c r="AO98" s="984">
        <v>711</v>
      </c>
      <c r="AP98" s="984">
        <v>397</v>
      </c>
      <c r="AQ98" s="984">
        <f t="shared" si="16"/>
        <v>4050</v>
      </c>
      <c r="AR98" s="983">
        <f>AQ98/DataUK1!$B98</f>
        <v>0.7053291536050158</v>
      </c>
      <c r="AS98" s="254">
        <f t="shared" si="17"/>
        <v>19523</v>
      </c>
      <c r="BE98" s="254">
        <f t="shared" si="18"/>
        <v>1325</v>
      </c>
      <c r="BG98" s="979"/>
      <c r="BH98" s="1126"/>
      <c r="BQ98" s="979"/>
      <c r="BR98" s="1139">
        <f>BR97+DataUK1!FI97</f>
        <v>3948</v>
      </c>
      <c r="BS98" s="308">
        <f>BR98/DataUK1!B98</f>
        <v>0.68756530825496354</v>
      </c>
      <c r="BT98" s="977"/>
      <c r="BU98" s="977"/>
      <c r="BV98" s="977"/>
      <c r="BW98" s="980"/>
      <c r="BX98" s="1144"/>
      <c r="CB98" s="991"/>
      <c r="CG98" s="979"/>
      <c r="CH98" s="1126"/>
      <c r="CK98" s="979"/>
      <c r="CL98" s="975"/>
      <c r="CM98" s="975"/>
      <c r="CN98" s="308"/>
      <c r="CO98" s="976"/>
      <c r="CP98" s="979"/>
      <c r="CQ98" s="1285">
        <f t="shared" si="19"/>
        <v>683.80000000000007</v>
      </c>
      <c r="CR98" s="981">
        <v>400</v>
      </c>
      <c r="CS98" s="1293">
        <f t="shared" si="22"/>
        <v>72.300000000000068</v>
      </c>
      <c r="CT98" s="1030">
        <v>211.5</v>
      </c>
      <c r="CU98" s="1273">
        <f t="shared" si="6"/>
        <v>683.80000000000007</v>
      </c>
      <c r="CV98" s="959">
        <v>507.3</v>
      </c>
      <c r="CW98" s="2609">
        <v>161.9</v>
      </c>
      <c r="CX98" s="2609"/>
      <c r="CY98" s="1030">
        <v>14.6</v>
      </c>
    </row>
    <row r="99" spans="1:103" s="598" customFormat="1">
      <c r="A99" s="577">
        <f t="shared" si="21"/>
        <v>1940</v>
      </c>
      <c r="B99" s="982">
        <f t="shared" si="7"/>
        <v>26435</v>
      </c>
      <c r="C99" s="254">
        <f t="shared" si="8"/>
        <v>6722</v>
      </c>
      <c r="D99" s="519">
        <f t="shared" si="9"/>
        <v>4319</v>
      </c>
      <c r="E99" s="519">
        <f t="shared" si="10"/>
        <v>2403</v>
      </c>
      <c r="F99" s="988">
        <f t="shared" si="11"/>
        <v>0.64251710800357031</v>
      </c>
      <c r="G99" s="988">
        <f>E99/DataUK1!$B99</f>
        <v>0.35193321616871703</v>
      </c>
      <c r="H99" s="519">
        <f t="shared" si="12"/>
        <v>946</v>
      </c>
      <c r="I99" s="988">
        <f>H99/DataUK1!$B99</f>
        <v>0.13854715875805507</v>
      </c>
      <c r="L99" s="970">
        <v>1968</v>
      </c>
      <c r="M99" s="983">
        <f>L99/DataUK1!B99</f>
        <v>0.28822495606326887</v>
      </c>
      <c r="N99" s="977"/>
      <c r="S99" s="519">
        <v>26435</v>
      </c>
      <c r="T99" s="519">
        <v>27692</v>
      </c>
      <c r="U99" s="984">
        <f t="shared" si="13"/>
        <v>6722</v>
      </c>
      <c r="V99" s="308">
        <v>1</v>
      </c>
      <c r="W99" s="519">
        <v>4319</v>
      </c>
      <c r="X99" s="308">
        <v>1</v>
      </c>
      <c r="Y99" s="519">
        <v>946</v>
      </c>
      <c r="Z99" s="519">
        <v>0</v>
      </c>
      <c r="AA99" s="519">
        <v>1457</v>
      </c>
      <c r="AB99" s="984">
        <f t="shared" si="14"/>
        <v>20970</v>
      </c>
      <c r="AC99" s="983">
        <f>AB99/DataUK1!$B99</f>
        <v>3.0711775043936731</v>
      </c>
      <c r="AD99" s="983">
        <v>1</v>
      </c>
      <c r="AE99" s="984">
        <f t="shared" si="20"/>
        <v>13476</v>
      </c>
      <c r="AF99" s="983">
        <f>AE99/DataUK1!$B99</f>
        <v>1.9736379613356767</v>
      </c>
      <c r="AG99" s="984">
        <f t="shared" si="15"/>
        <v>1257</v>
      </c>
      <c r="AH99" s="983">
        <v>1</v>
      </c>
      <c r="AI99" s="984">
        <v>2079</v>
      </c>
      <c r="AJ99" s="983">
        <f>AI99/DataUK1!B99</f>
        <v>0.30448154657293497</v>
      </c>
      <c r="AK99" s="984">
        <v>9081</v>
      </c>
      <c r="AL99" s="983">
        <f>AK99/DataUK1!$B99</f>
        <v>1.3299648506151143</v>
      </c>
      <c r="AM99" s="984">
        <v>2390</v>
      </c>
      <c r="AN99" s="984">
        <v>33</v>
      </c>
      <c r="AO99" s="984">
        <v>786</v>
      </c>
      <c r="AP99" s="984">
        <v>523</v>
      </c>
      <c r="AQ99" s="984">
        <f t="shared" si="16"/>
        <v>5415</v>
      </c>
      <c r="AR99" s="983">
        <f>AQ99/DataUK1!$B99</f>
        <v>0.79305799648506148</v>
      </c>
      <c r="AS99" s="254">
        <f t="shared" si="17"/>
        <v>20970</v>
      </c>
      <c r="BE99" s="254">
        <f t="shared" si="18"/>
        <v>1257</v>
      </c>
      <c r="BG99" s="979"/>
      <c r="BH99" s="1126"/>
      <c r="BQ99" s="979"/>
      <c r="BR99" s="1139">
        <f>BR98+DataUK1!FI98</f>
        <v>3708</v>
      </c>
      <c r="BS99" s="308">
        <f>BR99/DataUK1!B99</f>
        <v>0.54305799648506148</v>
      </c>
      <c r="BT99" s="977"/>
      <c r="BU99" s="977"/>
      <c r="BV99" s="977"/>
      <c r="BW99" s="980"/>
      <c r="BX99" s="1144"/>
      <c r="CB99" s="991"/>
      <c r="CG99" s="979"/>
      <c r="CH99" s="1126"/>
      <c r="CK99" s="979"/>
      <c r="CL99" s="975"/>
      <c r="CM99" s="975"/>
      <c r="CN99" s="308"/>
      <c r="CO99" s="976"/>
      <c r="CP99" s="979"/>
      <c r="CQ99" s="1285">
        <f t="shared" si="19"/>
        <v>774.30000000000007</v>
      </c>
      <c r="CR99" s="981">
        <f>CR98+(CR$104-CR$98)/6</f>
        <v>583.33333333333337</v>
      </c>
      <c r="CS99" s="1293">
        <f t="shared" si="22"/>
        <v>190.9666666666667</v>
      </c>
      <c r="CT99" s="577">
        <v>0</v>
      </c>
      <c r="CU99" s="1273">
        <f t="shared" si="6"/>
        <v>774.30000000000007</v>
      </c>
      <c r="CV99" s="959">
        <v>574.70000000000005</v>
      </c>
      <c r="CW99" s="2609">
        <v>185</v>
      </c>
      <c r="CX99" s="2609"/>
      <c r="CY99" s="1030">
        <v>14.6</v>
      </c>
    </row>
    <row r="100" spans="1:103" s="598" customFormat="1">
      <c r="A100" s="577">
        <f t="shared" si="21"/>
        <v>1941</v>
      </c>
      <c r="B100" s="982">
        <f t="shared" si="7"/>
        <v>29869.747738184225</v>
      </c>
      <c r="C100" s="254">
        <f t="shared" si="8"/>
        <v>7334.2769742064193</v>
      </c>
      <c r="D100" s="519">
        <f t="shared" si="9"/>
        <v>4691.5211141335776</v>
      </c>
      <c r="E100" s="519">
        <f t="shared" si="10"/>
        <v>2642.7558600728416</v>
      </c>
      <c r="F100" s="988">
        <f t="shared" si="11"/>
        <v>0.63967056747829021</v>
      </c>
      <c r="G100" s="988">
        <f>E100/DataUK1!$B100</f>
        <v>0.33368129546374264</v>
      </c>
      <c r="H100" s="519">
        <f t="shared" si="12"/>
        <v>1051</v>
      </c>
      <c r="I100" s="988">
        <f>H100/DataUK1!$B100</f>
        <v>0.13270202020202021</v>
      </c>
      <c r="L100" s="970">
        <v>1984</v>
      </c>
      <c r="M100" s="983">
        <f>L100/DataUK1!B100</f>
        <v>0.25050505050505051</v>
      </c>
      <c r="N100" s="977"/>
      <c r="S100" s="519">
        <v>29898</v>
      </c>
      <c r="T100" s="519">
        <v>31070</v>
      </c>
      <c r="U100" s="984">
        <f t="shared" si="13"/>
        <v>7294</v>
      </c>
      <c r="V100" s="308">
        <f>V99+(V$107-V$99)/8</f>
        <v>0.99450839198627661</v>
      </c>
      <c r="W100" s="519">
        <v>4610</v>
      </c>
      <c r="X100" s="308">
        <f>X99+(X$107-X$99)/8</f>
        <v>0.98262373499972355</v>
      </c>
      <c r="Y100" s="519">
        <v>1051</v>
      </c>
      <c r="Z100" s="519">
        <v>0</v>
      </c>
      <c r="AA100" s="519">
        <v>1633</v>
      </c>
      <c r="AB100" s="984">
        <f t="shared" si="14"/>
        <v>23776</v>
      </c>
      <c r="AC100" s="983">
        <f>AB100/DataUK1!$B100</f>
        <v>3.0020202020202018</v>
      </c>
      <c r="AD100" s="983">
        <v>1</v>
      </c>
      <c r="AE100" s="984">
        <f t="shared" si="20"/>
        <v>15795</v>
      </c>
      <c r="AF100" s="983">
        <f>AE100/DataUK1!$B100</f>
        <v>1.9943181818181819</v>
      </c>
      <c r="AG100" s="984">
        <f t="shared" si="15"/>
        <v>1172</v>
      </c>
      <c r="AH100" s="983">
        <f>AH99+(AH$107-AH$99)/8</f>
        <v>0.94475806451612909</v>
      </c>
      <c r="AI100" s="984">
        <v>1974</v>
      </c>
      <c r="AJ100" s="983">
        <f>AI100/DataUK1!B100</f>
        <v>0.24924242424242424</v>
      </c>
      <c r="AK100" s="984">
        <v>11087</v>
      </c>
      <c r="AL100" s="983">
        <f>AK100/DataUK1!$B100</f>
        <v>1.3998737373737373</v>
      </c>
      <c r="AM100" s="984">
        <v>3170</v>
      </c>
      <c r="AN100" s="984">
        <v>59</v>
      </c>
      <c r="AO100" s="984">
        <v>991</v>
      </c>
      <c r="AP100" s="984">
        <v>978</v>
      </c>
      <c r="AQ100" s="984">
        <f t="shared" si="16"/>
        <v>6007</v>
      </c>
      <c r="AR100" s="983">
        <f>AQ100/DataUK1!$B100</f>
        <v>0.758459595959596</v>
      </c>
      <c r="AS100" s="254">
        <f t="shared" si="17"/>
        <v>23776</v>
      </c>
      <c r="BE100" s="254">
        <f t="shared" si="18"/>
        <v>1240.5292360221938</v>
      </c>
      <c r="BG100" s="979"/>
      <c r="BH100" s="1126"/>
      <c r="BQ100" s="979"/>
      <c r="BR100" s="1139">
        <f>BR99+DataUK1!FI99</f>
        <v>2918</v>
      </c>
      <c r="BS100" s="308">
        <f>BR100/DataUK1!B100</f>
        <v>0.36843434343434345</v>
      </c>
      <c r="BT100" s="977"/>
      <c r="BU100" s="977"/>
      <c r="BV100" s="977"/>
      <c r="BW100" s="980"/>
      <c r="BX100" s="1144"/>
      <c r="CB100" s="991"/>
      <c r="CG100" s="979"/>
      <c r="CH100" s="1126"/>
      <c r="CK100" s="979"/>
      <c r="CL100" s="975"/>
      <c r="CM100" s="975"/>
      <c r="CN100" s="308"/>
      <c r="CO100" s="976"/>
      <c r="CP100" s="979"/>
      <c r="CQ100" s="1285">
        <f t="shared" si="19"/>
        <v>857.80000000000007</v>
      </c>
      <c r="CR100" s="981">
        <f>CR99+(CR$104-CR$98)/6</f>
        <v>766.66666666666674</v>
      </c>
      <c r="CS100" s="1293">
        <f t="shared" si="22"/>
        <v>91.133333333333326</v>
      </c>
      <c r="CT100" s="577">
        <v>0</v>
      </c>
      <c r="CU100" s="1273">
        <f t="shared" si="6"/>
        <v>857.80000000000007</v>
      </c>
      <c r="CV100" s="959">
        <v>651.1</v>
      </c>
      <c r="CW100" s="2609">
        <v>192.1</v>
      </c>
      <c r="CX100" s="2609"/>
      <c r="CY100" s="1030">
        <v>14.6</v>
      </c>
    </row>
    <row r="101" spans="1:103" s="598" customFormat="1">
      <c r="A101" s="577">
        <f t="shared" si="21"/>
        <v>1942</v>
      </c>
      <c r="B101" s="982">
        <f t="shared" si="7"/>
        <v>32723.123953073133</v>
      </c>
      <c r="C101" s="254">
        <f t="shared" si="8"/>
        <v>8034.2418134539103</v>
      </c>
      <c r="D101" s="519">
        <f t="shared" si="9"/>
        <v>5249.4310086126434</v>
      </c>
      <c r="E101" s="519">
        <f t="shared" si="10"/>
        <v>2784.8108048412669</v>
      </c>
      <c r="F101" s="988">
        <f t="shared" si="11"/>
        <v>0.65338225192850152</v>
      </c>
      <c r="G101" s="988">
        <f>E101/DataUK1!$B101</f>
        <v>0.32009319595876629</v>
      </c>
      <c r="H101" s="519">
        <f t="shared" si="12"/>
        <v>1156</v>
      </c>
      <c r="I101" s="988">
        <f>H101/DataUK1!$B101</f>
        <v>0.13287356321839081</v>
      </c>
      <c r="L101" s="970">
        <v>1882</v>
      </c>
      <c r="M101" s="983">
        <f>L101/DataUK1!B101</f>
        <v>0.21632183908045977</v>
      </c>
      <c r="N101" s="977"/>
      <c r="S101" s="519">
        <v>32773</v>
      </c>
      <c r="T101" s="519">
        <v>33885</v>
      </c>
      <c r="U101" s="984">
        <f t="shared" si="13"/>
        <v>7946</v>
      </c>
      <c r="V101" s="308">
        <f t="shared" ref="V101:X106" si="23">V100+(V$107-V$99)/8</f>
        <v>0.98901678397255322</v>
      </c>
      <c r="W101" s="519">
        <v>5067</v>
      </c>
      <c r="X101" s="308">
        <f t="shared" si="23"/>
        <v>0.96524746999944711</v>
      </c>
      <c r="Y101" s="519">
        <v>1156</v>
      </c>
      <c r="Z101" s="519">
        <v>0</v>
      </c>
      <c r="AA101" s="519">
        <v>1723</v>
      </c>
      <c r="AB101" s="984">
        <f t="shared" si="14"/>
        <v>25939</v>
      </c>
      <c r="AC101" s="983">
        <f>AB101/DataUK1!$B101</f>
        <v>2.9814942528735631</v>
      </c>
      <c r="AD101" s="983">
        <v>1</v>
      </c>
      <c r="AE101" s="984">
        <f t="shared" si="20"/>
        <v>17557</v>
      </c>
      <c r="AF101" s="983">
        <f>AE101/DataUK1!$B101</f>
        <v>2.0180459770114942</v>
      </c>
      <c r="AG101" s="984">
        <f t="shared" si="15"/>
        <v>1112</v>
      </c>
      <c r="AH101" s="983">
        <f t="shared" ref="AH101:AH106" si="24">AH100+(AH$107-AH$99)/8</f>
        <v>0.88951612903225818</v>
      </c>
      <c r="AI101" s="984">
        <v>1801</v>
      </c>
      <c r="AJ101" s="983">
        <f>AI101/DataUK1!B101</f>
        <v>0.20701149425287357</v>
      </c>
      <c r="AK101" s="984">
        <v>12509</v>
      </c>
      <c r="AL101" s="983">
        <f>AK101/DataUK1!$B101</f>
        <v>1.437816091954023</v>
      </c>
      <c r="AM101" s="984">
        <v>3657</v>
      </c>
      <c r="AN101" s="984">
        <v>98</v>
      </c>
      <c r="AO101" s="984">
        <v>1107</v>
      </c>
      <c r="AP101" s="984">
        <v>1262</v>
      </c>
      <c r="AQ101" s="984">
        <f t="shared" si="16"/>
        <v>6581</v>
      </c>
      <c r="AR101" s="983">
        <f>AQ101/DataUK1!$B101</f>
        <v>0.75643678160919536</v>
      </c>
      <c r="AS101" s="254">
        <f t="shared" si="17"/>
        <v>25939</v>
      </c>
      <c r="BE101" s="254">
        <f t="shared" si="18"/>
        <v>1250.1178603807796</v>
      </c>
      <c r="BG101" s="979"/>
      <c r="BH101" s="1126"/>
      <c r="BQ101" s="979"/>
      <c r="BR101" s="1139">
        <f>BR100+DataUK1!FI100</f>
        <v>2108</v>
      </c>
      <c r="BS101" s="308">
        <f>BR101/DataUK1!B101</f>
        <v>0.24229885057471265</v>
      </c>
      <c r="BT101" s="977"/>
      <c r="BU101" s="977"/>
      <c r="BV101" s="977"/>
      <c r="BW101" s="980"/>
      <c r="BX101" s="1144"/>
      <c r="CB101" s="991"/>
      <c r="CG101" s="979"/>
      <c r="CH101" s="1126"/>
      <c r="CK101" s="979"/>
      <c r="CL101" s="975"/>
      <c r="CM101" s="975"/>
      <c r="CN101" s="308"/>
      <c r="CO101" s="976"/>
      <c r="CP101" s="979"/>
      <c r="CQ101" s="1285">
        <f t="shared" si="19"/>
        <v>1020.4</v>
      </c>
      <c r="CR101" s="981">
        <f>CR100+(CR$104-CR$98)/6</f>
        <v>950.00000000000011</v>
      </c>
      <c r="CS101" s="1293">
        <f t="shared" si="22"/>
        <v>70.399999999999864</v>
      </c>
      <c r="CT101" s="577">
        <v>0</v>
      </c>
      <c r="CU101" s="1273">
        <f t="shared" si="6"/>
        <v>1020.4</v>
      </c>
      <c r="CV101" s="959">
        <v>808.3</v>
      </c>
      <c r="CW101" s="2609">
        <v>197.5</v>
      </c>
      <c r="CX101" s="2609"/>
      <c r="CY101" s="1030">
        <v>14.6</v>
      </c>
    </row>
    <row r="102" spans="1:103" s="598" customFormat="1">
      <c r="A102" s="577">
        <f t="shared" si="21"/>
        <v>1943</v>
      </c>
      <c r="B102" s="982">
        <f t="shared" si="7"/>
        <v>35121.211912380983</v>
      </c>
      <c r="C102" s="254">
        <f t="shared" si="8"/>
        <v>8824.3801095776944</v>
      </c>
      <c r="D102" s="519">
        <f t="shared" si="9"/>
        <v>5999.7602733432286</v>
      </c>
      <c r="E102" s="519">
        <f t="shared" si="10"/>
        <v>2824.6198362344658</v>
      </c>
      <c r="F102" s="988">
        <f t="shared" si="11"/>
        <v>0.67990727947352181</v>
      </c>
      <c r="G102" s="988">
        <f>E102/DataUK1!$B102</f>
        <v>0.30749181757396754</v>
      </c>
      <c r="H102" s="519">
        <f t="shared" si="12"/>
        <v>1226</v>
      </c>
      <c r="I102" s="988">
        <f>H102/DataUK1!$B102</f>
        <v>0.13346396690616155</v>
      </c>
      <c r="L102" s="970">
        <v>1724</v>
      </c>
      <c r="M102" s="983">
        <f>L102/DataUK1!B102</f>
        <v>0.18767689962987155</v>
      </c>
      <c r="N102" s="977"/>
      <c r="S102" s="519">
        <v>35186</v>
      </c>
      <c r="T102" s="519">
        <v>36244</v>
      </c>
      <c r="U102" s="984">
        <f t="shared" si="13"/>
        <v>8679</v>
      </c>
      <c r="V102" s="308">
        <f t="shared" si="23"/>
        <v>0.98352517595882982</v>
      </c>
      <c r="W102" s="519">
        <v>5687</v>
      </c>
      <c r="X102" s="308">
        <f t="shared" si="23"/>
        <v>0.94787120499917066</v>
      </c>
      <c r="Y102" s="519">
        <v>1226</v>
      </c>
      <c r="Z102" s="519">
        <v>0</v>
      </c>
      <c r="AA102" s="519">
        <v>1766</v>
      </c>
      <c r="AB102" s="984">
        <f t="shared" si="14"/>
        <v>27565</v>
      </c>
      <c r="AC102" s="983">
        <f>AB102/DataUK1!$B102</f>
        <v>3.0007620291748314</v>
      </c>
      <c r="AD102" s="983">
        <v>1</v>
      </c>
      <c r="AE102" s="984">
        <f t="shared" si="20"/>
        <v>18824</v>
      </c>
      <c r="AF102" s="983">
        <f>AE102/DataUK1!$B102</f>
        <v>2.0492053124319618</v>
      </c>
      <c r="AG102" s="984">
        <f t="shared" si="15"/>
        <v>1058</v>
      </c>
      <c r="AH102" s="983">
        <f t="shared" si="24"/>
        <v>0.83427419354838728</v>
      </c>
      <c r="AI102" s="984">
        <v>1660</v>
      </c>
      <c r="AJ102" s="983">
        <f>AI102/DataUK1!B102</f>
        <v>0.18070977574569999</v>
      </c>
      <c r="AK102" s="984">
        <v>14369</v>
      </c>
      <c r="AL102" s="983">
        <f>AK102/DataUK1!$B102</f>
        <v>1.5642281733072065</v>
      </c>
      <c r="AM102" s="984">
        <v>4377</v>
      </c>
      <c r="AN102" s="984">
        <v>145</v>
      </c>
      <c r="AO102" s="984">
        <v>1249</v>
      </c>
      <c r="AP102" s="984">
        <v>1807</v>
      </c>
      <c r="AQ102" s="984">
        <f t="shared" si="16"/>
        <v>7081</v>
      </c>
      <c r="AR102" s="983">
        <f>AQ102/DataUK1!$B102</f>
        <v>0.77084694099716966</v>
      </c>
      <c r="AS102" s="254">
        <f t="shared" si="17"/>
        <v>27565</v>
      </c>
      <c r="BE102" s="254">
        <f t="shared" si="18"/>
        <v>1268.1681971967132</v>
      </c>
      <c r="BG102" s="979"/>
      <c r="BH102" s="1126"/>
      <c r="BQ102" s="979"/>
      <c r="BR102" s="1139">
        <f>BR101+DataUK1!FI101</f>
        <v>1458</v>
      </c>
      <c r="BS102" s="308">
        <f>BR102/DataUK1!B102</f>
        <v>0.15871979098628347</v>
      </c>
      <c r="BT102" s="977"/>
      <c r="BU102" s="977"/>
      <c r="BV102" s="977"/>
      <c r="BW102" s="980"/>
      <c r="BX102" s="1144"/>
      <c r="CB102" s="991"/>
      <c r="CG102" s="979"/>
      <c r="CH102" s="1126"/>
      <c r="CK102" s="979"/>
      <c r="CL102" s="975"/>
      <c r="CM102" s="975"/>
      <c r="CN102" s="308"/>
      <c r="CO102" s="976"/>
      <c r="CP102" s="979"/>
      <c r="CQ102" s="1285">
        <f t="shared" si="19"/>
        <v>1204.3</v>
      </c>
      <c r="CR102" s="981">
        <f>CR101+(CR$104-CR$98)/6</f>
        <v>1133.3333333333335</v>
      </c>
      <c r="CS102" s="1293">
        <f t="shared" si="22"/>
        <v>70.96666666666647</v>
      </c>
      <c r="CT102" s="577">
        <v>0</v>
      </c>
      <c r="CU102" s="1273">
        <f t="shared" si="6"/>
        <v>1204.3</v>
      </c>
      <c r="CV102" s="959">
        <v>966.3</v>
      </c>
      <c r="CW102" s="2609">
        <v>223.4</v>
      </c>
      <c r="CX102" s="2609"/>
      <c r="CY102" s="1030">
        <v>14.6</v>
      </c>
    </row>
    <row r="103" spans="1:103" s="598" customFormat="1">
      <c r="A103" s="577">
        <f t="shared" si="21"/>
        <v>1944</v>
      </c>
      <c r="B103" s="982">
        <f t="shared" si="7"/>
        <v>37502.132497138249</v>
      </c>
      <c r="C103" s="254">
        <f t="shared" si="8"/>
        <v>9789.0300637793189</v>
      </c>
      <c r="D103" s="519">
        <f t="shared" si="9"/>
        <v>6950.0646612948649</v>
      </c>
      <c r="E103" s="519">
        <f t="shared" si="10"/>
        <v>2838.965402484454</v>
      </c>
      <c r="F103" s="988">
        <f t="shared" si="11"/>
        <v>0.70998501547267745</v>
      </c>
      <c r="G103" s="988">
        <f>E103/DataUK1!$B103</f>
        <v>0.30279067859262521</v>
      </c>
      <c r="H103" s="519">
        <f t="shared" si="12"/>
        <v>1332</v>
      </c>
      <c r="I103" s="988">
        <f>H103/DataUK1!$B103</f>
        <v>0.14206484641638226</v>
      </c>
      <c r="L103" s="970">
        <v>1698</v>
      </c>
      <c r="M103" s="983">
        <f>L103/DataUK1!B103</f>
        <v>0.18110068259385664</v>
      </c>
      <c r="N103" s="977"/>
      <c r="S103" s="519">
        <v>38084</v>
      </c>
      <c r="T103" s="519">
        <v>39121</v>
      </c>
      <c r="U103" s="984">
        <f t="shared" si="13"/>
        <v>9574</v>
      </c>
      <c r="V103" s="308">
        <f t="shared" si="23"/>
        <v>0.97803356794510643</v>
      </c>
      <c r="W103" s="519">
        <v>6467</v>
      </c>
      <c r="X103" s="308">
        <f t="shared" si="23"/>
        <v>0.93049493999889421</v>
      </c>
      <c r="Y103" s="519">
        <v>1332</v>
      </c>
      <c r="Z103" s="519">
        <v>0</v>
      </c>
      <c r="AA103" s="519">
        <v>1775</v>
      </c>
      <c r="AB103" s="984">
        <f t="shared" si="14"/>
        <v>29547</v>
      </c>
      <c r="AC103" s="983">
        <f>AB103/DataUK1!$B103</f>
        <v>3.15134385665529</v>
      </c>
      <c r="AD103" s="983">
        <f>AD102+(AD$107-AD$102)/5</f>
        <v>1.0173101045296167</v>
      </c>
      <c r="AE103" s="984">
        <f t="shared" si="20"/>
        <v>20520</v>
      </c>
      <c r="AF103" s="983">
        <f>AE103/DataUK1!$B103</f>
        <v>2.1885665529010239</v>
      </c>
      <c r="AG103" s="984">
        <f t="shared" si="15"/>
        <v>1037</v>
      </c>
      <c r="AH103" s="983">
        <f t="shared" si="24"/>
        <v>0.77903225806451637</v>
      </c>
      <c r="AI103" s="984">
        <v>1620</v>
      </c>
      <c r="AJ103" s="983">
        <f>AI103/DataUK1!B103</f>
        <v>0.1727815699658703</v>
      </c>
      <c r="AK103" s="984">
        <v>16192</v>
      </c>
      <c r="AL103" s="983">
        <f>AK103/DataUK1!$B103</f>
        <v>1.7269624573378839</v>
      </c>
      <c r="AM103" s="984">
        <v>5159</v>
      </c>
      <c r="AN103" s="984">
        <v>184</v>
      </c>
      <c r="AO103" s="984">
        <v>1492</v>
      </c>
      <c r="AP103" s="984">
        <v>2318</v>
      </c>
      <c r="AQ103" s="984">
        <f t="shared" si="16"/>
        <v>7407</v>
      </c>
      <c r="AR103" s="983">
        <f>AQ103/DataUK1!$B103</f>
        <v>0.78999573378839594</v>
      </c>
      <c r="AS103" s="254">
        <f t="shared" si="17"/>
        <v>29044.241149715039</v>
      </c>
      <c r="BE103" s="254">
        <f t="shared" si="18"/>
        <v>1331.1387163561074</v>
      </c>
      <c r="BG103" s="979"/>
      <c r="BH103" s="1126"/>
      <c r="BQ103" s="979"/>
      <c r="BR103" s="1139">
        <f>BR102+DataUK1!FI102</f>
        <v>788</v>
      </c>
      <c r="BS103" s="308">
        <f>BR103/DataUK1!B103</f>
        <v>8.4044368600682595E-2</v>
      </c>
      <c r="BT103" s="977"/>
      <c r="BU103" s="977"/>
      <c r="BV103" s="977"/>
      <c r="BW103" s="980"/>
      <c r="BX103" s="1144"/>
      <c r="CB103" s="991"/>
      <c r="CG103" s="979"/>
      <c r="CH103" s="1126"/>
      <c r="CK103" s="979"/>
      <c r="CL103" s="975"/>
      <c r="CM103" s="975"/>
      <c r="CN103" s="308"/>
      <c r="CO103" s="976"/>
      <c r="CP103" s="979"/>
      <c r="CQ103" s="1285">
        <f t="shared" si="19"/>
        <v>1400.8</v>
      </c>
      <c r="CR103" s="981">
        <f>CR102+(CR$104-CR$98)/6</f>
        <v>1316.6666666666667</v>
      </c>
      <c r="CS103" s="1293">
        <f t="shared" si="22"/>
        <v>84.133333333333212</v>
      </c>
      <c r="CT103" s="577">
        <v>0</v>
      </c>
      <c r="CU103" s="1273">
        <f t="shared" si="6"/>
        <v>1400.8</v>
      </c>
      <c r="CV103" s="519">
        <v>1135.7</v>
      </c>
      <c r="CW103" s="2609">
        <v>250.5</v>
      </c>
      <c r="CX103" s="2609"/>
      <c r="CY103" s="1030">
        <v>14.6</v>
      </c>
    </row>
    <row r="104" spans="1:103" s="598" customFormat="1">
      <c r="A104" s="577">
        <f t="shared" si="21"/>
        <v>1945</v>
      </c>
      <c r="B104" s="982">
        <f t="shared" si="7"/>
        <v>39065.146923555156</v>
      </c>
      <c r="C104" s="254">
        <f t="shared" si="8"/>
        <v>10785.138772562619</v>
      </c>
      <c r="D104" s="519">
        <f t="shared" si="9"/>
        <v>7805.1190881741504</v>
      </c>
      <c r="E104" s="519">
        <f t="shared" si="10"/>
        <v>2980.0196843884687</v>
      </c>
      <c r="F104" s="988">
        <f t="shared" si="11"/>
        <v>0.72369204075800719</v>
      </c>
      <c r="G104" s="988">
        <f>E104/DataUK1!$B104</f>
        <v>0.31588082302188558</v>
      </c>
      <c r="H104" s="519">
        <f t="shared" si="12"/>
        <v>1472</v>
      </c>
      <c r="I104" s="988">
        <f>H104/DataUK1!$B104</f>
        <v>0.1560313758744965</v>
      </c>
      <c r="L104" s="970">
        <v>1741</v>
      </c>
      <c r="M104" s="983">
        <f>L104/DataUK1!B104</f>
        <v>0.18454526181895273</v>
      </c>
      <c r="N104" s="977"/>
      <c r="S104" s="519">
        <v>40205</v>
      </c>
      <c r="T104" s="519">
        <v>41269</v>
      </c>
      <c r="U104" s="984">
        <f t="shared" si="13"/>
        <v>10489</v>
      </c>
      <c r="V104" s="308">
        <f t="shared" si="23"/>
        <v>0.97254195993138304</v>
      </c>
      <c r="W104" s="519">
        <v>7127</v>
      </c>
      <c r="X104" s="308">
        <f t="shared" si="23"/>
        <v>0.91311867499861776</v>
      </c>
      <c r="Y104" s="519">
        <v>1472</v>
      </c>
      <c r="Z104" s="519">
        <v>0</v>
      </c>
      <c r="AA104" s="519">
        <v>1890</v>
      </c>
      <c r="AB104" s="984">
        <f t="shared" si="14"/>
        <v>30780</v>
      </c>
      <c r="AC104" s="983">
        <f>AB104/DataUK1!$B104</f>
        <v>3.2626669493322025</v>
      </c>
      <c r="AD104" s="983">
        <f>AD103+(AD$107-AD$102)/5</f>
        <v>1.0346202090592334</v>
      </c>
      <c r="AE104" s="984">
        <f t="shared" si="20"/>
        <v>21465</v>
      </c>
      <c r="AF104" s="983">
        <f>AE104/DataUK1!$B104</f>
        <v>2.2752808988764044</v>
      </c>
      <c r="AG104" s="984">
        <f t="shared" si="15"/>
        <v>1064</v>
      </c>
      <c r="AH104" s="983">
        <f t="shared" si="24"/>
        <v>0.72379032258064546</v>
      </c>
      <c r="AI104" s="984">
        <v>1655</v>
      </c>
      <c r="AJ104" s="983">
        <f>AI104/DataUK1!B104</f>
        <v>0.17542929828280687</v>
      </c>
      <c r="AK104" s="984">
        <v>17797</v>
      </c>
      <c r="AL104" s="983">
        <f>AK104/DataUK1!$B104</f>
        <v>1.8864744541021836</v>
      </c>
      <c r="AM104" s="984">
        <v>5880</v>
      </c>
      <c r="AN104" s="984">
        <v>198</v>
      </c>
      <c r="AO104" s="984">
        <v>1713</v>
      </c>
      <c r="AP104" s="984">
        <v>2742</v>
      </c>
      <c r="AQ104" s="984">
        <f t="shared" si="16"/>
        <v>7660</v>
      </c>
      <c r="AR104" s="983">
        <f>AQ104/DataUK1!$B104</f>
        <v>0.81195675217299135</v>
      </c>
      <c r="AS104" s="254">
        <f t="shared" si="17"/>
        <v>29750.047148207024</v>
      </c>
      <c r="BE104" s="254">
        <f t="shared" si="18"/>
        <v>1470.038997214484</v>
      </c>
      <c r="BG104" s="979"/>
      <c r="BH104" s="1126"/>
      <c r="BQ104" s="979"/>
      <c r="BR104" s="1139">
        <f>BR103+DataUK1!FI103</f>
        <v>138</v>
      </c>
      <c r="BS104" s="308">
        <f>BR104/DataUK1!B104</f>
        <v>1.4627941488234047E-2</v>
      </c>
      <c r="BT104" s="977"/>
      <c r="BU104" s="977"/>
      <c r="BV104" s="977"/>
      <c r="BW104" s="980"/>
      <c r="BX104" s="1144"/>
      <c r="CB104" s="991"/>
      <c r="CG104" s="979"/>
      <c r="CH104" s="1126"/>
      <c r="CK104" s="979"/>
      <c r="CL104" s="975"/>
      <c r="CM104" s="975"/>
      <c r="CN104" s="308"/>
      <c r="CO104" s="976"/>
      <c r="CP104" s="979"/>
      <c r="CQ104" s="1285">
        <f t="shared" si="19"/>
        <v>1584.5</v>
      </c>
      <c r="CR104" s="981">
        <v>1500</v>
      </c>
      <c r="CS104" s="1293">
        <f t="shared" si="22"/>
        <v>84.5</v>
      </c>
      <c r="CT104" s="577">
        <v>0</v>
      </c>
      <c r="CU104" s="1273">
        <f t="shared" si="6"/>
        <v>1584.5</v>
      </c>
      <c r="CV104" s="519">
        <v>1284.2</v>
      </c>
      <c r="CW104" s="2609">
        <v>285.7</v>
      </c>
      <c r="CX104" s="2609"/>
      <c r="CY104" s="1030">
        <v>14.6</v>
      </c>
    </row>
    <row r="105" spans="1:103" s="598" customFormat="1">
      <c r="A105" s="577">
        <f t="shared" si="21"/>
        <v>1946</v>
      </c>
      <c r="B105" s="982">
        <f t="shared" si="7"/>
        <v>41829.462023344757</v>
      </c>
      <c r="C105" s="254">
        <f t="shared" si="8"/>
        <v>11818.412533883378</v>
      </c>
      <c r="D105" s="519">
        <f t="shared" si="9"/>
        <v>8534.8197368640358</v>
      </c>
      <c r="E105" s="519">
        <f t="shared" si="10"/>
        <v>3283.5927970193425</v>
      </c>
      <c r="F105" s="988">
        <f t="shared" si="11"/>
        <v>0.72216295652184381</v>
      </c>
      <c r="G105" s="988">
        <f>E105/DataUK1!$B105</f>
        <v>0.35471457243376281</v>
      </c>
      <c r="H105" s="519">
        <f t="shared" si="12"/>
        <v>1717</v>
      </c>
      <c r="I105" s="988">
        <f>H105/DataUK1!$B105</f>
        <v>0.18548125742681215</v>
      </c>
      <c r="L105" s="970">
        <v>1996</v>
      </c>
      <c r="M105" s="983">
        <f>L105/DataUK1!B105</f>
        <v>0.21562061142918873</v>
      </c>
      <c r="N105" s="977"/>
      <c r="S105" s="519">
        <v>43697</v>
      </c>
      <c r="T105" s="519">
        <v>44915</v>
      </c>
      <c r="U105" s="984">
        <f t="shared" si="13"/>
        <v>11429</v>
      </c>
      <c r="V105" s="308">
        <f t="shared" si="23"/>
        <v>0.96705035191765965</v>
      </c>
      <c r="W105" s="519">
        <v>7645</v>
      </c>
      <c r="X105" s="308">
        <f t="shared" si="23"/>
        <v>0.89574240999834132</v>
      </c>
      <c r="Y105" s="519">
        <v>1717</v>
      </c>
      <c r="Z105" s="519">
        <v>0</v>
      </c>
      <c r="AA105" s="519">
        <v>2067</v>
      </c>
      <c r="AB105" s="984">
        <f t="shared" si="14"/>
        <v>33486</v>
      </c>
      <c r="AC105" s="983">
        <f>AB105/DataUK1!$B105</f>
        <v>3.6173706384357782</v>
      </c>
      <c r="AD105" s="983">
        <f>AD104+(AD$107-AD$102)/5</f>
        <v>1.05193031358885</v>
      </c>
      <c r="AE105" s="984">
        <f t="shared" si="20"/>
        <v>23632</v>
      </c>
      <c r="AF105" s="983">
        <f>AE105/DataUK1!$B105</f>
        <v>2.5528789024521985</v>
      </c>
      <c r="AG105" s="984">
        <f t="shared" si="15"/>
        <v>1218</v>
      </c>
      <c r="AH105" s="983">
        <f t="shared" si="24"/>
        <v>0.66854838709677455</v>
      </c>
      <c r="AI105" s="984">
        <v>1628</v>
      </c>
      <c r="AJ105" s="983">
        <f>AI105/DataUK1!B105</f>
        <v>0.17586691152641246</v>
      </c>
      <c r="AK105" s="984">
        <v>19297</v>
      </c>
      <c r="AL105" s="983">
        <f>AK105/DataUK1!$B105</f>
        <v>2.084584638651831</v>
      </c>
      <c r="AM105" s="984">
        <v>6684</v>
      </c>
      <c r="AN105" s="984">
        <v>169</v>
      </c>
      <c r="AO105" s="984">
        <v>1761</v>
      </c>
      <c r="AP105" s="984">
        <v>2795</v>
      </c>
      <c r="AQ105" s="984">
        <f t="shared" si="16"/>
        <v>8226</v>
      </c>
      <c r="AR105" s="983">
        <f>AQ105/DataUK1!$B105</f>
        <v>0.88862482445716751</v>
      </c>
      <c r="AS105" s="254">
        <f t="shared" si="17"/>
        <v>31832.907149292496</v>
      </c>
      <c r="BE105" s="254">
        <f t="shared" si="18"/>
        <v>1821.8576598311208</v>
      </c>
      <c r="BG105" s="1116"/>
      <c r="BH105" s="1127"/>
      <c r="BI105" s="972"/>
      <c r="BQ105" s="979"/>
      <c r="BR105" s="1139">
        <f>BR104+DataUK1!FI104</f>
        <v>-682</v>
      </c>
      <c r="BS105" s="308">
        <f>BR105/DataUK1!B105</f>
        <v>-7.3673976450253864E-2</v>
      </c>
      <c r="BT105" s="977"/>
      <c r="BU105" s="977"/>
      <c r="BV105" s="977"/>
      <c r="BW105" s="980"/>
      <c r="BX105" s="1144"/>
      <c r="CB105" s="991"/>
      <c r="CG105" s="979"/>
      <c r="CH105" s="1126"/>
      <c r="CK105" s="979"/>
      <c r="CL105" s="975"/>
      <c r="CM105" s="975"/>
      <c r="CN105" s="308"/>
      <c r="CO105" s="976"/>
      <c r="CP105" s="979"/>
      <c r="CQ105" s="1285">
        <f t="shared" si="19"/>
        <v>1694.8999999999999</v>
      </c>
      <c r="CR105" s="981">
        <v>1625</v>
      </c>
      <c r="CS105" s="1293">
        <f t="shared" si="22"/>
        <v>69.899999999999864</v>
      </c>
      <c r="CT105" s="577">
        <v>0</v>
      </c>
      <c r="CU105" s="1273">
        <f t="shared" si="6"/>
        <v>1694.8999999999999</v>
      </c>
      <c r="CV105" s="519">
        <v>1357.8</v>
      </c>
      <c r="CW105" s="2609">
        <v>322.5</v>
      </c>
      <c r="CX105" s="2609"/>
      <c r="CY105" s="1030">
        <v>14.6</v>
      </c>
    </row>
    <row r="106" spans="1:103" s="598" customFormat="1">
      <c r="A106" s="577">
        <f t="shared" si="21"/>
        <v>1947</v>
      </c>
      <c r="B106" s="982">
        <f t="shared" si="7"/>
        <v>40558.784553774523</v>
      </c>
      <c r="C106" s="254">
        <f>U106/V106</f>
        <v>13444.836399190979</v>
      </c>
      <c r="D106" s="519">
        <f>W106/X106</f>
        <v>10088.048190905083</v>
      </c>
      <c r="E106" s="519">
        <f>C106-D106</f>
        <v>3356.788208285896</v>
      </c>
      <c r="F106" s="988">
        <f>D106/C106</f>
        <v>0.75032881705515697</v>
      </c>
      <c r="G106" s="988">
        <f>E106/DataUK1!$B106</f>
        <v>0.32790741509093452</v>
      </c>
      <c r="H106" s="519">
        <f>Y106+Z106</f>
        <v>1822</v>
      </c>
      <c r="I106" s="988">
        <f>H106/DataUK1!$B106</f>
        <v>0.17798183061443784</v>
      </c>
      <c r="L106" s="970">
        <v>2297</v>
      </c>
      <c r="M106" s="983">
        <f>L106/DataUK1!B106</f>
        <v>0.22438214320601743</v>
      </c>
      <c r="N106" s="977"/>
      <c r="S106" s="519">
        <v>43027</v>
      </c>
      <c r="T106" s="519">
        <v>44517</v>
      </c>
      <c r="U106" s="984">
        <f t="shared" si="13"/>
        <v>12928</v>
      </c>
      <c r="V106" s="308">
        <f t="shared" si="23"/>
        <v>0.96155874390393625</v>
      </c>
      <c r="W106" s="519">
        <v>8861</v>
      </c>
      <c r="X106" s="308">
        <f t="shared" si="23"/>
        <v>0.87836614499806487</v>
      </c>
      <c r="Y106" s="519">
        <v>1822</v>
      </c>
      <c r="Z106" s="519">
        <v>0</v>
      </c>
      <c r="AA106" s="519">
        <v>2245</v>
      </c>
      <c r="AB106" s="984">
        <f t="shared" si="14"/>
        <v>31589</v>
      </c>
      <c r="AC106" s="983">
        <f>AB106/DataUK1!$B106</f>
        <v>3.0857673146429625</v>
      </c>
      <c r="AD106" s="983">
        <f>AD105+(AD$107-AD$102)/5</f>
        <v>1.0692404181184667</v>
      </c>
      <c r="AE106" s="984">
        <f t="shared" si="20"/>
        <v>23091</v>
      </c>
      <c r="AF106" s="983">
        <f>AE106/DataUK1!$B106</f>
        <v>2.2556413011624503</v>
      </c>
      <c r="AG106" s="984">
        <f t="shared" si="15"/>
        <v>1490</v>
      </c>
      <c r="AH106" s="983">
        <f t="shared" si="24"/>
        <v>0.61330645161290365</v>
      </c>
      <c r="AI106" s="984">
        <v>1537</v>
      </c>
      <c r="AJ106" s="983">
        <f>AI106/DataUK1!$B106</f>
        <v>0.1501416430594901</v>
      </c>
      <c r="AK106" s="984">
        <v>18277</v>
      </c>
      <c r="AL106" s="983">
        <f>AK106/DataUK1!$B106</f>
        <v>1.7853863436553681</v>
      </c>
      <c r="AM106" s="984">
        <v>6717</v>
      </c>
      <c r="AN106" s="984">
        <v>149</v>
      </c>
      <c r="AO106" s="984">
        <v>1760</v>
      </c>
      <c r="AP106" s="984">
        <v>2988</v>
      </c>
      <c r="AQ106" s="984">
        <f t="shared" si="16"/>
        <v>6961</v>
      </c>
      <c r="AR106" s="983">
        <f>AQ106/DataUK1!$B106</f>
        <v>0.67998437042102189</v>
      </c>
      <c r="AS106" s="254">
        <f>AB106/AD106</f>
        <v>29543.402460960926</v>
      </c>
      <c r="BE106" s="254">
        <f>AG106/AH106</f>
        <v>2429.4543063773817</v>
      </c>
      <c r="BG106" s="1116"/>
      <c r="BH106" s="1127"/>
      <c r="BI106" s="972"/>
      <c r="BQ106" s="979"/>
      <c r="BR106" s="1139">
        <f>BR105+DataUK1!FI105</f>
        <v>-835</v>
      </c>
      <c r="BS106" s="308">
        <f>BR106/DataUK1!B106</f>
        <v>-8.1566865292566196E-2</v>
      </c>
      <c r="BT106" s="977"/>
      <c r="BU106" s="977"/>
      <c r="BV106" s="977"/>
      <c r="BW106" s="980"/>
      <c r="BX106" s="1144"/>
      <c r="CB106" s="991"/>
      <c r="CG106" s="979"/>
      <c r="CH106" s="1126"/>
      <c r="CK106" s="979"/>
      <c r="CL106" s="975"/>
      <c r="CM106" s="975"/>
      <c r="CN106" s="308"/>
      <c r="CO106" s="976"/>
      <c r="CP106" s="979"/>
      <c r="CQ106" s="1285">
        <f t="shared" si="19"/>
        <v>1795.6999999999998</v>
      </c>
      <c r="CR106" s="519">
        <v>1750</v>
      </c>
      <c r="CS106" s="1293">
        <f t="shared" si="22"/>
        <v>45.699999999999818</v>
      </c>
      <c r="CT106" s="577">
        <v>0</v>
      </c>
      <c r="CU106" s="1273">
        <f t="shared" si="6"/>
        <v>1795.6999999999998</v>
      </c>
      <c r="CV106" s="519">
        <v>1383.3</v>
      </c>
      <c r="CW106" s="2609">
        <v>397.8</v>
      </c>
      <c r="CX106" s="2609"/>
      <c r="CY106" s="1030">
        <v>14.6</v>
      </c>
    </row>
    <row r="107" spans="1:103" s="598" customFormat="1">
      <c r="A107" s="577">
        <v>1948</v>
      </c>
      <c r="B107" s="982">
        <f t="shared" si="7"/>
        <v>40722.368981481486</v>
      </c>
      <c r="C107" s="254">
        <f t="shared" ref="C107:C145" si="25">D107+E107</f>
        <v>15122.368981481482</v>
      </c>
      <c r="D107" s="985">
        <f t="shared" ref="D107:D144" si="26">J107/K107</f>
        <v>11511.168981481482</v>
      </c>
      <c r="E107" s="991">
        <f>G107*DataUK1!B107</f>
        <v>3611.2000000000003</v>
      </c>
      <c r="F107" s="988">
        <f t="shared" ref="F107:F146" si="27">D107/C107</f>
        <v>0.76120143580531618</v>
      </c>
      <c r="G107" s="972">
        <v>0.32</v>
      </c>
      <c r="H107" s="970">
        <f>I107*DataUK1!B107</f>
        <v>1979.192629130501</v>
      </c>
      <c r="I107" s="972">
        <f>I106+(I$147-I$106)/41</f>
        <v>0.17538259894820568</v>
      </c>
      <c r="J107" s="519">
        <v>10700</v>
      </c>
      <c r="K107" s="986">
        <f t="shared" ref="K107:K144" si="28">K$145</f>
        <v>0.92953200645508338</v>
      </c>
      <c r="L107" s="970">
        <v>6700</v>
      </c>
      <c r="M107" s="983">
        <f>L107/DataUK1!B107</f>
        <v>0.59370846256092158</v>
      </c>
      <c r="N107" s="977"/>
      <c r="P107" s="987"/>
      <c r="Q107" s="987"/>
      <c r="R107" s="987"/>
      <c r="S107" s="984">
        <v>43912</v>
      </c>
      <c r="T107" s="984">
        <v>45642</v>
      </c>
      <c r="U107" s="984">
        <f t="shared" si="13"/>
        <v>14458</v>
      </c>
      <c r="V107" s="983">
        <f>U107/C107</f>
        <v>0.95606713589021308</v>
      </c>
      <c r="W107" s="984">
        <v>9911</v>
      </c>
      <c r="X107" s="983">
        <f>W107/D107</f>
        <v>0.86098987999778798</v>
      </c>
      <c r="Y107" s="984">
        <v>1962</v>
      </c>
      <c r="Z107" s="519">
        <v>0</v>
      </c>
      <c r="AA107" s="984">
        <v>2585</v>
      </c>
      <c r="AB107" s="984">
        <f t="shared" si="14"/>
        <v>31184</v>
      </c>
      <c r="AC107" s="983">
        <f>AB107/DataUK1!$B107</f>
        <v>2.7633141338059373</v>
      </c>
      <c r="AD107" s="983">
        <f>AB107/AS107</f>
        <v>1.0865505226480836</v>
      </c>
      <c r="AE107" s="984">
        <f t="shared" si="20"/>
        <v>21615</v>
      </c>
      <c r="AF107" s="983">
        <f>AE107/DataUK1!$B107</f>
        <v>1.9153743907842269</v>
      </c>
      <c r="AG107" s="984">
        <f t="shared" si="15"/>
        <v>1730</v>
      </c>
      <c r="AH107" s="983">
        <f>AG107/BE107</f>
        <v>0.5580645161290323</v>
      </c>
      <c r="AI107" s="984">
        <v>1607</v>
      </c>
      <c r="AJ107" s="983">
        <f>AI107/DataUK1!B107</f>
        <v>0.14240141781125387</v>
      </c>
      <c r="AK107" s="984">
        <v>19209</v>
      </c>
      <c r="AL107" s="983">
        <f>AK107/DataUK1!$B107</f>
        <v>1.7021710234824989</v>
      </c>
      <c r="AM107" s="984">
        <v>6848</v>
      </c>
      <c r="AN107" s="984">
        <v>123</v>
      </c>
      <c r="AO107" s="984">
        <v>1793</v>
      </c>
      <c r="AP107" s="984">
        <v>2729</v>
      </c>
      <c r="AQ107" s="984">
        <f t="shared" si="16"/>
        <v>7962</v>
      </c>
      <c r="AR107" s="983">
        <f>AQ107/DataUK1!$B107</f>
        <v>0.70553832521045634</v>
      </c>
      <c r="AS107" s="254">
        <f t="shared" ref="AS107:AS146" si="29">AU107+AT107</f>
        <v>28700</v>
      </c>
      <c r="AT107" s="519">
        <f t="shared" ref="AT107:AT144" si="30">BA107/BB107</f>
        <v>1300</v>
      </c>
      <c r="AU107" s="519">
        <f t="shared" ref="AU107:AU144" si="31">BC107/BD107</f>
        <v>27400</v>
      </c>
      <c r="AV107" s="519"/>
      <c r="AW107" s="519"/>
      <c r="AX107" s="519"/>
      <c r="AY107" s="519"/>
      <c r="BA107" s="519">
        <v>1300</v>
      </c>
      <c r="BB107" s="988">
        <f t="shared" ref="BB107:BB132" si="32">BB$134</f>
        <v>1</v>
      </c>
      <c r="BC107" s="519">
        <v>27400</v>
      </c>
      <c r="BD107" s="988">
        <f t="shared" ref="BD107:BD132" si="33">BD$134</f>
        <v>1</v>
      </c>
      <c r="BE107" s="982">
        <v>3100</v>
      </c>
      <c r="BF107" s="519">
        <v>800</v>
      </c>
      <c r="BG107" s="1117">
        <f t="shared" ref="BG107:BG138" si="34">BF107/BE107</f>
        <v>0.25806451612903225</v>
      </c>
      <c r="BH107" s="1128"/>
      <c r="BI107" s="988"/>
      <c r="BQ107" s="979"/>
      <c r="BR107" s="1139">
        <f>BR106+DataUK1!FI106</f>
        <v>-1146</v>
      </c>
      <c r="BS107" s="308">
        <f>BR107/DataUK1!B107</f>
        <v>-0.10155073105892778</v>
      </c>
      <c r="BT107" s="977"/>
      <c r="BU107" s="977"/>
      <c r="BV107" s="977"/>
      <c r="BW107" s="980"/>
      <c r="BX107" s="1144"/>
      <c r="CB107" s="991"/>
      <c r="CG107" s="979"/>
      <c r="CH107" s="1126"/>
      <c r="CK107" s="979"/>
      <c r="CL107" s="975">
        <v>23.8</v>
      </c>
      <c r="CM107" s="975">
        <v>9.1</v>
      </c>
      <c r="CN107" s="308">
        <f>1000*CL107/DataUK1!B107</f>
        <v>2.1089942401417812</v>
      </c>
      <c r="CO107" s="976"/>
      <c r="CP107" s="1202">
        <f t="shared" ref="CP107:CP124" si="35">1000*CM107/D107</f>
        <v>0.79053656623750079</v>
      </c>
      <c r="CQ107" s="1285">
        <f t="shared" si="19"/>
        <v>1690.4</v>
      </c>
      <c r="CR107" s="519">
        <v>1600</v>
      </c>
      <c r="CS107" s="1293">
        <f t="shared" si="22"/>
        <v>90.400000000000091</v>
      </c>
      <c r="CT107" s="577">
        <v>0</v>
      </c>
      <c r="CU107" s="1273">
        <f t="shared" si="6"/>
        <v>1690.4</v>
      </c>
      <c r="CV107" s="519">
        <v>1253.7</v>
      </c>
      <c r="CW107" s="2609">
        <v>422.1</v>
      </c>
      <c r="CX107" s="2609"/>
      <c r="CY107" s="1030">
        <v>14.6</v>
      </c>
    </row>
    <row r="108" spans="1:103" s="598" customFormat="1">
      <c r="A108" s="577">
        <v>1949</v>
      </c>
      <c r="B108" s="982">
        <f t="shared" si="7"/>
        <v>41529.385925925926</v>
      </c>
      <c r="C108" s="254">
        <f t="shared" si="25"/>
        <v>15029.385925925926</v>
      </c>
      <c r="D108" s="985">
        <f t="shared" si="26"/>
        <v>11188.425925925925</v>
      </c>
      <c r="E108" s="991">
        <f>G108*DataUK1!B108</f>
        <v>3840.96</v>
      </c>
      <c r="F108" s="988">
        <f t="shared" si="27"/>
        <v>0.74443666435005273</v>
      </c>
      <c r="G108" s="972">
        <v>0.32</v>
      </c>
      <c r="H108" s="970">
        <f>I108*DataUK1!B108</f>
        <v>2073.9187574855282</v>
      </c>
      <c r="I108" s="972">
        <f t="shared" ref="I108:I146" si="36">I107+(I$147-I$106)/41</f>
        <v>0.17278336728197352</v>
      </c>
      <c r="J108" s="519">
        <v>10400</v>
      </c>
      <c r="K108" s="986">
        <f t="shared" si="28"/>
        <v>0.92953200645508338</v>
      </c>
      <c r="L108" s="970">
        <v>6900</v>
      </c>
      <c r="M108" s="983">
        <f>L108/DataUK1!B108</f>
        <v>0.5748562859285179</v>
      </c>
      <c r="N108" s="977"/>
      <c r="P108" s="987"/>
      <c r="Q108" s="987"/>
      <c r="R108" s="987"/>
      <c r="S108" s="984">
        <v>41553</v>
      </c>
      <c r="T108" s="984">
        <v>43520</v>
      </c>
      <c r="U108" s="984">
        <f t="shared" si="13"/>
        <v>14901</v>
      </c>
      <c r="V108" s="983">
        <f>U108/C108</f>
        <v>0.99145767321707678</v>
      </c>
      <c r="W108" s="984">
        <v>10108</v>
      </c>
      <c r="X108" s="983">
        <f>W108/D108</f>
        <v>0.90343360781230608</v>
      </c>
      <c r="Y108" s="984">
        <v>2102</v>
      </c>
      <c r="Z108" s="519">
        <v>0</v>
      </c>
      <c r="AA108" s="984">
        <v>2691</v>
      </c>
      <c r="AB108" s="984">
        <f t="shared" si="14"/>
        <v>28619</v>
      </c>
      <c r="AC108" s="983">
        <f>AB108/DataUK1!$B108</f>
        <v>2.3843205865200368</v>
      </c>
      <c r="AD108" s="983">
        <f>AB108/AS108</f>
        <v>0.9603691275167785</v>
      </c>
      <c r="AE108" s="984">
        <f t="shared" si="20"/>
        <v>20385</v>
      </c>
      <c r="AF108" s="983">
        <f>AE108/DataUK1!$B108</f>
        <v>1.6983254186453387</v>
      </c>
      <c r="AG108" s="984">
        <f t="shared" si="15"/>
        <v>1967</v>
      </c>
      <c r="AH108" s="983">
        <f>AG108/BE108</f>
        <v>0.59606060606060607</v>
      </c>
      <c r="AI108" s="984">
        <v>1534</v>
      </c>
      <c r="AJ108" s="983">
        <f>AI108/DataUK1!B108</f>
        <v>0.12780138298758645</v>
      </c>
      <c r="AK108" s="984">
        <v>18059</v>
      </c>
      <c r="AL108" s="983">
        <f>AK108/DataUK1!$B108</f>
        <v>1.5045405315337832</v>
      </c>
      <c r="AM108" s="984">
        <v>6787</v>
      </c>
      <c r="AN108" s="984">
        <v>104</v>
      </c>
      <c r="AO108" s="984">
        <v>1817</v>
      </c>
      <c r="AP108" s="984">
        <v>2859</v>
      </c>
      <c r="AQ108" s="984">
        <f t="shared" si="16"/>
        <v>6700</v>
      </c>
      <c r="AR108" s="983">
        <f>AQ108/DataUK1!$B108</f>
        <v>0.55819378488711158</v>
      </c>
      <c r="AS108" s="254">
        <f t="shared" si="29"/>
        <v>29800</v>
      </c>
      <c r="AT108" s="519">
        <f t="shared" si="30"/>
        <v>1400</v>
      </c>
      <c r="AU108" s="519">
        <f t="shared" si="31"/>
        <v>28400</v>
      </c>
      <c r="AV108" s="519"/>
      <c r="AW108" s="519"/>
      <c r="AX108" s="519"/>
      <c r="AY108" s="519"/>
      <c r="BA108" s="519">
        <v>1400</v>
      </c>
      <c r="BB108" s="988">
        <f t="shared" si="32"/>
        <v>1</v>
      </c>
      <c r="BC108" s="519">
        <v>28400</v>
      </c>
      <c r="BD108" s="988">
        <f t="shared" si="33"/>
        <v>1</v>
      </c>
      <c r="BE108" s="982">
        <v>3300</v>
      </c>
      <c r="BF108" s="519">
        <v>900</v>
      </c>
      <c r="BG108" s="1117">
        <f t="shared" si="34"/>
        <v>0.27272727272727271</v>
      </c>
      <c r="BH108" s="1128"/>
      <c r="BI108" s="988"/>
      <c r="BQ108" s="979"/>
      <c r="BR108" s="1139">
        <f>BR107+DataUK1!FI107</f>
        <v>-1063</v>
      </c>
      <c r="BS108" s="308">
        <f>BR108/DataUK1!B108</f>
        <v>-8.8561193035074565E-2</v>
      </c>
      <c r="BT108" s="977"/>
      <c r="BU108" s="977"/>
      <c r="BV108" s="977"/>
      <c r="BW108" s="980"/>
      <c r="BX108" s="1144"/>
      <c r="CB108" s="991"/>
      <c r="CG108" s="979"/>
      <c r="CH108" s="1126"/>
      <c r="CK108" s="979"/>
      <c r="CL108" s="975">
        <v>24.6</v>
      </c>
      <c r="CM108" s="975">
        <v>9.3000000000000007</v>
      </c>
      <c r="CN108" s="308">
        <f>1000*CL108/DataUK1!B108</f>
        <v>2.0494876280929768</v>
      </c>
      <c r="CO108" s="976"/>
      <c r="CP108" s="1202">
        <f t="shared" si="35"/>
        <v>0.83121612115694965</v>
      </c>
      <c r="CQ108" s="1285">
        <f t="shared" si="19"/>
        <v>1715.6</v>
      </c>
      <c r="CR108" s="519">
        <v>1600</v>
      </c>
      <c r="CS108" s="1293">
        <f t="shared" si="22"/>
        <v>115.59999999999991</v>
      </c>
      <c r="CT108" s="577">
        <v>0</v>
      </c>
      <c r="CU108" s="1273">
        <f t="shared" si="6"/>
        <v>1715.6</v>
      </c>
      <c r="CV108" s="519">
        <v>1269</v>
      </c>
      <c r="CW108" s="2609">
        <v>432</v>
      </c>
      <c r="CX108" s="2609"/>
      <c r="CY108" s="1030">
        <v>14.6</v>
      </c>
    </row>
    <row r="109" spans="1:103" s="598" customFormat="1">
      <c r="A109" s="577">
        <f t="shared" ref="A109:A140" si="37">A108+1</f>
        <v>1950</v>
      </c>
      <c r="B109" s="982">
        <f t="shared" si="7"/>
        <v>43478.392037037032</v>
      </c>
      <c r="C109" s="254">
        <f t="shared" si="25"/>
        <v>15878.392037037036</v>
      </c>
      <c r="D109" s="985">
        <f t="shared" si="26"/>
        <v>11833.912037037036</v>
      </c>
      <c r="E109" s="991">
        <f>G109*DataUK1!B109</f>
        <v>4044.48</v>
      </c>
      <c r="F109" s="988">
        <f t="shared" si="27"/>
        <v>0.74528403187387771</v>
      </c>
      <c r="G109" s="972">
        <v>0.32</v>
      </c>
      <c r="H109" s="970">
        <f>I109*DataUK1!B109</f>
        <v>2150.9572900473549</v>
      </c>
      <c r="I109" s="972">
        <f t="shared" si="36"/>
        <v>0.17018413561574136</v>
      </c>
      <c r="J109" s="519">
        <v>11000</v>
      </c>
      <c r="K109" s="986">
        <f t="shared" si="28"/>
        <v>0.92953200645508338</v>
      </c>
      <c r="L109" s="970">
        <v>7000</v>
      </c>
      <c r="M109" s="983">
        <f>L109/DataUK1!B109</f>
        <v>0.55384128491178097</v>
      </c>
      <c r="N109" s="977"/>
      <c r="P109" s="987"/>
      <c r="Q109" s="987"/>
      <c r="R109" s="987"/>
      <c r="S109" s="984">
        <v>43101</v>
      </c>
      <c r="T109" s="984">
        <v>45276</v>
      </c>
      <c r="U109" s="984">
        <f>W109+Y109+Z109+AA109</f>
        <v>15336</v>
      </c>
      <c r="V109" s="983">
        <f>U109/C109</f>
        <v>0.96584087130662333</v>
      </c>
      <c r="W109" s="984">
        <v>10472</v>
      </c>
      <c r="X109" s="983">
        <f>W109/D109</f>
        <v>0.88491447014523938</v>
      </c>
      <c r="Y109" s="984">
        <v>2102</v>
      </c>
      <c r="Z109" s="519">
        <v>0</v>
      </c>
      <c r="AA109" s="984">
        <v>2762</v>
      </c>
      <c r="AB109" s="984">
        <f>T109-U109</f>
        <v>29940</v>
      </c>
      <c r="AC109" s="983">
        <f>AB109/DataUK1!$B109</f>
        <v>2.3688582957512461</v>
      </c>
      <c r="AD109" s="983">
        <f>AB109/AS109</f>
        <v>0.96270096463022503</v>
      </c>
      <c r="AE109" s="984">
        <f t="shared" si="20"/>
        <v>21387</v>
      </c>
      <c r="AF109" s="983">
        <f>AE109/DataUK1!$B109</f>
        <v>1.6921433657726086</v>
      </c>
      <c r="AG109" s="984">
        <f>T109-S109</f>
        <v>2175</v>
      </c>
      <c r="AH109" s="983">
        <f>AG109/BE109</f>
        <v>0.62142857142857144</v>
      </c>
      <c r="AI109" s="984">
        <v>1789</v>
      </c>
      <c r="AJ109" s="983">
        <f>AI109/DataUK1!B109</f>
        <v>0.14154600838673945</v>
      </c>
      <c r="AK109" s="984">
        <v>18333</v>
      </c>
      <c r="AL109" s="983">
        <f>AK109/DataUK1!$B109</f>
        <v>1.4505103251839544</v>
      </c>
      <c r="AM109" s="984">
        <v>6822</v>
      </c>
      <c r="AN109" s="984">
        <v>108</v>
      </c>
      <c r="AO109" s="984">
        <v>1734</v>
      </c>
      <c r="AP109" s="984">
        <v>3121</v>
      </c>
      <c r="AQ109" s="984">
        <f>AK109-AM109--AN109-AO109-AP109</f>
        <v>6764</v>
      </c>
      <c r="AR109" s="983">
        <f>AQ109/DataUK1!$B109</f>
        <v>0.53516892159189811</v>
      </c>
      <c r="AS109" s="254">
        <f t="shared" si="29"/>
        <v>31100</v>
      </c>
      <c r="AT109" s="519">
        <f t="shared" si="30"/>
        <v>1600</v>
      </c>
      <c r="AU109" s="519">
        <f t="shared" si="31"/>
        <v>29500</v>
      </c>
      <c r="AV109" s="519"/>
      <c r="AW109" s="519"/>
      <c r="AX109" s="519"/>
      <c r="AY109" s="519"/>
      <c r="BA109" s="519">
        <v>1600</v>
      </c>
      <c r="BB109" s="988">
        <f t="shared" si="32"/>
        <v>1</v>
      </c>
      <c r="BC109" s="519">
        <v>29500</v>
      </c>
      <c r="BD109" s="988">
        <f t="shared" si="33"/>
        <v>1</v>
      </c>
      <c r="BE109" s="982">
        <v>3500</v>
      </c>
      <c r="BF109" s="519">
        <v>1000</v>
      </c>
      <c r="BG109" s="1117">
        <f t="shared" si="34"/>
        <v>0.2857142857142857</v>
      </c>
      <c r="BH109" s="1128"/>
      <c r="BI109" s="988"/>
      <c r="BQ109" s="979"/>
      <c r="BR109" s="178">
        <f>BT109-BV109</f>
        <v>-700</v>
      </c>
      <c r="BS109" s="307">
        <f>BR109/DataUK1!B109</f>
        <v>-5.5384128491178103E-2</v>
      </c>
      <c r="BT109" s="981">
        <v>6900</v>
      </c>
      <c r="BU109" s="981"/>
      <c r="BV109" s="981">
        <v>7600</v>
      </c>
      <c r="BW109" s="980"/>
      <c r="BX109" s="1144"/>
      <c r="CB109" s="991"/>
      <c r="CG109" s="979"/>
      <c r="CH109" s="1126"/>
      <c r="CK109" s="979"/>
      <c r="CL109" s="975">
        <v>25.8</v>
      </c>
      <c r="CM109" s="975">
        <v>9.6999999999999993</v>
      </c>
      <c r="CN109" s="308">
        <f>1000*CL109/DataUK1!B109</f>
        <v>2.0413007358177069</v>
      </c>
      <c r="CO109" s="976">
        <v>6</v>
      </c>
      <c r="CP109" s="1202">
        <f t="shared" si="35"/>
        <v>0.81967822387402811</v>
      </c>
      <c r="CQ109" s="1285">
        <f t="shared" si="19"/>
        <v>1898.8</v>
      </c>
      <c r="CR109" s="519">
        <v>1750</v>
      </c>
      <c r="CS109" s="1293">
        <f t="shared" si="22"/>
        <v>148.79999999999995</v>
      </c>
      <c r="CT109" s="577">
        <v>0</v>
      </c>
      <c r="CU109" s="1273">
        <f t="shared" si="6"/>
        <v>1898.8</v>
      </c>
      <c r="CV109" s="519">
        <v>1287.4000000000001</v>
      </c>
      <c r="CW109" s="2609">
        <v>596.79999999999995</v>
      </c>
      <c r="CX109" s="2609"/>
      <c r="CY109" s="1030">
        <v>14.6</v>
      </c>
    </row>
    <row r="110" spans="1:103" s="598" customFormat="1">
      <c r="A110" s="577">
        <f t="shared" si="37"/>
        <v>1951</v>
      </c>
      <c r="B110" s="982">
        <f t="shared" si="7"/>
        <v>46145.341203703705</v>
      </c>
      <c r="C110" s="254">
        <f t="shared" si="25"/>
        <v>17245.341203703705</v>
      </c>
      <c r="D110" s="985">
        <f t="shared" si="26"/>
        <v>12802.141203703704</v>
      </c>
      <c r="E110" s="991">
        <f>G110*DataUK1!B110</f>
        <v>4443.2000000000007</v>
      </c>
      <c r="F110" s="988">
        <f t="shared" si="27"/>
        <v>0.74235360451750565</v>
      </c>
      <c r="G110" s="972">
        <v>0.32</v>
      </c>
      <c r="H110" s="970">
        <f>I110*DataUK1!B110</f>
        <v>2326.9163913389357</v>
      </c>
      <c r="I110" s="972">
        <f t="shared" si="36"/>
        <v>0.1675849039495092</v>
      </c>
      <c r="J110" s="519">
        <v>11900</v>
      </c>
      <c r="K110" s="986">
        <f t="shared" si="28"/>
        <v>0.92953200645508338</v>
      </c>
      <c r="L110" s="970">
        <v>7200</v>
      </c>
      <c r="M110" s="983">
        <f>L110/DataUK1!B110</f>
        <v>0.51854519265394305</v>
      </c>
      <c r="N110" s="977"/>
      <c r="P110" s="987"/>
      <c r="Q110" s="987"/>
      <c r="R110" s="987"/>
      <c r="S110" s="987"/>
      <c r="T110" s="987"/>
      <c r="U110" s="989"/>
      <c r="V110" s="989"/>
      <c r="W110" s="989"/>
      <c r="X110" s="989"/>
      <c r="Y110" s="989"/>
      <c r="Z110" s="989"/>
      <c r="AA110" s="989"/>
      <c r="AB110" s="989"/>
      <c r="AC110" s="989"/>
      <c r="AD110" s="989"/>
      <c r="AE110" s="989"/>
      <c r="AF110" s="989"/>
      <c r="AG110" s="987"/>
      <c r="AH110" s="987"/>
      <c r="AI110" s="987"/>
      <c r="AJ110" s="987"/>
      <c r="AK110" s="990"/>
      <c r="AL110" s="990"/>
      <c r="AM110" s="990"/>
      <c r="AN110" s="984"/>
      <c r="AO110" s="990"/>
      <c r="AP110" s="990"/>
      <c r="AQ110" s="990"/>
      <c r="AR110" s="990"/>
      <c r="AS110" s="254">
        <f t="shared" si="29"/>
        <v>32600</v>
      </c>
      <c r="AT110" s="519">
        <f t="shared" si="30"/>
        <v>1900</v>
      </c>
      <c r="AU110" s="519">
        <f t="shared" si="31"/>
        <v>30700</v>
      </c>
      <c r="AV110" s="519"/>
      <c r="AW110" s="519"/>
      <c r="AX110" s="519"/>
      <c r="AY110" s="519"/>
      <c r="BA110" s="519">
        <v>1900</v>
      </c>
      <c r="BB110" s="988">
        <f t="shared" si="32"/>
        <v>1</v>
      </c>
      <c r="BC110" s="519">
        <v>30700</v>
      </c>
      <c r="BD110" s="988">
        <f t="shared" si="33"/>
        <v>1</v>
      </c>
      <c r="BE110" s="982">
        <v>3700</v>
      </c>
      <c r="BF110" s="519">
        <v>1100</v>
      </c>
      <c r="BG110" s="1117">
        <f t="shared" si="34"/>
        <v>0.29729729729729731</v>
      </c>
      <c r="BH110" s="1128"/>
      <c r="BI110" s="988"/>
      <c r="BQ110" s="979"/>
      <c r="BR110" s="1139">
        <f>BR109*(DataUK1!HT110/DataUK1!HT109)+DataUK1!FI109</f>
        <v>-425.63636363636363</v>
      </c>
      <c r="BS110" s="308">
        <f>BR110/DataUK1!B110</f>
        <v>-3.0654401414214157E-2</v>
      </c>
      <c r="BT110" s="977"/>
      <c r="BU110" s="977"/>
      <c r="BV110" s="977"/>
      <c r="BW110" s="980"/>
      <c r="BX110" s="1144"/>
      <c r="CB110" s="991"/>
      <c r="CG110" s="979"/>
      <c r="CH110" s="1126"/>
      <c r="CK110" s="979"/>
      <c r="CL110" s="975">
        <v>30</v>
      </c>
      <c r="CM110" s="975">
        <v>11.5</v>
      </c>
      <c r="CN110" s="308">
        <f>1000*CL110/DataUK1!B110</f>
        <v>2.1606049693914291</v>
      </c>
      <c r="CO110" s="976"/>
      <c r="CP110" s="1202">
        <f t="shared" si="35"/>
        <v>0.89828723312886205</v>
      </c>
      <c r="CQ110" s="1285">
        <f t="shared" si="19"/>
        <v>1763.2</v>
      </c>
      <c r="CR110" s="519">
        <v>1700</v>
      </c>
      <c r="CS110" s="1293">
        <f t="shared" si="22"/>
        <v>63.200000000000045</v>
      </c>
      <c r="CT110" s="577">
        <v>0</v>
      </c>
      <c r="CU110" s="1273">
        <f t="shared" si="6"/>
        <v>1763.2</v>
      </c>
      <c r="CV110" s="519">
        <v>1342.4</v>
      </c>
      <c r="CW110" s="2609">
        <v>406.2</v>
      </c>
      <c r="CX110" s="2609"/>
      <c r="CY110" s="1030">
        <v>14.6</v>
      </c>
    </row>
    <row r="111" spans="1:103" s="598" customFormat="1">
      <c r="A111" s="577">
        <f t="shared" si="37"/>
        <v>1952</v>
      </c>
      <c r="B111" s="982">
        <f t="shared" ref="B111:B142" si="38">C111+AS111-BE111</f>
        <v>47353.059166666666</v>
      </c>
      <c r="C111" s="254">
        <f t="shared" si="25"/>
        <v>17353.059166666666</v>
      </c>
      <c r="D111" s="985">
        <f t="shared" si="26"/>
        <v>12586.979166666666</v>
      </c>
      <c r="E111" s="991">
        <f>G111*DataUK1!B111</f>
        <v>4766.08</v>
      </c>
      <c r="F111" s="988">
        <f t="shared" si="27"/>
        <v>0.72534640986212273</v>
      </c>
      <c r="G111" s="972">
        <v>0.32</v>
      </c>
      <c r="H111" s="970">
        <f>I111*DataUK1!B111</f>
        <v>2457.2966029871282</v>
      </c>
      <c r="I111" s="972">
        <f t="shared" si="36"/>
        <v>0.16498567228327704</v>
      </c>
      <c r="J111" s="519">
        <v>11700</v>
      </c>
      <c r="K111" s="986">
        <f t="shared" si="28"/>
        <v>0.92953200645508338</v>
      </c>
      <c r="L111" s="970">
        <v>7400</v>
      </c>
      <c r="M111" s="983">
        <f>L111/DataUK1!B111</f>
        <v>0.49684436685913791</v>
      </c>
      <c r="N111" s="977"/>
      <c r="P111" s="987"/>
      <c r="Q111" s="987"/>
      <c r="R111" s="987"/>
      <c r="S111" s="987"/>
      <c r="T111" s="987"/>
      <c r="U111" s="989"/>
      <c r="V111" s="989"/>
      <c r="W111" s="989"/>
      <c r="X111" s="989"/>
      <c r="Y111" s="989"/>
      <c r="Z111" s="989"/>
      <c r="AA111" s="989"/>
      <c r="AB111" s="989"/>
      <c r="AC111" s="989"/>
      <c r="AD111" s="989"/>
      <c r="AE111" s="989"/>
      <c r="AF111" s="989"/>
      <c r="AG111" s="987"/>
      <c r="AH111" s="987"/>
      <c r="AI111" s="987"/>
      <c r="AJ111" s="987"/>
      <c r="AK111" s="990"/>
      <c r="AL111" s="990"/>
      <c r="AM111" s="990"/>
      <c r="AN111" s="984"/>
      <c r="AO111" s="990"/>
      <c r="AP111" s="990"/>
      <c r="AQ111" s="990"/>
      <c r="AR111" s="990"/>
      <c r="AS111" s="254">
        <f t="shared" si="29"/>
        <v>33900</v>
      </c>
      <c r="AT111" s="519">
        <f t="shared" si="30"/>
        <v>2200</v>
      </c>
      <c r="AU111" s="519">
        <f t="shared" si="31"/>
        <v>31700</v>
      </c>
      <c r="AV111" s="519"/>
      <c r="AW111" s="519"/>
      <c r="AX111" s="519"/>
      <c r="AY111" s="519"/>
      <c r="BA111" s="519">
        <v>2200</v>
      </c>
      <c r="BB111" s="988">
        <f t="shared" si="32"/>
        <v>1</v>
      </c>
      <c r="BC111" s="519">
        <v>31700</v>
      </c>
      <c r="BD111" s="988">
        <f t="shared" si="33"/>
        <v>1</v>
      </c>
      <c r="BE111" s="982">
        <v>3900</v>
      </c>
      <c r="BF111" s="519">
        <v>1200</v>
      </c>
      <c r="BG111" s="1117">
        <f t="shared" si="34"/>
        <v>0.30769230769230771</v>
      </c>
      <c r="BH111" s="1128"/>
      <c r="BI111" s="988"/>
      <c r="BQ111" s="979"/>
      <c r="BR111" s="1139">
        <f>BR110*(DataUK1!HT111/DataUK1!HT110)+DataUK1!FI110</f>
        <v>-794.65303030303016</v>
      </c>
      <c r="BS111" s="308">
        <f>BR111/DataUK1!B111</f>
        <v>-5.3353902934270857E-2</v>
      </c>
      <c r="BT111" s="977"/>
      <c r="BU111" s="977"/>
      <c r="BV111" s="977"/>
      <c r="BW111" s="980"/>
      <c r="BX111" s="1144"/>
      <c r="CB111" s="991"/>
      <c r="CG111" s="979"/>
      <c r="CH111" s="1126"/>
      <c r="CK111" s="979"/>
      <c r="CL111" s="975">
        <v>33.6</v>
      </c>
      <c r="CM111" s="975">
        <v>12.9</v>
      </c>
      <c r="CN111" s="308">
        <f>1000*CL111/DataUK1!B111</f>
        <v>2.2559419900631128</v>
      </c>
      <c r="CO111" s="976"/>
      <c r="CP111" s="1202">
        <f t="shared" si="35"/>
        <v>1.0248686225017587</v>
      </c>
      <c r="CQ111" s="1285">
        <f t="shared" si="19"/>
        <v>1826.5</v>
      </c>
      <c r="CR111" s="519">
        <f>CR110+(CR$120-CR$110)/10</f>
        <v>1780</v>
      </c>
      <c r="CS111" s="1293">
        <f t="shared" si="22"/>
        <v>46.5</v>
      </c>
      <c r="CT111" s="577">
        <v>0</v>
      </c>
      <c r="CU111" s="1273">
        <f t="shared" si="6"/>
        <v>1826.5</v>
      </c>
      <c r="CV111" s="519">
        <v>1435.2</v>
      </c>
      <c r="CW111" s="2609">
        <v>376.7</v>
      </c>
      <c r="CX111" s="2609"/>
      <c r="CY111" s="1030">
        <v>14.6</v>
      </c>
    </row>
    <row r="112" spans="1:103" s="598" customFormat="1">
      <c r="A112" s="577">
        <f t="shared" si="37"/>
        <v>1953</v>
      </c>
      <c r="B112" s="982">
        <f t="shared" si="38"/>
        <v>48220.434074074074</v>
      </c>
      <c r="C112" s="254">
        <f t="shared" si="25"/>
        <v>17120.434074074074</v>
      </c>
      <c r="D112" s="985">
        <f t="shared" si="26"/>
        <v>12049.074074074075</v>
      </c>
      <c r="E112" s="991">
        <f>G112*DataUK1!B112</f>
        <v>5071.3599999999997</v>
      </c>
      <c r="F112" s="988">
        <f t="shared" si="27"/>
        <v>0.70378321145024625</v>
      </c>
      <c r="G112" s="972">
        <v>0.32</v>
      </c>
      <c r="H112" s="970">
        <f>I112*DataUK1!B112</f>
        <v>2573.5003108989272</v>
      </c>
      <c r="I112" s="972">
        <f t="shared" si="36"/>
        <v>0.16238644061704488</v>
      </c>
      <c r="J112" s="519">
        <v>11200</v>
      </c>
      <c r="K112" s="986">
        <f t="shared" si="28"/>
        <v>0.92953200645508338</v>
      </c>
      <c r="L112" s="970">
        <v>7600</v>
      </c>
      <c r="M112" s="983">
        <f>L112/DataUK1!B112</f>
        <v>0.47955577990913678</v>
      </c>
      <c r="N112" s="97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90"/>
      <c r="AL112" s="990"/>
      <c r="AM112" s="990"/>
      <c r="AN112" s="984"/>
      <c r="AO112" s="990"/>
      <c r="AP112" s="990"/>
      <c r="AQ112" s="990"/>
      <c r="AR112" s="990"/>
      <c r="AS112" s="254">
        <f t="shared" si="29"/>
        <v>35200</v>
      </c>
      <c r="AT112" s="519">
        <f t="shared" si="30"/>
        <v>2400</v>
      </c>
      <c r="AU112" s="519">
        <f t="shared" si="31"/>
        <v>32800</v>
      </c>
      <c r="AV112" s="519"/>
      <c r="AW112" s="519"/>
      <c r="AX112" s="519"/>
      <c r="AY112" s="519"/>
      <c r="BA112" s="519">
        <v>2400</v>
      </c>
      <c r="BB112" s="988">
        <f t="shared" si="32"/>
        <v>1</v>
      </c>
      <c r="BC112" s="519">
        <v>32800</v>
      </c>
      <c r="BD112" s="988">
        <f t="shared" si="33"/>
        <v>1</v>
      </c>
      <c r="BE112" s="982">
        <v>4100</v>
      </c>
      <c r="BF112" s="519">
        <v>1300</v>
      </c>
      <c r="BG112" s="1117">
        <f t="shared" si="34"/>
        <v>0.31707317073170732</v>
      </c>
      <c r="BH112" s="1128"/>
      <c r="BI112" s="988"/>
      <c r="BQ112" s="979"/>
      <c r="BR112" s="1139">
        <f>BR111*(DataUK1!HT112/DataUK1!HT111)+DataUK1!FI111</f>
        <v>-589.91724496877157</v>
      </c>
      <c r="BS112" s="308">
        <f>BR112/DataUK1!B112</f>
        <v>-3.7223450591164282E-2</v>
      </c>
      <c r="BT112" s="977"/>
      <c r="BU112" s="977"/>
      <c r="BV112" s="977"/>
      <c r="BW112" s="980"/>
      <c r="BX112" s="1144"/>
      <c r="CB112" s="991"/>
      <c r="CG112" s="979"/>
      <c r="CH112" s="1126"/>
      <c r="CK112" s="979"/>
      <c r="CL112" s="975">
        <v>34.700000000000003</v>
      </c>
      <c r="CM112" s="975">
        <v>12.9</v>
      </c>
      <c r="CN112" s="308">
        <f>1000*CL112/DataUK1!B112</f>
        <v>2.1895507319535588</v>
      </c>
      <c r="CO112" s="976"/>
      <c r="CP112" s="1202">
        <f t="shared" si="35"/>
        <v>1.0706216860063014</v>
      </c>
      <c r="CQ112" s="1285">
        <f t="shared" si="19"/>
        <v>1936.9</v>
      </c>
      <c r="CR112" s="519">
        <f t="shared" ref="CR112:CR119" si="39">CR111+(CR$120-CR$110)/10</f>
        <v>1860</v>
      </c>
      <c r="CS112" s="1293">
        <f t="shared" si="22"/>
        <v>76.900000000000091</v>
      </c>
      <c r="CT112" s="577">
        <v>0</v>
      </c>
      <c r="CU112" s="1273">
        <f t="shared" si="6"/>
        <v>1936.9</v>
      </c>
      <c r="CV112" s="519">
        <v>1531.9</v>
      </c>
      <c r="CW112" s="2609">
        <v>390.4</v>
      </c>
      <c r="CX112" s="2609"/>
      <c r="CY112" s="1030">
        <v>14.6</v>
      </c>
    </row>
    <row r="113" spans="1:103" s="598" customFormat="1">
      <c r="A113" s="577">
        <f t="shared" si="37"/>
        <v>1954</v>
      </c>
      <c r="B113" s="982">
        <f t="shared" si="38"/>
        <v>50024.312037037038</v>
      </c>
      <c r="C113" s="254">
        <f t="shared" si="25"/>
        <v>17224.312037037038</v>
      </c>
      <c r="D113" s="985">
        <f t="shared" si="26"/>
        <v>11833.912037037036</v>
      </c>
      <c r="E113" s="991">
        <f>G113*DataUK1!B113</f>
        <v>5390.4000000000005</v>
      </c>
      <c r="F113" s="988">
        <f t="shared" si="27"/>
        <v>0.68704700725293699</v>
      </c>
      <c r="G113" s="972">
        <v>0.32</v>
      </c>
      <c r="H113" s="970">
        <f>I113*DataUK1!B113</f>
        <v>2691.6155347764402</v>
      </c>
      <c r="I113" s="972">
        <f t="shared" si="36"/>
        <v>0.15978720895081272</v>
      </c>
      <c r="J113" s="519">
        <v>11000</v>
      </c>
      <c r="K113" s="986">
        <f t="shared" si="28"/>
        <v>0.92953200645508338</v>
      </c>
      <c r="L113" s="970">
        <v>7900</v>
      </c>
      <c r="M113" s="983">
        <f>L113/DataUK1!B113</f>
        <v>0.46898189373701393</v>
      </c>
      <c r="N113" s="97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90"/>
      <c r="AL113" s="990"/>
      <c r="AM113" s="990"/>
      <c r="AN113" s="984"/>
      <c r="AO113" s="990"/>
      <c r="AP113" s="990"/>
      <c r="AQ113" s="990"/>
      <c r="AR113" s="990"/>
      <c r="AS113" s="254">
        <f t="shared" si="29"/>
        <v>37100</v>
      </c>
      <c r="AT113" s="519">
        <f t="shared" si="30"/>
        <v>2900</v>
      </c>
      <c r="AU113" s="519">
        <f t="shared" si="31"/>
        <v>34200</v>
      </c>
      <c r="AV113" s="519"/>
      <c r="AW113" s="519"/>
      <c r="AX113" s="519"/>
      <c r="AY113" s="519"/>
      <c r="BA113" s="519">
        <v>2900</v>
      </c>
      <c r="BB113" s="988">
        <f t="shared" si="32"/>
        <v>1</v>
      </c>
      <c r="BC113" s="519">
        <v>34200</v>
      </c>
      <c r="BD113" s="988">
        <f t="shared" si="33"/>
        <v>1</v>
      </c>
      <c r="BE113" s="982">
        <v>4300</v>
      </c>
      <c r="BF113" s="519">
        <v>1500</v>
      </c>
      <c r="BG113" s="1117">
        <f t="shared" si="34"/>
        <v>0.34883720930232559</v>
      </c>
      <c r="BH113" s="1128"/>
      <c r="BI113" s="988"/>
      <c r="BQ113" s="979"/>
      <c r="BR113" s="1139">
        <f>BR112*(DataUK1!HT113/DataUK1!HT112)+DataUK1!FI112</f>
        <v>-397.56993128914235</v>
      </c>
      <c r="BS113" s="308">
        <f>BR113/DataUK1!B113</f>
        <v>-2.3601658135300824E-2</v>
      </c>
      <c r="BT113" s="977"/>
      <c r="BU113" s="977"/>
      <c r="BV113" s="977"/>
      <c r="BW113" s="980"/>
      <c r="BX113" s="1144"/>
      <c r="CB113" s="991"/>
      <c r="CG113" s="979"/>
      <c r="CH113" s="1126"/>
      <c r="CK113" s="979"/>
      <c r="CL113" s="975">
        <v>35.700000000000003</v>
      </c>
      <c r="CM113" s="975">
        <v>13.2</v>
      </c>
      <c r="CN113" s="308">
        <f>1000*CL113/DataUK1!B113</f>
        <v>2.1193232413178986</v>
      </c>
      <c r="CO113" s="976"/>
      <c r="CP113" s="1202">
        <f t="shared" si="35"/>
        <v>1.1154384077461001</v>
      </c>
      <c r="CQ113" s="1285">
        <f t="shared" si="19"/>
        <v>2013.6999999999998</v>
      </c>
      <c r="CR113" s="519">
        <f t="shared" si="39"/>
        <v>1940</v>
      </c>
      <c r="CS113" s="1293">
        <f t="shared" si="22"/>
        <v>73.699999999999818</v>
      </c>
      <c r="CT113" s="577">
        <v>0</v>
      </c>
      <c r="CU113" s="1273">
        <f t="shared" si="6"/>
        <v>2013.6999999999998</v>
      </c>
      <c r="CV113" s="519">
        <v>1630.3</v>
      </c>
      <c r="CW113" s="2609">
        <v>368.8</v>
      </c>
      <c r="CX113" s="2609"/>
      <c r="CY113" s="1030">
        <v>14.6</v>
      </c>
    </row>
    <row r="114" spans="1:103" s="598" customFormat="1">
      <c r="A114" s="577">
        <f t="shared" si="37"/>
        <v>1955</v>
      </c>
      <c r="B114" s="982">
        <f t="shared" si="38"/>
        <v>52929.379166666666</v>
      </c>
      <c r="C114" s="254">
        <f t="shared" si="25"/>
        <v>18329.379166666666</v>
      </c>
      <c r="D114" s="985">
        <f t="shared" si="26"/>
        <v>12586.979166666666</v>
      </c>
      <c r="E114" s="991">
        <f>G114*DataUK1!B114</f>
        <v>5742.4000000000005</v>
      </c>
      <c r="F114" s="988">
        <f t="shared" si="27"/>
        <v>0.68671061099314379</v>
      </c>
      <c r="G114" s="972">
        <v>0.32</v>
      </c>
      <c r="H114" s="970">
        <f>I114*DataUK1!B114</f>
        <v>2820.7382523717984</v>
      </c>
      <c r="I114" s="972">
        <f t="shared" si="36"/>
        <v>0.15718797728458056</v>
      </c>
      <c r="J114" s="519">
        <v>11700</v>
      </c>
      <c r="K114" s="986">
        <f t="shared" si="28"/>
        <v>0.92953200645508338</v>
      </c>
      <c r="L114" s="970">
        <v>8200</v>
      </c>
      <c r="M114" s="983">
        <f>L114/DataUK1!B114</f>
        <v>0.45695179715798273</v>
      </c>
      <c r="N114" s="977"/>
      <c r="P114" s="987"/>
      <c r="Q114" s="987"/>
      <c r="R114" s="987"/>
      <c r="S114" s="987"/>
      <c r="T114" s="987"/>
      <c r="U114" s="987"/>
      <c r="V114" s="987"/>
      <c r="W114" s="987"/>
      <c r="X114" s="987"/>
      <c r="Y114" s="987"/>
      <c r="Z114" s="987"/>
      <c r="AA114" s="987"/>
      <c r="AB114" s="987"/>
      <c r="AC114" s="987"/>
      <c r="AD114" s="987"/>
      <c r="AE114" s="987"/>
      <c r="AF114" s="987"/>
      <c r="AG114" s="987"/>
      <c r="AH114" s="987"/>
      <c r="AI114" s="987"/>
      <c r="AJ114" s="987"/>
      <c r="AK114" s="990"/>
      <c r="AL114" s="990"/>
      <c r="AM114" s="990"/>
      <c r="AN114" s="984"/>
      <c r="AO114" s="990"/>
      <c r="AP114" s="990"/>
      <c r="AQ114" s="990"/>
      <c r="AR114" s="990"/>
      <c r="AS114" s="254">
        <f t="shared" si="29"/>
        <v>39200</v>
      </c>
      <c r="AT114" s="519">
        <f t="shared" si="30"/>
        <v>3500</v>
      </c>
      <c r="AU114" s="519">
        <f t="shared" si="31"/>
        <v>35700</v>
      </c>
      <c r="AV114" s="519"/>
      <c r="AW114" s="519"/>
      <c r="AX114" s="519"/>
      <c r="AY114" s="519"/>
      <c r="BA114" s="519">
        <v>3500</v>
      </c>
      <c r="BB114" s="988">
        <f t="shared" si="32"/>
        <v>1</v>
      </c>
      <c r="BC114" s="519">
        <v>35700</v>
      </c>
      <c r="BD114" s="988">
        <f t="shared" si="33"/>
        <v>1</v>
      </c>
      <c r="BE114" s="982">
        <v>4600</v>
      </c>
      <c r="BF114" s="519">
        <v>1700</v>
      </c>
      <c r="BG114" s="1117">
        <f t="shared" si="34"/>
        <v>0.36956521739130432</v>
      </c>
      <c r="BH114" s="1128"/>
      <c r="BI114" s="988"/>
      <c r="BQ114" s="979"/>
      <c r="BR114" s="1031">
        <v>520</v>
      </c>
      <c r="BS114" s="308">
        <f>BR114/DataUK1!B114</f>
        <v>2.8977431039286711E-2</v>
      </c>
      <c r="BT114" s="977"/>
      <c r="BU114" s="977"/>
      <c r="BV114" s="977"/>
      <c r="BW114" s="980"/>
      <c r="BX114" s="1144"/>
      <c r="CB114" s="991"/>
      <c r="CG114" s="979"/>
      <c r="CH114" s="1126"/>
      <c r="CK114" s="979"/>
      <c r="CL114" s="975">
        <v>39.1</v>
      </c>
      <c r="CM114" s="975">
        <v>14.4</v>
      </c>
      <c r="CN114" s="308">
        <f>1000*CL114/DataUK1!B114</f>
        <v>2.1788799108386736</v>
      </c>
      <c r="CO114" s="976">
        <v>8</v>
      </c>
      <c r="CP114" s="1202">
        <f t="shared" si="35"/>
        <v>1.1440393925601027</v>
      </c>
      <c r="CQ114" s="1285">
        <f t="shared" si="19"/>
        <v>2115.1999999999998</v>
      </c>
      <c r="CR114" s="519">
        <f t="shared" si="39"/>
        <v>2020</v>
      </c>
      <c r="CS114" s="1293">
        <f t="shared" si="22"/>
        <v>95.199999999999818</v>
      </c>
      <c r="CT114" s="577">
        <v>0</v>
      </c>
      <c r="CU114" s="1273">
        <f t="shared" si="6"/>
        <v>2115.1999999999998</v>
      </c>
      <c r="CV114" s="519">
        <v>1760</v>
      </c>
      <c r="CW114" s="2609">
        <v>340.6</v>
      </c>
      <c r="CX114" s="2609"/>
      <c r="CY114" s="1030">
        <v>14.6</v>
      </c>
    </row>
    <row r="115" spans="1:103" s="598" customFormat="1">
      <c r="A115" s="577">
        <f t="shared" si="37"/>
        <v>1956</v>
      </c>
      <c r="B115" s="982">
        <f t="shared" si="38"/>
        <v>55805.246296296296</v>
      </c>
      <c r="C115" s="254">
        <f t="shared" si="25"/>
        <v>19495.246296296296</v>
      </c>
      <c r="D115" s="985">
        <f t="shared" si="26"/>
        <v>13340.046296296296</v>
      </c>
      <c r="E115" s="991">
        <f>G115*DataUK1!B115</f>
        <v>6155.2000000000016</v>
      </c>
      <c r="F115" s="988">
        <f t="shared" si="27"/>
        <v>0.68427174981783301</v>
      </c>
      <c r="G115" s="972">
        <v>0.32</v>
      </c>
      <c r="H115" s="970">
        <f>I115*DataUK1!B115</f>
        <v>2973.5145219689321</v>
      </c>
      <c r="I115" s="972">
        <f t="shared" si="36"/>
        <v>0.1545887456183484</v>
      </c>
      <c r="J115" s="519">
        <v>12400</v>
      </c>
      <c r="K115" s="986">
        <f t="shared" si="28"/>
        <v>0.92953200645508338</v>
      </c>
      <c r="L115" s="970">
        <v>8500</v>
      </c>
      <c r="M115" s="983">
        <f>L115/DataUK1!B115</f>
        <v>0.44190278138809452</v>
      </c>
      <c r="N115" s="977"/>
      <c r="P115" s="987"/>
      <c r="Q115" s="987"/>
      <c r="R115" s="987"/>
      <c r="S115" s="987"/>
      <c r="T115" s="987"/>
      <c r="U115" s="987"/>
      <c r="V115" s="987"/>
      <c r="W115" s="987"/>
      <c r="X115" s="987"/>
      <c r="Y115" s="987"/>
      <c r="Z115" s="987"/>
      <c r="AA115" s="987"/>
      <c r="AB115" s="987"/>
      <c r="AC115" s="987"/>
      <c r="AD115" s="987"/>
      <c r="AE115" s="987"/>
      <c r="AF115" s="987"/>
      <c r="AG115" s="987"/>
      <c r="AH115" s="987"/>
      <c r="AI115" s="987"/>
      <c r="AJ115" s="987"/>
      <c r="AK115" s="990"/>
      <c r="AL115" s="990"/>
      <c r="AM115" s="990"/>
      <c r="AN115" s="984"/>
      <c r="AO115" s="990"/>
      <c r="AP115" s="990"/>
      <c r="AQ115" s="990"/>
      <c r="AR115" s="990"/>
      <c r="AS115" s="254">
        <f t="shared" si="29"/>
        <v>41210</v>
      </c>
      <c r="AT115" s="519">
        <f t="shared" si="30"/>
        <v>4010</v>
      </c>
      <c r="AU115" s="519">
        <f t="shared" si="31"/>
        <v>37200</v>
      </c>
      <c r="AV115" s="519"/>
      <c r="AW115" s="519"/>
      <c r="AX115" s="519"/>
      <c r="AY115" s="519"/>
      <c r="BA115" s="519">
        <v>4010</v>
      </c>
      <c r="BB115" s="988">
        <f t="shared" si="32"/>
        <v>1</v>
      </c>
      <c r="BC115" s="519">
        <v>37200</v>
      </c>
      <c r="BD115" s="988">
        <f t="shared" si="33"/>
        <v>1</v>
      </c>
      <c r="BE115" s="982">
        <v>4900</v>
      </c>
      <c r="BF115" s="519">
        <v>1900</v>
      </c>
      <c r="BG115" s="1117">
        <f t="shared" si="34"/>
        <v>0.38775510204081631</v>
      </c>
      <c r="BH115" s="1128"/>
      <c r="BI115" s="988"/>
      <c r="BQ115" s="979"/>
      <c r="BR115" s="1139">
        <f>BR114*(DataUK1!HT115/DataUK1!HT114)+DataUK1!FI114</f>
        <v>438.54292343387465</v>
      </c>
      <c r="BS115" s="308">
        <f>BR115/DataUK1!B115</f>
        <v>2.2799216190999456E-2</v>
      </c>
      <c r="BT115" s="977"/>
      <c r="BU115" s="977"/>
      <c r="BV115" s="977"/>
      <c r="BW115" s="980"/>
      <c r="BX115" s="1144"/>
      <c r="CB115" s="991"/>
      <c r="CG115" s="979"/>
      <c r="CH115" s="1126"/>
      <c r="CK115" s="979"/>
      <c r="CL115" s="975">
        <v>43.2</v>
      </c>
      <c r="CM115" s="975">
        <v>15.6</v>
      </c>
      <c r="CN115" s="308">
        <f>1000*CL115/DataUK1!B115</f>
        <v>2.2459059007018451</v>
      </c>
      <c r="CO115" s="976"/>
      <c r="CP115" s="1202">
        <f t="shared" si="35"/>
        <v>1.169411233927363</v>
      </c>
      <c r="CQ115" s="1285">
        <f t="shared" si="19"/>
        <v>2207.1999999999998</v>
      </c>
      <c r="CR115" s="519">
        <f t="shared" si="39"/>
        <v>2100</v>
      </c>
      <c r="CS115" s="1293">
        <f t="shared" si="22"/>
        <v>107.19999999999982</v>
      </c>
      <c r="CT115" s="577">
        <v>0</v>
      </c>
      <c r="CU115" s="1273">
        <f t="shared" si="6"/>
        <v>2207.1999999999998</v>
      </c>
      <c r="CV115" s="519">
        <v>1875.1</v>
      </c>
      <c r="CW115" s="2609">
        <v>317.5</v>
      </c>
      <c r="CX115" s="2609"/>
      <c r="CY115" s="1030">
        <v>14.6</v>
      </c>
    </row>
    <row r="116" spans="1:103" s="598" customFormat="1">
      <c r="A116" s="577">
        <f t="shared" si="37"/>
        <v>1957</v>
      </c>
      <c r="B116" s="982">
        <f t="shared" si="38"/>
        <v>58247.608333333337</v>
      </c>
      <c r="C116" s="254">
        <f t="shared" si="25"/>
        <v>20017.608333333334</v>
      </c>
      <c r="D116" s="985">
        <f t="shared" si="26"/>
        <v>13555.208333333334</v>
      </c>
      <c r="E116" s="991">
        <f>G116*DataUK1!B116</f>
        <v>6462.4000000000005</v>
      </c>
      <c r="F116" s="988">
        <f t="shared" si="27"/>
        <v>0.6771642299925108</v>
      </c>
      <c r="G116" s="972">
        <v>0.32</v>
      </c>
      <c r="H116" s="970">
        <f>I116*DataUK1!B116</f>
        <v>3069.4282342629876</v>
      </c>
      <c r="I116" s="972">
        <f t="shared" si="36"/>
        <v>0.15198951395211624</v>
      </c>
      <c r="J116" s="519">
        <v>12600</v>
      </c>
      <c r="K116" s="986">
        <f t="shared" si="28"/>
        <v>0.92953200645508338</v>
      </c>
      <c r="L116" s="970">
        <v>8800</v>
      </c>
      <c r="M116" s="983">
        <f>L116/DataUK1!B116</f>
        <v>0.43575142361970787</v>
      </c>
      <c r="N116" s="970"/>
      <c r="P116" s="987"/>
      <c r="Q116" s="987"/>
      <c r="R116" s="987"/>
      <c r="S116" s="987"/>
      <c r="T116" s="987"/>
      <c r="U116" s="987"/>
      <c r="V116" s="987"/>
      <c r="W116" s="987"/>
      <c r="X116" s="987"/>
      <c r="Y116" s="987"/>
      <c r="Z116" s="987"/>
      <c r="AA116" s="987"/>
      <c r="AB116" s="987"/>
      <c r="AC116" s="987"/>
      <c r="AD116" s="987"/>
      <c r="AE116" s="987"/>
      <c r="AF116" s="987"/>
      <c r="AG116" s="987"/>
      <c r="AH116" s="987"/>
      <c r="AI116" s="987"/>
      <c r="AJ116" s="987"/>
      <c r="AK116" s="990"/>
      <c r="AL116" s="990"/>
      <c r="AM116" s="990"/>
      <c r="AN116" s="990"/>
      <c r="AO116" s="990"/>
      <c r="AP116" s="990"/>
      <c r="AQ116" s="990"/>
      <c r="AR116" s="990"/>
      <c r="AS116" s="254">
        <f t="shared" si="29"/>
        <v>43330</v>
      </c>
      <c r="AT116" s="519">
        <f t="shared" si="30"/>
        <v>4430</v>
      </c>
      <c r="AU116" s="519">
        <f t="shared" si="31"/>
        <v>38900</v>
      </c>
      <c r="AV116" s="519"/>
      <c r="AW116" s="519"/>
      <c r="AX116" s="519"/>
      <c r="AY116" s="519"/>
      <c r="BA116" s="519">
        <v>4430</v>
      </c>
      <c r="BB116" s="988">
        <f t="shared" si="32"/>
        <v>1</v>
      </c>
      <c r="BC116" s="519">
        <v>38900</v>
      </c>
      <c r="BD116" s="988">
        <f t="shared" si="33"/>
        <v>1</v>
      </c>
      <c r="BE116" s="982">
        <v>5100</v>
      </c>
      <c r="BF116" s="519">
        <v>2000</v>
      </c>
      <c r="BG116" s="1117">
        <f t="shared" si="34"/>
        <v>0.39215686274509803</v>
      </c>
      <c r="BH116" s="1128"/>
      <c r="BI116" s="988"/>
      <c r="BQ116" s="979"/>
      <c r="BR116" s="1139">
        <f>BR115*(DataUK1!HT116/DataUK1!HT115)+DataUK1!FI115</f>
        <v>705.03229821299601</v>
      </c>
      <c r="BS116" s="308">
        <f>BR116/DataUK1!B116</f>
        <v>3.4911230414112204E-2</v>
      </c>
      <c r="BT116" s="977"/>
      <c r="BU116" s="977"/>
      <c r="BV116" s="977"/>
      <c r="BW116" s="980"/>
      <c r="BX116" s="1144"/>
      <c r="CB116" s="991"/>
      <c r="CG116" s="979"/>
      <c r="CH116" s="1126"/>
      <c r="CK116" s="979"/>
      <c r="CL116" s="975">
        <v>46.6</v>
      </c>
      <c r="CM116" s="975">
        <v>16.3</v>
      </c>
      <c r="CN116" s="308">
        <f>1000*CL116/DataUK1!B116</f>
        <v>2.307501856895271</v>
      </c>
      <c r="CO116" s="976"/>
      <c r="CP116" s="1202">
        <f t="shared" si="35"/>
        <v>1.2024898178744332</v>
      </c>
      <c r="CQ116" s="1285">
        <f t="shared" si="19"/>
        <v>2284.5</v>
      </c>
      <c r="CR116" s="519">
        <f t="shared" si="39"/>
        <v>2180</v>
      </c>
      <c r="CS116" s="1293">
        <f t="shared" si="22"/>
        <v>104.5</v>
      </c>
      <c r="CT116" s="577">
        <v>0</v>
      </c>
      <c r="CU116" s="1273">
        <f t="shared" si="6"/>
        <v>2284.5</v>
      </c>
      <c r="CV116" s="519">
        <v>1966.3</v>
      </c>
      <c r="CW116" s="2609">
        <v>303.60000000000002</v>
      </c>
      <c r="CX116" s="2609"/>
      <c r="CY116" s="1030">
        <v>14.6</v>
      </c>
    </row>
    <row r="117" spans="1:103" s="598" customFormat="1">
      <c r="A117" s="577">
        <f t="shared" si="37"/>
        <v>1958</v>
      </c>
      <c r="B117" s="982">
        <f t="shared" si="38"/>
        <v>61467.791388888887</v>
      </c>
      <c r="C117" s="254">
        <f t="shared" si="25"/>
        <v>20617.791388888887</v>
      </c>
      <c r="D117" s="985">
        <f t="shared" si="26"/>
        <v>13877.951388888889</v>
      </c>
      <c r="E117" s="991">
        <f>G117*DataUK1!B117</f>
        <v>6739.84</v>
      </c>
      <c r="F117" s="988">
        <f t="shared" si="27"/>
        <v>0.6731056264526879</v>
      </c>
      <c r="G117" s="972">
        <v>0.32</v>
      </c>
      <c r="H117" s="970">
        <f>I117*DataUK1!B117</f>
        <v>3146.4581255052904</v>
      </c>
      <c r="I117" s="972">
        <f t="shared" si="36"/>
        <v>0.14939028228588408</v>
      </c>
      <c r="J117" s="519">
        <v>12900</v>
      </c>
      <c r="K117" s="986">
        <f t="shared" si="28"/>
        <v>0.92953200645508338</v>
      </c>
      <c r="L117" s="970">
        <v>9200</v>
      </c>
      <c r="M117" s="983">
        <f>L117/DataUK1!B117</f>
        <v>0.43680562149843322</v>
      </c>
      <c r="N117" s="970">
        <v>65700</v>
      </c>
      <c r="P117" s="987"/>
      <c r="Q117" s="983">
        <f>B117/N117</f>
        <v>0.93558282174868934</v>
      </c>
      <c r="R117" s="987"/>
      <c r="S117" s="987"/>
      <c r="T117" s="987"/>
      <c r="U117" s="987"/>
      <c r="V117" s="987"/>
      <c r="W117" s="987"/>
      <c r="X117" s="987"/>
      <c r="Y117" s="987"/>
      <c r="Z117" s="987"/>
      <c r="AA117" s="987"/>
      <c r="AB117" s="987"/>
      <c r="AC117" s="987"/>
      <c r="AD117" s="987"/>
      <c r="AE117" s="987"/>
      <c r="AF117" s="987"/>
      <c r="AG117" s="987"/>
      <c r="AH117" s="987"/>
      <c r="AI117" s="987"/>
      <c r="AJ117" s="987"/>
      <c r="AK117" s="990"/>
      <c r="AL117" s="990"/>
      <c r="AM117" s="990"/>
      <c r="AN117" s="990"/>
      <c r="AO117" s="990"/>
      <c r="AP117" s="990"/>
      <c r="AQ117" s="990"/>
      <c r="AR117" s="990"/>
      <c r="AS117" s="254">
        <f t="shared" si="29"/>
        <v>46250</v>
      </c>
      <c r="AT117" s="519">
        <f t="shared" si="30"/>
        <v>4950</v>
      </c>
      <c r="AU117" s="519">
        <f t="shared" si="31"/>
        <v>41300</v>
      </c>
      <c r="AV117" s="519"/>
      <c r="AW117" s="519"/>
      <c r="AX117" s="519"/>
      <c r="AY117" s="519"/>
      <c r="BA117" s="519">
        <v>4950</v>
      </c>
      <c r="BB117" s="988">
        <f t="shared" si="32"/>
        <v>1</v>
      </c>
      <c r="BC117" s="519">
        <v>41300</v>
      </c>
      <c r="BD117" s="988">
        <f t="shared" si="33"/>
        <v>1</v>
      </c>
      <c r="BE117" s="982">
        <v>5400</v>
      </c>
      <c r="BF117" s="519">
        <v>2200</v>
      </c>
      <c r="BG117" s="1117">
        <f t="shared" si="34"/>
        <v>0.40740740740740738</v>
      </c>
      <c r="BH117" s="1129">
        <f>BI117+CC117</f>
        <v>15572.4</v>
      </c>
      <c r="BI117" s="991">
        <v>8700</v>
      </c>
      <c r="BQ117" s="979"/>
      <c r="BR117" s="1139">
        <f>BR116*(DataUK1!HT117/DataUK1!HT116)+DataUK1!FI116</f>
        <v>1005.581305618529</v>
      </c>
      <c r="BS117" s="308">
        <f>BR117/DataUK1!B117</f>
        <v>4.7743865996511675E-2</v>
      </c>
      <c r="BT117" s="977"/>
      <c r="BU117" s="977"/>
      <c r="BV117" s="977"/>
      <c r="BW117" s="980"/>
      <c r="BX117" s="1144"/>
      <c r="BY117" s="519"/>
      <c r="BZ117" s="991">
        <v>11488</v>
      </c>
      <c r="CB117" s="991"/>
      <c r="CC117" s="991">
        <f t="shared" ref="CC117:CC124" si="40">0.6*CD117</f>
        <v>6872.4</v>
      </c>
      <c r="CD117" s="991">
        <v>11454</v>
      </c>
      <c r="CG117" s="979"/>
      <c r="CH117" s="1126"/>
      <c r="CJ117" s="991">
        <f>CK117-(N117-B117)</f>
        <v>62767.791388888887</v>
      </c>
      <c r="CK117" s="1131">
        <v>67000</v>
      </c>
      <c r="CL117" s="975">
        <v>48.4</v>
      </c>
      <c r="CM117" s="975">
        <v>16.5</v>
      </c>
      <c r="CN117" s="308">
        <f>1000*CL117/DataUK1!B117</f>
        <v>2.2979774000569746</v>
      </c>
      <c r="CO117" s="976"/>
      <c r="CP117" s="1202">
        <f t="shared" si="35"/>
        <v>1.1889362873262694</v>
      </c>
      <c r="CQ117" s="1285">
        <f t="shared" si="19"/>
        <v>2352.1999999999998</v>
      </c>
      <c r="CR117" s="519">
        <f t="shared" si="39"/>
        <v>2260</v>
      </c>
      <c r="CS117" s="1293">
        <f t="shared" si="22"/>
        <v>92.199999999999818</v>
      </c>
      <c r="CT117" s="577">
        <v>0</v>
      </c>
      <c r="CU117" s="1273">
        <f t="shared" si="6"/>
        <v>2352.1999999999998</v>
      </c>
      <c r="CV117" s="519">
        <v>2034.6</v>
      </c>
      <c r="CW117" s="2609">
        <v>303</v>
      </c>
      <c r="CX117" s="2609"/>
      <c r="CY117" s="1030">
        <v>14.6</v>
      </c>
    </row>
    <row r="118" spans="1:103" s="598" customFormat="1">
      <c r="A118" s="577">
        <f t="shared" si="37"/>
        <v>1959</v>
      </c>
      <c r="B118" s="982">
        <f t="shared" si="38"/>
        <v>65233.818518518514</v>
      </c>
      <c r="C118" s="254">
        <f t="shared" si="25"/>
        <v>21763.818518518518</v>
      </c>
      <c r="D118" s="985">
        <f t="shared" si="26"/>
        <v>14631.018518518518</v>
      </c>
      <c r="E118" s="991">
        <f>G118*DataUK1!B118</f>
        <v>7132.8</v>
      </c>
      <c r="F118" s="988">
        <f t="shared" si="27"/>
        <v>0.67226339468274821</v>
      </c>
      <c r="G118" s="972">
        <v>0.32</v>
      </c>
      <c r="H118" s="970">
        <f>I118*DataUK1!B118</f>
        <v>3271.9725183120413</v>
      </c>
      <c r="I118" s="972">
        <f t="shared" si="36"/>
        <v>0.14679105061965192</v>
      </c>
      <c r="J118" s="519">
        <v>13600</v>
      </c>
      <c r="K118" s="986">
        <f t="shared" si="28"/>
        <v>0.92953200645508338</v>
      </c>
      <c r="L118" s="970">
        <v>9600</v>
      </c>
      <c r="M118" s="983">
        <f>L118/DataUK1!B118</f>
        <v>0.4306864064602961</v>
      </c>
      <c r="N118" s="970"/>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90"/>
      <c r="AL118" s="990"/>
      <c r="AM118" s="990"/>
      <c r="AN118" s="990"/>
      <c r="AO118" s="990"/>
      <c r="AP118" s="990"/>
      <c r="AQ118" s="990"/>
      <c r="AR118" s="990"/>
      <c r="AS118" s="254">
        <f t="shared" si="29"/>
        <v>49170</v>
      </c>
      <c r="AT118" s="519">
        <f t="shared" si="30"/>
        <v>5370</v>
      </c>
      <c r="AU118" s="519">
        <f t="shared" si="31"/>
        <v>43800</v>
      </c>
      <c r="AV118" s="519"/>
      <c r="AW118" s="519"/>
      <c r="AX118" s="519"/>
      <c r="AY118" s="519"/>
      <c r="BA118" s="519">
        <v>5370</v>
      </c>
      <c r="BB118" s="988">
        <f t="shared" si="32"/>
        <v>1</v>
      </c>
      <c r="BC118" s="519">
        <v>43800</v>
      </c>
      <c r="BD118" s="988">
        <f t="shared" si="33"/>
        <v>1</v>
      </c>
      <c r="BE118" s="982">
        <v>5700</v>
      </c>
      <c r="BF118" s="519">
        <v>2400</v>
      </c>
      <c r="BG118" s="1117">
        <f t="shared" si="34"/>
        <v>0.42105263157894735</v>
      </c>
      <c r="BH118" s="1129"/>
      <c r="BI118" s="991"/>
      <c r="BQ118" s="979"/>
      <c r="BR118" s="1139">
        <f>BR117*(DataUK1!HT118/DataUK1!HT117)+DataUK1!FI117</f>
        <v>1393.7366002698454</v>
      </c>
      <c r="BS118" s="308">
        <f>BR118/DataUK1!B118</f>
        <v>6.2527438325251025E-2</v>
      </c>
      <c r="BT118" s="977"/>
      <c r="BU118" s="977"/>
      <c r="BV118" s="977"/>
      <c r="BW118" s="980"/>
      <c r="BX118" s="1144"/>
      <c r="BZ118" s="991">
        <v>12464</v>
      </c>
      <c r="CB118" s="991"/>
      <c r="CC118" s="991">
        <f t="shared" si="40"/>
        <v>7261.2</v>
      </c>
      <c r="CD118" s="991">
        <v>12102</v>
      </c>
      <c r="CG118" s="979"/>
      <c r="CH118" s="1126"/>
      <c r="CJ118" s="991"/>
      <c r="CK118" s="1131"/>
      <c r="CL118" s="975">
        <v>49.1</v>
      </c>
      <c r="CM118" s="975">
        <v>16.399999999999999</v>
      </c>
      <c r="CN118" s="308">
        <f>1000*CL118/DataUK1!B118</f>
        <v>2.2027815163750559</v>
      </c>
      <c r="CO118" s="976"/>
      <c r="CP118" s="1202">
        <f t="shared" si="35"/>
        <v>1.1209062430781889</v>
      </c>
      <c r="CQ118" s="1285">
        <f t="shared" si="19"/>
        <v>2433</v>
      </c>
      <c r="CR118" s="519">
        <f t="shared" si="39"/>
        <v>2340</v>
      </c>
      <c r="CS118" s="1293">
        <f t="shared" si="22"/>
        <v>93</v>
      </c>
      <c r="CT118" s="577">
        <v>0</v>
      </c>
      <c r="CU118" s="1273">
        <f t="shared" si="6"/>
        <v>2433</v>
      </c>
      <c r="CV118" s="519">
        <v>2104.5</v>
      </c>
      <c r="CW118" s="2609">
        <v>313.89999999999998</v>
      </c>
      <c r="CX118" s="2609"/>
      <c r="CY118" s="1030">
        <v>14.6</v>
      </c>
    </row>
    <row r="119" spans="1:103" s="598" customFormat="1">
      <c r="A119" s="577">
        <f t="shared" si="37"/>
        <v>1960</v>
      </c>
      <c r="B119" s="982">
        <f t="shared" si="38"/>
        <v>70125.270740740743</v>
      </c>
      <c r="C119" s="254">
        <f t="shared" si="25"/>
        <v>23635.27074074074</v>
      </c>
      <c r="D119" s="985">
        <f t="shared" si="26"/>
        <v>15921.990740740741</v>
      </c>
      <c r="E119" s="991">
        <f>G119*DataUK1!B119</f>
        <v>7713.28</v>
      </c>
      <c r="F119" s="988">
        <f t="shared" si="27"/>
        <v>0.67365383351820829</v>
      </c>
      <c r="G119" s="972">
        <v>0.32</v>
      </c>
      <c r="H119" s="970">
        <f>I119*DataUK1!B119</f>
        <v>3475.59960405323</v>
      </c>
      <c r="I119" s="972">
        <f t="shared" si="36"/>
        <v>0.14419181895341976</v>
      </c>
      <c r="J119" s="519">
        <v>14800</v>
      </c>
      <c r="K119" s="986">
        <f t="shared" si="28"/>
        <v>0.92953200645508338</v>
      </c>
      <c r="L119" s="970">
        <v>10100</v>
      </c>
      <c r="M119" s="983">
        <f>L119/DataUK1!B119</f>
        <v>0.41901759044142051</v>
      </c>
      <c r="N119" s="970"/>
      <c r="P119" s="987"/>
      <c r="Q119" s="987"/>
      <c r="R119" s="987"/>
      <c r="S119" s="987"/>
      <c r="T119" s="987"/>
      <c r="U119" s="987"/>
      <c r="V119" s="987"/>
      <c r="W119" s="987"/>
      <c r="X119" s="987"/>
      <c r="Y119" s="987"/>
      <c r="Z119" s="987"/>
      <c r="AA119" s="987"/>
      <c r="AB119" s="987"/>
      <c r="AC119" s="987"/>
      <c r="AD119" s="987"/>
      <c r="AE119" s="987"/>
      <c r="AF119" s="987"/>
      <c r="AG119" s="987"/>
      <c r="AH119" s="987"/>
      <c r="AI119" s="987"/>
      <c r="AJ119" s="987"/>
      <c r="AK119" s="990"/>
      <c r="AL119" s="990"/>
      <c r="AM119" s="990"/>
      <c r="AN119" s="990"/>
      <c r="AO119" s="990"/>
      <c r="AP119" s="990"/>
      <c r="AQ119" s="990"/>
      <c r="AR119" s="990"/>
      <c r="AS119" s="254">
        <f t="shared" si="29"/>
        <v>52590</v>
      </c>
      <c r="AT119" s="519">
        <f t="shared" si="30"/>
        <v>6090</v>
      </c>
      <c r="AU119" s="519">
        <f t="shared" si="31"/>
        <v>46500</v>
      </c>
      <c r="AV119" s="519"/>
      <c r="AW119" s="519"/>
      <c r="AX119" s="519"/>
      <c r="AY119" s="519"/>
      <c r="BA119" s="519">
        <v>6090</v>
      </c>
      <c r="BB119" s="988">
        <f t="shared" si="32"/>
        <v>1</v>
      </c>
      <c r="BC119" s="519">
        <v>46500</v>
      </c>
      <c r="BD119" s="988">
        <f t="shared" si="33"/>
        <v>1</v>
      </c>
      <c r="BE119" s="982">
        <v>6100</v>
      </c>
      <c r="BF119" s="519">
        <v>2700</v>
      </c>
      <c r="BG119" s="1117">
        <f t="shared" si="34"/>
        <v>0.44262295081967212</v>
      </c>
      <c r="BH119" s="1129"/>
      <c r="BI119" s="991"/>
      <c r="BQ119" s="979"/>
      <c r="BR119" s="1031">
        <v>1190</v>
      </c>
      <c r="BS119" s="308">
        <f>BR119/DataUK1!B119</f>
        <v>4.9369399269830735E-2</v>
      </c>
      <c r="BT119" s="977"/>
      <c r="BU119" s="977"/>
      <c r="BV119" s="977"/>
      <c r="BW119" s="980"/>
      <c r="BX119" s="1144"/>
      <c r="BZ119" s="991">
        <v>13153</v>
      </c>
      <c r="CB119" s="991"/>
      <c r="CC119" s="991">
        <f t="shared" si="40"/>
        <v>7681.2</v>
      </c>
      <c r="CD119" s="991">
        <v>12802</v>
      </c>
      <c r="CG119" s="979"/>
      <c r="CH119" s="1126"/>
      <c r="CJ119" s="991"/>
      <c r="CK119" s="1131"/>
      <c r="CL119" s="975">
        <v>52.6</v>
      </c>
      <c r="CM119" s="975">
        <v>17.3</v>
      </c>
      <c r="CN119" s="308">
        <f>1000*CL119/DataUK1!B119</f>
        <v>2.1822104215068037</v>
      </c>
      <c r="CO119" s="976">
        <v>10</v>
      </c>
      <c r="CP119" s="1202">
        <f t="shared" si="35"/>
        <v>1.0865475480860096</v>
      </c>
      <c r="CQ119" s="1285">
        <f t="shared" si="19"/>
        <v>2628.2999999999997</v>
      </c>
      <c r="CR119" s="519">
        <f t="shared" si="39"/>
        <v>2420</v>
      </c>
      <c r="CS119" s="1293">
        <f t="shared" si="22"/>
        <v>208.29999999999973</v>
      </c>
      <c r="CT119" s="577">
        <v>0</v>
      </c>
      <c r="CU119" s="1273">
        <f t="shared" si="6"/>
        <v>2628.2999999999997</v>
      </c>
      <c r="CV119" s="519">
        <v>2210.6999999999998</v>
      </c>
      <c r="CW119" s="2609">
        <v>403</v>
      </c>
      <c r="CX119" s="2609"/>
      <c r="CY119" s="1030">
        <v>14.6</v>
      </c>
    </row>
    <row r="120" spans="1:103" s="598" customFormat="1">
      <c r="A120" s="577">
        <f t="shared" si="37"/>
        <v>1961</v>
      </c>
      <c r="B120" s="982">
        <f t="shared" si="38"/>
        <v>76101.809074074074</v>
      </c>
      <c r="C120" s="254">
        <f t="shared" si="25"/>
        <v>26001.809074074074</v>
      </c>
      <c r="D120" s="985">
        <f t="shared" si="26"/>
        <v>17858.449074074073</v>
      </c>
      <c r="E120" s="991">
        <f>G120*DataUK1!B120</f>
        <v>8143.3599999999988</v>
      </c>
      <c r="F120" s="988">
        <f t="shared" si="27"/>
        <v>0.6868156374504113</v>
      </c>
      <c r="G120" s="972">
        <v>0.32</v>
      </c>
      <c r="H120" s="970">
        <f>I120*DataUK1!B120</f>
        <v>3603.2481612843494</v>
      </c>
      <c r="I120" s="972">
        <f t="shared" si="36"/>
        <v>0.1415925872871876</v>
      </c>
      <c r="J120" s="519">
        <v>16600</v>
      </c>
      <c r="K120" s="986">
        <f t="shared" si="28"/>
        <v>0.92953200645508338</v>
      </c>
      <c r="L120" s="970">
        <v>10500</v>
      </c>
      <c r="M120" s="983">
        <f>L120/DataUK1!B120</f>
        <v>0.41260609871109721</v>
      </c>
      <c r="N120" s="970">
        <v>83400</v>
      </c>
      <c r="P120" s="987"/>
      <c r="Q120" s="983">
        <f>B120/N120</f>
        <v>0.91249171551647568</v>
      </c>
      <c r="R120" s="987"/>
      <c r="S120" s="987"/>
      <c r="T120" s="987"/>
      <c r="U120" s="987"/>
      <c r="V120" s="987"/>
      <c r="W120" s="987"/>
      <c r="X120" s="987"/>
      <c r="Y120" s="987"/>
      <c r="Z120" s="987"/>
      <c r="AA120" s="987"/>
      <c r="AB120" s="987"/>
      <c r="AC120" s="987"/>
      <c r="AD120" s="987"/>
      <c r="AE120" s="987"/>
      <c r="AF120" s="987"/>
      <c r="AG120" s="987"/>
      <c r="AH120" s="987"/>
      <c r="AI120" s="987"/>
      <c r="AJ120" s="987"/>
      <c r="AK120" s="990"/>
      <c r="AL120" s="990"/>
      <c r="AM120" s="990"/>
      <c r="AN120" s="990"/>
      <c r="AO120" s="990"/>
      <c r="AP120" s="990"/>
      <c r="AQ120" s="990"/>
      <c r="AR120" s="990"/>
      <c r="AS120" s="254">
        <f t="shared" si="29"/>
        <v>56600</v>
      </c>
      <c r="AT120" s="519">
        <f t="shared" si="30"/>
        <v>7000</v>
      </c>
      <c r="AU120" s="519">
        <f t="shared" si="31"/>
        <v>49600</v>
      </c>
      <c r="AV120" s="519"/>
      <c r="AW120" s="519"/>
      <c r="AX120" s="519"/>
      <c r="AY120" s="519"/>
      <c r="BA120" s="519">
        <v>7000</v>
      </c>
      <c r="BB120" s="988">
        <f t="shared" si="32"/>
        <v>1</v>
      </c>
      <c r="BC120" s="519">
        <v>49600</v>
      </c>
      <c r="BD120" s="988">
        <f t="shared" si="33"/>
        <v>1</v>
      </c>
      <c r="BE120" s="982">
        <v>6500</v>
      </c>
      <c r="BF120" s="519">
        <v>3000</v>
      </c>
      <c r="BG120" s="1117">
        <f t="shared" si="34"/>
        <v>0.46153846153846156</v>
      </c>
      <c r="BH120" s="1129">
        <f>BI120+CC120</f>
        <v>12190</v>
      </c>
      <c r="BI120" s="991">
        <v>4000</v>
      </c>
      <c r="BQ120" s="979"/>
      <c r="BR120" s="1139">
        <f>BR119*(DataUK1!HT120/DataUK1!HT119)+DataUK1!FI119</f>
        <v>1026.2016293279023</v>
      </c>
      <c r="BS120" s="308">
        <f>BR120/DataUK1!B120</f>
        <v>4.0325433406472121E-2</v>
      </c>
      <c r="BT120" s="977"/>
      <c r="BU120" s="977"/>
      <c r="BV120" s="977"/>
      <c r="BW120" s="980"/>
      <c r="BX120" s="1144"/>
      <c r="BY120" s="519"/>
      <c r="BZ120" s="991">
        <v>14197</v>
      </c>
      <c r="CB120" s="991"/>
      <c r="CC120" s="991">
        <f t="shared" si="40"/>
        <v>8190</v>
      </c>
      <c r="CD120" s="991">
        <v>13650</v>
      </c>
      <c r="CG120" s="979"/>
      <c r="CH120" s="1126"/>
      <c r="CJ120" s="991">
        <f>CK120-(N120-B120)</f>
        <v>73901.809074074074</v>
      </c>
      <c r="CK120" s="1131">
        <v>81200</v>
      </c>
      <c r="CL120" s="975">
        <v>56.6</v>
      </c>
      <c r="CM120" s="975">
        <v>18.399999999999999</v>
      </c>
      <c r="CN120" s="308">
        <f>1000*CL120/DataUK1!B120</f>
        <v>2.2241433511474384</v>
      </c>
      <c r="CO120" s="976"/>
      <c r="CP120" s="1202">
        <f t="shared" si="35"/>
        <v>1.0303246336610563</v>
      </c>
      <c r="CQ120" s="1285">
        <f t="shared" si="19"/>
        <v>2836.9999999999995</v>
      </c>
      <c r="CR120" s="519">
        <v>2500</v>
      </c>
      <c r="CS120" s="1293">
        <f t="shared" si="22"/>
        <v>336.99999999999955</v>
      </c>
      <c r="CT120" s="577">
        <v>0</v>
      </c>
      <c r="CU120" s="1273">
        <f t="shared" si="6"/>
        <v>2836.9999999999995</v>
      </c>
      <c r="CV120" s="519">
        <v>2306.1999999999998</v>
      </c>
      <c r="CW120" s="2609">
        <v>516.20000000000005</v>
      </c>
      <c r="CX120" s="2609"/>
      <c r="CY120" s="1030">
        <v>14.6</v>
      </c>
    </row>
    <row r="121" spans="1:103" s="598" customFormat="1">
      <c r="A121" s="577">
        <f t="shared" si="37"/>
        <v>1962</v>
      </c>
      <c r="B121" s="982">
        <f t="shared" si="38"/>
        <v>81019.158285357014</v>
      </c>
      <c r="C121" s="254">
        <f t="shared" si="25"/>
        <v>27279.158285357014</v>
      </c>
      <c r="D121" s="985">
        <f t="shared" si="26"/>
        <v>19687.326388888891</v>
      </c>
      <c r="E121" s="991">
        <f>G121*DataUK1!B121</f>
        <v>7591.8318964681239</v>
      </c>
      <c r="F121" s="988">
        <f t="shared" si="27"/>
        <v>0.72169845502369145</v>
      </c>
      <c r="G121" s="972">
        <f t="shared" ref="G121:G145" si="41">G$147</f>
        <v>0.2827076747027677</v>
      </c>
      <c r="H121" s="970">
        <f>I121*DataUK1!B121</f>
        <v>3732.5275718451376</v>
      </c>
      <c r="I121" s="972">
        <f t="shared" si="36"/>
        <v>0.13899335562095544</v>
      </c>
      <c r="J121" s="519">
        <v>18300</v>
      </c>
      <c r="K121" s="986">
        <f t="shared" si="28"/>
        <v>0.92953200645508338</v>
      </c>
      <c r="L121" s="970">
        <v>11800</v>
      </c>
      <c r="M121" s="983">
        <f>L121/DataUK1!B121</f>
        <v>0.43941312281224398</v>
      </c>
      <c r="N121" s="970"/>
      <c r="P121" s="987"/>
      <c r="Q121" s="987"/>
      <c r="R121" s="987"/>
      <c r="S121" s="987"/>
      <c r="T121" s="987"/>
      <c r="U121" s="987"/>
      <c r="V121" s="987"/>
      <c r="W121" s="987"/>
      <c r="X121" s="987"/>
      <c r="Y121" s="987"/>
      <c r="Z121" s="987"/>
      <c r="AA121" s="987"/>
      <c r="AB121" s="987"/>
      <c r="AC121" s="987"/>
      <c r="AD121" s="987"/>
      <c r="AE121" s="987"/>
      <c r="AF121" s="987"/>
      <c r="AG121" s="987"/>
      <c r="AH121" s="987"/>
      <c r="AI121" s="987"/>
      <c r="AJ121" s="987"/>
      <c r="AK121" s="990"/>
      <c r="AL121" s="990"/>
      <c r="AM121" s="990"/>
      <c r="AN121" s="990"/>
      <c r="AO121" s="990"/>
      <c r="AP121" s="990"/>
      <c r="AQ121" s="990"/>
      <c r="AR121" s="990"/>
      <c r="AS121" s="254">
        <f t="shared" si="29"/>
        <v>60340</v>
      </c>
      <c r="AT121" s="519">
        <f t="shared" si="30"/>
        <v>7740</v>
      </c>
      <c r="AU121" s="519">
        <f t="shared" si="31"/>
        <v>52600</v>
      </c>
      <c r="AV121" s="519"/>
      <c r="AW121" s="519"/>
      <c r="AX121" s="519"/>
      <c r="AY121" s="519"/>
      <c r="BA121" s="519">
        <v>7740</v>
      </c>
      <c r="BB121" s="988">
        <f t="shared" si="32"/>
        <v>1</v>
      </c>
      <c r="BC121" s="519">
        <v>52600</v>
      </c>
      <c r="BD121" s="988">
        <f t="shared" si="33"/>
        <v>1</v>
      </c>
      <c r="BE121" s="982">
        <v>6600</v>
      </c>
      <c r="BF121" s="519">
        <v>3300</v>
      </c>
      <c r="BG121" s="1117">
        <f t="shared" si="34"/>
        <v>0.5</v>
      </c>
      <c r="BH121" s="1129"/>
      <c r="BI121" s="991"/>
      <c r="BQ121" s="979"/>
      <c r="BR121" s="1139">
        <f>BR120*(DataUK1!HT121/DataUK1!HT120)+DataUK1!FI120</f>
        <v>1156.6434321728116</v>
      </c>
      <c r="BS121" s="308">
        <f>BR121/DataUK1!B121</f>
        <v>4.3071551060281953E-2</v>
      </c>
      <c r="BT121" s="977"/>
      <c r="BU121" s="977"/>
      <c r="BV121" s="977"/>
      <c r="BW121" s="980"/>
      <c r="BX121" s="1144"/>
      <c r="BZ121" s="991">
        <v>13149</v>
      </c>
      <c r="CB121" s="991"/>
      <c r="CC121" s="991">
        <f t="shared" si="40"/>
        <v>9643.1999999999989</v>
      </c>
      <c r="CD121" s="991">
        <v>16072</v>
      </c>
      <c r="CG121" s="979"/>
      <c r="CH121" s="1126"/>
      <c r="CJ121" s="991"/>
      <c r="CK121" s="1131"/>
      <c r="CL121" s="975">
        <v>60.7</v>
      </c>
      <c r="CM121" s="975">
        <v>19.7</v>
      </c>
      <c r="CN121" s="308">
        <f>1000*CL121/DataUK1!B121</f>
        <v>2.2603708944663738</v>
      </c>
      <c r="CO121" s="976"/>
      <c r="CP121" s="1202">
        <f t="shared" si="35"/>
        <v>1.0006437446538328</v>
      </c>
      <c r="CQ121" s="1285">
        <f t="shared" si="19"/>
        <v>2844.2000000000003</v>
      </c>
      <c r="CR121" s="519">
        <f>CR120+(CR$129-CR$120)/9</f>
        <v>2644.4444444444443</v>
      </c>
      <c r="CS121" s="1293">
        <f t="shared" si="22"/>
        <v>199.75555555555593</v>
      </c>
      <c r="CT121" s="577">
        <v>0</v>
      </c>
      <c r="CU121" s="1273">
        <f t="shared" si="6"/>
        <v>2844.2000000000003</v>
      </c>
      <c r="CV121" s="519">
        <v>2327.3000000000002</v>
      </c>
      <c r="CW121" s="2609">
        <v>502.3</v>
      </c>
      <c r="CX121" s="2609"/>
      <c r="CY121" s="1030">
        <v>14.6</v>
      </c>
    </row>
    <row r="122" spans="1:103" s="598" customFormat="1">
      <c r="A122" s="577">
        <f t="shared" si="37"/>
        <v>1963</v>
      </c>
      <c r="B122" s="982">
        <f t="shared" si="38"/>
        <v>88410.165029249125</v>
      </c>
      <c r="C122" s="254">
        <f t="shared" si="25"/>
        <v>29540.165029249125</v>
      </c>
      <c r="D122" s="985">
        <f t="shared" si="26"/>
        <v>21623.784722222223</v>
      </c>
      <c r="E122" s="991">
        <f>G122*DataUK1!B122</f>
        <v>7916.3803070269014</v>
      </c>
      <c r="F122" s="988">
        <f t="shared" si="27"/>
        <v>0.73201299656963603</v>
      </c>
      <c r="G122" s="972">
        <f t="shared" si="41"/>
        <v>0.2827076747027677</v>
      </c>
      <c r="H122" s="970">
        <f>I122*DataUK1!B122</f>
        <v>3819.3082589801611</v>
      </c>
      <c r="I122" s="972">
        <f t="shared" si="36"/>
        <v>0.13639412395472328</v>
      </c>
      <c r="J122" s="519">
        <v>20100</v>
      </c>
      <c r="K122" s="986">
        <f t="shared" si="28"/>
        <v>0.92953200645508338</v>
      </c>
      <c r="L122" s="970">
        <v>11600</v>
      </c>
      <c r="M122" s="983">
        <f>L122/DataUK1!B122</f>
        <v>0.41425612456253125</v>
      </c>
      <c r="N122" s="970"/>
      <c r="P122" s="987"/>
      <c r="Q122" s="987"/>
      <c r="R122" s="987"/>
      <c r="S122" s="987"/>
      <c r="T122" s="987"/>
      <c r="U122" s="987"/>
      <c r="V122" s="987"/>
      <c r="W122" s="987"/>
      <c r="X122" s="987"/>
      <c r="Y122" s="987"/>
      <c r="Z122" s="987"/>
      <c r="AA122" s="987"/>
      <c r="AB122" s="987"/>
      <c r="AC122" s="987"/>
      <c r="AD122" s="987"/>
      <c r="AE122" s="987"/>
      <c r="AF122" s="987"/>
      <c r="AG122" s="987"/>
      <c r="AH122" s="987"/>
      <c r="AI122" s="987"/>
      <c r="AJ122" s="987"/>
      <c r="AK122" s="990"/>
      <c r="AL122" s="990"/>
      <c r="AM122" s="990"/>
      <c r="AN122" s="990"/>
      <c r="AO122" s="990"/>
      <c r="AP122" s="990"/>
      <c r="AQ122" s="990"/>
      <c r="AR122" s="990"/>
      <c r="AS122" s="254">
        <f t="shared" si="29"/>
        <v>66170</v>
      </c>
      <c r="AT122" s="519">
        <f t="shared" si="30"/>
        <v>8870</v>
      </c>
      <c r="AU122" s="519">
        <f t="shared" si="31"/>
        <v>57300</v>
      </c>
      <c r="AV122" s="519"/>
      <c r="AW122" s="519"/>
      <c r="AX122" s="519"/>
      <c r="AY122" s="519"/>
      <c r="BA122" s="519">
        <v>8870</v>
      </c>
      <c r="BB122" s="988">
        <f t="shared" si="32"/>
        <v>1</v>
      </c>
      <c r="BC122" s="519">
        <v>57300</v>
      </c>
      <c r="BD122" s="988">
        <f t="shared" si="33"/>
        <v>1</v>
      </c>
      <c r="BE122" s="982">
        <v>7300</v>
      </c>
      <c r="BF122" s="519">
        <v>3700</v>
      </c>
      <c r="BG122" s="1117">
        <f t="shared" si="34"/>
        <v>0.50684931506849318</v>
      </c>
      <c r="BH122" s="1129"/>
      <c r="BI122" s="991"/>
      <c r="BQ122" s="979"/>
      <c r="BR122" s="1139">
        <f>BR121*(DataUK1!HT122/DataUK1!HT121)+DataUK1!FI121</f>
        <v>1374.4668931572041</v>
      </c>
      <c r="BS122" s="308">
        <f>BR122/DataUK1!B122</f>
        <v>4.9084597284379833E-2</v>
      </c>
      <c r="BT122" s="977"/>
      <c r="BU122" s="977"/>
      <c r="BV122" s="977"/>
      <c r="BW122" s="980"/>
      <c r="BX122" s="1144"/>
      <c r="BZ122" s="991">
        <v>14614</v>
      </c>
      <c r="CB122" s="991"/>
      <c r="CC122" s="991">
        <f t="shared" si="40"/>
        <v>10376.4</v>
      </c>
      <c r="CD122" s="991">
        <v>17294</v>
      </c>
      <c r="CG122" s="979"/>
      <c r="CH122" s="1126"/>
      <c r="CJ122" s="991"/>
      <c r="CK122" s="1131"/>
      <c r="CL122" s="975">
        <v>64.599999999999994</v>
      </c>
      <c r="CM122" s="975">
        <v>20.8</v>
      </c>
      <c r="CN122" s="308">
        <f>1000*CL122/DataUK1!B122</f>
        <v>2.3069780729947857</v>
      </c>
      <c r="CO122" s="976"/>
      <c r="CP122" s="1202">
        <f t="shared" si="35"/>
        <v>0.96190376787391707</v>
      </c>
      <c r="CQ122" s="1285">
        <f t="shared" si="19"/>
        <v>2747.1</v>
      </c>
      <c r="CR122" s="519">
        <v>2650</v>
      </c>
      <c r="CS122" s="1293">
        <f t="shared" si="22"/>
        <v>97.099999999999909</v>
      </c>
      <c r="CT122" s="577">
        <v>0</v>
      </c>
      <c r="CU122" s="1273">
        <f t="shared" si="6"/>
        <v>2747.1</v>
      </c>
      <c r="CV122" s="519">
        <v>2398.1999999999998</v>
      </c>
      <c r="CW122" s="2609">
        <v>334.3</v>
      </c>
      <c r="CX122" s="2609"/>
      <c r="CY122" s="1030">
        <v>14.6</v>
      </c>
    </row>
    <row r="123" spans="1:103" s="598" customFormat="1">
      <c r="A123" s="577">
        <f t="shared" si="37"/>
        <v>1964</v>
      </c>
      <c r="B123" s="982">
        <f t="shared" si="38"/>
        <v>97471.43246342917</v>
      </c>
      <c r="C123" s="254">
        <f t="shared" si="25"/>
        <v>33481.43246342917</v>
      </c>
      <c r="D123" s="985">
        <f t="shared" si="26"/>
        <v>24851.215277777777</v>
      </c>
      <c r="E123" s="991">
        <f>G123*DataUK1!B123</f>
        <v>8630.2171856513887</v>
      </c>
      <c r="F123" s="988">
        <f t="shared" si="27"/>
        <v>0.74223871111016715</v>
      </c>
      <c r="G123" s="972">
        <f t="shared" si="41"/>
        <v>0.2827076747027677</v>
      </c>
      <c r="H123" s="970">
        <f>I123*DataUK1!B123</f>
        <v>4084.3566768907685</v>
      </c>
      <c r="I123" s="972">
        <f t="shared" si="36"/>
        <v>0.13379489228849112</v>
      </c>
      <c r="J123" s="519">
        <v>23100</v>
      </c>
      <c r="K123" s="986">
        <f t="shared" si="28"/>
        <v>0.92953200645508338</v>
      </c>
      <c r="L123" s="970">
        <v>14400</v>
      </c>
      <c r="M123" s="983">
        <f>L123/DataUK1!B123</f>
        <v>0.47171356504078354</v>
      </c>
      <c r="N123" s="970">
        <v>101500</v>
      </c>
      <c r="P123" s="987"/>
      <c r="Q123" s="983">
        <f>B123/N123</f>
        <v>0.96030967944265189</v>
      </c>
      <c r="R123" s="987"/>
      <c r="S123" s="987"/>
      <c r="T123" s="987"/>
      <c r="U123" s="987"/>
      <c r="V123" s="987"/>
      <c r="W123" s="987"/>
      <c r="X123" s="987"/>
      <c r="Y123" s="987"/>
      <c r="Z123" s="987"/>
      <c r="AA123" s="987"/>
      <c r="AB123" s="987"/>
      <c r="AC123" s="987"/>
      <c r="AD123" s="987"/>
      <c r="AE123" s="987"/>
      <c r="AF123" s="987"/>
      <c r="AG123" s="987"/>
      <c r="AH123" s="987"/>
      <c r="AI123" s="987"/>
      <c r="AJ123" s="987"/>
      <c r="AK123" s="990"/>
      <c r="AL123" s="990"/>
      <c r="AM123" s="990"/>
      <c r="AN123" s="990"/>
      <c r="AO123" s="990"/>
      <c r="AP123" s="990"/>
      <c r="AQ123" s="990"/>
      <c r="AR123" s="990"/>
      <c r="AS123" s="254">
        <f t="shared" si="29"/>
        <v>71990</v>
      </c>
      <c r="AT123" s="519">
        <f t="shared" si="30"/>
        <v>9790</v>
      </c>
      <c r="AU123" s="519">
        <f t="shared" si="31"/>
        <v>62200</v>
      </c>
      <c r="AV123" s="519"/>
      <c r="AW123" s="519"/>
      <c r="AX123" s="519"/>
      <c r="AY123" s="519"/>
      <c r="BA123" s="519">
        <v>9790</v>
      </c>
      <c r="BB123" s="988">
        <f t="shared" si="32"/>
        <v>1</v>
      </c>
      <c r="BC123" s="519">
        <v>62200</v>
      </c>
      <c r="BD123" s="988">
        <f t="shared" si="33"/>
        <v>1</v>
      </c>
      <c r="BE123" s="982">
        <v>8000</v>
      </c>
      <c r="BF123" s="519">
        <v>4200</v>
      </c>
      <c r="BG123" s="1117">
        <f t="shared" si="34"/>
        <v>0.52500000000000002</v>
      </c>
      <c r="BH123" s="1129">
        <f>BI123+CC123</f>
        <v>14969.6</v>
      </c>
      <c r="BI123" s="991">
        <v>3800</v>
      </c>
      <c r="BQ123" s="979"/>
      <c r="BR123" s="1139">
        <f>BR122*(DataUK1!HT123/DataUK1!HT122)+DataUK1!FI122</f>
        <v>1590.2824562624442</v>
      </c>
      <c r="BS123" s="308">
        <f>BR123/DataUK1!B123</f>
        <v>5.2094292143428575E-2</v>
      </c>
      <c r="BT123" s="977"/>
      <c r="BU123" s="977"/>
      <c r="BV123" s="977"/>
      <c r="BW123" s="980"/>
      <c r="BX123" s="1145">
        <f>BZ123+CA123-CB123</f>
        <v>15469</v>
      </c>
      <c r="BY123" s="991">
        <f t="shared" ref="BY123:BY170" si="42">BX123+CC123</f>
        <v>26638.6</v>
      </c>
      <c r="BZ123" s="991">
        <v>15469</v>
      </c>
      <c r="CA123" s="991"/>
      <c r="CB123" s="991"/>
      <c r="CC123" s="991">
        <f t="shared" si="40"/>
        <v>11169.6</v>
      </c>
      <c r="CD123" s="991">
        <v>18616</v>
      </c>
      <c r="CG123" s="979"/>
      <c r="CH123" s="1126"/>
      <c r="CJ123" s="991">
        <f>CK123-(N123-B123)</f>
        <v>99571.43246342917</v>
      </c>
      <c r="CK123" s="1131">
        <v>103600</v>
      </c>
      <c r="CL123" s="975">
        <v>69.7</v>
      </c>
      <c r="CM123" s="975">
        <v>22</v>
      </c>
      <c r="CN123" s="308">
        <f>1000*CL123/DataUK1!B123</f>
        <v>2.2832246863432371</v>
      </c>
      <c r="CO123" s="976"/>
      <c r="CP123" s="1202">
        <f t="shared" si="35"/>
        <v>0.88526857757626987</v>
      </c>
      <c r="CQ123" s="1285">
        <f t="shared" si="19"/>
        <v>2918.4999999999995</v>
      </c>
      <c r="CR123" s="519">
        <v>2800</v>
      </c>
      <c r="CS123" s="1293">
        <f t="shared" si="22"/>
        <v>118.49999999999955</v>
      </c>
      <c r="CT123" s="577">
        <v>0</v>
      </c>
      <c r="CU123" s="1273">
        <f t="shared" si="6"/>
        <v>2918.4999999999995</v>
      </c>
      <c r="CV123" s="519">
        <v>2561.6999999999998</v>
      </c>
      <c r="CW123" s="2609">
        <v>342.2</v>
      </c>
      <c r="CX123" s="2609"/>
      <c r="CY123" s="1030">
        <v>14.6</v>
      </c>
    </row>
    <row r="124" spans="1:103" s="598" customFormat="1">
      <c r="A124" s="577">
        <f t="shared" si="37"/>
        <v>1965</v>
      </c>
      <c r="B124" s="982">
        <f t="shared" si="38"/>
        <v>98701.790251980288</v>
      </c>
      <c r="C124" s="254">
        <f t="shared" si="25"/>
        <v>36871.790251980288</v>
      </c>
      <c r="D124" s="985">
        <f t="shared" si="26"/>
        <v>27540.740740740741</v>
      </c>
      <c r="E124" s="991">
        <f>G124*DataUK1!B124</f>
        <v>9331.0495112395511</v>
      </c>
      <c r="F124" s="988">
        <f t="shared" si="27"/>
        <v>0.74693256152002541</v>
      </c>
      <c r="G124" s="972">
        <f t="shared" si="41"/>
        <v>0.2827076747027677</v>
      </c>
      <c r="H124" s="970">
        <f>I124*DataUK1!B124</f>
        <v>4330.2439744982794</v>
      </c>
      <c r="I124" s="972">
        <f t="shared" si="36"/>
        <v>0.13119566062225896</v>
      </c>
      <c r="J124" s="519">
        <v>25600</v>
      </c>
      <c r="K124" s="986">
        <f t="shared" si="28"/>
        <v>0.92953200645508338</v>
      </c>
      <c r="L124" s="970">
        <v>14400</v>
      </c>
      <c r="M124" s="983">
        <f>L124/DataUK1!B124</f>
        <v>0.43628431194328304</v>
      </c>
      <c r="N124" s="970"/>
      <c r="P124" s="987"/>
      <c r="Q124" s="987"/>
      <c r="R124" s="987"/>
      <c r="S124" s="987"/>
      <c r="T124" s="987"/>
      <c r="U124" s="987"/>
      <c r="V124" s="987"/>
      <c r="W124" s="987"/>
      <c r="X124" s="987"/>
      <c r="Y124" s="987"/>
      <c r="Z124" s="987"/>
      <c r="AA124" s="987"/>
      <c r="AB124" s="987"/>
      <c r="AC124" s="987"/>
      <c r="AD124" s="987"/>
      <c r="AE124" s="987"/>
      <c r="AF124" s="987"/>
      <c r="AG124" s="987"/>
      <c r="AH124" s="987"/>
      <c r="AI124" s="987"/>
      <c r="AJ124" s="987"/>
      <c r="AK124" s="990"/>
      <c r="AL124" s="990"/>
      <c r="AM124" s="990"/>
      <c r="AN124" s="990"/>
      <c r="AO124" s="990"/>
      <c r="AP124" s="990"/>
      <c r="AQ124" s="990"/>
      <c r="AR124" s="990"/>
      <c r="AS124" s="254">
        <f t="shared" si="29"/>
        <v>72630</v>
      </c>
      <c r="AT124" s="519">
        <f t="shared" si="30"/>
        <v>11230</v>
      </c>
      <c r="AU124" s="519">
        <f t="shared" si="31"/>
        <v>61400</v>
      </c>
      <c r="AV124" s="519"/>
      <c r="AW124" s="519"/>
      <c r="AX124" s="519"/>
      <c r="AY124" s="519"/>
      <c r="BA124" s="519">
        <v>11230</v>
      </c>
      <c r="BB124" s="988">
        <f t="shared" si="32"/>
        <v>1</v>
      </c>
      <c r="BC124" s="519">
        <v>61400</v>
      </c>
      <c r="BD124" s="988">
        <f t="shared" si="33"/>
        <v>1</v>
      </c>
      <c r="BE124" s="982">
        <v>10800</v>
      </c>
      <c r="BF124" s="519">
        <v>4900</v>
      </c>
      <c r="BG124" s="1117">
        <f t="shared" si="34"/>
        <v>0.45370370370370372</v>
      </c>
      <c r="BH124" s="1129"/>
      <c r="BI124" s="991"/>
      <c r="BQ124" s="979"/>
      <c r="BR124" s="178">
        <f>BT124-BV124</f>
        <v>1800</v>
      </c>
      <c r="BS124" s="307">
        <f>BR124/DataUK1!B124</f>
        <v>5.453553899291038E-2</v>
      </c>
      <c r="BT124" s="981">
        <f>14800</f>
        <v>14800</v>
      </c>
      <c r="BU124" s="977"/>
      <c r="BV124" s="981">
        <v>13000</v>
      </c>
      <c r="BW124" s="980"/>
      <c r="BX124" s="1145">
        <f t="shared" ref="BX124:BX170" si="43">BZ124+CA124-CB124</f>
        <v>17179</v>
      </c>
      <c r="BY124" s="991">
        <f t="shared" si="42"/>
        <v>29321.8</v>
      </c>
      <c r="BZ124" s="991">
        <v>17179</v>
      </c>
      <c r="CA124" s="991"/>
      <c r="CB124" s="991"/>
      <c r="CC124" s="991">
        <f t="shared" si="40"/>
        <v>12142.8</v>
      </c>
      <c r="CD124" s="991">
        <v>20238</v>
      </c>
      <c r="CG124" s="979"/>
      <c r="CH124" s="1126"/>
      <c r="CJ124" s="991"/>
      <c r="CK124" s="1131"/>
      <c r="CL124" s="975">
        <v>76.7</v>
      </c>
      <c r="CM124" s="975">
        <v>24.2</v>
      </c>
      <c r="CN124" s="308">
        <f>1000*CL124/DataUK1!B124</f>
        <v>2.3238199115312366</v>
      </c>
      <c r="CO124" s="976">
        <v>12.9</v>
      </c>
      <c r="CP124" s="1202">
        <f t="shared" si="35"/>
        <v>0.87869822485207105</v>
      </c>
      <c r="CQ124" s="1285">
        <f t="shared" si="19"/>
        <v>3166.9</v>
      </c>
      <c r="CR124" s="519">
        <f>CR123+(CR$129-CR$120)/9</f>
        <v>2944.4444444444443</v>
      </c>
      <c r="CS124" s="1293">
        <f t="shared" si="22"/>
        <v>222.45555555555575</v>
      </c>
      <c r="CT124" s="577">
        <v>0</v>
      </c>
      <c r="CU124" s="1273">
        <f t="shared" si="6"/>
        <v>3166.9</v>
      </c>
      <c r="CV124" s="519">
        <v>2727.4</v>
      </c>
      <c r="CW124" s="2609">
        <v>424.9</v>
      </c>
      <c r="CX124" s="2609"/>
      <c r="CY124" s="1030">
        <v>14.6</v>
      </c>
    </row>
    <row r="125" spans="1:103" s="598" customFormat="1">
      <c r="A125" s="577">
        <f t="shared" si="37"/>
        <v>1966</v>
      </c>
      <c r="B125" s="982">
        <f t="shared" si="38"/>
        <v>104684.62906541624</v>
      </c>
      <c r="C125" s="254">
        <f t="shared" si="25"/>
        <v>39024.629065416244</v>
      </c>
      <c r="D125" s="985">
        <f t="shared" si="26"/>
        <v>29154.456018518518</v>
      </c>
      <c r="E125" s="991">
        <f>G125*DataUK1!B125</f>
        <v>9870.1730468977294</v>
      </c>
      <c r="F125" s="988">
        <f t="shared" si="27"/>
        <v>0.7470783635034034</v>
      </c>
      <c r="G125" s="972">
        <f t="shared" si="41"/>
        <v>0.2827076747027677</v>
      </c>
      <c r="H125" s="970">
        <f>I125*DataUK1!B125</f>
        <v>4489.6871241417639</v>
      </c>
      <c r="I125" s="972">
        <f t="shared" si="36"/>
        <v>0.1285964289560268</v>
      </c>
      <c r="J125" s="519">
        <v>27100</v>
      </c>
      <c r="K125" s="986">
        <f t="shared" si="28"/>
        <v>0.92953200645508338</v>
      </c>
      <c r="L125" s="970">
        <v>14500</v>
      </c>
      <c r="M125" s="983">
        <f>L125/DataUK1!B125</f>
        <v>0.4153180763612408</v>
      </c>
      <c r="N125" s="970"/>
      <c r="P125" s="987"/>
      <c r="Q125" s="987"/>
      <c r="R125" s="987"/>
      <c r="S125" s="987"/>
      <c r="T125" s="987"/>
      <c r="U125" s="987"/>
      <c r="V125" s="987"/>
      <c r="W125" s="987"/>
      <c r="X125" s="987"/>
      <c r="Y125" s="987"/>
      <c r="Z125" s="987"/>
      <c r="AA125" s="987"/>
      <c r="AB125" s="987"/>
      <c r="AC125" s="987"/>
      <c r="AD125" s="987"/>
      <c r="AE125" s="987"/>
      <c r="AF125" s="987"/>
      <c r="AG125" s="987"/>
      <c r="AH125" s="987"/>
      <c r="AI125" s="987"/>
      <c r="AJ125" s="987"/>
      <c r="AK125" s="990"/>
      <c r="AL125" s="990"/>
      <c r="AM125" s="990"/>
      <c r="AN125" s="990"/>
      <c r="AO125" s="990"/>
      <c r="AP125" s="990"/>
      <c r="AQ125" s="990"/>
      <c r="AR125" s="990"/>
      <c r="AS125" s="254">
        <f t="shared" si="29"/>
        <v>76460</v>
      </c>
      <c r="AT125" s="519">
        <f t="shared" si="30"/>
        <v>12460</v>
      </c>
      <c r="AU125" s="519">
        <f t="shared" si="31"/>
        <v>64000</v>
      </c>
      <c r="AV125" s="519"/>
      <c r="AW125" s="519"/>
      <c r="AX125" s="519"/>
      <c r="AY125" s="519"/>
      <c r="BA125" s="519">
        <v>12460</v>
      </c>
      <c r="BB125" s="988">
        <f t="shared" si="32"/>
        <v>1</v>
      </c>
      <c r="BC125" s="519">
        <v>64000</v>
      </c>
      <c r="BD125" s="988">
        <f t="shared" si="33"/>
        <v>1</v>
      </c>
      <c r="BE125" s="982">
        <v>10800</v>
      </c>
      <c r="BF125" s="519">
        <v>5600</v>
      </c>
      <c r="BG125" s="1117">
        <f t="shared" si="34"/>
        <v>0.51851851851851849</v>
      </c>
      <c r="BH125" s="1129"/>
      <c r="BI125" s="991"/>
      <c r="BQ125" s="979"/>
      <c r="BR125" s="1139">
        <f>BR124*(DataUK1!HT125/DataUK1!HT124)+DataUK1!FI124</f>
        <v>1837.8904109589041</v>
      </c>
      <c r="BS125" s="308">
        <f>BR125/DataUK1!B125</f>
        <v>5.2642007589118786E-2</v>
      </c>
      <c r="BT125" s="977"/>
      <c r="BU125" s="977"/>
      <c r="BV125" s="977"/>
      <c r="BW125" s="980"/>
      <c r="BX125" s="1145">
        <f t="shared" si="43"/>
        <v>18291</v>
      </c>
      <c r="BY125" s="991">
        <f t="shared" si="42"/>
        <v>31587</v>
      </c>
      <c r="BZ125" s="991">
        <v>18291</v>
      </c>
      <c r="CA125" s="991"/>
      <c r="CB125" s="991"/>
      <c r="CC125" s="991">
        <f>0.6*CD125</f>
        <v>13296</v>
      </c>
      <c r="CD125" s="991">
        <v>22160</v>
      </c>
      <c r="CG125" s="979"/>
      <c r="CH125" s="1126"/>
      <c r="CJ125" s="991"/>
      <c r="CK125" s="1131"/>
      <c r="CL125" s="975"/>
      <c r="CM125" s="975"/>
      <c r="CN125" s="975"/>
      <c r="CO125" s="992"/>
      <c r="CP125" s="979"/>
      <c r="CQ125" s="1285">
        <f t="shared" si="19"/>
        <v>3433.4</v>
      </c>
      <c r="CR125" s="519">
        <f>CR124+(CR$129-CR$120)/9</f>
        <v>3088.8888888888887</v>
      </c>
      <c r="CS125" s="1293">
        <f t="shared" si="22"/>
        <v>344.5111111111114</v>
      </c>
      <c r="CT125" s="577">
        <v>0</v>
      </c>
      <c r="CU125" s="1273">
        <f t="shared" si="6"/>
        <v>3433.4</v>
      </c>
      <c r="CV125" s="519">
        <v>2892.5</v>
      </c>
      <c r="CW125" s="2609">
        <v>526.29999999999995</v>
      </c>
      <c r="CX125" s="2609"/>
      <c r="CY125" s="1030">
        <v>14.6</v>
      </c>
    </row>
    <row r="126" spans="1:103" s="598" customFormat="1">
      <c r="A126" s="577">
        <f t="shared" si="37"/>
        <v>1967</v>
      </c>
      <c r="B126" s="982">
        <f t="shared" si="38"/>
        <v>112545.34314692876</v>
      </c>
      <c r="C126" s="254">
        <f t="shared" si="25"/>
        <v>42315.343146928761</v>
      </c>
      <c r="D126" s="985">
        <f t="shared" si="26"/>
        <v>31951.5625</v>
      </c>
      <c r="E126" s="991">
        <f>G126*DataUK1!B126</f>
        <v>10363.780646928761</v>
      </c>
      <c r="F126" s="988">
        <f t="shared" si="27"/>
        <v>0.75508220243084656</v>
      </c>
      <c r="G126" s="972">
        <f t="shared" si="41"/>
        <v>0.2827076747027677</v>
      </c>
      <c r="H126" s="970">
        <f>I126*DataUK1!B126</f>
        <v>4618.9312554465814</v>
      </c>
      <c r="I126" s="972">
        <f t="shared" si="36"/>
        <v>0.12599719728979464</v>
      </c>
      <c r="J126" s="519">
        <v>29700</v>
      </c>
      <c r="K126" s="986">
        <f t="shared" si="28"/>
        <v>0.92953200645508338</v>
      </c>
      <c r="L126" s="970">
        <v>16300</v>
      </c>
      <c r="M126" s="983">
        <f>L126/DataUK1!B126</f>
        <v>0.44463842439782864</v>
      </c>
      <c r="N126" s="970">
        <v>115500</v>
      </c>
      <c r="P126" s="987"/>
      <c r="Q126" s="983">
        <f>B126/N126</f>
        <v>0.9744185553846646</v>
      </c>
      <c r="R126" s="987"/>
      <c r="S126" s="987"/>
      <c r="T126" s="987"/>
      <c r="U126" s="987"/>
      <c r="V126" s="987"/>
      <c r="W126" s="987"/>
      <c r="X126" s="987"/>
      <c r="Y126" s="987"/>
      <c r="Z126" s="987"/>
      <c r="AA126" s="987"/>
      <c r="AB126" s="987"/>
      <c r="AC126" s="987"/>
      <c r="AD126" s="987"/>
      <c r="AE126" s="987"/>
      <c r="AF126" s="987"/>
      <c r="AG126" s="987"/>
      <c r="AH126" s="987"/>
      <c r="AI126" s="987"/>
      <c r="AJ126" s="987"/>
      <c r="AK126" s="990"/>
      <c r="AL126" s="990"/>
      <c r="AM126" s="990"/>
      <c r="AN126" s="990"/>
      <c r="AO126" s="990"/>
      <c r="AP126" s="990"/>
      <c r="AQ126" s="990"/>
      <c r="AR126" s="990"/>
      <c r="AS126" s="254">
        <f t="shared" si="29"/>
        <v>83930</v>
      </c>
      <c r="AT126" s="519">
        <f t="shared" si="30"/>
        <v>13630</v>
      </c>
      <c r="AU126" s="519">
        <f t="shared" si="31"/>
        <v>70300</v>
      </c>
      <c r="AV126" s="519"/>
      <c r="AW126" s="519"/>
      <c r="AX126" s="519"/>
      <c r="AY126" s="519"/>
      <c r="BA126" s="519">
        <v>13630</v>
      </c>
      <c r="BB126" s="988">
        <f t="shared" si="32"/>
        <v>1</v>
      </c>
      <c r="BC126" s="519">
        <v>70300</v>
      </c>
      <c r="BD126" s="988">
        <f t="shared" si="33"/>
        <v>1</v>
      </c>
      <c r="BE126" s="982">
        <v>13700</v>
      </c>
      <c r="BF126" s="519">
        <v>7400</v>
      </c>
      <c r="BG126" s="1117">
        <f t="shared" si="34"/>
        <v>0.54014598540145986</v>
      </c>
      <c r="BH126" s="1129">
        <f>BI126+CC126</f>
        <v>29236</v>
      </c>
      <c r="BI126" s="991">
        <v>14600</v>
      </c>
      <c r="BQ126" s="979"/>
      <c r="BR126" s="1139">
        <f>BR125*(DataUK1!HT126/DataUK1!HT125)+DataUK1!FI125</f>
        <v>2047.335627722236</v>
      </c>
      <c r="BS126" s="308">
        <f>BR126/DataUK1!B126</f>
        <v>5.5848103541346901E-2</v>
      </c>
      <c r="BT126" s="977"/>
      <c r="BU126" s="977"/>
      <c r="BV126" s="977"/>
      <c r="BW126" s="980"/>
      <c r="BX126" s="1145">
        <f t="shared" si="43"/>
        <v>-5396</v>
      </c>
      <c r="BY126" s="991">
        <f t="shared" si="42"/>
        <v>9240</v>
      </c>
      <c r="BZ126" s="991">
        <v>19192</v>
      </c>
      <c r="CA126" s="991">
        <v>13122</v>
      </c>
      <c r="CB126" s="991">
        <v>37710</v>
      </c>
      <c r="CC126" s="991">
        <f>CD126+CE126-CF126</f>
        <v>14636</v>
      </c>
      <c r="CD126" s="991">
        <v>23747</v>
      </c>
      <c r="CE126" s="991">
        <v>1767</v>
      </c>
      <c r="CF126" s="991">
        <v>10878</v>
      </c>
      <c r="CG126" s="1146">
        <v>31</v>
      </c>
      <c r="CH126" s="1129"/>
      <c r="CI126" s="991"/>
      <c r="CJ126" s="991">
        <f>CK126-(N126-B126)</f>
        <v>131245.34314692876</v>
      </c>
      <c r="CK126" s="1131">
        <v>134200</v>
      </c>
      <c r="CL126" s="975"/>
      <c r="CM126" s="975"/>
      <c r="CN126" s="975"/>
      <c r="CP126" s="979"/>
      <c r="CQ126" s="1285">
        <f t="shared" si="19"/>
        <v>3591.1</v>
      </c>
      <c r="CR126" s="519">
        <f>CR125+(CR$129-CR$120)/9</f>
        <v>3233.333333333333</v>
      </c>
      <c r="CS126" s="1293">
        <f t="shared" si="22"/>
        <v>357.76666666666688</v>
      </c>
      <c r="CT126" s="577">
        <v>0</v>
      </c>
      <c r="CU126" s="1273">
        <f t="shared" si="6"/>
        <v>3591.1</v>
      </c>
      <c r="CV126" s="519">
        <v>2971.5</v>
      </c>
      <c r="CW126" s="2609">
        <v>605</v>
      </c>
      <c r="CX126" s="2609"/>
      <c r="CY126" s="1030">
        <v>14.6</v>
      </c>
    </row>
    <row r="127" spans="1:103" s="598" customFormat="1">
      <c r="A127" s="577">
        <f t="shared" si="37"/>
        <v>1968</v>
      </c>
      <c r="B127" s="982">
        <f t="shared" si="38"/>
        <v>118565.50512456783</v>
      </c>
      <c r="C127" s="254">
        <f t="shared" si="25"/>
        <v>46265.505124567826</v>
      </c>
      <c r="D127" s="985">
        <f t="shared" si="26"/>
        <v>35071.412037037036</v>
      </c>
      <c r="E127" s="991">
        <f>G127*DataUK1!B127</f>
        <v>11194.093087530789</v>
      </c>
      <c r="F127" s="988">
        <f t="shared" si="27"/>
        <v>0.75804666873535287</v>
      </c>
      <c r="G127" s="972">
        <f t="shared" si="41"/>
        <v>0.2827076747027677</v>
      </c>
      <c r="H127" s="970">
        <f>I127*DataUK1!B127</f>
        <v>4886.0658468305801</v>
      </c>
      <c r="I127" s="972">
        <f t="shared" si="36"/>
        <v>0.12339796562356249</v>
      </c>
      <c r="J127" s="519">
        <v>32600</v>
      </c>
      <c r="K127" s="986">
        <f t="shared" si="28"/>
        <v>0.92953200645508338</v>
      </c>
      <c r="L127" s="970">
        <v>16100</v>
      </c>
      <c r="M127" s="983">
        <f>L127/DataUK1!B127</f>
        <v>0.40660672795231839</v>
      </c>
      <c r="N127" s="970"/>
      <c r="P127" s="987"/>
      <c r="Q127" s="987"/>
      <c r="R127" s="987"/>
      <c r="S127" s="987"/>
      <c r="T127" s="987"/>
      <c r="U127" s="987"/>
      <c r="V127" s="987"/>
      <c r="W127" s="987"/>
      <c r="X127" s="987"/>
      <c r="Y127" s="987"/>
      <c r="Z127" s="987"/>
      <c r="AA127" s="987"/>
      <c r="AB127" s="987"/>
      <c r="AC127" s="987"/>
      <c r="AD127" s="987"/>
      <c r="AE127" s="987"/>
      <c r="AF127" s="987"/>
      <c r="AG127" s="987"/>
      <c r="AH127" s="987"/>
      <c r="AI127" s="987"/>
      <c r="AJ127" s="987"/>
      <c r="AK127" s="990"/>
      <c r="AL127" s="990"/>
      <c r="AM127" s="990"/>
      <c r="AN127" s="990"/>
      <c r="AO127" s="990"/>
      <c r="AP127" s="990"/>
      <c r="AQ127" s="990"/>
      <c r="AR127" s="990"/>
      <c r="AS127" s="254">
        <f t="shared" si="29"/>
        <v>86700</v>
      </c>
      <c r="AT127" s="519">
        <f t="shared" si="30"/>
        <v>14300</v>
      </c>
      <c r="AU127" s="519">
        <f t="shared" si="31"/>
        <v>72400</v>
      </c>
      <c r="AV127" s="519"/>
      <c r="AW127" s="519"/>
      <c r="AX127" s="519"/>
      <c r="AY127" s="519"/>
      <c r="BA127" s="519">
        <v>14300</v>
      </c>
      <c r="BB127" s="988">
        <f t="shared" si="32"/>
        <v>1</v>
      </c>
      <c r="BC127" s="519">
        <v>72400</v>
      </c>
      <c r="BD127" s="988">
        <f t="shared" si="33"/>
        <v>1</v>
      </c>
      <c r="BE127" s="982">
        <v>14400</v>
      </c>
      <c r="BF127" s="519">
        <v>8400</v>
      </c>
      <c r="BG127" s="1117">
        <f t="shared" si="34"/>
        <v>0.58333333333333337</v>
      </c>
      <c r="BH127" s="1129"/>
      <c r="BI127" s="991"/>
      <c r="BQ127" s="979"/>
      <c r="BR127" s="1139">
        <f>BR126*(DataUK1!HT127/DataUK1!HT126)+DataUK1!FI126</f>
        <v>1895.6369651282471</v>
      </c>
      <c r="BS127" s="308">
        <f>BR127/DataUK1!B127</f>
        <v>4.7874456135171412E-2</v>
      </c>
      <c r="BT127" s="977"/>
      <c r="BU127" s="977"/>
      <c r="BV127" s="977"/>
      <c r="BW127" s="980"/>
      <c r="BX127" s="1145">
        <f t="shared" si="43"/>
        <v>-3643</v>
      </c>
      <c r="BY127" s="991">
        <f t="shared" si="42"/>
        <v>12655</v>
      </c>
      <c r="BZ127" s="991">
        <v>21332</v>
      </c>
      <c r="CA127" s="991">
        <v>15391</v>
      </c>
      <c r="CB127" s="991">
        <v>40366</v>
      </c>
      <c r="CC127" s="991">
        <f t="shared" ref="CC127:CC170" si="44">CD127+CE127-CF127</f>
        <v>16298</v>
      </c>
      <c r="CD127" s="991">
        <v>27113</v>
      </c>
      <c r="CE127" s="991">
        <v>2358</v>
      </c>
      <c r="CF127" s="991">
        <v>13173</v>
      </c>
      <c r="CG127" s="1146">
        <v>32</v>
      </c>
      <c r="CH127" s="1129"/>
      <c r="CI127" s="991"/>
      <c r="CJ127" s="991"/>
      <c r="CK127" s="1131"/>
      <c r="CL127" s="975"/>
      <c r="CM127" s="975"/>
      <c r="CN127" s="975"/>
      <c r="CP127" s="979"/>
      <c r="CQ127" s="1285">
        <f t="shared" si="19"/>
        <v>3797.6</v>
      </c>
      <c r="CR127" s="519">
        <f>CR126+(CR$129-CR$120)/9</f>
        <v>3377.7777777777774</v>
      </c>
      <c r="CS127" s="1293">
        <f t="shared" si="22"/>
        <v>419.82222222222254</v>
      </c>
      <c r="CT127" s="577">
        <v>0</v>
      </c>
      <c r="CU127" s="1273">
        <f t="shared" si="6"/>
        <v>3797.6</v>
      </c>
      <c r="CV127" s="519">
        <v>3119.2</v>
      </c>
      <c r="CW127" s="2609">
        <v>663.8</v>
      </c>
      <c r="CX127" s="2609"/>
      <c r="CY127" s="1030">
        <v>14.6</v>
      </c>
    </row>
    <row r="128" spans="1:103" s="598" customFormat="1">
      <c r="A128" s="577">
        <f t="shared" si="37"/>
        <v>1969</v>
      </c>
      <c r="B128" s="982">
        <f t="shared" si="38"/>
        <v>127025.17341096286</v>
      </c>
      <c r="C128" s="254">
        <f t="shared" si="25"/>
        <v>51915.173410962845</v>
      </c>
      <c r="D128" s="985">
        <f t="shared" si="26"/>
        <v>39697.395833333336</v>
      </c>
      <c r="E128" s="991">
        <f>G128*DataUK1!B128</f>
        <v>12217.777577629511</v>
      </c>
      <c r="F128" s="988">
        <f t="shared" si="27"/>
        <v>0.76465883141884106</v>
      </c>
      <c r="G128" s="972">
        <f t="shared" si="41"/>
        <v>0.2827076747027677</v>
      </c>
      <c r="H128" s="970">
        <f>I128*DataUK1!B128</f>
        <v>5220.5588854339458</v>
      </c>
      <c r="I128" s="972">
        <f t="shared" si="36"/>
        <v>0.12079873395733035</v>
      </c>
      <c r="J128" s="519">
        <v>36900</v>
      </c>
      <c r="K128" s="986">
        <f t="shared" si="28"/>
        <v>0.92953200645508338</v>
      </c>
      <c r="L128" s="970">
        <v>18200</v>
      </c>
      <c r="M128" s="983">
        <f>L128/DataUK1!B128</f>
        <v>0.42113057361686373</v>
      </c>
      <c r="N128" s="970"/>
      <c r="P128" s="987"/>
      <c r="Q128" s="987"/>
      <c r="R128" s="987"/>
      <c r="S128" s="987"/>
      <c r="T128" s="987"/>
      <c r="U128" s="987"/>
      <c r="V128" s="987"/>
      <c r="W128" s="987"/>
      <c r="X128" s="987"/>
      <c r="Y128" s="987"/>
      <c r="Z128" s="987"/>
      <c r="AA128" s="987"/>
      <c r="AB128" s="987"/>
      <c r="AC128" s="987"/>
      <c r="AD128" s="987"/>
      <c r="AE128" s="987"/>
      <c r="AF128" s="987"/>
      <c r="AG128" s="987"/>
      <c r="AH128" s="987"/>
      <c r="AI128" s="987"/>
      <c r="AJ128" s="987"/>
      <c r="AK128" s="990"/>
      <c r="AL128" s="990"/>
      <c r="AM128" s="990"/>
      <c r="AN128" s="990"/>
      <c r="AO128" s="990"/>
      <c r="AP128" s="990"/>
      <c r="AQ128" s="990"/>
      <c r="AR128" s="990"/>
      <c r="AS128" s="254">
        <f t="shared" si="29"/>
        <v>89410</v>
      </c>
      <c r="AT128" s="519">
        <f t="shared" si="30"/>
        <v>15710</v>
      </c>
      <c r="AU128" s="519">
        <f t="shared" si="31"/>
        <v>73700</v>
      </c>
      <c r="AV128" s="519"/>
      <c r="AW128" s="519"/>
      <c r="AX128" s="519"/>
      <c r="AY128" s="519"/>
      <c r="BA128" s="519">
        <v>15710</v>
      </c>
      <c r="BB128" s="988">
        <f t="shared" si="32"/>
        <v>1</v>
      </c>
      <c r="BC128" s="519">
        <v>73700</v>
      </c>
      <c r="BD128" s="988">
        <f t="shared" si="33"/>
        <v>1</v>
      </c>
      <c r="BE128" s="982">
        <v>14300</v>
      </c>
      <c r="BF128" s="519">
        <v>9400</v>
      </c>
      <c r="BG128" s="1117">
        <f t="shared" si="34"/>
        <v>0.65734265734265729</v>
      </c>
      <c r="BH128" s="1129"/>
      <c r="BI128" s="991"/>
      <c r="BQ128" s="979"/>
      <c r="BR128" s="1139">
        <f>BR127*(DataUK1!HT128/DataUK1!HT127)+DataUK1!FI127</f>
        <v>1766.3966181642727</v>
      </c>
      <c r="BS128" s="308">
        <f>BR128/DataUK1!B128</f>
        <v>4.0872726430901563E-2</v>
      </c>
      <c r="BT128" s="977"/>
      <c r="BU128" s="977"/>
      <c r="BV128" s="977"/>
      <c r="BW128" s="980"/>
      <c r="BX128" s="1145">
        <f t="shared" si="43"/>
        <v>-1240</v>
      </c>
      <c r="BY128" s="991">
        <f t="shared" si="42"/>
        <v>17351</v>
      </c>
      <c r="BZ128" s="991">
        <v>23280</v>
      </c>
      <c r="CA128" s="991">
        <v>17440</v>
      </c>
      <c r="CB128" s="991">
        <v>41960</v>
      </c>
      <c r="CC128" s="991">
        <f t="shared" si="44"/>
        <v>18591</v>
      </c>
      <c r="CD128" s="991">
        <v>30079</v>
      </c>
      <c r="CE128" s="991">
        <v>2700</v>
      </c>
      <c r="CF128" s="991">
        <v>14188</v>
      </c>
      <c r="CG128" s="1146">
        <v>32</v>
      </c>
      <c r="CH128" s="1129"/>
      <c r="CI128" s="991"/>
      <c r="CJ128" s="991"/>
      <c r="CK128" s="1131"/>
      <c r="CL128" s="975"/>
      <c r="CM128" s="975"/>
      <c r="CN128" s="975"/>
      <c r="CP128" s="979"/>
      <c r="CQ128" s="1285">
        <f t="shared" si="19"/>
        <v>3910.9</v>
      </c>
      <c r="CR128" s="519">
        <f>CR127+(CR$129-CR$120)/9</f>
        <v>3522.2222222222217</v>
      </c>
      <c r="CS128" s="1293">
        <f t="shared" si="22"/>
        <v>388.67777777777837</v>
      </c>
      <c r="CT128" s="577">
        <v>0</v>
      </c>
      <c r="CU128" s="1273">
        <f t="shared" si="6"/>
        <v>3910.9</v>
      </c>
      <c r="CV128" s="519">
        <v>3243.5</v>
      </c>
      <c r="CW128" s="2609">
        <v>652.79999999999995</v>
      </c>
      <c r="CX128" s="2609"/>
      <c r="CY128" s="1030">
        <v>14.6</v>
      </c>
    </row>
    <row r="129" spans="1:103" s="598" customFormat="1">
      <c r="A129" s="577">
        <f t="shared" si="37"/>
        <v>1970</v>
      </c>
      <c r="B129" s="982">
        <f t="shared" si="38"/>
        <v>134935.48480996781</v>
      </c>
      <c r="C129" s="254">
        <f t="shared" si="25"/>
        <v>56105.484809967798</v>
      </c>
      <c r="D129" s="985">
        <f t="shared" si="26"/>
        <v>42709.664351851854</v>
      </c>
      <c r="E129" s="991">
        <f>G129*DataUK1!B129</f>
        <v>13395.820458115944</v>
      </c>
      <c r="F129" s="988">
        <f t="shared" si="27"/>
        <v>0.76123866492753278</v>
      </c>
      <c r="G129" s="972">
        <f t="shared" si="41"/>
        <v>0.2827076747027677</v>
      </c>
      <c r="H129" s="970">
        <f>I129*DataUK1!B129</f>
        <v>5600.7652165613972</v>
      </c>
      <c r="I129" s="972">
        <f t="shared" si="36"/>
        <v>0.1181995022910982</v>
      </c>
      <c r="J129" s="519">
        <v>39700</v>
      </c>
      <c r="K129" s="986">
        <f t="shared" si="28"/>
        <v>0.92953200645508338</v>
      </c>
      <c r="L129" s="970">
        <v>19600</v>
      </c>
      <c r="M129" s="983">
        <f>L129/DataUK1!B129</f>
        <v>0.41364173560695594</v>
      </c>
      <c r="N129" s="970">
        <v>145600</v>
      </c>
      <c r="O129" s="973"/>
      <c r="P129" s="987"/>
      <c r="Q129" s="983">
        <f>B129/N129</f>
        <v>0.92675470336516352</v>
      </c>
      <c r="R129" s="987"/>
      <c r="S129" s="987"/>
      <c r="T129" s="987"/>
      <c r="U129" s="987"/>
      <c r="V129" s="987"/>
      <c r="W129" s="987"/>
      <c r="X129" s="987"/>
      <c r="Y129" s="987"/>
      <c r="Z129" s="987"/>
      <c r="AA129" s="987"/>
      <c r="AB129" s="987"/>
      <c r="AC129" s="987"/>
      <c r="AD129" s="987"/>
      <c r="AE129" s="987"/>
      <c r="AF129" s="987"/>
      <c r="AG129" s="987"/>
      <c r="AH129" s="987"/>
      <c r="AI129" s="987"/>
      <c r="AJ129" s="987"/>
      <c r="AK129" s="990"/>
      <c r="AL129" s="990"/>
      <c r="AM129" s="990"/>
      <c r="AN129" s="990"/>
      <c r="AO129" s="990"/>
      <c r="AP129" s="990"/>
      <c r="AQ129" s="990"/>
      <c r="AR129" s="990"/>
      <c r="AS129" s="254">
        <f t="shared" si="29"/>
        <v>94730</v>
      </c>
      <c r="AT129" s="519">
        <f t="shared" si="30"/>
        <v>17430</v>
      </c>
      <c r="AU129" s="519">
        <f t="shared" si="31"/>
        <v>77300</v>
      </c>
      <c r="AV129" s="519"/>
      <c r="AW129" s="519"/>
      <c r="AX129" s="519"/>
      <c r="AY129" s="519"/>
      <c r="BA129" s="519">
        <v>17430</v>
      </c>
      <c r="BB129" s="988">
        <f t="shared" si="32"/>
        <v>1</v>
      </c>
      <c r="BC129" s="519">
        <v>77300</v>
      </c>
      <c r="BD129" s="988">
        <f t="shared" si="33"/>
        <v>1</v>
      </c>
      <c r="BE129" s="982">
        <v>15900</v>
      </c>
      <c r="BF129" s="519">
        <v>10300</v>
      </c>
      <c r="BG129" s="1117">
        <f t="shared" si="34"/>
        <v>0.64779874213836475</v>
      </c>
      <c r="BH129" s="1129">
        <f t="shared" ref="BH129:BH146" si="45">BI129+CC129</f>
        <v>36860</v>
      </c>
      <c r="BI129" s="991">
        <v>14800</v>
      </c>
      <c r="BJ129" s="970"/>
      <c r="BK129" s="970"/>
      <c r="BL129" s="970"/>
      <c r="BM129" s="970"/>
      <c r="BN129" s="970"/>
      <c r="BO129" s="970"/>
      <c r="BP129" s="970"/>
      <c r="BQ129" s="1130"/>
      <c r="BR129" s="1139">
        <f>BR128*(DataUK1!HT129/DataUK1!HT128)+DataUK1!FI128</f>
        <v>2369.5282792985199</v>
      </c>
      <c r="BS129" s="308">
        <f>BR129/DataUK1!B129</f>
        <v>5.0006928062183854E-2</v>
      </c>
      <c r="BT129" s="970"/>
      <c r="BU129" s="970"/>
      <c r="BV129" s="970"/>
      <c r="BW129" s="1130"/>
      <c r="BX129" s="1145">
        <f t="shared" si="43"/>
        <v>1872</v>
      </c>
      <c r="BY129" s="991">
        <f t="shared" si="42"/>
        <v>23932</v>
      </c>
      <c r="BZ129" s="991">
        <v>26758</v>
      </c>
      <c r="CA129" s="991">
        <v>17142</v>
      </c>
      <c r="CB129" s="991">
        <v>42028</v>
      </c>
      <c r="CC129" s="991">
        <f t="shared" si="44"/>
        <v>22060</v>
      </c>
      <c r="CD129" s="991">
        <v>32745</v>
      </c>
      <c r="CE129" s="991">
        <v>2936</v>
      </c>
      <c r="CF129" s="991">
        <v>13621</v>
      </c>
      <c r="CG129" s="1146">
        <v>41</v>
      </c>
      <c r="CH129" s="1129">
        <f t="shared" ref="CH129:CH170" si="46">$B129+$BX129</f>
        <v>136807.48480996781</v>
      </c>
      <c r="CI129" s="991">
        <f t="shared" ref="CI129:CI170" si="47">$B129+$BX129+$BH129</f>
        <v>173667.48480996781</v>
      </c>
      <c r="CJ129" s="991">
        <f>CK129-(N129-B129)</f>
        <v>165735.48480996781</v>
      </c>
      <c r="CK129" s="1131">
        <v>176400</v>
      </c>
      <c r="CL129" s="975"/>
      <c r="CM129" s="975"/>
      <c r="CN129" s="975"/>
      <c r="CP129" s="979"/>
      <c r="CQ129" s="1285">
        <f t="shared" si="19"/>
        <v>4037.9999999999995</v>
      </c>
      <c r="CR129" s="519">
        <v>3800</v>
      </c>
      <c r="CS129" s="1293">
        <f t="shared" si="22"/>
        <v>237.99999999999955</v>
      </c>
      <c r="CT129" s="577">
        <v>0</v>
      </c>
      <c r="CU129" s="1273">
        <f t="shared" si="6"/>
        <v>4037.9999999999995</v>
      </c>
      <c r="CV129" s="960">
        <v>3416.7</v>
      </c>
      <c r="CW129" s="2610">
        <v>606.70000000000005</v>
      </c>
      <c r="CX129" s="2610"/>
      <c r="CY129" s="1030">
        <v>14.6</v>
      </c>
    </row>
    <row r="130" spans="1:103" s="598" customFormat="1">
      <c r="A130" s="577">
        <f t="shared" si="37"/>
        <v>1971</v>
      </c>
      <c r="B130" s="982">
        <f t="shared" si="38"/>
        <v>154681.27189657048</v>
      </c>
      <c r="C130" s="254">
        <f t="shared" si="25"/>
        <v>64711.271896570484</v>
      </c>
      <c r="D130" s="985">
        <f t="shared" si="26"/>
        <v>50025.173611111109</v>
      </c>
      <c r="E130" s="991">
        <f>G130*DataUK1!B130</f>
        <v>14686.098285459377</v>
      </c>
      <c r="F130" s="988">
        <f t="shared" si="27"/>
        <v>0.77305192967103931</v>
      </c>
      <c r="G130" s="972">
        <f t="shared" si="41"/>
        <v>0.2827076747027677</v>
      </c>
      <c r="H130" s="970">
        <f>I130*DataUK1!B130</f>
        <v>6005.2028584205418</v>
      </c>
      <c r="I130" s="972">
        <f t="shared" si="36"/>
        <v>0.11560027062486605</v>
      </c>
      <c r="J130" s="519">
        <v>46500</v>
      </c>
      <c r="K130" s="986">
        <f t="shared" si="28"/>
        <v>0.92953200645508338</v>
      </c>
      <c r="L130" s="970">
        <v>22900</v>
      </c>
      <c r="M130" s="983">
        <f>L130/DataUK1!B130</f>
        <v>0.44082544082544084</v>
      </c>
      <c r="N130" s="970"/>
      <c r="O130" s="973"/>
      <c r="P130" s="987"/>
      <c r="Q130" s="987"/>
      <c r="R130" s="987"/>
      <c r="S130" s="987"/>
      <c r="T130" s="987"/>
      <c r="U130" s="987"/>
      <c r="V130" s="987"/>
      <c r="W130" s="987"/>
      <c r="X130" s="987"/>
      <c r="Y130" s="987"/>
      <c r="Z130" s="987"/>
      <c r="AA130" s="987"/>
      <c r="AB130" s="987"/>
      <c r="AC130" s="987"/>
      <c r="AD130" s="987"/>
      <c r="AE130" s="987"/>
      <c r="AF130" s="987"/>
      <c r="AG130" s="987"/>
      <c r="AH130" s="987"/>
      <c r="AI130" s="987"/>
      <c r="AJ130" s="987"/>
      <c r="AK130" s="990"/>
      <c r="AL130" s="990"/>
      <c r="AM130" s="990"/>
      <c r="AN130" s="990"/>
      <c r="AO130" s="990"/>
      <c r="AP130" s="990"/>
      <c r="AQ130" s="990"/>
      <c r="AR130" s="990"/>
      <c r="AS130" s="254">
        <f t="shared" si="29"/>
        <v>108270</v>
      </c>
      <c r="AT130" s="519">
        <f t="shared" si="30"/>
        <v>20570</v>
      </c>
      <c r="AU130" s="519">
        <f t="shared" si="31"/>
        <v>87700</v>
      </c>
      <c r="AV130" s="519"/>
      <c r="AW130" s="519"/>
      <c r="AX130" s="519"/>
      <c r="AY130" s="519"/>
      <c r="BA130" s="519">
        <v>20570</v>
      </c>
      <c r="BB130" s="988">
        <f t="shared" si="32"/>
        <v>1</v>
      </c>
      <c r="BC130" s="519">
        <v>87700</v>
      </c>
      <c r="BD130" s="988">
        <f t="shared" si="33"/>
        <v>1</v>
      </c>
      <c r="BE130" s="982">
        <v>18300</v>
      </c>
      <c r="BF130" s="519">
        <v>11500</v>
      </c>
      <c r="BG130" s="1117">
        <f t="shared" si="34"/>
        <v>0.62841530054644812</v>
      </c>
      <c r="BH130" s="1129">
        <f t="shared" si="45"/>
        <v>41841.333333333336</v>
      </c>
      <c r="BI130" s="993">
        <f>BI129+(BI$132-BI$129)/3</f>
        <v>16033.333333333334</v>
      </c>
      <c r="BJ130" s="970"/>
      <c r="BK130" s="970"/>
      <c r="BL130" s="970"/>
      <c r="BM130" s="970"/>
      <c r="BN130" s="970"/>
      <c r="BO130" s="970"/>
      <c r="BP130" s="970"/>
      <c r="BQ130" s="1130"/>
      <c r="BR130" s="1139">
        <f>BR129*(DataUK1!HT130/DataUK1!HT129)+DataUK1!FI129</f>
        <v>3412.1910033362733</v>
      </c>
      <c r="BS130" s="308">
        <f>BR130/DataUK1!B130</f>
        <v>6.5684742498965762E-2</v>
      </c>
      <c r="BT130" s="970"/>
      <c r="BU130" s="970"/>
      <c r="BV130" s="970"/>
      <c r="BW130" s="1130"/>
      <c r="BX130" s="1145">
        <f t="shared" si="43"/>
        <v>6288</v>
      </c>
      <c r="BY130" s="991">
        <f t="shared" si="42"/>
        <v>32096</v>
      </c>
      <c r="BZ130" s="991">
        <v>30636</v>
      </c>
      <c r="CA130" s="991">
        <v>18157</v>
      </c>
      <c r="CB130" s="991">
        <v>42505</v>
      </c>
      <c r="CC130" s="991">
        <f t="shared" si="44"/>
        <v>25808</v>
      </c>
      <c r="CD130" s="991">
        <v>37011</v>
      </c>
      <c r="CE130" s="991">
        <v>3258</v>
      </c>
      <c r="CF130" s="991">
        <v>14461</v>
      </c>
      <c r="CG130" s="1146">
        <v>42</v>
      </c>
      <c r="CH130" s="1129">
        <f t="shared" si="46"/>
        <v>160969.27189657048</v>
      </c>
      <c r="CI130" s="991">
        <f t="shared" si="47"/>
        <v>202810.60522990383</v>
      </c>
      <c r="CJ130" s="991"/>
      <c r="CK130" s="1131"/>
      <c r="CL130" s="975"/>
      <c r="CM130" s="975"/>
      <c r="CN130" s="975"/>
      <c r="CP130" s="979"/>
      <c r="CQ130" s="1285">
        <f t="shared" si="19"/>
        <v>4454.5</v>
      </c>
      <c r="CR130" s="519">
        <f>CR129+(CR$134-CR$129)/5</f>
        <v>4240</v>
      </c>
      <c r="CS130" s="1293">
        <f t="shared" si="22"/>
        <v>214.5</v>
      </c>
      <c r="CT130" s="577">
        <v>0</v>
      </c>
      <c r="CU130" s="1273">
        <f t="shared" si="6"/>
        <v>4454.5</v>
      </c>
      <c r="CV130" s="519">
        <v>3682.1</v>
      </c>
      <c r="CW130" s="2609">
        <v>757.8</v>
      </c>
      <c r="CX130" s="2609"/>
      <c r="CY130" s="1030">
        <v>14.6</v>
      </c>
    </row>
    <row r="131" spans="1:103" s="598" customFormat="1">
      <c r="A131" s="577">
        <f t="shared" si="37"/>
        <v>1972</v>
      </c>
      <c r="B131" s="982">
        <f t="shared" si="38"/>
        <v>186239.12654960013</v>
      </c>
      <c r="C131" s="254">
        <f t="shared" si="25"/>
        <v>85159.126549600129</v>
      </c>
      <c r="D131" s="985">
        <f t="shared" si="26"/>
        <v>68744.270833333328</v>
      </c>
      <c r="E131" s="991">
        <f>G131*DataUK1!B131</f>
        <v>16414.8557162668</v>
      </c>
      <c r="F131" s="988">
        <f t="shared" si="27"/>
        <v>0.80724490279140992</v>
      </c>
      <c r="G131" s="972">
        <f t="shared" si="41"/>
        <v>0.2827076747027677</v>
      </c>
      <c r="H131" s="970">
        <f>I131*DataUK1!B131</f>
        <v>6561.1793250551609</v>
      </c>
      <c r="I131" s="972">
        <f t="shared" si="36"/>
        <v>0.11300103895863391</v>
      </c>
      <c r="J131" s="519">
        <v>63900</v>
      </c>
      <c r="K131" s="986">
        <f t="shared" si="28"/>
        <v>0.92953200645508338</v>
      </c>
      <c r="L131" s="970">
        <v>24900</v>
      </c>
      <c r="M131" s="983">
        <f>L131/DataUK1!B131</f>
        <v>0.4288445309405301</v>
      </c>
      <c r="N131" s="970"/>
      <c r="O131" s="973"/>
      <c r="P131" s="987"/>
      <c r="Q131" s="987"/>
      <c r="R131" s="987"/>
      <c r="S131" s="987"/>
      <c r="T131" s="987"/>
      <c r="U131" s="987"/>
      <c r="V131" s="987"/>
      <c r="W131" s="987"/>
      <c r="X131" s="987"/>
      <c r="Y131" s="987"/>
      <c r="Z131" s="987"/>
      <c r="AA131" s="987"/>
      <c r="AB131" s="987"/>
      <c r="AC131" s="987"/>
      <c r="AD131" s="987"/>
      <c r="AE131" s="987"/>
      <c r="AF131" s="987"/>
      <c r="AG131" s="987"/>
      <c r="AH131" s="987"/>
      <c r="AI131" s="987"/>
      <c r="AJ131" s="987"/>
      <c r="AK131" s="990"/>
      <c r="AL131" s="990"/>
      <c r="AM131" s="990"/>
      <c r="AN131" s="990"/>
      <c r="AO131" s="990"/>
      <c r="AP131" s="990"/>
      <c r="AQ131" s="990"/>
      <c r="AR131" s="990"/>
      <c r="AS131" s="254">
        <f t="shared" si="29"/>
        <v>121080</v>
      </c>
      <c r="AT131" s="519">
        <f t="shared" si="30"/>
        <v>23580</v>
      </c>
      <c r="AU131" s="519">
        <f t="shared" si="31"/>
        <v>97500</v>
      </c>
      <c r="AV131" s="519"/>
      <c r="AW131" s="519"/>
      <c r="AX131" s="519"/>
      <c r="AY131" s="519"/>
      <c r="BA131" s="519">
        <v>23580</v>
      </c>
      <c r="BB131" s="988">
        <f t="shared" si="32"/>
        <v>1</v>
      </c>
      <c r="BC131" s="519">
        <v>97500</v>
      </c>
      <c r="BD131" s="988">
        <f t="shared" si="33"/>
        <v>1</v>
      </c>
      <c r="BE131" s="982">
        <v>20000</v>
      </c>
      <c r="BF131" s="519">
        <v>13300</v>
      </c>
      <c r="BG131" s="1117">
        <f t="shared" si="34"/>
        <v>0.66500000000000004</v>
      </c>
      <c r="BH131" s="1129">
        <f t="shared" si="45"/>
        <v>48126.666666666672</v>
      </c>
      <c r="BI131" s="993">
        <f>BI130+(BI$132-BI$129)/3</f>
        <v>17266.666666666668</v>
      </c>
      <c r="BJ131" s="970"/>
      <c r="BK131" s="970"/>
      <c r="BL131" s="970"/>
      <c r="BM131" s="970"/>
      <c r="BN131" s="970"/>
      <c r="BO131" s="970"/>
      <c r="BP131" s="970"/>
      <c r="BQ131" s="1130"/>
      <c r="BR131" s="1139">
        <f>BR130*(DataUK1!HT131/DataUK1!HT130)+DataUK1!FI130</f>
        <v>4778.3096123239829</v>
      </c>
      <c r="BS131" s="308">
        <f>BR131/DataUK1!B131</f>
        <v>8.2295258810670874E-2</v>
      </c>
      <c r="BT131" s="970"/>
      <c r="BU131" s="970"/>
      <c r="BV131" s="970"/>
      <c r="BW131" s="1130"/>
      <c r="BX131" s="1145">
        <f t="shared" si="43"/>
        <v>8794</v>
      </c>
      <c r="BY131" s="991">
        <f t="shared" si="42"/>
        <v>39654</v>
      </c>
      <c r="BZ131" s="991">
        <v>35457</v>
      </c>
      <c r="CA131" s="991">
        <v>22274</v>
      </c>
      <c r="CB131" s="991">
        <v>48937</v>
      </c>
      <c r="CC131" s="991">
        <f t="shared" si="44"/>
        <v>30860</v>
      </c>
      <c r="CD131" s="991">
        <v>43443</v>
      </c>
      <c r="CE131" s="991">
        <v>3283</v>
      </c>
      <c r="CF131" s="991">
        <v>15866</v>
      </c>
      <c r="CG131" s="1146">
        <v>52</v>
      </c>
      <c r="CH131" s="1129">
        <f t="shared" si="46"/>
        <v>195033.12654960013</v>
      </c>
      <c r="CI131" s="991">
        <f t="shared" si="47"/>
        <v>243159.79321626679</v>
      </c>
      <c r="CJ131" s="991"/>
      <c r="CK131" s="1131"/>
      <c r="CL131" s="975"/>
      <c r="CM131" s="975"/>
      <c r="CN131" s="975"/>
      <c r="CP131" s="979"/>
      <c r="CQ131" s="1285">
        <f t="shared" si="19"/>
        <v>4324.6000000000004</v>
      </c>
      <c r="CR131" s="519">
        <v>4000</v>
      </c>
      <c r="CS131" s="1293">
        <f t="shared" si="22"/>
        <v>324.60000000000036</v>
      </c>
      <c r="CT131" s="577">
        <v>0</v>
      </c>
      <c r="CU131" s="1273">
        <f t="shared" si="6"/>
        <v>4324.6000000000004</v>
      </c>
      <c r="CV131" s="519">
        <v>3785</v>
      </c>
      <c r="CW131" s="2609">
        <v>525</v>
      </c>
      <c r="CX131" s="2609"/>
      <c r="CY131" s="1030">
        <v>14.6</v>
      </c>
    </row>
    <row r="132" spans="1:103" s="598" customFormat="1">
      <c r="A132" s="577">
        <f t="shared" si="37"/>
        <v>1973</v>
      </c>
      <c r="B132" s="982">
        <f t="shared" si="38"/>
        <v>224286.35666666669</v>
      </c>
      <c r="C132" s="254">
        <f t="shared" si="25"/>
        <v>112916.35666666667</v>
      </c>
      <c r="D132" s="985">
        <f t="shared" si="26"/>
        <v>96822.916666666672</v>
      </c>
      <c r="E132" s="991">
        <f>G132*DataUK1!B132</f>
        <v>16093.439999999999</v>
      </c>
      <c r="F132" s="988">
        <f t="shared" si="27"/>
        <v>0.8574746788234725</v>
      </c>
      <c r="G132" s="972">
        <v>0.24</v>
      </c>
      <c r="H132" s="970">
        <f>I132*DataUK1!B132</f>
        <v>7403.1035897992924</v>
      </c>
      <c r="I132" s="972">
        <f t="shared" si="36"/>
        <v>0.11040180729240176</v>
      </c>
      <c r="J132" s="519">
        <v>90000</v>
      </c>
      <c r="K132" s="986">
        <f t="shared" si="28"/>
        <v>0.92953200645508338</v>
      </c>
      <c r="L132" s="970">
        <v>29700</v>
      </c>
      <c r="M132" s="983">
        <f>L132/DataUK1!B132</f>
        <v>0.44291338582677164</v>
      </c>
      <c r="N132" s="970">
        <v>227800</v>
      </c>
      <c r="O132" s="973"/>
      <c r="P132" s="987"/>
      <c r="Q132" s="983">
        <f>B132/N132</f>
        <v>0.98457575358501614</v>
      </c>
      <c r="R132" s="987"/>
      <c r="S132" s="987"/>
      <c r="T132" s="987"/>
      <c r="U132" s="987"/>
      <c r="V132" s="987"/>
      <c r="W132" s="987"/>
      <c r="X132" s="987"/>
      <c r="Y132" s="987"/>
      <c r="Z132" s="987"/>
      <c r="AA132" s="987"/>
      <c r="AB132" s="987"/>
      <c r="AC132" s="987"/>
      <c r="AD132" s="987"/>
      <c r="AE132" s="987"/>
      <c r="AF132" s="987"/>
      <c r="AG132" s="987"/>
      <c r="AH132" s="987"/>
      <c r="AI132" s="987"/>
      <c r="AJ132" s="987"/>
      <c r="AK132" s="990"/>
      <c r="AL132" s="990"/>
      <c r="AM132" s="990"/>
      <c r="AN132" s="990"/>
      <c r="AO132" s="990"/>
      <c r="AP132" s="990"/>
      <c r="AQ132" s="990"/>
      <c r="AR132" s="990"/>
      <c r="AS132" s="254">
        <f t="shared" si="29"/>
        <v>135070</v>
      </c>
      <c r="AT132" s="519">
        <f t="shared" si="30"/>
        <v>26570</v>
      </c>
      <c r="AU132" s="519">
        <f t="shared" si="31"/>
        <v>108500</v>
      </c>
      <c r="AV132" s="519"/>
      <c r="AW132" s="519"/>
      <c r="AX132" s="519"/>
      <c r="AY132" s="519"/>
      <c r="BA132" s="519">
        <v>26570</v>
      </c>
      <c r="BB132" s="988">
        <f t="shared" si="32"/>
        <v>1</v>
      </c>
      <c r="BC132" s="519">
        <v>108500</v>
      </c>
      <c r="BD132" s="988">
        <f t="shared" si="33"/>
        <v>1</v>
      </c>
      <c r="BE132" s="982">
        <v>23700</v>
      </c>
      <c r="BF132" s="519">
        <v>16100</v>
      </c>
      <c r="BG132" s="1117">
        <f t="shared" si="34"/>
        <v>0.67932489451476796</v>
      </c>
      <c r="BH132" s="1129">
        <f t="shared" si="45"/>
        <v>56529</v>
      </c>
      <c r="BI132" s="991">
        <v>18500</v>
      </c>
      <c r="BJ132" s="970"/>
      <c r="BK132" s="970"/>
      <c r="BL132" s="970"/>
      <c r="BM132" s="970"/>
      <c r="BN132" s="970"/>
      <c r="BO132" s="970"/>
      <c r="BP132" s="970"/>
      <c r="BQ132" s="1130"/>
      <c r="BR132" s="178">
        <f>BT132-BV132</f>
        <v>7400</v>
      </c>
      <c r="BS132" s="307">
        <f>BR132/DataUK1!B132</f>
        <v>0.11035552374135052</v>
      </c>
      <c r="BT132" s="970">
        <f>67800</f>
        <v>67800</v>
      </c>
      <c r="BU132" s="970"/>
      <c r="BV132" s="970">
        <v>60400</v>
      </c>
      <c r="BW132" s="1130"/>
      <c r="BX132" s="1145">
        <f t="shared" si="43"/>
        <v>14334</v>
      </c>
      <c r="BY132" s="991">
        <f t="shared" si="42"/>
        <v>52363</v>
      </c>
      <c r="BZ132" s="991">
        <v>41064</v>
      </c>
      <c r="CA132" s="991">
        <v>22819</v>
      </c>
      <c r="CB132" s="991">
        <v>49549</v>
      </c>
      <c r="CC132" s="991">
        <f t="shared" si="44"/>
        <v>38029</v>
      </c>
      <c r="CD132" s="991">
        <v>50675</v>
      </c>
      <c r="CE132" s="991">
        <v>3811</v>
      </c>
      <c r="CF132" s="991">
        <v>16457</v>
      </c>
      <c r="CG132" s="1146">
        <v>52</v>
      </c>
      <c r="CH132" s="1129">
        <f t="shared" si="46"/>
        <v>238620.35666666669</v>
      </c>
      <c r="CI132" s="991">
        <f t="shared" si="47"/>
        <v>295149.35666666669</v>
      </c>
      <c r="CJ132" s="991">
        <f>CK132-(N132-B132)</f>
        <v>284486.35666666669</v>
      </c>
      <c r="CK132" s="1131">
        <v>288000</v>
      </c>
      <c r="CL132" s="975"/>
      <c r="CM132" s="975"/>
      <c r="CN132" s="975"/>
      <c r="CP132" s="979"/>
      <c r="CQ132" s="1285">
        <f t="shared" si="19"/>
        <v>5008.6000000000004</v>
      </c>
      <c r="CR132" s="519">
        <v>4500</v>
      </c>
      <c r="CS132" s="1293">
        <f t="shared" si="22"/>
        <v>508.60000000000036</v>
      </c>
      <c r="CT132" s="577">
        <v>0</v>
      </c>
      <c r="CU132" s="1273">
        <f t="shared" si="6"/>
        <v>5008.6000000000004</v>
      </c>
      <c r="CV132" s="519">
        <v>4379</v>
      </c>
      <c r="CW132" s="2609">
        <v>615</v>
      </c>
      <c r="CX132" s="2609"/>
      <c r="CY132" s="1030">
        <v>14.6</v>
      </c>
    </row>
    <row r="133" spans="1:103" s="598" customFormat="1">
      <c r="A133" s="577">
        <f t="shared" si="37"/>
        <v>1974</v>
      </c>
      <c r="B133" s="982">
        <f t="shared" si="38"/>
        <v>231901.86462962965</v>
      </c>
      <c r="C133" s="254">
        <f t="shared" si="25"/>
        <v>126061.86462962964</v>
      </c>
      <c r="D133" s="985">
        <f t="shared" si="26"/>
        <v>108226.50462962964</v>
      </c>
      <c r="E133" s="991">
        <f>G133*DataUK1!B133</f>
        <v>17835.36</v>
      </c>
      <c r="F133" s="988">
        <f t="shared" si="27"/>
        <v>0.85851898944696425</v>
      </c>
      <c r="G133" s="972">
        <v>0.24</v>
      </c>
      <c r="H133" s="970">
        <f>I133*DataUK1!B133</f>
        <v>8011.2406050831687</v>
      </c>
      <c r="I133" s="972">
        <f t="shared" si="36"/>
        <v>0.10780257562616961</v>
      </c>
      <c r="J133" s="519">
        <v>100600</v>
      </c>
      <c r="K133" s="986">
        <f t="shared" si="28"/>
        <v>0.92953200645508338</v>
      </c>
      <c r="L133" s="970">
        <v>31800</v>
      </c>
      <c r="M133" s="983">
        <f>L133/DataUK1!B133</f>
        <v>0.42791398659741098</v>
      </c>
      <c r="N133" s="970"/>
      <c r="O133" s="973"/>
      <c r="P133" s="987"/>
      <c r="Q133" s="987"/>
      <c r="R133" s="987"/>
      <c r="S133" s="987"/>
      <c r="T133" s="987"/>
      <c r="U133" s="987"/>
      <c r="V133" s="987"/>
      <c r="W133" s="987"/>
      <c r="X133" s="987"/>
      <c r="Y133" s="987"/>
      <c r="Z133" s="987"/>
      <c r="AA133" s="987"/>
      <c r="AB133" s="987"/>
      <c r="AC133" s="987"/>
      <c r="AD133" s="987"/>
      <c r="AE133" s="987"/>
      <c r="AF133" s="987"/>
      <c r="AG133" s="987"/>
      <c r="AH133" s="987"/>
      <c r="AI133" s="987"/>
      <c r="AJ133" s="987"/>
      <c r="AK133" s="990"/>
      <c r="AL133" s="990"/>
      <c r="AM133" s="990"/>
      <c r="AN133" s="990"/>
      <c r="AO133" s="990"/>
      <c r="AP133" s="990"/>
      <c r="AQ133" s="990"/>
      <c r="AR133" s="990"/>
      <c r="AS133" s="254">
        <f t="shared" si="29"/>
        <v>133540</v>
      </c>
      <c r="AT133" s="519">
        <f t="shared" si="30"/>
        <v>33540</v>
      </c>
      <c r="AU133" s="519">
        <f t="shared" si="31"/>
        <v>100000</v>
      </c>
      <c r="AV133" s="519"/>
      <c r="AW133" s="519"/>
      <c r="AX133" s="519"/>
      <c r="AY133" s="519"/>
      <c r="BA133" s="519">
        <v>33540</v>
      </c>
      <c r="BB133" s="988">
        <f>BB$134</f>
        <v>1</v>
      </c>
      <c r="BC133" s="519">
        <v>100000</v>
      </c>
      <c r="BD133" s="988">
        <f>BD$134</f>
        <v>1</v>
      </c>
      <c r="BE133" s="982">
        <v>27700</v>
      </c>
      <c r="BF133" s="519">
        <v>19000</v>
      </c>
      <c r="BG133" s="1117">
        <f t="shared" si="34"/>
        <v>0.6859205776173285</v>
      </c>
      <c r="BH133" s="1129">
        <f t="shared" si="45"/>
        <v>87389</v>
      </c>
      <c r="BI133" s="993">
        <f>BI132+(BI$135-BI$132)/3</f>
        <v>38100</v>
      </c>
      <c r="BJ133" s="970"/>
      <c r="BK133" s="970"/>
      <c r="BL133" s="970"/>
      <c r="BM133" s="970"/>
      <c r="BN133" s="970"/>
      <c r="BO133" s="970"/>
      <c r="BP133" s="970"/>
      <c r="BQ133" s="1130"/>
      <c r="BR133" s="1139">
        <f>BR132*(DataUK1!HT133/DataUK1!HT132)+DataUK1!FI132</f>
        <v>7487.1657754010685</v>
      </c>
      <c r="BS133" s="308">
        <f>BR133/DataUK1!B133</f>
        <v>0.10075040739835117</v>
      </c>
      <c r="BT133" s="970"/>
      <c r="BU133" s="970"/>
      <c r="BV133" s="970"/>
      <c r="BW133" s="1130"/>
      <c r="BX133" s="1145">
        <f t="shared" si="43"/>
        <v>22719</v>
      </c>
      <c r="BY133" s="991">
        <f t="shared" si="42"/>
        <v>72008</v>
      </c>
      <c r="BZ133" s="991">
        <v>51001</v>
      </c>
      <c r="CA133" s="991">
        <v>25183</v>
      </c>
      <c r="CB133" s="991">
        <v>53465</v>
      </c>
      <c r="CC133" s="991">
        <f t="shared" si="44"/>
        <v>49289</v>
      </c>
      <c r="CD133" s="991">
        <v>61555</v>
      </c>
      <c r="CE133" s="991">
        <v>4557</v>
      </c>
      <c r="CF133" s="991">
        <v>16823</v>
      </c>
      <c r="CG133" s="1146">
        <v>54</v>
      </c>
      <c r="CH133" s="1129">
        <f t="shared" si="46"/>
        <v>254620.86462962965</v>
      </c>
      <c r="CI133" s="991">
        <f t="shared" si="47"/>
        <v>342009.86462962965</v>
      </c>
      <c r="CJ133" s="991"/>
      <c r="CK133" s="1131"/>
      <c r="CL133" s="975"/>
      <c r="CM133" s="975"/>
      <c r="CN133" s="975"/>
      <c r="CP133" s="979"/>
      <c r="CQ133" s="1285">
        <f t="shared" si="19"/>
        <v>6769.6</v>
      </c>
      <c r="CR133" s="519">
        <f>CR132+(CR$134-CR$129)/5</f>
        <v>4940</v>
      </c>
      <c r="CS133" s="1293">
        <f t="shared" si="22"/>
        <v>1829.6000000000004</v>
      </c>
      <c r="CT133" s="577">
        <v>0</v>
      </c>
      <c r="CU133" s="1273">
        <f t="shared" si="6"/>
        <v>6769.6</v>
      </c>
      <c r="CV133" s="519">
        <v>4788</v>
      </c>
      <c r="CW133" s="2611">
        <v>1967</v>
      </c>
      <c r="CX133" s="2611"/>
      <c r="CY133" s="1030">
        <v>14.6</v>
      </c>
    </row>
    <row r="134" spans="1:103" s="598" customFormat="1">
      <c r="A134" s="577">
        <f t="shared" si="37"/>
        <v>1975</v>
      </c>
      <c r="B134" s="982">
        <f t="shared" si="38"/>
        <v>269502.56851851847</v>
      </c>
      <c r="C134" s="254">
        <f t="shared" si="25"/>
        <v>141542.5685185185</v>
      </c>
      <c r="D134" s="985">
        <f t="shared" si="26"/>
        <v>119199.76851851851</v>
      </c>
      <c r="E134" s="991">
        <f>G134*DataUK1!B134</f>
        <v>22342.799999999999</v>
      </c>
      <c r="F134" s="988">
        <f t="shared" si="27"/>
        <v>0.84214784121939401</v>
      </c>
      <c r="G134" s="972">
        <v>0.24</v>
      </c>
      <c r="H134" s="970">
        <f>I134*DataUK1!B134</f>
        <v>9793.9053059503785</v>
      </c>
      <c r="I134" s="972">
        <f t="shared" si="36"/>
        <v>0.10520334395993747</v>
      </c>
      <c r="J134" s="519">
        <v>110800</v>
      </c>
      <c r="K134" s="986">
        <f t="shared" si="28"/>
        <v>0.92953200645508338</v>
      </c>
      <c r="L134" s="970">
        <v>37900</v>
      </c>
      <c r="M134" s="983">
        <f>L134/DataUK1!B134</f>
        <v>0.40711101562919599</v>
      </c>
      <c r="N134" s="970"/>
      <c r="O134" s="973"/>
      <c r="P134" s="987"/>
      <c r="Q134" s="987"/>
      <c r="R134" s="987"/>
      <c r="S134" s="987"/>
      <c r="T134" s="987"/>
      <c r="U134" s="987"/>
      <c r="V134" s="987"/>
      <c r="W134" s="987"/>
      <c r="X134" s="987"/>
      <c r="Y134" s="987"/>
      <c r="Z134" s="987"/>
      <c r="AA134" s="987"/>
      <c r="AB134" s="987"/>
      <c r="AC134" s="987"/>
      <c r="AD134" s="987"/>
      <c r="AE134" s="987"/>
      <c r="AF134" s="987"/>
      <c r="AG134" s="987"/>
      <c r="AH134" s="987"/>
      <c r="AI134" s="987"/>
      <c r="AJ134" s="987"/>
      <c r="AK134" s="990"/>
      <c r="AL134" s="990"/>
      <c r="AM134" s="990"/>
      <c r="AN134" s="990"/>
      <c r="AO134" s="990"/>
      <c r="AP134" s="990"/>
      <c r="AQ134" s="990"/>
      <c r="AR134" s="990"/>
      <c r="AS134" s="254">
        <f t="shared" si="29"/>
        <v>157760</v>
      </c>
      <c r="AT134" s="519">
        <f t="shared" si="30"/>
        <v>42960</v>
      </c>
      <c r="AU134" s="519">
        <f t="shared" si="31"/>
        <v>114800</v>
      </c>
      <c r="AV134" s="519"/>
      <c r="AW134" s="519"/>
      <c r="AX134" s="519"/>
      <c r="AY134" s="519"/>
      <c r="BA134" s="519">
        <v>42960</v>
      </c>
      <c r="BB134" s="988">
        <v>1</v>
      </c>
      <c r="BC134" s="519">
        <v>114800</v>
      </c>
      <c r="BD134" s="988">
        <v>1</v>
      </c>
      <c r="BE134" s="982">
        <v>29800</v>
      </c>
      <c r="BF134" s="970">
        <v>21400</v>
      </c>
      <c r="BG134" s="1117">
        <f t="shared" si="34"/>
        <v>0.71812080536912748</v>
      </c>
      <c r="BH134" s="1129">
        <f t="shared" si="45"/>
        <v>125375</v>
      </c>
      <c r="BI134" s="993">
        <f>BI133+(BI$135-BI$132)/3</f>
        <v>57700</v>
      </c>
      <c r="BJ134" s="970"/>
      <c r="BK134" s="970"/>
      <c r="BL134" s="970"/>
      <c r="BM134" s="970"/>
      <c r="BN134" s="970"/>
      <c r="BO134" s="970"/>
      <c r="BP134" s="970"/>
      <c r="BQ134" s="1130"/>
      <c r="BR134" s="1139">
        <f>BR133*DataUK1!HT134/DataUK1!HT133+DataUK1!FI133</f>
        <v>5969.0271569038159</v>
      </c>
      <c r="BS134" s="308">
        <f>BR134/DataUK1!B134</f>
        <v>6.4117591244468725E-2</v>
      </c>
      <c r="BT134" s="970"/>
      <c r="BU134" s="970"/>
      <c r="BV134" s="970"/>
      <c r="BW134" s="1130"/>
      <c r="BX134" s="1145">
        <f t="shared" si="43"/>
        <v>25939</v>
      </c>
      <c r="BY134" s="991">
        <f t="shared" si="42"/>
        <v>93614</v>
      </c>
      <c r="BZ134" s="991">
        <v>55203</v>
      </c>
      <c r="CA134" s="991">
        <v>28610</v>
      </c>
      <c r="CB134" s="991">
        <v>57874</v>
      </c>
      <c r="CC134" s="991">
        <f t="shared" si="44"/>
        <v>67675</v>
      </c>
      <c r="CD134" s="991">
        <v>81743</v>
      </c>
      <c r="CE134" s="991">
        <v>5785</v>
      </c>
      <c r="CF134" s="991">
        <v>19853</v>
      </c>
      <c r="CG134" s="1146">
        <v>54</v>
      </c>
      <c r="CH134" s="1129">
        <f t="shared" si="46"/>
        <v>295441.56851851847</v>
      </c>
      <c r="CI134" s="991">
        <f t="shared" si="47"/>
        <v>420816.56851851847</v>
      </c>
      <c r="CJ134" s="991"/>
      <c r="CK134" s="1131"/>
      <c r="CL134" s="975"/>
      <c r="CM134" s="975"/>
      <c r="CN134" s="975"/>
      <c r="CP134" s="979"/>
      <c r="CQ134" s="1285">
        <f t="shared" si="19"/>
        <v>7114.6</v>
      </c>
      <c r="CR134" s="519">
        <v>6000</v>
      </c>
      <c r="CS134" s="1293">
        <f t="shared" si="22"/>
        <v>1114.6000000000004</v>
      </c>
      <c r="CT134" s="577">
        <v>0</v>
      </c>
      <c r="CU134" s="1273">
        <f t="shared" si="6"/>
        <v>7114.6</v>
      </c>
      <c r="CV134" s="519">
        <v>5520</v>
      </c>
      <c r="CW134" s="2611">
        <v>1580</v>
      </c>
      <c r="CX134" s="2611"/>
      <c r="CY134" s="1030">
        <v>14.6</v>
      </c>
    </row>
    <row r="135" spans="1:103" s="598" customFormat="1">
      <c r="A135" s="577">
        <f t="shared" si="37"/>
        <v>1976</v>
      </c>
      <c r="B135" s="982">
        <f t="shared" si="38"/>
        <v>291282.30675698892</v>
      </c>
      <c r="C135" s="254">
        <f t="shared" si="25"/>
        <v>159348.59990740742</v>
      </c>
      <c r="D135" s="985">
        <f t="shared" si="26"/>
        <v>133077.71990740742</v>
      </c>
      <c r="E135" s="991">
        <f>G135*DataUK1!B135</f>
        <v>26270.879999999997</v>
      </c>
      <c r="F135" s="988">
        <f t="shared" si="27"/>
        <v>0.83513579651615888</v>
      </c>
      <c r="G135" s="972">
        <v>0.24</v>
      </c>
      <c r="H135" s="970">
        <f>I135*DataUK1!B135</f>
        <v>11231.251339893572</v>
      </c>
      <c r="I135" s="972">
        <f t="shared" si="36"/>
        <v>0.10260411229370532</v>
      </c>
      <c r="J135" s="985">
        <v>123700</v>
      </c>
      <c r="K135" s="986">
        <f t="shared" si="28"/>
        <v>0.92953200645508338</v>
      </c>
      <c r="L135" s="970">
        <v>44700</v>
      </c>
      <c r="M135" s="983">
        <f>L135/DataUK1!B135</f>
        <v>0.40836089236447354</v>
      </c>
      <c r="N135" s="970">
        <v>303400</v>
      </c>
      <c r="O135" s="973"/>
      <c r="P135" s="987"/>
      <c r="Q135" s="983">
        <f t="shared" ref="Q135:Q170" si="48">B135/N135</f>
        <v>0.96006033868486795</v>
      </c>
      <c r="R135" s="987"/>
      <c r="S135" s="987"/>
      <c r="T135" s="987"/>
      <c r="U135" s="987"/>
      <c r="V135" s="987"/>
      <c r="W135" s="987"/>
      <c r="X135" s="987"/>
      <c r="Y135" s="987"/>
      <c r="Z135" s="987"/>
      <c r="AA135" s="987"/>
      <c r="AB135" s="987"/>
      <c r="AC135" s="987"/>
      <c r="AD135" s="987"/>
      <c r="AE135" s="987"/>
      <c r="AF135" s="987"/>
      <c r="AG135" s="987"/>
      <c r="AH135" s="987"/>
      <c r="AI135" s="987"/>
      <c r="AJ135" s="987"/>
      <c r="AK135" s="990"/>
      <c r="AL135" s="990"/>
      <c r="AM135" s="990"/>
      <c r="AN135" s="990"/>
      <c r="AO135" s="990"/>
      <c r="AP135" s="990"/>
      <c r="AQ135" s="990"/>
      <c r="AR135" s="990"/>
      <c r="AS135" s="254">
        <f t="shared" si="29"/>
        <v>166533.7068495815</v>
      </c>
      <c r="AT135" s="519">
        <f t="shared" si="30"/>
        <v>49647.940479805642</v>
      </c>
      <c r="AU135" s="519">
        <f t="shared" si="31"/>
        <v>116885.76636977585</v>
      </c>
      <c r="AV135" s="519"/>
      <c r="AW135" s="519"/>
      <c r="AX135" s="519"/>
      <c r="AY135" s="519"/>
      <c r="BA135" s="519">
        <v>51110</v>
      </c>
      <c r="BB135" s="988">
        <f>BB134+(BB$145-BB$134)/11</f>
        <v>1.0294485432037015</v>
      </c>
      <c r="BC135" s="519">
        <v>122500</v>
      </c>
      <c r="BD135" s="988">
        <f>BD134+(BD$145-BD$134)/11</f>
        <v>1.0480317989485832</v>
      </c>
      <c r="BE135" s="982">
        <v>34600</v>
      </c>
      <c r="BF135" s="970">
        <v>25000</v>
      </c>
      <c r="BG135" s="1117">
        <f t="shared" si="34"/>
        <v>0.7225433526011561</v>
      </c>
      <c r="BH135" s="1129">
        <f t="shared" si="45"/>
        <v>142974</v>
      </c>
      <c r="BI135" s="991">
        <v>77300</v>
      </c>
      <c r="BJ135" s="970"/>
      <c r="BK135" s="970"/>
      <c r="BL135" s="970"/>
      <c r="BM135" s="970"/>
      <c r="BN135" s="970"/>
      <c r="BO135" s="970"/>
      <c r="BP135" s="970"/>
      <c r="BQ135" s="1130"/>
      <c r="BR135" s="1139">
        <f>BR134*DataUK1!HT135/DataUK1!HT134+DataUK1!FI134</f>
        <v>5261.4849135726217</v>
      </c>
      <c r="BS135" s="308">
        <f>BR135/DataUK1!B135</f>
        <v>4.8066771240911202E-2</v>
      </c>
      <c r="BT135" s="970"/>
      <c r="BU135" s="970"/>
      <c r="BV135" s="970"/>
      <c r="BW135" s="1130"/>
      <c r="BX135" s="1145">
        <f t="shared" si="43"/>
        <v>29904</v>
      </c>
      <c r="BY135" s="991">
        <f t="shared" si="42"/>
        <v>95578</v>
      </c>
      <c r="BZ135" s="991">
        <v>64847</v>
      </c>
      <c r="CA135" s="991">
        <v>36406</v>
      </c>
      <c r="CB135" s="991">
        <v>71349</v>
      </c>
      <c r="CC135" s="991">
        <f t="shared" si="44"/>
        <v>65674</v>
      </c>
      <c r="CD135" s="991">
        <v>85253</v>
      </c>
      <c r="CE135" s="991">
        <v>5634</v>
      </c>
      <c r="CF135" s="991">
        <v>25213</v>
      </c>
      <c r="CG135" s="1146">
        <v>57</v>
      </c>
      <c r="CH135" s="1129">
        <f t="shared" si="46"/>
        <v>321186.30675698892</v>
      </c>
      <c r="CI135" s="991">
        <f t="shared" si="47"/>
        <v>464160.30675698892</v>
      </c>
      <c r="CJ135" s="991">
        <f t="shared" ref="CJ135:CJ146" si="49">CK135-(N135-B135)</f>
        <v>448382.30675698892</v>
      </c>
      <c r="CK135" s="1131">
        <v>460500</v>
      </c>
      <c r="CL135" s="975"/>
      <c r="CM135" s="975"/>
      <c r="CN135" s="975"/>
      <c r="CP135" s="979"/>
      <c r="CQ135" s="1285">
        <f t="shared" si="19"/>
        <v>7903.6</v>
      </c>
      <c r="CR135" s="519">
        <f>CR134+(CR136-CR134)/2</f>
        <v>6928.5</v>
      </c>
      <c r="CS135" s="1293">
        <f t="shared" si="22"/>
        <v>975.10000000000036</v>
      </c>
      <c r="CT135" s="577">
        <v>0</v>
      </c>
      <c r="CU135" s="1273">
        <f>CV135+CW135+CY135</f>
        <v>7903.6</v>
      </c>
      <c r="CV135" s="519">
        <v>6138</v>
      </c>
      <c r="CW135" s="2611">
        <v>1751</v>
      </c>
      <c r="CX135" s="2611"/>
      <c r="CY135" s="1030">
        <v>14.6</v>
      </c>
    </row>
    <row r="136" spans="1:103" s="598" customFormat="1">
      <c r="A136" s="577">
        <f t="shared" si="37"/>
        <v>1977</v>
      </c>
      <c r="B136" s="982">
        <f t="shared" si="38"/>
        <v>327787.25953532895</v>
      </c>
      <c r="C136" s="254">
        <f t="shared" si="25"/>
        <v>166489.12638888886</v>
      </c>
      <c r="D136" s="985">
        <f t="shared" si="26"/>
        <v>147493.57638888888</v>
      </c>
      <c r="E136" s="991">
        <f>G136*DataUK1!B136</f>
        <v>18995.55</v>
      </c>
      <c r="F136" s="988">
        <f t="shared" si="27"/>
        <v>0.88590516142399733</v>
      </c>
      <c r="G136" s="972">
        <v>0.15</v>
      </c>
      <c r="H136" s="970">
        <f>I136*DataUK1!B136</f>
        <v>12664.318068021321</v>
      </c>
      <c r="I136" s="972">
        <f t="shared" si="36"/>
        <v>0.10000488062747317</v>
      </c>
      <c r="J136" s="985">
        <v>137100</v>
      </c>
      <c r="K136" s="986">
        <f t="shared" si="28"/>
        <v>0.92953200645508338</v>
      </c>
      <c r="L136" s="970">
        <v>51400</v>
      </c>
      <c r="M136" s="983">
        <f>L136/DataUK1!B136</f>
        <v>0.40588453611503744</v>
      </c>
      <c r="N136" s="970">
        <v>335700</v>
      </c>
      <c r="O136" s="973"/>
      <c r="P136" s="973"/>
      <c r="Q136" s="983">
        <f t="shared" si="48"/>
        <v>0.9764291317704169</v>
      </c>
      <c r="R136" s="973"/>
      <c r="S136" s="973"/>
      <c r="T136" s="973"/>
      <c r="U136" s="973"/>
      <c r="V136" s="973"/>
      <c r="W136" s="973"/>
      <c r="X136" s="973"/>
      <c r="Y136" s="973"/>
      <c r="Z136" s="973"/>
      <c r="AA136" s="973"/>
      <c r="AB136" s="973"/>
      <c r="AC136" s="973"/>
      <c r="AD136" s="973"/>
      <c r="AE136" s="973"/>
      <c r="AF136" s="973"/>
      <c r="AG136" s="973"/>
      <c r="AH136" s="973"/>
      <c r="AI136" s="973"/>
      <c r="AJ136" s="973"/>
      <c r="AK136" s="974"/>
      <c r="AL136" s="974"/>
      <c r="AM136" s="974"/>
      <c r="AN136" s="974"/>
      <c r="AO136" s="974"/>
      <c r="AP136" s="974"/>
      <c r="AQ136" s="974"/>
      <c r="AR136" s="974"/>
      <c r="AS136" s="254">
        <f t="shared" si="29"/>
        <v>200998.13314644009</v>
      </c>
      <c r="AT136" s="519">
        <f t="shared" si="30"/>
        <v>63141.169107227193</v>
      </c>
      <c r="AU136" s="519">
        <f t="shared" si="31"/>
        <v>137856.96403921291</v>
      </c>
      <c r="AV136" s="519"/>
      <c r="AW136" s="519"/>
      <c r="AX136" s="519"/>
      <c r="AY136" s="519"/>
      <c r="BA136" s="519">
        <v>66860</v>
      </c>
      <c r="BB136" s="988">
        <f t="shared" ref="BB136:BD144" si="50">BB135+(BB$145-BB$134)/11</f>
        <v>1.058897086407403</v>
      </c>
      <c r="BC136" s="519">
        <v>151100</v>
      </c>
      <c r="BD136" s="988">
        <f t="shared" si="50"/>
        <v>1.0960635978971665</v>
      </c>
      <c r="BE136" s="982">
        <v>39700</v>
      </c>
      <c r="BF136" s="970">
        <v>29000</v>
      </c>
      <c r="BG136" s="1117">
        <f t="shared" si="34"/>
        <v>0.73047858942065491</v>
      </c>
      <c r="BH136" s="1129">
        <f t="shared" si="45"/>
        <v>178720</v>
      </c>
      <c r="BI136" s="991">
        <v>102300</v>
      </c>
      <c r="BJ136" s="970"/>
      <c r="BK136" s="970"/>
      <c r="BL136" s="970"/>
      <c r="BM136" s="970"/>
      <c r="BN136" s="970"/>
      <c r="BO136" s="970"/>
      <c r="BP136" s="970"/>
      <c r="BQ136" s="1130"/>
      <c r="BR136" s="1139">
        <f>BR135*DataUK1!HT136/DataUK1!HT135+DataUK1!FI135</f>
        <v>5123.4185504151319</v>
      </c>
      <c r="BS136" s="308">
        <f>BR136/DataUK1!B136</f>
        <v>4.0457516763782557E-2</v>
      </c>
      <c r="BT136" s="970"/>
      <c r="BU136" s="970"/>
      <c r="BV136" s="970"/>
      <c r="BW136" s="1130"/>
      <c r="BX136" s="1145">
        <f t="shared" si="43"/>
        <v>31802</v>
      </c>
      <c r="BY136" s="991">
        <f t="shared" si="42"/>
        <v>108222</v>
      </c>
      <c r="BZ136" s="991">
        <v>72285</v>
      </c>
      <c r="CA136" s="991">
        <v>40036</v>
      </c>
      <c r="CB136" s="991">
        <v>80519</v>
      </c>
      <c r="CC136" s="991">
        <f t="shared" si="44"/>
        <v>76420</v>
      </c>
      <c r="CD136" s="991">
        <v>99377</v>
      </c>
      <c r="CE136" s="991">
        <v>7719</v>
      </c>
      <c r="CF136" s="991">
        <v>30676</v>
      </c>
      <c r="CG136" s="1146">
        <v>89</v>
      </c>
      <c r="CH136" s="1129">
        <f t="shared" si="46"/>
        <v>359589.25953532895</v>
      </c>
      <c r="CI136" s="991">
        <f t="shared" si="47"/>
        <v>538309.25953532895</v>
      </c>
      <c r="CJ136" s="991">
        <f t="shared" si="49"/>
        <v>520487.25953532895</v>
      </c>
      <c r="CK136" s="1131">
        <v>528400</v>
      </c>
      <c r="CL136" s="975"/>
      <c r="CM136" s="975"/>
      <c r="CN136" s="975"/>
      <c r="CP136" s="979"/>
      <c r="CQ136" s="1273">
        <f>CR136+CS136</f>
        <v>9504</v>
      </c>
      <c r="CR136" s="1273">
        <v>7857</v>
      </c>
      <c r="CS136" s="1273">
        <v>1647</v>
      </c>
      <c r="CT136" s="577">
        <v>0</v>
      </c>
      <c r="CU136" s="1273">
        <f>CQ136</f>
        <v>9504</v>
      </c>
      <c r="CV136" s="1273">
        <v>6858</v>
      </c>
      <c r="CW136" s="1273">
        <v>2148</v>
      </c>
      <c r="CX136" s="1273">
        <f>CU136-CV136-CW136-CY136</f>
        <v>483.4</v>
      </c>
      <c r="CY136" s="1273">
        <v>14.6</v>
      </c>
    </row>
    <row r="137" spans="1:103" s="598" customFormat="1">
      <c r="A137" s="577">
        <f t="shared" si="37"/>
        <v>1978</v>
      </c>
      <c r="B137" s="982">
        <f t="shared" si="38"/>
        <v>392180.26642897283</v>
      </c>
      <c r="C137" s="254">
        <f t="shared" si="25"/>
        <v>208716.08194444445</v>
      </c>
      <c r="D137" s="985">
        <f t="shared" si="26"/>
        <v>179767.88194444444</v>
      </c>
      <c r="E137" s="991">
        <f>G137*DataUK1!B137</f>
        <v>28948.2</v>
      </c>
      <c r="F137" s="988">
        <f t="shared" si="27"/>
        <v>0.86130345237265726</v>
      </c>
      <c r="G137" s="972">
        <v>0.2</v>
      </c>
      <c r="H137" s="970">
        <f>I137*DataUK1!B137</f>
        <v>14098.591036298987</v>
      </c>
      <c r="I137" s="972">
        <f t="shared" si="36"/>
        <v>9.7405648961241029E-2</v>
      </c>
      <c r="J137" s="985">
        <v>167100</v>
      </c>
      <c r="K137" s="986">
        <f t="shared" si="28"/>
        <v>0.92953200645508338</v>
      </c>
      <c r="L137" s="970">
        <v>60200</v>
      </c>
      <c r="M137" s="983">
        <f>L137/DataUK1!B137</f>
        <v>0.41591532461431108</v>
      </c>
      <c r="N137" s="970">
        <v>399000</v>
      </c>
      <c r="O137" s="973"/>
      <c r="P137" s="973"/>
      <c r="Q137" s="983">
        <f t="shared" si="48"/>
        <v>0.98290793591221259</v>
      </c>
      <c r="R137" s="973"/>
      <c r="S137" s="973"/>
      <c r="T137" s="973"/>
      <c r="U137" s="973"/>
      <c r="V137" s="973"/>
      <c r="W137" s="973"/>
      <c r="X137" s="973"/>
      <c r="Y137" s="973"/>
      <c r="Z137" s="973"/>
      <c r="AA137" s="973"/>
      <c r="AB137" s="973"/>
      <c r="AC137" s="973"/>
      <c r="AD137" s="973"/>
      <c r="AE137" s="973"/>
      <c r="AF137" s="973"/>
      <c r="AG137" s="973"/>
      <c r="AH137" s="973"/>
      <c r="AI137" s="973"/>
      <c r="AJ137" s="973"/>
      <c r="AK137" s="974"/>
      <c r="AL137" s="974"/>
      <c r="AM137" s="974"/>
      <c r="AN137" s="974"/>
      <c r="AO137" s="974"/>
      <c r="AP137" s="974"/>
      <c r="AQ137" s="974"/>
      <c r="AR137" s="974"/>
      <c r="AS137" s="254">
        <f t="shared" si="29"/>
        <v>229164.18448452835</v>
      </c>
      <c r="AT137" s="519">
        <f t="shared" si="30"/>
        <v>84945.441489056102</v>
      </c>
      <c r="AU137" s="519">
        <f t="shared" si="31"/>
        <v>144218.74299547225</v>
      </c>
      <c r="AV137" s="519"/>
      <c r="AW137" s="519"/>
      <c r="AX137" s="519"/>
      <c r="AY137" s="519"/>
      <c r="BA137" s="519">
        <v>92450</v>
      </c>
      <c r="BB137" s="988">
        <f t="shared" si="50"/>
        <v>1.0883456296111045</v>
      </c>
      <c r="BC137" s="519">
        <v>165000</v>
      </c>
      <c r="BD137" s="988">
        <f t="shared" si="50"/>
        <v>1.1440953968457497</v>
      </c>
      <c r="BE137" s="982">
        <v>45700</v>
      </c>
      <c r="BF137" s="970">
        <v>33000</v>
      </c>
      <c r="BG137" s="1117">
        <f t="shared" si="34"/>
        <v>0.72210065645514221</v>
      </c>
      <c r="BH137" s="1129">
        <f t="shared" si="45"/>
        <v>203497</v>
      </c>
      <c r="BI137" s="991">
        <v>114700</v>
      </c>
      <c r="BJ137" s="970"/>
      <c r="BK137" s="970"/>
      <c r="BL137" s="970"/>
      <c r="BM137" s="970"/>
      <c r="BN137" s="970"/>
      <c r="BO137" s="970"/>
      <c r="BP137" s="970"/>
      <c r="BQ137" s="1130"/>
      <c r="BR137" s="1139">
        <f>BR136*DataUK1!HT137/DataUK1!HT136+DataUK1!FI136</f>
        <v>5262.4933861913323</v>
      </c>
      <c r="BS137" s="308">
        <f>BR137/DataUK1!B137</f>
        <v>3.6358000747482279E-2</v>
      </c>
      <c r="BT137" s="970"/>
      <c r="BU137" s="970"/>
      <c r="BV137" s="970"/>
      <c r="BW137" s="1130"/>
      <c r="BX137" s="1145">
        <f t="shared" si="43"/>
        <v>28239</v>
      </c>
      <c r="BY137" s="991">
        <f t="shared" si="42"/>
        <v>117036</v>
      </c>
      <c r="BZ137" s="991">
        <v>82191</v>
      </c>
      <c r="CA137" s="991">
        <v>48849</v>
      </c>
      <c r="CB137" s="991">
        <v>102801</v>
      </c>
      <c r="CC137" s="991">
        <f t="shared" si="44"/>
        <v>88797</v>
      </c>
      <c r="CD137" s="991">
        <v>112701</v>
      </c>
      <c r="CE137" s="991">
        <v>8800</v>
      </c>
      <c r="CF137" s="991">
        <v>32704</v>
      </c>
      <c r="CG137" s="1146">
        <v>86</v>
      </c>
      <c r="CH137" s="1129">
        <f t="shared" si="46"/>
        <v>420419.26642897283</v>
      </c>
      <c r="CI137" s="991">
        <f t="shared" si="47"/>
        <v>623916.26642897283</v>
      </c>
      <c r="CJ137" s="991">
        <f t="shared" si="49"/>
        <v>603280.26642897283</v>
      </c>
      <c r="CK137" s="1131">
        <v>610100</v>
      </c>
      <c r="CL137" s="975"/>
      <c r="CM137" s="975"/>
      <c r="CN137" s="975"/>
      <c r="CP137" s="979"/>
      <c r="CQ137" s="1273">
        <f t="shared" ref="CQ137:CQ166" si="51">CR137+CS137</f>
        <v>10256</v>
      </c>
      <c r="CR137" s="1273">
        <v>8686</v>
      </c>
      <c r="CS137" s="1273">
        <v>1570</v>
      </c>
      <c r="CT137" s="577">
        <v>0</v>
      </c>
      <c r="CU137" s="1273">
        <f t="shared" ref="CU137:CU171" si="52">CQ137</f>
        <v>10256</v>
      </c>
      <c r="CV137" s="1273">
        <v>8019</v>
      </c>
      <c r="CW137" s="1273">
        <v>1636</v>
      </c>
      <c r="CX137" s="1273">
        <f t="shared" ref="CX137:CX166" si="53">CU137-CV137-CW137-CY137</f>
        <v>586.4</v>
      </c>
      <c r="CY137" s="1273">
        <v>14.6</v>
      </c>
    </row>
    <row r="138" spans="1:103" s="598" customFormat="1">
      <c r="A138" s="577">
        <f t="shared" si="37"/>
        <v>1979</v>
      </c>
      <c r="B138" s="982">
        <f t="shared" si="38"/>
        <v>471074.33988363296</v>
      </c>
      <c r="C138" s="254">
        <f t="shared" si="25"/>
        <v>256886.43240740741</v>
      </c>
      <c r="D138" s="985">
        <f t="shared" si="26"/>
        <v>223123.03240740742</v>
      </c>
      <c r="E138" s="991">
        <f>G138*DataUK1!B138</f>
        <v>33763.4</v>
      </c>
      <c r="F138" s="988">
        <f t="shared" si="27"/>
        <v>0.86856682276449249</v>
      </c>
      <c r="G138" s="972">
        <v>0.2</v>
      </c>
      <c r="H138" s="970">
        <f>I138*DataUK1!B138</f>
        <v>16004.934948491515</v>
      </c>
      <c r="I138" s="972">
        <f t="shared" si="36"/>
        <v>9.4806417295008882E-2</v>
      </c>
      <c r="J138" s="985">
        <v>207400</v>
      </c>
      <c r="K138" s="986">
        <f t="shared" si="28"/>
        <v>0.92953200645508338</v>
      </c>
      <c r="L138" s="970">
        <v>70200</v>
      </c>
      <c r="M138" s="983">
        <f>L138/DataUK1!B138</f>
        <v>0.41583489814414426</v>
      </c>
      <c r="N138" s="970">
        <v>480100</v>
      </c>
      <c r="O138" s="973"/>
      <c r="P138" s="973"/>
      <c r="Q138" s="983">
        <f t="shared" si="48"/>
        <v>0.98120045799548627</v>
      </c>
      <c r="R138" s="973"/>
      <c r="S138" s="973"/>
      <c r="T138" s="973"/>
      <c r="U138" s="973"/>
      <c r="V138" s="973"/>
      <c r="W138" s="973"/>
      <c r="X138" s="973"/>
      <c r="Y138" s="973"/>
      <c r="Z138" s="973"/>
      <c r="AA138" s="973"/>
      <c r="AB138" s="973"/>
      <c r="AC138" s="973"/>
      <c r="AD138" s="973"/>
      <c r="AE138" s="973"/>
      <c r="AF138" s="973"/>
      <c r="AG138" s="973"/>
      <c r="AH138" s="973"/>
      <c r="AI138" s="973"/>
      <c r="AJ138" s="973"/>
      <c r="AK138" s="974"/>
      <c r="AL138" s="974"/>
      <c r="AM138" s="974"/>
      <c r="AN138" s="974"/>
      <c r="AO138" s="974"/>
      <c r="AP138" s="974"/>
      <c r="AQ138" s="974"/>
      <c r="AR138" s="974"/>
      <c r="AS138" s="254">
        <f t="shared" si="29"/>
        <v>268187.90747622552</v>
      </c>
      <c r="AT138" s="519">
        <f t="shared" si="30"/>
        <v>110234.96364246556</v>
      </c>
      <c r="AU138" s="519">
        <f t="shared" si="31"/>
        <v>157952.94383375993</v>
      </c>
      <c r="AV138" s="519"/>
      <c r="AW138" s="519"/>
      <c r="AX138" s="519"/>
      <c r="AY138" s="519"/>
      <c r="BA138" s="519">
        <v>123220</v>
      </c>
      <c r="BB138" s="988">
        <f t="shared" si="50"/>
        <v>1.117794172814806</v>
      </c>
      <c r="BC138" s="519">
        <v>188300</v>
      </c>
      <c r="BD138" s="988">
        <f t="shared" si="50"/>
        <v>1.1921271957943329</v>
      </c>
      <c r="BE138" s="982">
        <v>54000</v>
      </c>
      <c r="BF138" s="970">
        <v>39000</v>
      </c>
      <c r="BG138" s="1117">
        <f t="shared" si="34"/>
        <v>0.72222222222222221</v>
      </c>
      <c r="BH138" s="1129">
        <f t="shared" si="45"/>
        <v>252380</v>
      </c>
      <c r="BI138" s="991">
        <v>148400</v>
      </c>
      <c r="BJ138" s="970"/>
      <c r="BK138" s="970"/>
      <c r="BL138" s="970"/>
      <c r="BM138" s="970"/>
      <c r="BN138" s="970"/>
      <c r="BO138" s="970"/>
      <c r="BP138" s="970"/>
      <c r="BQ138" s="1130"/>
      <c r="BR138" s="1139">
        <f>BR137*DataUK1!HT138/DataUK1!HT137+DataUK1!FI137</f>
        <v>6788.3631243722111</v>
      </c>
      <c r="BS138" s="308">
        <f>BR138/DataUK1!B138</f>
        <v>4.0211371629469847E-2</v>
      </c>
      <c r="BT138" s="970"/>
      <c r="BU138" s="970"/>
      <c r="BV138" s="970"/>
      <c r="BW138" s="1130"/>
      <c r="BX138" s="1145">
        <f t="shared" si="43"/>
        <v>42084</v>
      </c>
      <c r="BY138" s="991">
        <f t="shared" si="42"/>
        <v>146064</v>
      </c>
      <c r="BZ138" s="991">
        <v>97316</v>
      </c>
      <c r="CA138" s="991">
        <v>51026</v>
      </c>
      <c r="CB138" s="991">
        <v>106258</v>
      </c>
      <c r="CC138" s="991">
        <f t="shared" si="44"/>
        <v>103980</v>
      </c>
      <c r="CD138" s="991">
        <v>128657</v>
      </c>
      <c r="CE138" s="991">
        <v>10891</v>
      </c>
      <c r="CF138" s="991">
        <v>35568</v>
      </c>
      <c r="CG138" s="1146">
        <v>84</v>
      </c>
      <c r="CH138" s="1129">
        <f t="shared" si="46"/>
        <v>513158.33988363296</v>
      </c>
      <c r="CI138" s="991">
        <f t="shared" si="47"/>
        <v>765538.33988363296</v>
      </c>
      <c r="CJ138" s="991">
        <f t="shared" si="49"/>
        <v>741474.33988363296</v>
      </c>
      <c r="CK138" s="1131">
        <v>750500</v>
      </c>
      <c r="CL138" s="975"/>
      <c r="CM138" s="975"/>
      <c r="CN138" s="975"/>
      <c r="CP138" s="979"/>
      <c r="CQ138" s="1273">
        <f t="shared" si="51"/>
        <v>11373</v>
      </c>
      <c r="CR138" s="1273">
        <v>9933</v>
      </c>
      <c r="CS138" s="1273">
        <v>1440</v>
      </c>
      <c r="CT138" s="577">
        <v>0</v>
      </c>
      <c r="CU138" s="1273">
        <f t="shared" si="52"/>
        <v>11373</v>
      </c>
      <c r="CV138" s="1273">
        <v>9122</v>
      </c>
      <c r="CW138" s="1273">
        <v>1547</v>
      </c>
      <c r="CX138" s="1273">
        <f t="shared" si="53"/>
        <v>689.4</v>
      </c>
      <c r="CY138" s="1273">
        <v>14.6</v>
      </c>
    </row>
    <row r="139" spans="1:103" s="598" customFormat="1">
      <c r="A139" s="577">
        <f t="shared" si="37"/>
        <v>1980</v>
      </c>
      <c r="B139" s="982">
        <f t="shared" si="38"/>
        <v>585286.0181540281</v>
      </c>
      <c r="C139" s="254">
        <f t="shared" si="25"/>
        <v>334138.51537037041</v>
      </c>
      <c r="D139" s="985">
        <f t="shared" si="26"/>
        <v>286810.99537037039</v>
      </c>
      <c r="E139" s="991">
        <f>G139*DataUK1!B139</f>
        <v>47327.520000000004</v>
      </c>
      <c r="F139" s="988">
        <f t="shared" si="27"/>
        <v>0.85835957896819948</v>
      </c>
      <c r="G139" s="972">
        <v>0.24</v>
      </c>
      <c r="H139" s="970">
        <f>I139*DataUK1!B139</f>
        <v>18183.072591623517</v>
      </c>
      <c r="I139" s="972">
        <f t="shared" si="36"/>
        <v>9.2207185628776736E-2</v>
      </c>
      <c r="J139" s="985">
        <v>266600</v>
      </c>
      <c r="K139" s="986">
        <f t="shared" si="28"/>
        <v>0.92953200645508338</v>
      </c>
      <c r="L139" s="970">
        <v>78800</v>
      </c>
      <c r="M139" s="983">
        <f>L139/DataUK1!B139</f>
        <v>0.39959837320865316</v>
      </c>
      <c r="N139" s="970">
        <v>602900</v>
      </c>
      <c r="O139" s="973"/>
      <c r="P139" s="973"/>
      <c r="Q139" s="983">
        <f t="shared" si="48"/>
        <v>0.97078457149449016</v>
      </c>
      <c r="R139" s="973"/>
      <c r="S139" s="973"/>
      <c r="T139" s="973"/>
      <c r="U139" s="973"/>
      <c r="V139" s="973"/>
      <c r="W139" s="973"/>
      <c r="X139" s="973"/>
      <c r="Y139" s="973"/>
      <c r="Z139" s="973"/>
      <c r="AA139" s="973"/>
      <c r="AB139" s="973"/>
      <c r="AC139" s="973"/>
      <c r="AD139" s="973"/>
      <c r="AE139" s="973"/>
      <c r="AF139" s="973"/>
      <c r="AG139" s="973"/>
      <c r="AH139" s="973"/>
      <c r="AI139" s="973"/>
      <c r="AJ139" s="973"/>
      <c r="AK139" s="974"/>
      <c r="AL139" s="974"/>
      <c r="AM139" s="974"/>
      <c r="AN139" s="974"/>
      <c r="AO139" s="974"/>
      <c r="AP139" s="974"/>
      <c r="AQ139" s="974"/>
      <c r="AR139" s="974"/>
      <c r="AS139" s="254">
        <f t="shared" si="29"/>
        <v>316347.50278365763</v>
      </c>
      <c r="AT139" s="519">
        <f t="shared" si="30"/>
        <v>134757.88326339304</v>
      </c>
      <c r="AU139" s="519">
        <f t="shared" si="31"/>
        <v>181589.61952026462</v>
      </c>
      <c r="AV139" s="519"/>
      <c r="AW139" s="519"/>
      <c r="AX139" s="519"/>
      <c r="AY139" s="519"/>
      <c r="BA139" s="519">
        <v>154600</v>
      </c>
      <c r="BB139" s="988">
        <f t="shared" si="50"/>
        <v>1.1472427160185075</v>
      </c>
      <c r="BC139" s="519">
        <v>225200</v>
      </c>
      <c r="BD139" s="988">
        <f t="shared" si="50"/>
        <v>1.2401589947429161</v>
      </c>
      <c r="BE139" s="982">
        <v>65200</v>
      </c>
      <c r="BF139" s="970">
        <v>45000</v>
      </c>
      <c r="BG139" s="1117">
        <f t="shared" ref="BG139:BG170" si="54">BF139/BE139</f>
        <v>0.69018404907975461</v>
      </c>
      <c r="BH139" s="1129">
        <f t="shared" si="45"/>
        <v>307369</v>
      </c>
      <c r="BI139" s="991">
        <v>181000</v>
      </c>
      <c r="BJ139" s="970"/>
      <c r="BK139" s="970"/>
      <c r="BL139" s="970"/>
      <c r="BM139" s="970"/>
      <c r="BN139" s="970"/>
      <c r="BO139" s="970"/>
      <c r="BP139" s="970"/>
      <c r="BQ139" s="1130"/>
      <c r="BR139" s="1139">
        <f>BR138*DataUK1!HT139/DataUK1!HT138+DataUK1!FI138</f>
        <v>7007.3572970780851</v>
      </c>
      <c r="BS139" s="308">
        <f>BR139/DataUK1!B139</f>
        <v>3.5534626604114057E-2</v>
      </c>
      <c r="BT139" s="970"/>
      <c r="BU139" s="970"/>
      <c r="BV139" s="970"/>
      <c r="BW139" s="1130"/>
      <c r="BX139" s="1145">
        <f t="shared" si="43"/>
        <v>64824</v>
      </c>
      <c r="BY139" s="991">
        <f t="shared" si="42"/>
        <v>191193</v>
      </c>
      <c r="BZ139" s="991">
        <v>122947</v>
      </c>
      <c r="CA139" s="991">
        <v>60229</v>
      </c>
      <c r="CB139" s="991">
        <v>118352</v>
      </c>
      <c r="CC139" s="991">
        <f t="shared" si="44"/>
        <v>126369</v>
      </c>
      <c r="CD139" s="991">
        <v>153011</v>
      </c>
      <c r="CE139" s="991">
        <v>12848</v>
      </c>
      <c r="CF139" s="991">
        <v>39490</v>
      </c>
      <c r="CG139" s="1146">
        <v>125</v>
      </c>
      <c r="CH139" s="1129">
        <f t="shared" si="46"/>
        <v>650110.0181540281</v>
      </c>
      <c r="CI139" s="991">
        <f t="shared" si="47"/>
        <v>957479.0181540281</v>
      </c>
      <c r="CJ139" s="991">
        <f t="shared" si="49"/>
        <v>927386.0181540281</v>
      </c>
      <c r="CK139" s="1131">
        <v>945000</v>
      </c>
      <c r="CL139" s="975"/>
      <c r="CM139" s="975"/>
      <c r="CN139" s="975"/>
      <c r="CP139" s="979"/>
      <c r="CQ139" s="1273">
        <f t="shared" si="51"/>
        <v>12088</v>
      </c>
      <c r="CR139" s="1273">
        <v>10097</v>
      </c>
      <c r="CS139" s="1273">
        <v>1991</v>
      </c>
      <c r="CT139" s="577">
        <v>0</v>
      </c>
      <c r="CU139" s="1273">
        <f t="shared" si="52"/>
        <v>12088</v>
      </c>
      <c r="CV139" s="1273">
        <v>10089</v>
      </c>
      <c r="CW139" s="1273">
        <v>1288</v>
      </c>
      <c r="CX139" s="1273">
        <f t="shared" si="53"/>
        <v>696.4</v>
      </c>
      <c r="CY139" s="1273">
        <v>14.6</v>
      </c>
    </row>
    <row r="140" spans="1:103" s="598" customFormat="1">
      <c r="A140" s="577">
        <f t="shared" si="37"/>
        <v>1981</v>
      </c>
      <c r="B140" s="982">
        <f t="shared" si="38"/>
        <v>633944.54167815903</v>
      </c>
      <c r="C140" s="254">
        <f t="shared" si="25"/>
        <v>359147.82989826292</v>
      </c>
      <c r="D140" s="985">
        <f t="shared" si="26"/>
        <v>298107.00231481483</v>
      </c>
      <c r="E140" s="991">
        <f>G140*DataUK1!B140</f>
        <v>61040.827583448081</v>
      </c>
      <c r="F140" s="988">
        <f t="shared" si="27"/>
        <v>0.83003982621657679</v>
      </c>
      <c r="G140" s="972">
        <f t="shared" si="41"/>
        <v>0.2827076747027677</v>
      </c>
      <c r="H140" s="970">
        <f>I140*DataUK1!B140</f>
        <v>19347.701379822811</v>
      </c>
      <c r="I140" s="972">
        <f t="shared" si="36"/>
        <v>8.960795396254459E-2</v>
      </c>
      <c r="J140" s="985">
        <v>277100</v>
      </c>
      <c r="K140" s="986">
        <f t="shared" si="28"/>
        <v>0.92953200645508338</v>
      </c>
      <c r="L140" s="970">
        <v>84200</v>
      </c>
      <c r="M140" s="983">
        <f>L140/DataUK1!B140</f>
        <v>0.38996827455248601</v>
      </c>
      <c r="N140" s="970">
        <v>689600</v>
      </c>
      <c r="O140" s="973"/>
      <c r="P140" s="973"/>
      <c r="Q140" s="983">
        <f t="shared" si="48"/>
        <v>0.91929312888364134</v>
      </c>
      <c r="R140" s="973"/>
      <c r="S140" s="973"/>
      <c r="T140" s="973"/>
      <c r="U140" s="973"/>
      <c r="V140" s="973"/>
      <c r="W140" s="973"/>
      <c r="X140" s="973"/>
      <c r="Y140" s="973"/>
      <c r="Z140" s="973"/>
      <c r="AA140" s="973"/>
      <c r="AB140" s="973"/>
      <c r="AC140" s="973"/>
      <c r="AD140" s="973"/>
      <c r="AE140" s="973"/>
      <c r="AF140" s="973"/>
      <c r="AG140" s="973"/>
      <c r="AH140" s="973"/>
      <c r="AI140" s="973"/>
      <c r="AJ140" s="973"/>
      <c r="AK140" s="974"/>
      <c r="AL140" s="974"/>
      <c r="AM140" s="974"/>
      <c r="AN140" s="974"/>
      <c r="AO140" s="974"/>
      <c r="AP140" s="974"/>
      <c r="AQ140" s="974"/>
      <c r="AR140" s="974"/>
      <c r="AS140" s="254">
        <f t="shared" si="29"/>
        <v>351296.71177989617</v>
      </c>
      <c r="AT140" s="519">
        <f t="shared" si="30"/>
        <v>158002.3634431455</v>
      </c>
      <c r="AU140" s="519">
        <f t="shared" si="31"/>
        <v>193294.34833675067</v>
      </c>
      <c r="AV140" s="519"/>
      <c r="AW140" s="519"/>
      <c r="AX140" s="519"/>
      <c r="AY140" s="519"/>
      <c r="BA140" s="519">
        <v>185920</v>
      </c>
      <c r="BB140" s="988">
        <f t="shared" si="50"/>
        <v>1.176691259222209</v>
      </c>
      <c r="BC140" s="519">
        <v>249000</v>
      </c>
      <c r="BD140" s="988">
        <f t="shared" si="50"/>
        <v>1.2881907936914994</v>
      </c>
      <c r="BE140" s="982">
        <v>76500</v>
      </c>
      <c r="BF140" s="970">
        <v>53000</v>
      </c>
      <c r="BG140" s="1117">
        <f t="shared" si="54"/>
        <v>0.69281045751633985</v>
      </c>
      <c r="BH140" s="1129">
        <f t="shared" si="45"/>
        <v>339862</v>
      </c>
      <c r="BI140" s="991">
        <v>189900</v>
      </c>
      <c r="BJ140" s="970"/>
      <c r="BK140" s="970"/>
      <c r="BL140" s="970"/>
      <c r="BM140" s="970"/>
      <c r="BN140" s="970"/>
      <c r="BO140" s="970"/>
      <c r="BP140" s="970"/>
      <c r="BQ140" s="1130"/>
      <c r="BR140" s="1139">
        <f>BR139*DataUK1!HT140/DataUK1!HT139+DataUK1!FI139</f>
        <v>9579.098986113142</v>
      </c>
      <c r="BS140" s="308">
        <f>BR140/DataUK1!B140</f>
        <v>4.4365138995035747E-2</v>
      </c>
      <c r="BT140" s="970"/>
      <c r="BU140" s="970"/>
      <c r="BV140" s="970"/>
      <c r="BW140" s="1130"/>
      <c r="BX140" s="1145">
        <f t="shared" si="43"/>
        <v>78938</v>
      </c>
      <c r="BY140" s="991">
        <f t="shared" si="42"/>
        <v>228900</v>
      </c>
      <c r="BZ140" s="991">
        <v>148317</v>
      </c>
      <c r="CA140" s="991">
        <v>66651</v>
      </c>
      <c r="CB140" s="991">
        <v>136030</v>
      </c>
      <c r="CC140" s="991">
        <f t="shared" si="44"/>
        <v>149962</v>
      </c>
      <c r="CD140" s="991">
        <v>179755</v>
      </c>
      <c r="CE140" s="991">
        <v>12323</v>
      </c>
      <c r="CF140" s="991">
        <v>42116</v>
      </c>
      <c r="CG140" s="1146">
        <v>125</v>
      </c>
      <c r="CH140" s="1129">
        <f t="shared" si="46"/>
        <v>712882.54167815903</v>
      </c>
      <c r="CI140" s="991">
        <f t="shared" si="47"/>
        <v>1052744.541678159</v>
      </c>
      <c r="CJ140" s="991">
        <f t="shared" si="49"/>
        <v>1018144.541678159</v>
      </c>
      <c r="CK140" s="1131">
        <v>1073800</v>
      </c>
      <c r="CL140" s="975"/>
      <c r="CM140" s="975"/>
      <c r="CN140" s="975"/>
      <c r="CP140" s="979"/>
      <c r="CQ140" s="1273">
        <f t="shared" si="51"/>
        <v>11772</v>
      </c>
      <c r="CR140" s="1273">
        <v>8876</v>
      </c>
      <c r="CS140" s="1273">
        <v>2896</v>
      </c>
      <c r="CT140" s="577">
        <v>0</v>
      </c>
      <c r="CU140" s="1273">
        <f t="shared" si="52"/>
        <v>11772</v>
      </c>
      <c r="CV140" s="1273">
        <v>10611</v>
      </c>
      <c r="CW140" s="1273">
        <v>520</v>
      </c>
      <c r="CX140" s="1273">
        <f t="shared" si="53"/>
        <v>626.4</v>
      </c>
      <c r="CY140" s="1273">
        <v>14.6</v>
      </c>
    </row>
    <row r="141" spans="1:103" s="598" customFormat="1">
      <c r="A141" s="577">
        <f t="shared" ref="A141:A170" si="55">A140+1</f>
        <v>1982</v>
      </c>
      <c r="B141" s="982">
        <f t="shared" si="38"/>
        <v>704073.91004372097</v>
      </c>
      <c r="C141" s="254">
        <f t="shared" si="25"/>
        <v>382981.88407407404</v>
      </c>
      <c r="D141" s="985">
        <f t="shared" si="26"/>
        <v>325755.32407407404</v>
      </c>
      <c r="E141" s="991">
        <f>G141*DataUK1!B141</f>
        <v>57226.559999999998</v>
      </c>
      <c r="F141" s="988">
        <f t="shared" si="27"/>
        <v>0.85057632650600368</v>
      </c>
      <c r="G141" s="972">
        <v>0.24</v>
      </c>
      <c r="H141" s="970">
        <f>I141*DataUK1!B141</f>
        <v>20746.707779221924</v>
      </c>
      <c r="I141" s="972">
        <f t="shared" si="36"/>
        <v>8.7008722296312443E-2</v>
      </c>
      <c r="J141" s="985">
        <v>302800</v>
      </c>
      <c r="K141" s="986">
        <f t="shared" si="28"/>
        <v>0.92953200645508338</v>
      </c>
      <c r="L141" s="970">
        <v>90100</v>
      </c>
      <c r="M141" s="983">
        <f>L141/DataUK1!B141</f>
        <v>0.3778665011491168</v>
      </c>
      <c r="N141" s="970">
        <v>722100</v>
      </c>
      <c r="O141" s="973"/>
      <c r="P141" s="973"/>
      <c r="Q141" s="983">
        <f t="shared" si="48"/>
        <v>0.97503657394228083</v>
      </c>
      <c r="R141" s="973"/>
      <c r="S141" s="973"/>
      <c r="T141" s="973"/>
      <c r="U141" s="973"/>
      <c r="V141" s="973"/>
      <c r="W141" s="973"/>
      <c r="X141" s="973"/>
      <c r="Y141" s="973"/>
      <c r="Z141" s="973"/>
      <c r="AA141" s="973"/>
      <c r="AB141" s="973"/>
      <c r="AC141" s="973"/>
      <c r="AD141" s="973"/>
      <c r="AE141" s="973"/>
      <c r="AF141" s="973"/>
      <c r="AG141" s="973"/>
      <c r="AH141" s="973"/>
      <c r="AI141" s="973"/>
      <c r="AJ141" s="973"/>
      <c r="AK141" s="974"/>
      <c r="AL141" s="974"/>
      <c r="AM141" s="974"/>
      <c r="AN141" s="974"/>
      <c r="AO141" s="974"/>
      <c r="AP141" s="974"/>
      <c r="AQ141" s="974"/>
      <c r="AR141" s="974"/>
      <c r="AS141" s="254">
        <f t="shared" si="29"/>
        <v>412592.02596964693</v>
      </c>
      <c r="AT141" s="519">
        <f t="shared" si="30"/>
        <v>185534.0480016587</v>
      </c>
      <c r="AU141" s="519">
        <f t="shared" si="31"/>
        <v>227057.97796798823</v>
      </c>
      <c r="AV141" s="519"/>
      <c r="AW141" s="519"/>
      <c r="AX141" s="519"/>
      <c r="AY141" s="519"/>
      <c r="BA141" s="519">
        <v>223780</v>
      </c>
      <c r="BB141" s="988">
        <f t="shared" si="50"/>
        <v>1.2061398024259105</v>
      </c>
      <c r="BC141" s="519">
        <v>303400</v>
      </c>
      <c r="BD141" s="988">
        <f t="shared" si="50"/>
        <v>1.3362225926400826</v>
      </c>
      <c r="BE141" s="982">
        <v>91500</v>
      </c>
      <c r="BF141" s="970">
        <v>62000</v>
      </c>
      <c r="BG141" s="1117">
        <f t="shared" si="54"/>
        <v>0.67759562841530052</v>
      </c>
      <c r="BH141" s="1129">
        <f t="shared" si="45"/>
        <v>374791</v>
      </c>
      <c r="BI141" s="991">
        <v>215800</v>
      </c>
      <c r="BJ141" s="970"/>
      <c r="BK141" s="970"/>
      <c r="BL141" s="970"/>
      <c r="BM141" s="970"/>
      <c r="BN141" s="970"/>
      <c r="BO141" s="970"/>
      <c r="BP141" s="970"/>
      <c r="BQ141" s="1130"/>
      <c r="BR141" s="1139">
        <f>BR140*DataUK1!HT141/DataUK1!HT140+DataUK1!FI140</f>
        <v>15249.875644578477</v>
      </c>
      <c r="BS141" s="308">
        <f>BR141/DataUK1!B141</f>
        <v>6.3955795258335196E-2</v>
      </c>
      <c r="BT141" s="970"/>
      <c r="BU141" s="970"/>
      <c r="BV141" s="970"/>
      <c r="BW141" s="1130"/>
      <c r="BX141" s="1145">
        <f t="shared" si="43"/>
        <v>95080</v>
      </c>
      <c r="BY141" s="991">
        <f t="shared" si="42"/>
        <v>254071</v>
      </c>
      <c r="BZ141" s="991">
        <v>156363</v>
      </c>
      <c r="CA141" s="991">
        <v>81183</v>
      </c>
      <c r="CB141" s="991">
        <v>142466</v>
      </c>
      <c r="CC141" s="991">
        <f t="shared" si="44"/>
        <v>158991</v>
      </c>
      <c r="CD141" s="991">
        <v>186383</v>
      </c>
      <c r="CE141" s="991">
        <v>13326</v>
      </c>
      <c r="CF141" s="991">
        <v>40718</v>
      </c>
      <c r="CG141" s="1146">
        <v>15</v>
      </c>
      <c r="CH141" s="1129">
        <f t="shared" si="46"/>
        <v>799153.91004372097</v>
      </c>
      <c r="CI141" s="991">
        <f t="shared" si="47"/>
        <v>1173944.9100437211</v>
      </c>
      <c r="CJ141" s="991">
        <f t="shared" si="49"/>
        <v>1126673.9100437211</v>
      </c>
      <c r="CK141" s="1131">
        <v>1144700</v>
      </c>
      <c r="CL141" s="975"/>
      <c r="CM141" s="975"/>
      <c r="CN141" s="975"/>
      <c r="CO141" s="975"/>
      <c r="CP141" s="979"/>
      <c r="CQ141" s="1273">
        <f t="shared" si="51"/>
        <v>13040</v>
      </c>
      <c r="CR141" s="1273">
        <v>6762</v>
      </c>
      <c r="CS141" s="1273">
        <v>6278</v>
      </c>
      <c r="CT141" s="577">
        <v>0</v>
      </c>
      <c r="CU141" s="1273">
        <f t="shared" si="52"/>
        <v>13040</v>
      </c>
      <c r="CV141" s="1273">
        <v>11001</v>
      </c>
      <c r="CW141" s="1273">
        <v>522</v>
      </c>
      <c r="CX141" s="1273">
        <f t="shared" si="53"/>
        <v>1502.4</v>
      </c>
      <c r="CY141" s="1273">
        <v>14.6</v>
      </c>
    </row>
    <row r="142" spans="1:103" s="598" customFormat="1">
      <c r="A142" s="577">
        <f t="shared" si="55"/>
        <v>1983</v>
      </c>
      <c r="B142" s="982">
        <f t="shared" si="38"/>
        <v>795115.99551905342</v>
      </c>
      <c r="C142" s="254">
        <f t="shared" si="25"/>
        <v>438499.63259259256</v>
      </c>
      <c r="D142" s="985">
        <f t="shared" si="26"/>
        <v>375242.59259259258</v>
      </c>
      <c r="E142" s="991">
        <f>G142*DataUK1!B142</f>
        <v>63257.04</v>
      </c>
      <c r="F142" s="988">
        <f t="shared" si="27"/>
        <v>0.85574209121682043</v>
      </c>
      <c r="G142" s="972">
        <v>0.24</v>
      </c>
      <c r="H142" s="970">
        <f>I142*DataUK1!B142</f>
        <v>22247.893854860893</v>
      </c>
      <c r="I142" s="972">
        <f t="shared" si="36"/>
        <v>8.4409490630080297E-2</v>
      </c>
      <c r="J142" s="985">
        <v>348800</v>
      </c>
      <c r="K142" s="986">
        <f t="shared" si="28"/>
        <v>0.92953200645508338</v>
      </c>
      <c r="L142" s="970">
        <v>97600</v>
      </c>
      <c r="M142" s="983">
        <f>L142/DataUK1!B142</f>
        <v>0.37029870509274543</v>
      </c>
      <c r="N142" s="970">
        <v>812300</v>
      </c>
      <c r="O142" s="973"/>
      <c r="P142" s="973"/>
      <c r="Q142" s="983">
        <f t="shared" si="48"/>
        <v>0.97884524870005341</v>
      </c>
      <c r="R142" s="973"/>
      <c r="S142" s="973"/>
      <c r="T142" s="973"/>
      <c r="U142" s="973"/>
      <c r="V142" s="973"/>
      <c r="W142" s="973"/>
      <c r="X142" s="973"/>
      <c r="Y142" s="973"/>
      <c r="Z142" s="973"/>
      <c r="AA142" s="973"/>
      <c r="AB142" s="973"/>
      <c r="AC142" s="973"/>
      <c r="AD142" s="973"/>
      <c r="AE142" s="973"/>
      <c r="AF142" s="973"/>
      <c r="AG142" s="973"/>
      <c r="AH142" s="973"/>
      <c r="AI142" s="973"/>
      <c r="AJ142" s="973"/>
      <c r="AK142" s="974"/>
      <c r="AL142" s="974"/>
      <c r="AM142" s="974"/>
      <c r="AN142" s="974"/>
      <c r="AO142" s="974"/>
      <c r="AP142" s="974"/>
      <c r="AQ142" s="974"/>
      <c r="AR142" s="974"/>
      <c r="AS142" s="254">
        <f t="shared" si="29"/>
        <v>466516.36292646092</v>
      </c>
      <c r="AT142" s="519">
        <f t="shared" si="30"/>
        <v>215767.65509563795</v>
      </c>
      <c r="AU142" s="519">
        <f t="shared" si="31"/>
        <v>250748.707830823</v>
      </c>
      <c r="AV142" s="519"/>
      <c r="AW142" s="519"/>
      <c r="AX142" s="519"/>
      <c r="AY142" s="519"/>
      <c r="BA142" s="519">
        <v>266600</v>
      </c>
      <c r="BB142" s="988">
        <f t="shared" si="50"/>
        <v>1.235588345629612</v>
      </c>
      <c r="BC142" s="519">
        <v>347100</v>
      </c>
      <c r="BD142" s="988">
        <f t="shared" si="50"/>
        <v>1.3842543915886658</v>
      </c>
      <c r="BE142" s="982">
        <v>109900</v>
      </c>
      <c r="BF142" s="970">
        <v>76000</v>
      </c>
      <c r="BG142" s="1117">
        <f t="shared" si="54"/>
        <v>0.69153776160145586</v>
      </c>
      <c r="BH142" s="1129">
        <f t="shared" si="45"/>
        <v>392582</v>
      </c>
      <c r="BI142" s="991">
        <v>225800</v>
      </c>
      <c r="BJ142" s="970"/>
      <c r="BK142" s="970"/>
      <c r="BL142" s="970"/>
      <c r="BM142" s="970"/>
      <c r="BN142" s="970"/>
      <c r="BO142" s="970"/>
      <c r="BP142" s="970"/>
      <c r="BQ142" s="1130"/>
      <c r="BR142" s="1139">
        <f>BR141*DataUK1!HT142/DataUK1!HT141+DataUK1!FI141</f>
        <v>18182.542223777302</v>
      </c>
      <c r="BS142" s="308">
        <f>BR142/DataUK1!B142</f>
        <v>6.8985367220890395E-2</v>
      </c>
      <c r="BT142" s="970"/>
      <c r="BU142" s="970"/>
      <c r="BV142" s="970"/>
      <c r="BW142" s="1130"/>
      <c r="BX142" s="1145">
        <f t="shared" si="43"/>
        <v>80816</v>
      </c>
      <c r="BY142" s="991">
        <f t="shared" si="42"/>
        <v>247598</v>
      </c>
      <c r="BZ142" s="991">
        <v>163598</v>
      </c>
      <c r="CA142" s="991">
        <v>85308</v>
      </c>
      <c r="CB142" s="991">
        <v>168090</v>
      </c>
      <c r="CC142" s="991">
        <f t="shared" si="44"/>
        <v>166782</v>
      </c>
      <c r="CD142" s="991">
        <v>194397</v>
      </c>
      <c r="CE142" s="991">
        <v>13861</v>
      </c>
      <c r="CF142" s="991">
        <v>41476</v>
      </c>
      <c r="CG142" s="1146">
        <v>20</v>
      </c>
      <c r="CH142" s="1129">
        <f t="shared" si="46"/>
        <v>875931.99551905342</v>
      </c>
      <c r="CI142" s="991">
        <f t="shared" si="47"/>
        <v>1268513.9955190534</v>
      </c>
      <c r="CJ142" s="991">
        <f t="shared" si="49"/>
        <v>1215415.9955190534</v>
      </c>
      <c r="CK142" s="1131">
        <v>1232600</v>
      </c>
      <c r="CL142" s="975"/>
      <c r="CM142" s="975"/>
      <c r="CN142" s="975"/>
      <c r="CO142" s="975"/>
      <c r="CP142" s="979"/>
      <c r="CQ142" s="1273">
        <f t="shared" si="51"/>
        <v>14025</v>
      </c>
      <c r="CR142" s="1273">
        <v>3673</v>
      </c>
      <c r="CS142" s="1273">
        <v>10352</v>
      </c>
      <c r="CT142" s="577">
        <v>0</v>
      </c>
      <c r="CU142" s="1273">
        <f t="shared" si="52"/>
        <v>14025</v>
      </c>
      <c r="CV142" s="1273">
        <v>11271</v>
      </c>
      <c r="CW142" s="1273">
        <v>688</v>
      </c>
      <c r="CX142" s="1273">
        <f t="shared" si="53"/>
        <v>2051.4</v>
      </c>
      <c r="CY142" s="1273">
        <v>14.6</v>
      </c>
    </row>
    <row r="143" spans="1:103" s="598" customFormat="1">
      <c r="A143" s="577">
        <f t="shared" si="55"/>
        <v>1984</v>
      </c>
      <c r="B143" s="982">
        <f t="shared" ref="B143:B170" si="56">C143+AS143-BE143</f>
        <v>902774.47048208967</v>
      </c>
      <c r="C143" s="254">
        <f t="shared" si="25"/>
        <v>500592.88335854711</v>
      </c>
      <c r="D143" s="985">
        <f t="shared" si="26"/>
        <v>420211.45833333331</v>
      </c>
      <c r="E143" s="991">
        <f>G143*DataUK1!B143</f>
        <v>80381.42502521383</v>
      </c>
      <c r="F143" s="988">
        <f t="shared" si="27"/>
        <v>0.83942755141478709</v>
      </c>
      <c r="G143" s="972">
        <f t="shared" si="41"/>
        <v>0.2827076747027677</v>
      </c>
      <c r="H143" s="970">
        <f>I143*DataUK1!B143</f>
        <v>23260.865500414053</v>
      </c>
      <c r="I143" s="972">
        <f t="shared" si="36"/>
        <v>8.1810258963848151E-2</v>
      </c>
      <c r="J143" s="985">
        <v>390600</v>
      </c>
      <c r="K143" s="986">
        <f t="shared" si="28"/>
        <v>0.92953200645508338</v>
      </c>
      <c r="L143" s="970">
        <v>104600</v>
      </c>
      <c r="M143" s="983">
        <f>L143/DataUK1!B143</f>
        <v>0.3678862717926894</v>
      </c>
      <c r="N143" s="970">
        <v>936700</v>
      </c>
      <c r="O143" s="973"/>
      <c r="P143" s="973"/>
      <c r="Q143" s="983">
        <f t="shared" si="48"/>
        <v>0.9637818623701182</v>
      </c>
      <c r="R143" s="973"/>
      <c r="S143" s="973"/>
      <c r="T143" s="973"/>
      <c r="U143" s="973"/>
      <c r="V143" s="973"/>
      <c r="W143" s="973"/>
      <c r="X143" s="973"/>
      <c r="Y143" s="973"/>
      <c r="Z143" s="973"/>
      <c r="AA143" s="973"/>
      <c r="AB143" s="973"/>
      <c r="AC143" s="973"/>
      <c r="AD143" s="973"/>
      <c r="AE143" s="973"/>
      <c r="AF143" s="973"/>
      <c r="AG143" s="973"/>
      <c r="AH143" s="973"/>
      <c r="AI143" s="973"/>
      <c r="AJ143" s="973"/>
      <c r="AK143" s="974"/>
      <c r="AL143" s="974"/>
      <c r="AM143" s="974"/>
      <c r="AN143" s="974"/>
      <c r="AO143" s="974"/>
      <c r="AP143" s="974"/>
      <c r="AQ143" s="974"/>
      <c r="AR143" s="974"/>
      <c r="AS143" s="254">
        <f t="shared" si="29"/>
        <v>532481.58712354256</v>
      </c>
      <c r="AT143" s="519">
        <f t="shared" si="30"/>
        <v>245597.58117926141</v>
      </c>
      <c r="AU143" s="519">
        <f t="shared" si="31"/>
        <v>286884.00594428118</v>
      </c>
      <c r="AV143" s="519"/>
      <c r="AW143" s="519"/>
      <c r="AX143" s="519"/>
      <c r="AY143" s="519"/>
      <c r="BA143" s="519">
        <v>310690</v>
      </c>
      <c r="BB143" s="988">
        <f t="shared" si="50"/>
        <v>1.2650368888333134</v>
      </c>
      <c r="BC143" s="519">
        <v>410900</v>
      </c>
      <c r="BD143" s="988">
        <f t="shared" si="50"/>
        <v>1.432286190537249</v>
      </c>
      <c r="BE143" s="982">
        <v>130300</v>
      </c>
      <c r="BF143" s="970">
        <v>92000</v>
      </c>
      <c r="BG143" s="1117">
        <f t="shared" si="54"/>
        <v>0.70606293169608592</v>
      </c>
      <c r="BH143" s="1129">
        <f t="shared" si="45"/>
        <v>403765</v>
      </c>
      <c r="BI143" s="991">
        <v>225100</v>
      </c>
      <c r="BJ143" s="970"/>
      <c r="BK143" s="970"/>
      <c r="BL143" s="970"/>
      <c r="BM143" s="970"/>
      <c r="BN143" s="970"/>
      <c r="BO143" s="970"/>
      <c r="BP143" s="970"/>
      <c r="BQ143" s="1130"/>
      <c r="BR143" s="1139">
        <f>BR142*DataUK1!HT143/DataUK1!HT142+DataUK1!FI142</f>
        <v>20346.685032303354</v>
      </c>
      <c r="BS143" s="308">
        <f>BR143/DataUK1!B143</f>
        <v>7.1560861375470339E-2</v>
      </c>
      <c r="BT143" s="970"/>
      <c r="BU143" s="970"/>
      <c r="BV143" s="970"/>
      <c r="BW143" s="1130"/>
      <c r="BX143" s="1145">
        <f t="shared" si="43"/>
        <v>82779</v>
      </c>
      <c r="BY143" s="991">
        <f t="shared" si="42"/>
        <v>261444</v>
      </c>
      <c r="BZ143" s="991">
        <v>174877</v>
      </c>
      <c r="CA143" s="991">
        <v>93410</v>
      </c>
      <c r="CB143" s="991">
        <v>185508</v>
      </c>
      <c r="CC143" s="991">
        <f t="shared" si="44"/>
        <v>178665</v>
      </c>
      <c r="CD143" s="991">
        <v>207323</v>
      </c>
      <c r="CE143" s="991">
        <v>15590</v>
      </c>
      <c r="CF143" s="991">
        <v>44248</v>
      </c>
      <c r="CG143" s="1146">
        <v>27</v>
      </c>
      <c r="CH143" s="1129">
        <f t="shared" si="46"/>
        <v>985553.47048208967</v>
      </c>
      <c r="CI143" s="991">
        <f t="shared" si="47"/>
        <v>1389318.4704820896</v>
      </c>
      <c r="CJ143" s="991">
        <f t="shared" si="49"/>
        <v>1330874.4704820896</v>
      </c>
      <c r="CK143" s="1131">
        <v>1364800</v>
      </c>
      <c r="CL143" s="975"/>
      <c r="CM143" s="975"/>
      <c r="CN143" s="975"/>
      <c r="CO143" s="975"/>
      <c r="CP143" s="979"/>
      <c r="CQ143" s="1273">
        <f t="shared" si="51"/>
        <v>14508</v>
      </c>
      <c r="CR143" s="1273">
        <v>5082</v>
      </c>
      <c r="CS143" s="1273">
        <v>9426</v>
      </c>
      <c r="CT143" s="577">
        <v>0</v>
      </c>
      <c r="CU143" s="1273">
        <f t="shared" si="52"/>
        <v>14508</v>
      </c>
      <c r="CV143" s="1273">
        <v>12152</v>
      </c>
      <c r="CW143" s="1273">
        <v>694</v>
      </c>
      <c r="CX143" s="1273">
        <f t="shared" si="53"/>
        <v>1647.4</v>
      </c>
      <c r="CY143" s="1273">
        <v>14.6</v>
      </c>
    </row>
    <row r="144" spans="1:103" s="598" customFormat="1">
      <c r="A144" s="577">
        <f t="shared" si="55"/>
        <v>1985</v>
      </c>
      <c r="B144" s="982">
        <f t="shared" si="56"/>
        <v>987736.50804322166</v>
      </c>
      <c r="C144" s="254">
        <f t="shared" si="25"/>
        <v>567609.32075595879</v>
      </c>
      <c r="D144" s="985">
        <f t="shared" si="26"/>
        <v>479811.34259259258</v>
      </c>
      <c r="E144" s="991">
        <f>G144*DataUK1!B144</f>
        <v>87797.978163366235</v>
      </c>
      <c r="F144" s="988">
        <f t="shared" si="27"/>
        <v>0.84531970326626371</v>
      </c>
      <c r="G144" s="972">
        <f t="shared" si="41"/>
        <v>0.2827076747027677</v>
      </c>
      <c r="H144" s="970">
        <f>I144*DataUK1!B144</f>
        <v>24599.855848574924</v>
      </c>
      <c r="I144" s="972">
        <f t="shared" si="36"/>
        <v>7.9211027297616005E-2</v>
      </c>
      <c r="J144" s="985">
        <v>446000</v>
      </c>
      <c r="K144" s="986">
        <f t="shared" si="28"/>
        <v>0.92953200645508338</v>
      </c>
      <c r="L144" s="970">
        <v>112800</v>
      </c>
      <c r="M144" s="983">
        <f>L144/DataUK1!B144</f>
        <v>0.36321366816825035</v>
      </c>
      <c r="N144" s="970">
        <v>1041800</v>
      </c>
      <c r="O144" s="973"/>
      <c r="P144" s="973"/>
      <c r="Q144" s="983">
        <f t="shared" si="48"/>
        <v>0.94810569019314805</v>
      </c>
      <c r="R144" s="973"/>
      <c r="S144" s="973"/>
      <c r="T144" s="973"/>
      <c r="U144" s="973"/>
      <c r="V144" s="973"/>
      <c r="W144" s="973"/>
      <c r="X144" s="973"/>
      <c r="Y144" s="973"/>
      <c r="Z144" s="973"/>
      <c r="AA144" s="973"/>
      <c r="AB144" s="973"/>
      <c r="AC144" s="973"/>
      <c r="AD144" s="973"/>
      <c r="AE144" s="973"/>
      <c r="AF144" s="973"/>
      <c r="AG144" s="973"/>
      <c r="AH144" s="973"/>
      <c r="AI144" s="973"/>
      <c r="AJ144" s="973"/>
      <c r="AK144" s="974"/>
      <c r="AL144" s="974"/>
      <c r="AM144" s="974"/>
      <c r="AN144" s="974"/>
      <c r="AO144" s="974"/>
      <c r="AP144" s="974"/>
      <c r="AQ144" s="974"/>
      <c r="AR144" s="974"/>
      <c r="AS144" s="254">
        <f t="shared" si="29"/>
        <v>578427.18728726276</v>
      </c>
      <c r="AT144" s="519">
        <f t="shared" si="30"/>
        <v>270115.05216383288</v>
      </c>
      <c r="AU144" s="519">
        <f t="shared" si="31"/>
        <v>308312.13512342988</v>
      </c>
      <c r="AV144" s="519"/>
      <c r="AW144" s="519"/>
      <c r="AX144" s="519"/>
      <c r="AY144" s="519"/>
      <c r="BA144" s="519">
        <v>349660</v>
      </c>
      <c r="BB144" s="988">
        <f t="shared" si="50"/>
        <v>1.2944854320370149</v>
      </c>
      <c r="BC144" s="519">
        <v>456400</v>
      </c>
      <c r="BD144" s="988">
        <f t="shared" si="50"/>
        <v>1.4803179894858323</v>
      </c>
      <c r="BE144" s="982">
        <v>158300</v>
      </c>
      <c r="BF144" s="970">
        <v>109000</v>
      </c>
      <c r="BG144" s="1117">
        <f t="shared" si="54"/>
        <v>0.6885660138976627</v>
      </c>
      <c r="BH144" s="1129">
        <f t="shared" si="45"/>
        <v>416600</v>
      </c>
      <c r="BI144" s="991">
        <v>250000</v>
      </c>
      <c r="BJ144" s="970"/>
      <c r="BK144" s="970"/>
      <c r="BL144" s="970"/>
      <c r="BM144" s="970"/>
      <c r="BN144" s="970"/>
      <c r="BO144" s="970"/>
      <c r="BP144" s="970"/>
      <c r="BQ144" s="1130"/>
      <c r="BR144" s="1139">
        <f>BR143*DataUK1!HT144/DataUK1!HT143+DataUK1!FI143</f>
        <v>20290.374229834029</v>
      </c>
      <c r="BS144" s="308">
        <f>BR144/DataUK1!B144</f>
        <v>6.5334585572026205E-2</v>
      </c>
      <c r="BT144" s="970"/>
      <c r="BU144" s="970"/>
      <c r="BV144" s="970"/>
      <c r="BW144" s="1130"/>
      <c r="BX144" s="1145">
        <f t="shared" si="43"/>
        <v>103382</v>
      </c>
      <c r="BY144" s="991">
        <f t="shared" si="42"/>
        <v>269982</v>
      </c>
      <c r="BZ144" s="991">
        <v>186913</v>
      </c>
      <c r="CA144" s="991">
        <v>116761</v>
      </c>
      <c r="CB144" s="991">
        <v>200292</v>
      </c>
      <c r="CC144" s="991">
        <f t="shared" si="44"/>
        <v>166600</v>
      </c>
      <c r="CD144" s="991">
        <v>193313</v>
      </c>
      <c r="CE144" s="991">
        <v>14620</v>
      </c>
      <c r="CF144" s="991">
        <v>41333</v>
      </c>
      <c r="CG144" s="1146">
        <v>209</v>
      </c>
      <c r="CH144" s="1129">
        <f t="shared" si="46"/>
        <v>1091118.5080432217</v>
      </c>
      <c r="CI144" s="991">
        <f t="shared" si="47"/>
        <v>1507718.5080432217</v>
      </c>
      <c r="CJ144" s="991">
        <f t="shared" si="49"/>
        <v>1438436.5080432217</v>
      </c>
      <c r="CK144" s="1131">
        <v>1492500</v>
      </c>
      <c r="CL144" s="975"/>
      <c r="CM144" s="975"/>
      <c r="CN144" s="975"/>
      <c r="CO144" s="975"/>
      <c r="CP144" s="979"/>
      <c r="CQ144" s="1273">
        <f t="shared" si="51"/>
        <v>15205</v>
      </c>
      <c r="CR144" s="1273">
        <v>2348</v>
      </c>
      <c r="CS144" s="1273">
        <v>12857</v>
      </c>
      <c r="CT144" s="577">
        <v>0</v>
      </c>
      <c r="CU144" s="1273">
        <f t="shared" si="52"/>
        <v>15205</v>
      </c>
      <c r="CV144" s="1273">
        <v>12610</v>
      </c>
      <c r="CW144" s="1273">
        <v>886</v>
      </c>
      <c r="CX144" s="1273">
        <f t="shared" si="53"/>
        <v>1694.4</v>
      </c>
      <c r="CY144" s="1273">
        <v>14.6</v>
      </c>
    </row>
    <row r="145" spans="1:103" s="598" customFormat="1">
      <c r="A145" s="577">
        <f t="shared" si="55"/>
        <v>1986</v>
      </c>
      <c r="B145" s="982">
        <f t="shared" si="56"/>
        <v>1112920.7080505732</v>
      </c>
      <c r="C145" s="254">
        <f t="shared" si="25"/>
        <v>652720.70805057313</v>
      </c>
      <c r="D145" s="985">
        <v>557700</v>
      </c>
      <c r="E145" s="991">
        <f>G145*DataUK1!B145</f>
        <v>95020.708050573128</v>
      </c>
      <c r="F145" s="988">
        <f t="shared" si="27"/>
        <v>0.85442363498108764</v>
      </c>
      <c r="G145" s="972">
        <f t="shared" si="41"/>
        <v>0.2827076747027677</v>
      </c>
      <c r="H145" s="970">
        <f>I145*DataUK1!B145</f>
        <v>25749.94496903423</v>
      </c>
      <c r="I145" s="972">
        <f t="shared" si="36"/>
        <v>7.6611795631383858E-2</v>
      </c>
      <c r="J145" s="985">
        <v>518400</v>
      </c>
      <c r="K145" s="986">
        <f t="shared" ref="K145:K153" si="57">J145/D145</f>
        <v>0.92953200645508338</v>
      </c>
      <c r="L145" s="970">
        <v>119400</v>
      </c>
      <c r="M145" s="983">
        <f>L145/DataUK1!B145</f>
        <v>0.35524147369586839</v>
      </c>
      <c r="N145" s="970">
        <v>1196000</v>
      </c>
      <c r="O145" s="973"/>
      <c r="P145" s="973"/>
      <c r="Q145" s="983">
        <f t="shared" si="48"/>
        <v>0.9305357090723857</v>
      </c>
      <c r="R145" s="973"/>
      <c r="S145" s="973"/>
      <c r="T145" s="973"/>
      <c r="U145" s="973"/>
      <c r="V145" s="973"/>
      <c r="W145" s="973"/>
      <c r="X145" s="973"/>
      <c r="Y145" s="973"/>
      <c r="Z145" s="973"/>
      <c r="AA145" s="973"/>
      <c r="AB145" s="973"/>
      <c r="AC145" s="973"/>
      <c r="AD145" s="973"/>
      <c r="AE145" s="973"/>
      <c r="AF145" s="973"/>
      <c r="AG145" s="973"/>
      <c r="AH145" s="973"/>
      <c r="AI145" s="973"/>
      <c r="AJ145" s="973"/>
      <c r="AK145" s="974"/>
      <c r="AL145" s="974"/>
      <c r="AM145" s="974"/>
      <c r="AN145" s="974"/>
      <c r="AO145" s="974"/>
      <c r="AP145" s="974"/>
      <c r="AQ145" s="974"/>
      <c r="AR145" s="974"/>
      <c r="AS145" s="254">
        <f t="shared" si="29"/>
        <v>645300</v>
      </c>
      <c r="AT145" s="519">
        <v>290800</v>
      </c>
      <c r="AU145" s="519">
        <f>645300-AT145</f>
        <v>354500</v>
      </c>
      <c r="AV145" s="519"/>
      <c r="AW145" s="519"/>
      <c r="AX145" s="519"/>
      <c r="AY145" s="519"/>
      <c r="BA145" s="519">
        <v>385000</v>
      </c>
      <c r="BB145" s="988">
        <f t="shared" ref="BB145:BB153" si="58">BA145/AT145</f>
        <v>1.3239339752407153</v>
      </c>
      <c r="BC145" s="519">
        <v>541800</v>
      </c>
      <c r="BD145" s="988">
        <f t="shared" ref="BD145:BD153" si="59">BC145/AU145</f>
        <v>1.5283497884344146</v>
      </c>
      <c r="BE145" s="982">
        <v>185100</v>
      </c>
      <c r="BF145" s="970">
        <v>128000</v>
      </c>
      <c r="BG145" s="1117">
        <f t="shared" si="54"/>
        <v>0.69151809832522959</v>
      </c>
      <c r="BH145" s="1129">
        <f t="shared" si="45"/>
        <v>422220</v>
      </c>
      <c r="BI145" s="991">
        <v>243200</v>
      </c>
      <c r="BJ145" s="970"/>
      <c r="BK145" s="970"/>
      <c r="BL145" s="970"/>
      <c r="BM145" s="970"/>
      <c r="BN145" s="970"/>
      <c r="BO145" s="970"/>
      <c r="BP145" s="970"/>
      <c r="BQ145" s="1130"/>
      <c r="BR145" s="1139">
        <f>BR144*DataUK1!HT145/DataUK1!HT144+DataUK1!FI144</f>
        <v>20410.855882349817</v>
      </c>
      <c r="BS145" s="308">
        <f>BR145/DataUK1!B145</f>
        <v>6.0726821801004464E-2</v>
      </c>
      <c r="BT145" s="970"/>
      <c r="BU145" s="970"/>
      <c r="BV145" s="970"/>
      <c r="BW145" s="1130"/>
      <c r="BX145" s="1145">
        <f t="shared" si="43"/>
        <v>116455</v>
      </c>
      <c r="BY145" s="991">
        <f t="shared" si="42"/>
        <v>295475</v>
      </c>
      <c r="BZ145" s="991">
        <v>210428</v>
      </c>
      <c r="CA145" s="991">
        <v>122943</v>
      </c>
      <c r="CB145" s="991">
        <v>216916</v>
      </c>
      <c r="CC145" s="991">
        <f t="shared" si="44"/>
        <v>179020</v>
      </c>
      <c r="CD145" s="991">
        <v>204375</v>
      </c>
      <c r="CE145" s="991">
        <v>14878</v>
      </c>
      <c r="CF145" s="991">
        <v>40233</v>
      </c>
      <c r="CG145" s="1146">
        <v>205</v>
      </c>
      <c r="CH145" s="1129">
        <f t="shared" si="46"/>
        <v>1229375.7080505732</v>
      </c>
      <c r="CI145" s="991">
        <f t="shared" si="47"/>
        <v>1651595.7080505732</v>
      </c>
      <c r="CJ145" s="991">
        <f t="shared" si="49"/>
        <v>1560620.7080505732</v>
      </c>
      <c r="CK145" s="1131">
        <v>1643700</v>
      </c>
      <c r="CL145" s="975"/>
      <c r="CM145" s="975"/>
      <c r="CN145" s="975"/>
      <c r="CO145" s="975"/>
      <c r="CP145" s="979"/>
      <c r="CQ145" s="1273">
        <f t="shared" si="51"/>
        <v>14940</v>
      </c>
      <c r="CR145" s="1273">
        <v>1517</v>
      </c>
      <c r="CS145" s="1273">
        <v>13423</v>
      </c>
      <c r="CT145" s="577">
        <v>0</v>
      </c>
      <c r="CU145" s="1273">
        <f t="shared" si="52"/>
        <v>14940</v>
      </c>
      <c r="CV145" s="1273">
        <v>12612</v>
      </c>
      <c r="CW145" s="1273">
        <v>931</v>
      </c>
      <c r="CX145" s="1273">
        <f t="shared" si="53"/>
        <v>1382.4</v>
      </c>
      <c r="CY145" s="1273">
        <v>14.6</v>
      </c>
    </row>
    <row r="146" spans="1:103" s="598" customFormat="1">
      <c r="A146" s="577">
        <f t="shared" si="55"/>
        <v>1987</v>
      </c>
      <c r="B146" s="982">
        <f t="shared" si="56"/>
        <v>1313625.8855898096</v>
      </c>
      <c r="C146" s="254">
        <f>D146+E146</f>
        <v>756425.88558980974</v>
      </c>
      <c r="D146" s="970">
        <v>652500</v>
      </c>
      <c r="E146" s="991">
        <f>G146*DataUK1!B146</f>
        <v>103925.88558980972</v>
      </c>
      <c r="F146" s="988">
        <f t="shared" si="27"/>
        <v>0.86260929514756712</v>
      </c>
      <c r="G146" s="972">
        <f>G$147</f>
        <v>0.2827076747027677</v>
      </c>
      <c r="H146" s="970">
        <f>I146*DataUK1!B146</f>
        <v>27207.684626665457</v>
      </c>
      <c r="I146" s="972">
        <f t="shared" si="36"/>
        <v>7.4012563965151712E-2</v>
      </c>
      <c r="J146" s="970">
        <v>637400</v>
      </c>
      <c r="K146" s="986">
        <f t="shared" si="57"/>
        <v>0.97685823754789269</v>
      </c>
      <c r="L146" s="970">
        <v>130100</v>
      </c>
      <c r="M146" s="983">
        <f>L146/DataUK1!B146</f>
        <v>0.35390863662206312</v>
      </c>
      <c r="N146" s="970">
        <v>1399400</v>
      </c>
      <c r="O146" s="973"/>
      <c r="P146" s="973"/>
      <c r="Q146" s="983">
        <f t="shared" si="48"/>
        <v>0.93870650678134171</v>
      </c>
      <c r="R146" s="973"/>
      <c r="S146" s="973"/>
      <c r="T146" s="973"/>
      <c r="U146" s="973"/>
      <c r="V146" s="973"/>
      <c r="W146" s="973"/>
      <c r="X146" s="973"/>
      <c r="Y146" s="973"/>
      <c r="Z146" s="973"/>
      <c r="AA146" s="973"/>
      <c r="AB146" s="973"/>
      <c r="AC146" s="973"/>
      <c r="AD146" s="973"/>
      <c r="AE146" s="973"/>
      <c r="AF146" s="973"/>
      <c r="AG146" s="973"/>
      <c r="AH146" s="973"/>
      <c r="AI146" s="973"/>
      <c r="AJ146" s="973"/>
      <c r="AK146" s="974"/>
      <c r="AL146" s="974"/>
      <c r="AM146" s="974"/>
      <c r="AN146" s="974"/>
      <c r="AO146" s="974"/>
      <c r="AP146" s="974"/>
      <c r="AQ146" s="974"/>
      <c r="AR146" s="974"/>
      <c r="AS146" s="254">
        <f t="shared" si="29"/>
        <v>773000</v>
      </c>
      <c r="AT146" s="519">
        <v>358200</v>
      </c>
      <c r="AU146" s="519">
        <f>773000-AT146</f>
        <v>414800</v>
      </c>
      <c r="AV146" s="519"/>
      <c r="AW146" s="519"/>
      <c r="AX146" s="519"/>
      <c r="AY146" s="519"/>
      <c r="BA146" s="519">
        <v>431000</v>
      </c>
      <c r="BB146" s="988">
        <f t="shared" si="58"/>
        <v>1.2032384142936907</v>
      </c>
      <c r="BC146" s="519">
        <v>603700</v>
      </c>
      <c r="BD146" s="988">
        <f t="shared" si="59"/>
        <v>1.4554001928640308</v>
      </c>
      <c r="BE146" s="982">
        <v>215800</v>
      </c>
      <c r="BF146" s="970">
        <v>154000</v>
      </c>
      <c r="BG146" s="1117">
        <f t="shared" si="54"/>
        <v>0.71362372567191845</v>
      </c>
      <c r="BH146" s="1129">
        <f t="shared" si="45"/>
        <v>379491</v>
      </c>
      <c r="BI146" s="991">
        <v>202400</v>
      </c>
      <c r="BJ146" s="970"/>
      <c r="BK146" s="970"/>
      <c r="BL146" s="970"/>
      <c r="BM146" s="970"/>
      <c r="BN146" s="970"/>
      <c r="BO146" s="970"/>
      <c r="BP146" s="970"/>
      <c r="BQ146" s="1130"/>
      <c r="BR146" s="1139">
        <f>BR145*DataUK1!HT146/DataUK1!HT145+DataUK1!FI145</f>
        <v>17648.410118436452</v>
      </c>
      <c r="BS146" s="308">
        <f>BR146/DataUK1!B146</f>
        <v>4.8008645377116591E-2</v>
      </c>
      <c r="BT146" s="970"/>
      <c r="BU146" s="970"/>
      <c r="BV146" s="970"/>
      <c r="BW146" s="1130"/>
      <c r="BX146" s="1145">
        <f t="shared" si="43"/>
        <v>123503</v>
      </c>
      <c r="BY146" s="991">
        <f t="shared" si="42"/>
        <v>300594</v>
      </c>
      <c r="BZ146" s="991">
        <v>224633</v>
      </c>
      <c r="CA146" s="991">
        <v>133697</v>
      </c>
      <c r="CB146" s="991">
        <v>234827</v>
      </c>
      <c r="CC146" s="991">
        <f t="shared" si="44"/>
        <v>177091</v>
      </c>
      <c r="CD146" s="991">
        <v>201565</v>
      </c>
      <c r="CE146" s="991">
        <v>13142</v>
      </c>
      <c r="CF146" s="991">
        <v>37616</v>
      </c>
      <c r="CG146" s="1146">
        <v>268</v>
      </c>
      <c r="CH146" s="1129">
        <f t="shared" si="46"/>
        <v>1437128.8855898096</v>
      </c>
      <c r="CI146" s="991">
        <f t="shared" si="47"/>
        <v>1816619.8855898096</v>
      </c>
      <c r="CJ146" s="991">
        <f t="shared" si="49"/>
        <v>1742825.8855898096</v>
      </c>
      <c r="CK146" s="1131">
        <v>1828600</v>
      </c>
      <c r="CL146" s="975"/>
      <c r="CM146" s="975"/>
      <c r="CN146" s="975"/>
      <c r="CO146" s="975"/>
      <c r="CP146" s="979"/>
      <c r="CQ146" s="1273">
        <f t="shared" si="51"/>
        <v>16160</v>
      </c>
      <c r="CR146" s="1273">
        <v>2351</v>
      </c>
      <c r="CS146" s="1273">
        <v>13809</v>
      </c>
      <c r="CT146" s="577">
        <v>0</v>
      </c>
      <c r="CU146" s="1273">
        <f t="shared" si="52"/>
        <v>16160</v>
      </c>
      <c r="CV146" s="1273">
        <v>13482</v>
      </c>
      <c r="CW146" s="1273">
        <v>1185</v>
      </c>
      <c r="CX146" s="1273">
        <f t="shared" si="53"/>
        <v>1478.4</v>
      </c>
      <c r="CY146" s="1273">
        <v>14.6</v>
      </c>
    </row>
    <row r="147" spans="1:103" s="598" customFormat="1">
      <c r="A147" s="577">
        <f t="shared" si="55"/>
        <v>1988</v>
      </c>
      <c r="B147" s="982">
        <f t="shared" si="56"/>
        <v>1474143</v>
      </c>
      <c r="C147" s="1010">
        <f t="shared" ref="C147:C170" si="60">O147-P147</f>
        <v>904277</v>
      </c>
      <c r="D147" s="991">
        <v>787668</v>
      </c>
      <c r="E147" s="991">
        <f t="shared" ref="E147:E170" si="61">C147-D147</f>
        <v>116609</v>
      </c>
      <c r="F147" s="988">
        <f t="shared" ref="F147:F170" si="62">D147/C147</f>
        <v>0.87104725653754322</v>
      </c>
      <c r="G147" s="972">
        <f>E147/DataUK1!B147</f>
        <v>0.2827076747027677</v>
      </c>
      <c r="H147" s="1065">
        <v>29456</v>
      </c>
      <c r="I147" s="972">
        <f>H147/DataUK1!B147</f>
        <v>7.1413332298919691E-2</v>
      </c>
      <c r="J147" s="991">
        <v>861500</v>
      </c>
      <c r="K147" s="986">
        <f t="shared" si="57"/>
        <v>1.0937349238511658</v>
      </c>
      <c r="L147" s="970">
        <v>147700</v>
      </c>
      <c r="M147" s="983">
        <f>L147/DataUK1!B147</f>
        <v>0.35808491243041951</v>
      </c>
      <c r="N147" s="991">
        <v>1612143</v>
      </c>
      <c r="O147" s="991">
        <v>1042277</v>
      </c>
      <c r="P147" s="991">
        <v>138000</v>
      </c>
      <c r="Q147" s="983">
        <f t="shared" si="48"/>
        <v>0.91439965313250748</v>
      </c>
      <c r="R147" s="988">
        <f>P147/DataUK1!B147</f>
        <v>0.33456816462693223</v>
      </c>
      <c r="S147" s="988"/>
      <c r="T147" s="988"/>
      <c r="U147" s="988"/>
      <c r="V147" s="988"/>
      <c r="W147" s="988"/>
      <c r="X147" s="988"/>
      <c r="Y147" s="988"/>
      <c r="Z147" s="988"/>
      <c r="AA147" s="988"/>
      <c r="AB147" s="988"/>
      <c r="AC147" s="988"/>
      <c r="AD147" s="988"/>
      <c r="AE147" s="988"/>
      <c r="AF147" s="988"/>
      <c r="AG147" s="988"/>
      <c r="AH147" s="988"/>
      <c r="AI147" s="988"/>
      <c r="AJ147" s="988"/>
      <c r="AK147" s="991"/>
      <c r="AL147" s="991"/>
      <c r="AM147" s="991"/>
      <c r="AN147" s="991"/>
      <c r="AO147" s="991"/>
      <c r="AP147" s="991"/>
      <c r="AQ147" s="991"/>
      <c r="AR147" s="991"/>
      <c r="AS147" s="1010">
        <v>840005</v>
      </c>
      <c r="AT147" s="991">
        <v>389350</v>
      </c>
      <c r="AU147" s="991">
        <f t="shared" ref="AU147:AU170" si="63">AV147+AW147+AX147+AY147+AZ147</f>
        <v>450655</v>
      </c>
      <c r="AV147" s="991">
        <v>249112</v>
      </c>
      <c r="AW147" s="991">
        <v>24900</v>
      </c>
      <c r="AX147" s="991">
        <v>5647</v>
      </c>
      <c r="AY147" s="991">
        <v>134888</v>
      </c>
      <c r="AZ147" s="991">
        <v>36108</v>
      </c>
      <c r="BA147" s="991">
        <v>476000</v>
      </c>
      <c r="BB147" s="988">
        <f t="shared" si="58"/>
        <v>1.2225504045203544</v>
      </c>
      <c r="BC147" s="991">
        <v>668200</v>
      </c>
      <c r="BD147" s="988">
        <f t="shared" si="59"/>
        <v>1.4827306919927661</v>
      </c>
      <c r="BE147" s="1010">
        <v>270139</v>
      </c>
      <c r="BF147" s="991">
        <v>182811</v>
      </c>
      <c r="BG147" s="1117">
        <f t="shared" si="54"/>
        <v>0.67672938746349098</v>
      </c>
      <c r="BH147" s="1129">
        <f t="shared" ref="BH147:BH169" si="64">BJ147+BK147-BL147+BN147+BO147-BP147</f>
        <v>299239</v>
      </c>
      <c r="BI147" s="991">
        <f t="shared" ref="BI147:BI170" si="65">BH147-CC147</f>
        <v>175585</v>
      </c>
      <c r="BJ147" s="991">
        <v>722614</v>
      </c>
      <c r="BK147" s="991">
        <v>339644</v>
      </c>
      <c r="BL147" s="991">
        <v>790490</v>
      </c>
      <c r="BM147" s="991">
        <v>491739</v>
      </c>
      <c r="BN147" s="991">
        <v>65815</v>
      </c>
      <c r="BO147" s="991">
        <v>1588276</v>
      </c>
      <c r="BP147" s="991">
        <v>1626620</v>
      </c>
      <c r="BQ147" s="1131">
        <v>137158</v>
      </c>
      <c r="BR147" s="1140">
        <f>BT147-BV147</f>
        <v>46720</v>
      </c>
      <c r="BS147" s="307">
        <f>BR147/DataUK1!B147</f>
        <v>0.11326829457514692</v>
      </c>
      <c r="BT147" s="991">
        <v>706421</v>
      </c>
      <c r="BU147" s="991">
        <v>150639</v>
      </c>
      <c r="BV147" s="991">
        <v>659701</v>
      </c>
      <c r="BW147" s="1131">
        <v>97383</v>
      </c>
      <c r="BX147" s="1145">
        <f t="shared" si="43"/>
        <v>211993</v>
      </c>
      <c r="BY147" s="991">
        <f t="shared" si="42"/>
        <v>335647</v>
      </c>
      <c r="BZ147" s="991">
        <v>240317</v>
      </c>
      <c r="CA147" s="991">
        <v>223199</v>
      </c>
      <c r="CB147" s="991">
        <v>251523</v>
      </c>
      <c r="CC147" s="991">
        <f t="shared" si="44"/>
        <v>123654</v>
      </c>
      <c r="CD147" s="991">
        <v>221926</v>
      </c>
      <c r="CE147" s="991">
        <v>13737</v>
      </c>
      <c r="CF147" s="991">
        <v>112009</v>
      </c>
      <c r="CG147" s="1146">
        <v>75777</v>
      </c>
      <c r="CH147" s="1129">
        <f t="shared" si="46"/>
        <v>1686136</v>
      </c>
      <c r="CI147" s="991">
        <f t="shared" si="47"/>
        <v>1985375</v>
      </c>
      <c r="CJ147" s="991">
        <f t="shared" ref="CJ147:CJ170" si="66">$B147+$BX147+$BH147</f>
        <v>1985375</v>
      </c>
      <c r="CK147" s="1131">
        <f>$N147+$BX147+$BH147</f>
        <v>2123375</v>
      </c>
      <c r="CL147" s="975"/>
      <c r="CM147" s="975"/>
      <c r="CN147" s="975"/>
      <c r="CO147" s="975"/>
      <c r="CP147" s="979"/>
      <c r="CQ147" s="1273">
        <f t="shared" si="51"/>
        <v>17676</v>
      </c>
      <c r="CR147" s="1273">
        <v>9798</v>
      </c>
      <c r="CS147" s="1273">
        <v>7878</v>
      </c>
      <c r="CT147" s="577">
        <v>0</v>
      </c>
      <c r="CU147" s="1273">
        <f t="shared" si="52"/>
        <v>17676</v>
      </c>
      <c r="CV147" s="1273">
        <v>14548</v>
      </c>
      <c r="CW147" s="1273">
        <v>1180</v>
      </c>
      <c r="CX147" s="1273">
        <f t="shared" si="53"/>
        <v>1933.4</v>
      </c>
      <c r="CY147" s="1273">
        <v>14.6</v>
      </c>
    </row>
    <row r="148" spans="1:103" s="598" customFormat="1">
      <c r="A148" s="577">
        <f t="shared" si="55"/>
        <v>1989</v>
      </c>
      <c r="B148" s="982">
        <f t="shared" si="56"/>
        <v>1842104</v>
      </c>
      <c r="C148" s="1010">
        <f t="shared" si="60"/>
        <v>1215218</v>
      </c>
      <c r="D148" s="991">
        <v>1074691</v>
      </c>
      <c r="E148" s="991">
        <f t="shared" si="61"/>
        <v>140527</v>
      </c>
      <c r="F148" s="988">
        <f t="shared" si="62"/>
        <v>0.88436066615208131</v>
      </c>
      <c r="G148" s="972">
        <f>E148/DataUK1!B148</f>
        <v>0.31125163348025425</v>
      </c>
      <c r="H148" s="1065">
        <v>34217</v>
      </c>
      <c r="I148" s="972">
        <f>H148/DataUK1!B148</f>
        <v>7.5786839132649678E-2</v>
      </c>
      <c r="J148" s="991">
        <v>943400</v>
      </c>
      <c r="K148" s="986">
        <f t="shared" si="57"/>
        <v>0.87783372150692618</v>
      </c>
      <c r="L148" s="970">
        <v>164700</v>
      </c>
      <c r="M148" s="983">
        <f>L148/DataUK1!B148</f>
        <v>0.36479213271611777</v>
      </c>
      <c r="N148" s="991">
        <v>2001504</v>
      </c>
      <c r="O148" s="991">
        <v>1374618</v>
      </c>
      <c r="P148" s="991">
        <v>159400</v>
      </c>
      <c r="Q148" s="983">
        <f t="shared" si="48"/>
        <v>0.9203598893631989</v>
      </c>
      <c r="R148" s="988">
        <f>P148/DataUK1!B148</f>
        <v>0.35305322377018317</v>
      </c>
      <c r="S148" s="988"/>
      <c r="T148" s="988"/>
      <c r="U148" s="988"/>
      <c r="V148" s="988"/>
      <c r="W148" s="988"/>
      <c r="X148" s="988"/>
      <c r="Y148" s="988"/>
      <c r="Z148" s="988"/>
      <c r="AA148" s="988"/>
      <c r="AB148" s="988"/>
      <c r="AC148" s="988"/>
      <c r="AD148" s="988"/>
      <c r="AE148" s="988"/>
      <c r="AF148" s="988"/>
      <c r="AG148" s="988"/>
      <c r="AH148" s="988"/>
      <c r="AI148" s="988"/>
      <c r="AJ148" s="988"/>
      <c r="AK148" s="991"/>
      <c r="AL148" s="991"/>
      <c r="AM148" s="991"/>
      <c r="AN148" s="991"/>
      <c r="AO148" s="991"/>
      <c r="AP148" s="991"/>
      <c r="AQ148" s="991"/>
      <c r="AR148" s="991"/>
      <c r="AS148" s="1010">
        <v>950197</v>
      </c>
      <c r="AT148" s="991">
        <v>453298</v>
      </c>
      <c r="AU148" s="991">
        <f t="shared" si="63"/>
        <v>496899</v>
      </c>
      <c r="AV148" s="991">
        <v>287756</v>
      </c>
      <c r="AW148" s="991">
        <v>21495</v>
      </c>
      <c r="AX148" s="991">
        <v>5719</v>
      </c>
      <c r="AY148" s="991">
        <v>141966</v>
      </c>
      <c r="AZ148" s="991">
        <v>39963</v>
      </c>
      <c r="BA148" s="991">
        <v>553000</v>
      </c>
      <c r="BB148" s="988">
        <f t="shared" si="58"/>
        <v>1.2199480253608002</v>
      </c>
      <c r="BC148" s="991">
        <v>779000</v>
      </c>
      <c r="BD148" s="988">
        <f t="shared" si="59"/>
        <v>1.5677230181586197</v>
      </c>
      <c r="BE148" s="1010">
        <v>323311</v>
      </c>
      <c r="BF148" s="991">
        <v>222789</v>
      </c>
      <c r="BG148" s="1117">
        <f t="shared" si="54"/>
        <v>0.68908574097386111</v>
      </c>
      <c r="BH148" s="1129">
        <f t="shared" si="64"/>
        <v>281013</v>
      </c>
      <c r="BI148" s="991">
        <f t="shared" si="65"/>
        <v>159582</v>
      </c>
      <c r="BJ148" s="991">
        <v>771895</v>
      </c>
      <c r="BK148" s="991">
        <v>389819</v>
      </c>
      <c r="BL148" s="991">
        <v>921472</v>
      </c>
      <c r="BM148" s="991">
        <v>560402</v>
      </c>
      <c r="BN148" s="991">
        <v>84928</v>
      </c>
      <c r="BO148" s="991">
        <v>1793920</v>
      </c>
      <c r="BP148" s="991">
        <v>1838077</v>
      </c>
      <c r="BQ148" s="1131">
        <v>157012</v>
      </c>
      <c r="BR148" s="1129">
        <f t="shared" ref="BR148:BR170" si="67">BT148-BV148</f>
        <v>46423</v>
      </c>
      <c r="BS148" s="308">
        <f>BR148/DataUK1!B148</f>
        <v>0.10282176792398502</v>
      </c>
      <c r="BT148" s="991">
        <v>796952</v>
      </c>
      <c r="BU148" s="991">
        <v>188761</v>
      </c>
      <c r="BV148" s="991">
        <v>750529</v>
      </c>
      <c r="BW148" s="1131">
        <v>126075</v>
      </c>
      <c r="BX148" s="1145">
        <f t="shared" si="43"/>
        <v>275878</v>
      </c>
      <c r="BY148" s="991">
        <f t="shared" si="42"/>
        <v>397309</v>
      </c>
      <c r="BZ148" s="991">
        <v>275487</v>
      </c>
      <c r="CA148" s="991">
        <v>252622</v>
      </c>
      <c r="CB148" s="991">
        <v>252231</v>
      </c>
      <c r="CC148" s="991">
        <f t="shared" si="44"/>
        <v>121431</v>
      </c>
      <c r="CD148" s="991">
        <v>236923</v>
      </c>
      <c r="CE148" s="991">
        <v>14430</v>
      </c>
      <c r="CF148" s="991">
        <v>129922</v>
      </c>
      <c r="CG148" s="1146">
        <v>92101</v>
      </c>
      <c r="CH148" s="1129">
        <f t="shared" si="46"/>
        <v>2117982</v>
      </c>
      <c r="CI148" s="991">
        <f t="shared" si="47"/>
        <v>2398995</v>
      </c>
      <c r="CJ148" s="991">
        <f t="shared" si="66"/>
        <v>2398995</v>
      </c>
      <c r="CK148" s="1131">
        <f t="shared" ref="CK148:CK170" si="68">$N148+$BX148+$BH148</f>
        <v>2558395</v>
      </c>
      <c r="CL148" s="975"/>
      <c r="CM148" s="975"/>
      <c r="CN148" s="975"/>
      <c r="CO148" s="975"/>
      <c r="CP148" s="979"/>
      <c r="CQ148" s="1273">
        <f t="shared" si="51"/>
        <v>19634</v>
      </c>
      <c r="CR148" s="1274">
        <f>0.5*(CR147+CR149)</f>
        <v>12532.5</v>
      </c>
      <c r="CS148" s="1274">
        <f>0.5*(CS147+CS149)</f>
        <v>7101.5</v>
      </c>
      <c r="CT148" s="577">
        <v>0</v>
      </c>
      <c r="CU148" s="1273">
        <f t="shared" si="52"/>
        <v>19634</v>
      </c>
      <c r="CV148" s="1274">
        <f>0.5*(CV147+CV149)</f>
        <v>15809.5</v>
      </c>
      <c r="CW148" s="1274">
        <f>0.5*(CW147+CW149)</f>
        <v>1443</v>
      </c>
      <c r="CX148" s="1273">
        <f t="shared" si="53"/>
        <v>2366.9</v>
      </c>
      <c r="CY148" s="1273">
        <v>14.6</v>
      </c>
    </row>
    <row r="149" spans="1:103" s="598" customFormat="1">
      <c r="A149" s="577">
        <f t="shared" si="55"/>
        <v>1990</v>
      </c>
      <c r="B149" s="982">
        <f t="shared" si="56"/>
        <v>2087868</v>
      </c>
      <c r="C149" s="1010">
        <f t="shared" si="60"/>
        <v>1315431</v>
      </c>
      <c r="D149" s="991">
        <v>1160898</v>
      </c>
      <c r="E149" s="991">
        <f t="shared" si="61"/>
        <v>154533</v>
      </c>
      <c r="F149" s="988">
        <f t="shared" si="62"/>
        <v>0.88252291454283804</v>
      </c>
      <c r="G149" s="972">
        <f>E149/DataUK1!B149</f>
        <v>0.31809021952800964</v>
      </c>
      <c r="H149" s="1065">
        <v>40055</v>
      </c>
      <c r="I149" s="972">
        <f>H149/DataUK1!B149</f>
        <v>8.2449080411267667E-2</v>
      </c>
      <c r="J149" s="991">
        <v>948300</v>
      </c>
      <c r="K149" s="986">
        <f t="shared" si="57"/>
        <v>0.8168676317816036</v>
      </c>
      <c r="L149" s="970">
        <v>179700</v>
      </c>
      <c r="M149" s="983">
        <f>L149/DataUK1!B149</f>
        <v>0.3698938896493521</v>
      </c>
      <c r="N149" s="991">
        <v>2255368</v>
      </c>
      <c r="O149" s="991">
        <v>1482931</v>
      </c>
      <c r="P149" s="991">
        <v>167500</v>
      </c>
      <c r="Q149" s="983">
        <f t="shared" si="48"/>
        <v>0.9257327407323328</v>
      </c>
      <c r="R149" s="988">
        <f>P149/DataUK1!B149</f>
        <v>0.34478144972880626</v>
      </c>
      <c r="S149" s="988"/>
      <c r="T149" s="988"/>
      <c r="U149" s="988"/>
      <c r="V149" s="988"/>
      <c r="W149" s="988"/>
      <c r="X149" s="988"/>
      <c r="Y149" s="988"/>
      <c r="Z149" s="988"/>
      <c r="AA149" s="988"/>
      <c r="AB149" s="988"/>
      <c r="AC149" s="988"/>
      <c r="AD149" s="988"/>
      <c r="AE149" s="988"/>
      <c r="AF149" s="988"/>
      <c r="AG149" s="988"/>
      <c r="AH149" s="988"/>
      <c r="AI149" s="988"/>
      <c r="AJ149" s="988"/>
      <c r="AK149" s="991"/>
      <c r="AL149" s="991"/>
      <c r="AM149" s="991"/>
      <c r="AN149" s="991"/>
      <c r="AO149" s="991"/>
      <c r="AP149" s="991"/>
      <c r="AQ149" s="991"/>
      <c r="AR149" s="991"/>
      <c r="AS149" s="1010">
        <v>1143954</v>
      </c>
      <c r="AT149" s="991">
        <v>566106</v>
      </c>
      <c r="AU149" s="991">
        <f t="shared" si="63"/>
        <v>577848</v>
      </c>
      <c r="AV149" s="991">
        <v>327123</v>
      </c>
      <c r="AW149" s="991">
        <v>19575</v>
      </c>
      <c r="AX149" s="991">
        <v>5525</v>
      </c>
      <c r="AY149" s="991">
        <v>177245</v>
      </c>
      <c r="AZ149" s="991">
        <v>48380</v>
      </c>
      <c r="BA149" s="991">
        <v>616000</v>
      </c>
      <c r="BB149" s="988">
        <f t="shared" si="58"/>
        <v>1.0881354375329002</v>
      </c>
      <c r="BC149" s="991">
        <v>800500</v>
      </c>
      <c r="BD149" s="988">
        <f t="shared" si="59"/>
        <v>1.3853124004928632</v>
      </c>
      <c r="BE149" s="1010">
        <v>371517</v>
      </c>
      <c r="BF149" s="991">
        <v>256672</v>
      </c>
      <c r="BG149" s="1117">
        <f t="shared" si="54"/>
        <v>0.69087551848233053</v>
      </c>
      <c r="BH149" s="1129">
        <f t="shared" si="64"/>
        <v>200355</v>
      </c>
      <c r="BI149" s="991">
        <f t="shared" si="65"/>
        <v>129593</v>
      </c>
      <c r="BJ149" s="991">
        <v>837005</v>
      </c>
      <c r="BK149" s="991">
        <v>443348</v>
      </c>
      <c r="BL149" s="991">
        <v>1119436</v>
      </c>
      <c r="BM149" s="991">
        <v>688815</v>
      </c>
      <c r="BN149" s="991">
        <v>100375</v>
      </c>
      <c r="BO149" s="991">
        <v>2189718</v>
      </c>
      <c r="BP149" s="991">
        <v>2250655</v>
      </c>
      <c r="BQ149" s="1131">
        <v>205623</v>
      </c>
      <c r="BR149" s="1129">
        <f t="shared" si="67"/>
        <v>56307</v>
      </c>
      <c r="BS149" s="308">
        <f>BR149/DataUK1!B149</f>
        <v>0.11590214382017847</v>
      </c>
      <c r="BT149" s="991">
        <v>990486</v>
      </c>
      <c r="BU149" s="991">
        <v>250192</v>
      </c>
      <c r="BV149" s="991">
        <v>934179</v>
      </c>
      <c r="BW149" s="1131">
        <v>165547</v>
      </c>
      <c r="BX149" s="1145">
        <f t="shared" si="43"/>
        <v>319782</v>
      </c>
      <c r="BY149" s="991">
        <f t="shared" si="42"/>
        <v>390544</v>
      </c>
      <c r="BZ149" s="991">
        <v>293458</v>
      </c>
      <c r="CA149" s="991">
        <v>270911</v>
      </c>
      <c r="CB149" s="991">
        <v>244587</v>
      </c>
      <c r="CC149" s="991">
        <f t="shared" si="44"/>
        <v>70762</v>
      </c>
      <c r="CD149" s="991">
        <v>195927</v>
      </c>
      <c r="CE149" s="991">
        <v>13168</v>
      </c>
      <c r="CF149" s="991">
        <v>138333</v>
      </c>
      <c r="CG149" s="1146">
        <v>101665</v>
      </c>
      <c r="CH149" s="1129">
        <f t="shared" si="46"/>
        <v>2407650</v>
      </c>
      <c r="CI149" s="991">
        <f t="shared" si="47"/>
        <v>2608005</v>
      </c>
      <c r="CJ149" s="991">
        <f t="shared" si="66"/>
        <v>2608005</v>
      </c>
      <c r="CK149" s="1131">
        <f t="shared" si="68"/>
        <v>2775505</v>
      </c>
      <c r="CL149" s="975"/>
      <c r="CM149" s="975"/>
      <c r="CN149" s="975"/>
      <c r="CO149" s="975"/>
      <c r="CP149" s="979"/>
      <c r="CQ149" s="1273">
        <f t="shared" si="51"/>
        <v>21592</v>
      </c>
      <c r="CR149" s="1273">
        <v>15267</v>
      </c>
      <c r="CS149" s="1273">
        <v>6325</v>
      </c>
      <c r="CT149" s="577">
        <v>0</v>
      </c>
      <c r="CU149" s="1273">
        <f t="shared" si="52"/>
        <v>21592</v>
      </c>
      <c r="CV149" s="1273">
        <v>17071</v>
      </c>
      <c r="CW149" s="1273">
        <v>1706</v>
      </c>
      <c r="CX149" s="1273">
        <f t="shared" si="53"/>
        <v>2800.4</v>
      </c>
      <c r="CY149" s="1273">
        <v>14.6</v>
      </c>
    </row>
    <row r="150" spans="1:103" s="598" customFormat="1">
      <c r="A150" s="577">
        <f t="shared" si="55"/>
        <v>1991</v>
      </c>
      <c r="B150" s="982">
        <f t="shared" si="56"/>
        <v>2081153</v>
      </c>
      <c r="C150" s="1010">
        <f t="shared" si="60"/>
        <v>1306383</v>
      </c>
      <c r="D150" s="991">
        <v>1144971</v>
      </c>
      <c r="E150" s="991">
        <f t="shared" si="61"/>
        <v>161412</v>
      </c>
      <c r="F150" s="988">
        <f t="shared" si="62"/>
        <v>0.87644358507420872</v>
      </c>
      <c r="G150" s="972">
        <f>E150/DataUK1!B150</f>
        <v>0.31712837439585051</v>
      </c>
      <c r="H150" s="1065">
        <v>34713</v>
      </c>
      <c r="I150" s="972">
        <f>H150/DataUK1!B150</f>
        <v>6.820110809855004E-2</v>
      </c>
      <c r="J150" s="991">
        <v>952400</v>
      </c>
      <c r="K150" s="986">
        <f t="shared" si="57"/>
        <v>0.83181146072695289</v>
      </c>
      <c r="L150" s="970">
        <v>191100</v>
      </c>
      <c r="M150" s="983">
        <f>L150/DataUK1!B150</f>
        <v>0.37545679594483083</v>
      </c>
      <c r="N150" s="991">
        <v>2258953</v>
      </c>
      <c r="O150" s="991">
        <v>1484183</v>
      </c>
      <c r="P150" s="991">
        <v>177800</v>
      </c>
      <c r="Q150" s="983">
        <f t="shared" si="48"/>
        <v>0.92129096975457214</v>
      </c>
      <c r="R150" s="988">
        <f>P150/DataUK1!B150</f>
        <v>0.34932610318676571</v>
      </c>
      <c r="S150" s="988"/>
      <c r="T150" s="988"/>
      <c r="U150" s="988"/>
      <c r="V150" s="988"/>
      <c r="W150" s="988"/>
      <c r="X150" s="988"/>
      <c r="Y150" s="988"/>
      <c r="Z150" s="988"/>
      <c r="AA150" s="988"/>
      <c r="AB150" s="988"/>
      <c r="AC150" s="988"/>
      <c r="AD150" s="988"/>
      <c r="AE150" s="988"/>
      <c r="AF150" s="988"/>
      <c r="AG150" s="988"/>
      <c r="AH150" s="988"/>
      <c r="AI150" s="988"/>
      <c r="AJ150" s="988"/>
      <c r="AK150" s="991"/>
      <c r="AL150" s="991"/>
      <c r="AM150" s="991"/>
      <c r="AN150" s="991"/>
      <c r="AO150" s="991"/>
      <c r="AP150" s="991"/>
      <c r="AQ150" s="991"/>
      <c r="AR150" s="991"/>
      <c r="AS150" s="1010">
        <v>1192869</v>
      </c>
      <c r="AT150" s="991">
        <v>529961</v>
      </c>
      <c r="AU150" s="991">
        <f t="shared" si="63"/>
        <v>662908</v>
      </c>
      <c r="AV150" s="991">
        <v>360141</v>
      </c>
      <c r="AW150" s="991">
        <v>21305</v>
      </c>
      <c r="AX150" s="991">
        <v>5536</v>
      </c>
      <c r="AY150" s="991">
        <v>222316</v>
      </c>
      <c r="AZ150" s="991">
        <v>53610</v>
      </c>
      <c r="BA150" s="991">
        <v>680000</v>
      </c>
      <c r="BB150" s="988">
        <f t="shared" si="58"/>
        <v>1.2831132856946077</v>
      </c>
      <c r="BC150" s="991">
        <v>892100</v>
      </c>
      <c r="BD150" s="988">
        <f t="shared" si="59"/>
        <v>1.3457372667097094</v>
      </c>
      <c r="BE150" s="1010">
        <v>418099</v>
      </c>
      <c r="BF150" s="991">
        <v>293409</v>
      </c>
      <c r="BG150" s="1117">
        <f t="shared" si="54"/>
        <v>0.7017691982042531</v>
      </c>
      <c r="BH150" s="1129">
        <f t="shared" si="64"/>
        <v>131213</v>
      </c>
      <c r="BI150" s="991">
        <f t="shared" si="65"/>
        <v>92102</v>
      </c>
      <c r="BJ150" s="991">
        <v>834159</v>
      </c>
      <c r="BK150" s="991">
        <v>420304</v>
      </c>
      <c r="BL150" s="991">
        <v>1136469</v>
      </c>
      <c r="BM150" s="991">
        <v>636706</v>
      </c>
      <c r="BN150" s="991">
        <v>99152</v>
      </c>
      <c r="BO150" s="991">
        <v>2212070</v>
      </c>
      <c r="BP150" s="991">
        <v>2298003</v>
      </c>
      <c r="BQ150" s="1131">
        <v>185513</v>
      </c>
      <c r="BR150" s="1129">
        <f t="shared" si="67"/>
        <v>-11158</v>
      </c>
      <c r="BS150" s="308">
        <f>BR150/DataUK1!B150</f>
        <v>-2.1922275924397817E-2</v>
      </c>
      <c r="BT150" s="991">
        <v>941114</v>
      </c>
      <c r="BU150" s="991">
        <v>219032</v>
      </c>
      <c r="BV150" s="991">
        <v>952272</v>
      </c>
      <c r="BW150" s="1131">
        <v>145335</v>
      </c>
      <c r="BX150" s="1145">
        <f t="shared" si="43"/>
        <v>312132</v>
      </c>
      <c r="BY150" s="991">
        <f t="shared" si="42"/>
        <v>351243</v>
      </c>
      <c r="BZ150" s="991">
        <v>291467</v>
      </c>
      <c r="CA150" s="991">
        <v>261220</v>
      </c>
      <c r="CB150" s="991">
        <v>240555</v>
      </c>
      <c r="CC150" s="991">
        <f t="shared" si="44"/>
        <v>39111</v>
      </c>
      <c r="CD150" s="991">
        <v>155161</v>
      </c>
      <c r="CE150" s="991">
        <v>12940</v>
      </c>
      <c r="CF150" s="991">
        <v>128990</v>
      </c>
      <c r="CG150" s="1146">
        <v>97718</v>
      </c>
      <c r="CH150" s="1129">
        <f t="shared" si="46"/>
        <v>2393285</v>
      </c>
      <c r="CI150" s="991">
        <f t="shared" si="47"/>
        <v>2524498</v>
      </c>
      <c r="CJ150" s="991">
        <f t="shared" si="66"/>
        <v>2524498</v>
      </c>
      <c r="CK150" s="1131">
        <f t="shared" si="68"/>
        <v>2702298</v>
      </c>
      <c r="CL150" s="975"/>
      <c r="CM150" s="975"/>
      <c r="CN150" s="975"/>
      <c r="CO150" s="975"/>
      <c r="CP150" s="979"/>
      <c r="CQ150" s="1273">
        <f t="shared" si="51"/>
        <v>25749</v>
      </c>
      <c r="CR150" s="1273">
        <v>16371</v>
      </c>
      <c r="CS150" s="1273">
        <v>9378</v>
      </c>
      <c r="CT150" s="577">
        <v>0</v>
      </c>
      <c r="CU150" s="1273">
        <f t="shared" si="52"/>
        <v>25749</v>
      </c>
      <c r="CV150" s="1273">
        <v>17524</v>
      </c>
      <c r="CW150" s="1273">
        <v>1816</v>
      </c>
      <c r="CX150" s="1273">
        <f t="shared" si="53"/>
        <v>6394.4</v>
      </c>
      <c r="CY150" s="1273">
        <v>14.6</v>
      </c>
    </row>
    <row r="151" spans="1:103" s="598" customFormat="1">
      <c r="A151" s="577">
        <f t="shared" si="55"/>
        <v>1992</v>
      </c>
      <c r="B151" s="982">
        <f t="shared" si="56"/>
        <v>2172477</v>
      </c>
      <c r="C151" s="1010">
        <f t="shared" si="60"/>
        <v>1298580</v>
      </c>
      <c r="D151" s="991">
        <v>1142266</v>
      </c>
      <c r="E151" s="991">
        <f t="shared" si="61"/>
        <v>156314</v>
      </c>
      <c r="F151" s="988">
        <f t="shared" si="62"/>
        <v>0.87962697715966676</v>
      </c>
      <c r="G151" s="972">
        <f>E151/DataUK1!B151</f>
        <v>0.29236532854019337</v>
      </c>
      <c r="H151" s="1065">
        <v>32275</v>
      </c>
      <c r="I151" s="972">
        <f>H151/DataUK1!B151</f>
        <v>6.0366256244704507E-2</v>
      </c>
      <c r="J151" s="991">
        <v>910700</v>
      </c>
      <c r="K151" s="986">
        <f t="shared" si="57"/>
        <v>0.79727489043707855</v>
      </c>
      <c r="L151" s="970">
        <v>197100</v>
      </c>
      <c r="M151" s="983">
        <f>L151/DataUK1!B151</f>
        <v>0.36865032086231631</v>
      </c>
      <c r="N151" s="991">
        <v>2351877</v>
      </c>
      <c r="O151" s="991">
        <v>1477980</v>
      </c>
      <c r="P151" s="991">
        <v>179400</v>
      </c>
      <c r="Q151" s="983">
        <f t="shared" si="48"/>
        <v>0.92372050068944933</v>
      </c>
      <c r="R151" s="988">
        <f>P151/DataUK1!B151</f>
        <v>0.33554473649264099</v>
      </c>
      <c r="S151" s="988"/>
      <c r="T151" s="988"/>
      <c r="U151" s="988"/>
      <c r="V151" s="988"/>
      <c r="W151" s="988"/>
      <c r="X151" s="988"/>
      <c r="Y151" s="988"/>
      <c r="Z151" s="988"/>
      <c r="AA151" s="988"/>
      <c r="AB151" s="988"/>
      <c r="AC151" s="988"/>
      <c r="AD151" s="988"/>
      <c r="AE151" s="988"/>
      <c r="AF151" s="988"/>
      <c r="AG151" s="988"/>
      <c r="AH151" s="988"/>
      <c r="AI151" s="988"/>
      <c r="AJ151" s="988"/>
      <c r="AK151" s="991"/>
      <c r="AL151" s="991"/>
      <c r="AM151" s="991"/>
      <c r="AN151" s="991"/>
      <c r="AO151" s="991"/>
      <c r="AP151" s="991"/>
      <c r="AQ151" s="991"/>
      <c r="AR151" s="991"/>
      <c r="AS151" s="1010">
        <v>1323708</v>
      </c>
      <c r="AT151" s="991">
        <v>616075</v>
      </c>
      <c r="AU151" s="991">
        <f t="shared" si="63"/>
        <v>707633</v>
      </c>
      <c r="AV151" s="991">
        <v>384689</v>
      </c>
      <c r="AW151" s="991">
        <v>22957</v>
      </c>
      <c r="AX151" s="991">
        <v>5253</v>
      </c>
      <c r="AY151" s="991">
        <v>235085</v>
      </c>
      <c r="AZ151" s="991">
        <v>59649</v>
      </c>
      <c r="BA151" s="991">
        <v>718000</v>
      </c>
      <c r="BB151" s="988">
        <f t="shared" si="58"/>
        <v>1.1654425191738018</v>
      </c>
      <c r="BC151" s="991">
        <v>984600</v>
      </c>
      <c r="BD151" s="988">
        <f t="shared" si="59"/>
        <v>1.3913992139993472</v>
      </c>
      <c r="BE151" s="1010">
        <v>449811</v>
      </c>
      <c r="BF151" s="991">
        <v>319657</v>
      </c>
      <c r="BG151" s="1117">
        <f t="shared" si="54"/>
        <v>0.71064736078041668</v>
      </c>
      <c r="BH151" s="1129">
        <f t="shared" si="64"/>
        <v>70633</v>
      </c>
      <c r="BI151" s="991">
        <f t="shared" si="65"/>
        <v>41017</v>
      </c>
      <c r="BJ151" s="991">
        <v>855951</v>
      </c>
      <c r="BK151" s="991">
        <v>433583</v>
      </c>
      <c r="BL151" s="991">
        <v>1244488</v>
      </c>
      <c r="BM151" s="991">
        <v>729369</v>
      </c>
      <c r="BN151" s="991">
        <v>94644</v>
      </c>
      <c r="BO151" s="991">
        <v>2318034</v>
      </c>
      <c r="BP151" s="991">
        <v>2387091</v>
      </c>
      <c r="BQ151" s="1131">
        <v>190648</v>
      </c>
      <c r="BR151" s="1129">
        <f t="shared" si="67"/>
        <v>-2097</v>
      </c>
      <c r="BS151" s="308">
        <f>BR151/DataUK1!B151</f>
        <v>-3.9221700804072919E-3</v>
      </c>
      <c r="BT151" s="991">
        <v>979564</v>
      </c>
      <c r="BU151" s="991">
        <v>250998</v>
      </c>
      <c r="BV151" s="991">
        <v>981661</v>
      </c>
      <c r="BW151" s="1131">
        <v>162324</v>
      </c>
      <c r="BX151" s="1145">
        <f t="shared" si="43"/>
        <v>294661</v>
      </c>
      <c r="BY151" s="991">
        <f t="shared" si="42"/>
        <v>324277</v>
      </c>
      <c r="BZ151" s="991">
        <v>286417</v>
      </c>
      <c r="CA151" s="991">
        <v>261929</v>
      </c>
      <c r="CB151" s="991">
        <v>253685</v>
      </c>
      <c r="CC151" s="991">
        <f t="shared" si="44"/>
        <v>29616</v>
      </c>
      <c r="CD151" s="991">
        <v>140761</v>
      </c>
      <c r="CE151" s="991">
        <v>11489</v>
      </c>
      <c r="CF151" s="991">
        <v>122634</v>
      </c>
      <c r="CG151" s="1146">
        <v>93056</v>
      </c>
      <c r="CH151" s="1129">
        <f t="shared" si="46"/>
        <v>2467138</v>
      </c>
      <c r="CI151" s="991">
        <f t="shared" si="47"/>
        <v>2537771</v>
      </c>
      <c r="CJ151" s="991">
        <f t="shared" si="66"/>
        <v>2537771</v>
      </c>
      <c r="CK151" s="1131">
        <f t="shared" si="68"/>
        <v>2717171</v>
      </c>
      <c r="CL151" s="975"/>
      <c r="CM151" s="975"/>
      <c r="CN151" s="975"/>
      <c r="CO151" s="975"/>
      <c r="CP151" s="979"/>
      <c r="CQ151" s="1273">
        <f t="shared" si="51"/>
        <v>22296</v>
      </c>
      <c r="CR151" s="1273">
        <v>13437</v>
      </c>
      <c r="CS151" s="1273">
        <v>8859</v>
      </c>
      <c r="CT151" s="577">
        <v>0</v>
      </c>
      <c r="CU151" s="1273">
        <f t="shared" si="52"/>
        <v>22296</v>
      </c>
      <c r="CV151" s="1273">
        <v>17156</v>
      </c>
      <c r="CW151" s="1273">
        <v>1708</v>
      </c>
      <c r="CX151" s="1273">
        <f t="shared" si="53"/>
        <v>3417.4</v>
      </c>
      <c r="CY151" s="1273">
        <v>14.6</v>
      </c>
    </row>
    <row r="152" spans="1:103" s="598" customFormat="1">
      <c r="A152" s="577">
        <f t="shared" si="55"/>
        <v>1993</v>
      </c>
      <c r="B152" s="982">
        <f t="shared" si="56"/>
        <v>2218113</v>
      </c>
      <c r="C152" s="1010">
        <f t="shared" si="60"/>
        <v>1213569</v>
      </c>
      <c r="D152" s="991">
        <v>1074433</v>
      </c>
      <c r="E152" s="991">
        <f t="shared" si="61"/>
        <v>139136</v>
      </c>
      <c r="F152" s="988">
        <f t="shared" si="62"/>
        <v>0.88534974113544429</v>
      </c>
      <c r="G152" s="972">
        <f>E152/DataUK1!B152</f>
        <v>0.24717360563360266</v>
      </c>
      <c r="H152" s="1065">
        <v>28653</v>
      </c>
      <c r="I152" s="972">
        <f>H152/DataUK1!B152</f>
        <v>5.0901745933616148E-2</v>
      </c>
      <c r="J152" s="991">
        <v>930400</v>
      </c>
      <c r="K152" s="986">
        <f t="shared" si="57"/>
        <v>0.86594510779173761</v>
      </c>
      <c r="L152" s="970">
        <v>201700</v>
      </c>
      <c r="M152" s="983">
        <f>L152/DataUK1!B152</f>
        <v>0.35831787787702429</v>
      </c>
      <c r="N152" s="991">
        <v>2389513</v>
      </c>
      <c r="O152" s="991">
        <v>1384969</v>
      </c>
      <c r="P152" s="991">
        <v>171400</v>
      </c>
      <c r="Q152" s="983">
        <f t="shared" si="48"/>
        <v>0.9282699026956539</v>
      </c>
      <c r="R152" s="988">
        <f>P152/DataUK1!B152</f>
        <v>0.30449025418007913</v>
      </c>
      <c r="S152" s="988"/>
      <c r="T152" s="988"/>
      <c r="U152" s="988"/>
      <c r="V152" s="988"/>
      <c r="W152" s="988"/>
      <c r="X152" s="988"/>
      <c r="Y152" s="988"/>
      <c r="Z152" s="988"/>
      <c r="AA152" s="988"/>
      <c r="AB152" s="988"/>
      <c r="AC152" s="988"/>
      <c r="AD152" s="988"/>
      <c r="AE152" s="988"/>
      <c r="AF152" s="988"/>
      <c r="AG152" s="988"/>
      <c r="AH152" s="988"/>
      <c r="AI152" s="988"/>
      <c r="AJ152" s="988"/>
      <c r="AK152" s="991"/>
      <c r="AL152" s="991"/>
      <c r="AM152" s="991"/>
      <c r="AN152" s="991"/>
      <c r="AO152" s="991"/>
      <c r="AP152" s="991"/>
      <c r="AQ152" s="991"/>
      <c r="AR152" s="991"/>
      <c r="AS152" s="1010">
        <v>1473132</v>
      </c>
      <c r="AT152" s="991">
        <v>703360</v>
      </c>
      <c r="AU152" s="991">
        <f t="shared" si="63"/>
        <v>769772</v>
      </c>
      <c r="AV152" s="991">
        <v>408308</v>
      </c>
      <c r="AW152" s="991">
        <v>31729</v>
      </c>
      <c r="AX152" s="991">
        <v>5225</v>
      </c>
      <c r="AY152" s="991">
        <v>263262</v>
      </c>
      <c r="AZ152" s="991">
        <v>61248</v>
      </c>
      <c r="BA152" s="991">
        <v>841000</v>
      </c>
      <c r="BB152" s="988">
        <f t="shared" si="58"/>
        <v>1.1956892629663329</v>
      </c>
      <c r="BC152" s="991">
        <v>1163700</v>
      </c>
      <c r="BD152" s="988">
        <f t="shared" si="59"/>
        <v>1.5117463352784981</v>
      </c>
      <c r="BE152" s="1010">
        <v>468588</v>
      </c>
      <c r="BF152" s="991">
        <v>338205</v>
      </c>
      <c r="BG152" s="1117">
        <f t="shared" si="54"/>
        <v>0.72175343798816871</v>
      </c>
      <c r="BH152" s="1129">
        <f t="shared" si="64"/>
        <v>23698</v>
      </c>
      <c r="BI152" s="991">
        <f t="shared" si="65"/>
        <v>-12774</v>
      </c>
      <c r="BJ152" s="991">
        <v>889845</v>
      </c>
      <c r="BK152" s="991">
        <v>456636</v>
      </c>
      <c r="BL152" s="991">
        <v>1339326</v>
      </c>
      <c r="BM152" s="991">
        <v>806697</v>
      </c>
      <c r="BN152" s="991">
        <v>86012</v>
      </c>
      <c r="BO152" s="991">
        <v>2646013</v>
      </c>
      <c r="BP152" s="991">
        <v>2715482</v>
      </c>
      <c r="BQ152" s="1131">
        <v>223696</v>
      </c>
      <c r="BR152" s="1129">
        <f t="shared" si="67"/>
        <v>6052</v>
      </c>
      <c r="BS152" s="308">
        <f>BR152/DataUK1!B152</f>
        <v>1.0751312825541651E-2</v>
      </c>
      <c r="BT152" s="991">
        <v>1185141</v>
      </c>
      <c r="BU152" s="991">
        <v>288428</v>
      </c>
      <c r="BV152" s="991">
        <v>1179089</v>
      </c>
      <c r="BW152" s="1131">
        <v>186482</v>
      </c>
      <c r="BX152" s="1145">
        <f t="shared" si="43"/>
        <v>218979</v>
      </c>
      <c r="BY152" s="991">
        <f t="shared" si="42"/>
        <v>255451</v>
      </c>
      <c r="BZ152" s="991">
        <v>260865</v>
      </c>
      <c r="CA152" s="991">
        <v>253445</v>
      </c>
      <c r="CB152" s="991">
        <v>295331</v>
      </c>
      <c r="CC152" s="991">
        <f t="shared" si="44"/>
        <v>36472</v>
      </c>
      <c r="CD152" s="991">
        <v>141753</v>
      </c>
      <c r="CE152" s="991">
        <v>12455</v>
      </c>
      <c r="CF152" s="991">
        <v>117736</v>
      </c>
      <c r="CG152" s="1146">
        <v>88734</v>
      </c>
      <c r="CH152" s="1129">
        <f t="shared" si="46"/>
        <v>2437092</v>
      </c>
      <c r="CI152" s="991">
        <f t="shared" si="47"/>
        <v>2460790</v>
      </c>
      <c r="CJ152" s="991">
        <f t="shared" si="66"/>
        <v>2460790</v>
      </c>
      <c r="CK152" s="1131">
        <f t="shared" si="68"/>
        <v>2632190</v>
      </c>
      <c r="CL152" s="975"/>
      <c r="CM152" s="975"/>
      <c r="CN152" s="975"/>
      <c r="CO152" s="975"/>
      <c r="CP152" s="979"/>
      <c r="CQ152" s="1273">
        <f t="shared" si="51"/>
        <v>24023</v>
      </c>
      <c r="CR152" s="1273">
        <v>10295</v>
      </c>
      <c r="CS152" s="1273">
        <v>13728</v>
      </c>
      <c r="CT152" s="577">
        <v>0</v>
      </c>
      <c r="CU152" s="1273">
        <f t="shared" si="52"/>
        <v>24023</v>
      </c>
      <c r="CV152" s="1273">
        <v>18089</v>
      </c>
      <c r="CW152" s="1273">
        <v>1549</v>
      </c>
      <c r="CX152" s="1273">
        <f t="shared" si="53"/>
        <v>4370.3999999999996</v>
      </c>
      <c r="CY152" s="1273">
        <v>14.6</v>
      </c>
    </row>
    <row r="153" spans="1:103" s="598" customFormat="1">
      <c r="A153" s="577">
        <f t="shared" si="55"/>
        <v>1994</v>
      </c>
      <c r="B153" s="982">
        <f t="shared" si="56"/>
        <v>2514527</v>
      </c>
      <c r="C153" s="1010">
        <f t="shared" si="60"/>
        <v>1242607</v>
      </c>
      <c r="D153" s="991">
        <v>1097248</v>
      </c>
      <c r="E153" s="991">
        <f t="shared" si="61"/>
        <v>145359</v>
      </c>
      <c r="F153" s="988">
        <f t="shared" si="62"/>
        <v>0.88302093904186918</v>
      </c>
      <c r="G153" s="972">
        <f>E153/DataUK1!B153</f>
        <v>0.24040904219426032</v>
      </c>
      <c r="H153" s="1065">
        <v>33206</v>
      </c>
      <c r="I153" s="972">
        <f>H153/DataUK1!B153</f>
        <v>5.4919355905741013E-2</v>
      </c>
      <c r="J153" s="991">
        <v>920500</v>
      </c>
      <c r="K153" s="986">
        <f t="shared" si="57"/>
        <v>0.83891699962086963</v>
      </c>
      <c r="L153" s="970">
        <v>208700</v>
      </c>
      <c r="M153" s="983">
        <f>L153/DataUK1!B153</f>
        <v>0.34516863149816746</v>
      </c>
      <c r="N153" s="991">
        <v>2702924</v>
      </c>
      <c r="O153" s="991">
        <v>1431004</v>
      </c>
      <c r="P153" s="991">
        <v>188397</v>
      </c>
      <c r="Q153" s="983">
        <f t="shared" si="48"/>
        <v>0.93029881713285312</v>
      </c>
      <c r="R153" s="988">
        <f>P153/DataUK1!B153</f>
        <v>0.31158952883737545</v>
      </c>
      <c r="S153" s="988"/>
      <c r="T153" s="988"/>
      <c r="U153" s="988"/>
      <c r="V153" s="988"/>
      <c r="W153" s="988"/>
      <c r="X153" s="988"/>
      <c r="Y153" s="988"/>
      <c r="Z153" s="988"/>
      <c r="AA153" s="988"/>
      <c r="AB153" s="988"/>
      <c r="AC153" s="988"/>
      <c r="AD153" s="988"/>
      <c r="AE153" s="988"/>
      <c r="AF153" s="988"/>
      <c r="AG153" s="988"/>
      <c r="AH153" s="988"/>
      <c r="AI153" s="988"/>
      <c r="AJ153" s="988"/>
      <c r="AK153" s="991"/>
      <c r="AL153" s="991"/>
      <c r="AM153" s="991"/>
      <c r="AN153" s="991"/>
      <c r="AO153" s="991"/>
      <c r="AP153" s="991"/>
      <c r="AQ153" s="991"/>
      <c r="AR153" s="991"/>
      <c r="AS153" s="1010">
        <v>1757431</v>
      </c>
      <c r="AT153" s="991">
        <v>895762</v>
      </c>
      <c r="AU153" s="991">
        <f t="shared" si="63"/>
        <v>861669</v>
      </c>
      <c r="AV153" s="991">
        <v>422088</v>
      </c>
      <c r="AW153" s="991">
        <v>34618</v>
      </c>
      <c r="AX153" s="991">
        <v>5334</v>
      </c>
      <c r="AY153" s="991">
        <v>336900</v>
      </c>
      <c r="AZ153" s="991">
        <v>62729</v>
      </c>
      <c r="BA153" s="991">
        <v>883000</v>
      </c>
      <c r="BB153" s="988">
        <f t="shared" si="58"/>
        <v>0.9857529120458336</v>
      </c>
      <c r="BC153" s="991">
        <v>1189000</v>
      </c>
      <c r="BD153" s="988">
        <f t="shared" si="59"/>
        <v>1.3798802092218705</v>
      </c>
      <c r="BE153" s="1010">
        <v>485511</v>
      </c>
      <c r="BF153" s="991">
        <v>356490</v>
      </c>
      <c r="BG153" s="1117">
        <f t="shared" si="54"/>
        <v>0.73425730827931812</v>
      </c>
      <c r="BH153" s="1129">
        <f t="shared" si="64"/>
        <v>-62150</v>
      </c>
      <c r="BI153" s="991">
        <f t="shared" si="65"/>
        <v>-101755</v>
      </c>
      <c r="BJ153" s="991">
        <v>978817</v>
      </c>
      <c r="BK153" s="991">
        <v>494778</v>
      </c>
      <c r="BL153" s="991">
        <v>1513718</v>
      </c>
      <c r="BM153" s="991">
        <v>964721</v>
      </c>
      <c r="BN153" s="991">
        <v>89067</v>
      </c>
      <c r="BO153" s="991">
        <v>3066461</v>
      </c>
      <c r="BP153" s="991">
        <v>3177555</v>
      </c>
      <c r="BQ153" s="1131">
        <v>322175</v>
      </c>
      <c r="BR153" s="1129">
        <f t="shared" si="67"/>
        <v>23422</v>
      </c>
      <c r="BS153" s="308">
        <f>BR153/DataUK1!B153</f>
        <v>3.8737612299712884E-2</v>
      </c>
      <c r="BT153" s="991">
        <v>1392402</v>
      </c>
      <c r="BU153" s="991">
        <v>361343</v>
      </c>
      <c r="BV153" s="991">
        <v>1368980</v>
      </c>
      <c r="BW153" s="1131">
        <v>232649</v>
      </c>
      <c r="BX153" s="1145">
        <f t="shared" si="43"/>
        <v>161293</v>
      </c>
      <c r="BY153" s="991">
        <f t="shared" si="42"/>
        <v>200898</v>
      </c>
      <c r="BZ153" s="991">
        <v>274683</v>
      </c>
      <c r="CA153" s="991">
        <v>257848</v>
      </c>
      <c r="CB153" s="991">
        <v>371238</v>
      </c>
      <c r="CC153" s="991">
        <f t="shared" si="44"/>
        <v>39605</v>
      </c>
      <c r="CD153" s="991">
        <v>142426</v>
      </c>
      <c r="CE153" s="991">
        <v>13441</v>
      </c>
      <c r="CF153" s="991">
        <v>116262</v>
      </c>
      <c r="CG153" s="1146">
        <v>87188</v>
      </c>
      <c r="CH153" s="1129">
        <f t="shared" si="46"/>
        <v>2675820</v>
      </c>
      <c r="CI153" s="991">
        <f t="shared" si="47"/>
        <v>2613670</v>
      </c>
      <c r="CJ153" s="991">
        <f t="shared" si="66"/>
        <v>2613670</v>
      </c>
      <c r="CK153" s="1131">
        <f t="shared" si="68"/>
        <v>2802067</v>
      </c>
      <c r="CL153" s="975"/>
      <c r="CM153" s="975"/>
      <c r="CN153" s="975"/>
      <c r="CO153" s="975"/>
      <c r="CP153" s="979"/>
      <c r="CQ153" s="1273">
        <f t="shared" si="51"/>
        <v>30584</v>
      </c>
      <c r="CR153" s="1273">
        <v>7000</v>
      </c>
      <c r="CS153" s="1273">
        <v>23584</v>
      </c>
      <c r="CT153" s="577">
        <v>0</v>
      </c>
      <c r="CU153" s="1273">
        <f t="shared" si="52"/>
        <v>30584</v>
      </c>
      <c r="CV153" s="1273">
        <v>19378</v>
      </c>
      <c r="CW153" s="1273">
        <v>4758</v>
      </c>
      <c r="CX153" s="1273">
        <f t="shared" si="53"/>
        <v>6433.4</v>
      </c>
      <c r="CY153" s="1273">
        <v>14.6</v>
      </c>
    </row>
    <row r="154" spans="1:103" s="598" customFormat="1">
      <c r="A154" s="577">
        <f t="shared" si="55"/>
        <v>1995</v>
      </c>
      <c r="B154" s="982">
        <f t="shared" si="56"/>
        <v>2461693</v>
      </c>
      <c r="C154" s="1010">
        <f t="shared" si="60"/>
        <v>1241640</v>
      </c>
      <c r="D154" s="991">
        <v>1092301</v>
      </c>
      <c r="E154" s="991">
        <f t="shared" si="61"/>
        <v>149339</v>
      </c>
      <c r="F154" s="988">
        <f t="shared" si="62"/>
        <v>0.87972439676556813</v>
      </c>
      <c r="G154" s="972">
        <f>E154/DataUK1!B154</f>
        <v>0.23393836480154895</v>
      </c>
      <c r="H154" s="1065">
        <v>35726</v>
      </c>
      <c r="I154" s="972">
        <f>H154/DataUK1!B154</f>
        <v>5.5964497022881747E-2</v>
      </c>
      <c r="J154" s="988"/>
      <c r="K154" s="988"/>
      <c r="L154" s="984">
        <f>M154*DataUK1!B154</f>
        <v>220344.95412085365</v>
      </c>
      <c r="M154" s="988">
        <f>M153</f>
        <v>0.34516863149816746</v>
      </c>
      <c r="N154" s="991">
        <v>2618958</v>
      </c>
      <c r="O154" s="991">
        <v>1398905</v>
      </c>
      <c r="P154" s="991">
        <v>157265</v>
      </c>
      <c r="Q154" s="983">
        <f t="shared" si="48"/>
        <v>0.93995130887933298</v>
      </c>
      <c r="R154" s="988">
        <f>P154/DataUK1!B154</f>
        <v>0.2463543812434501</v>
      </c>
      <c r="S154" s="988"/>
      <c r="T154" s="988"/>
      <c r="U154" s="988"/>
      <c r="V154" s="988"/>
      <c r="W154" s="988"/>
      <c r="X154" s="988"/>
      <c r="Y154" s="988"/>
      <c r="Z154" s="988"/>
      <c r="AA154" s="988"/>
      <c r="AB154" s="988"/>
      <c r="AC154" s="988"/>
      <c r="AD154" s="988"/>
      <c r="AE154" s="988"/>
      <c r="AF154" s="988"/>
      <c r="AG154" s="988"/>
      <c r="AH154" s="988"/>
      <c r="AI154" s="988"/>
      <c r="AJ154" s="988"/>
      <c r="AK154" s="991"/>
      <c r="AL154" s="991"/>
      <c r="AM154" s="991"/>
      <c r="AN154" s="991"/>
      <c r="AO154" s="991"/>
      <c r="AP154" s="991"/>
      <c r="AQ154" s="991"/>
      <c r="AR154" s="991"/>
      <c r="AS154" s="1010">
        <v>1728357</v>
      </c>
      <c r="AT154" s="991">
        <v>848511</v>
      </c>
      <c r="AU154" s="991">
        <f t="shared" si="63"/>
        <v>879846</v>
      </c>
      <c r="AV154" s="991">
        <v>436539</v>
      </c>
      <c r="AW154" s="991">
        <v>32662</v>
      </c>
      <c r="AX154" s="991">
        <v>5272</v>
      </c>
      <c r="AY154" s="991">
        <v>340605</v>
      </c>
      <c r="AZ154" s="991">
        <v>64768</v>
      </c>
      <c r="BA154" s="991"/>
      <c r="BB154" s="991"/>
      <c r="BC154" s="991"/>
      <c r="BD154" s="991"/>
      <c r="BE154" s="1010">
        <v>508304</v>
      </c>
      <c r="BF154" s="991">
        <v>375056</v>
      </c>
      <c r="BG154" s="1117">
        <f t="shared" si="54"/>
        <v>0.73785765998300235</v>
      </c>
      <c r="BH154" s="1129">
        <f t="shared" si="64"/>
        <v>55056</v>
      </c>
      <c r="BI154" s="991">
        <f t="shared" si="65"/>
        <v>7250</v>
      </c>
      <c r="BJ154" s="991">
        <v>1028582</v>
      </c>
      <c r="BK154" s="991">
        <v>513936</v>
      </c>
      <c r="BL154" s="991">
        <v>1472409</v>
      </c>
      <c r="BM154" s="991">
        <v>923549</v>
      </c>
      <c r="BN154" s="991">
        <v>93115</v>
      </c>
      <c r="BO154" s="991">
        <v>3065230</v>
      </c>
      <c r="BP154" s="991">
        <v>3173398</v>
      </c>
      <c r="BQ154" s="1131">
        <v>301521</v>
      </c>
      <c r="BR154" s="1129">
        <f t="shared" si="67"/>
        <v>12488</v>
      </c>
      <c r="BS154" s="308">
        <f>BR154/DataUK1!B154</f>
        <v>1.9562353435082218E-2</v>
      </c>
      <c r="BT154" s="991">
        <v>1392263</v>
      </c>
      <c r="BU154" s="991">
        <v>363184</v>
      </c>
      <c r="BV154" s="991">
        <v>1379775</v>
      </c>
      <c r="BW154" s="1131">
        <v>224878</v>
      </c>
      <c r="BX154" s="1145">
        <f t="shared" si="43"/>
        <v>159113</v>
      </c>
      <c r="BY154" s="991">
        <f t="shared" si="42"/>
        <v>206919</v>
      </c>
      <c r="BZ154" s="991">
        <v>295213</v>
      </c>
      <c r="CA154" s="991">
        <v>241296</v>
      </c>
      <c r="CB154" s="991">
        <v>377396</v>
      </c>
      <c r="CC154" s="991">
        <f t="shared" si="44"/>
        <v>47806</v>
      </c>
      <c r="CD154" s="991">
        <v>141871</v>
      </c>
      <c r="CE154" s="991">
        <v>15476</v>
      </c>
      <c r="CF154" s="991">
        <v>109541</v>
      </c>
      <c r="CG154" s="1146">
        <v>81632</v>
      </c>
      <c r="CH154" s="1129">
        <f t="shared" si="46"/>
        <v>2620806</v>
      </c>
      <c r="CI154" s="991">
        <f t="shared" si="47"/>
        <v>2675862</v>
      </c>
      <c r="CJ154" s="991">
        <f t="shared" si="66"/>
        <v>2675862</v>
      </c>
      <c r="CK154" s="1131">
        <f t="shared" si="68"/>
        <v>2833127</v>
      </c>
      <c r="CL154" s="975"/>
      <c r="CM154" s="975"/>
      <c r="CN154" s="975"/>
      <c r="CO154" s="975"/>
      <c r="CP154" s="979"/>
      <c r="CQ154" s="1273">
        <f t="shared" si="51"/>
        <v>26688</v>
      </c>
      <c r="CR154" s="1273">
        <v>13611</v>
      </c>
      <c r="CS154" s="1273">
        <v>13077</v>
      </c>
      <c r="CT154" s="577">
        <v>0</v>
      </c>
      <c r="CU154" s="1273">
        <f t="shared" si="52"/>
        <v>26688</v>
      </c>
      <c r="CV154" s="1273">
        <v>20448</v>
      </c>
      <c r="CW154" s="1273">
        <v>2934</v>
      </c>
      <c r="CX154" s="1273">
        <f t="shared" si="53"/>
        <v>3291.4</v>
      </c>
      <c r="CY154" s="1273">
        <v>14.6</v>
      </c>
    </row>
    <row r="155" spans="1:103" s="598" customFormat="1">
      <c r="A155" s="577">
        <f t="shared" si="55"/>
        <v>1996</v>
      </c>
      <c r="B155" s="982">
        <f t="shared" si="56"/>
        <v>2688526</v>
      </c>
      <c r="C155" s="1010">
        <f t="shared" si="60"/>
        <v>1249559</v>
      </c>
      <c r="D155" s="991">
        <v>1088488</v>
      </c>
      <c r="E155" s="991">
        <f t="shared" si="61"/>
        <v>161071</v>
      </c>
      <c r="F155" s="988">
        <f t="shared" si="62"/>
        <v>0.87109772327677204</v>
      </c>
      <c r="G155" s="972">
        <f>E155/DataUK1!B155</f>
        <v>0.23577967684610227</v>
      </c>
      <c r="H155" s="1065">
        <v>41895</v>
      </c>
      <c r="I155" s="972">
        <f>H155/DataUK1!B155</f>
        <v>6.1326927637299418E-2</v>
      </c>
      <c r="J155" s="988"/>
      <c r="K155" s="988"/>
      <c r="L155" s="984">
        <f>M155*DataUK1!B155</f>
        <v>235799.18925892111</v>
      </c>
      <c r="M155" s="988">
        <f t="shared" ref="M155:M170" si="69">M154</f>
        <v>0.34516863149816746</v>
      </c>
      <c r="N155" s="991">
        <v>2839102</v>
      </c>
      <c r="O155" s="991">
        <v>1400135</v>
      </c>
      <c r="P155" s="991">
        <v>150576</v>
      </c>
      <c r="Q155" s="983">
        <f t="shared" si="48"/>
        <v>0.9469635117019396</v>
      </c>
      <c r="R155" s="988">
        <f>P155/DataUK1!B155</f>
        <v>0.220416838666046</v>
      </c>
      <c r="S155" s="988"/>
      <c r="T155" s="988"/>
      <c r="U155" s="988"/>
      <c r="V155" s="988"/>
      <c r="W155" s="988"/>
      <c r="X155" s="988"/>
      <c r="Y155" s="988"/>
      <c r="Z155" s="988"/>
      <c r="AA155" s="988"/>
      <c r="AB155" s="988"/>
      <c r="AC155" s="988"/>
      <c r="AD155" s="988"/>
      <c r="AE155" s="988"/>
      <c r="AF155" s="988"/>
      <c r="AG155" s="988"/>
      <c r="AH155" s="988"/>
      <c r="AI155" s="988"/>
      <c r="AJ155" s="988"/>
      <c r="AK155" s="991"/>
      <c r="AL155" s="991"/>
      <c r="AM155" s="991"/>
      <c r="AN155" s="991"/>
      <c r="AO155" s="991"/>
      <c r="AP155" s="991"/>
      <c r="AQ155" s="991"/>
      <c r="AR155" s="991"/>
      <c r="AS155" s="1010">
        <v>1971242</v>
      </c>
      <c r="AT155" s="991">
        <v>994882</v>
      </c>
      <c r="AU155" s="991">
        <f t="shared" si="63"/>
        <v>976360</v>
      </c>
      <c r="AV155" s="991">
        <v>468451</v>
      </c>
      <c r="AW155" s="991">
        <v>42538</v>
      </c>
      <c r="AX155" s="991">
        <v>5415</v>
      </c>
      <c r="AY155" s="991">
        <v>392977</v>
      </c>
      <c r="AZ155" s="991">
        <v>66979</v>
      </c>
      <c r="BA155" s="991"/>
      <c r="BB155" s="991"/>
      <c r="BC155" s="991"/>
      <c r="BD155" s="991"/>
      <c r="BE155" s="1010">
        <v>532275</v>
      </c>
      <c r="BF155" s="991">
        <v>389694</v>
      </c>
      <c r="BG155" s="1117">
        <f t="shared" si="54"/>
        <v>0.73212906862054394</v>
      </c>
      <c r="BH155" s="1129">
        <f t="shared" si="64"/>
        <v>-121078</v>
      </c>
      <c r="BI155" s="991">
        <f t="shared" si="65"/>
        <v>-157444</v>
      </c>
      <c r="BJ155" s="991">
        <v>1050149</v>
      </c>
      <c r="BK155" s="991">
        <v>560827</v>
      </c>
      <c r="BL155" s="991">
        <v>1643706</v>
      </c>
      <c r="BM155" s="991">
        <v>1057786</v>
      </c>
      <c r="BN155" s="991">
        <v>90836</v>
      </c>
      <c r="BO155" s="991">
        <v>3507498</v>
      </c>
      <c r="BP155" s="991">
        <v>3686682</v>
      </c>
      <c r="BQ155" s="1131">
        <v>374112</v>
      </c>
      <c r="BR155" s="1129">
        <f t="shared" si="67"/>
        <v>-20746</v>
      </c>
      <c r="BS155" s="308">
        <f>BR155/DataUK1!B155</f>
        <v>-3.0368503180890648E-2</v>
      </c>
      <c r="BT155" s="991">
        <v>1603253</v>
      </c>
      <c r="BU155" s="991">
        <v>420008</v>
      </c>
      <c r="BV155" s="991">
        <v>1623999</v>
      </c>
      <c r="BW155" s="1131">
        <v>291603</v>
      </c>
      <c r="BX155" s="1145">
        <f t="shared" si="43"/>
        <v>126606</v>
      </c>
      <c r="BY155" s="991">
        <f t="shared" si="42"/>
        <v>162972</v>
      </c>
      <c r="BZ155" s="991">
        <v>319379</v>
      </c>
      <c r="CA155" s="991">
        <v>241540</v>
      </c>
      <c r="CB155" s="991">
        <v>434313</v>
      </c>
      <c r="CC155" s="991">
        <f t="shared" si="44"/>
        <v>36366</v>
      </c>
      <c r="CD155" s="991">
        <v>123745</v>
      </c>
      <c r="CE155" s="991">
        <v>16770</v>
      </c>
      <c r="CF155" s="991">
        <v>104149</v>
      </c>
      <c r="CG155" s="1146">
        <v>79100</v>
      </c>
      <c r="CH155" s="1129">
        <f t="shared" si="46"/>
        <v>2815132</v>
      </c>
      <c r="CI155" s="991">
        <f t="shared" si="47"/>
        <v>2694054</v>
      </c>
      <c r="CJ155" s="991">
        <f t="shared" si="66"/>
        <v>2694054</v>
      </c>
      <c r="CK155" s="1131">
        <f t="shared" si="68"/>
        <v>2844630</v>
      </c>
      <c r="CL155" s="975"/>
      <c r="CM155" s="975"/>
      <c r="CN155" s="975"/>
      <c r="CO155" s="975"/>
      <c r="CP155" s="979"/>
      <c r="CQ155" s="1273">
        <f t="shared" si="51"/>
        <v>28293</v>
      </c>
      <c r="CR155" s="1273">
        <v>16701</v>
      </c>
      <c r="CS155" s="1273">
        <v>11592</v>
      </c>
      <c r="CT155" s="577">
        <v>0</v>
      </c>
      <c r="CU155" s="1273">
        <f t="shared" si="52"/>
        <v>28293</v>
      </c>
      <c r="CV155" s="1273">
        <v>21717</v>
      </c>
      <c r="CW155" s="1273">
        <v>3412</v>
      </c>
      <c r="CX155" s="1273">
        <f t="shared" si="53"/>
        <v>3149.4</v>
      </c>
      <c r="CY155" s="1273">
        <v>14.6</v>
      </c>
    </row>
    <row r="156" spans="1:103" s="598" customFormat="1">
      <c r="A156" s="577">
        <f t="shared" si="55"/>
        <v>1997</v>
      </c>
      <c r="B156" s="982">
        <f t="shared" si="56"/>
        <v>2919109</v>
      </c>
      <c r="C156" s="1010">
        <f t="shared" si="60"/>
        <v>1372370</v>
      </c>
      <c r="D156" s="991">
        <v>1196268</v>
      </c>
      <c r="E156" s="991">
        <f t="shared" si="61"/>
        <v>176102</v>
      </c>
      <c r="F156" s="988">
        <f t="shared" si="62"/>
        <v>0.87168037774069673</v>
      </c>
      <c r="G156" s="972">
        <f>E156/DataUK1!B156</f>
        <v>0.24042738520098189</v>
      </c>
      <c r="H156" s="1065">
        <v>43050</v>
      </c>
      <c r="I156" s="972">
        <f>H156/DataUK1!B156</f>
        <v>5.877502204916623E-2</v>
      </c>
      <c r="J156" s="988"/>
      <c r="K156" s="988"/>
      <c r="L156" s="984">
        <f>M156*DataUK1!B156</f>
        <v>252820.14481535874</v>
      </c>
      <c r="M156" s="988">
        <f t="shared" si="69"/>
        <v>0.34516863149816746</v>
      </c>
      <c r="N156" s="991">
        <v>3083083</v>
      </c>
      <c r="O156" s="991">
        <v>1536344</v>
      </c>
      <c r="P156" s="991">
        <v>163974</v>
      </c>
      <c r="Q156" s="983">
        <f t="shared" si="48"/>
        <v>0.94681492519014243</v>
      </c>
      <c r="R156" s="988">
        <f>P156/DataUK1!B156</f>
        <v>0.22386934879186951</v>
      </c>
      <c r="S156" s="988"/>
      <c r="T156" s="988"/>
      <c r="U156" s="988"/>
      <c r="V156" s="988"/>
      <c r="W156" s="988"/>
      <c r="X156" s="988"/>
      <c r="Y156" s="988"/>
      <c r="Z156" s="988"/>
      <c r="AA156" s="988"/>
      <c r="AB156" s="988"/>
      <c r="AC156" s="988"/>
      <c r="AD156" s="988"/>
      <c r="AE156" s="988"/>
      <c r="AF156" s="988"/>
      <c r="AG156" s="988"/>
      <c r="AH156" s="988"/>
      <c r="AI156" s="988"/>
      <c r="AJ156" s="988"/>
      <c r="AK156" s="991"/>
      <c r="AL156" s="991"/>
      <c r="AM156" s="991"/>
      <c r="AN156" s="991"/>
      <c r="AO156" s="991"/>
      <c r="AP156" s="991"/>
      <c r="AQ156" s="991"/>
      <c r="AR156" s="991"/>
      <c r="AS156" s="1010">
        <v>2098630</v>
      </c>
      <c r="AT156" s="991">
        <v>1068903</v>
      </c>
      <c r="AU156" s="991">
        <f t="shared" si="63"/>
        <v>1029727</v>
      </c>
      <c r="AV156" s="991">
        <v>495109</v>
      </c>
      <c r="AW156" s="991">
        <v>46687</v>
      </c>
      <c r="AX156" s="991">
        <v>6335</v>
      </c>
      <c r="AY156" s="991">
        <v>414989</v>
      </c>
      <c r="AZ156" s="991">
        <v>66607</v>
      </c>
      <c r="BA156" s="991"/>
      <c r="BB156" s="991"/>
      <c r="BC156" s="991"/>
      <c r="BD156" s="991"/>
      <c r="BE156" s="1010">
        <v>551891</v>
      </c>
      <c r="BF156" s="991">
        <v>408309</v>
      </c>
      <c r="BG156" s="1117">
        <f t="shared" si="54"/>
        <v>0.73983630825652169</v>
      </c>
      <c r="BH156" s="1129">
        <f t="shared" si="64"/>
        <v>-204501</v>
      </c>
      <c r="BI156" s="991">
        <f t="shared" si="65"/>
        <v>-237030</v>
      </c>
      <c r="BJ156" s="991">
        <v>1091105</v>
      </c>
      <c r="BK156" s="991">
        <v>579958</v>
      </c>
      <c r="BL156" s="991">
        <v>1753510</v>
      </c>
      <c r="BM156" s="991">
        <v>1159035</v>
      </c>
      <c r="BN156" s="991">
        <v>92289</v>
      </c>
      <c r="BO156" s="991">
        <v>3843590</v>
      </c>
      <c r="BP156" s="991">
        <v>4057933</v>
      </c>
      <c r="BQ156" s="1131">
        <v>427408</v>
      </c>
      <c r="BR156" s="1129">
        <f t="shared" si="67"/>
        <v>-63409</v>
      </c>
      <c r="BS156" s="308">
        <f>BR156/DataUK1!B156</f>
        <v>-8.657062423032709E-2</v>
      </c>
      <c r="BT156" s="991">
        <v>1689298</v>
      </c>
      <c r="BU156" s="991">
        <v>445032</v>
      </c>
      <c r="BV156" s="991">
        <v>1752707</v>
      </c>
      <c r="BW156" s="1131">
        <v>346658</v>
      </c>
      <c r="BX156" s="1145">
        <f t="shared" si="43"/>
        <v>110697</v>
      </c>
      <c r="BY156" s="991">
        <f t="shared" si="42"/>
        <v>143226</v>
      </c>
      <c r="BZ156" s="991">
        <v>328735</v>
      </c>
      <c r="CA156" s="991">
        <v>238968</v>
      </c>
      <c r="CB156" s="991">
        <v>457006</v>
      </c>
      <c r="CC156" s="991">
        <f t="shared" si="44"/>
        <v>32529</v>
      </c>
      <c r="CD156" s="991">
        <v>117960</v>
      </c>
      <c r="CE156" s="991">
        <v>17413</v>
      </c>
      <c r="CF156" s="991">
        <v>102844</v>
      </c>
      <c r="CG156" s="1146">
        <v>86943</v>
      </c>
      <c r="CH156" s="1129">
        <f t="shared" si="46"/>
        <v>3029806</v>
      </c>
      <c r="CI156" s="991">
        <f t="shared" si="47"/>
        <v>2825305</v>
      </c>
      <c r="CJ156" s="991">
        <f t="shared" si="66"/>
        <v>2825305</v>
      </c>
      <c r="CK156" s="1131">
        <f t="shared" si="68"/>
        <v>2989279</v>
      </c>
      <c r="CL156" s="975"/>
      <c r="CM156" s="975"/>
      <c r="CN156" s="975"/>
      <c r="CO156" s="975"/>
      <c r="CP156" s="979"/>
      <c r="CQ156" s="1273">
        <f t="shared" si="51"/>
        <v>26713</v>
      </c>
      <c r="CR156" s="1273">
        <v>15832</v>
      </c>
      <c r="CS156" s="1273">
        <v>10881</v>
      </c>
      <c r="CT156" s="577">
        <v>0</v>
      </c>
      <c r="CU156" s="1273">
        <f t="shared" si="52"/>
        <v>26713</v>
      </c>
      <c r="CV156" s="1273">
        <v>22407</v>
      </c>
      <c r="CW156" s="1273">
        <v>3022</v>
      </c>
      <c r="CX156" s="1273">
        <f t="shared" si="53"/>
        <v>1269.4000000000001</v>
      </c>
      <c r="CY156" s="1273">
        <v>14.6</v>
      </c>
    </row>
    <row r="157" spans="1:103" s="598" customFormat="1">
      <c r="A157" s="577">
        <f t="shared" si="55"/>
        <v>1998</v>
      </c>
      <c r="B157" s="982">
        <f t="shared" si="56"/>
        <v>3402774</v>
      </c>
      <c r="C157" s="1010">
        <f t="shared" si="60"/>
        <v>1489044</v>
      </c>
      <c r="D157" s="991">
        <v>1303284</v>
      </c>
      <c r="E157" s="991">
        <f t="shared" si="61"/>
        <v>185760</v>
      </c>
      <c r="F157" s="988">
        <f t="shared" si="62"/>
        <v>0.8752488173620121</v>
      </c>
      <c r="G157" s="972">
        <f>E157/DataUK1!B157</f>
        <v>0.23556146206364825</v>
      </c>
      <c r="H157" s="1065">
        <v>44541</v>
      </c>
      <c r="I157" s="972">
        <f>H157/DataUK1!B157</f>
        <v>5.6482251732218762E-2</v>
      </c>
      <c r="J157" s="988"/>
      <c r="K157" s="988"/>
      <c r="L157" s="984">
        <f>M157*DataUK1!B157</f>
        <v>272194.46010135091</v>
      </c>
      <c r="M157" s="988">
        <f t="shared" si="69"/>
        <v>0.34516863149816746</v>
      </c>
      <c r="N157" s="991">
        <v>3568207</v>
      </c>
      <c r="O157" s="991">
        <v>1654477</v>
      </c>
      <c r="P157" s="991">
        <v>165433</v>
      </c>
      <c r="Q157" s="983">
        <f t="shared" si="48"/>
        <v>0.95363693866415267</v>
      </c>
      <c r="R157" s="988">
        <f>P157/DataUK1!B157</f>
        <v>0.20978488024103964</v>
      </c>
      <c r="S157" s="988"/>
      <c r="T157" s="988"/>
      <c r="U157" s="988"/>
      <c r="V157" s="988"/>
      <c r="W157" s="988"/>
      <c r="X157" s="988"/>
      <c r="Y157" s="988"/>
      <c r="Z157" s="988"/>
      <c r="AA157" s="988"/>
      <c r="AB157" s="988"/>
      <c r="AC157" s="988"/>
      <c r="AD157" s="988"/>
      <c r="AE157" s="988"/>
      <c r="AF157" s="988"/>
      <c r="AG157" s="988"/>
      <c r="AH157" s="988"/>
      <c r="AI157" s="988"/>
      <c r="AJ157" s="988"/>
      <c r="AK157" s="991"/>
      <c r="AL157" s="991"/>
      <c r="AM157" s="991"/>
      <c r="AN157" s="991"/>
      <c r="AO157" s="991"/>
      <c r="AP157" s="991"/>
      <c r="AQ157" s="991"/>
      <c r="AR157" s="991"/>
      <c r="AS157" s="1010">
        <v>2502406</v>
      </c>
      <c r="AT157" s="991">
        <v>1301453</v>
      </c>
      <c r="AU157" s="991">
        <f t="shared" si="63"/>
        <v>1200953</v>
      </c>
      <c r="AV157" s="991">
        <v>537416</v>
      </c>
      <c r="AW157" s="991">
        <v>58149</v>
      </c>
      <c r="AX157" s="991">
        <v>6359</v>
      </c>
      <c r="AY157" s="991">
        <v>530171</v>
      </c>
      <c r="AZ157" s="991">
        <v>68858</v>
      </c>
      <c r="BA157" s="991"/>
      <c r="BB157" s="991"/>
      <c r="BC157" s="991"/>
      <c r="BD157" s="991"/>
      <c r="BE157" s="1010">
        <v>588676</v>
      </c>
      <c r="BF157" s="991">
        <v>429679</v>
      </c>
      <c r="BG157" s="1117">
        <f t="shared" si="54"/>
        <v>0.72990745333596074</v>
      </c>
      <c r="BH157" s="1129">
        <f t="shared" si="64"/>
        <v>-477130</v>
      </c>
      <c r="BI157" s="991">
        <f t="shared" si="65"/>
        <v>-516937</v>
      </c>
      <c r="BJ157" s="991">
        <v>1134734</v>
      </c>
      <c r="BK157" s="991">
        <v>645605</v>
      </c>
      <c r="BL157" s="991">
        <v>1996183</v>
      </c>
      <c r="BM157" s="991">
        <v>1353559</v>
      </c>
      <c r="BN157" s="991">
        <v>101555</v>
      </c>
      <c r="BO157" s="991">
        <v>4532084</v>
      </c>
      <c r="BP157" s="991">
        <v>4894925</v>
      </c>
      <c r="BQ157" s="1131">
        <v>594858</v>
      </c>
      <c r="BR157" s="1129">
        <f t="shared" si="67"/>
        <v>-56603</v>
      </c>
      <c r="BS157" s="308">
        <f>BR157/DataUK1!B157</f>
        <v>-7.1778022379353379E-2</v>
      </c>
      <c r="BT157" s="991">
        <v>2038565</v>
      </c>
      <c r="BU157" s="991">
        <v>511655</v>
      </c>
      <c r="BV157" s="991">
        <v>2095168</v>
      </c>
      <c r="BW157" s="1131">
        <v>436150</v>
      </c>
      <c r="BX157" s="1145">
        <f t="shared" si="43"/>
        <v>91983</v>
      </c>
      <c r="BY157" s="991">
        <f t="shared" si="42"/>
        <v>131790</v>
      </c>
      <c r="BZ157" s="991">
        <v>345393</v>
      </c>
      <c r="CA157" s="991">
        <v>242619</v>
      </c>
      <c r="CB157" s="991">
        <v>496029</v>
      </c>
      <c r="CC157" s="991">
        <f t="shared" si="44"/>
        <v>39807</v>
      </c>
      <c r="CD157" s="991">
        <v>122527</v>
      </c>
      <c r="CE157" s="991">
        <v>23112</v>
      </c>
      <c r="CF157" s="991">
        <v>105832</v>
      </c>
      <c r="CG157" s="1146">
        <v>87575</v>
      </c>
      <c r="CH157" s="1129">
        <f t="shared" si="46"/>
        <v>3494757</v>
      </c>
      <c r="CI157" s="991">
        <f t="shared" si="47"/>
        <v>3017627</v>
      </c>
      <c r="CJ157" s="991">
        <f t="shared" si="66"/>
        <v>3017627</v>
      </c>
      <c r="CK157" s="1131">
        <f t="shared" si="68"/>
        <v>3183060</v>
      </c>
      <c r="CL157" s="975"/>
      <c r="CM157" s="975"/>
      <c r="CN157" s="975"/>
      <c r="CO157" s="975"/>
      <c r="CP157" s="979"/>
      <c r="CQ157" s="1273">
        <f t="shared" si="51"/>
        <v>27211</v>
      </c>
      <c r="CR157" s="1273">
        <v>14064</v>
      </c>
      <c r="CS157" s="1273">
        <v>13147</v>
      </c>
      <c r="CT157" s="577">
        <v>0</v>
      </c>
      <c r="CU157" s="1273">
        <f t="shared" si="52"/>
        <v>27211</v>
      </c>
      <c r="CV157" s="1273">
        <v>23715</v>
      </c>
      <c r="CW157" s="1273">
        <v>3992</v>
      </c>
      <c r="CX157" s="1273">
        <f t="shared" si="53"/>
        <v>-510.6</v>
      </c>
      <c r="CY157" s="1273">
        <v>14.6</v>
      </c>
    </row>
    <row r="158" spans="1:103" s="598" customFormat="1">
      <c r="A158" s="577">
        <f t="shared" si="55"/>
        <v>1999</v>
      </c>
      <c r="B158" s="982">
        <f t="shared" si="56"/>
        <v>3747238</v>
      </c>
      <c r="C158" s="1010">
        <f t="shared" si="60"/>
        <v>1682978</v>
      </c>
      <c r="D158" s="991">
        <v>1502091</v>
      </c>
      <c r="E158" s="991">
        <f t="shared" si="61"/>
        <v>180887</v>
      </c>
      <c r="F158" s="988">
        <f t="shared" si="62"/>
        <v>0.89251968831440454</v>
      </c>
      <c r="G158" s="972">
        <f>E158/DataUK1!B158</f>
        <v>0.2208015097121806</v>
      </c>
      <c r="H158" s="1065">
        <v>44106</v>
      </c>
      <c r="I158" s="972">
        <f>H158/DataUK1!B158</f>
        <v>5.3838426129934364E-2</v>
      </c>
      <c r="J158" s="988"/>
      <c r="K158" s="988"/>
      <c r="L158" s="984">
        <f>M158*DataUK1!B158</f>
        <v>282772.15281361225</v>
      </c>
      <c r="M158" s="988">
        <f t="shared" si="69"/>
        <v>0.34516863149816746</v>
      </c>
      <c r="N158" s="991">
        <v>3937449</v>
      </c>
      <c r="O158" s="991">
        <v>1873189</v>
      </c>
      <c r="P158" s="991">
        <v>190211</v>
      </c>
      <c r="Q158" s="983">
        <f t="shared" si="48"/>
        <v>0.95169181873847764</v>
      </c>
      <c r="R158" s="988">
        <f>P158/DataUK1!B158</f>
        <v>0.23218294274250545</v>
      </c>
      <c r="S158" s="988"/>
      <c r="T158" s="988"/>
      <c r="U158" s="988"/>
      <c r="V158" s="988"/>
      <c r="W158" s="988"/>
      <c r="X158" s="988"/>
      <c r="Y158" s="988"/>
      <c r="Z158" s="988"/>
      <c r="AA158" s="988"/>
      <c r="AB158" s="988"/>
      <c r="AC158" s="988"/>
      <c r="AD158" s="988"/>
      <c r="AE158" s="988"/>
      <c r="AF158" s="988"/>
      <c r="AG158" s="988"/>
      <c r="AH158" s="988"/>
      <c r="AI158" s="988"/>
      <c r="AJ158" s="988"/>
      <c r="AK158" s="991"/>
      <c r="AL158" s="991"/>
      <c r="AM158" s="991"/>
      <c r="AN158" s="991"/>
      <c r="AO158" s="991"/>
      <c r="AP158" s="991"/>
      <c r="AQ158" s="991"/>
      <c r="AR158" s="991"/>
      <c r="AS158" s="1010">
        <v>2692274</v>
      </c>
      <c r="AT158" s="991">
        <v>1425200</v>
      </c>
      <c r="AU158" s="991">
        <f t="shared" si="63"/>
        <v>1267074</v>
      </c>
      <c r="AV158" s="991">
        <v>568670</v>
      </c>
      <c r="AW158" s="991">
        <v>63259</v>
      </c>
      <c r="AX158" s="991">
        <v>6768</v>
      </c>
      <c r="AY158" s="991">
        <v>557214</v>
      </c>
      <c r="AZ158" s="991">
        <v>71163</v>
      </c>
      <c r="BA158" s="991"/>
      <c r="BB158" s="991"/>
      <c r="BC158" s="991"/>
      <c r="BD158" s="991"/>
      <c r="BE158" s="1010">
        <v>628014</v>
      </c>
      <c r="BF158" s="991">
        <v>455901</v>
      </c>
      <c r="BG158" s="1117">
        <f t="shared" si="54"/>
        <v>0.72594082297528395</v>
      </c>
      <c r="BH158" s="1129">
        <f t="shared" si="64"/>
        <v>-670541</v>
      </c>
      <c r="BI158" s="991">
        <f t="shared" si="65"/>
        <v>-716329</v>
      </c>
      <c r="BJ158" s="991">
        <v>1174498</v>
      </c>
      <c r="BK158" s="991">
        <v>746527</v>
      </c>
      <c r="BL158" s="991">
        <v>2242846</v>
      </c>
      <c r="BM158" s="991">
        <v>1516645</v>
      </c>
      <c r="BN158" s="991">
        <v>102422</v>
      </c>
      <c r="BO158" s="991">
        <v>4796890</v>
      </c>
      <c r="BP158" s="991">
        <v>5248032</v>
      </c>
      <c r="BQ158" s="1131">
        <v>662778</v>
      </c>
      <c r="BR158" s="1129">
        <f t="shared" si="67"/>
        <v>-172651</v>
      </c>
      <c r="BS158" s="308">
        <f>BR158/DataUK1!B158</f>
        <v>-0.21074815466737629</v>
      </c>
      <c r="BT158" s="991">
        <v>2227436</v>
      </c>
      <c r="BU158" s="991">
        <v>593860</v>
      </c>
      <c r="BV158" s="991">
        <v>2400087</v>
      </c>
      <c r="BW158" s="1131">
        <v>608996</v>
      </c>
      <c r="BX158" s="1145">
        <f t="shared" si="43"/>
        <v>85424</v>
      </c>
      <c r="BY158" s="991">
        <f t="shared" si="42"/>
        <v>131212</v>
      </c>
      <c r="BZ158" s="991">
        <v>370604</v>
      </c>
      <c r="CA158" s="991">
        <v>242588</v>
      </c>
      <c r="CB158" s="991">
        <v>527768</v>
      </c>
      <c r="CC158" s="991">
        <f t="shared" si="44"/>
        <v>45788</v>
      </c>
      <c r="CD158" s="991">
        <v>128643</v>
      </c>
      <c r="CE158" s="991">
        <v>23260</v>
      </c>
      <c r="CF158" s="991">
        <v>106115</v>
      </c>
      <c r="CG158" s="1146">
        <v>89061</v>
      </c>
      <c r="CH158" s="1129">
        <f t="shared" si="46"/>
        <v>3832662</v>
      </c>
      <c r="CI158" s="991">
        <f t="shared" si="47"/>
        <v>3162121</v>
      </c>
      <c r="CJ158" s="991">
        <f t="shared" si="66"/>
        <v>3162121</v>
      </c>
      <c r="CK158" s="1131">
        <f t="shared" si="68"/>
        <v>3352332</v>
      </c>
      <c r="CL158" s="975"/>
      <c r="CM158" s="975"/>
      <c r="CN158" s="975"/>
      <c r="CO158" s="975"/>
      <c r="CP158" s="979"/>
      <c r="CQ158" s="1273">
        <f t="shared" si="51"/>
        <v>31247</v>
      </c>
      <c r="CR158" s="1273">
        <v>17050</v>
      </c>
      <c r="CS158" s="1273">
        <v>14197</v>
      </c>
      <c r="CT158" s="577">
        <v>0</v>
      </c>
      <c r="CU158" s="1273">
        <f t="shared" si="52"/>
        <v>31247</v>
      </c>
      <c r="CV158" s="1273">
        <v>24573</v>
      </c>
      <c r="CW158" s="1273">
        <v>1625</v>
      </c>
      <c r="CX158" s="1273">
        <f t="shared" si="53"/>
        <v>5034.3999999999996</v>
      </c>
      <c r="CY158" s="1273">
        <v>14.6</v>
      </c>
    </row>
    <row r="159" spans="1:103" s="598" customFormat="1">
      <c r="A159" s="577">
        <f t="shared" si="55"/>
        <v>2000</v>
      </c>
      <c r="B159" s="982">
        <f t="shared" si="56"/>
        <v>4346230</v>
      </c>
      <c r="C159" s="1010">
        <f t="shared" si="60"/>
        <v>1901623</v>
      </c>
      <c r="D159" s="991">
        <v>1720401</v>
      </c>
      <c r="E159" s="991">
        <f t="shared" si="61"/>
        <v>181222</v>
      </c>
      <c r="F159" s="988">
        <f t="shared" si="62"/>
        <v>0.90470140506293839</v>
      </c>
      <c r="G159" s="972">
        <f>E159/DataUK1!B159</f>
        <v>0.20993259109006893</v>
      </c>
      <c r="H159" s="1065">
        <v>46572</v>
      </c>
      <c r="I159" s="972">
        <f>H159/DataUK1!B159</f>
        <v>5.3950296499578915E-2</v>
      </c>
      <c r="J159" s="988"/>
      <c r="K159" s="988"/>
      <c r="L159" s="984">
        <f>M159*DataUK1!B159</f>
        <v>297963.02428584656</v>
      </c>
      <c r="M159" s="988">
        <f t="shared" si="69"/>
        <v>0.34516863149816746</v>
      </c>
      <c r="N159" s="991">
        <v>4583589</v>
      </c>
      <c r="O159" s="991">
        <v>2138982</v>
      </c>
      <c r="P159" s="991">
        <v>237359</v>
      </c>
      <c r="Q159" s="983">
        <f t="shared" si="48"/>
        <v>0.94821547045339361</v>
      </c>
      <c r="R159" s="988">
        <f>P159/DataUK1!B159</f>
        <v>0.27496324888008999</v>
      </c>
      <c r="S159" s="988"/>
      <c r="T159" s="988"/>
      <c r="U159" s="988"/>
      <c r="V159" s="988"/>
      <c r="W159" s="988"/>
      <c r="X159" s="988"/>
      <c r="Y159" s="988"/>
      <c r="Z159" s="988"/>
      <c r="AA159" s="988"/>
      <c r="AB159" s="988"/>
      <c r="AC159" s="988"/>
      <c r="AD159" s="988"/>
      <c r="AE159" s="988"/>
      <c r="AF159" s="988"/>
      <c r="AG159" s="988"/>
      <c r="AH159" s="988"/>
      <c r="AI159" s="988"/>
      <c r="AJ159" s="988"/>
      <c r="AK159" s="991"/>
      <c r="AL159" s="991"/>
      <c r="AM159" s="991"/>
      <c r="AN159" s="991"/>
      <c r="AO159" s="991"/>
      <c r="AP159" s="991"/>
      <c r="AQ159" s="991"/>
      <c r="AR159" s="991"/>
      <c r="AS159" s="1010">
        <v>3121829</v>
      </c>
      <c r="AT159" s="991">
        <v>1662676</v>
      </c>
      <c r="AU159" s="991">
        <f t="shared" si="63"/>
        <v>1459153</v>
      </c>
      <c r="AV159" s="991">
        <v>600314</v>
      </c>
      <c r="AW159" s="991">
        <v>52841</v>
      </c>
      <c r="AX159" s="991">
        <v>6599</v>
      </c>
      <c r="AY159" s="991">
        <v>723257</v>
      </c>
      <c r="AZ159" s="991">
        <v>76142</v>
      </c>
      <c r="BA159" s="991"/>
      <c r="BB159" s="991"/>
      <c r="BC159" s="991"/>
      <c r="BD159" s="991"/>
      <c r="BE159" s="1010">
        <v>677222</v>
      </c>
      <c r="BF159" s="991">
        <v>492854</v>
      </c>
      <c r="BG159" s="1117">
        <f t="shared" si="54"/>
        <v>0.72775840123327362</v>
      </c>
      <c r="BH159" s="1129">
        <f t="shared" si="64"/>
        <v>-1007911</v>
      </c>
      <c r="BI159" s="991">
        <f t="shared" si="65"/>
        <v>-1056945</v>
      </c>
      <c r="BJ159" s="991">
        <v>1242677</v>
      </c>
      <c r="BK159" s="991">
        <v>940951</v>
      </c>
      <c r="BL159" s="991">
        <v>2770368</v>
      </c>
      <c r="BM159" s="991">
        <v>1953270</v>
      </c>
      <c r="BN159" s="991">
        <v>113873</v>
      </c>
      <c r="BO159" s="991">
        <v>5293243</v>
      </c>
      <c r="BP159" s="991">
        <v>5828287</v>
      </c>
      <c r="BQ159" s="1131">
        <v>829763</v>
      </c>
      <c r="BR159" s="1129">
        <f t="shared" si="67"/>
        <v>-192195</v>
      </c>
      <c r="BS159" s="308">
        <f>BR159/DataUK1!B159</f>
        <v>-0.22264401863215169</v>
      </c>
      <c r="BT159" s="991">
        <v>2508357</v>
      </c>
      <c r="BU159" s="991">
        <v>838727</v>
      </c>
      <c r="BV159" s="991">
        <v>2700552</v>
      </c>
      <c r="BW159" s="1131">
        <v>806491</v>
      </c>
      <c r="BX159" s="1145">
        <f t="shared" si="43"/>
        <v>118427</v>
      </c>
      <c r="BY159" s="991">
        <f t="shared" si="42"/>
        <v>167461</v>
      </c>
      <c r="BZ159" s="991">
        <v>386760</v>
      </c>
      <c r="CA159" s="991">
        <v>238972</v>
      </c>
      <c r="CB159" s="991">
        <v>507305</v>
      </c>
      <c r="CC159" s="991">
        <f t="shared" si="44"/>
        <v>49034</v>
      </c>
      <c r="CD159" s="991">
        <v>126103</v>
      </c>
      <c r="CE159" s="991">
        <v>23679</v>
      </c>
      <c r="CF159" s="991">
        <v>100748</v>
      </c>
      <c r="CG159" s="1146">
        <v>83810</v>
      </c>
      <c r="CH159" s="1129">
        <f t="shared" si="46"/>
        <v>4464657</v>
      </c>
      <c r="CI159" s="991">
        <f t="shared" si="47"/>
        <v>3456746</v>
      </c>
      <c r="CJ159" s="991">
        <f t="shared" si="66"/>
        <v>3456746</v>
      </c>
      <c r="CK159" s="1131">
        <f t="shared" si="68"/>
        <v>3694105</v>
      </c>
      <c r="CL159" s="975"/>
      <c r="CM159" s="975"/>
      <c r="CN159" s="975"/>
      <c r="CO159" s="975"/>
      <c r="CP159" s="979"/>
      <c r="CQ159" s="1273">
        <f t="shared" si="51"/>
        <v>80558</v>
      </c>
      <c r="CR159" s="1273">
        <v>19963</v>
      </c>
      <c r="CS159" s="1273">
        <v>60595</v>
      </c>
      <c r="CT159" s="577">
        <v>0</v>
      </c>
      <c r="CU159" s="1273">
        <f t="shared" si="52"/>
        <v>80558</v>
      </c>
      <c r="CV159" s="1273">
        <v>27232</v>
      </c>
      <c r="CW159" s="1273">
        <v>1552</v>
      </c>
      <c r="CX159" s="1273">
        <f t="shared" si="53"/>
        <v>51759.4</v>
      </c>
      <c r="CY159" s="1273">
        <v>14.6</v>
      </c>
    </row>
    <row r="160" spans="1:103" s="598" customFormat="1">
      <c r="A160" s="577">
        <f t="shared" si="55"/>
        <v>2001</v>
      </c>
      <c r="B160" s="982">
        <f t="shared" si="56"/>
        <v>4537449</v>
      </c>
      <c r="C160" s="1010">
        <f t="shared" si="60"/>
        <v>2154060</v>
      </c>
      <c r="D160" s="991">
        <v>1967931</v>
      </c>
      <c r="E160" s="991">
        <f t="shared" si="61"/>
        <v>186129</v>
      </c>
      <c r="F160" s="988">
        <f t="shared" si="62"/>
        <v>0.91359154341104709</v>
      </c>
      <c r="G160" s="972">
        <f>E160/DataUK1!B160</f>
        <v>0.20410604842733432</v>
      </c>
      <c r="H160" s="1065">
        <v>47106</v>
      </c>
      <c r="I160" s="972">
        <f>H160/DataUK1!B160</f>
        <v>5.165567706922624E-2</v>
      </c>
      <c r="J160" s="988"/>
      <c r="K160" s="988"/>
      <c r="L160" s="984">
        <f>M160*DataUK1!B160</f>
        <v>314767.21394170338</v>
      </c>
      <c r="M160" s="988">
        <f t="shared" si="69"/>
        <v>0.34516863149816746</v>
      </c>
      <c r="N160" s="991">
        <v>4814147</v>
      </c>
      <c r="O160" s="991">
        <v>2430758</v>
      </c>
      <c r="P160" s="991">
        <v>276698</v>
      </c>
      <c r="Q160" s="983">
        <f t="shared" si="48"/>
        <v>0.94252398192244646</v>
      </c>
      <c r="R160" s="988">
        <f>P160/DataUK1!B160</f>
        <v>0.30342254773703481</v>
      </c>
      <c r="S160" s="988"/>
      <c r="T160" s="988"/>
      <c r="U160" s="988"/>
      <c r="V160" s="988"/>
      <c r="W160" s="988"/>
      <c r="X160" s="988"/>
      <c r="Y160" s="988"/>
      <c r="Z160" s="988"/>
      <c r="AA160" s="988"/>
      <c r="AB160" s="988"/>
      <c r="AC160" s="988"/>
      <c r="AD160" s="988"/>
      <c r="AE160" s="988"/>
      <c r="AF160" s="988"/>
      <c r="AG160" s="988"/>
      <c r="AH160" s="988"/>
      <c r="AI160" s="988"/>
      <c r="AJ160" s="988"/>
      <c r="AK160" s="991"/>
      <c r="AL160" s="991"/>
      <c r="AM160" s="991"/>
      <c r="AN160" s="991"/>
      <c r="AO160" s="991"/>
      <c r="AP160" s="991"/>
      <c r="AQ160" s="991"/>
      <c r="AR160" s="991"/>
      <c r="AS160" s="1010">
        <v>3117361</v>
      </c>
      <c r="AT160" s="991">
        <v>1633720</v>
      </c>
      <c r="AU160" s="991">
        <f t="shared" si="63"/>
        <v>1483641</v>
      </c>
      <c r="AV160" s="991">
        <v>636736</v>
      </c>
      <c r="AW160" s="991">
        <v>45319</v>
      </c>
      <c r="AX160" s="991">
        <v>6689</v>
      </c>
      <c r="AY160" s="991">
        <v>712091</v>
      </c>
      <c r="AZ160" s="991">
        <v>82806</v>
      </c>
      <c r="BA160" s="991"/>
      <c r="BB160" s="991"/>
      <c r="BC160" s="991"/>
      <c r="BD160" s="991"/>
      <c r="BE160" s="1010">
        <v>733972</v>
      </c>
      <c r="BF160" s="991">
        <v>535066</v>
      </c>
      <c r="BG160" s="1117">
        <f t="shared" si="54"/>
        <v>0.72900056132931501</v>
      </c>
      <c r="BH160" s="1129">
        <f t="shared" si="64"/>
        <v>-843686</v>
      </c>
      <c r="BI160" s="991">
        <f t="shared" si="65"/>
        <v>-893164</v>
      </c>
      <c r="BJ160" s="991">
        <v>1256945</v>
      </c>
      <c r="BK160" s="991">
        <v>1186396</v>
      </c>
      <c r="BL160" s="991">
        <v>2873199</v>
      </c>
      <c r="BM160" s="991">
        <v>1962773</v>
      </c>
      <c r="BN160" s="991">
        <v>118060</v>
      </c>
      <c r="BO160" s="991">
        <v>5947185</v>
      </c>
      <c r="BP160" s="991">
        <v>6479073</v>
      </c>
      <c r="BQ160" s="1131">
        <v>922604</v>
      </c>
      <c r="BR160" s="1129">
        <f t="shared" si="67"/>
        <v>-99242</v>
      </c>
      <c r="BS160" s="308">
        <f>BR160/DataUK1!B160</f>
        <v>-0.10882717071507134</v>
      </c>
      <c r="BT160" s="991">
        <v>3068050</v>
      </c>
      <c r="BU160" s="991">
        <v>1022502</v>
      </c>
      <c r="BV160" s="991">
        <v>3167292</v>
      </c>
      <c r="BW160" s="1131">
        <v>914348</v>
      </c>
      <c r="BX160" s="1145">
        <f t="shared" si="43"/>
        <v>181346</v>
      </c>
      <c r="BY160" s="991">
        <f t="shared" si="42"/>
        <v>230824</v>
      </c>
      <c r="BZ160" s="991">
        <v>442209</v>
      </c>
      <c r="CA160" s="991">
        <v>271178</v>
      </c>
      <c r="CB160" s="991">
        <v>532041</v>
      </c>
      <c r="CC160" s="991">
        <f t="shared" si="44"/>
        <v>49478</v>
      </c>
      <c r="CD160" s="991">
        <v>125232</v>
      </c>
      <c r="CE160" s="991">
        <v>24808</v>
      </c>
      <c r="CF160" s="991">
        <v>100562</v>
      </c>
      <c r="CG160" s="1146">
        <v>82721</v>
      </c>
      <c r="CH160" s="1129">
        <f t="shared" si="46"/>
        <v>4718795</v>
      </c>
      <c r="CI160" s="991">
        <f t="shared" si="47"/>
        <v>3875109</v>
      </c>
      <c r="CJ160" s="991">
        <f t="shared" si="66"/>
        <v>3875109</v>
      </c>
      <c r="CK160" s="1131">
        <f t="shared" si="68"/>
        <v>4151807</v>
      </c>
      <c r="CL160" s="975"/>
      <c r="CM160" s="975"/>
      <c r="CN160" s="975"/>
      <c r="CO160" s="975"/>
      <c r="CP160" s="979"/>
      <c r="CQ160" s="1273">
        <f t="shared" si="51"/>
        <v>39809</v>
      </c>
      <c r="CR160" s="1273">
        <v>15002</v>
      </c>
      <c r="CS160" s="1273">
        <v>24807</v>
      </c>
      <c r="CT160" s="577">
        <v>0</v>
      </c>
      <c r="CU160" s="1273">
        <f t="shared" si="52"/>
        <v>39809</v>
      </c>
      <c r="CV160" s="1273">
        <v>29412</v>
      </c>
      <c r="CW160" s="1273">
        <v>1911</v>
      </c>
      <c r="CX160" s="1273">
        <f t="shared" si="53"/>
        <v>8471.4</v>
      </c>
      <c r="CY160" s="1273">
        <v>14.6</v>
      </c>
    </row>
    <row r="161" spans="1:103" s="598" customFormat="1">
      <c r="A161" s="577">
        <f t="shared" si="55"/>
        <v>2002</v>
      </c>
      <c r="B161" s="982">
        <f t="shared" si="56"/>
        <v>4465797</v>
      </c>
      <c r="C161" s="1010">
        <f t="shared" si="60"/>
        <v>2307266</v>
      </c>
      <c r="D161" s="991">
        <v>2116481</v>
      </c>
      <c r="E161" s="991">
        <f t="shared" si="61"/>
        <v>190785</v>
      </c>
      <c r="F161" s="988">
        <f t="shared" si="62"/>
        <v>0.91731122462689607</v>
      </c>
      <c r="G161" s="972">
        <f>E161/DataUK1!B161</f>
        <v>0.19677015789261981</v>
      </c>
      <c r="H161" s="1065">
        <v>46348</v>
      </c>
      <c r="I161" s="972">
        <f>H161/DataUK1!B161</f>
        <v>4.7801993228016579E-2</v>
      </c>
      <c r="J161" s="988"/>
      <c r="K161" s="988"/>
      <c r="L161" s="984">
        <f>M161*DataUK1!B161</f>
        <v>334669.63723388768</v>
      </c>
      <c r="M161" s="988">
        <f t="shared" si="69"/>
        <v>0.34516863149816746</v>
      </c>
      <c r="N161" s="991">
        <v>4765877</v>
      </c>
      <c r="O161" s="991">
        <v>2607346</v>
      </c>
      <c r="P161" s="991">
        <v>300080</v>
      </c>
      <c r="Q161" s="983">
        <f t="shared" si="48"/>
        <v>0.93703572291101933</v>
      </c>
      <c r="R161" s="988">
        <f>P161/DataUK1!B161</f>
        <v>0.30949387520201982</v>
      </c>
      <c r="S161" s="988"/>
      <c r="T161" s="988"/>
      <c r="U161" s="988"/>
      <c r="V161" s="988"/>
      <c r="W161" s="988"/>
      <c r="X161" s="988"/>
      <c r="Y161" s="988"/>
      <c r="Z161" s="988"/>
      <c r="AA161" s="988"/>
      <c r="AB161" s="988"/>
      <c r="AC161" s="988"/>
      <c r="AD161" s="988"/>
      <c r="AE161" s="988"/>
      <c r="AF161" s="988"/>
      <c r="AG161" s="988"/>
      <c r="AH161" s="988"/>
      <c r="AI161" s="988"/>
      <c r="AJ161" s="988"/>
      <c r="AK161" s="991"/>
      <c r="AL161" s="991"/>
      <c r="AM161" s="991"/>
      <c r="AN161" s="991"/>
      <c r="AO161" s="991"/>
      <c r="AP161" s="991"/>
      <c r="AQ161" s="991"/>
      <c r="AR161" s="991"/>
      <c r="AS161" s="1010">
        <v>2968815</v>
      </c>
      <c r="AT161" s="991">
        <v>1564943</v>
      </c>
      <c r="AU161" s="991">
        <f t="shared" si="63"/>
        <v>1403872</v>
      </c>
      <c r="AV161" s="991">
        <v>683555</v>
      </c>
      <c r="AW161" s="991">
        <v>54058</v>
      </c>
      <c r="AX161" s="991">
        <v>6768</v>
      </c>
      <c r="AY161" s="991">
        <v>573300</v>
      </c>
      <c r="AZ161" s="991">
        <v>86191</v>
      </c>
      <c r="BA161" s="991"/>
      <c r="BB161" s="991"/>
      <c r="BC161" s="991"/>
      <c r="BD161" s="991"/>
      <c r="BE161" s="1010">
        <v>810284</v>
      </c>
      <c r="BF161" s="991">
        <v>590238</v>
      </c>
      <c r="BG161" s="1117">
        <f t="shared" si="54"/>
        <v>0.72843348751795667</v>
      </c>
      <c r="BH161" s="1129">
        <f t="shared" si="64"/>
        <v>-670178</v>
      </c>
      <c r="BI161" s="991">
        <f t="shared" si="65"/>
        <v>-725251</v>
      </c>
      <c r="BJ161" s="991">
        <v>1267083</v>
      </c>
      <c r="BK161" s="991">
        <v>1189008</v>
      </c>
      <c r="BL161" s="991">
        <v>2689991</v>
      </c>
      <c r="BM161" s="991">
        <v>1694226</v>
      </c>
      <c r="BN161" s="991">
        <v>121529</v>
      </c>
      <c r="BO161" s="991">
        <v>6258023</v>
      </c>
      <c r="BP161" s="991">
        <v>6815830</v>
      </c>
      <c r="BQ161" s="1131">
        <v>886055</v>
      </c>
      <c r="BR161" s="1129">
        <f t="shared" si="67"/>
        <v>-138909</v>
      </c>
      <c r="BS161" s="308">
        <f>BR161/DataUK1!B161</f>
        <v>-0.1432667445695727</v>
      </c>
      <c r="BT161" s="991">
        <v>3253246</v>
      </c>
      <c r="BU161" s="991">
        <v>993902</v>
      </c>
      <c r="BV161" s="991">
        <v>3392155</v>
      </c>
      <c r="BW161" s="1131">
        <v>843810</v>
      </c>
      <c r="BX161" s="1145">
        <f t="shared" si="43"/>
        <v>255663</v>
      </c>
      <c r="BY161" s="991">
        <f t="shared" si="42"/>
        <v>310736</v>
      </c>
      <c r="BZ161" s="991">
        <v>491949</v>
      </c>
      <c r="CA161" s="991">
        <v>267094</v>
      </c>
      <c r="CB161" s="991">
        <v>503380</v>
      </c>
      <c r="CC161" s="991">
        <f t="shared" si="44"/>
        <v>55073</v>
      </c>
      <c r="CD161" s="991">
        <v>136576</v>
      </c>
      <c r="CE161" s="991">
        <v>24635</v>
      </c>
      <c r="CF161" s="991">
        <v>106138</v>
      </c>
      <c r="CG161" s="1146">
        <v>89171</v>
      </c>
      <c r="CH161" s="1129">
        <f t="shared" si="46"/>
        <v>4721460</v>
      </c>
      <c r="CI161" s="991">
        <f t="shared" si="47"/>
        <v>4051282</v>
      </c>
      <c r="CJ161" s="991">
        <f t="shared" si="66"/>
        <v>4051282</v>
      </c>
      <c r="CK161" s="1131">
        <f t="shared" si="68"/>
        <v>4351362</v>
      </c>
      <c r="CL161" s="975"/>
      <c r="CM161" s="975"/>
      <c r="CN161" s="975"/>
      <c r="CO161" s="975"/>
      <c r="CP161" s="979"/>
      <c r="CQ161" s="1273">
        <f t="shared" si="51"/>
        <v>44796</v>
      </c>
      <c r="CR161" s="1273">
        <v>15721</v>
      </c>
      <c r="CS161" s="1273">
        <v>29075</v>
      </c>
      <c r="CT161" s="577">
        <v>0</v>
      </c>
      <c r="CU161" s="1273">
        <f t="shared" si="52"/>
        <v>44796</v>
      </c>
      <c r="CV161" s="1273">
        <v>32226</v>
      </c>
      <c r="CW161" s="1273">
        <v>2791</v>
      </c>
      <c r="CX161" s="1273">
        <f t="shared" si="53"/>
        <v>9764.4</v>
      </c>
      <c r="CY161" s="1273">
        <v>14.6</v>
      </c>
    </row>
    <row r="162" spans="1:103" s="598" customFormat="1">
      <c r="A162" s="577">
        <f t="shared" si="55"/>
        <v>2003</v>
      </c>
      <c r="B162" s="982">
        <f t="shared" si="56"/>
        <v>4567899</v>
      </c>
      <c r="C162" s="1010">
        <f t="shared" si="60"/>
        <v>2769835</v>
      </c>
      <c r="D162" s="991">
        <v>2568135</v>
      </c>
      <c r="E162" s="991">
        <f t="shared" si="61"/>
        <v>201700</v>
      </c>
      <c r="F162" s="988">
        <f t="shared" si="62"/>
        <v>0.92717977785680372</v>
      </c>
      <c r="G162" s="972">
        <f>E162/DataUK1!B162</f>
        <v>0.19589979875836241</v>
      </c>
      <c r="H162" s="1065">
        <v>46905</v>
      </c>
      <c r="I162" s="972">
        <f>H162/DataUK1!B162</f>
        <v>4.5556172834709911E-2</v>
      </c>
      <c r="J162" s="988"/>
      <c r="K162" s="988"/>
      <c r="L162" s="984">
        <f>M162*DataUK1!B162</f>
        <v>355388.38433956518</v>
      </c>
      <c r="M162" s="988">
        <f t="shared" si="69"/>
        <v>0.34516863149816746</v>
      </c>
      <c r="N162" s="991">
        <v>4933209</v>
      </c>
      <c r="O162" s="991">
        <v>3135145</v>
      </c>
      <c r="P162" s="991">
        <v>365310</v>
      </c>
      <c r="Q162" s="983">
        <f t="shared" si="48"/>
        <v>0.92594880938553381</v>
      </c>
      <c r="R162" s="988">
        <f>P162/DataUK1!B162</f>
        <v>0.35480493547058689</v>
      </c>
      <c r="S162" s="988"/>
      <c r="T162" s="988"/>
      <c r="U162" s="988"/>
      <c r="V162" s="988"/>
      <c r="W162" s="988"/>
      <c r="X162" s="988"/>
      <c r="Y162" s="988"/>
      <c r="Z162" s="988"/>
      <c r="AA162" s="988"/>
      <c r="AB162" s="988"/>
      <c r="AC162" s="988"/>
      <c r="AD162" s="988"/>
      <c r="AE162" s="988"/>
      <c r="AF162" s="988"/>
      <c r="AG162" s="988"/>
      <c r="AH162" s="988"/>
      <c r="AI162" s="988"/>
      <c r="AJ162" s="988"/>
      <c r="AK162" s="991"/>
      <c r="AL162" s="991"/>
      <c r="AM162" s="991"/>
      <c r="AN162" s="991"/>
      <c r="AO162" s="991"/>
      <c r="AP162" s="991"/>
      <c r="AQ162" s="991"/>
      <c r="AR162" s="991"/>
      <c r="AS162" s="1010">
        <v>2720536</v>
      </c>
      <c r="AT162" s="991">
        <v>1419009</v>
      </c>
      <c r="AU162" s="991">
        <f t="shared" si="63"/>
        <v>1301527</v>
      </c>
      <c r="AV162" s="991">
        <v>730961</v>
      </c>
      <c r="AW162" s="991">
        <v>55749</v>
      </c>
      <c r="AX162" s="991">
        <v>6727</v>
      </c>
      <c r="AY162" s="991">
        <v>423411</v>
      </c>
      <c r="AZ162" s="991">
        <v>84679</v>
      </c>
      <c r="BA162" s="991"/>
      <c r="BB162" s="991"/>
      <c r="BC162" s="991"/>
      <c r="BD162" s="991"/>
      <c r="BE162" s="1010">
        <v>922472</v>
      </c>
      <c r="BF162" s="991">
        <v>669390</v>
      </c>
      <c r="BG162" s="1117">
        <f t="shared" si="54"/>
        <v>0.72564804134976457</v>
      </c>
      <c r="BH162" s="1129">
        <f t="shared" si="64"/>
        <v>-218414</v>
      </c>
      <c r="BI162" s="991">
        <f t="shared" si="65"/>
        <v>-278553</v>
      </c>
      <c r="BJ162" s="991">
        <v>1315447</v>
      </c>
      <c r="BK162" s="991">
        <v>1215486</v>
      </c>
      <c r="BL162" s="991">
        <v>2406713</v>
      </c>
      <c r="BM162" s="991">
        <v>1323896</v>
      </c>
      <c r="BN162" s="991">
        <v>122075</v>
      </c>
      <c r="BO162" s="991">
        <v>6311838</v>
      </c>
      <c r="BP162" s="991">
        <v>6776547</v>
      </c>
      <c r="BQ162" s="1131">
        <v>740842</v>
      </c>
      <c r="BR162" s="1129">
        <f t="shared" si="67"/>
        <v>-114370</v>
      </c>
      <c r="BS162" s="308">
        <f>BR162/DataUK1!B162</f>
        <v>-0.11108111048088204</v>
      </c>
      <c r="BT162" s="991">
        <v>3239558</v>
      </c>
      <c r="BU162" s="991">
        <v>932701</v>
      </c>
      <c r="BV162" s="991">
        <v>3353928</v>
      </c>
      <c r="BW162" s="1131">
        <v>671916</v>
      </c>
      <c r="BX162" s="1145">
        <f t="shared" si="43"/>
        <v>252619</v>
      </c>
      <c r="BY162" s="991">
        <f t="shared" si="42"/>
        <v>312758</v>
      </c>
      <c r="BZ162" s="991">
        <v>506752</v>
      </c>
      <c r="CA162" s="991">
        <v>271016</v>
      </c>
      <c r="CB162" s="991">
        <v>525149</v>
      </c>
      <c r="CC162" s="991">
        <f t="shared" si="44"/>
        <v>60139</v>
      </c>
      <c r="CD162" s="991">
        <v>157708</v>
      </c>
      <c r="CE162" s="991">
        <v>26004</v>
      </c>
      <c r="CF162" s="991">
        <v>123573</v>
      </c>
      <c r="CG162" s="1146">
        <v>96646</v>
      </c>
      <c r="CH162" s="1129">
        <f t="shared" si="46"/>
        <v>4820518</v>
      </c>
      <c r="CI162" s="991">
        <f t="shared" si="47"/>
        <v>4602104</v>
      </c>
      <c r="CJ162" s="991">
        <f t="shared" si="66"/>
        <v>4602104</v>
      </c>
      <c r="CK162" s="1131">
        <f t="shared" si="68"/>
        <v>4967414</v>
      </c>
      <c r="CL162" s="975"/>
      <c r="CM162" s="975"/>
      <c r="CN162" s="975"/>
      <c r="CO162" s="975"/>
      <c r="CP162" s="979"/>
      <c r="CQ162" s="1273">
        <f t="shared" si="51"/>
        <v>48005</v>
      </c>
      <c r="CR162" s="1273">
        <v>15351</v>
      </c>
      <c r="CS162" s="1273">
        <v>32654</v>
      </c>
      <c r="CT162" s="577">
        <v>0</v>
      </c>
      <c r="CU162" s="1273">
        <f t="shared" si="52"/>
        <v>48005</v>
      </c>
      <c r="CV162" s="1273">
        <v>33639</v>
      </c>
      <c r="CW162" s="1273">
        <v>2136</v>
      </c>
      <c r="CX162" s="1273">
        <f t="shared" si="53"/>
        <v>12215.4</v>
      </c>
      <c r="CY162" s="1273">
        <v>14.6</v>
      </c>
    </row>
    <row r="163" spans="1:103" s="598" customFormat="1">
      <c r="A163" s="577">
        <f t="shared" si="55"/>
        <v>2004</v>
      </c>
      <c r="B163" s="982">
        <f t="shared" si="56"/>
        <v>5003382</v>
      </c>
      <c r="C163" s="1010">
        <f t="shared" si="60"/>
        <v>3077595</v>
      </c>
      <c r="D163" s="991">
        <v>2869034</v>
      </c>
      <c r="E163" s="991">
        <f t="shared" si="61"/>
        <v>208561</v>
      </c>
      <c r="F163" s="988">
        <f t="shared" si="62"/>
        <v>0.93223247373354845</v>
      </c>
      <c r="G163" s="972">
        <f>E163/DataUK1!B163</f>
        <v>0.19227492896666551</v>
      </c>
      <c r="H163" s="1065">
        <v>46873</v>
      </c>
      <c r="I163" s="972">
        <f>H163/DataUK1!B163</f>
        <v>4.3212790241006285E-2</v>
      </c>
      <c r="J163" s="988"/>
      <c r="K163" s="988"/>
      <c r="L163" s="984">
        <f>M163*DataUK1!B163</f>
        <v>374405.10492332524</v>
      </c>
      <c r="M163" s="988">
        <f t="shared" si="69"/>
        <v>0.34516863149816746</v>
      </c>
      <c r="N163" s="991">
        <v>5416858</v>
      </c>
      <c r="O163" s="991">
        <v>3491071</v>
      </c>
      <c r="P163" s="991">
        <v>413476</v>
      </c>
      <c r="Q163" s="983">
        <f t="shared" si="48"/>
        <v>0.92366866548836979</v>
      </c>
      <c r="R163" s="988">
        <f>P163/DataUK1!B163</f>
        <v>0.38118856607621265</v>
      </c>
      <c r="S163" s="988"/>
      <c r="T163" s="988"/>
      <c r="U163" s="988"/>
      <c r="V163" s="988"/>
      <c r="W163" s="988"/>
      <c r="X163" s="988"/>
      <c r="Y163" s="988"/>
      <c r="Z163" s="988"/>
      <c r="AA163" s="988"/>
      <c r="AB163" s="988"/>
      <c r="AC163" s="988"/>
      <c r="AD163" s="988"/>
      <c r="AE163" s="988"/>
      <c r="AF163" s="988"/>
      <c r="AG163" s="988"/>
      <c r="AH163" s="988"/>
      <c r="AI163" s="988"/>
      <c r="AJ163" s="988"/>
      <c r="AK163" s="991"/>
      <c r="AL163" s="991"/>
      <c r="AM163" s="991"/>
      <c r="AN163" s="991"/>
      <c r="AO163" s="991"/>
      <c r="AP163" s="991"/>
      <c r="AQ163" s="991"/>
      <c r="AR163" s="991"/>
      <c r="AS163" s="1010">
        <v>2974846</v>
      </c>
      <c r="AT163" s="991">
        <v>1544313</v>
      </c>
      <c r="AU163" s="991">
        <f t="shared" si="63"/>
        <v>1430533</v>
      </c>
      <c r="AV163" s="991">
        <v>795512</v>
      </c>
      <c r="AW163" s="991">
        <v>50647</v>
      </c>
      <c r="AX163" s="991">
        <v>6828</v>
      </c>
      <c r="AY163" s="991">
        <v>487459</v>
      </c>
      <c r="AZ163" s="991">
        <v>90087</v>
      </c>
      <c r="BA163" s="991"/>
      <c r="BB163" s="991"/>
      <c r="BC163" s="991"/>
      <c r="BD163" s="991"/>
      <c r="BE163" s="1010">
        <v>1049059</v>
      </c>
      <c r="BF163" s="991">
        <v>772931</v>
      </c>
      <c r="BG163" s="1117">
        <f t="shared" si="54"/>
        <v>0.736785061660021</v>
      </c>
      <c r="BH163" s="1129">
        <f t="shared" si="64"/>
        <v>-277756</v>
      </c>
      <c r="BI163" s="991">
        <f t="shared" si="65"/>
        <v>-337582</v>
      </c>
      <c r="BJ163" s="991">
        <v>1356439</v>
      </c>
      <c r="BK163" s="991">
        <v>1340427</v>
      </c>
      <c r="BL163" s="991">
        <v>2665466</v>
      </c>
      <c r="BM163" s="991">
        <v>1516960</v>
      </c>
      <c r="BN163" s="991">
        <v>128682</v>
      </c>
      <c r="BO163" s="991">
        <v>7273838</v>
      </c>
      <c r="BP163" s="991">
        <v>7711676</v>
      </c>
      <c r="BQ163" s="1131">
        <v>875209</v>
      </c>
      <c r="BR163" s="1129">
        <f t="shared" si="67"/>
        <v>-111709</v>
      </c>
      <c r="BS163" s="308">
        <f>BR163/DataUK1!B163</f>
        <v>-0.1029858892119679</v>
      </c>
      <c r="BT163" s="991">
        <v>3648625</v>
      </c>
      <c r="BU163" s="991">
        <v>1050382</v>
      </c>
      <c r="BV163" s="991">
        <v>3760334</v>
      </c>
      <c r="BW163" s="1131">
        <v>772750</v>
      </c>
      <c r="BX163" s="1145">
        <f t="shared" si="43"/>
        <v>275241</v>
      </c>
      <c r="BY163" s="991">
        <f t="shared" si="42"/>
        <v>335067</v>
      </c>
      <c r="BZ163" s="991">
        <v>547301</v>
      </c>
      <c r="CA163" s="991">
        <v>281176</v>
      </c>
      <c r="CB163" s="991">
        <v>553236</v>
      </c>
      <c r="CC163" s="991">
        <f t="shared" si="44"/>
        <v>59826</v>
      </c>
      <c r="CD163" s="991">
        <v>159991</v>
      </c>
      <c r="CE163" s="991">
        <v>24266</v>
      </c>
      <c r="CF163" s="991">
        <v>124431</v>
      </c>
      <c r="CG163" s="1146">
        <v>105259</v>
      </c>
      <c r="CH163" s="1129">
        <f t="shared" si="46"/>
        <v>5278623</v>
      </c>
      <c r="CI163" s="991">
        <f t="shared" si="47"/>
        <v>5000867</v>
      </c>
      <c r="CJ163" s="991">
        <f t="shared" si="66"/>
        <v>5000867</v>
      </c>
      <c r="CK163" s="1131">
        <f t="shared" si="68"/>
        <v>5414343</v>
      </c>
      <c r="CL163" s="975"/>
      <c r="CM163" s="975"/>
      <c r="CN163" s="975"/>
      <c r="CO163" s="975"/>
      <c r="CP163" s="979"/>
      <c r="CQ163" s="1273">
        <f t="shared" si="51"/>
        <v>53589</v>
      </c>
      <c r="CR163" s="1273">
        <v>15245</v>
      </c>
      <c r="CS163" s="1273">
        <v>38344</v>
      </c>
      <c r="CT163" s="577">
        <v>0</v>
      </c>
      <c r="CU163" s="1273">
        <f t="shared" si="52"/>
        <v>53589</v>
      </c>
      <c r="CV163" s="1273">
        <v>35524</v>
      </c>
      <c r="CW163" s="1273">
        <v>2862</v>
      </c>
      <c r="CX163" s="1273">
        <f t="shared" si="53"/>
        <v>15188.4</v>
      </c>
      <c r="CY163" s="1273">
        <v>14.6</v>
      </c>
    </row>
    <row r="164" spans="1:103" s="598" customFormat="1">
      <c r="A164" s="577">
        <f t="shared" si="55"/>
        <v>2005</v>
      </c>
      <c r="B164" s="982">
        <f t="shared" si="56"/>
        <v>5435700</v>
      </c>
      <c r="C164" s="1010">
        <f t="shared" si="60"/>
        <v>3436054</v>
      </c>
      <c r="D164" s="991">
        <v>3221327</v>
      </c>
      <c r="E164" s="991">
        <f t="shared" si="61"/>
        <v>214727</v>
      </c>
      <c r="F164" s="988">
        <f t="shared" si="62"/>
        <v>0.93750767595619855</v>
      </c>
      <c r="G164" s="972">
        <f>E164/DataUK1!B164</f>
        <v>0.18883556662454237</v>
      </c>
      <c r="H164" s="1065">
        <v>46986</v>
      </c>
      <c r="I164" s="972">
        <f>H164/DataUK1!B164</f>
        <v>4.1320504330711778E-2</v>
      </c>
      <c r="J164" s="988"/>
      <c r="K164" s="988"/>
      <c r="L164" s="984">
        <f>M164*DataUK1!B164</f>
        <v>392495.04773151269</v>
      </c>
      <c r="M164" s="988">
        <f t="shared" si="69"/>
        <v>0.34516863149816746</v>
      </c>
      <c r="N164" s="991">
        <v>5901823</v>
      </c>
      <c r="O164" s="991">
        <v>3902177</v>
      </c>
      <c r="P164" s="991">
        <v>466123</v>
      </c>
      <c r="Q164" s="983">
        <f t="shared" si="48"/>
        <v>0.92102050502022847</v>
      </c>
      <c r="R164" s="988">
        <f>P164/DataUK1!B164</f>
        <v>0.4099186447057499</v>
      </c>
      <c r="S164" s="988"/>
      <c r="T164" s="988"/>
      <c r="U164" s="988"/>
      <c r="V164" s="988"/>
      <c r="W164" s="988"/>
      <c r="X164" s="988"/>
      <c r="Y164" s="988"/>
      <c r="Z164" s="988"/>
      <c r="AA164" s="988"/>
      <c r="AB164" s="988"/>
      <c r="AC164" s="988"/>
      <c r="AD164" s="988"/>
      <c r="AE164" s="988"/>
      <c r="AF164" s="988"/>
      <c r="AG164" s="988"/>
      <c r="AH164" s="988"/>
      <c r="AI164" s="988"/>
      <c r="AJ164" s="988"/>
      <c r="AK164" s="991"/>
      <c r="AL164" s="991"/>
      <c r="AM164" s="991"/>
      <c r="AN164" s="991"/>
      <c r="AO164" s="991"/>
      <c r="AP164" s="991"/>
      <c r="AQ164" s="991"/>
      <c r="AR164" s="991"/>
      <c r="AS164" s="1010">
        <v>3182142</v>
      </c>
      <c r="AT164" s="991">
        <v>1640970</v>
      </c>
      <c r="AU164" s="991">
        <f t="shared" si="63"/>
        <v>1541172</v>
      </c>
      <c r="AV164" s="991">
        <v>866212</v>
      </c>
      <c r="AW164" s="991">
        <v>47022</v>
      </c>
      <c r="AX164" s="991">
        <v>6963</v>
      </c>
      <c r="AY164" s="991">
        <v>528273</v>
      </c>
      <c r="AZ164" s="991">
        <v>92702</v>
      </c>
      <c r="BA164" s="991"/>
      <c r="BB164" s="991"/>
      <c r="BC164" s="991"/>
      <c r="BD164" s="991"/>
      <c r="BE164" s="1010">
        <v>1182496</v>
      </c>
      <c r="BF164" s="991">
        <v>881104</v>
      </c>
      <c r="BG164" s="1117">
        <f t="shared" si="54"/>
        <v>0.74512218223148319</v>
      </c>
      <c r="BH164" s="1129">
        <f t="shared" si="64"/>
        <v>-331921</v>
      </c>
      <c r="BI164" s="991">
        <f t="shared" si="65"/>
        <v>-393610</v>
      </c>
      <c r="BJ164" s="991">
        <v>1433979</v>
      </c>
      <c r="BK164" s="991">
        <v>1440834</v>
      </c>
      <c r="BL164" s="991">
        <v>2888530</v>
      </c>
      <c r="BM164" s="991">
        <v>1636569</v>
      </c>
      <c r="BN164" s="991">
        <v>139675</v>
      </c>
      <c r="BO164" s="991">
        <v>9561839</v>
      </c>
      <c r="BP164" s="991">
        <v>10019718</v>
      </c>
      <c r="BQ164" s="1131">
        <v>970955</v>
      </c>
      <c r="BR164" s="1129">
        <f t="shared" si="67"/>
        <v>-219792</v>
      </c>
      <c r="BS164" s="308">
        <f>BR164/DataUK1!B164</f>
        <v>-0.19328983713990983</v>
      </c>
      <c r="BT164" s="991">
        <v>4828369</v>
      </c>
      <c r="BU164" s="991">
        <v>1130512</v>
      </c>
      <c r="BV164" s="991">
        <v>5048161</v>
      </c>
      <c r="BW164" s="1131">
        <v>842622</v>
      </c>
      <c r="BX164" s="1145">
        <f t="shared" si="43"/>
        <v>290904</v>
      </c>
      <c r="BY164" s="991">
        <f t="shared" si="42"/>
        <v>352593</v>
      </c>
      <c r="BZ164" s="991">
        <v>602306</v>
      </c>
      <c r="CA164" s="991">
        <v>298780</v>
      </c>
      <c r="CB164" s="991">
        <v>610182</v>
      </c>
      <c r="CC164" s="991">
        <f t="shared" si="44"/>
        <v>61689</v>
      </c>
      <c r="CD164" s="991">
        <v>173261</v>
      </c>
      <c r="CE164" s="991">
        <v>29934</v>
      </c>
      <c r="CF164" s="991">
        <v>141506</v>
      </c>
      <c r="CG164" s="1146">
        <v>115062</v>
      </c>
      <c r="CH164" s="1129">
        <f t="shared" si="46"/>
        <v>5726604</v>
      </c>
      <c r="CI164" s="991">
        <f t="shared" si="47"/>
        <v>5394683</v>
      </c>
      <c r="CJ164" s="991">
        <f t="shared" si="66"/>
        <v>5394683</v>
      </c>
      <c r="CK164" s="1131">
        <f t="shared" si="68"/>
        <v>5860806</v>
      </c>
      <c r="CL164" s="975"/>
      <c r="CM164" s="975"/>
      <c r="CN164" s="975"/>
      <c r="CO164" s="975"/>
      <c r="CP164" s="979"/>
      <c r="CQ164" s="1273">
        <f t="shared" si="51"/>
        <v>57673</v>
      </c>
      <c r="CR164" s="1273">
        <v>16680</v>
      </c>
      <c r="CS164" s="1273">
        <v>40993</v>
      </c>
      <c r="CT164" s="577">
        <v>0</v>
      </c>
      <c r="CU164" s="1273">
        <f t="shared" si="52"/>
        <v>57673</v>
      </c>
      <c r="CV164" s="1273">
        <v>37212</v>
      </c>
      <c r="CW164" s="1273">
        <v>2679</v>
      </c>
      <c r="CX164" s="1273">
        <f t="shared" si="53"/>
        <v>17767.400000000001</v>
      </c>
      <c r="CY164" s="1273">
        <v>14.6</v>
      </c>
    </row>
    <row r="165" spans="1:103" s="598" customFormat="1">
      <c r="A165" s="577">
        <f t="shared" si="55"/>
        <v>2006</v>
      </c>
      <c r="B165" s="982">
        <f t="shared" si="56"/>
        <v>5917551</v>
      </c>
      <c r="C165" s="1010">
        <f t="shared" si="60"/>
        <v>3560225</v>
      </c>
      <c r="D165" s="991">
        <v>3336152</v>
      </c>
      <c r="E165" s="991">
        <f t="shared" si="61"/>
        <v>224073</v>
      </c>
      <c r="F165" s="988">
        <f t="shared" si="62"/>
        <v>0.93706212388261978</v>
      </c>
      <c r="G165" s="972">
        <f>E165/DataUK1!B165</f>
        <v>0.18837262088909812</v>
      </c>
      <c r="H165" s="1065">
        <v>47127</v>
      </c>
      <c r="I165" s="972">
        <f>H165/DataUK1!B165</f>
        <v>3.961850158046943E-2</v>
      </c>
      <c r="J165" s="988"/>
      <c r="K165" s="988"/>
      <c r="L165" s="984">
        <f>M165*DataUK1!B165</f>
        <v>410584.99053970014</v>
      </c>
      <c r="M165" s="988">
        <f t="shared" si="69"/>
        <v>0.34516863149816746</v>
      </c>
      <c r="N165" s="991">
        <v>6404485</v>
      </c>
      <c r="O165" s="991">
        <v>4047159</v>
      </c>
      <c r="P165" s="991">
        <v>486934</v>
      </c>
      <c r="Q165" s="983">
        <f t="shared" si="48"/>
        <v>0.92396984300845419</v>
      </c>
      <c r="R165" s="988">
        <f>P165/DataUK1!B165</f>
        <v>0.40935335261281863</v>
      </c>
      <c r="S165" s="988"/>
      <c r="T165" s="988"/>
      <c r="U165" s="988"/>
      <c r="V165" s="988"/>
      <c r="W165" s="988"/>
      <c r="X165" s="988"/>
      <c r="Y165" s="988"/>
      <c r="Z165" s="988"/>
      <c r="AA165" s="988"/>
      <c r="AB165" s="988"/>
      <c r="AC165" s="988"/>
      <c r="AD165" s="988"/>
      <c r="AE165" s="988"/>
      <c r="AF165" s="988"/>
      <c r="AG165" s="988"/>
      <c r="AH165" s="988"/>
      <c r="AI165" s="988"/>
      <c r="AJ165" s="988"/>
      <c r="AK165" s="991"/>
      <c r="AL165" s="991"/>
      <c r="AM165" s="991"/>
      <c r="AN165" s="991"/>
      <c r="AO165" s="991"/>
      <c r="AP165" s="991"/>
      <c r="AQ165" s="991"/>
      <c r="AR165" s="991"/>
      <c r="AS165" s="1010">
        <v>3612970</v>
      </c>
      <c r="AT165" s="991">
        <v>1931309</v>
      </c>
      <c r="AU165" s="991">
        <f t="shared" si="63"/>
        <v>1681661</v>
      </c>
      <c r="AV165" s="991">
        <v>936535</v>
      </c>
      <c r="AW165" s="991">
        <v>53770</v>
      </c>
      <c r="AX165" s="991">
        <v>7036</v>
      </c>
      <c r="AY165" s="991">
        <v>588447</v>
      </c>
      <c r="AZ165" s="991">
        <v>95873</v>
      </c>
      <c r="BA165" s="991"/>
      <c r="BB165" s="991"/>
      <c r="BC165" s="991"/>
      <c r="BD165" s="991"/>
      <c r="BE165" s="1010">
        <v>1255644</v>
      </c>
      <c r="BF165" s="991">
        <v>938326</v>
      </c>
      <c r="BG165" s="1117">
        <f t="shared" si="54"/>
        <v>0.74728665131199612</v>
      </c>
      <c r="BH165" s="1129">
        <f t="shared" si="64"/>
        <v>-693287</v>
      </c>
      <c r="BI165" s="991">
        <f t="shared" si="65"/>
        <v>-744276</v>
      </c>
      <c r="BJ165" s="991">
        <v>1451431</v>
      </c>
      <c r="BK165" s="991">
        <v>1606220</v>
      </c>
      <c r="BL165" s="991">
        <v>3346561</v>
      </c>
      <c r="BM165" s="991">
        <v>1899569</v>
      </c>
      <c r="BN165" s="991">
        <v>142941</v>
      </c>
      <c r="BO165" s="991">
        <v>11383221</v>
      </c>
      <c r="BP165" s="991">
        <v>11930539</v>
      </c>
      <c r="BQ165" s="1131">
        <v>1132561</v>
      </c>
      <c r="BR165" s="1129">
        <f t="shared" si="67"/>
        <v>-272767</v>
      </c>
      <c r="BS165" s="308">
        <f>BR165/DataUK1!B165</f>
        <v>-0.22930846055551818</v>
      </c>
      <c r="BT165" s="991">
        <v>5884704</v>
      </c>
      <c r="BU165" s="991">
        <v>1352445</v>
      </c>
      <c r="BV165" s="991">
        <v>6157471</v>
      </c>
      <c r="BW165" s="1131">
        <v>1028019</v>
      </c>
      <c r="BX165" s="1145">
        <f t="shared" si="43"/>
        <v>318170</v>
      </c>
      <c r="BY165" s="991">
        <f t="shared" si="42"/>
        <v>369159</v>
      </c>
      <c r="BZ165" s="991">
        <v>657451</v>
      </c>
      <c r="CA165" s="991">
        <v>330139</v>
      </c>
      <c r="CB165" s="991">
        <v>669420</v>
      </c>
      <c r="CC165" s="991">
        <f t="shared" si="44"/>
        <v>50989</v>
      </c>
      <c r="CD165" s="991">
        <v>185553</v>
      </c>
      <c r="CE165" s="991">
        <v>29348</v>
      </c>
      <c r="CF165" s="991">
        <v>163912</v>
      </c>
      <c r="CG165" s="1146">
        <v>134270</v>
      </c>
      <c r="CH165" s="1129">
        <f t="shared" si="46"/>
        <v>6235721</v>
      </c>
      <c r="CI165" s="991">
        <f t="shared" si="47"/>
        <v>5542434</v>
      </c>
      <c r="CJ165" s="991">
        <f t="shared" si="66"/>
        <v>5542434</v>
      </c>
      <c r="CK165" s="1131">
        <f t="shared" si="68"/>
        <v>6029368</v>
      </c>
      <c r="CL165" s="975"/>
      <c r="CM165" s="975"/>
      <c r="CN165" s="975"/>
      <c r="CO165" s="975"/>
      <c r="CP165" s="979"/>
      <c r="CQ165" s="1273">
        <f t="shared" si="51"/>
        <v>64170</v>
      </c>
      <c r="CR165" s="1273">
        <v>15496</v>
      </c>
      <c r="CS165" s="1273">
        <v>48674</v>
      </c>
      <c r="CT165" s="577">
        <v>0</v>
      </c>
      <c r="CU165" s="1273">
        <f t="shared" si="52"/>
        <v>64170</v>
      </c>
      <c r="CV165" s="1273">
        <v>39329</v>
      </c>
      <c r="CW165" s="1273">
        <v>3732</v>
      </c>
      <c r="CX165" s="1273">
        <f t="shared" si="53"/>
        <v>21094.400000000001</v>
      </c>
      <c r="CY165" s="1273">
        <v>14.6</v>
      </c>
    </row>
    <row r="166" spans="1:103" s="598" customFormat="1">
      <c r="A166" s="577">
        <f t="shared" si="55"/>
        <v>2007</v>
      </c>
      <c r="B166" s="982">
        <f t="shared" si="56"/>
        <v>6428236</v>
      </c>
      <c r="C166" s="1010">
        <f t="shared" si="60"/>
        <v>3926255</v>
      </c>
      <c r="D166" s="991">
        <v>3696320</v>
      </c>
      <c r="E166" s="991">
        <f t="shared" si="61"/>
        <v>229935</v>
      </c>
      <c r="F166" s="988">
        <f t="shared" si="62"/>
        <v>0.94143655977515472</v>
      </c>
      <c r="G166" s="972">
        <f>E166/DataUK1!B166</f>
        <v>0.18089065844718899</v>
      </c>
      <c r="H166" s="1065">
        <v>47281</v>
      </c>
      <c r="I166" s="972">
        <f>H166/DataUK1!B166</f>
        <v>3.7196125957516438E-2</v>
      </c>
      <c r="J166" s="988"/>
      <c r="K166" s="988"/>
      <c r="L166" s="984">
        <f>M166*DataUK1!B166</f>
        <v>438753.16705037112</v>
      </c>
      <c r="M166" s="988">
        <f t="shared" si="69"/>
        <v>0.34516863149816746</v>
      </c>
      <c r="N166" s="991">
        <v>6973377</v>
      </c>
      <c r="O166" s="991">
        <v>4471396</v>
      </c>
      <c r="P166" s="991">
        <v>545141</v>
      </c>
      <c r="Q166" s="983">
        <f t="shared" si="48"/>
        <v>0.92182539392320251</v>
      </c>
      <c r="R166" s="988">
        <f>P166/DataUK1!B166</f>
        <v>0.42886430702833001</v>
      </c>
      <c r="S166" s="988"/>
      <c r="T166" s="988"/>
      <c r="U166" s="988"/>
      <c r="V166" s="988"/>
      <c r="W166" s="988"/>
      <c r="X166" s="988"/>
      <c r="Y166" s="988"/>
      <c r="Z166" s="988"/>
      <c r="AA166" s="988"/>
      <c r="AB166" s="988"/>
      <c r="AC166" s="988"/>
      <c r="AD166" s="988"/>
      <c r="AE166" s="988"/>
      <c r="AF166" s="988"/>
      <c r="AG166" s="988"/>
      <c r="AH166" s="988"/>
      <c r="AI166" s="988"/>
      <c r="AJ166" s="988"/>
      <c r="AK166" s="991"/>
      <c r="AL166" s="991"/>
      <c r="AM166" s="991"/>
      <c r="AN166" s="991"/>
      <c r="AO166" s="991"/>
      <c r="AP166" s="991"/>
      <c r="AQ166" s="991"/>
      <c r="AR166" s="991"/>
      <c r="AS166" s="1010">
        <v>3914861</v>
      </c>
      <c r="AT166" s="991">
        <v>2111268</v>
      </c>
      <c r="AU166" s="991">
        <f t="shared" si="63"/>
        <v>1803593</v>
      </c>
      <c r="AV166" s="991">
        <v>1015759</v>
      </c>
      <c r="AW166" s="991">
        <v>35789</v>
      </c>
      <c r="AX166" s="991">
        <v>7268</v>
      </c>
      <c r="AY166" s="991">
        <v>620825</v>
      </c>
      <c r="AZ166" s="991">
        <v>123952</v>
      </c>
      <c r="BA166" s="991"/>
      <c r="BB166" s="991"/>
      <c r="BC166" s="991"/>
      <c r="BD166" s="991"/>
      <c r="BE166" s="1010">
        <v>1412880</v>
      </c>
      <c r="BF166" s="991">
        <v>1046285</v>
      </c>
      <c r="BG166" s="1117">
        <f t="shared" si="54"/>
        <v>0.74053352018571994</v>
      </c>
      <c r="BH166" s="1129">
        <f t="shared" si="64"/>
        <v>-826987</v>
      </c>
      <c r="BI166" s="991">
        <f t="shared" si="65"/>
        <v>-881206</v>
      </c>
      <c r="BJ166" s="991">
        <v>1547046</v>
      </c>
      <c r="BK166" s="991">
        <v>1725946</v>
      </c>
      <c r="BL166" s="991">
        <v>3692988</v>
      </c>
      <c r="BM166" s="991">
        <v>2072082</v>
      </c>
      <c r="BN166" s="991">
        <v>147133</v>
      </c>
      <c r="BO166" s="991">
        <v>12743317</v>
      </c>
      <c r="BP166" s="991">
        <v>13297441</v>
      </c>
      <c r="BQ166" s="1131">
        <v>1329278</v>
      </c>
      <c r="BR166" s="1129">
        <f t="shared" si="67"/>
        <v>-387250</v>
      </c>
      <c r="BS166" s="308">
        <f>BR166/DataUK1!B166</f>
        <v>-0.30465091214331846</v>
      </c>
      <c r="BT166" s="991">
        <v>6325149</v>
      </c>
      <c r="BU166" s="991">
        <v>1465028</v>
      </c>
      <c r="BV166" s="991">
        <v>6712399</v>
      </c>
      <c r="BW166" s="1131">
        <v>1213950</v>
      </c>
      <c r="BX166" s="1145">
        <f t="shared" si="43"/>
        <v>340784</v>
      </c>
      <c r="BY166" s="991">
        <f t="shared" si="42"/>
        <v>395003</v>
      </c>
      <c r="BZ166" s="991">
        <v>705413</v>
      </c>
      <c r="CA166" s="991">
        <v>339673</v>
      </c>
      <c r="CB166" s="991">
        <v>704302</v>
      </c>
      <c r="CC166" s="991">
        <f t="shared" si="44"/>
        <v>54219</v>
      </c>
      <c r="CD166" s="991">
        <v>177441</v>
      </c>
      <c r="CE166" s="991">
        <v>33014</v>
      </c>
      <c r="CF166" s="991">
        <v>156236</v>
      </c>
      <c r="CG166" s="1146">
        <v>128229</v>
      </c>
      <c r="CH166" s="1129">
        <f t="shared" si="46"/>
        <v>6769020</v>
      </c>
      <c r="CI166" s="991">
        <f t="shared" si="47"/>
        <v>5942033</v>
      </c>
      <c r="CJ166" s="991">
        <f t="shared" si="66"/>
        <v>5942033</v>
      </c>
      <c r="CK166" s="1131">
        <f t="shared" si="68"/>
        <v>6487174</v>
      </c>
      <c r="CL166" s="975"/>
      <c r="CM166" s="975"/>
      <c r="CN166" s="975"/>
      <c r="CO166" s="975"/>
      <c r="CP166" s="979"/>
      <c r="CQ166" s="1273">
        <f t="shared" si="51"/>
        <v>64170</v>
      </c>
      <c r="CR166" s="1273">
        <v>15496</v>
      </c>
      <c r="CS166" s="1273">
        <v>48674</v>
      </c>
      <c r="CT166" s="577">
        <v>0</v>
      </c>
      <c r="CU166" s="1273">
        <f t="shared" si="52"/>
        <v>64170</v>
      </c>
      <c r="CV166" s="1273">
        <v>41366</v>
      </c>
      <c r="CW166" s="1273">
        <v>3732</v>
      </c>
      <c r="CX166" s="1273">
        <f t="shared" si="53"/>
        <v>19057.400000000001</v>
      </c>
      <c r="CY166" s="1273">
        <v>14.6</v>
      </c>
    </row>
    <row r="167" spans="1:103" s="598" customFormat="1">
      <c r="A167" s="577">
        <f t="shared" si="55"/>
        <v>2008</v>
      </c>
      <c r="B167" s="982">
        <f t="shared" si="56"/>
        <v>6860401</v>
      </c>
      <c r="C167" s="1010">
        <f t="shared" si="60"/>
        <v>4306080</v>
      </c>
      <c r="D167" s="991">
        <v>4077283</v>
      </c>
      <c r="E167" s="991">
        <f t="shared" si="61"/>
        <v>228797</v>
      </c>
      <c r="F167" s="988">
        <f t="shared" si="62"/>
        <v>0.94686652361312373</v>
      </c>
      <c r="G167" s="972">
        <f>E167/DataUK1!B167</f>
        <v>0.17415009377435697</v>
      </c>
      <c r="H167" s="1065">
        <v>47106</v>
      </c>
      <c r="I167" s="972">
        <f>H167/DataUK1!B167</f>
        <v>3.5854990744349183E-2</v>
      </c>
      <c r="J167" s="988"/>
      <c r="K167" s="988"/>
      <c r="L167" s="984">
        <f>M167*DataUK1!B167</f>
        <v>453479.78671324044</v>
      </c>
      <c r="M167" s="988">
        <f t="shared" si="69"/>
        <v>0.34516863149816746</v>
      </c>
      <c r="N167" s="991">
        <v>7471917</v>
      </c>
      <c r="O167" s="991">
        <v>4917596</v>
      </c>
      <c r="P167" s="991">
        <v>611516</v>
      </c>
      <c r="Q167" s="983">
        <f t="shared" si="48"/>
        <v>0.91815808446480329</v>
      </c>
      <c r="R167" s="988">
        <f>P167/DataUK1!B167</f>
        <v>0.46545876363990646</v>
      </c>
      <c r="S167" s="988"/>
      <c r="T167" s="988"/>
      <c r="U167" s="988"/>
      <c r="V167" s="988"/>
      <c r="W167" s="988"/>
      <c r="X167" s="988"/>
      <c r="Y167" s="988"/>
      <c r="Z167" s="988"/>
      <c r="AA167" s="988"/>
      <c r="AB167" s="988"/>
      <c r="AC167" s="988"/>
      <c r="AD167" s="988"/>
      <c r="AE167" s="988"/>
      <c r="AF167" s="988"/>
      <c r="AG167" s="988"/>
      <c r="AH167" s="988"/>
      <c r="AI167" s="988"/>
      <c r="AJ167" s="988"/>
      <c r="AK167" s="991"/>
      <c r="AL167" s="991"/>
      <c r="AM167" s="991"/>
      <c r="AN167" s="991"/>
      <c r="AO167" s="991"/>
      <c r="AP167" s="991"/>
      <c r="AQ167" s="991"/>
      <c r="AR167" s="991"/>
      <c r="AS167" s="1010">
        <v>4074892</v>
      </c>
      <c r="AT167" s="991">
        <v>2210320</v>
      </c>
      <c r="AU167" s="991">
        <f t="shared" si="63"/>
        <v>1864572</v>
      </c>
      <c r="AV167" s="991">
        <v>1103571</v>
      </c>
      <c r="AW167" s="991">
        <v>32547</v>
      </c>
      <c r="AX167" s="991">
        <v>9907</v>
      </c>
      <c r="AY167" s="991">
        <v>604600</v>
      </c>
      <c r="AZ167" s="991">
        <v>113947</v>
      </c>
      <c r="BA167" s="991"/>
      <c r="BB167" s="991"/>
      <c r="BC167" s="991"/>
      <c r="BD167" s="991"/>
      <c r="BE167" s="1010">
        <v>1520571</v>
      </c>
      <c r="BF167" s="991">
        <v>1146799</v>
      </c>
      <c r="BG167" s="1117">
        <f t="shared" si="54"/>
        <v>0.75418970899747528</v>
      </c>
      <c r="BH167" s="1129">
        <f t="shared" si="64"/>
        <v>-765427</v>
      </c>
      <c r="BI167" s="991">
        <f t="shared" si="65"/>
        <v>-827035</v>
      </c>
      <c r="BJ167" s="991">
        <v>1563465</v>
      </c>
      <c r="BK167" s="991">
        <v>1916561</v>
      </c>
      <c r="BL167" s="991">
        <v>3847688</v>
      </c>
      <c r="BM167" s="991">
        <v>2183994</v>
      </c>
      <c r="BN167" s="991">
        <v>154148</v>
      </c>
      <c r="BO167" s="991">
        <v>14974396</v>
      </c>
      <c r="BP167" s="991">
        <v>15526309</v>
      </c>
      <c r="BQ167" s="1131">
        <v>1323522</v>
      </c>
      <c r="BR167" s="1129">
        <f t="shared" si="67"/>
        <v>-332780</v>
      </c>
      <c r="BS167" s="308">
        <f>BR167/DataUK1!B167</f>
        <v>-0.25329732560405299</v>
      </c>
      <c r="BT167" s="991">
        <v>7988102</v>
      </c>
      <c r="BU167" s="991">
        <v>1624627</v>
      </c>
      <c r="BV167" s="991">
        <v>8320882</v>
      </c>
      <c r="BW167" s="1131">
        <v>1331662</v>
      </c>
      <c r="BX167" s="1145">
        <f t="shared" si="43"/>
        <v>358872</v>
      </c>
      <c r="BY167" s="991">
        <f t="shared" si="42"/>
        <v>420480</v>
      </c>
      <c r="BZ167" s="991">
        <v>758589</v>
      </c>
      <c r="CA167" s="991">
        <v>352631</v>
      </c>
      <c r="CB167" s="991">
        <v>752348</v>
      </c>
      <c r="CC167" s="991">
        <f t="shared" si="44"/>
        <v>61608</v>
      </c>
      <c r="CD167" s="991">
        <v>185485</v>
      </c>
      <c r="CE167" s="991">
        <v>32609</v>
      </c>
      <c r="CF167" s="991">
        <v>156486</v>
      </c>
      <c r="CG167" s="1146">
        <v>127427</v>
      </c>
      <c r="CH167" s="1129">
        <f t="shared" si="46"/>
        <v>7219273</v>
      </c>
      <c r="CI167" s="991">
        <f t="shared" si="47"/>
        <v>6453846</v>
      </c>
      <c r="CJ167" s="991">
        <f t="shared" si="66"/>
        <v>6453846</v>
      </c>
      <c r="CK167" s="1131">
        <f t="shared" si="68"/>
        <v>7065362</v>
      </c>
      <c r="CL167" s="975"/>
      <c r="CM167" s="975"/>
      <c r="CN167" s="975"/>
      <c r="CO167" s="975"/>
      <c r="CP167" s="979"/>
      <c r="CQ167" s="1273">
        <v>92243</v>
      </c>
      <c r="CR167" s="1273">
        <f>CR166</f>
        <v>15496</v>
      </c>
      <c r="CS167" s="577"/>
      <c r="CT167" s="577">
        <v>0</v>
      </c>
      <c r="CU167" s="1273">
        <f t="shared" si="52"/>
        <v>92243</v>
      </c>
      <c r="CW167" s="1273"/>
      <c r="CY167" s="1030">
        <v>14.6</v>
      </c>
    </row>
    <row r="168" spans="1:103" s="598" customFormat="1">
      <c r="A168" s="577">
        <f t="shared" si="55"/>
        <v>2009</v>
      </c>
      <c r="B168" s="982">
        <f t="shared" si="56"/>
        <v>6028482</v>
      </c>
      <c r="C168" s="1010">
        <f t="shared" si="60"/>
        <v>3902354</v>
      </c>
      <c r="D168" s="991">
        <v>3688803</v>
      </c>
      <c r="E168" s="991">
        <f t="shared" si="61"/>
        <v>213551</v>
      </c>
      <c r="F168" s="988">
        <f t="shared" si="62"/>
        <v>0.94527636395877979</v>
      </c>
      <c r="G168" s="972">
        <f>E168/DataUK1!B168</f>
        <v>0.17028865606158591</v>
      </c>
      <c r="H168" s="1065">
        <v>46330</v>
      </c>
      <c r="I168" s="972">
        <f>H168/DataUK1!B168</f>
        <v>3.6944212086729988E-2</v>
      </c>
      <c r="J168" s="988"/>
      <c r="K168" s="988"/>
      <c r="L168" s="984">
        <f>M168*DataUK1!B168</f>
        <v>432859.75783617137</v>
      </c>
      <c r="M168" s="988">
        <f t="shared" si="69"/>
        <v>0.34516863149816746</v>
      </c>
      <c r="N168" s="991">
        <v>6577831</v>
      </c>
      <c r="O168" s="991">
        <v>4451703</v>
      </c>
      <c r="P168" s="991">
        <v>549349</v>
      </c>
      <c r="Q168" s="983">
        <f t="shared" si="48"/>
        <v>0.91648478046942827</v>
      </c>
      <c r="R168" s="988">
        <f>P168/DataUK1!B168</f>
        <v>0.4380588380235923</v>
      </c>
      <c r="S168" s="988"/>
      <c r="T168" s="988"/>
      <c r="U168" s="988"/>
      <c r="V168" s="988"/>
      <c r="W168" s="988"/>
      <c r="X168" s="988"/>
      <c r="Y168" s="988"/>
      <c r="Z168" s="988"/>
      <c r="AA168" s="988"/>
      <c r="AB168" s="988"/>
      <c r="AC168" s="988"/>
      <c r="AD168" s="988"/>
      <c r="AE168" s="988"/>
      <c r="AF168" s="988"/>
      <c r="AG168" s="988"/>
      <c r="AH168" s="988"/>
      <c r="AI168" s="988"/>
      <c r="AJ168" s="988"/>
      <c r="AK168" s="991"/>
      <c r="AL168" s="991"/>
      <c r="AM168" s="991"/>
      <c r="AN168" s="991"/>
      <c r="AO168" s="991"/>
      <c r="AP168" s="991"/>
      <c r="AQ168" s="991"/>
      <c r="AR168" s="991"/>
      <c r="AS168" s="1010">
        <v>3676254</v>
      </c>
      <c r="AT168" s="991">
        <v>1914309</v>
      </c>
      <c r="AU168" s="991">
        <f t="shared" si="63"/>
        <v>1761945</v>
      </c>
      <c r="AV168" s="991">
        <v>1172470</v>
      </c>
      <c r="AW168" s="991">
        <v>34552</v>
      </c>
      <c r="AX168" s="991">
        <v>18249</v>
      </c>
      <c r="AY168" s="991">
        <v>407607</v>
      </c>
      <c r="AZ168" s="991">
        <v>129067</v>
      </c>
      <c r="BA168" s="991"/>
      <c r="BB168" s="991"/>
      <c r="BC168" s="991"/>
      <c r="BD168" s="991"/>
      <c r="BE168" s="1010">
        <v>1550126</v>
      </c>
      <c r="BF168" s="991">
        <v>1185650</v>
      </c>
      <c r="BG168" s="1117">
        <f t="shared" si="54"/>
        <v>0.76487330707310242</v>
      </c>
      <c r="BH168" s="1129">
        <f t="shared" si="64"/>
        <v>-63239</v>
      </c>
      <c r="BI168" s="991">
        <f t="shared" si="65"/>
        <v>-122411</v>
      </c>
      <c r="BJ168" s="991">
        <v>1532279</v>
      </c>
      <c r="BK168" s="991">
        <v>2255399</v>
      </c>
      <c r="BL168" s="991">
        <v>3584168</v>
      </c>
      <c r="BM168" s="991">
        <v>1690916</v>
      </c>
      <c r="BN168" s="991">
        <v>137763</v>
      </c>
      <c r="BO168" s="991">
        <v>22487438</v>
      </c>
      <c r="BP168" s="991">
        <v>22891950</v>
      </c>
      <c r="BQ168" s="1131">
        <v>1093088</v>
      </c>
      <c r="BR168" s="1129">
        <f t="shared" si="67"/>
        <v>-90076</v>
      </c>
      <c r="BS168" s="308">
        <f>BR168/DataUK1!B168</f>
        <v>-7.182790520017894E-2</v>
      </c>
      <c r="BT168" s="991">
        <v>11334931</v>
      </c>
      <c r="BU168" s="991">
        <v>1598288</v>
      </c>
      <c r="BV168" s="991">
        <v>11425007</v>
      </c>
      <c r="BW168" s="1131">
        <v>1151249</v>
      </c>
      <c r="BX168" s="1145">
        <f t="shared" si="43"/>
        <v>260071</v>
      </c>
      <c r="BY168" s="991">
        <f t="shared" si="42"/>
        <v>319243</v>
      </c>
      <c r="BZ168" s="991">
        <v>736718</v>
      </c>
      <c r="CA168" s="991">
        <v>439992</v>
      </c>
      <c r="CB168" s="991">
        <v>916639</v>
      </c>
      <c r="CC168" s="991">
        <f t="shared" si="44"/>
        <v>59172</v>
      </c>
      <c r="CD168" s="991">
        <v>190064</v>
      </c>
      <c r="CE168" s="991">
        <v>30314</v>
      </c>
      <c r="CF168" s="991">
        <v>161206</v>
      </c>
      <c r="CG168" s="1146">
        <v>132585</v>
      </c>
      <c r="CH168" s="1129">
        <f t="shared" si="46"/>
        <v>6288553</v>
      </c>
      <c r="CI168" s="991">
        <f t="shared" si="47"/>
        <v>6225314</v>
      </c>
      <c r="CJ168" s="991">
        <f t="shared" si="66"/>
        <v>6225314</v>
      </c>
      <c r="CK168" s="1131">
        <f t="shared" si="68"/>
        <v>6774663</v>
      </c>
      <c r="CL168" s="975"/>
      <c r="CM168" s="975"/>
      <c r="CN168" s="975"/>
      <c r="CO168" s="975"/>
      <c r="CP168" s="979"/>
      <c r="CQ168" s="1273">
        <v>238490</v>
      </c>
      <c r="CR168" s="1273">
        <f>CR167</f>
        <v>15496</v>
      </c>
      <c r="CS168" s="577"/>
      <c r="CT168" s="577">
        <v>0</v>
      </c>
      <c r="CU168" s="1273">
        <f t="shared" si="52"/>
        <v>238490</v>
      </c>
      <c r="CV168" s="1273">
        <v>46886</v>
      </c>
      <c r="CW168" s="1273"/>
      <c r="CY168" s="1030">
        <v>14.6</v>
      </c>
    </row>
    <row r="169" spans="1:103" s="598" customFormat="1">
      <c r="A169" s="577">
        <f t="shared" si="55"/>
        <v>2010</v>
      </c>
      <c r="B169" s="982">
        <f t="shared" si="56"/>
        <v>6622537</v>
      </c>
      <c r="C169" s="1010">
        <f t="shared" si="60"/>
        <v>4046874</v>
      </c>
      <c r="D169" s="991">
        <v>3826524</v>
      </c>
      <c r="E169" s="991">
        <f t="shared" si="61"/>
        <v>220350</v>
      </c>
      <c r="F169" s="988">
        <f t="shared" si="62"/>
        <v>0.94555056569589269</v>
      </c>
      <c r="G169" s="972">
        <f>E169/DataUK1!B169</f>
        <v>0.16791130076964109</v>
      </c>
      <c r="H169" s="1065">
        <v>45876</v>
      </c>
      <c r="I169" s="972">
        <f>H169/DataUK1!B169</f>
        <v>3.4958469862074223E-2</v>
      </c>
      <c r="J169" s="988"/>
      <c r="K169" s="988"/>
      <c r="L169" s="984">
        <f>M169*DataUK1!B169</f>
        <v>452964.79511504516</v>
      </c>
      <c r="M169" s="988">
        <f t="shared" si="69"/>
        <v>0.34516863149816746</v>
      </c>
      <c r="N169" s="991">
        <v>7197197</v>
      </c>
      <c r="O169" s="991">
        <v>4621534</v>
      </c>
      <c r="P169" s="991">
        <v>574660</v>
      </c>
      <c r="Q169" s="983">
        <f t="shared" si="48"/>
        <v>0.92015502701954666</v>
      </c>
      <c r="R169" s="988">
        <f>P169/DataUK1!B169</f>
        <v>0.43790291853996799</v>
      </c>
      <c r="S169" s="988"/>
      <c r="T169" s="988"/>
      <c r="U169" s="988"/>
      <c r="V169" s="988"/>
      <c r="W169" s="988"/>
      <c r="X169" s="988"/>
      <c r="Y169" s="988"/>
      <c r="Z169" s="988"/>
      <c r="AA169" s="988"/>
      <c r="AB169" s="988"/>
      <c r="AC169" s="988"/>
      <c r="AD169" s="988"/>
      <c r="AE169" s="988"/>
      <c r="AF169" s="988"/>
      <c r="AG169" s="988"/>
      <c r="AH169" s="988"/>
      <c r="AI169" s="988"/>
      <c r="AJ169" s="988"/>
      <c r="AK169" s="991"/>
      <c r="AL169" s="991"/>
      <c r="AM169" s="991"/>
      <c r="AN169" s="991"/>
      <c r="AO169" s="991"/>
      <c r="AP169" s="991"/>
      <c r="AQ169" s="991"/>
      <c r="AR169" s="991"/>
      <c r="AS169" s="1010">
        <v>4107245</v>
      </c>
      <c r="AT169" s="991">
        <v>2187458</v>
      </c>
      <c r="AU169" s="991">
        <f t="shared" si="63"/>
        <v>1919787</v>
      </c>
      <c r="AV169" s="991">
        <v>1179153</v>
      </c>
      <c r="AW169" s="991">
        <v>32872</v>
      </c>
      <c r="AX169" s="991">
        <v>18345</v>
      </c>
      <c r="AY169" s="991">
        <v>566466</v>
      </c>
      <c r="AZ169" s="991">
        <v>122951</v>
      </c>
      <c r="BA169" s="991"/>
      <c r="BB169" s="991"/>
      <c r="BC169" s="991"/>
      <c r="BD169" s="991"/>
      <c r="BE169" s="1010">
        <v>1531582</v>
      </c>
      <c r="BF169" s="991">
        <v>1191431</v>
      </c>
      <c r="BG169" s="1117">
        <f t="shared" si="54"/>
        <v>0.77790872444309223</v>
      </c>
      <c r="BH169" s="1129">
        <f t="shared" si="64"/>
        <v>-641226</v>
      </c>
      <c r="BI169" s="991">
        <f t="shared" si="65"/>
        <v>-704595</v>
      </c>
      <c r="BJ169" s="991">
        <v>1487858</v>
      </c>
      <c r="BK169" s="991">
        <v>2083852</v>
      </c>
      <c r="BL169" s="991">
        <v>3816103</v>
      </c>
      <c r="BM169" s="991">
        <v>1989669</v>
      </c>
      <c r="BN169" s="991">
        <v>136603</v>
      </c>
      <c r="BO169" s="991">
        <v>18411320</v>
      </c>
      <c r="BP169" s="991">
        <v>18944756</v>
      </c>
      <c r="BQ169" s="1131">
        <v>1484516</v>
      </c>
      <c r="BR169" s="1129">
        <f t="shared" si="67"/>
        <v>-319756</v>
      </c>
      <c r="BS169" s="308">
        <f>BR169/DataUK1!B169</f>
        <v>-0.24366074830450354</v>
      </c>
      <c r="BT169" s="991">
        <v>8964722</v>
      </c>
      <c r="BU169" s="991">
        <v>1649507</v>
      </c>
      <c r="BV169" s="991">
        <v>9284478</v>
      </c>
      <c r="BW169" s="1131">
        <v>1378292</v>
      </c>
      <c r="BX169" s="1145">
        <f t="shared" si="43"/>
        <v>81948</v>
      </c>
      <c r="BY169" s="991">
        <f t="shared" si="42"/>
        <v>145317</v>
      </c>
      <c r="BZ169" s="991">
        <v>695980</v>
      </c>
      <c r="CA169" s="991">
        <v>494097</v>
      </c>
      <c r="CB169" s="991">
        <v>1108129</v>
      </c>
      <c r="CC169" s="991">
        <f t="shared" si="44"/>
        <v>63369</v>
      </c>
      <c r="CD169" s="991">
        <v>199471</v>
      </c>
      <c r="CE169" s="991">
        <v>32518</v>
      </c>
      <c r="CF169" s="991">
        <v>168620</v>
      </c>
      <c r="CG169" s="1146">
        <v>132262</v>
      </c>
      <c r="CH169" s="1129">
        <f t="shared" si="46"/>
        <v>6704485</v>
      </c>
      <c r="CI169" s="991">
        <f t="shared" si="47"/>
        <v>6063259</v>
      </c>
      <c r="CJ169" s="991">
        <f t="shared" si="66"/>
        <v>6063259</v>
      </c>
      <c r="CK169" s="1131">
        <f t="shared" si="68"/>
        <v>6637919</v>
      </c>
      <c r="CL169" s="975"/>
      <c r="CM169" s="975"/>
      <c r="CN169" s="975"/>
      <c r="CO169" s="975"/>
      <c r="CP169" s="979"/>
      <c r="CQ169" s="1273">
        <v>237694</v>
      </c>
      <c r="CR169" s="1273">
        <f>CR168+200000</f>
        <v>215496</v>
      </c>
      <c r="CS169" s="577"/>
      <c r="CT169" s="577">
        <v>0</v>
      </c>
      <c r="CU169" s="1273">
        <f t="shared" si="52"/>
        <v>237694</v>
      </c>
      <c r="CW169" s="1273"/>
      <c r="CY169" s="1030">
        <v>14.6</v>
      </c>
    </row>
    <row r="170" spans="1:103" s="598" customFormat="1">
      <c r="A170" s="577">
        <f t="shared" si="55"/>
        <v>2011</v>
      </c>
      <c r="B170" s="982">
        <f t="shared" si="56"/>
        <v>7074621</v>
      </c>
      <c r="C170" s="1010">
        <f t="shared" si="60"/>
        <v>4271241</v>
      </c>
      <c r="D170" s="991">
        <v>4036700</v>
      </c>
      <c r="E170" s="991">
        <f t="shared" si="61"/>
        <v>234541</v>
      </c>
      <c r="F170" s="988">
        <f t="shared" si="62"/>
        <v>0.94508832444715718</v>
      </c>
      <c r="G170" s="972"/>
      <c r="H170" s="1065">
        <v>45218</v>
      </c>
      <c r="I170" s="972"/>
      <c r="J170" s="988"/>
      <c r="K170" s="988"/>
      <c r="L170" s="984">
        <f>M170*DataUK1!B169</f>
        <v>452964.79511504516</v>
      </c>
      <c r="M170" s="988">
        <f t="shared" si="69"/>
        <v>0.34516863149816746</v>
      </c>
      <c r="N170" s="991">
        <v>7684683</v>
      </c>
      <c r="O170" s="991">
        <v>4881303</v>
      </c>
      <c r="P170" s="991">
        <v>610062</v>
      </c>
      <c r="Q170" s="983">
        <f t="shared" si="48"/>
        <v>0.92061325106058378</v>
      </c>
      <c r="R170" s="988"/>
      <c r="S170" s="988"/>
      <c r="T170" s="988"/>
      <c r="U170" s="988"/>
      <c r="V170" s="988"/>
      <c r="W170" s="988"/>
      <c r="X170" s="988"/>
      <c r="Y170" s="988"/>
      <c r="Z170" s="988"/>
      <c r="AA170" s="988"/>
      <c r="AB170" s="988"/>
      <c r="AC170" s="988"/>
      <c r="AD170" s="988"/>
      <c r="AE170" s="988"/>
      <c r="AF170" s="988"/>
      <c r="AG170" s="988"/>
      <c r="AH170" s="988"/>
      <c r="AI170" s="988"/>
      <c r="AJ170" s="988"/>
      <c r="AK170" s="991"/>
      <c r="AL170" s="991"/>
      <c r="AM170" s="991"/>
      <c r="AN170" s="991"/>
      <c r="AO170" s="991"/>
      <c r="AP170" s="991"/>
      <c r="AQ170" s="991"/>
      <c r="AR170" s="991"/>
      <c r="AS170" s="1010">
        <v>4346950</v>
      </c>
      <c r="AT170" s="991">
        <v>2316709</v>
      </c>
      <c r="AU170" s="991">
        <f t="shared" si="63"/>
        <v>2030241</v>
      </c>
      <c r="AV170" s="991">
        <v>1215354</v>
      </c>
      <c r="AW170" s="991">
        <v>34652</v>
      </c>
      <c r="AX170" s="991">
        <v>18436</v>
      </c>
      <c r="AY170" s="991">
        <v>633960</v>
      </c>
      <c r="AZ170" s="991">
        <v>127839</v>
      </c>
      <c r="BA170" s="991"/>
      <c r="BB170" s="991"/>
      <c r="BC170" s="991"/>
      <c r="BD170" s="991"/>
      <c r="BE170" s="1010">
        <v>1543570</v>
      </c>
      <c r="BF170" s="991">
        <v>1198290</v>
      </c>
      <c r="BG170" s="1117">
        <f t="shared" si="54"/>
        <v>0.77631076012101818</v>
      </c>
      <c r="BH170" s="1129">
        <f>BJ170+BK170-BL170+BN170+BO170-BP170</f>
        <v>-287510</v>
      </c>
      <c r="BI170" s="991">
        <f t="shared" si="65"/>
        <v>-351488</v>
      </c>
      <c r="BJ170" s="991">
        <v>1781807</v>
      </c>
      <c r="BK170" s="991">
        <v>2247370</v>
      </c>
      <c r="BL170" s="991">
        <v>4001227</v>
      </c>
      <c r="BM170" s="991">
        <v>2201401</v>
      </c>
      <c r="BN170" s="991">
        <v>145868</v>
      </c>
      <c r="BO170" s="991">
        <v>20005162</v>
      </c>
      <c r="BP170" s="991">
        <v>20466490</v>
      </c>
      <c r="BQ170" s="1131">
        <v>1642593</v>
      </c>
      <c r="BR170" s="1129">
        <f t="shared" si="67"/>
        <v>-215434</v>
      </c>
      <c r="BS170" s="308"/>
      <c r="BT170" s="991">
        <v>10302415</v>
      </c>
      <c r="BU170" s="991">
        <v>1799954</v>
      </c>
      <c r="BV170" s="991">
        <v>10517849</v>
      </c>
      <c r="BW170" s="1131">
        <v>1515264</v>
      </c>
      <c r="BX170" s="1145">
        <f t="shared" si="43"/>
        <v>-64132</v>
      </c>
      <c r="BY170" s="991">
        <f t="shared" si="42"/>
        <v>-154</v>
      </c>
      <c r="BZ170" s="991">
        <v>721338</v>
      </c>
      <c r="CA170" s="991">
        <v>515354</v>
      </c>
      <c r="CB170" s="991">
        <v>1300824</v>
      </c>
      <c r="CC170" s="991">
        <f t="shared" si="44"/>
        <v>63978</v>
      </c>
      <c r="CD170" s="991">
        <v>192960</v>
      </c>
      <c r="CE170" s="991">
        <v>32736</v>
      </c>
      <c r="CF170" s="991">
        <v>161718</v>
      </c>
      <c r="CG170" s="1146">
        <v>131266</v>
      </c>
      <c r="CH170" s="1129">
        <f t="shared" si="46"/>
        <v>7010489</v>
      </c>
      <c r="CI170" s="991">
        <f t="shared" si="47"/>
        <v>6722979</v>
      </c>
      <c r="CJ170" s="991">
        <f t="shared" si="66"/>
        <v>6722979</v>
      </c>
      <c r="CK170" s="1131">
        <f t="shared" si="68"/>
        <v>7333041</v>
      </c>
      <c r="CL170" s="975"/>
      <c r="CM170" s="975"/>
      <c r="CN170" s="975"/>
      <c r="CO170" s="975"/>
      <c r="CP170" s="979"/>
      <c r="CQ170" s="1273">
        <v>246906</v>
      </c>
      <c r="CR170" s="1273">
        <f>CR169</f>
        <v>215496</v>
      </c>
      <c r="CS170" s="577"/>
      <c r="CT170" s="577">
        <v>0</v>
      </c>
      <c r="CU170" s="1273">
        <f t="shared" si="52"/>
        <v>246906</v>
      </c>
      <c r="CW170" s="577"/>
      <c r="CY170" s="1030">
        <v>14.6</v>
      </c>
    </row>
    <row r="171" spans="1:103" s="87" customFormat="1">
      <c r="B171" s="965"/>
      <c r="AK171" s="527"/>
      <c r="AL171" s="527"/>
      <c r="AM171" s="527"/>
      <c r="AN171" s="527"/>
      <c r="AO171" s="527"/>
      <c r="AP171" s="527"/>
      <c r="AQ171" s="527"/>
      <c r="AR171" s="527"/>
      <c r="BQ171" s="979"/>
      <c r="BR171" s="1126"/>
      <c r="BS171" s="598"/>
      <c r="BT171" s="977"/>
      <c r="BU171" s="977"/>
      <c r="BV171" s="977"/>
      <c r="BW171" s="980"/>
      <c r="BX171" s="1144"/>
      <c r="BY171" s="977"/>
      <c r="BZ171" s="598"/>
      <c r="CA171" s="598"/>
      <c r="CB171" s="598"/>
      <c r="CC171" s="598"/>
      <c r="CD171" s="978"/>
      <c r="CE171" s="350"/>
      <c r="CF171" s="598"/>
      <c r="CG171" s="979"/>
      <c r="CH171" s="1126"/>
      <c r="CI171" s="598"/>
      <c r="CJ171" s="598"/>
      <c r="CK171" s="979"/>
      <c r="CL171" s="994"/>
      <c r="CM171" s="994"/>
      <c r="CN171" s="994"/>
      <c r="CO171" s="994"/>
      <c r="CQ171" s="1273">
        <v>290246</v>
      </c>
      <c r="CR171" s="1273">
        <f>CR170</f>
        <v>215496</v>
      </c>
      <c r="CT171" s="577">
        <v>0</v>
      </c>
      <c r="CU171" s="1273">
        <f t="shared" si="52"/>
        <v>290246</v>
      </c>
      <c r="CY171" s="1297">
        <v>14.6</v>
      </c>
    </row>
    <row r="172" spans="1:103" s="87" customFormat="1">
      <c r="B172" s="965"/>
      <c r="AK172" s="527"/>
      <c r="AL172" s="527"/>
      <c r="AM172" s="527"/>
      <c r="AN172" s="527"/>
      <c r="AO172" s="527"/>
      <c r="AP172" s="527"/>
      <c r="AQ172" s="527"/>
      <c r="AR172" s="527"/>
      <c r="BT172" s="965"/>
      <c r="BU172" s="965"/>
      <c r="BV172" s="965"/>
      <c r="BW172" s="965"/>
      <c r="BX172" s="965"/>
      <c r="BY172" s="965"/>
      <c r="CD172" s="978"/>
      <c r="CE172" s="350"/>
      <c r="CF172" s="598"/>
      <c r="CL172" s="994"/>
      <c r="CM172" s="994"/>
      <c r="CN172" s="994"/>
      <c r="CO172" s="994"/>
      <c r="CT172" s="577">
        <v>0</v>
      </c>
      <c r="CU172" s="1273"/>
      <c r="CV172" s="1273"/>
      <c r="CY172" s="1297">
        <v>14.6</v>
      </c>
    </row>
    <row r="173" spans="1:103" s="87" customFormat="1">
      <c r="B173" s="965"/>
      <c r="AK173" s="527"/>
      <c r="AL173" s="527"/>
      <c r="AM173" s="527"/>
      <c r="AN173" s="527"/>
      <c r="AO173" s="527"/>
      <c r="AP173" s="527"/>
      <c r="AQ173" s="527"/>
      <c r="AR173" s="527"/>
      <c r="BT173" s="965"/>
      <c r="BU173" s="965"/>
      <c r="BV173" s="965"/>
      <c r="BW173" s="965"/>
      <c r="BX173" s="965"/>
      <c r="BY173" s="965"/>
      <c r="CD173" s="978"/>
      <c r="CE173" s="350"/>
      <c r="CF173" s="598"/>
      <c r="CL173" s="994"/>
      <c r="CM173" s="994"/>
      <c r="CN173" s="994"/>
      <c r="CO173" s="994"/>
      <c r="CY173" s="1297">
        <v>14.6</v>
      </c>
    </row>
    <row r="174" spans="1:103" s="87" customFormat="1">
      <c r="B174" s="965"/>
      <c r="AK174" s="527"/>
      <c r="AL174" s="527"/>
      <c r="AM174" s="527"/>
      <c r="AN174" s="527"/>
      <c r="AO174" s="527"/>
      <c r="AP174" s="527"/>
      <c r="AQ174" s="527"/>
      <c r="AR174" s="527"/>
      <c r="BT174" s="965"/>
      <c r="BU174" s="965"/>
      <c r="BV174" s="965"/>
      <c r="BW174" s="965"/>
      <c r="BX174" s="965"/>
      <c r="BY174" s="965"/>
      <c r="CD174" s="978"/>
      <c r="CE174" s="350"/>
      <c r="CF174" s="598"/>
      <c r="CL174" s="994"/>
      <c r="CM174" s="994"/>
      <c r="CN174" s="994"/>
      <c r="CO174" s="994"/>
    </row>
    <row r="175" spans="1:103" s="87" customFormat="1">
      <c r="B175" s="965"/>
      <c r="AK175" s="527"/>
      <c r="AL175" s="527"/>
      <c r="AM175" s="527"/>
      <c r="AN175" s="527"/>
      <c r="AO175" s="527"/>
      <c r="AP175" s="527"/>
      <c r="AQ175" s="527"/>
      <c r="AR175" s="527"/>
      <c r="BT175" s="965"/>
      <c r="BU175" s="965"/>
      <c r="BV175" s="965"/>
      <c r="BW175" s="965"/>
      <c r="BX175" s="965"/>
      <c r="BY175" s="965"/>
      <c r="CD175" s="978"/>
      <c r="CE175" s="350"/>
      <c r="CF175" s="598"/>
      <c r="CL175" s="994"/>
      <c r="CM175" s="994"/>
      <c r="CN175" s="994"/>
      <c r="CO175" s="994"/>
    </row>
    <row r="176" spans="1:103" s="87" customFormat="1">
      <c r="B176" s="965"/>
      <c r="AK176" s="527"/>
      <c r="AL176" s="527"/>
      <c r="AM176" s="527"/>
      <c r="AN176" s="527"/>
      <c r="AO176" s="527"/>
      <c r="AP176" s="527"/>
      <c r="AQ176" s="527"/>
      <c r="AR176" s="527"/>
      <c r="BT176" s="965"/>
      <c r="BU176" s="965"/>
      <c r="BV176" s="965"/>
      <c r="BW176" s="965"/>
      <c r="BX176" s="965"/>
      <c r="BY176" s="965"/>
      <c r="CD176" s="978"/>
      <c r="CE176" s="350"/>
      <c r="CF176" s="598"/>
      <c r="CL176" s="994"/>
      <c r="CM176" s="994"/>
      <c r="CN176" s="994"/>
      <c r="CO176" s="994"/>
    </row>
    <row r="177" spans="2:93" s="87" customFormat="1">
      <c r="B177" s="965"/>
      <c r="AK177" s="527"/>
      <c r="AL177" s="527"/>
      <c r="AM177" s="527"/>
      <c r="AN177" s="527"/>
      <c r="AO177" s="527"/>
      <c r="AP177" s="527"/>
      <c r="AQ177" s="527"/>
      <c r="AR177" s="527"/>
      <c r="BT177" s="965"/>
      <c r="BU177" s="965"/>
      <c r="BV177" s="965"/>
      <c r="BW177" s="965"/>
      <c r="BX177" s="965"/>
      <c r="BY177" s="965"/>
      <c r="CD177" s="978"/>
      <c r="CE177" s="350"/>
      <c r="CF177" s="598"/>
      <c r="CL177" s="994"/>
      <c r="CM177" s="994"/>
      <c r="CN177" s="994"/>
      <c r="CO177" s="994"/>
    </row>
    <row r="178" spans="2:93" s="87" customFormat="1">
      <c r="B178" s="965"/>
      <c r="AK178" s="527"/>
      <c r="AL178" s="527"/>
      <c r="AM178" s="527"/>
      <c r="AN178" s="527"/>
      <c r="AO178" s="527"/>
      <c r="AP178" s="527"/>
      <c r="AQ178" s="527"/>
      <c r="AR178" s="527"/>
      <c r="BT178" s="965"/>
      <c r="BU178" s="965"/>
      <c r="BV178" s="965"/>
      <c r="BW178" s="965"/>
      <c r="BX178" s="965"/>
      <c r="BY178" s="965"/>
      <c r="CD178" s="978"/>
      <c r="CE178" s="350"/>
      <c r="CF178" s="598"/>
      <c r="CL178" s="994"/>
      <c r="CM178" s="994"/>
      <c r="CN178" s="994"/>
      <c r="CO178" s="994"/>
    </row>
    <row r="179" spans="2:93" s="87" customFormat="1">
      <c r="B179" s="965"/>
      <c r="AK179" s="527"/>
      <c r="AL179" s="527"/>
      <c r="AM179" s="527"/>
      <c r="AN179" s="527"/>
      <c r="AO179" s="527"/>
      <c r="AP179" s="527"/>
      <c r="AQ179" s="527"/>
      <c r="AR179" s="527"/>
      <c r="BT179" s="965"/>
      <c r="BU179" s="965"/>
      <c r="BV179" s="965"/>
      <c r="BW179" s="965"/>
      <c r="BX179" s="965"/>
      <c r="BY179" s="965"/>
      <c r="CD179" s="978"/>
      <c r="CE179" s="350"/>
      <c r="CF179" s="598"/>
      <c r="CL179" s="994"/>
      <c r="CM179" s="994"/>
      <c r="CN179" s="994"/>
      <c r="CO179" s="994"/>
    </row>
    <row r="180" spans="2:93">
      <c r="B180" s="77"/>
      <c r="AK180" s="118"/>
      <c r="AL180" s="118"/>
      <c r="AM180" s="118"/>
      <c r="AN180" s="118"/>
      <c r="AO180" s="118"/>
      <c r="AP180" s="118"/>
      <c r="AQ180" s="118"/>
      <c r="AR180" s="118"/>
      <c r="BT180" s="77"/>
      <c r="BU180" s="77"/>
      <c r="BV180" s="77"/>
      <c r="BW180" s="77"/>
      <c r="BX180" s="77"/>
      <c r="BY180" s="77"/>
      <c r="CD180" s="116"/>
      <c r="CE180" s="350"/>
      <c r="CL180" s="539"/>
      <c r="CM180" s="539"/>
      <c r="CN180" s="539"/>
      <c r="CO180" s="539"/>
    </row>
    <row r="181" spans="2:93">
      <c r="B181" s="77"/>
      <c r="AK181" s="118"/>
      <c r="AL181" s="118"/>
      <c r="AM181" s="118"/>
      <c r="AN181" s="118"/>
      <c r="AO181" s="118"/>
      <c r="AP181" s="118"/>
      <c r="AQ181" s="118"/>
      <c r="AR181" s="118"/>
      <c r="BT181" s="77"/>
      <c r="BU181" s="77"/>
      <c r="BV181" s="77"/>
      <c r="BW181" s="77"/>
      <c r="BX181" s="77"/>
      <c r="BY181" s="77"/>
      <c r="CD181" s="116"/>
      <c r="CE181" s="350"/>
      <c r="CL181" s="539"/>
      <c r="CM181" s="539"/>
      <c r="CN181" s="539"/>
      <c r="CO181" s="539"/>
    </row>
    <row r="182" spans="2:93">
      <c r="B182" s="77"/>
      <c r="AK182" s="118"/>
      <c r="AL182" s="118"/>
      <c r="AM182" s="118"/>
      <c r="AN182" s="118"/>
      <c r="AO182" s="118"/>
      <c r="AP182" s="118"/>
      <c r="AQ182" s="118"/>
      <c r="AR182" s="118"/>
      <c r="BT182" s="77"/>
      <c r="BU182" s="77"/>
      <c r="BV182" s="77"/>
      <c r="BW182" s="77"/>
      <c r="BX182" s="77"/>
      <c r="BY182" s="77"/>
      <c r="CD182" s="116"/>
      <c r="CE182" s="350"/>
      <c r="CL182" s="539"/>
      <c r="CM182" s="539"/>
      <c r="CN182" s="539"/>
      <c r="CO182" s="539"/>
    </row>
    <row r="183" spans="2:93">
      <c r="B183" s="77"/>
      <c r="AK183" s="118"/>
      <c r="AL183" s="118"/>
      <c r="AM183" s="118"/>
      <c r="AN183" s="118"/>
      <c r="AO183" s="118"/>
      <c r="AP183" s="118"/>
      <c r="AQ183" s="118"/>
      <c r="AR183" s="118"/>
      <c r="BT183" s="77"/>
      <c r="BU183" s="77"/>
      <c r="BV183" s="77"/>
      <c r="BW183" s="77"/>
      <c r="BX183" s="77"/>
      <c r="BY183" s="77"/>
      <c r="CD183" s="116"/>
      <c r="CE183" s="350"/>
      <c r="CL183" s="539"/>
      <c r="CM183" s="539"/>
      <c r="CN183" s="539"/>
      <c r="CO183" s="539"/>
    </row>
    <row r="184" spans="2:93">
      <c r="B184" s="77"/>
      <c r="AK184" s="118"/>
      <c r="AL184" s="118"/>
      <c r="AM184" s="118"/>
      <c r="AN184" s="118"/>
      <c r="AO184" s="118"/>
      <c r="AP184" s="118"/>
      <c r="AQ184" s="118"/>
      <c r="AR184" s="118"/>
      <c r="BT184" s="77"/>
      <c r="BU184" s="77"/>
      <c r="BV184" s="77"/>
      <c r="BW184" s="77"/>
      <c r="BX184" s="77"/>
      <c r="BY184" s="77"/>
      <c r="CD184" s="116"/>
      <c r="CE184" s="350"/>
      <c r="CL184" s="539"/>
      <c r="CM184" s="539"/>
      <c r="CN184" s="539"/>
      <c r="CO184" s="539"/>
    </row>
    <row r="185" spans="2:93">
      <c r="B185" s="77"/>
      <c r="AK185" s="118"/>
      <c r="AL185" s="118"/>
      <c r="AM185" s="118"/>
      <c r="AN185" s="118"/>
      <c r="AO185" s="118"/>
      <c r="AP185" s="118"/>
      <c r="AQ185" s="118"/>
      <c r="AR185" s="118"/>
      <c r="BT185" s="77"/>
      <c r="BU185" s="77"/>
      <c r="BV185" s="77"/>
      <c r="BW185" s="77"/>
      <c r="BX185" s="77"/>
      <c r="BY185" s="77"/>
      <c r="CD185" s="116"/>
      <c r="CE185" s="350"/>
      <c r="CL185" s="539"/>
      <c r="CM185" s="539"/>
      <c r="CN185" s="539"/>
      <c r="CO185" s="539"/>
    </row>
    <row r="186" spans="2:93">
      <c r="B186" s="77"/>
      <c r="AK186" s="118"/>
      <c r="AL186" s="118"/>
      <c r="AM186" s="118"/>
      <c r="AN186" s="118"/>
      <c r="AO186" s="118"/>
      <c r="AP186" s="118"/>
      <c r="AQ186" s="118"/>
      <c r="AR186" s="118"/>
      <c r="BT186" s="77"/>
      <c r="BU186" s="77"/>
      <c r="BV186" s="77"/>
      <c r="BW186" s="77"/>
      <c r="BX186" s="77"/>
      <c r="BY186" s="77"/>
      <c r="CD186" s="116"/>
      <c r="CE186" s="350"/>
      <c r="CL186" s="539"/>
      <c r="CM186" s="539"/>
      <c r="CN186" s="539"/>
      <c r="CO186" s="539"/>
    </row>
    <row r="187" spans="2:93">
      <c r="B187" s="77"/>
      <c r="AK187" s="118"/>
      <c r="AL187" s="118"/>
      <c r="AM187" s="118"/>
      <c r="AN187" s="118"/>
      <c r="AO187" s="118"/>
      <c r="AP187" s="118"/>
      <c r="AQ187" s="118"/>
      <c r="AR187" s="118"/>
      <c r="BT187" s="77"/>
      <c r="BU187" s="77"/>
      <c r="BV187" s="77"/>
      <c r="BW187" s="77"/>
      <c r="BX187" s="77"/>
      <c r="BY187" s="77"/>
      <c r="CL187" s="539"/>
      <c r="CM187" s="539"/>
      <c r="CN187" s="539"/>
      <c r="CO187" s="539"/>
    </row>
    <row r="188" spans="2:93">
      <c r="B188" s="77"/>
      <c r="AK188" s="118"/>
      <c r="AL188" s="118"/>
      <c r="AM188" s="118"/>
      <c r="AN188" s="118"/>
      <c r="AO188" s="118"/>
      <c r="AP188" s="118"/>
      <c r="AQ188" s="118"/>
      <c r="AR188" s="118"/>
      <c r="BT188" s="77"/>
      <c r="BU188" s="77"/>
      <c r="BV188" s="77"/>
      <c r="BW188" s="77"/>
      <c r="BX188" s="77"/>
      <c r="BY188" s="77"/>
      <c r="CL188" s="539"/>
      <c r="CM188" s="539"/>
      <c r="CN188" s="539"/>
      <c r="CO188" s="539"/>
    </row>
    <row r="189" spans="2:93">
      <c r="B189" s="77"/>
      <c r="AK189" s="118"/>
      <c r="AL189" s="118"/>
      <c r="AM189" s="118"/>
      <c r="AN189" s="118"/>
      <c r="AO189" s="118"/>
      <c r="AP189" s="118"/>
      <c r="AQ189" s="118"/>
      <c r="AR189" s="118"/>
      <c r="BT189" s="77"/>
      <c r="BU189" s="77"/>
      <c r="BV189" s="77"/>
      <c r="BW189" s="77"/>
      <c r="BX189" s="77"/>
      <c r="BY189" s="77"/>
      <c r="CL189" s="539"/>
      <c r="CM189" s="539"/>
      <c r="CN189" s="539"/>
      <c r="CO189" s="539"/>
    </row>
    <row r="190" spans="2:93">
      <c r="B190" s="77"/>
      <c r="AK190" s="118"/>
      <c r="AL190" s="118"/>
      <c r="AM190" s="118"/>
      <c r="AN190" s="118"/>
      <c r="AO190" s="118"/>
      <c r="AP190" s="118"/>
      <c r="AQ190" s="118"/>
      <c r="AR190" s="118"/>
      <c r="BT190" s="77"/>
      <c r="BU190" s="77"/>
      <c r="BV190" s="77"/>
      <c r="BW190" s="77"/>
      <c r="BX190" s="77"/>
      <c r="BY190" s="77"/>
      <c r="CL190" s="539"/>
      <c r="CM190" s="539"/>
      <c r="CN190" s="539"/>
      <c r="CO190" s="539"/>
    </row>
    <row r="191" spans="2:93">
      <c r="B191" s="77"/>
      <c r="AK191" s="118"/>
      <c r="AL191" s="118"/>
      <c r="AM191" s="118"/>
      <c r="AN191" s="118"/>
      <c r="AO191" s="118"/>
      <c r="AP191" s="118"/>
      <c r="AQ191" s="118"/>
      <c r="AR191" s="118"/>
      <c r="BT191" s="77"/>
      <c r="BU191" s="77"/>
      <c r="BV191" s="77"/>
      <c r="BW191" s="77"/>
      <c r="BX191" s="77"/>
      <c r="BY191" s="77"/>
      <c r="CL191" s="539"/>
      <c r="CM191" s="539"/>
      <c r="CN191" s="539"/>
      <c r="CO191" s="539"/>
    </row>
    <row r="192" spans="2:93">
      <c r="B192" s="77"/>
      <c r="AK192" s="118"/>
      <c r="AL192" s="118"/>
      <c r="AM192" s="118"/>
      <c r="AN192" s="118"/>
      <c r="AO192" s="118"/>
      <c r="AP192" s="118"/>
      <c r="AQ192" s="118"/>
      <c r="AR192" s="118"/>
      <c r="BT192" s="77"/>
      <c r="BU192" s="77"/>
      <c r="BV192" s="77"/>
      <c r="BW192" s="77"/>
      <c r="BX192" s="77"/>
      <c r="BY192" s="77"/>
      <c r="CL192" s="539"/>
      <c r="CM192" s="539"/>
      <c r="CN192" s="539"/>
      <c r="CO192" s="539"/>
    </row>
    <row r="193" spans="2:93">
      <c r="B193" s="77"/>
      <c r="AK193" s="118"/>
      <c r="AL193" s="118"/>
      <c r="AM193" s="118"/>
      <c r="AN193" s="118"/>
      <c r="AO193" s="118"/>
      <c r="AP193" s="118"/>
      <c r="AQ193" s="118"/>
      <c r="AR193" s="118"/>
      <c r="BT193" s="77"/>
      <c r="BU193" s="77"/>
      <c r="BV193" s="77"/>
      <c r="BW193" s="77"/>
      <c r="BX193" s="77"/>
      <c r="BY193" s="77"/>
      <c r="CL193" s="539"/>
      <c r="CM193" s="539"/>
      <c r="CN193" s="539"/>
      <c r="CO193" s="539"/>
    </row>
    <row r="194" spans="2:93">
      <c r="B194" s="77"/>
      <c r="AK194" s="118"/>
      <c r="AL194" s="118"/>
      <c r="AM194" s="118"/>
      <c r="AN194" s="118"/>
      <c r="AO194" s="118"/>
      <c r="AP194" s="118"/>
      <c r="AQ194" s="118"/>
      <c r="AR194" s="118"/>
      <c r="BT194" s="77"/>
      <c r="BU194" s="77"/>
      <c r="BV194" s="77"/>
      <c r="BW194" s="77"/>
      <c r="BX194" s="77"/>
      <c r="BY194" s="77"/>
      <c r="CL194" s="539"/>
      <c r="CM194" s="539"/>
      <c r="CN194" s="539"/>
      <c r="CO194" s="539"/>
    </row>
    <row r="195" spans="2:93">
      <c r="B195" s="77"/>
      <c r="AK195" s="118"/>
      <c r="AL195" s="118"/>
      <c r="AM195" s="118"/>
      <c r="AN195" s="118"/>
      <c r="AO195" s="118"/>
      <c r="AP195" s="118"/>
      <c r="AQ195" s="118"/>
      <c r="AR195" s="118"/>
      <c r="BT195" s="77"/>
      <c r="BU195" s="77"/>
      <c r="BV195" s="77"/>
      <c r="BW195" s="77"/>
      <c r="BX195" s="77"/>
      <c r="BY195" s="77"/>
      <c r="CL195" s="539"/>
      <c r="CM195" s="539"/>
      <c r="CN195" s="539"/>
      <c r="CO195" s="539"/>
    </row>
    <row r="196" spans="2:93">
      <c r="B196" s="77"/>
      <c r="AK196" s="118"/>
      <c r="AL196" s="118"/>
      <c r="AM196" s="118"/>
      <c r="AN196" s="118"/>
      <c r="AO196" s="118"/>
      <c r="AP196" s="118"/>
      <c r="AQ196" s="118"/>
      <c r="AR196" s="118"/>
      <c r="BT196" s="77"/>
      <c r="BU196" s="77"/>
      <c r="BV196" s="77"/>
      <c r="BW196" s="77"/>
      <c r="BX196" s="77"/>
      <c r="BY196" s="77"/>
      <c r="CL196" s="539"/>
      <c r="CM196" s="539"/>
      <c r="CN196" s="539"/>
      <c r="CO196" s="539"/>
    </row>
    <row r="197" spans="2:93">
      <c r="B197" s="77"/>
      <c r="AK197" s="118"/>
      <c r="AL197" s="118"/>
      <c r="AM197" s="118"/>
      <c r="AN197" s="118"/>
      <c r="AO197" s="118"/>
      <c r="AP197" s="118"/>
      <c r="AQ197" s="118"/>
      <c r="AR197" s="118"/>
      <c r="BT197" s="77"/>
      <c r="BU197" s="77"/>
      <c r="BV197" s="77"/>
      <c r="BW197" s="77"/>
      <c r="BX197" s="77"/>
      <c r="BY197" s="77"/>
      <c r="CL197" s="539"/>
      <c r="CM197" s="539"/>
      <c r="CN197" s="539"/>
      <c r="CO197" s="539"/>
    </row>
    <row r="198" spans="2:93">
      <c r="B198" s="77"/>
      <c r="AK198" s="118"/>
      <c r="AL198" s="118"/>
      <c r="AM198" s="118"/>
      <c r="AN198" s="118"/>
      <c r="AO198" s="118"/>
      <c r="AP198" s="118"/>
      <c r="AQ198" s="118"/>
      <c r="AR198" s="118"/>
      <c r="BT198" s="77"/>
      <c r="BU198" s="77"/>
      <c r="BV198" s="77"/>
      <c r="BW198" s="77"/>
      <c r="BX198" s="77"/>
      <c r="BY198" s="77"/>
      <c r="CL198" s="539"/>
      <c r="CM198" s="539"/>
      <c r="CN198" s="539"/>
      <c r="CO198" s="539"/>
    </row>
    <row r="199" spans="2:93">
      <c r="B199" s="77"/>
      <c r="AK199" s="118"/>
      <c r="AL199" s="118"/>
      <c r="AM199" s="118"/>
      <c r="AN199" s="118"/>
      <c r="AO199" s="118"/>
      <c r="AP199" s="118"/>
      <c r="AQ199" s="118"/>
      <c r="AR199" s="118"/>
      <c r="BT199" s="77"/>
      <c r="BU199" s="77"/>
      <c r="BV199" s="77"/>
      <c r="BW199" s="77"/>
      <c r="BX199" s="77"/>
      <c r="BY199" s="77"/>
      <c r="CL199" s="539"/>
      <c r="CM199" s="539"/>
      <c r="CN199" s="539"/>
      <c r="CO199" s="539"/>
    </row>
    <row r="200" spans="2:93">
      <c r="B200" s="77"/>
      <c r="BT200" s="77"/>
      <c r="BU200" s="77"/>
      <c r="BV200" s="77"/>
      <c r="BW200" s="77"/>
      <c r="BX200" s="77"/>
      <c r="BY200" s="77"/>
      <c r="CL200" s="539"/>
      <c r="CM200" s="539"/>
      <c r="CN200" s="539"/>
      <c r="CO200" s="539"/>
    </row>
    <row r="201" spans="2:93">
      <c r="B201" s="77"/>
      <c r="BT201" s="77"/>
      <c r="BU201" s="77"/>
      <c r="BV201" s="77"/>
      <c r="BW201" s="77"/>
      <c r="BX201" s="77"/>
      <c r="BY201" s="77"/>
      <c r="CL201" s="539"/>
      <c r="CM201" s="539"/>
      <c r="CN201" s="539"/>
      <c r="CO201" s="539"/>
    </row>
    <row r="202" spans="2:93">
      <c r="B202" s="77"/>
      <c r="BT202" s="77"/>
      <c r="BU202" s="77"/>
      <c r="BV202" s="77"/>
      <c r="BW202" s="77"/>
      <c r="BX202" s="77"/>
      <c r="BY202" s="77"/>
      <c r="CL202" s="539"/>
      <c r="CM202" s="539"/>
      <c r="CN202" s="539"/>
      <c r="CO202" s="539"/>
    </row>
    <row r="203" spans="2:93">
      <c r="B203" s="77"/>
      <c r="BT203" s="77"/>
      <c r="BU203" s="77"/>
      <c r="BV203" s="77"/>
      <c r="BW203" s="77"/>
      <c r="BX203" s="77"/>
      <c r="BY203" s="77"/>
      <c r="CL203" s="539"/>
      <c r="CM203" s="539"/>
      <c r="CN203" s="539"/>
      <c r="CO203" s="539"/>
    </row>
    <row r="204" spans="2:93">
      <c r="B204" s="77"/>
      <c r="BT204" s="77"/>
      <c r="BU204" s="77"/>
      <c r="BV204" s="77"/>
      <c r="BW204" s="77"/>
      <c r="BX204" s="77"/>
      <c r="BY204" s="77"/>
      <c r="CL204" s="539"/>
      <c r="CM204" s="539"/>
      <c r="CN204" s="539"/>
      <c r="CO204" s="539"/>
    </row>
    <row r="205" spans="2:93">
      <c r="B205" s="77"/>
      <c r="BT205" s="77"/>
      <c r="BU205" s="77"/>
      <c r="BV205" s="77"/>
      <c r="BW205" s="77"/>
      <c r="BX205" s="77"/>
      <c r="BY205" s="77"/>
      <c r="CL205" s="539"/>
      <c r="CM205" s="539"/>
      <c r="CN205" s="539"/>
      <c r="CO205" s="539"/>
    </row>
    <row r="206" spans="2:93">
      <c r="B206" s="77"/>
      <c r="BT206" s="77"/>
      <c r="BU206" s="77"/>
      <c r="BV206" s="77"/>
      <c r="BW206" s="77"/>
      <c r="BX206" s="77"/>
      <c r="BY206" s="77"/>
      <c r="CL206" s="539"/>
      <c r="CM206" s="539"/>
      <c r="CN206" s="539"/>
      <c r="CO206" s="539"/>
    </row>
    <row r="207" spans="2:93">
      <c r="B207" s="77"/>
      <c r="BT207" s="77"/>
      <c r="BU207" s="77"/>
      <c r="BV207" s="77"/>
      <c r="BW207" s="77"/>
      <c r="BX207" s="77"/>
      <c r="BY207" s="77"/>
      <c r="CL207" s="539"/>
      <c r="CM207" s="539"/>
      <c r="CN207" s="539"/>
      <c r="CO207" s="539"/>
    </row>
    <row r="208" spans="2:93">
      <c r="B208" s="77"/>
      <c r="BT208" s="77"/>
      <c r="BU208" s="77"/>
      <c r="BV208" s="77"/>
      <c r="BW208" s="77"/>
      <c r="BX208" s="77"/>
      <c r="BY208" s="77"/>
      <c r="CL208" s="539"/>
      <c r="CM208" s="539"/>
      <c r="CN208" s="539"/>
      <c r="CO208" s="539"/>
    </row>
    <row r="209" spans="2:93">
      <c r="B209" s="77"/>
      <c r="BT209" s="77"/>
      <c r="BU209" s="77"/>
      <c r="BV209" s="77"/>
      <c r="BW209" s="77"/>
      <c r="BX209" s="77"/>
      <c r="BY209" s="77"/>
      <c r="CL209" s="539"/>
      <c r="CM209" s="539"/>
      <c r="CN209" s="539"/>
      <c r="CO209" s="539"/>
    </row>
    <row r="210" spans="2:93">
      <c r="B210" s="77"/>
      <c r="BT210" s="77"/>
      <c r="BU210" s="77"/>
      <c r="BV210" s="77"/>
      <c r="BW210" s="77"/>
      <c r="BX210" s="77"/>
      <c r="BY210" s="77"/>
      <c r="CL210" s="539"/>
      <c r="CM210" s="539"/>
      <c r="CN210" s="539"/>
      <c r="CO210" s="539"/>
    </row>
    <row r="211" spans="2:93">
      <c r="B211" s="77"/>
      <c r="BT211" s="77"/>
      <c r="BU211" s="77"/>
      <c r="BV211" s="77"/>
      <c r="BW211" s="77"/>
      <c r="BX211" s="77"/>
      <c r="BY211" s="77"/>
      <c r="CL211" s="539"/>
      <c r="CM211" s="539"/>
      <c r="CN211" s="539"/>
      <c r="CO211" s="539"/>
    </row>
    <row r="212" spans="2:93">
      <c r="B212" s="77"/>
      <c r="BT212" s="77"/>
      <c r="BU212" s="77"/>
      <c r="BV212" s="77"/>
      <c r="BW212" s="77"/>
      <c r="BX212" s="77"/>
      <c r="BY212" s="77"/>
      <c r="CL212" s="539"/>
      <c r="CM212" s="539"/>
      <c r="CN212" s="539"/>
      <c r="CO212" s="539"/>
    </row>
    <row r="213" spans="2:93">
      <c r="B213" s="77"/>
      <c r="BT213" s="77"/>
      <c r="BU213" s="77"/>
      <c r="BV213" s="77"/>
      <c r="BW213" s="77"/>
      <c r="BX213" s="77"/>
      <c r="BY213" s="77"/>
      <c r="CL213" s="539"/>
      <c r="CM213" s="539"/>
      <c r="CN213" s="539"/>
      <c r="CO213" s="539"/>
    </row>
    <row r="214" spans="2:93">
      <c r="B214" s="77"/>
      <c r="BT214" s="77"/>
      <c r="BU214" s="77"/>
      <c r="BV214" s="77"/>
      <c r="BW214" s="77"/>
      <c r="BX214" s="77"/>
      <c r="BY214" s="77"/>
      <c r="CL214" s="539"/>
      <c r="CM214" s="539"/>
      <c r="CN214" s="539"/>
      <c r="CO214" s="539"/>
    </row>
    <row r="215" spans="2:93">
      <c r="B215" s="77"/>
      <c r="BT215" s="77"/>
      <c r="BU215" s="77"/>
      <c r="BV215" s="77"/>
      <c r="BW215" s="77"/>
      <c r="BX215" s="77"/>
      <c r="BY215" s="77"/>
    </row>
    <row r="216" spans="2:93">
      <c r="B216" s="77"/>
      <c r="BT216" s="77"/>
      <c r="BU216" s="77"/>
      <c r="BV216" s="77"/>
      <c r="BW216" s="77"/>
      <c r="BX216" s="77"/>
      <c r="BY216" s="77"/>
    </row>
    <row r="217" spans="2:93">
      <c r="B217" s="77"/>
      <c r="BT217" s="77"/>
      <c r="BU217" s="77"/>
      <c r="BV217" s="77"/>
      <c r="BW217" s="77"/>
      <c r="BX217" s="77"/>
      <c r="BY217" s="77"/>
    </row>
    <row r="218" spans="2:93">
      <c r="B218" s="77"/>
      <c r="BT218" s="77"/>
      <c r="BU218" s="77"/>
      <c r="BV218" s="77"/>
      <c r="BW218" s="77"/>
      <c r="BX218" s="77"/>
      <c r="BY218" s="77"/>
    </row>
    <row r="219" spans="2:93">
      <c r="B219" s="77"/>
      <c r="BT219" s="77"/>
      <c r="BU219" s="77"/>
      <c r="BV219" s="77"/>
      <c r="BW219" s="77"/>
      <c r="BX219" s="77"/>
      <c r="BY219" s="77"/>
    </row>
    <row r="220" spans="2:93">
      <c r="B220" s="77"/>
      <c r="BT220" s="77"/>
      <c r="BU220" s="77"/>
      <c r="BV220" s="77"/>
      <c r="BW220" s="77"/>
      <c r="BX220" s="77"/>
      <c r="BY220" s="77"/>
    </row>
    <row r="221" spans="2:93">
      <c r="B221" s="77"/>
      <c r="BT221" s="77"/>
      <c r="BU221" s="77"/>
      <c r="BV221" s="77"/>
      <c r="BW221" s="77"/>
      <c r="BX221" s="77"/>
      <c r="BY221" s="77"/>
    </row>
    <row r="222" spans="2:93">
      <c r="B222" s="77"/>
      <c r="BT222" s="77"/>
      <c r="BU222" s="77"/>
      <c r="BV222" s="77"/>
      <c r="BW222" s="77"/>
      <c r="BX222" s="77"/>
      <c r="BY222" s="77"/>
    </row>
    <row r="223" spans="2:93">
      <c r="B223" s="77"/>
      <c r="BT223" s="77"/>
      <c r="BU223" s="77"/>
      <c r="BV223" s="77"/>
      <c r="BW223" s="77"/>
      <c r="BX223" s="77"/>
      <c r="BY223" s="77"/>
    </row>
    <row r="224" spans="2:93">
      <c r="B224" s="77"/>
      <c r="BT224" s="77"/>
      <c r="BU224" s="77"/>
      <c r="BV224" s="77"/>
      <c r="BW224" s="77"/>
      <c r="BX224" s="77"/>
      <c r="BY224" s="77"/>
    </row>
    <row r="225" spans="2:77">
      <c r="B225" s="77"/>
      <c r="BT225" s="77"/>
      <c r="BU225" s="77"/>
      <c r="BV225" s="77"/>
      <c r="BW225" s="77"/>
      <c r="BX225" s="77"/>
      <c r="BY225" s="77"/>
    </row>
    <row r="226" spans="2:77">
      <c r="B226" s="77"/>
      <c r="BT226" s="77"/>
      <c r="BU226" s="77"/>
      <c r="BV226" s="77"/>
      <c r="BW226" s="77"/>
      <c r="BX226" s="77"/>
      <c r="BY226" s="77"/>
    </row>
    <row r="227" spans="2:77">
      <c r="B227" s="77"/>
      <c r="BT227" s="77"/>
      <c r="BU227" s="77"/>
      <c r="BV227" s="77"/>
      <c r="BW227" s="77"/>
      <c r="BX227" s="77"/>
      <c r="BY227" s="77"/>
    </row>
    <row r="228" spans="2:77">
      <c r="B228" s="77"/>
      <c r="BT228" s="77"/>
      <c r="BU228" s="77"/>
      <c r="BV228" s="77"/>
      <c r="BW228" s="77"/>
      <c r="BX228" s="77"/>
      <c r="BY228" s="77"/>
    </row>
    <row r="229" spans="2:77">
      <c r="B229" s="77"/>
      <c r="BT229" s="77"/>
      <c r="BU229" s="77"/>
      <c r="BV229" s="77"/>
      <c r="BW229" s="77"/>
      <c r="BX229" s="77"/>
      <c r="BY229" s="77"/>
    </row>
    <row r="230" spans="2:77">
      <c r="B230" s="77"/>
      <c r="BT230" s="77"/>
      <c r="BU230" s="77"/>
      <c r="BV230" s="77"/>
      <c r="BW230" s="77"/>
      <c r="BX230" s="77"/>
      <c r="BY230" s="77"/>
    </row>
    <row r="231" spans="2:77">
      <c r="B231" s="77"/>
      <c r="BT231" s="77"/>
      <c r="BU231" s="77"/>
      <c r="BV231" s="77"/>
      <c r="BW231" s="77"/>
      <c r="BX231" s="77"/>
      <c r="BY231" s="77"/>
    </row>
    <row r="232" spans="2:77">
      <c r="B232" s="77"/>
      <c r="BT232" s="77"/>
      <c r="BU232" s="77"/>
      <c r="BV232" s="77"/>
      <c r="BW232" s="77"/>
      <c r="BX232" s="77"/>
      <c r="BY232" s="77"/>
    </row>
    <row r="233" spans="2:77">
      <c r="B233" s="77"/>
      <c r="BT233" s="77"/>
      <c r="BU233" s="77"/>
      <c r="BV233" s="77"/>
      <c r="BW233" s="77"/>
      <c r="BX233" s="77"/>
      <c r="BY233" s="77"/>
    </row>
    <row r="234" spans="2:77">
      <c r="B234" s="77"/>
      <c r="BT234" s="77"/>
      <c r="BU234" s="77"/>
      <c r="BV234" s="77"/>
      <c r="BW234" s="77"/>
      <c r="BX234" s="77"/>
      <c r="BY234" s="77"/>
    </row>
    <row r="235" spans="2:77">
      <c r="B235" s="77"/>
      <c r="BT235" s="77"/>
      <c r="BU235" s="77"/>
      <c r="BV235" s="77"/>
      <c r="BW235" s="77"/>
      <c r="BX235" s="77"/>
      <c r="BY235" s="77"/>
    </row>
    <row r="236" spans="2:77">
      <c r="B236" s="77"/>
      <c r="BT236" s="77"/>
      <c r="BU236" s="77"/>
      <c r="BV236" s="77"/>
      <c r="BW236" s="77"/>
      <c r="BX236" s="77"/>
      <c r="BY236" s="77"/>
    </row>
    <row r="237" spans="2:77">
      <c r="B237" s="77"/>
      <c r="BT237" s="77"/>
      <c r="BU237" s="77"/>
      <c r="BV237" s="77"/>
      <c r="BW237" s="77"/>
      <c r="BX237" s="77"/>
      <c r="BY237" s="77"/>
    </row>
    <row r="238" spans="2:77">
      <c r="B238" s="77"/>
      <c r="BT238" s="77"/>
      <c r="BU238" s="77"/>
      <c r="BV238" s="77"/>
      <c r="BW238" s="77"/>
      <c r="BX238" s="77"/>
      <c r="BY238" s="77"/>
    </row>
    <row r="239" spans="2:77">
      <c r="B239" s="77"/>
      <c r="BT239" s="77"/>
      <c r="BU239" s="77"/>
      <c r="BV239" s="77"/>
      <c r="BW239" s="77"/>
      <c r="BX239" s="77"/>
      <c r="BY239" s="77"/>
    </row>
  </sheetData>
  <mergeCells count="123">
    <mergeCell ref="CW130:CX130"/>
    <mergeCell ref="CW131:CX131"/>
    <mergeCell ref="CW132:CX132"/>
    <mergeCell ref="CW133:CX133"/>
    <mergeCell ref="CW134:CX134"/>
    <mergeCell ref="CW135:CX135"/>
    <mergeCell ref="CW129:CX129"/>
    <mergeCell ref="CW128:CX128"/>
    <mergeCell ref="CW127:CX127"/>
    <mergeCell ref="CW126:CX126"/>
    <mergeCell ref="CW125:CX125"/>
    <mergeCell ref="CW124:CX124"/>
    <mergeCell ref="CW123:CX123"/>
    <mergeCell ref="CW122:CX122"/>
    <mergeCell ref="CW115:CX115"/>
    <mergeCell ref="CW116:CX116"/>
    <mergeCell ref="CW117:CX117"/>
    <mergeCell ref="CW118:CX118"/>
    <mergeCell ref="CW119:CX119"/>
    <mergeCell ref="CW120:CX120"/>
    <mergeCell ref="CW121:CX121"/>
    <mergeCell ref="CW97:CX97"/>
    <mergeCell ref="CW98:CX98"/>
    <mergeCell ref="CW99:CX99"/>
    <mergeCell ref="CW100:CX100"/>
    <mergeCell ref="CW101:CX101"/>
    <mergeCell ref="CW102:CX102"/>
    <mergeCell ref="CW103:CX103"/>
    <mergeCell ref="CW104:CX104"/>
    <mergeCell ref="CW105:CX105"/>
    <mergeCell ref="CW106:CX106"/>
    <mergeCell ref="CW107:CX107"/>
    <mergeCell ref="CW108:CX108"/>
    <mergeCell ref="CW109:CX109"/>
    <mergeCell ref="CW110:CX110"/>
    <mergeCell ref="CW111:CX111"/>
    <mergeCell ref="CW112:CX112"/>
    <mergeCell ref="CW113:CX113"/>
    <mergeCell ref="CW114:CX114"/>
    <mergeCell ref="CW96:CX96"/>
    <mergeCell ref="CW95:CX95"/>
    <mergeCell ref="CW94:CX94"/>
    <mergeCell ref="CW93:CX93"/>
    <mergeCell ref="CW92:CX92"/>
    <mergeCell ref="CW91:CX91"/>
    <mergeCell ref="CW90:CX90"/>
    <mergeCell ref="CW89:CX89"/>
    <mergeCell ref="CW88:CX88"/>
    <mergeCell ref="CW87:CX87"/>
    <mergeCell ref="CW86:CX86"/>
    <mergeCell ref="CW85:CX85"/>
    <mergeCell ref="CW84:CX84"/>
    <mergeCell ref="CW77:CX77"/>
    <mergeCell ref="CW78:CX78"/>
    <mergeCell ref="CW79:CX79"/>
    <mergeCell ref="CW80:CX80"/>
    <mergeCell ref="CW81:CX81"/>
    <mergeCell ref="CW82:CX82"/>
    <mergeCell ref="CW83:CX83"/>
    <mergeCell ref="CW73:CX73"/>
    <mergeCell ref="CW74:CX74"/>
    <mergeCell ref="CW75:CX75"/>
    <mergeCell ref="CW76:CX76"/>
    <mergeCell ref="CW14:CX14"/>
    <mergeCell ref="CW13:CX13"/>
    <mergeCell ref="CW15:CX15"/>
    <mergeCell ref="CW16:CX16"/>
    <mergeCell ref="CW17:CX17"/>
    <mergeCell ref="CW18:CX18"/>
    <mergeCell ref="CW19:CX19"/>
    <mergeCell ref="CW20:CX20"/>
    <mergeCell ref="CW21:CX21"/>
    <mergeCell ref="CW22:CX22"/>
    <mergeCell ref="CW23:CX23"/>
    <mergeCell ref="CW24:CX24"/>
    <mergeCell ref="CW32:CX32"/>
    <mergeCell ref="CW25:CX25"/>
    <mergeCell ref="CW26:CX26"/>
    <mergeCell ref="CW27:CX27"/>
    <mergeCell ref="CW28:CX28"/>
    <mergeCell ref="CW29:CX29"/>
    <mergeCell ref="CW30:CX30"/>
    <mergeCell ref="CW37:CX37"/>
    <mergeCell ref="CW38:CX38"/>
    <mergeCell ref="CW39:CX39"/>
    <mergeCell ref="CW40:CX40"/>
    <mergeCell ref="CW41:CX41"/>
    <mergeCell ref="CW42:CX42"/>
    <mergeCell ref="CW54:CX54"/>
    <mergeCell ref="CW43:CX43"/>
    <mergeCell ref="CW44:CX44"/>
    <mergeCell ref="CW45:CX45"/>
    <mergeCell ref="CW46:CX46"/>
    <mergeCell ref="CW47:CX47"/>
    <mergeCell ref="CW48:CX48"/>
    <mergeCell ref="CW55:CX55"/>
    <mergeCell ref="CW56:CX56"/>
    <mergeCell ref="CW57:CX57"/>
    <mergeCell ref="CW58:CX58"/>
    <mergeCell ref="CW59:CX59"/>
    <mergeCell ref="CW49:CX49"/>
    <mergeCell ref="CW50:CX50"/>
    <mergeCell ref="CW51:CX51"/>
    <mergeCell ref="CW52:CX52"/>
    <mergeCell ref="CW53:CX53"/>
    <mergeCell ref="CW70:CX70"/>
    <mergeCell ref="CW71:CX71"/>
    <mergeCell ref="CW61:CX61"/>
    <mergeCell ref="CW62:CX62"/>
    <mergeCell ref="CW63:CX63"/>
    <mergeCell ref="CW64:CX64"/>
    <mergeCell ref="CW65:CX65"/>
    <mergeCell ref="CW66:CX66"/>
    <mergeCell ref="CW33:CX33"/>
    <mergeCell ref="CW34:CX34"/>
    <mergeCell ref="CW35:CX35"/>
    <mergeCell ref="CW36:CX36"/>
    <mergeCell ref="CW31:CX31"/>
    <mergeCell ref="CW72:CX72"/>
    <mergeCell ref="CW60:CX60"/>
    <mergeCell ref="CW67:CX67"/>
    <mergeCell ref="CW68:CX68"/>
    <mergeCell ref="CW69:CX69"/>
  </mergeCells>
  <phoneticPr fontId="43" type="noConversion"/>
  <pageMargins left="0.75" right="0.75" top="1" bottom="1" header="0.4921259845" footer="0.4921259845"/>
  <pageSetup paperSize="9" orientation="portrait"/>
  <ignoredErrors>
    <ignoredError sqref="CU135" formula="1"/>
  </ignoredError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5" enableFormatConditionsCalculation="0"/>
  <dimension ref="A1:BG328"/>
  <sheetViews>
    <sheetView workbookViewId="0">
      <pane xSplit="1" ySplit="10" topLeftCell="B11" activePane="bottomRight" state="frozen"/>
      <selection pane="topRight" activeCell="B1" sqref="B1"/>
      <selection pane="bottomLeft" activeCell="A11" sqref="A11"/>
      <selection pane="bottomRight"/>
    </sheetView>
  </sheetViews>
  <sheetFormatPr baseColWidth="10" defaultColWidth="11.1640625" defaultRowHeight="12" customHeight="1" x14ac:dyDescent="0"/>
  <cols>
    <col min="1" max="2" width="10.33203125" style="76" customWidth="1"/>
    <col min="3" max="7" width="11.1640625" style="76"/>
    <col min="8" max="8" width="11.1640625" style="114"/>
    <col min="9" max="9" width="12" style="114" customWidth="1"/>
    <col min="10" max="10" width="11.1640625" style="76"/>
    <col min="11" max="16" width="11.1640625" style="114"/>
    <col min="17" max="26" width="11.1640625" style="76"/>
    <col min="27" max="27" width="11.1640625" style="77"/>
    <col min="28" max="31" width="11.1640625" style="76"/>
    <col min="34" max="41" width="11.1640625" style="76"/>
    <col min="42" max="42" width="11.6640625" style="76" bestFit="1" customWidth="1"/>
    <col min="43" max="47" width="11.6640625" style="76" customWidth="1"/>
    <col min="48" max="48" width="11.1640625" style="76"/>
    <col min="49" max="49" width="11.6640625" style="76" customWidth="1"/>
    <col min="50" max="55" width="11.1640625" style="76"/>
    <col min="56" max="56" width="10.6640625" style="76" customWidth="1"/>
    <col min="57" max="16384" width="11.1640625" style="76"/>
  </cols>
  <sheetData>
    <row r="1" spans="1:59" ht="13" customHeight="1">
      <c r="A1" s="75" t="s">
        <v>1118</v>
      </c>
      <c r="B1" s="75"/>
      <c r="H1" s="76"/>
      <c r="I1" s="76"/>
      <c r="J1" s="68"/>
      <c r="K1" s="76"/>
      <c r="L1" s="76"/>
      <c r="M1" s="76"/>
      <c r="N1" s="76"/>
      <c r="O1" s="76"/>
      <c r="P1" s="76"/>
      <c r="AB1" s="87"/>
      <c r="AC1" s="87"/>
      <c r="AD1" s="87"/>
      <c r="AE1" s="87"/>
      <c r="AP1" s="624"/>
      <c r="AQ1" s="624"/>
      <c r="AR1" s="624"/>
      <c r="AS1" s="624"/>
      <c r="AT1" s="624"/>
      <c r="AU1" s="624"/>
      <c r="AV1" s="624"/>
      <c r="AW1" s="624"/>
      <c r="AX1" s="624"/>
    </row>
    <row r="2" spans="1:59" ht="13" customHeight="1">
      <c r="A2" s="87" t="s">
        <v>1463</v>
      </c>
      <c r="B2" s="87"/>
      <c r="H2" s="76"/>
      <c r="I2" s="76"/>
      <c r="J2" s="68"/>
      <c r="K2" s="76"/>
      <c r="L2" s="76"/>
      <c r="M2" s="76"/>
      <c r="N2" s="76"/>
      <c r="O2" s="76"/>
      <c r="P2" s="76"/>
      <c r="AP2" s="624"/>
      <c r="AQ2" s="624"/>
      <c r="AR2" s="624"/>
      <c r="AS2" s="624"/>
      <c r="AT2" s="624"/>
      <c r="AU2" s="624"/>
      <c r="AV2" s="624"/>
      <c r="AW2" s="624"/>
      <c r="AX2" s="624"/>
    </row>
    <row r="3" spans="1:59" ht="13" customHeight="1">
      <c r="A3" s="87"/>
      <c r="B3" s="87"/>
      <c r="H3" s="76"/>
      <c r="I3" s="76"/>
      <c r="K3" s="76"/>
      <c r="L3" s="76"/>
      <c r="M3" s="76"/>
      <c r="N3" s="76"/>
      <c r="O3" s="76"/>
      <c r="P3" s="76"/>
      <c r="AP3" s="624"/>
      <c r="AQ3" s="624"/>
      <c r="AR3" s="624"/>
      <c r="AS3" s="624"/>
      <c r="AT3" s="624"/>
      <c r="AU3" s="624"/>
      <c r="AV3" s="624"/>
      <c r="AW3" s="624"/>
      <c r="AX3" s="624"/>
    </row>
    <row r="4" spans="1:59" ht="13" customHeight="1">
      <c r="A4" s="87"/>
      <c r="B4" s="87"/>
      <c r="H4" s="76"/>
      <c r="I4" s="76"/>
      <c r="K4" s="76"/>
      <c r="L4" s="76"/>
      <c r="M4" s="76"/>
      <c r="N4" s="76"/>
      <c r="O4" s="76"/>
      <c r="P4" s="76"/>
      <c r="AB4" s="75"/>
      <c r="AC4" s="75"/>
      <c r="AD4" s="75"/>
      <c r="AE4" s="75"/>
      <c r="AL4" s="76" t="s">
        <v>1299</v>
      </c>
      <c r="AP4" s="624"/>
      <c r="AQ4" s="624"/>
      <c r="AR4" s="624"/>
      <c r="AS4" s="624"/>
      <c r="AT4" s="624"/>
      <c r="AU4" s="624"/>
      <c r="AV4" s="624"/>
      <c r="AW4" s="624"/>
      <c r="AX4" s="624"/>
    </row>
    <row r="5" spans="1:59" ht="13" customHeight="1">
      <c r="H5" s="76"/>
      <c r="I5" s="76"/>
      <c r="K5" s="76"/>
      <c r="L5" s="76"/>
      <c r="M5" s="76"/>
      <c r="N5" s="76"/>
      <c r="O5" s="76"/>
      <c r="P5" s="233"/>
      <c r="AP5" s="624"/>
      <c r="AQ5" s="624"/>
      <c r="AR5" s="624"/>
      <c r="AS5" s="624"/>
      <c r="AT5" s="624"/>
      <c r="AU5" s="624"/>
      <c r="AV5" s="624"/>
      <c r="AW5" s="624"/>
      <c r="AX5" s="624"/>
    </row>
    <row r="6" spans="1:59" ht="13" customHeight="1">
      <c r="B6" s="84"/>
      <c r="C6" s="2591" t="s">
        <v>1282</v>
      </c>
      <c r="D6" s="2592"/>
      <c r="E6" s="2592"/>
      <c r="F6" s="2592"/>
      <c r="G6" s="2593"/>
      <c r="H6" s="2612" t="s">
        <v>1283</v>
      </c>
      <c r="I6" s="2613"/>
      <c r="J6" s="2613"/>
      <c r="K6" s="2613"/>
      <c r="L6" s="2613"/>
      <c r="M6" s="2613"/>
      <c r="N6" s="2613"/>
      <c r="O6" s="1549"/>
      <c r="P6" s="1549"/>
      <c r="Q6" s="2591" t="s">
        <v>1284</v>
      </c>
      <c r="R6" s="2592"/>
      <c r="S6" s="2592"/>
      <c r="T6" s="1440"/>
      <c r="U6" s="1147" t="s">
        <v>1286</v>
      </c>
      <c r="V6" s="285"/>
      <c r="W6" s="285"/>
      <c r="X6" s="285"/>
      <c r="Y6" s="285"/>
      <c r="Z6" s="1429"/>
      <c r="AA6" s="1537"/>
      <c r="AB6" s="83"/>
      <c r="AC6" s="83"/>
      <c r="AD6" s="83"/>
      <c r="AE6" s="83"/>
      <c r="AF6" s="1567"/>
      <c r="AG6" s="1561"/>
      <c r="AH6" s="304" t="s">
        <v>1290</v>
      </c>
      <c r="AI6" s="285"/>
      <c r="AJ6" s="285"/>
      <c r="AK6" s="285"/>
      <c r="AL6" s="285"/>
      <c r="AM6" s="285"/>
      <c r="AN6" s="285"/>
      <c r="AO6" s="77"/>
      <c r="AQ6" s="285"/>
      <c r="AR6" s="285"/>
      <c r="AS6" s="285"/>
      <c r="AT6" s="285"/>
      <c r="AU6" s="285"/>
      <c r="AV6" s="285"/>
      <c r="AW6" s="1782"/>
      <c r="AY6" s="76" t="s">
        <v>1264</v>
      </c>
    </row>
    <row r="7" spans="1:59" ht="13" customHeight="1">
      <c r="B7" s="84"/>
      <c r="C7" s="1043"/>
      <c r="D7" s="288"/>
      <c r="E7" s="288"/>
      <c r="F7" s="288"/>
      <c r="G7" s="1541"/>
      <c r="H7" s="89"/>
      <c r="I7" s="91"/>
      <c r="J7" s="91"/>
      <c r="K7" s="91"/>
      <c r="L7" s="91"/>
      <c r="M7" s="91"/>
      <c r="N7" s="91"/>
      <c r="O7" s="91"/>
      <c r="P7" s="91"/>
      <c r="Q7" s="89"/>
      <c r="R7" s="91"/>
      <c r="S7" s="91"/>
      <c r="T7" s="168"/>
      <c r="U7" s="89"/>
      <c r="V7" s="288"/>
      <c r="W7" s="288"/>
      <c r="X7" s="91"/>
      <c r="Y7" s="91"/>
      <c r="Z7" s="91"/>
      <c r="AA7" s="92"/>
      <c r="AB7" s="91"/>
      <c r="AC7" s="91"/>
      <c r="AD7" s="91"/>
      <c r="AE7" s="91"/>
      <c r="AF7" s="1567"/>
      <c r="AG7" s="1561"/>
      <c r="AH7" s="91"/>
      <c r="AI7" s="91"/>
      <c r="AJ7" s="91"/>
      <c r="AK7" s="1530"/>
      <c r="AL7" s="1530"/>
      <c r="AM7" s="1530"/>
      <c r="AN7" s="1530"/>
      <c r="AO7" s="77"/>
      <c r="AP7" s="1783" t="s">
        <v>1212</v>
      </c>
      <c r="AQ7" s="91"/>
      <c r="AR7" s="91"/>
      <c r="AS7" s="91"/>
      <c r="AT7" s="91"/>
      <c r="AU7" s="91"/>
      <c r="AV7" s="91"/>
      <c r="AW7" s="91"/>
      <c r="AX7" s="91"/>
      <c r="AY7" s="91"/>
      <c r="AZ7" s="77"/>
      <c r="BA7" s="91"/>
      <c r="BB7" s="91"/>
      <c r="BC7" s="77"/>
      <c r="BD7" s="77"/>
    </row>
    <row r="8" spans="1:59" ht="93" customHeight="1">
      <c r="A8" s="79"/>
      <c r="B8" s="168" t="s">
        <v>872</v>
      </c>
      <c r="C8" s="1542" t="s">
        <v>1235</v>
      </c>
      <c r="D8" s="968" t="s">
        <v>1227</v>
      </c>
      <c r="E8" s="968" t="s">
        <v>1230</v>
      </c>
      <c r="F8" s="968" t="s">
        <v>1231</v>
      </c>
      <c r="G8" s="1554" t="s">
        <v>1285</v>
      </c>
      <c r="H8" s="1555" t="s">
        <v>1302</v>
      </c>
      <c r="I8" s="957" t="s">
        <v>1295</v>
      </c>
      <c r="J8" s="957" t="s">
        <v>1220</v>
      </c>
      <c r="K8" s="968" t="s">
        <v>1232</v>
      </c>
      <c r="L8" s="968" t="s">
        <v>1236</v>
      </c>
      <c r="M8" s="957" t="s">
        <v>1242</v>
      </c>
      <c r="N8" s="957" t="s">
        <v>1271</v>
      </c>
      <c r="O8" s="1570" t="s">
        <v>1306</v>
      </c>
      <c r="P8" s="957" t="s">
        <v>1301</v>
      </c>
      <c r="Q8" s="1556" t="s">
        <v>1307</v>
      </c>
      <c r="R8" s="319" t="s">
        <v>1308</v>
      </c>
      <c r="S8" s="319" t="s">
        <v>1309</v>
      </c>
      <c r="T8" s="1557" t="s">
        <v>1310</v>
      </c>
      <c r="U8" s="1556" t="s">
        <v>1214</v>
      </c>
      <c r="V8" s="319" t="s">
        <v>1279</v>
      </c>
      <c r="W8" s="319" t="s">
        <v>1278</v>
      </c>
      <c r="X8" s="319" t="s">
        <v>1274</v>
      </c>
      <c r="Y8" s="319" t="s">
        <v>1223</v>
      </c>
      <c r="Z8" s="319" t="s">
        <v>1273</v>
      </c>
      <c r="AA8" s="319" t="s">
        <v>1272</v>
      </c>
      <c r="AB8" s="319" t="s">
        <v>1277</v>
      </c>
      <c r="AC8" s="319" t="s">
        <v>1294</v>
      </c>
      <c r="AD8" s="1560" t="s">
        <v>1287</v>
      </c>
      <c r="AE8" s="319" t="s">
        <v>1281</v>
      </c>
      <c r="AF8" s="1568" t="s">
        <v>1288</v>
      </c>
      <c r="AG8" s="1557" t="s">
        <v>1300</v>
      </c>
      <c r="AH8" s="319" t="s">
        <v>1219</v>
      </c>
      <c r="AI8" s="319" t="s">
        <v>1224</v>
      </c>
      <c r="AJ8" s="319" t="s">
        <v>1292</v>
      </c>
      <c r="AK8" s="319" t="s">
        <v>1298</v>
      </c>
      <c r="AL8" s="319" t="s">
        <v>1243</v>
      </c>
      <c r="AM8" s="319" t="s">
        <v>1244</v>
      </c>
      <c r="AN8" s="319" t="s">
        <v>1246</v>
      </c>
      <c r="AO8" s="351"/>
      <c r="AP8" s="1542" t="s">
        <v>1394</v>
      </c>
      <c r="AQ8" s="957" t="s">
        <v>1395</v>
      </c>
      <c r="AR8" s="957" t="s">
        <v>1400</v>
      </c>
      <c r="AS8" s="957" t="s">
        <v>1403</v>
      </c>
      <c r="AT8" s="957" t="s">
        <v>1396</v>
      </c>
      <c r="AU8" s="957" t="s">
        <v>1399</v>
      </c>
      <c r="AV8" s="957" t="s">
        <v>1401</v>
      </c>
      <c r="AW8" s="1570" t="s">
        <v>1407</v>
      </c>
      <c r="AX8" s="351"/>
      <c r="AY8" s="76" t="s">
        <v>1265</v>
      </c>
      <c r="AZ8" s="351" t="s">
        <v>1157</v>
      </c>
      <c r="BA8" s="351" t="s">
        <v>1266</v>
      </c>
      <c r="BB8" s="351" t="s">
        <v>1267</v>
      </c>
      <c r="BC8" s="351"/>
      <c r="BD8" s="312"/>
      <c r="BE8" s="957" t="s">
        <v>1378</v>
      </c>
      <c r="BF8" s="957" t="s">
        <v>1076</v>
      </c>
      <c r="BG8" s="957" t="s">
        <v>1380</v>
      </c>
    </row>
    <row r="9" spans="1:59" s="996" customFormat="1" ht="45" customHeight="1">
      <c r="A9" s="79" t="s">
        <v>942</v>
      </c>
      <c r="B9" s="101"/>
      <c r="C9" s="1543" t="s">
        <v>1229</v>
      </c>
      <c r="D9" s="1539"/>
      <c r="E9" s="1539"/>
      <c r="F9" s="1539"/>
      <c r="G9" s="109"/>
      <c r="H9" s="1550" t="s">
        <v>1221</v>
      </c>
      <c r="I9" s="1148"/>
      <c r="J9" s="1149"/>
      <c r="K9" s="1148"/>
      <c r="L9" s="1148"/>
      <c r="M9" s="1148"/>
      <c r="N9" s="1148"/>
      <c r="O9" s="102" t="s">
        <v>1412</v>
      </c>
      <c r="P9" s="1148"/>
      <c r="Q9" s="1153"/>
      <c r="R9" s="1149"/>
      <c r="S9" s="1149"/>
      <c r="T9" s="1150"/>
      <c r="U9" s="1153" t="s">
        <v>1136</v>
      </c>
      <c r="V9" s="1149" t="s">
        <v>1213</v>
      </c>
      <c r="W9" s="1149" t="s">
        <v>1280</v>
      </c>
      <c r="X9" s="1149" t="s">
        <v>1226</v>
      </c>
      <c r="Y9" s="1149" t="s">
        <v>1276</v>
      </c>
      <c r="Z9" s="1149" t="s">
        <v>1222</v>
      </c>
      <c r="AA9" s="1538" t="s">
        <v>1296</v>
      </c>
      <c r="AB9" s="1149"/>
      <c r="AC9" s="1149"/>
      <c r="AD9" s="1149"/>
      <c r="AE9" s="1149"/>
      <c r="AF9" s="999"/>
      <c r="AG9" s="1109"/>
      <c r="AH9" s="1430"/>
      <c r="AI9" s="1430" t="s">
        <v>1225</v>
      </c>
      <c r="AJ9" s="1430"/>
      <c r="AK9" s="1430"/>
      <c r="AL9" s="1430"/>
      <c r="AM9" s="1430"/>
      <c r="AN9" s="1430"/>
      <c r="AO9" s="997"/>
      <c r="AP9" s="1550" t="s">
        <v>1390</v>
      </c>
      <c r="AQ9" s="1148" t="s">
        <v>1391</v>
      </c>
      <c r="AR9" s="1148"/>
      <c r="AS9" s="1148" t="s">
        <v>1393</v>
      </c>
      <c r="AT9" s="1148" t="s">
        <v>1397</v>
      </c>
      <c r="AU9" s="1148" t="s">
        <v>1402</v>
      </c>
      <c r="AV9" s="1148" t="s">
        <v>1119</v>
      </c>
      <c r="AW9" s="1148" t="s">
        <v>1405</v>
      </c>
      <c r="AY9" s="1148" t="s">
        <v>1381</v>
      </c>
      <c r="BA9" s="996" t="s">
        <v>1269</v>
      </c>
      <c r="BB9" s="996" t="s">
        <v>1269</v>
      </c>
    </row>
    <row r="10" spans="1:59" s="83" customFormat="1" ht="20.25" customHeight="1">
      <c r="A10" s="78" t="s">
        <v>261</v>
      </c>
      <c r="B10" s="101" t="s">
        <v>1270</v>
      </c>
      <c r="C10" s="103" t="s">
        <v>1233</v>
      </c>
      <c r="E10" s="102" t="s">
        <v>1228</v>
      </c>
      <c r="F10" s="102" t="s">
        <v>1234</v>
      </c>
      <c r="G10" s="101" t="s">
        <v>1311</v>
      </c>
      <c r="H10" s="103" t="s">
        <v>1303</v>
      </c>
      <c r="I10" s="102"/>
      <c r="J10" s="102" t="s">
        <v>1304</v>
      </c>
      <c r="K10" s="102" t="s">
        <v>1481</v>
      </c>
      <c r="L10" s="102" t="s">
        <v>1480</v>
      </c>
      <c r="M10" s="102"/>
      <c r="N10" s="102" t="s">
        <v>1305</v>
      </c>
      <c r="O10" s="102" t="s">
        <v>1482</v>
      </c>
      <c r="P10" s="102"/>
      <c r="Q10" s="103"/>
      <c r="R10" s="102"/>
      <c r="S10" s="102"/>
      <c r="T10" s="101"/>
      <c r="U10" s="103" t="s">
        <v>1215</v>
      </c>
      <c r="V10" s="102" t="s">
        <v>1275</v>
      </c>
      <c r="W10" s="102"/>
      <c r="X10" s="102"/>
      <c r="Y10" s="102"/>
      <c r="Z10" s="102"/>
      <c r="AA10" s="104"/>
      <c r="AB10" s="102"/>
      <c r="AC10" s="102"/>
      <c r="AD10" s="102"/>
      <c r="AE10" s="2614" t="s">
        <v>1289</v>
      </c>
      <c r="AF10" s="2614"/>
      <c r="AG10" s="101"/>
      <c r="AH10" s="102" t="s">
        <v>1297</v>
      </c>
      <c r="AI10" s="102" t="s">
        <v>1291</v>
      </c>
      <c r="AJ10" s="102" t="s">
        <v>1293</v>
      </c>
      <c r="AL10" s="102" t="s">
        <v>1245</v>
      </c>
      <c r="AM10" s="102" t="s">
        <v>1245</v>
      </c>
      <c r="AN10" s="102"/>
      <c r="AO10" s="1133"/>
      <c r="AP10" s="103" t="s">
        <v>1389</v>
      </c>
      <c r="AQ10" s="102" t="s">
        <v>1389</v>
      </c>
      <c r="AR10" s="102" t="s">
        <v>1389</v>
      </c>
      <c r="AS10" s="102" t="s">
        <v>1392</v>
      </c>
      <c r="AT10" s="102" t="s">
        <v>1398</v>
      </c>
      <c r="AU10" s="1148" t="s">
        <v>1404</v>
      </c>
      <c r="AV10" s="102" t="s">
        <v>1120</v>
      </c>
      <c r="AW10" s="102" t="s">
        <v>1406</v>
      </c>
      <c r="AY10" s="1534" t="s">
        <v>1268</v>
      </c>
      <c r="AZ10" s="203"/>
      <c r="BE10" s="102" t="s">
        <v>1379</v>
      </c>
      <c r="BF10" s="2614" t="s">
        <v>1519</v>
      </c>
      <c r="BG10" s="2614"/>
    </row>
    <row r="11" spans="1:59" s="87" customFormat="1" ht="12" customHeight="1">
      <c r="A11" s="79">
        <v>1700</v>
      </c>
      <c r="B11" s="1540">
        <f>TableUK2!B10*1000</f>
        <v>70.297641509433959</v>
      </c>
      <c r="C11" s="1544">
        <v>1251</v>
      </c>
      <c r="D11" s="175">
        <v>218</v>
      </c>
      <c r="E11" s="175">
        <v>331</v>
      </c>
      <c r="F11" s="175">
        <f t="shared" ref="F11:F74" si="0">C11-D11-E11</f>
        <v>702</v>
      </c>
      <c r="G11" s="1540">
        <f>C11-E11</f>
        <v>920</v>
      </c>
      <c r="H11" s="1162">
        <f t="shared" ref="H11:H74" si="1">J11*I11</f>
        <v>16.485247975708504</v>
      </c>
      <c r="I11" s="29">
        <f t="shared" ref="I11:I74" si="2">I$147</f>
        <v>1.0704706477732795</v>
      </c>
      <c r="J11" s="111">
        <v>15.4</v>
      </c>
      <c r="K11" s="959">
        <v>4.8</v>
      </c>
      <c r="L11" s="959">
        <f>J11-K11</f>
        <v>10.600000000000001</v>
      </c>
      <c r="M11" s="29">
        <f t="shared" ref="M11:M74" si="3">H11/B11</f>
        <v>0.23450641617181681</v>
      </c>
      <c r="N11" s="29">
        <v>0.23280000000000001</v>
      </c>
      <c r="O11" s="959">
        <f>P11*H11</f>
        <v>7.6999999999999993</v>
      </c>
      <c r="P11" s="29">
        <f>P$13</f>
        <v>0.46708426899893624</v>
      </c>
      <c r="Q11" s="1558">
        <f t="shared" ref="Q11:Q42" si="4">(C11-E11)/H11/1000</f>
        <v>5.580747110117161E-2</v>
      </c>
      <c r="R11" s="961">
        <f t="shared" ref="R11:R42" si="5">(D11/1000)/K11</f>
        <v>4.5416666666666668E-2</v>
      </c>
      <c r="S11" s="961">
        <f t="shared" ref="S11:S42" si="6">F11/(H11-K11)/1000</f>
        <v>6.0075746912631199E-2</v>
      </c>
      <c r="T11" s="1535">
        <f t="shared" ref="T11:T42" si="7">(G11/1000)/O11</f>
        <v>0.11948051948051949</v>
      </c>
      <c r="U11" s="1544">
        <v>4344</v>
      </c>
      <c r="V11" s="175">
        <v>3201</v>
      </c>
      <c r="W11" s="175">
        <f t="shared" ref="W11:W74" si="8">V11-E11</f>
        <v>2870</v>
      </c>
      <c r="X11" s="964">
        <f>(U11-W11)/1000</f>
        <v>1.474</v>
      </c>
      <c r="Y11" s="1536">
        <f t="shared" ref="Y11:Y42" si="9">0.005*B11</f>
        <v>0.35148820754716981</v>
      </c>
      <c r="Z11" s="111">
        <f t="shared" ref="Z11:Z74" si="10">(X11-Y11)</f>
        <v>1.1225117924528303</v>
      </c>
      <c r="AA11" s="1536">
        <f t="shared" ref="AA11:AA74" si="11">IF(((Z11-AB11)/B11&gt;0.06),(Z11-AB11),0)</f>
        <v>0</v>
      </c>
      <c r="AB11" s="111">
        <f t="shared" ref="AB11:AB74" si="12">H11-H12</f>
        <v>1.2845647773279349</v>
      </c>
      <c r="AC11" s="111">
        <f>X11-AA11</f>
        <v>1.474</v>
      </c>
      <c r="AD11" s="111">
        <f>Z11-AA11</f>
        <v>1.1225117924528303</v>
      </c>
      <c r="AE11" s="111">
        <f>H11</f>
        <v>16.485247975708504</v>
      </c>
      <c r="AF11" s="29">
        <f t="shared" ref="AF11:AF74" si="13">(AE11-H11)/B11</f>
        <v>0</v>
      </c>
      <c r="AG11" s="587">
        <f t="shared" ref="AG11:AG42" si="14">AD11+G11/1000</f>
        <v>2.0425117924528302</v>
      </c>
      <c r="AH11" s="964">
        <f>AI11</f>
        <v>0</v>
      </c>
      <c r="AI11" s="964">
        <v>0</v>
      </c>
      <c r="AJ11" s="964">
        <f>AH11-AI11</f>
        <v>0</v>
      </c>
      <c r="AK11" s="964">
        <f>AH11+AC11</f>
        <v>1.474</v>
      </c>
      <c r="AL11" s="964">
        <f t="shared" ref="AL11:AL42" si="15">AM11*B11</f>
        <v>0.40164047730769037</v>
      </c>
      <c r="AM11" s="961">
        <f t="shared" ref="AM11:AM74" si="16">AM$166</f>
        <v>5.7134274875180573E-3</v>
      </c>
      <c r="AN11" s="964">
        <f>AK11-AL11</f>
        <v>1.0723595226923095</v>
      </c>
      <c r="AO11" s="965"/>
      <c r="AP11" s="1544">
        <v>115</v>
      </c>
      <c r="AQ11" s="175">
        <v>112</v>
      </c>
      <c r="AR11" s="175">
        <f t="shared" ref="AR11:AR74" si="17">(AP11+AQ11)/2</f>
        <v>113.5</v>
      </c>
      <c r="AS11" s="175"/>
      <c r="AT11" s="175"/>
      <c r="AU11" s="111"/>
      <c r="AV11" s="111"/>
      <c r="AW11" s="175">
        <f t="shared" ref="AW11:AW69" si="18">AW$71</f>
        <v>74.059458355549651</v>
      </c>
      <c r="AX11" s="385"/>
      <c r="AY11" s="385"/>
      <c r="AZ11" s="385"/>
      <c r="BA11" s="305"/>
      <c r="BB11" s="305"/>
      <c r="BC11" s="305"/>
      <c r="BD11" s="305"/>
    </row>
    <row r="12" spans="1:59" s="87" customFormat="1" ht="12" customHeight="1">
      <c r="A12" s="79">
        <v>1701</v>
      </c>
      <c r="B12" s="1540">
        <f>B11+(B$21-B$11)/10</f>
        <v>70.862998407001768</v>
      </c>
      <c r="C12" s="1544">
        <v>1200</v>
      </c>
      <c r="D12" s="175">
        <v>222</v>
      </c>
      <c r="E12" s="175">
        <v>304</v>
      </c>
      <c r="F12" s="175">
        <f t="shared" si="0"/>
        <v>674</v>
      </c>
      <c r="G12" s="1540">
        <f t="shared" ref="G12:G75" si="19">C12-E12</f>
        <v>896</v>
      </c>
      <c r="H12" s="1162">
        <f t="shared" si="1"/>
        <v>15.200683198380569</v>
      </c>
      <c r="I12" s="29">
        <f t="shared" si="2"/>
        <v>1.0704706477732795</v>
      </c>
      <c r="J12" s="111">
        <v>14.2</v>
      </c>
      <c r="K12" s="959">
        <v>4.7</v>
      </c>
      <c r="L12" s="959">
        <f t="shared" ref="L12:L75" si="20">J12-K12</f>
        <v>9.5</v>
      </c>
      <c r="M12" s="29">
        <f t="shared" si="3"/>
        <v>0.21450804425569767</v>
      </c>
      <c r="N12" s="29">
        <v>0.2311</v>
      </c>
      <c r="O12" s="959">
        <f>P12*H12</f>
        <v>7.1</v>
      </c>
      <c r="P12" s="29">
        <f>P$13</f>
        <v>0.46708426899893624</v>
      </c>
      <c r="Q12" s="1558">
        <f t="shared" si="4"/>
        <v>5.8944719017330546E-2</v>
      </c>
      <c r="R12" s="961">
        <f t="shared" si="5"/>
        <v>4.723404255319149E-2</v>
      </c>
      <c r="S12" s="961">
        <f t="shared" si="6"/>
        <v>6.4186299811801337E-2</v>
      </c>
      <c r="T12" s="1535">
        <f t="shared" si="7"/>
        <v>0.12619718309859157</v>
      </c>
      <c r="U12" s="1544">
        <v>3769</v>
      </c>
      <c r="V12" s="175">
        <v>3442</v>
      </c>
      <c r="W12" s="175">
        <f t="shared" si="8"/>
        <v>3138</v>
      </c>
      <c r="X12" s="964">
        <f t="shared" ref="X12:X75" si="21">(U12-W12)/1000</f>
        <v>0.63100000000000001</v>
      </c>
      <c r="Y12" s="1536">
        <f t="shared" si="9"/>
        <v>0.35431499203500882</v>
      </c>
      <c r="Z12" s="111">
        <f t="shared" si="10"/>
        <v>0.27668500796499118</v>
      </c>
      <c r="AA12" s="1536">
        <f t="shared" si="11"/>
        <v>0</v>
      </c>
      <c r="AB12" s="111">
        <f t="shared" si="12"/>
        <v>0.10704706477732806</v>
      </c>
      <c r="AC12" s="111">
        <f t="shared" ref="AC12:AC75" si="22">X12-AA12</f>
        <v>0.63100000000000001</v>
      </c>
      <c r="AD12" s="111">
        <f t="shared" ref="AD12:AD75" si="23">Z12-AA12</f>
        <v>0.27668500796499118</v>
      </c>
      <c r="AE12" s="111">
        <f t="shared" ref="AE12:AE75" si="24">AE11-AD11</f>
        <v>15.362736183255674</v>
      </c>
      <c r="AF12" s="29">
        <f t="shared" si="13"/>
        <v>2.2868491105097399E-3</v>
      </c>
      <c r="AG12" s="587">
        <f t="shared" si="14"/>
        <v>1.1726850079649913</v>
      </c>
      <c r="AH12" s="964">
        <f t="shared" ref="AH12:AH75" si="25">AI12</f>
        <v>0</v>
      </c>
      <c r="AI12" s="964">
        <v>0</v>
      </c>
      <c r="AJ12" s="964">
        <f t="shared" ref="AJ12:AJ75" si="26">AH12-AI12</f>
        <v>0</v>
      </c>
      <c r="AK12" s="964">
        <f t="shared" ref="AK12:AK75" si="27">AH12+AC12</f>
        <v>0.63100000000000001</v>
      </c>
      <c r="AL12" s="964">
        <f t="shared" si="15"/>
        <v>0.40487060294651223</v>
      </c>
      <c r="AM12" s="961">
        <f t="shared" si="16"/>
        <v>5.7134274875180573E-3</v>
      </c>
      <c r="AN12" s="964">
        <f t="shared" ref="AN12:AN75" si="28">AK12-AL12</f>
        <v>0.22612939705348778</v>
      </c>
      <c r="AO12" s="965"/>
      <c r="AP12" s="1544">
        <v>100</v>
      </c>
      <c r="AQ12" s="175">
        <v>109</v>
      </c>
      <c r="AR12" s="175">
        <f t="shared" si="17"/>
        <v>104.5</v>
      </c>
      <c r="AS12" s="175"/>
      <c r="AT12" s="175"/>
      <c r="AU12" s="111"/>
      <c r="AV12" s="111"/>
      <c r="AW12" s="175">
        <f t="shared" si="18"/>
        <v>74.059458355549651</v>
      </c>
      <c r="AX12" s="385"/>
      <c r="AY12" s="385"/>
      <c r="AZ12" s="385"/>
      <c r="BA12" s="385"/>
      <c r="BB12" s="305"/>
      <c r="BC12" s="385"/>
      <c r="BD12" s="385"/>
    </row>
    <row r="13" spans="1:59" s="87" customFormat="1" ht="12" customHeight="1">
      <c r="A13" s="79">
        <v>1702</v>
      </c>
      <c r="B13" s="1540">
        <f t="shared" ref="B13:B20" si="29">B12+(B$21-B$11)/10</f>
        <v>71.428355304569578</v>
      </c>
      <c r="C13" s="1544">
        <v>1174</v>
      </c>
      <c r="D13" s="175">
        <v>256</v>
      </c>
      <c r="E13" s="175">
        <v>315</v>
      </c>
      <c r="F13" s="175">
        <f t="shared" si="0"/>
        <v>603</v>
      </c>
      <c r="G13" s="1540">
        <f t="shared" si="19"/>
        <v>859</v>
      </c>
      <c r="H13" s="1162">
        <f t="shared" si="1"/>
        <v>15.093636133603241</v>
      </c>
      <c r="I13" s="29">
        <f t="shared" si="2"/>
        <v>1.0704706477732795</v>
      </c>
      <c r="J13" s="111">
        <v>14.1</v>
      </c>
      <c r="K13" s="959">
        <v>4.7</v>
      </c>
      <c r="L13" s="959">
        <f t="shared" si="20"/>
        <v>9.3999999999999986</v>
      </c>
      <c r="M13" s="29">
        <f t="shared" si="3"/>
        <v>0.21131154524340051</v>
      </c>
      <c r="N13" s="29">
        <v>0.2311</v>
      </c>
      <c r="O13" s="111">
        <v>7.05</v>
      </c>
      <c r="P13" s="29">
        <f t="shared" ref="P13:P76" si="30">O13/H13</f>
        <v>0.46708426899893624</v>
      </c>
      <c r="Q13" s="1558">
        <f t="shared" si="4"/>
        <v>5.691140242128883E-2</v>
      </c>
      <c r="R13" s="961">
        <f t="shared" si="5"/>
        <v>5.4468085106382978E-2</v>
      </c>
      <c r="S13" s="961">
        <f t="shared" si="6"/>
        <v>5.8016269979902925E-2</v>
      </c>
      <c r="T13" s="1535">
        <f t="shared" si="7"/>
        <v>0.12184397163120568</v>
      </c>
      <c r="U13" s="1544">
        <v>4869</v>
      </c>
      <c r="V13" s="175">
        <v>5010</v>
      </c>
      <c r="W13" s="175">
        <f t="shared" si="8"/>
        <v>4695</v>
      </c>
      <c r="X13" s="964">
        <f t="shared" si="21"/>
        <v>0.17399999999999999</v>
      </c>
      <c r="Y13" s="1536">
        <f t="shared" si="9"/>
        <v>0.3571417765228479</v>
      </c>
      <c r="Z13" s="111">
        <f t="shared" si="10"/>
        <v>-0.18314177652284791</v>
      </c>
      <c r="AA13" s="1536">
        <f t="shared" si="11"/>
        <v>0</v>
      </c>
      <c r="AB13" s="111">
        <f t="shared" si="12"/>
        <v>0</v>
      </c>
      <c r="AC13" s="111">
        <f t="shared" si="22"/>
        <v>0.17399999999999999</v>
      </c>
      <c r="AD13" s="111">
        <f t="shared" si="23"/>
        <v>-0.18314177652284791</v>
      </c>
      <c r="AE13" s="111">
        <f t="shared" si="24"/>
        <v>15.086051175290683</v>
      </c>
      <c r="AF13" s="29">
        <f t="shared" si="13"/>
        <v>-1.0618973767792391E-4</v>
      </c>
      <c r="AG13" s="587">
        <f t="shared" si="14"/>
        <v>0.67585822347715208</v>
      </c>
      <c r="AH13" s="964">
        <f t="shared" si="25"/>
        <v>0</v>
      </c>
      <c r="AI13" s="964">
        <v>0</v>
      </c>
      <c r="AJ13" s="964">
        <f t="shared" si="26"/>
        <v>0</v>
      </c>
      <c r="AK13" s="964">
        <f t="shared" si="27"/>
        <v>0.17399999999999999</v>
      </c>
      <c r="AL13" s="964">
        <f t="shared" si="15"/>
        <v>0.40810072858533408</v>
      </c>
      <c r="AM13" s="961">
        <f t="shared" si="16"/>
        <v>5.7134274875180573E-3</v>
      </c>
      <c r="AN13" s="964">
        <f t="shared" si="28"/>
        <v>-0.23410072858533409</v>
      </c>
      <c r="AO13" s="965"/>
      <c r="AP13" s="1544">
        <v>99</v>
      </c>
      <c r="AQ13" s="175">
        <v>101</v>
      </c>
      <c r="AR13" s="175">
        <f t="shared" si="17"/>
        <v>100</v>
      </c>
      <c r="AS13" s="175"/>
      <c r="AT13" s="175"/>
      <c r="AU13" s="111"/>
      <c r="AV13" s="111"/>
      <c r="AW13" s="175">
        <f t="shared" si="18"/>
        <v>74.059458355549651</v>
      </c>
      <c r="AX13" s="385"/>
      <c r="AY13" s="385"/>
      <c r="AZ13" s="385"/>
      <c r="BA13" s="385"/>
      <c r="BB13" s="305"/>
      <c r="BC13" s="385"/>
      <c r="BD13" s="385"/>
    </row>
    <row r="14" spans="1:59" s="87" customFormat="1" ht="12" customHeight="1">
      <c r="A14" s="79">
        <v>1703</v>
      </c>
      <c r="B14" s="1540">
        <f t="shared" si="29"/>
        <v>71.993712202137388</v>
      </c>
      <c r="C14" s="1544">
        <v>1042</v>
      </c>
      <c r="D14" s="175">
        <v>285</v>
      </c>
      <c r="E14" s="175">
        <v>307</v>
      </c>
      <c r="F14" s="175">
        <f t="shared" si="0"/>
        <v>450</v>
      </c>
      <c r="G14" s="1540">
        <f t="shared" si="19"/>
        <v>735</v>
      </c>
      <c r="H14" s="1162">
        <f t="shared" si="1"/>
        <v>15.093636133603241</v>
      </c>
      <c r="I14" s="29">
        <f t="shared" si="2"/>
        <v>1.0704706477732795</v>
      </c>
      <c r="J14" s="111">
        <v>14.1</v>
      </c>
      <c r="K14" s="959">
        <v>4.5999999999999996</v>
      </c>
      <c r="L14" s="959">
        <f t="shared" si="20"/>
        <v>9.5</v>
      </c>
      <c r="M14" s="29">
        <f t="shared" si="3"/>
        <v>0.20965214422093839</v>
      </c>
      <c r="N14" s="29">
        <v>0.223</v>
      </c>
      <c r="O14" s="111">
        <v>6.8</v>
      </c>
      <c r="P14" s="29">
        <f t="shared" si="30"/>
        <v>0.45052099704861936</v>
      </c>
      <c r="Q14" s="1558">
        <f t="shared" si="4"/>
        <v>4.8696019533931656E-2</v>
      </c>
      <c r="R14" s="961">
        <f t="shared" si="5"/>
        <v>6.1956521739130431E-2</v>
      </c>
      <c r="S14" s="961">
        <f t="shared" si="6"/>
        <v>4.2883133574546935E-2</v>
      </c>
      <c r="T14" s="1535">
        <f t="shared" si="7"/>
        <v>0.10808823529411765</v>
      </c>
      <c r="U14" s="1544">
        <v>5561</v>
      </c>
      <c r="V14" s="175">
        <v>5313</v>
      </c>
      <c r="W14" s="175">
        <f t="shared" si="8"/>
        <v>5006</v>
      </c>
      <c r="X14" s="964">
        <f t="shared" si="21"/>
        <v>0.55500000000000005</v>
      </c>
      <c r="Y14" s="1536">
        <f t="shared" si="9"/>
        <v>0.35996856101068697</v>
      </c>
      <c r="Z14" s="111">
        <f t="shared" si="10"/>
        <v>0.19503143898931308</v>
      </c>
      <c r="AA14" s="1536">
        <f t="shared" si="11"/>
        <v>0</v>
      </c>
      <c r="AB14" s="111">
        <f t="shared" si="12"/>
        <v>0.5352353238866403</v>
      </c>
      <c r="AC14" s="111">
        <f t="shared" si="22"/>
        <v>0.55500000000000005</v>
      </c>
      <c r="AD14" s="111">
        <f t="shared" si="23"/>
        <v>0.19503143898931308</v>
      </c>
      <c r="AE14" s="111">
        <f t="shared" si="24"/>
        <v>15.269192951813531</v>
      </c>
      <c r="AF14" s="29">
        <f t="shared" si="13"/>
        <v>2.4385020974801029E-3</v>
      </c>
      <c r="AG14" s="587">
        <f t="shared" si="14"/>
        <v>0.93003143898931306</v>
      </c>
      <c r="AH14" s="964">
        <f t="shared" si="25"/>
        <v>0</v>
      </c>
      <c r="AI14" s="964">
        <v>0</v>
      </c>
      <c r="AJ14" s="964">
        <f t="shared" si="26"/>
        <v>0</v>
      </c>
      <c r="AK14" s="964">
        <f t="shared" si="27"/>
        <v>0.55500000000000005</v>
      </c>
      <c r="AL14" s="964">
        <f t="shared" si="15"/>
        <v>0.41133085422415594</v>
      </c>
      <c r="AM14" s="961">
        <f t="shared" si="16"/>
        <v>5.7134274875180573E-3</v>
      </c>
      <c r="AN14" s="964">
        <f t="shared" si="28"/>
        <v>0.14366914577584411</v>
      </c>
      <c r="AO14" s="965"/>
      <c r="AP14" s="1544">
        <v>94</v>
      </c>
      <c r="AQ14" s="175">
        <v>102</v>
      </c>
      <c r="AR14" s="175">
        <f t="shared" si="17"/>
        <v>98</v>
      </c>
      <c r="AS14" s="175"/>
      <c r="AT14" s="175"/>
      <c r="AU14" s="111"/>
      <c r="AV14" s="111"/>
      <c r="AW14" s="175">
        <f t="shared" si="18"/>
        <v>74.059458355549651</v>
      </c>
      <c r="AX14" s="385"/>
      <c r="AY14" s="385"/>
      <c r="AZ14" s="385"/>
      <c r="BA14" s="385"/>
      <c r="BB14" s="305"/>
      <c r="BC14" s="385"/>
      <c r="BD14" s="385"/>
    </row>
    <row r="15" spans="1:59" s="87" customFormat="1" ht="12" customHeight="1">
      <c r="A15" s="79">
        <v>1704</v>
      </c>
      <c r="B15" s="1540">
        <f t="shared" si="29"/>
        <v>72.559069099705198</v>
      </c>
      <c r="C15" s="1544">
        <v>977</v>
      </c>
      <c r="D15" s="175">
        <v>260</v>
      </c>
      <c r="E15" s="175">
        <v>338</v>
      </c>
      <c r="F15" s="175">
        <f t="shared" si="0"/>
        <v>379</v>
      </c>
      <c r="G15" s="1540">
        <f t="shared" si="19"/>
        <v>639</v>
      </c>
      <c r="H15" s="1162">
        <f t="shared" si="1"/>
        <v>14.5584008097166</v>
      </c>
      <c r="I15" s="29">
        <f t="shared" si="2"/>
        <v>1.0704706477732795</v>
      </c>
      <c r="J15" s="111">
        <v>13.6</v>
      </c>
      <c r="K15" s="959">
        <v>4.4000000000000004</v>
      </c>
      <c r="L15" s="959">
        <f t="shared" si="20"/>
        <v>9.1999999999999993</v>
      </c>
      <c r="M15" s="29">
        <f t="shared" si="3"/>
        <v>0.20064205605658397</v>
      </c>
      <c r="N15" s="29">
        <v>0.21969999999999998</v>
      </c>
      <c r="O15" s="111">
        <v>6.7</v>
      </c>
      <c r="P15" s="29">
        <f t="shared" si="30"/>
        <v>0.46021538269012841</v>
      </c>
      <c r="Q15" s="1558">
        <f t="shared" si="4"/>
        <v>4.389218351328239E-2</v>
      </c>
      <c r="R15" s="961">
        <f t="shared" si="5"/>
        <v>5.909090909090909E-2</v>
      </c>
      <c r="S15" s="961">
        <f t="shared" si="6"/>
        <v>3.7309022069446522E-2</v>
      </c>
      <c r="T15" s="1535">
        <f t="shared" si="7"/>
        <v>9.5373134328358214E-2</v>
      </c>
      <c r="U15" s="1544">
        <v>5394</v>
      </c>
      <c r="V15" s="175">
        <v>5527</v>
      </c>
      <c r="W15" s="175">
        <f t="shared" si="8"/>
        <v>5189</v>
      </c>
      <c r="X15" s="964">
        <f t="shared" si="21"/>
        <v>0.20499999999999999</v>
      </c>
      <c r="Y15" s="1536">
        <f t="shared" si="9"/>
        <v>0.36279534549852599</v>
      </c>
      <c r="Z15" s="111">
        <f t="shared" si="10"/>
        <v>-0.157795345498526</v>
      </c>
      <c r="AA15" s="1536">
        <f t="shared" si="11"/>
        <v>0</v>
      </c>
      <c r="AB15" s="111">
        <f t="shared" si="12"/>
        <v>0.21409412955465434</v>
      </c>
      <c r="AC15" s="111">
        <f t="shared" si="22"/>
        <v>0.20499999999999999</v>
      </c>
      <c r="AD15" s="111">
        <f t="shared" si="23"/>
        <v>-0.157795345498526</v>
      </c>
      <c r="AE15" s="111">
        <f t="shared" si="24"/>
        <v>15.074161512824219</v>
      </c>
      <c r="AF15" s="29">
        <f t="shared" si="13"/>
        <v>7.1081493947903205E-3</v>
      </c>
      <c r="AG15" s="587">
        <f t="shared" si="14"/>
        <v>0.48120465450147398</v>
      </c>
      <c r="AH15" s="964">
        <f t="shared" si="25"/>
        <v>0</v>
      </c>
      <c r="AI15" s="964">
        <v>0</v>
      </c>
      <c r="AJ15" s="964">
        <f t="shared" si="26"/>
        <v>0</v>
      </c>
      <c r="AK15" s="964">
        <f t="shared" si="27"/>
        <v>0.20499999999999999</v>
      </c>
      <c r="AL15" s="964">
        <f t="shared" si="15"/>
        <v>0.4145609798629778</v>
      </c>
      <c r="AM15" s="961">
        <f t="shared" si="16"/>
        <v>5.7134274875180573E-3</v>
      </c>
      <c r="AN15" s="964">
        <f t="shared" si="28"/>
        <v>-0.20956097986297781</v>
      </c>
      <c r="AO15" s="965"/>
      <c r="AP15" s="1544">
        <v>98</v>
      </c>
      <c r="AQ15" s="175">
        <v>99</v>
      </c>
      <c r="AR15" s="175">
        <f t="shared" si="17"/>
        <v>98.5</v>
      </c>
      <c r="AS15" s="175"/>
      <c r="AT15" s="175"/>
      <c r="AU15" s="111"/>
      <c r="AV15" s="111"/>
      <c r="AW15" s="175">
        <f t="shared" si="18"/>
        <v>74.059458355549651</v>
      </c>
      <c r="AX15" s="385"/>
      <c r="AY15" s="385"/>
      <c r="AZ15" s="385"/>
      <c r="BA15" s="385"/>
      <c r="BB15" s="305"/>
      <c r="BC15" s="385"/>
      <c r="BD15" s="385"/>
    </row>
    <row r="16" spans="1:59" s="87" customFormat="1" ht="12" customHeight="1">
      <c r="A16" s="79">
        <v>1705</v>
      </c>
      <c r="B16" s="1540">
        <f t="shared" si="29"/>
        <v>73.124425997273008</v>
      </c>
      <c r="C16" s="1544">
        <v>1036</v>
      </c>
      <c r="D16" s="577">
        <v>260</v>
      </c>
      <c r="E16" s="175">
        <v>435</v>
      </c>
      <c r="F16" s="175">
        <f t="shared" si="0"/>
        <v>341</v>
      </c>
      <c r="G16" s="1540">
        <f t="shared" si="19"/>
        <v>601</v>
      </c>
      <c r="H16" s="1162">
        <f t="shared" si="1"/>
        <v>14.344306680161946</v>
      </c>
      <c r="I16" s="29">
        <f t="shared" si="2"/>
        <v>1.0704706477732795</v>
      </c>
      <c r="J16" s="111">
        <v>13.4</v>
      </c>
      <c r="K16" s="959">
        <v>4.3</v>
      </c>
      <c r="L16" s="959">
        <f t="shared" si="20"/>
        <v>9.1000000000000014</v>
      </c>
      <c r="M16" s="29">
        <f t="shared" si="3"/>
        <v>0.19616299867703413</v>
      </c>
      <c r="N16" s="29">
        <v>0.2097</v>
      </c>
      <c r="O16" s="111">
        <v>6.5</v>
      </c>
      <c r="P16" s="29">
        <f t="shared" si="30"/>
        <v>0.45314145499896796</v>
      </c>
      <c r="Q16" s="1558">
        <f t="shared" si="4"/>
        <v>4.1898156069904581E-2</v>
      </c>
      <c r="R16" s="961">
        <f t="shared" si="5"/>
        <v>6.0465116279069774E-2</v>
      </c>
      <c r="S16" s="961">
        <f t="shared" si="6"/>
        <v>3.3949580678723563E-2</v>
      </c>
      <c r="T16" s="1535">
        <f t="shared" si="7"/>
        <v>9.2461538461538456E-2</v>
      </c>
      <c r="U16" s="1544">
        <v>5292</v>
      </c>
      <c r="V16" s="175">
        <v>5873</v>
      </c>
      <c r="W16" s="175">
        <f t="shared" si="8"/>
        <v>5438</v>
      </c>
      <c r="X16" s="964">
        <f t="shared" si="21"/>
        <v>-0.14599999999999999</v>
      </c>
      <c r="Y16" s="1536">
        <f t="shared" si="9"/>
        <v>0.36562212998636506</v>
      </c>
      <c r="Z16" s="111">
        <f t="shared" si="10"/>
        <v>-0.51162212998636503</v>
      </c>
      <c r="AA16" s="1536">
        <f t="shared" si="11"/>
        <v>0</v>
      </c>
      <c r="AB16" s="111">
        <f t="shared" si="12"/>
        <v>0.42818825910931224</v>
      </c>
      <c r="AC16" s="111">
        <f t="shared" si="22"/>
        <v>-0.14599999999999999</v>
      </c>
      <c r="AD16" s="111">
        <f t="shared" si="23"/>
        <v>-0.51162212998636503</v>
      </c>
      <c r="AE16" s="111">
        <f t="shared" si="24"/>
        <v>15.231956858322745</v>
      </c>
      <c r="AF16" s="29">
        <f t="shared" si="13"/>
        <v>1.2138901140829489E-2</v>
      </c>
      <c r="AG16" s="587">
        <f t="shared" si="14"/>
        <v>8.9377870013634952E-2</v>
      </c>
      <c r="AH16" s="964">
        <f t="shared" si="25"/>
        <v>0</v>
      </c>
      <c r="AI16" s="964">
        <v>0</v>
      </c>
      <c r="AJ16" s="964">
        <f t="shared" si="26"/>
        <v>0</v>
      </c>
      <c r="AK16" s="964">
        <f t="shared" si="27"/>
        <v>-0.14599999999999999</v>
      </c>
      <c r="AL16" s="964">
        <f t="shared" si="15"/>
        <v>0.41779110550179965</v>
      </c>
      <c r="AM16" s="961">
        <f t="shared" si="16"/>
        <v>5.7134274875180573E-3</v>
      </c>
      <c r="AN16" s="964">
        <f t="shared" si="28"/>
        <v>-0.56379110550179967</v>
      </c>
      <c r="AO16" s="965"/>
      <c r="AP16" s="1544">
        <v>89</v>
      </c>
      <c r="AQ16" s="175">
        <v>100</v>
      </c>
      <c r="AR16" s="175">
        <f t="shared" si="17"/>
        <v>94.5</v>
      </c>
      <c r="AS16" s="175"/>
      <c r="AT16" s="175"/>
      <c r="AU16" s="111"/>
      <c r="AV16" s="111"/>
      <c r="AW16" s="175">
        <f t="shared" si="18"/>
        <v>74.059458355549651</v>
      </c>
      <c r="AX16" s="385"/>
      <c r="AY16" s="385"/>
      <c r="AZ16" s="385"/>
      <c r="BA16" s="385"/>
      <c r="BB16" s="305"/>
      <c r="BC16" s="385"/>
      <c r="BD16" s="385"/>
    </row>
    <row r="17" spans="1:56" s="87" customFormat="1" ht="12" customHeight="1">
      <c r="A17" s="79">
        <v>1706</v>
      </c>
      <c r="B17" s="1540">
        <f t="shared" si="29"/>
        <v>73.689782894840818</v>
      </c>
      <c r="C17" s="1544">
        <v>1078</v>
      </c>
      <c r="D17" s="175">
        <v>268</v>
      </c>
      <c r="E17" s="175">
        <v>449</v>
      </c>
      <c r="F17" s="175">
        <f t="shared" si="0"/>
        <v>361</v>
      </c>
      <c r="G17" s="1540">
        <f t="shared" si="19"/>
        <v>629</v>
      </c>
      <c r="H17" s="1162">
        <f t="shared" si="1"/>
        <v>13.916118421052634</v>
      </c>
      <c r="I17" s="29">
        <f t="shared" si="2"/>
        <v>1.0704706477732795</v>
      </c>
      <c r="J17" s="111">
        <v>13</v>
      </c>
      <c r="K17" s="959">
        <v>4.0999999999999996</v>
      </c>
      <c r="L17" s="959">
        <f t="shared" si="20"/>
        <v>8.9</v>
      </c>
      <c r="M17" s="29">
        <f t="shared" si="3"/>
        <v>0.18884732556359493</v>
      </c>
      <c r="N17" s="29">
        <v>0.2097</v>
      </c>
      <c r="O17" s="111">
        <v>6.5</v>
      </c>
      <c r="P17" s="29">
        <f t="shared" si="30"/>
        <v>0.46708426899893624</v>
      </c>
      <c r="Q17" s="1558">
        <f t="shared" si="4"/>
        <v>4.5199385415435521E-2</v>
      </c>
      <c r="R17" s="961">
        <f t="shared" si="5"/>
        <v>6.5365853658536602E-2</v>
      </c>
      <c r="S17" s="961">
        <f t="shared" si="6"/>
        <v>3.6776247444790709E-2</v>
      </c>
      <c r="T17" s="1535">
        <f t="shared" si="7"/>
        <v>9.6769230769230774E-2</v>
      </c>
      <c r="U17" s="1544">
        <v>5284</v>
      </c>
      <c r="V17" s="175">
        <v>6692</v>
      </c>
      <c r="W17" s="175">
        <f t="shared" si="8"/>
        <v>6243</v>
      </c>
      <c r="X17" s="964">
        <f t="shared" si="21"/>
        <v>-0.95899999999999996</v>
      </c>
      <c r="Y17" s="1536">
        <f t="shared" si="9"/>
        <v>0.36844891447420408</v>
      </c>
      <c r="Z17" s="111">
        <f t="shared" si="10"/>
        <v>-1.3274489144742041</v>
      </c>
      <c r="AA17" s="1536">
        <f t="shared" si="11"/>
        <v>0</v>
      </c>
      <c r="AB17" s="111">
        <f t="shared" si="12"/>
        <v>0</v>
      </c>
      <c r="AC17" s="111">
        <f t="shared" si="22"/>
        <v>-0.95899999999999996</v>
      </c>
      <c r="AD17" s="111">
        <f t="shared" si="23"/>
        <v>-1.3274489144742041</v>
      </c>
      <c r="AE17" s="111">
        <f t="shared" si="24"/>
        <v>15.74357898830911</v>
      </c>
      <c r="AF17" s="29">
        <f t="shared" si="13"/>
        <v>2.4799375102846466E-2</v>
      </c>
      <c r="AG17" s="587">
        <f t="shared" si="14"/>
        <v>-0.6984489144742041</v>
      </c>
      <c r="AH17" s="964">
        <f t="shared" si="25"/>
        <v>0</v>
      </c>
      <c r="AI17" s="964">
        <v>0</v>
      </c>
      <c r="AJ17" s="964">
        <f t="shared" si="26"/>
        <v>0</v>
      </c>
      <c r="AK17" s="964">
        <f t="shared" si="27"/>
        <v>-0.95899999999999996</v>
      </c>
      <c r="AL17" s="964">
        <f t="shared" si="15"/>
        <v>0.42102123114062151</v>
      </c>
      <c r="AM17" s="961">
        <f t="shared" si="16"/>
        <v>5.7134274875180573E-3</v>
      </c>
      <c r="AN17" s="964">
        <f t="shared" si="28"/>
        <v>-1.3800212311406215</v>
      </c>
      <c r="AO17" s="965"/>
      <c r="AP17" s="1544">
        <v>101</v>
      </c>
      <c r="AQ17" s="175">
        <v>104</v>
      </c>
      <c r="AR17" s="175">
        <f t="shared" si="17"/>
        <v>102.5</v>
      </c>
      <c r="AS17" s="175"/>
      <c r="AT17" s="175"/>
      <c r="AU17" s="111"/>
      <c r="AV17" s="111"/>
      <c r="AW17" s="175">
        <f t="shared" si="18"/>
        <v>74.059458355549651</v>
      </c>
      <c r="AX17" s="385"/>
      <c r="AY17" s="385"/>
      <c r="AZ17" s="385"/>
      <c r="BA17" s="305"/>
      <c r="BB17" s="305"/>
      <c r="BC17" s="305"/>
      <c r="BD17" s="305"/>
    </row>
    <row r="18" spans="1:56" s="87" customFormat="1" ht="12" customHeight="1">
      <c r="A18" s="79">
        <v>1707</v>
      </c>
      <c r="B18" s="1540">
        <f t="shared" si="29"/>
        <v>74.255139792408627</v>
      </c>
      <c r="C18" s="1544">
        <v>1846</v>
      </c>
      <c r="D18" s="175">
        <v>322</v>
      </c>
      <c r="E18" s="175">
        <v>680</v>
      </c>
      <c r="F18" s="175">
        <f t="shared" si="0"/>
        <v>844</v>
      </c>
      <c r="G18" s="1540">
        <f t="shared" si="19"/>
        <v>1166</v>
      </c>
      <c r="H18" s="1162">
        <f t="shared" si="1"/>
        <v>13.916118421052634</v>
      </c>
      <c r="I18" s="29">
        <f t="shared" si="2"/>
        <v>1.0704706477732795</v>
      </c>
      <c r="J18" s="111">
        <v>13</v>
      </c>
      <c r="K18" s="959">
        <v>4.5</v>
      </c>
      <c r="L18" s="959">
        <f t="shared" si="20"/>
        <v>8.5</v>
      </c>
      <c r="M18" s="29">
        <f t="shared" si="3"/>
        <v>0.18740949730829715</v>
      </c>
      <c r="N18" s="29">
        <v>0.2339</v>
      </c>
      <c r="O18" s="111">
        <v>7.25</v>
      </c>
      <c r="P18" s="29">
        <f t="shared" si="30"/>
        <v>0.52097860772958271</v>
      </c>
      <c r="Q18" s="1558">
        <f t="shared" si="4"/>
        <v>8.3787731946578403E-2</v>
      </c>
      <c r="R18" s="961">
        <f t="shared" si="5"/>
        <v>7.1555555555555553E-2</v>
      </c>
      <c r="S18" s="961">
        <f t="shared" si="6"/>
        <v>8.9633537117903908E-2</v>
      </c>
      <c r="T18" s="1535">
        <f t="shared" si="7"/>
        <v>0.16082758620689655</v>
      </c>
      <c r="U18" s="1544">
        <v>5471</v>
      </c>
      <c r="V18" s="175">
        <v>8747</v>
      </c>
      <c r="W18" s="175">
        <f t="shared" si="8"/>
        <v>8067</v>
      </c>
      <c r="X18" s="964">
        <f t="shared" si="21"/>
        <v>-2.5960000000000001</v>
      </c>
      <c r="Y18" s="1536">
        <f t="shared" si="9"/>
        <v>0.37127569896204315</v>
      </c>
      <c r="Z18" s="111">
        <f t="shared" si="10"/>
        <v>-2.9672756989620432</v>
      </c>
      <c r="AA18" s="1536">
        <f t="shared" si="11"/>
        <v>0</v>
      </c>
      <c r="AB18" s="111">
        <f t="shared" si="12"/>
        <v>-1.6057059716599191</v>
      </c>
      <c r="AC18" s="111">
        <f t="shared" si="22"/>
        <v>-2.5960000000000001</v>
      </c>
      <c r="AD18" s="111">
        <f t="shared" si="23"/>
        <v>-2.9672756989620432</v>
      </c>
      <c r="AE18" s="111">
        <f t="shared" si="24"/>
        <v>17.071027902783314</v>
      </c>
      <c r="AF18" s="29">
        <f t="shared" si="13"/>
        <v>4.2487422292257514E-2</v>
      </c>
      <c r="AG18" s="587">
        <f t="shared" si="14"/>
        <v>-1.8012756989620433</v>
      </c>
      <c r="AH18" s="964">
        <f t="shared" si="25"/>
        <v>0</v>
      </c>
      <c r="AI18" s="964">
        <v>0</v>
      </c>
      <c r="AJ18" s="964">
        <f t="shared" si="26"/>
        <v>0</v>
      </c>
      <c r="AK18" s="964">
        <f t="shared" si="27"/>
        <v>-2.5960000000000001</v>
      </c>
      <c r="AL18" s="964">
        <f t="shared" si="15"/>
        <v>0.42425135677944337</v>
      </c>
      <c r="AM18" s="961">
        <f t="shared" si="16"/>
        <v>5.7134274875180573E-3</v>
      </c>
      <c r="AN18" s="964">
        <f t="shared" si="28"/>
        <v>-3.0202513567794433</v>
      </c>
      <c r="AO18" s="965"/>
      <c r="AP18" s="1544">
        <v>88</v>
      </c>
      <c r="AQ18" s="175">
        <v>104</v>
      </c>
      <c r="AR18" s="175">
        <f t="shared" si="17"/>
        <v>96</v>
      </c>
      <c r="AS18" s="175"/>
      <c r="AT18" s="175"/>
      <c r="AU18" s="111"/>
      <c r="AV18" s="111"/>
      <c r="AW18" s="175">
        <f t="shared" si="18"/>
        <v>74.059458355549651</v>
      </c>
      <c r="AX18" s="385"/>
      <c r="AY18" s="385"/>
      <c r="AZ18" s="385"/>
      <c r="BA18" s="385"/>
      <c r="BB18" s="305"/>
      <c r="BC18" s="385"/>
      <c r="BD18" s="385"/>
    </row>
    <row r="19" spans="1:56" s="87" customFormat="1" ht="12" customHeight="1">
      <c r="A19" s="79">
        <v>1708</v>
      </c>
      <c r="B19" s="1540">
        <f t="shared" si="29"/>
        <v>74.820496689976437</v>
      </c>
      <c r="C19" s="1544">
        <v>1637</v>
      </c>
      <c r="D19" s="175">
        <v>315</v>
      </c>
      <c r="E19" s="175">
        <v>735</v>
      </c>
      <c r="F19" s="175">
        <f t="shared" si="0"/>
        <v>587</v>
      </c>
      <c r="G19" s="1540">
        <f t="shared" si="19"/>
        <v>902</v>
      </c>
      <c r="H19" s="1162">
        <f t="shared" si="1"/>
        <v>15.521824392712553</v>
      </c>
      <c r="I19" s="29">
        <f t="shared" si="2"/>
        <v>1.0704706477732795</v>
      </c>
      <c r="J19" s="111">
        <v>14.5</v>
      </c>
      <c r="K19" s="959">
        <v>4.3</v>
      </c>
      <c r="L19" s="959">
        <f t="shared" si="20"/>
        <v>10.199999999999999</v>
      </c>
      <c r="M19" s="29">
        <f t="shared" si="3"/>
        <v>0.20745417471669875</v>
      </c>
      <c r="N19" s="29">
        <v>0.2452</v>
      </c>
      <c r="O19" s="111">
        <v>7.6</v>
      </c>
      <c r="P19" s="29">
        <f t="shared" si="30"/>
        <v>0.48963316474371243</v>
      </c>
      <c r="Q19" s="1558">
        <f t="shared" si="4"/>
        <v>5.8111725605109028E-2</v>
      </c>
      <c r="R19" s="961">
        <f t="shared" si="5"/>
        <v>7.3255813953488375E-2</v>
      </c>
      <c r="S19" s="961">
        <f t="shared" si="6"/>
        <v>5.2308785047571901E-2</v>
      </c>
      <c r="T19" s="1535">
        <f t="shared" si="7"/>
        <v>0.11868421052631579</v>
      </c>
      <c r="U19" s="1544">
        <v>5208</v>
      </c>
      <c r="V19" s="175">
        <v>7742</v>
      </c>
      <c r="W19" s="175">
        <f t="shared" si="8"/>
        <v>7007</v>
      </c>
      <c r="X19" s="964">
        <f t="shared" si="21"/>
        <v>-1.7989999999999999</v>
      </c>
      <c r="Y19" s="1536">
        <f t="shared" si="9"/>
        <v>0.37410248344988217</v>
      </c>
      <c r="Z19" s="111">
        <f t="shared" si="10"/>
        <v>-2.173102483449882</v>
      </c>
      <c r="AA19" s="1536">
        <f t="shared" si="11"/>
        <v>0</v>
      </c>
      <c r="AB19" s="111">
        <f t="shared" si="12"/>
        <v>-0.74932945344129465</v>
      </c>
      <c r="AC19" s="111">
        <f t="shared" si="22"/>
        <v>-1.7989999999999999</v>
      </c>
      <c r="AD19" s="111">
        <f t="shared" si="23"/>
        <v>-2.173102483449882</v>
      </c>
      <c r="AE19" s="111">
        <f t="shared" si="24"/>
        <v>20.038303601745358</v>
      </c>
      <c r="AF19" s="29">
        <f t="shared" si="13"/>
        <v>6.0364197096246623E-2</v>
      </c>
      <c r="AG19" s="587">
        <f t="shared" si="14"/>
        <v>-1.2711024834498819</v>
      </c>
      <c r="AH19" s="964">
        <f t="shared" si="25"/>
        <v>0</v>
      </c>
      <c r="AI19" s="964">
        <v>0</v>
      </c>
      <c r="AJ19" s="964">
        <f t="shared" si="26"/>
        <v>0</v>
      </c>
      <c r="AK19" s="964">
        <f t="shared" si="27"/>
        <v>-1.7989999999999999</v>
      </c>
      <c r="AL19" s="964">
        <f t="shared" si="15"/>
        <v>0.42748148241826517</v>
      </c>
      <c r="AM19" s="961">
        <f t="shared" si="16"/>
        <v>5.7134274875180573E-3</v>
      </c>
      <c r="AN19" s="964">
        <f t="shared" si="28"/>
        <v>-2.226481482418265</v>
      </c>
      <c r="AO19" s="965"/>
      <c r="AP19" s="1544">
        <v>92</v>
      </c>
      <c r="AQ19" s="175">
        <v>102</v>
      </c>
      <c r="AR19" s="175">
        <f t="shared" si="17"/>
        <v>97</v>
      </c>
      <c r="AS19" s="175"/>
      <c r="AT19" s="175"/>
      <c r="AU19" s="111"/>
      <c r="AV19" s="111"/>
      <c r="AW19" s="175">
        <f t="shared" si="18"/>
        <v>74.059458355549651</v>
      </c>
      <c r="AX19" s="385"/>
      <c r="AY19" s="385"/>
      <c r="AZ19" s="385"/>
      <c r="BA19" s="385"/>
      <c r="BB19" s="305"/>
      <c r="BC19" s="385"/>
      <c r="BD19" s="385"/>
    </row>
    <row r="20" spans="1:56" s="87" customFormat="1" ht="12" customHeight="1">
      <c r="A20" s="79">
        <v>1709</v>
      </c>
      <c r="B20" s="1540">
        <f t="shared" si="29"/>
        <v>75.385853587544247</v>
      </c>
      <c r="C20" s="1544">
        <v>2014</v>
      </c>
      <c r="D20" s="175">
        <v>311</v>
      </c>
      <c r="E20" s="175">
        <v>1070</v>
      </c>
      <c r="F20" s="175">
        <f t="shared" si="0"/>
        <v>633</v>
      </c>
      <c r="G20" s="1540">
        <f t="shared" si="19"/>
        <v>944</v>
      </c>
      <c r="H20" s="1162">
        <f t="shared" si="1"/>
        <v>16.271153846153847</v>
      </c>
      <c r="I20" s="29">
        <f t="shared" si="2"/>
        <v>1.0704706477732795</v>
      </c>
      <c r="J20" s="111">
        <v>15.2</v>
      </c>
      <c r="K20" s="959">
        <v>4.8</v>
      </c>
      <c r="L20" s="959">
        <f t="shared" si="20"/>
        <v>10.399999999999999</v>
      </c>
      <c r="M20" s="29">
        <f t="shared" si="3"/>
        <v>0.2158382915603449</v>
      </c>
      <c r="N20" s="29">
        <v>0.30320000000000003</v>
      </c>
      <c r="O20" s="111">
        <v>6.903614457831325</v>
      </c>
      <c r="P20" s="29">
        <f t="shared" si="30"/>
        <v>0.42428548848508318</v>
      </c>
      <c r="Q20" s="1558">
        <f t="shared" si="4"/>
        <v>5.8016782886183664E-2</v>
      </c>
      <c r="R20" s="961">
        <f t="shared" si="5"/>
        <v>6.4791666666666664E-2</v>
      </c>
      <c r="S20" s="961">
        <f t="shared" si="6"/>
        <v>5.5181894383906117E-2</v>
      </c>
      <c r="T20" s="1535">
        <f t="shared" si="7"/>
        <v>0.13673996509598604</v>
      </c>
      <c r="U20" s="1544">
        <v>5206</v>
      </c>
      <c r="V20" s="175">
        <v>9160</v>
      </c>
      <c r="W20" s="175">
        <f t="shared" si="8"/>
        <v>8090</v>
      </c>
      <c r="X20" s="964">
        <f t="shared" si="21"/>
        <v>-2.8839999999999999</v>
      </c>
      <c r="Y20" s="1536">
        <f t="shared" si="9"/>
        <v>0.37692926793772125</v>
      </c>
      <c r="Z20" s="111">
        <f t="shared" si="10"/>
        <v>-3.2609292679377213</v>
      </c>
      <c r="AA20" s="1536">
        <f t="shared" si="11"/>
        <v>0</v>
      </c>
      <c r="AB20" s="111">
        <f t="shared" si="12"/>
        <v>-4.1748355263157926</v>
      </c>
      <c r="AC20" s="111">
        <f t="shared" si="22"/>
        <v>-2.8839999999999999</v>
      </c>
      <c r="AD20" s="111">
        <f t="shared" si="23"/>
        <v>-3.2609292679377213</v>
      </c>
      <c r="AE20" s="111">
        <f t="shared" si="24"/>
        <v>22.21140608519524</v>
      </c>
      <c r="AF20" s="29">
        <f t="shared" si="13"/>
        <v>7.8797970127685607E-2</v>
      </c>
      <c r="AG20" s="587">
        <f t="shared" si="14"/>
        <v>-2.3169292679377214</v>
      </c>
      <c r="AH20" s="964">
        <f t="shared" si="25"/>
        <v>0</v>
      </c>
      <c r="AI20" s="964">
        <v>0</v>
      </c>
      <c r="AJ20" s="964">
        <f t="shared" si="26"/>
        <v>0</v>
      </c>
      <c r="AK20" s="964">
        <f t="shared" si="27"/>
        <v>-2.8839999999999999</v>
      </c>
      <c r="AL20" s="964">
        <f t="shared" si="15"/>
        <v>0.43071160805708703</v>
      </c>
      <c r="AM20" s="961">
        <f t="shared" si="16"/>
        <v>5.7134274875180573E-3</v>
      </c>
      <c r="AN20" s="964">
        <f t="shared" si="28"/>
        <v>-3.3147116080570869</v>
      </c>
      <c r="AO20" s="965"/>
      <c r="AP20" s="1544">
        <v>107</v>
      </c>
      <c r="AQ20" s="175">
        <v>102</v>
      </c>
      <c r="AR20" s="175">
        <f t="shared" si="17"/>
        <v>104.5</v>
      </c>
      <c r="AS20" s="175"/>
      <c r="AT20" s="175"/>
      <c r="AU20" s="111"/>
      <c r="AV20" s="111"/>
      <c r="AW20" s="175">
        <f t="shared" si="18"/>
        <v>74.059458355549651</v>
      </c>
      <c r="AX20" s="385"/>
      <c r="AY20" s="385"/>
      <c r="AZ20" s="385"/>
      <c r="BA20" s="385"/>
      <c r="BB20" s="305"/>
      <c r="BC20" s="385"/>
      <c r="BD20" s="385"/>
    </row>
    <row r="21" spans="1:56" s="87" customFormat="1" ht="12" customHeight="1">
      <c r="A21" s="79">
        <v>1710</v>
      </c>
      <c r="B21" s="1540">
        <f>TableUK2!B11*1000</f>
        <v>75.951210485112114</v>
      </c>
      <c r="C21" s="1544">
        <v>1754</v>
      </c>
      <c r="D21" s="175">
        <v>317</v>
      </c>
      <c r="E21" s="175">
        <v>733</v>
      </c>
      <c r="F21" s="175">
        <f t="shared" si="0"/>
        <v>704</v>
      </c>
      <c r="G21" s="1540">
        <f t="shared" si="19"/>
        <v>1021</v>
      </c>
      <c r="H21" s="1162">
        <f t="shared" si="1"/>
        <v>20.44598937246964</v>
      </c>
      <c r="I21" s="29">
        <f t="shared" si="2"/>
        <v>1.0704706477732795</v>
      </c>
      <c r="J21" s="111">
        <v>19.100000000000001</v>
      </c>
      <c r="K21" s="959">
        <v>7.4</v>
      </c>
      <c r="L21" s="959">
        <f t="shared" si="20"/>
        <v>11.700000000000001</v>
      </c>
      <c r="M21" s="29">
        <f t="shared" si="3"/>
        <v>0.26919899290449684</v>
      </c>
      <c r="N21" s="29">
        <v>0.3397</v>
      </c>
      <c r="O21" s="111">
        <v>7.3793103448275863</v>
      </c>
      <c r="P21" s="29">
        <f t="shared" si="30"/>
        <v>0.36091725425445875</v>
      </c>
      <c r="Q21" s="1558">
        <f t="shared" si="4"/>
        <v>4.993644383747789E-2</v>
      </c>
      <c r="R21" s="961">
        <f t="shared" si="5"/>
        <v>4.2837837837837837E-2</v>
      </c>
      <c r="S21" s="961">
        <f t="shared" si="6"/>
        <v>5.3962944465187075E-2</v>
      </c>
      <c r="T21" s="1535">
        <f t="shared" si="7"/>
        <v>0.13835981308411213</v>
      </c>
      <c r="U21" s="1544">
        <v>5248</v>
      </c>
      <c r="V21" s="175">
        <v>9772</v>
      </c>
      <c r="W21" s="175">
        <f t="shared" si="8"/>
        <v>9039</v>
      </c>
      <c r="X21" s="964">
        <f t="shared" si="21"/>
        <v>-3.7909999999999999</v>
      </c>
      <c r="Y21" s="1536">
        <f t="shared" si="9"/>
        <v>0.3797560524255606</v>
      </c>
      <c r="Z21" s="111">
        <f t="shared" si="10"/>
        <v>-4.1707560524255607</v>
      </c>
      <c r="AA21" s="1536">
        <f t="shared" si="11"/>
        <v>0</v>
      </c>
      <c r="AB21" s="111">
        <f t="shared" si="12"/>
        <v>-2.4620824898785401</v>
      </c>
      <c r="AC21" s="111">
        <f t="shared" si="22"/>
        <v>-3.7909999999999999</v>
      </c>
      <c r="AD21" s="111">
        <f t="shared" si="23"/>
        <v>-4.1707560524255607</v>
      </c>
      <c r="AE21" s="111">
        <f t="shared" si="24"/>
        <v>25.472335353132962</v>
      </c>
      <c r="AF21" s="29">
        <f t="shared" si="13"/>
        <v>6.6178615831917281E-2</v>
      </c>
      <c r="AG21" s="587">
        <f t="shared" si="14"/>
        <v>-3.1497560524255608</v>
      </c>
      <c r="AH21" s="964">
        <f t="shared" si="25"/>
        <v>0</v>
      </c>
      <c r="AI21" s="964">
        <v>0</v>
      </c>
      <c r="AJ21" s="964">
        <f t="shared" si="26"/>
        <v>0</v>
      </c>
      <c r="AK21" s="964">
        <f t="shared" si="27"/>
        <v>-3.7909999999999999</v>
      </c>
      <c r="AL21" s="964">
        <f t="shared" si="15"/>
        <v>0.43394173369590922</v>
      </c>
      <c r="AM21" s="961">
        <f t="shared" si="16"/>
        <v>5.7134274875180573E-3</v>
      </c>
      <c r="AN21" s="964">
        <f t="shared" si="28"/>
        <v>-4.2249417336959088</v>
      </c>
      <c r="AO21" s="965"/>
      <c r="AP21" s="1544">
        <v>122</v>
      </c>
      <c r="AQ21" s="175">
        <v>98</v>
      </c>
      <c r="AR21" s="175">
        <f t="shared" si="17"/>
        <v>110</v>
      </c>
      <c r="AS21" s="175"/>
      <c r="AT21" s="175"/>
      <c r="AU21" s="111"/>
      <c r="AV21" s="111"/>
      <c r="AW21" s="175">
        <f t="shared" si="18"/>
        <v>74.059458355549651</v>
      </c>
      <c r="AX21" s="385"/>
      <c r="AY21" s="385"/>
      <c r="AZ21" s="385"/>
      <c r="BA21" s="385"/>
      <c r="BB21" s="305"/>
      <c r="BC21" s="385"/>
      <c r="BD21" s="385"/>
    </row>
    <row r="22" spans="1:56" s="87" customFormat="1" ht="12" customHeight="1">
      <c r="A22" s="79">
        <v>1711</v>
      </c>
      <c r="B22" s="1540">
        <f>B21+(B$31-B$21)/10</f>
        <v>76.562035255394349</v>
      </c>
      <c r="C22" s="1544">
        <v>1813</v>
      </c>
      <c r="D22" s="175">
        <v>347</v>
      </c>
      <c r="E22" s="175">
        <v>763</v>
      </c>
      <c r="F22" s="175">
        <f t="shared" si="0"/>
        <v>703</v>
      </c>
      <c r="G22" s="1540">
        <f t="shared" si="19"/>
        <v>1050</v>
      </c>
      <c r="H22" s="1162">
        <f t="shared" si="1"/>
        <v>22.90807186234818</v>
      </c>
      <c r="I22" s="29">
        <f t="shared" si="2"/>
        <v>1.0704706477732795</v>
      </c>
      <c r="J22" s="111">
        <v>21.4</v>
      </c>
      <c r="K22" s="959">
        <v>7.3</v>
      </c>
      <c r="L22" s="959">
        <f t="shared" si="20"/>
        <v>14.099999999999998</v>
      </c>
      <c r="M22" s="29">
        <f t="shared" si="3"/>
        <v>0.29920928546285142</v>
      </c>
      <c r="N22" s="29">
        <v>0.35560000000000003</v>
      </c>
      <c r="O22" s="111">
        <v>7.7241379310344831</v>
      </c>
      <c r="P22" s="29">
        <f t="shared" si="30"/>
        <v>0.33717974945459789</v>
      </c>
      <c r="Q22" s="1558">
        <f t="shared" si="4"/>
        <v>4.5835372191484397E-2</v>
      </c>
      <c r="R22" s="961">
        <f t="shared" si="5"/>
        <v>4.7534246575342463E-2</v>
      </c>
      <c r="S22" s="961">
        <f t="shared" si="6"/>
        <v>4.5040797236195973E-2</v>
      </c>
      <c r="T22" s="1535">
        <f t="shared" si="7"/>
        <v>0.13593749999999999</v>
      </c>
      <c r="U22" s="1544">
        <v>5179</v>
      </c>
      <c r="V22" s="175">
        <f>15145-6239-1133-189</f>
        <v>7584</v>
      </c>
      <c r="W22" s="175">
        <f t="shared" si="8"/>
        <v>6821</v>
      </c>
      <c r="X22" s="964">
        <f t="shared" si="21"/>
        <v>-1.6419999999999999</v>
      </c>
      <c r="Y22" s="1536">
        <f t="shared" si="9"/>
        <v>0.38281017627697178</v>
      </c>
      <c r="Z22" s="111">
        <f t="shared" si="10"/>
        <v>-2.0248101762769717</v>
      </c>
      <c r="AA22" s="1536">
        <f t="shared" si="11"/>
        <v>0</v>
      </c>
      <c r="AB22" s="111">
        <f t="shared" si="12"/>
        <v>-1.0704706477732806</v>
      </c>
      <c r="AC22" s="111">
        <f t="shared" si="22"/>
        <v>-1.6419999999999999</v>
      </c>
      <c r="AD22" s="111">
        <f t="shared" si="23"/>
        <v>-2.0248101762769717</v>
      </c>
      <c r="AE22" s="111">
        <f t="shared" si="24"/>
        <v>29.643091405558522</v>
      </c>
      <c r="AF22" s="29">
        <f t="shared" si="13"/>
        <v>8.7968136175374342E-2</v>
      </c>
      <c r="AG22" s="587">
        <f t="shared" si="14"/>
        <v>-0.97481017627697164</v>
      </c>
      <c r="AH22" s="964">
        <f t="shared" si="25"/>
        <v>0</v>
      </c>
      <c r="AI22" s="964">
        <v>0</v>
      </c>
      <c r="AJ22" s="964">
        <f t="shared" si="26"/>
        <v>0</v>
      </c>
      <c r="AK22" s="964">
        <f t="shared" si="27"/>
        <v>-1.6419999999999999</v>
      </c>
      <c r="AL22" s="964">
        <f t="shared" si="15"/>
        <v>0.43743163672849666</v>
      </c>
      <c r="AM22" s="961">
        <f t="shared" si="16"/>
        <v>5.7134274875180573E-3</v>
      </c>
      <c r="AN22" s="964">
        <f t="shared" si="28"/>
        <v>-2.0794316367284966</v>
      </c>
      <c r="AO22" s="965"/>
      <c r="AP22" s="1544">
        <v>135</v>
      </c>
      <c r="AQ22" s="175">
        <v>95</v>
      </c>
      <c r="AR22" s="175">
        <f t="shared" si="17"/>
        <v>115</v>
      </c>
      <c r="AS22" s="175"/>
      <c r="AT22" s="175"/>
      <c r="AU22" s="111"/>
      <c r="AV22" s="111"/>
      <c r="AW22" s="175">
        <f t="shared" si="18"/>
        <v>74.059458355549651</v>
      </c>
      <c r="AX22" s="385"/>
      <c r="AY22" s="385"/>
      <c r="AZ22" s="385"/>
      <c r="BA22" s="385"/>
      <c r="BB22" s="305"/>
      <c r="BC22" s="385"/>
      <c r="BD22" s="385"/>
    </row>
    <row r="23" spans="1:56" s="87" customFormat="1" ht="12" customHeight="1">
      <c r="A23" s="79">
        <v>1712</v>
      </c>
      <c r="B23" s="1540">
        <f t="shared" ref="B23:B30" si="31">B22+(B$31-B$21)/10</f>
        <v>77.172860025676584</v>
      </c>
      <c r="C23" s="1544">
        <v>2360</v>
      </c>
      <c r="D23" s="175">
        <v>709</v>
      </c>
      <c r="E23" s="175">
        <v>1080</v>
      </c>
      <c r="F23" s="175">
        <f t="shared" si="0"/>
        <v>571</v>
      </c>
      <c r="G23" s="1540">
        <f t="shared" si="19"/>
        <v>1280</v>
      </c>
      <c r="H23" s="1162">
        <f t="shared" si="1"/>
        <v>23.978542510121461</v>
      </c>
      <c r="I23" s="29">
        <f t="shared" si="2"/>
        <v>1.0704706477732795</v>
      </c>
      <c r="J23" s="111">
        <v>22.4</v>
      </c>
      <c r="K23" s="959">
        <v>11.8</v>
      </c>
      <c r="L23" s="959">
        <f t="shared" si="20"/>
        <v>10.599999999999998</v>
      </c>
      <c r="M23" s="29">
        <f t="shared" si="3"/>
        <v>0.31071211436434304</v>
      </c>
      <c r="N23" s="29">
        <v>0.55399999999999994</v>
      </c>
      <c r="O23" s="111">
        <v>17.745762711864405</v>
      </c>
      <c r="P23" s="29">
        <f t="shared" si="30"/>
        <v>0.74006844679462191</v>
      </c>
      <c r="Q23" s="1558">
        <f t="shared" si="4"/>
        <v>5.3381059314164141E-2</v>
      </c>
      <c r="R23" s="961">
        <f t="shared" si="5"/>
        <v>6.0084745762711861E-2</v>
      </c>
      <c r="S23" s="961">
        <f t="shared" si="6"/>
        <v>4.6885741830391271E-2</v>
      </c>
      <c r="T23" s="1535">
        <f t="shared" si="7"/>
        <v>7.2129894937917868E-2</v>
      </c>
      <c r="U23" s="1544">
        <v>5748</v>
      </c>
      <c r="V23" s="175">
        <v>7864</v>
      </c>
      <c r="W23" s="175">
        <f t="shared" si="8"/>
        <v>6784</v>
      </c>
      <c r="X23" s="964">
        <f t="shared" si="21"/>
        <v>-1.036</v>
      </c>
      <c r="Y23" s="1536">
        <f t="shared" si="9"/>
        <v>0.38586430012838291</v>
      </c>
      <c r="Z23" s="111">
        <f t="shared" si="10"/>
        <v>-1.4218643001283828</v>
      </c>
      <c r="AA23" s="1536">
        <f t="shared" si="11"/>
        <v>11.959018797037611</v>
      </c>
      <c r="AB23" s="111">
        <f t="shared" si="12"/>
        <v>-13.380883097165995</v>
      </c>
      <c r="AC23" s="111">
        <f t="shared" si="22"/>
        <v>-12.995018797037611</v>
      </c>
      <c r="AD23" s="111">
        <f t="shared" si="23"/>
        <v>-13.380883097165995</v>
      </c>
      <c r="AE23" s="111">
        <f t="shared" si="24"/>
        <v>31.667901581835494</v>
      </c>
      <c r="AF23" s="29">
        <f t="shared" si="13"/>
        <v>9.9638124972375869E-2</v>
      </c>
      <c r="AG23" s="587">
        <f t="shared" si="14"/>
        <v>-12.100883097165996</v>
      </c>
      <c r="AH23" s="964">
        <f t="shared" si="25"/>
        <v>0</v>
      </c>
      <c r="AI23" s="964">
        <v>0</v>
      </c>
      <c r="AJ23" s="964">
        <f t="shared" si="26"/>
        <v>0</v>
      </c>
      <c r="AK23" s="964">
        <f t="shared" si="27"/>
        <v>-12.995018797037611</v>
      </c>
      <c r="AL23" s="964">
        <f t="shared" si="15"/>
        <v>0.44092153976108406</v>
      </c>
      <c r="AM23" s="961">
        <f t="shared" si="16"/>
        <v>5.7134274875180573E-3</v>
      </c>
      <c r="AN23" s="964">
        <f t="shared" si="28"/>
        <v>-13.435940336798694</v>
      </c>
      <c r="AO23" s="965"/>
      <c r="AP23" s="1544">
        <v>101</v>
      </c>
      <c r="AQ23" s="175">
        <v>97</v>
      </c>
      <c r="AR23" s="175">
        <f t="shared" si="17"/>
        <v>99</v>
      </c>
      <c r="AS23" s="175"/>
      <c r="AT23" s="175"/>
      <c r="AU23" s="111"/>
      <c r="AV23" s="111"/>
      <c r="AW23" s="175">
        <f t="shared" si="18"/>
        <v>74.059458355549651</v>
      </c>
      <c r="AX23" s="385"/>
      <c r="AY23" s="385"/>
      <c r="AZ23" s="385"/>
      <c r="BA23" s="385"/>
      <c r="BB23" s="305"/>
      <c r="BC23" s="385"/>
      <c r="BD23" s="385"/>
    </row>
    <row r="24" spans="1:56" s="87" customFormat="1" ht="12" customHeight="1">
      <c r="A24" s="79">
        <v>1713</v>
      </c>
      <c r="B24" s="1540">
        <f t="shared" si="31"/>
        <v>77.78368479595882</v>
      </c>
      <c r="C24" s="1544">
        <v>2888</v>
      </c>
      <c r="D24" s="175">
        <v>943</v>
      </c>
      <c r="E24" s="175">
        <v>1414</v>
      </c>
      <c r="F24" s="175">
        <f t="shared" si="0"/>
        <v>531</v>
      </c>
      <c r="G24" s="1540">
        <f t="shared" si="19"/>
        <v>1474</v>
      </c>
      <c r="H24" s="1162">
        <f t="shared" si="1"/>
        <v>37.359425607287456</v>
      </c>
      <c r="I24" s="29">
        <f t="shared" si="2"/>
        <v>1.0704706477732795</v>
      </c>
      <c r="J24" s="111">
        <v>34.9</v>
      </c>
      <c r="K24" s="959">
        <v>25.6</v>
      </c>
      <c r="L24" s="959">
        <f t="shared" si="20"/>
        <v>9.2999999999999972</v>
      </c>
      <c r="M24" s="29">
        <f t="shared" si="3"/>
        <v>0.48029899464506254</v>
      </c>
      <c r="N24" s="29">
        <v>0.55079999999999996</v>
      </c>
      <c r="O24" s="111">
        <v>16.015384615384615</v>
      </c>
      <c r="P24" s="29">
        <f t="shared" si="30"/>
        <v>0.42868390921568666</v>
      </c>
      <c r="Q24" s="1558">
        <f t="shared" si="4"/>
        <v>3.9454568051829918E-2</v>
      </c>
      <c r="R24" s="961">
        <f t="shared" si="5"/>
        <v>3.6835937499999999E-2</v>
      </c>
      <c r="S24" s="961">
        <f t="shared" si="6"/>
        <v>4.5155266739468389E-2</v>
      </c>
      <c r="T24" s="1535">
        <f t="shared" si="7"/>
        <v>9.2036503362151773E-2</v>
      </c>
      <c r="U24" s="1544">
        <v>5780</v>
      </c>
      <c r="V24" s="175">
        <v>6362</v>
      </c>
      <c r="W24" s="175">
        <f t="shared" si="8"/>
        <v>4948</v>
      </c>
      <c r="X24" s="964">
        <f t="shared" si="21"/>
        <v>0.83199999999999996</v>
      </c>
      <c r="Y24" s="1536">
        <f t="shared" si="9"/>
        <v>0.38891842397979409</v>
      </c>
      <c r="Z24" s="111">
        <f t="shared" si="10"/>
        <v>0.44308157602020587</v>
      </c>
      <c r="AA24" s="1536">
        <f t="shared" si="11"/>
        <v>0</v>
      </c>
      <c r="AB24" s="111">
        <f t="shared" si="12"/>
        <v>0.21409412955465257</v>
      </c>
      <c r="AC24" s="111">
        <f t="shared" si="22"/>
        <v>0.83199999999999996</v>
      </c>
      <c r="AD24" s="111">
        <f t="shared" si="23"/>
        <v>0.44308157602020587</v>
      </c>
      <c r="AE24" s="111">
        <f t="shared" si="24"/>
        <v>45.048784679001486</v>
      </c>
      <c r="AF24" s="29">
        <f t="shared" si="13"/>
        <v>9.8855680235317461E-2</v>
      </c>
      <c r="AG24" s="587">
        <f t="shared" si="14"/>
        <v>1.9170815760202058</v>
      </c>
      <c r="AH24" s="964">
        <f t="shared" si="25"/>
        <v>0</v>
      </c>
      <c r="AI24" s="964">
        <v>0</v>
      </c>
      <c r="AJ24" s="964">
        <f t="shared" si="26"/>
        <v>0</v>
      </c>
      <c r="AK24" s="964">
        <f t="shared" si="27"/>
        <v>0.83199999999999996</v>
      </c>
      <c r="AL24" s="964">
        <f t="shared" si="15"/>
        <v>0.44441144279367151</v>
      </c>
      <c r="AM24" s="961">
        <f t="shared" si="16"/>
        <v>5.7134274875180573E-3</v>
      </c>
      <c r="AN24" s="964">
        <f t="shared" si="28"/>
        <v>0.38758855720632845</v>
      </c>
      <c r="AO24" s="965"/>
      <c r="AP24" s="1544">
        <v>97</v>
      </c>
      <c r="AQ24" s="175">
        <v>100</v>
      </c>
      <c r="AR24" s="175">
        <f t="shared" si="17"/>
        <v>98.5</v>
      </c>
      <c r="AS24" s="175"/>
      <c r="AT24" s="175"/>
      <c r="AU24" s="111"/>
      <c r="AV24" s="111"/>
      <c r="AW24" s="175">
        <f t="shared" si="18"/>
        <v>74.059458355549651</v>
      </c>
      <c r="AX24" s="385"/>
      <c r="AY24" s="385"/>
      <c r="AZ24" s="385"/>
      <c r="BA24" s="385"/>
      <c r="BB24" s="305"/>
      <c r="BC24" s="385"/>
      <c r="BD24" s="385"/>
    </row>
    <row r="25" spans="1:56" s="87" customFormat="1" ht="12" customHeight="1">
      <c r="A25" s="79">
        <v>1714</v>
      </c>
      <c r="B25" s="1540">
        <f t="shared" si="31"/>
        <v>78.394509566241055</v>
      </c>
      <c r="C25" s="1544">
        <v>3021</v>
      </c>
      <c r="D25" s="175">
        <v>834</v>
      </c>
      <c r="E25" s="175">
        <v>1604</v>
      </c>
      <c r="F25" s="175">
        <f t="shared" si="0"/>
        <v>583</v>
      </c>
      <c r="G25" s="1540">
        <f t="shared" si="19"/>
        <v>1417</v>
      </c>
      <c r="H25" s="1162">
        <f t="shared" si="1"/>
        <v>37.145331477732803</v>
      </c>
      <c r="I25" s="29">
        <f t="shared" si="2"/>
        <v>1.0704706477732795</v>
      </c>
      <c r="J25" s="111">
        <v>34.700000000000003</v>
      </c>
      <c r="K25" s="959">
        <v>26.1</v>
      </c>
      <c r="L25" s="959">
        <f t="shared" si="20"/>
        <v>8.6000000000000014</v>
      </c>
      <c r="M25" s="29">
        <f t="shared" si="3"/>
        <v>0.47382567584463414</v>
      </c>
      <c r="N25" s="29">
        <v>0.56559999999999999</v>
      </c>
      <c r="O25" s="111">
        <v>21.72</v>
      </c>
      <c r="P25" s="29">
        <f t="shared" si="30"/>
        <v>0.58473027796293331</v>
      </c>
      <c r="Q25" s="1558">
        <f t="shared" si="4"/>
        <v>3.8147458741872767E-2</v>
      </c>
      <c r="R25" s="961">
        <f t="shared" si="5"/>
        <v>3.1954022988505741E-2</v>
      </c>
      <c r="S25" s="961">
        <f t="shared" si="6"/>
        <v>5.2782481103017864E-2</v>
      </c>
      <c r="T25" s="1535">
        <f t="shared" si="7"/>
        <v>6.5239410681399643E-2</v>
      </c>
      <c r="U25" s="1544">
        <v>5361</v>
      </c>
      <c r="V25" s="175">
        <v>6185</v>
      </c>
      <c r="W25" s="175">
        <f t="shared" si="8"/>
        <v>4581</v>
      </c>
      <c r="X25" s="964">
        <f t="shared" si="21"/>
        <v>0.78</v>
      </c>
      <c r="Y25" s="1536">
        <f t="shared" si="9"/>
        <v>0.39197254783120528</v>
      </c>
      <c r="Z25" s="111">
        <f t="shared" si="10"/>
        <v>0.38802745216879475</v>
      </c>
      <c r="AA25" s="1536">
        <f t="shared" si="11"/>
        <v>0</v>
      </c>
      <c r="AB25" s="111">
        <f t="shared" si="12"/>
        <v>-1.6057059716599156</v>
      </c>
      <c r="AC25" s="111">
        <f t="shared" si="22"/>
        <v>0.78</v>
      </c>
      <c r="AD25" s="111">
        <f t="shared" si="23"/>
        <v>0.38802745216879475</v>
      </c>
      <c r="AE25" s="111">
        <f t="shared" si="24"/>
        <v>44.60570310298128</v>
      </c>
      <c r="AF25" s="29">
        <f t="shared" si="13"/>
        <v>9.5164465809237347E-2</v>
      </c>
      <c r="AG25" s="587">
        <f t="shared" si="14"/>
        <v>1.8050274521687948</v>
      </c>
      <c r="AH25" s="964">
        <f t="shared" si="25"/>
        <v>0</v>
      </c>
      <c r="AI25" s="964">
        <v>0</v>
      </c>
      <c r="AJ25" s="964">
        <f t="shared" si="26"/>
        <v>0</v>
      </c>
      <c r="AK25" s="964">
        <f t="shared" si="27"/>
        <v>0.78</v>
      </c>
      <c r="AL25" s="964">
        <f t="shared" si="15"/>
        <v>0.44790134582625896</v>
      </c>
      <c r="AM25" s="961">
        <f t="shared" si="16"/>
        <v>5.7134274875180573E-3</v>
      </c>
      <c r="AN25" s="964">
        <f t="shared" si="28"/>
        <v>0.33209865417374107</v>
      </c>
      <c r="AO25" s="965"/>
      <c r="AP25" s="1544">
        <v>103</v>
      </c>
      <c r="AQ25" s="175">
        <v>106</v>
      </c>
      <c r="AR25" s="175">
        <f t="shared" si="17"/>
        <v>104.5</v>
      </c>
      <c r="AS25" s="175"/>
      <c r="AT25" s="175"/>
      <c r="AU25" s="111"/>
      <c r="AV25" s="111"/>
      <c r="AW25" s="175">
        <f t="shared" si="18"/>
        <v>74.059458355549651</v>
      </c>
      <c r="AX25" s="385"/>
      <c r="AY25" s="385"/>
      <c r="AZ25" s="385"/>
      <c r="BA25" s="385"/>
      <c r="BB25" s="305"/>
      <c r="BC25" s="385"/>
      <c r="BD25" s="385"/>
    </row>
    <row r="26" spans="1:56" s="87" customFormat="1" ht="12" customHeight="1">
      <c r="A26" s="79">
        <v>1715</v>
      </c>
      <c r="B26" s="1540">
        <f t="shared" si="31"/>
        <v>79.005334336523291</v>
      </c>
      <c r="C26" s="1544">
        <v>3276</v>
      </c>
      <c r="D26" s="175">
        <v>1237</v>
      </c>
      <c r="E26" s="175">
        <v>1540</v>
      </c>
      <c r="F26" s="175">
        <f t="shared" si="0"/>
        <v>499</v>
      </c>
      <c r="G26" s="1540">
        <f t="shared" si="19"/>
        <v>1736</v>
      </c>
      <c r="H26" s="1162">
        <f t="shared" si="1"/>
        <v>38.751037449392719</v>
      </c>
      <c r="I26" s="29">
        <f t="shared" si="2"/>
        <v>1.0704706477732795</v>
      </c>
      <c r="J26" s="111">
        <v>36.200000000000003</v>
      </c>
      <c r="K26" s="959">
        <v>27.8</v>
      </c>
      <c r="L26" s="959">
        <f t="shared" si="20"/>
        <v>8.4000000000000021</v>
      </c>
      <c r="M26" s="29">
        <f t="shared" si="3"/>
        <v>0.49048634215422265</v>
      </c>
      <c r="N26" s="29">
        <v>0.58440000000000003</v>
      </c>
      <c r="O26" s="111">
        <v>22.44</v>
      </c>
      <c r="P26" s="29">
        <f t="shared" si="30"/>
        <v>0.57908127051580827</v>
      </c>
      <c r="Q26" s="1558">
        <f t="shared" si="4"/>
        <v>4.4798800606748797E-2</v>
      </c>
      <c r="R26" s="961">
        <f t="shared" si="5"/>
        <v>4.4496402877697842E-2</v>
      </c>
      <c r="S26" s="961">
        <f t="shared" si="6"/>
        <v>4.5566459096318013E-2</v>
      </c>
      <c r="T26" s="1535">
        <f t="shared" si="7"/>
        <v>7.7361853832442068E-2</v>
      </c>
      <c r="U26" s="1544">
        <v>5547</v>
      </c>
      <c r="V26" s="175">
        <v>6228</v>
      </c>
      <c r="W26" s="175">
        <f t="shared" si="8"/>
        <v>4688</v>
      </c>
      <c r="X26" s="964">
        <f t="shared" si="21"/>
        <v>0.85899999999999999</v>
      </c>
      <c r="Y26" s="1536">
        <f t="shared" si="9"/>
        <v>0.39502667168261646</v>
      </c>
      <c r="Z26" s="111">
        <f t="shared" si="10"/>
        <v>0.46397332831738353</v>
      </c>
      <c r="AA26" s="1536">
        <f t="shared" si="11"/>
        <v>0</v>
      </c>
      <c r="AB26" s="111">
        <f t="shared" si="12"/>
        <v>-1.2845647773279296</v>
      </c>
      <c r="AC26" s="111">
        <f t="shared" si="22"/>
        <v>0.85899999999999999</v>
      </c>
      <c r="AD26" s="111">
        <f t="shared" si="23"/>
        <v>0.46397332831738353</v>
      </c>
      <c r="AE26" s="111">
        <f t="shared" si="24"/>
        <v>44.217675650812488</v>
      </c>
      <c r="AF26" s="29">
        <f t="shared" si="13"/>
        <v>6.9193279761776832E-2</v>
      </c>
      <c r="AG26" s="587">
        <f t="shared" si="14"/>
        <v>2.1999733283173835</v>
      </c>
      <c r="AH26" s="964">
        <f t="shared" si="25"/>
        <v>0</v>
      </c>
      <c r="AI26" s="964">
        <v>0</v>
      </c>
      <c r="AJ26" s="964">
        <f t="shared" si="26"/>
        <v>0</v>
      </c>
      <c r="AK26" s="964">
        <f t="shared" si="27"/>
        <v>0.85899999999999999</v>
      </c>
      <c r="AL26" s="964">
        <f t="shared" si="15"/>
        <v>0.45139124885884635</v>
      </c>
      <c r="AM26" s="961">
        <f t="shared" si="16"/>
        <v>5.7134274875180573E-3</v>
      </c>
      <c r="AN26" s="964">
        <f t="shared" si="28"/>
        <v>0.40760875114115364</v>
      </c>
      <c r="AO26" s="965"/>
      <c r="AP26" s="1544">
        <v>104</v>
      </c>
      <c r="AQ26" s="175">
        <v>109</v>
      </c>
      <c r="AR26" s="175">
        <f t="shared" si="17"/>
        <v>106.5</v>
      </c>
      <c r="AS26" s="175"/>
      <c r="AT26" s="175"/>
      <c r="AU26" s="111"/>
      <c r="AV26" s="111"/>
      <c r="AW26" s="175">
        <f t="shared" si="18"/>
        <v>74.059458355549651</v>
      </c>
      <c r="AX26" s="385"/>
      <c r="AY26" s="385"/>
      <c r="AZ26" s="385"/>
      <c r="BA26" s="385"/>
      <c r="BB26" s="305"/>
      <c r="BC26" s="385"/>
      <c r="BD26" s="385"/>
    </row>
    <row r="27" spans="1:56" s="87" customFormat="1" ht="12" customHeight="1">
      <c r="A27" s="79">
        <v>1716</v>
      </c>
      <c r="B27" s="1540">
        <f t="shared" si="31"/>
        <v>79.616159106805526</v>
      </c>
      <c r="C27" s="1544">
        <v>3027</v>
      </c>
      <c r="D27" s="175">
        <v>856</v>
      </c>
      <c r="E27" s="175">
        <v>1689</v>
      </c>
      <c r="F27" s="175">
        <f t="shared" si="0"/>
        <v>482</v>
      </c>
      <c r="G27" s="1540">
        <f t="shared" si="19"/>
        <v>1338</v>
      </c>
      <c r="H27" s="1162">
        <f t="shared" si="1"/>
        <v>40.035602226720648</v>
      </c>
      <c r="I27" s="29">
        <f t="shared" si="2"/>
        <v>1.0704706477732795</v>
      </c>
      <c r="J27" s="111">
        <v>37.4</v>
      </c>
      <c r="K27" s="959">
        <v>29.6</v>
      </c>
      <c r="L27" s="959">
        <f t="shared" si="20"/>
        <v>7.7999999999999972</v>
      </c>
      <c r="M27" s="29">
        <f t="shared" si="3"/>
        <v>0.50285774490845081</v>
      </c>
      <c r="N27" s="29">
        <v>0.59219999999999995</v>
      </c>
      <c r="O27" s="111">
        <v>25.266666666666666</v>
      </c>
      <c r="P27" s="29">
        <f t="shared" si="30"/>
        <v>0.63110494813047002</v>
      </c>
      <c r="Q27" s="1558">
        <f t="shared" si="4"/>
        <v>3.3420254113399828E-2</v>
      </c>
      <c r="R27" s="961">
        <f t="shared" si="5"/>
        <v>2.8918918918918918E-2</v>
      </c>
      <c r="S27" s="961">
        <f t="shared" si="6"/>
        <v>4.618803874737825E-2</v>
      </c>
      <c r="T27" s="1535">
        <f t="shared" si="7"/>
        <v>5.2955145118733511E-2</v>
      </c>
      <c r="U27" s="1544">
        <v>5582</v>
      </c>
      <c r="V27" s="175">
        <v>7076</v>
      </c>
      <c r="W27" s="175">
        <f t="shared" si="8"/>
        <v>5387</v>
      </c>
      <c r="X27" s="964">
        <f t="shared" si="21"/>
        <v>0.19500000000000001</v>
      </c>
      <c r="Y27" s="1536">
        <f t="shared" si="9"/>
        <v>0.39808079553402764</v>
      </c>
      <c r="Z27" s="111">
        <f t="shared" si="10"/>
        <v>-0.20308079553402764</v>
      </c>
      <c r="AA27" s="1536">
        <f t="shared" si="11"/>
        <v>0</v>
      </c>
      <c r="AB27" s="111">
        <f t="shared" si="12"/>
        <v>-0.53523532388664563</v>
      </c>
      <c r="AC27" s="111">
        <f t="shared" si="22"/>
        <v>0.19500000000000001</v>
      </c>
      <c r="AD27" s="111">
        <f t="shared" si="23"/>
        <v>-0.20308079553402764</v>
      </c>
      <c r="AE27" s="111">
        <f t="shared" si="24"/>
        <v>43.753702322495101</v>
      </c>
      <c r="AF27" s="29">
        <f t="shared" si="13"/>
        <v>4.6700319853242363E-2</v>
      </c>
      <c r="AG27" s="587">
        <f t="shared" si="14"/>
        <v>1.1349192044659724</v>
      </c>
      <c r="AH27" s="964">
        <f t="shared" si="25"/>
        <v>0</v>
      </c>
      <c r="AI27" s="964">
        <v>0</v>
      </c>
      <c r="AJ27" s="964">
        <f t="shared" si="26"/>
        <v>0</v>
      </c>
      <c r="AK27" s="964">
        <f t="shared" si="27"/>
        <v>0.19500000000000001</v>
      </c>
      <c r="AL27" s="964">
        <f t="shared" si="15"/>
        <v>0.4548811518914338</v>
      </c>
      <c r="AM27" s="961">
        <f t="shared" si="16"/>
        <v>5.7134274875180573E-3</v>
      </c>
      <c r="AN27" s="964">
        <f t="shared" si="28"/>
        <v>-0.25988115189143379</v>
      </c>
      <c r="AO27" s="965"/>
      <c r="AP27" s="1544">
        <v>99</v>
      </c>
      <c r="AQ27" s="175">
        <v>98</v>
      </c>
      <c r="AR27" s="175">
        <f t="shared" si="17"/>
        <v>98.5</v>
      </c>
      <c r="AS27" s="175"/>
      <c r="AT27" s="175"/>
      <c r="AU27" s="111"/>
      <c r="AV27" s="111"/>
      <c r="AW27" s="175">
        <f t="shared" si="18"/>
        <v>74.059458355549651</v>
      </c>
      <c r="AX27" s="385"/>
      <c r="AY27" s="385"/>
      <c r="AZ27" s="385"/>
      <c r="BA27" s="305"/>
      <c r="BB27" s="305"/>
      <c r="BC27" s="305"/>
      <c r="BD27" s="305"/>
    </row>
    <row r="28" spans="1:56" s="87" customFormat="1" ht="12" customHeight="1">
      <c r="A28" s="79">
        <v>1717</v>
      </c>
      <c r="B28" s="1540">
        <f t="shared" si="31"/>
        <v>80.226983877087761</v>
      </c>
      <c r="C28" s="1544">
        <v>3440</v>
      </c>
      <c r="D28" s="175">
        <v>1112</v>
      </c>
      <c r="E28" s="175">
        <v>1870</v>
      </c>
      <c r="F28" s="175">
        <f t="shared" si="0"/>
        <v>458</v>
      </c>
      <c r="G28" s="1540">
        <f t="shared" si="19"/>
        <v>1570</v>
      </c>
      <c r="H28" s="1162">
        <f t="shared" si="1"/>
        <v>40.570837550607294</v>
      </c>
      <c r="I28" s="29">
        <f t="shared" si="2"/>
        <v>1.0704706477732795</v>
      </c>
      <c r="J28" s="111">
        <v>37.9</v>
      </c>
      <c r="K28" s="959">
        <v>29.5</v>
      </c>
      <c r="L28" s="959">
        <f t="shared" si="20"/>
        <v>8.3999999999999986</v>
      </c>
      <c r="M28" s="29">
        <f t="shared" si="3"/>
        <v>0.50570064571745699</v>
      </c>
      <c r="N28" s="29">
        <v>0.61409999999999998</v>
      </c>
      <c r="O28" s="111">
        <v>26.2</v>
      </c>
      <c r="P28" s="29">
        <f t="shared" si="30"/>
        <v>0.64578405529140526</v>
      </c>
      <c r="Q28" s="1558">
        <f t="shared" si="4"/>
        <v>3.8697746824713976E-2</v>
      </c>
      <c r="R28" s="961">
        <f t="shared" si="5"/>
        <v>3.7694915254237293E-2</v>
      </c>
      <c r="S28" s="961">
        <f t="shared" si="6"/>
        <v>4.1369950367926435E-2</v>
      </c>
      <c r="T28" s="1535">
        <f t="shared" si="7"/>
        <v>5.9923664122137406E-2</v>
      </c>
      <c r="U28" s="1544">
        <v>6514</v>
      </c>
      <c r="V28" s="175">
        <v>5885</v>
      </c>
      <c r="W28" s="175">
        <f t="shared" si="8"/>
        <v>4015</v>
      </c>
      <c r="X28" s="964">
        <f t="shared" si="21"/>
        <v>2.4990000000000001</v>
      </c>
      <c r="Y28" s="1536">
        <f t="shared" si="9"/>
        <v>0.40113491938543883</v>
      </c>
      <c r="Z28" s="111">
        <f t="shared" si="10"/>
        <v>2.0978650806145613</v>
      </c>
      <c r="AA28" s="1536">
        <f t="shared" si="11"/>
        <v>0</v>
      </c>
      <c r="AB28" s="111">
        <f t="shared" si="12"/>
        <v>-1.4986589068825893</v>
      </c>
      <c r="AC28" s="111">
        <f t="shared" si="22"/>
        <v>2.4990000000000001</v>
      </c>
      <c r="AD28" s="111">
        <f t="shared" si="23"/>
        <v>2.0978650806145613</v>
      </c>
      <c r="AE28" s="111">
        <f t="shared" si="24"/>
        <v>43.956783118029129</v>
      </c>
      <c r="AF28" s="29">
        <f t="shared" si="13"/>
        <v>4.2204572623710919E-2</v>
      </c>
      <c r="AG28" s="587">
        <f t="shared" si="14"/>
        <v>3.6678650806145612</v>
      </c>
      <c r="AH28" s="964">
        <f t="shared" si="25"/>
        <v>0</v>
      </c>
      <c r="AI28" s="964">
        <v>0</v>
      </c>
      <c r="AJ28" s="964">
        <f t="shared" si="26"/>
        <v>0</v>
      </c>
      <c r="AK28" s="964">
        <f t="shared" si="27"/>
        <v>2.4990000000000001</v>
      </c>
      <c r="AL28" s="964">
        <f t="shared" si="15"/>
        <v>0.45837105492402119</v>
      </c>
      <c r="AM28" s="961">
        <f t="shared" si="16"/>
        <v>5.7134274875180573E-3</v>
      </c>
      <c r="AN28" s="964">
        <f t="shared" si="28"/>
        <v>2.0406289450759791</v>
      </c>
      <c r="AO28" s="965"/>
      <c r="AP28" s="1544">
        <v>95</v>
      </c>
      <c r="AQ28" s="175">
        <v>96</v>
      </c>
      <c r="AR28" s="175">
        <f t="shared" si="17"/>
        <v>95.5</v>
      </c>
      <c r="AS28" s="175"/>
      <c r="AT28" s="175"/>
      <c r="AU28" s="111"/>
      <c r="AV28" s="111"/>
      <c r="AW28" s="175">
        <f t="shared" si="18"/>
        <v>74.059458355549651</v>
      </c>
      <c r="AX28" s="385"/>
      <c r="AY28" s="385"/>
      <c r="AZ28" s="385"/>
      <c r="BA28" s="385"/>
      <c r="BB28" s="305"/>
      <c r="BC28" s="385"/>
      <c r="BD28" s="385"/>
    </row>
    <row r="29" spans="1:56" s="87" customFormat="1" ht="12" customHeight="1">
      <c r="A29" s="79">
        <v>1718</v>
      </c>
      <c r="B29" s="1540">
        <f t="shared" si="31"/>
        <v>80.837808647369997</v>
      </c>
      <c r="C29" s="1544">
        <v>2839</v>
      </c>
      <c r="D29" s="175">
        <v>1383</v>
      </c>
      <c r="E29" s="175">
        <v>1073</v>
      </c>
      <c r="F29" s="175">
        <f t="shared" si="0"/>
        <v>383</v>
      </c>
      <c r="G29" s="1540">
        <f t="shared" si="19"/>
        <v>1766</v>
      </c>
      <c r="H29" s="1162">
        <f t="shared" si="1"/>
        <v>42.069496457489883</v>
      </c>
      <c r="I29" s="29">
        <f t="shared" si="2"/>
        <v>1.0704706477732795</v>
      </c>
      <c r="J29" s="111">
        <v>39.299999999999997</v>
      </c>
      <c r="K29" s="959">
        <v>31.7</v>
      </c>
      <c r="L29" s="959">
        <f t="shared" si="20"/>
        <v>7.5999999999999979</v>
      </c>
      <c r="M29" s="29">
        <f t="shared" si="3"/>
        <v>0.52041856603269743</v>
      </c>
      <c r="N29" s="29">
        <v>0.61080000000000001</v>
      </c>
      <c r="O29" s="111">
        <v>29.774999999999999</v>
      </c>
      <c r="P29" s="29">
        <f t="shared" si="30"/>
        <v>0.70775746104037285</v>
      </c>
      <c r="Q29" s="1558">
        <f t="shared" si="4"/>
        <v>4.1978158730387863E-2</v>
      </c>
      <c r="R29" s="961">
        <f t="shared" si="5"/>
        <v>4.3627760252365935E-2</v>
      </c>
      <c r="S29" s="961">
        <f t="shared" si="6"/>
        <v>3.693525539741703E-2</v>
      </c>
      <c r="T29" s="1535">
        <f t="shared" si="7"/>
        <v>5.9311502938706975E-2</v>
      </c>
      <c r="U29" s="1544">
        <v>6090</v>
      </c>
      <c r="V29" s="175">
        <v>6354</v>
      </c>
      <c r="W29" s="175">
        <f t="shared" si="8"/>
        <v>5281</v>
      </c>
      <c r="X29" s="964">
        <f t="shared" si="21"/>
        <v>0.80900000000000005</v>
      </c>
      <c r="Y29" s="1536">
        <f t="shared" si="9"/>
        <v>0.40418904323685001</v>
      </c>
      <c r="Z29" s="111">
        <f t="shared" si="10"/>
        <v>0.40481095676315004</v>
      </c>
      <c r="AA29" s="1536">
        <f t="shared" si="11"/>
        <v>0</v>
      </c>
      <c r="AB29" s="111">
        <f t="shared" si="12"/>
        <v>-0.42818825910931224</v>
      </c>
      <c r="AC29" s="111">
        <f t="shared" si="22"/>
        <v>0.80900000000000005</v>
      </c>
      <c r="AD29" s="111">
        <f t="shared" si="23"/>
        <v>0.40481095676315004</v>
      </c>
      <c r="AE29" s="111">
        <f t="shared" si="24"/>
        <v>41.858918037414568</v>
      </c>
      <c r="AF29" s="29">
        <f t="shared" si="13"/>
        <v>-2.6049496343214635E-3</v>
      </c>
      <c r="AG29" s="587">
        <f t="shared" si="14"/>
        <v>2.1708109567631499</v>
      </c>
      <c r="AH29" s="964">
        <f t="shared" si="25"/>
        <v>0</v>
      </c>
      <c r="AI29" s="964">
        <v>0</v>
      </c>
      <c r="AJ29" s="964">
        <f t="shared" si="26"/>
        <v>0</v>
      </c>
      <c r="AK29" s="964">
        <f t="shared" si="27"/>
        <v>0.80900000000000005</v>
      </c>
      <c r="AL29" s="964">
        <f t="shared" si="15"/>
        <v>0.46186095795660864</v>
      </c>
      <c r="AM29" s="961">
        <f t="shared" si="16"/>
        <v>5.7134274875180573E-3</v>
      </c>
      <c r="AN29" s="964">
        <f t="shared" si="28"/>
        <v>0.34713904204339141</v>
      </c>
      <c r="AO29" s="965"/>
      <c r="AP29" s="1544">
        <v>93</v>
      </c>
      <c r="AQ29" s="175">
        <v>91</v>
      </c>
      <c r="AR29" s="175">
        <f t="shared" si="17"/>
        <v>92</v>
      </c>
      <c r="AS29" s="175"/>
      <c r="AT29" s="175"/>
      <c r="AU29" s="111"/>
      <c r="AV29" s="111"/>
      <c r="AW29" s="175">
        <f t="shared" si="18"/>
        <v>74.059458355549651</v>
      </c>
      <c r="AX29" s="385"/>
      <c r="AY29" s="385"/>
      <c r="AZ29" s="385"/>
      <c r="BA29" s="385"/>
      <c r="BB29" s="305"/>
      <c r="BC29" s="385"/>
      <c r="BD29" s="385"/>
    </row>
    <row r="30" spans="1:56" s="87" customFormat="1" ht="12" customHeight="1">
      <c r="A30" s="79">
        <v>1719</v>
      </c>
      <c r="B30" s="1540">
        <f t="shared" si="31"/>
        <v>81.448633417652232</v>
      </c>
      <c r="C30" s="1544">
        <v>2706</v>
      </c>
      <c r="D30" s="175">
        <v>1465</v>
      </c>
      <c r="E30" s="175">
        <v>1003</v>
      </c>
      <c r="F30" s="175">
        <f t="shared" si="0"/>
        <v>238</v>
      </c>
      <c r="G30" s="1540">
        <f t="shared" si="19"/>
        <v>1703</v>
      </c>
      <c r="H30" s="1162">
        <f t="shared" si="1"/>
        <v>42.497684716599196</v>
      </c>
      <c r="I30" s="29">
        <f t="shared" si="2"/>
        <v>1.0704706477732795</v>
      </c>
      <c r="J30" s="111">
        <v>39.700000000000003</v>
      </c>
      <c r="K30" s="959">
        <v>34.1</v>
      </c>
      <c r="L30" s="959">
        <f t="shared" si="20"/>
        <v>5.6000000000000014</v>
      </c>
      <c r="M30" s="29">
        <f t="shared" si="3"/>
        <v>0.52177283931431484</v>
      </c>
      <c r="N30" s="29">
        <v>0.64</v>
      </c>
      <c r="O30" s="111">
        <v>31.2</v>
      </c>
      <c r="P30" s="29">
        <f t="shared" si="30"/>
        <v>0.73415764195298794</v>
      </c>
      <c r="Q30" s="1558">
        <f t="shared" si="4"/>
        <v>4.0072771289933924E-2</v>
      </c>
      <c r="R30" s="961">
        <f t="shared" si="5"/>
        <v>4.2961876832844574E-2</v>
      </c>
      <c r="S30" s="961">
        <f t="shared" si="6"/>
        <v>2.8341144974109334E-2</v>
      </c>
      <c r="T30" s="1535">
        <f t="shared" si="7"/>
        <v>5.4583333333333338E-2</v>
      </c>
      <c r="U30" s="1544">
        <v>6026</v>
      </c>
      <c r="V30" s="175">
        <v>6152</v>
      </c>
      <c r="W30" s="175">
        <f t="shared" si="8"/>
        <v>5149</v>
      </c>
      <c r="X30" s="964">
        <f t="shared" si="21"/>
        <v>0.877</v>
      </c>
      <c r="Y30" s="1536">
        <f t="shared" si="9"/>
        <v>0.40724316708826119</v>
      </c>
      <c r="Z30" s="111">
        <f t="shared" si="10"/>
        <v>0.46975683291173881</v>
      </c>
      <c r="AA30" s="1536">
        <f t="shared" si="11"/>
        <v>0</v>
      </c>
      <c r="AB30" s="111">
        <f t="shared" si="12"/>
        <v>-2.0338942307692349</v>
      </c>
      <c r="AC30" s="111">
        <f t="shared" si="22"/>
        <v>0.877</v>
      </c>
      <c r="AD30" s="111">
        <f t="shared" si="23"/>
        <v>0.46975683291173881</v>
      </c>
      <c r="AE30" s="111">
        <f t="shared" si="24"/>
        <v>41.454107080651418</v>
      </c>
      <c r="AF30" s="29">
        <f t="shared" si="13"/>
        <v>-1.2812708969547967E-2</v>
      </c>
      <c r="AG30" s="587">
        <f t="shared" si="14"/>
        <v>2.1727568329117388</v>
      </c>
      <c r="AH30" s="964">
        <f t="shared" si="25"/>
        <v>0</v>
      </c>
      <c r="AI30" s="964">
        <v>0</v>
      </c>
      <c r="AJ30" s="964">
        <f t="shared" si="26"/>
        <v>0</v>
      </c>
      <c r="AK30" s="964">
        <f t="shared" si="27"/>
        <v>0.877</v>
      </c>
      <c r="AL30" s="964">
        <f t="shared" si="15"/>
        <v>0.46535086098919609</v>
      </c>
      <c r="AM30" s="961">
        <f t="shared" si="16"/>
        <v>5.7134274875180573E-3</v>
      </c>
      <c r="AN30" s="964">
        <f t="shared" si="28"/>
        <v>0.41164913901080391</v>
      </c>
      <c r="AO30" s="965"/>
      <c r="AP30" s="1544">
        <v>97</v>
      </c>
      <c r="AQ30" s="177">
        <v>92</v>
      </c>
      <c r="AR30" s="175">
        <f t="shared" si="17"/>
        <v>94.5</v>
      </c>
      <c r="AS30" s="175"/>
      <c r="AT30" s="175"/>
      <c r="AU30" s="111"/>
      <c r="AV30" s="111"/>
      <c r="AW30" s="175">
        <f t="shared" si="18"/>
        <v>74.059458355549651</v>
      </c>
      <c r="AX30" s="385"/>
      <c r="AY30" s="385"/>
      <c r="AZ30" s="385"/>
      <c r="BA30" s="385"/>
      <c r="BB30" s="305"/>
      <c r="BC30" s="385"/>
      <c r="BD30" s="385"/>
    </row>
    <row r="31" spans="1:56" s="87" customFormat="1" ht="12" customHeight="1">
      <c r="A31" s="79">
        <v>1720</v>
      </c>
      <c r="B31" s="1540">
        <f>TableUK2!B12*1000</f>
        <v>82.059458187934467</v>
      </c>
      <c r="C31" s="1544">
        <v>2769</v>
      </c>
      <c r="D31" s="175">
        <v>1716</v>
      </c>
      <c r="E31" s="175">
        <v>943</v>
      </c>
      <c r="F31" s="175">
        <f t="shared" si="0"/>
        <v>110</v>
      </c>
      <c r="G31" s="1540">
        <f t="shared" si="19"/>
        <v>1826</v>
      </c>
      <c r="H31" s="1162">
        <f t="shared" si="1"/>
        <v>44.53157894736843</v>
      </c>
      <c r="I31" s="29">
        <f t="shared" si="2"/>
        <v>1.0704706477732795</v>
      </c>
      <c r="J31" s="111">
        <v>41.6</v>
      </c>
      <c r="K31" s="959">
        <v>37.200000000000003</v>
      </c>
      <c r="L31" s="959">
        <f t="shared" si="20"/>
        <v>4.3999999999999986</v>
      </c>
      <c r="M31" s="29">
        <f t="shared" si="3"/>
        <v>0.54267454271244608</v>
      </c>
      <c r="N31" s="29">
        <v>0.83079999999999998</v>
      </c>
      <c r="O31" s="111">
        <v>32.4</v>
      </c>
      <c r="P31" s="29">
        <f t="shared" si="30"/>
        <v>0.72757357286372748</v>
      </c>
      <c r="Q31" s="1558">
        <f t="shared" si="4"/>
        <v>4.1004609384233531E-2</v>
      </c>
      <c r="R31" s="961">
        <f t="shared" si="5"/>
        <v>4.6129032258064515E-2</v>
      </c>
      <c r="S31" s="961">
        <f t="shared" si="6"/>
        <v>1.5003589375448659E-2</v>
      </c>
      <c r="T31" s="1535">
        <f t="shared" si="7"/>
        <v>5.6358024691358026E-2</v>
      </c>
      <c r="U31" s="1544">
        <v>6323</v>
      </c>
      <c r="V31" s="175">
        <v>6002</v>
      </c>
      <c r="W31" s="175">
        <f t="shared" si="8"/>
        <v>5059</v>
      </c>
      <c r="X31" s="964">
        <f t="shared" si="21"/>
        <v>1.264</v>
      </c>
      <c r="Y31" s="1536">
        <f t="shared" si="9"/>
        <v>0.41029729093967232</v>
      </c>
      <c r="Z31" s="111">
        <f t="shared" si="10"/>
        <v>0.85370270906032775</v>
      </c>
      <c r="AA31" s="1536">
        <f t="shared" si="11"/>
        <v>14.127538741448992</v>
      </c>
      <c r="AB31" s="111">
        <f t="shared" si="12"/>
        <v>-13.273836032388665</v>
      </c>
      <c r="AC31" s="111">
        <f t="shared" si="22"/>
        <v>-12.863538741448993</v>
      </c>
      <c r="AD31" s="111">
        <f t="shared" si="23"/>
        <v>-13.273836032388665</v>
      </c>
      <c r="AE31" s="111">
        <f t="shared" si="24"/>
        <v>40.984350247739677</v>
      </c>
      <c r="AF31" s="29">
        <f t="shared" si="13"/>
        <v>-4.3227542296279953E-2</v>
      </c>
      <c r="AG31" s="587">
        <f t="shared" si="14"/>
        <v>-11.447836032388665</v>
      </c>
      <c r="AH31" s="964">
        <f t="shared" si="25"/>
        <v>0</v>
      </c>
      <c r="AI31" s="964">
        <v>0</v>
      </c>
      <c r="AJ31" s="964">
        <f t="shared" si="26"/>
        <v>0</v>
      </c>
      <c r="AK31" s="964">
        <f t="shared" si="27"/>
        <v>-12.863538741448993</v>
      </c>
      <c r="AL31" s="964">
        <f t="shared" si="15"/>
        <v>0.46884076402178348</v>
      </c>
      <c r="AM31" s="961">
        <f t="shared" si="16"/>
        <v>5.7134274875180573E-3</v>
      </c>
      <c r="AN31" s="964">
        <f t="shared" si="28"/>
        <v>-13.332379505470776</v>
      </c>
      <c r="AO31" s="965"/>
      <c r="AP31" s="1544">
        <v>102</v>
      </c>
      <c r="AQ31" s="177">
        <v>91</v>
      </c>
      <c r="AR31" s="175">
        <f t="shared" si="17"/>
        <v>96.5</v>
      </c>
      <c r="AS31" s="175"/>
      <c r="AT31" s="175"/>
      <c r="AU31" s="111"/>
      <c r="AV31" s="111"/>
      <c r="AW31" s="175">
        <f t="shared" si="18"/>
        <v>74.059458355549651</v>
      </c>
      <c r="AX31" s="385"/>
      <c r="AY31" s="385"/>
      <c r="AZ31" s="385"/>
      <c r="BA31" s="385"/>
      <c r="BB31" s="305"/>
      <c r="BC31" s="385"/>
      <c r="BD31" s="385"/>
    </row>
    <row r="32" spans="1:56" s="87" customFormat="1" ht="12" customHeight="1">
      <c r="A32" s="79">
        <v>1721</v>
      </c>
      <c r="B32" s="1540">
        <f>B31+(B$41-B$31)/10</f>
        <v>82.719407507727794</v>
      </c>
      <c r="C32" s="1544">
        <v>3314</v>
      </c>
      <c r="D32" s="175">
        <v>2857</v>
      </c>
      <c r="E32" s="175">
        <v>362</v>
      </c>
      <c r="F32" s="175">
        <f t="shared" si="0"/>
        <v>95</v>
      </c>
      <c r="G32" s="1540">
        <f t="shared" si="19"/>
        <v>2952</v>
      </c>
      <c r="H32" s="1162">
        <f t="shared" si="1"/>
        <v>57.805414979757096</v>
      </c>
      <c r="I32" s="29">
        <f t="shared" si="2"/>
        <v>1.0704706477732795</v>
      </c>
      <c r="J32" s="111">
        <v>54</v>
      </c>
      <c r="K32" s="959">
        <v>49.8</v>
      </c>
      <c r="L32" s="959">
        <f t="shared" si="20"/>
        <v>4.2000000000000028</v>
      </c>
      <c r="M32" s="29">
        <f t="shared" si="3"/>
        <v>0.69881321350563119</v>
      </c>
      <c r="N32" s="29">
        <v>0.84459999999999991</v>
      </c>
      <c r="O32" s="111">
        <v>54.9</v>
      </c>
      <c r="P32" s="29">
        <f t="shared" si="30"/>
        <v>0.94973801363117027</v>
      </c>
      <c r="Q32" s="1558">
        <f t="shared" si="4"/>
        <v>5.1067880077217027E-2</v>
      </c>
      <c r="R32" s="961">
        <f t="shared" si="5"/>
        <v>5.7369477911646594E-2</v>
      </c>
      <c r="S32" s="961">
        <f t="shared" si="6"/>
        <v>1.186696757634949E-2</v>
      </c>
      <c r="T32" s="1535">
        <f t="shared" si="7"/>
        <v>5.377049180327869E-2</v>
      </c>
      <c r="U32" s="1544">
        <v>5954</v>
      </c>
      <c r="V32" s="175">
        <v>5873</v>
      </c>
      <c r="W32" s="175">
        <f t="shared" si="8"/>
        <v>5511</v>
      </c>
      <c r="X32" s="964">
        <f t="shared" si="21"/>
        <v>0.443</v>
      </c>
      <c r="Y32" s="1536">
        <f t="shared" si="9"/>
        <v>0.41359703753863897</v>
      </c>
      <c r="Z32" s="111">
        <f t="shared" si="10"/>
        <v>2.9402962461361037E-2</v>
      </c>
      <c r="AA32" s="1536">
        <f t="shared" si="11"/>
        <v>0</v>
      </c>
      <c r="AB32" s="111">
        <f t="shared" si="12"/>
        <v>-0.96342358299594366</v>
      </c>
      <c r="AC32" s="111">
        <f t="shared" si="22"/>
        <v>0.443</v>
      </c>
      <c r="AD32" s="111">
        <f t="shared" si="23"/>
        <v>2.9402962461361037E-2</v>
      </c>
      <c r="AE32" s="111">
        <f t="shared" si="24"/>
        <v>54.258186280128342</v>
      </c>
      <c r="AF32" s="29">
        <f t="shared" si="13"/>
        <v>-4.2882665706924526E-2</v>
      </c>
      <c r="AG32" s="587">
        <f t="shared" si="14"/>
        <v>2.9814029624613609</v>
      </c>
      <c r="AH32" s="964">
        <f t="shared" si="25"/>
        <v>0</v>
      </c>
      <c r="AI32" s="964">
        <v>0</v>
      </c>
      <c r="AJ32" s="964">
        <f t="shared" si="26"/>
        <v>0</v>
      </c>
      <c r="AK32" s="964">
        <f t="shared" si="27"/>
        <v>0.443</v>
      </c>
      <c r="AL32" s="964">
        <f t="shared" si="15"/>
        <v>0.47261133660585952</v>
      </c>
      <c r="AM32" s="961">
        <f t="shared" si="16"/>
        <v>5.7134274875180573E-3</v>
      </c>
      <c r="AN32" s="964">
        <f t="shared" si="28"/>
        <v>-2.9611336605859517E-2</v>
      </c>
      <c r="AO32" s="965"/>
      <c r="AP32" s="1544">
        <v>100</v>
      </c>
      <c r="AQ32" s="177">
        <v>89</v>
      </c>
      <c r="AR32" s="175">
        <f t="shared" si="17"/>
        <v>94.5</v>
      </c>
      <c r="AS32" s="175"/>
      <c r="AT32" s="175"/>
      <c r="AU32" s="111"/>
      <c r="AV32" s="111"/>
      <c r="AW32" s="175">
        <f t="shared" si="18"/>
        <v>74.059458355549651</v>
      </c>
      <c r="AX32" s="385"/>
      <c r="AY32" s="385"/>
      <c r="AZ32" s="385"/>
      <c r="BA32" s="385"/>
      <c r="BB32" s="305"/>
      <c r="BC32" s="385"/>
      <c r="BD32" s="385"/>
    </row>
    <row r="33" spans="1:56" s="87" customFormat="1" ht="12" customHeight="1">
      <c r="A33" s="79">
        <v>1722</v>
      </c>
      <c r="B33" s="1540">
        <f t="shared" ref="B33:B40" si="32">B32+(B$41-B$31)/10</f>
        <v>83.379356827521121</v>
      </c>
      <c r="C33" s="1544">
        <v>3012</v>
      </c>
      <c r="D33" s="175">
        <v>2544</v>
      </c>
      <c r="E33" s="175">
        <v>212</v>
      </c>
      <c r="F33" s="175">
        <f t="shared" si="0"/>
        <v>256</v>
      </c>
      <c r="G33" s="1540">
        <f t="shared" si="19"/>
        <v>2800</v>
      </c>
      <c r="H33" s="1162">
        <f t="shared" si="1"/>
        <v>58.768838562753039</v>
      </c>
      <c r="I33" s="29">
        <f t="shared" si="2"/>
        <v>1.0704706477732795</v>
      </c>
      <c r="J33" s="111">
        <v>54.9</v>
      </c>
      <c r="K33" s="959">
        <v>50.3</v>
      </c>
      <c r="L33" s="959">
        <f t="shared" si="20"/>
        <v>4.6000000000000014</v>
      </c>
      <c r="M33" s="29">
        <f t="shared" si="3"/>
        <v>0.70483679412786193</v>
      </c>
      <c r="N33" s="29">
        <v>0.79849999999999999</v>
      </c>
      <c r="O33" s="111">
        <v>52.7</v>
      </c>
      <c r="P33" s="29">
        <f t="shared" si="30"/>
        <v>0.89673373319650063</v>
      </c>
      <c r="Q33" s="1558">
        <f t="shared" si="4"/>
        <v>4.7644297019927923E-2</v>
      </c>
      <c r="R33" s="961">
        <f t="shared" si="5"/>
        <v>5.0576540755467199E-2</v>
      </c>
      <c r="S33" s="961">
        <f t="shared" si="6"/>
        <v>3.0228466170782665E-2</v>
      </c>
      <c r="T33" s="1535">
        <f t="shared" si="7"/>
        <v>5.313092979127134E-2</v>
      </c>
      <c r="U33" s="1544">
        <v>6150</v>
      </c>
      <c r="V33" s="175">
        <v>6978</v>
      </c>
      <c r="W33" s="175">
        <f t="shared" si="8"/>
        <v>6766</v>
      </c>
      <c r="X33" s="964">
        <f t="shared" si="21"/>
        <v>-0.61599999999999999</v>
      </c>
      <c r="Y33" s="1536">
        <f t="shared" si="9"/>
        <v>0.41689678413760561</v>
      </c>
      <c r="Z33" s="111">
        <f t="shared" si="10"/>
        <v>-1.0328967841376056</v>
      </c>
      <c r="AA33" s="1536">
        <f t="shared" si="11"/>
        <v>0</v>
      </c>
      <c r="AB33" s="111">
        <f t="shared" si="12"/>
        <v>2.3550354251012067</v>
      </c>
      <c r="AC33" s="111">
        <f t="shared" si="22"/>
        <v>-0.61599999999999999</v>
      </c>
      <c r="AD33" s="111">
        <f t="shared" si="23"/>
        <v>-1.0328967841376056</v>
      </c>
      <c r="AE33" s="111">
        <f t="shared" si="24"/>
        <v>54.228783317666981</v>
      </c>
      <c r="AF33" s="29">
        <f t="shared" si="13"/>
        <v>-5.445059086360711E-2</v>
      </c>
      <c r="AG33" s="587">
        <f t="shared" si="14"/>
        <v>1.7671032158623943</v>
      </c>
      <c r="AH33" s="964">
        <f t="shared" si="25"/>
        <v>0</v>
      </c>
      <c r="AI33" s="964">
        <v>0</v>
      </c>
      <c r="AJ33" s="964">
        <f t="shared" si="26"/>
        <v>0</v>
      </c>
      <c r="AK33" s="964">
        <f t="shared" si="27"/>
        <v>-0.61599999999999999</v>
      </c>
      <c r="AL33" s="964">
        <f t="shared" si="15"/>
        <v>0.47638190918993556</v>
      </c>
      <c r="AM33" s="961">
        <f t="shared" si="16"/>
        <v>5.7134274875180573E-3</v>
      </c>
      <c r="AN33" s="964">
        <f t="shared" si="28"/>
        <v>-1.0923819091899356</v>
      </c>
      <c r="AO33" s="965"/>
      <c r="AP33" s="1544">
        <v>92</v>
      </c>
      <c r="AQ33" s="177">
        <v>91</v>
      </c>
      <c r="AR33" s="175">
        <f t="shared" si="17"/>
        <v>91.5</v>
      </c>
      <c r="AS33" s="175"/>
      <c r="AT33" s="175"/>
      <c r="AU33" s="111"/>
      <c r="AV33" s="111"/>
      <c r="AW33" s="175">
        <f t="shared" si="18"/>
        <v>74.059458355549651</v>
      </c>
      <c r="AX33" s="385"/>
      <c r="AY33" s="385"/>
      <c r="AZ33" s="385"/>
      <c r="BA33" s="385"/>
      <c r="BB33" s="305"/>
      <c r="BC33" s="385"/>
      <c r="BD33" s="385"/>
    </row>
    <row r="34" spans="1:56" s="87" customFormat="1" ht="12" customHeight="1">
      <c r="A34" s="79">
        <v>1723</v>
      </c>
      <c r="B34" s="1540">
        <f t="shared" si="32"/>
        <v>84.039306147314448</v>
      </c>
      <c r="C34" s="1544">
        <v>2919</v>
      </c>
      <c r="D34" s="175">
        <v>2523</v>
      </c>
      <c r="E34" s="175">
        <v>267</v>
      </c>
      <c r="F34" s="175">
        <f t="shared" si="0"/>
        <v>129</v>
      </c>
      <c r="G34" s="1540">
        <f t="shared" si="19"/>
        <v>2652</v>
      </c>
      <c r="H34" s="1162">
        <f t="shared" si="1"/>
        <v>56.413803137651833</v>
      </c>
      <c r="I34" s="29">
        <f t="shared" si="2"/>
        <v>1.0704706477732795</v>
      </c>
      <c r="J34" s="111">
        <v>52.7</v>
      </c>
      <c r="K34" s="959">
        <v>48.4</v>
      </c>
      <c r="L34" s="959">
        <f t="shared" si="20"/>
        <v>4.3000000000000043</v>
      </c>
      <c r="M34" s="29">
        <f t="shared" si="3"/>
        <v>0.67127878279674003</v>
      </c>
      <c r="N34" s="29">
        <v>0.81209999999999993</v>
      </c>
      <c r="O34" s="111">
        <v>53.6</v>
      </c>
      <c r="P34" s="29">
        <f t="shared" si="30"/>
        <v>0.95012208039252299</v>
      </c>
      <c r="Q34" s="1558">
        <f t="shared" si="4"/>
        <v>4.7009771589570357E-2</v>
      </c>
      <c r="R34" s="961">
        <f t="shared" si="5"/>
        <v>5.2128099173553724E-2</v>
      </c>
      <c r="S34" s="961">
        <f t="shared" si="6"/>
        <v>1.6097225971762386E-2</v>
      </c>
      <c r="T34" s="1535">
        <f t="shared" si="7"/>
        <v>4.947761194029851E-2</v>
      </c>
      <c r="U34" s="1544">
        <v>5993</v>
      </c>
      <c r="V34" s="175">
        <v>5671</v>
      </c>
      <c r="W34" s="175">
        <f t="shared" si="8"/>
        <v>5404</v>
      </c>
      <c r="X34" s="964">
        <f t="shared" si="21"/>
        <v>0.58899999999999997</v>
      </c>
      <c r="Y34" s="1536">
        <f t="shared" si="9"/>
        <v>0.42019653073657226</v>
      </c>
      <c r="Z34" s="111">
        <f t="shared" si="10"/>
        <v>0.16880346926342771</v>
      </c>
      <c r="AA34" s="1536">
        <f t="shared" si="11"/>
        <v>0</v>
      </c>
      <c r="AB34" s="111">
        <f t="shared" si="12"/>
        <v>-0.96342358299595077</v>
      </c>
      <c r="AC34" s="111">
        <f t="shared" si="22"/>
        <v>0.58899999999999997</v>
      </c>
      <c r="AD34" s="111">
        <f t="shared" si="23"/>
        <v>0.16880346926342771</v>
      </c>
      <c r="AE34" s="111">
        <f t="shared" si="24"/>
        <v>55.261680101804586</v>
      </c>
      <c r="AF34" s="29">
        <f t="shared" si="13"/>
        <v>-1.3709335412975249E-2</v>
      </c>
      <c r="AG34" s="587">
        <f t="shared" si="14"/>
        <v>2.8208034692634278</v>
      </c>
      <c r="AH34" s="964">
        <f t="shared" si="25"/>
        <v>0</v>
      </c>
      <c r="AI34" s="964">
        <v>0</v>
      </c>
      <c r="AJ34" s="964">
        <f t="shared" si="26"/>
        <v>0</v>
      </c>
      <c r="AK34" s="964">
        <f t="shared" si="27"/>
        <v>0.58899999999999997</v>
      </c>
      <c r="AL34" s="964">
        <f t="shared" si="15"/>
        <v>0.4801524817740116</v>
      </c>
      <c r="AM34" s="961">
        <f t="shared" si="16"/>
        <v>5.7134274875180573E-3</v>
      </c>
      <c r="AN34" s="964">
        <f t="shared" si="28"/>
        <v>0.10884751822598837</v>
      </c>
      <c r="AO34" s="965"/>
      <c r="AP34" s="1544">
        <v>89</v>
      </c>
      <c r="AQ34" s="175">
        <v>86</v>
      </c>
      <c r="AR34" s="175">
        <f t="shared" si="17"/>
        <v>87.5</v>
      </c>
      <c r="AS34" s="175"/>
      <c r="AT34" s="175"/>
      <c r="AU34" s="111"/>
      <c r="AV34" s="111"/>
      <c r="AW34" s="175">
        <f t="shared" si="18"/>
        <v>74.059458355549651</v>
      </c>
      <c r="AX34" s="385"/>
      <c r="AY34" s="385"/>
      <c r="AZ34" s="385"/>
      <c r="BA34" s="385"/>
      <c r="BB34" s="305"/>
      <c r="BC34" s="385"/>
      <c r="BD34" s="385"/>
    </row>
    <row r="35" spans="1:56" s="87" customFormat="1" ht="12" customHeight="1">
      <c r="A35" s="79">
        <v>1724</v>
      </c>
      <c r="B35" s="1540">
        <f t="shared" si="32"/>
        <v>84.699255467107776</v>
      </c>
      <c r="C35" s="1544">
        <v>2864</v>
      </c>
      <c r="D35" s="175">
        <v>2461</v>
      </c>
      <c r="E35" s="175">
        <v>281</v>
      </c>
      <c r="F35" s="175">
        <f t="shared" si="0"/>
        <v>122</v>
      </c>
      <c r="G35" s="1540">
        <f t="shared" si="19"/>
        <v>2583</v>
      </c>
      <c r="H35" s="1162">
        <f t="shared" si="1"/>
        <v>57.377226720647784</v>
      </c>
      <c r="I35" s="29">
        <f t="shared" si="2"/>
        <v>1.0704706477732795</v>
      </c>
      <c r="J35" s="111">
        <v>53.6</v>
      </c>
      <c r="K35" s="959">
        <v>49.1</v>
      </c>
      <c r="L35" s="959">
        <f t="shared" si="20"/>
        <v>4.5</v>
      </c>
      <c r="M35" s="29">
        <f t="shared" si="3"/>
        <v>0.67742303523470448</v>
      </c>
      <c r="N35" s="29">
        <v>0.81519999999999992</v>
      </c>
      <c r="O35" s="111">
        <v>53.8</v>
      </c>
      <c r="P35" s="29">
        <f t="shared" si="30"/>
        <v>0.93765424149786447</v>
      </c>
      <c r="Q35" s="1558">
        <f t="shared" si="4"/>
        <v>4.5017860702397473E-2</v>
      </c>
      <c r="R35" s="961">
        <f t="shared" si="5"/>
        <v>5.0122199592668018E-2</v>
      </c>
      <c r="S35" s="961">
        <f t="shared" si="6"/>
        <v>1.4739236234241048E-2</v>
      </c>
      <c r="T35" s="1535">
        <f t="shared" si="7"/>
        <v>4.8011152416356881E-2</v>
      </c>
      <c r="U35" s="1544">
        <v>5773</v>
      </c>
      <c r="V35" s="175">
        <v>5438</v>
      </c>
      <c r="W35" s="175">
        <f t="shared" si="8"/>
        <v>5157</v>
      </c>
      <c r="X35" s="964">
        <f t="shared" si="21"/>
        <v>0.61599999999999999</v>
      </c>
      <c r="Y35" s="1536">
        <f t="shared" si="9"/>
        <v>0.42349627733553891</v>
      </c>
      <c r="Z35" s="111">
        <f t="shared" si="10"/>
        <v>0.19250372266446109</v>
      </c>
      <c r="AA35" s="1536">
        <f t="shared" si="11"/>
        <v>0</v>
      </c>
      <c r="AB35" s="111">
        <f t="shared" si="12"/>
        <v>-0.21409412955465257</v>
      </c>
      <c r="AC35" s="111">
        <f t="shared" si="22"/>
        <v>0.61599999999999999</v>
      </c>
      <c r="AD35" s="111">
        <f t="shared" si="23"/>
        <v>0.19250372266446109</v>
      </c>
      <c r="AE35" s="111">
        <f t="shared" si="24"/>
        <v>55.092876632541156</v>
      </c>
      <c r="AF35" s="29">
        <f t="shared" si="13"/>
        <v>-2.6970131856634032E-2</v>
      </c>
      <c r="AG35" s="587">
        <f t="shared" si="14"/>
        <v>2.7755037226644612</v>
      </c>
      <c r="AH35" s="964">
        <f t="shared" si="25"/>
        <v>0</v>
      </c>
      <c r="AI35" s="964">
        <v>0</v>
      </c>
      <c r="AJ35" s="964">
        <f t="shared" si="26"/>
        <v>0</v>
      </c>
      <c r="AK35" s="964">
        <f t="shared" si="27"/>
        <v>0.61599999999999999</v>
      </c>
      <c r="AL35" s="964">
        <f t="shared" si="15"/>
        <v>0.48392305435808763</v>
      </c>
      <c r="AM35" s="961">
        <f t="shared" si="16"/>
        <v>5.7134274875180573E-3</v>
      </c>
      <c r="AN35" s="964">
        <f t="shared" si="28"/>
        <v>0.13207694564191236</v>
      </c>
      <c r="AO35" s="965"/>
      <c r="AP35" s="1544">
        <v>94</v>
      </c>
      <c r="AQ35" s="175">
        <v>87</v>
      </c>
      <c r="AR35" s="175">
        <f t="shared" si="17"/>
        <v>90.5</v>
      </c>
      <c r="AS35" s="175"/>
      <c r="AT35" s="175"/>
      <c r="AU35" s="111"/>
      <c r="AV35" s="111"/>
      <c r="AW35" s="175">
        <f t="shared" si="18"/>
        <v>74.059458355549651</v>
      </c>
      <c r="AX35" s="385"/>
      <c r="AY35" s="385"/>
      <c r="AZ35" s="385"/>
      <c r="BA35" s="385"/>
      <c r="BB35" s="305"/>
      <c r="BC35" s="385"/>
      <c r="BD35" s="385"/>
    </row>
    <row r="36" spans="1:56" s="87" customFormat="1" ht="12" customHeight="1">
      <c r="A36" s="79">
        <v>1725</v>
      </c>
      <c r="B36" s="1540">
        <f t="shared" si="32"/>
        <v>85.359204786901103</v>
      </c>
      <c r="C36" s="1544">
        <v>2796</v>
      </c>
      <c r="D36" s="175">
        <v>2432</v>
      </c>
      <c r="E36" s="175">
        <v>268</v>
      </c>
      <c r="F36" s="175">
        <f t="shared" si="0"/>
        <v>96</v>
      </c>
      <c r="G36" s="1540">
        <f t="shared" si="19"/>
        <v>2528</v>
      </c>
      <c r="H36" s="1162">
        <f t="shared" si="1"/>
        <v>57.591320850202436</v>
      </c>
      <c r="I36" s="29">
        <f t="shared" si="2"/>
        <v>1.0704706477732795</v>
      </c>
      <c r="J36" s="111">
        <v>53.8</v>
      </c>
      <c r="K36" s="577">
        <v>48.6</v>
      </c>
      <c r="L36" s="959">
        <f t="shared" si="20"/>
        <v>5.1999999999999957</v>
      </c>
      <c r="M36" s="29">
        <f t="shared" si="3"/>
        <v>0.6746937368263789</v>
      </c>
      <c r="N36" s="29">
        <v>0.79849999999999999</v>
      </c>
      <c r="O36" s="111">
        <v>52.7</v>
      </c>
      <c r="P36" s="29">
        <f t="shared" si="30"/>
        <v>0.91506843777858515</v>
      </c>
      <c r="Q36" s="1558">
        <f t="shared" si="4"/>
        <v>4.3895503049416758E-2</v>
      </c>
      <c r="R36" s="961">
        <f t="shared" si="5"/>
        <v>5.004115226337448E-2</v>
      </c>
      <c r="S36" s="961">
        <f t="shared" si="6"/>
        <v>1.0676962995691408E-2</v>
      </c>
      <c r="T36" s="1535">
        <f t="shared" si="7"/>
        <v>4.7969639468690699E-2</v>
      </c>
      <c r="U36" s="1544">
        <v>5960</v>
      </c>
      <c r="V36" s="175">
        <v>5516</v>
      </c>
      <c r="W36" s="175">
        <f t="shared" si="8"/>
        <v>5248</v>
      </c>
      <c r="X36" s="964">
        <f t="shared" si="21"/>
        <v>0.71199999999999997</v>
      </c>
      <c r="Y36" s="1536">
        <f t="shared" si="9"/>
        <v>0.4267960239345055</v>
      </c>
      <c r="Z36" s="111">
        <f t="shared" si="10"/>
        <v>0.28520397606549447</v>
      </c>
      <c r="AA36" s="1536">
        <f t="shared" si="11"/>
        <v>0</v>
      </c>
      <c r="AB36" s="111">
        <f t="shared" si="12"/>
        <v>1.1775177125506033</v>
      </c>
      <c r="AC36" s="111">
        <f t="shared" si="22"/>
        <v>0.71199999999999997</v>
      </c>
      <c r="AD36" s="111">
        <f t="shared" si="23"/>
        <v>0.28520397606549447</v>
      </c>
      <c r="AE36" s="111">
        <f t="shared" si="24"/>
        <v>54.900372909876694</v>
      </c>
      <c r="AF36" s="29">
        <f t="shared" si="13"/>
        <v>-3.1524988395143588E-2</v>
      </c>
      <c r="AG36" s="587">
        <f t="shared" si="14"/>
        <v>2.8132039760654943</v>
      </c>
      <c r="AH36" s="964">
        <f t="shared" si="25"/>
        <v>0</v>
      </c>
      <c r="AI36" s="964">
        <v>0</v>
      </c>
      <c r="AJ36" s="964">
        <f t="shared" si="26"/>
        <v>0</v>
      </c>
      <c r="AK36" s="964">
        <f t="shared" si="27"/>
        <v>0.71199999999999997</v>
      </c>
      <c r="AL36" s="964">
        <f t="shared" si="15"/>
        <v>0.48769362694216367</v>
      </c>
      <c r="AM36" s="961">
        <f t="shared" si="16"/>
        <v>5.7134274875180573E-3</v>
      </c>
      <c r="AN36" s="964">
        <f t="shared" si="28"/>
        <v>0.22430637305783629</v>
      </c>
      <c r="AO36" s="965"/>
      <c r="AP36" s="1544">
        <v>97</v>
      </c>
      <c r="AQ36" s="175">
        <v>87</v>
      </c>
      <c r="AR36" s="175">
        <f t="shared" si="17"/>
        <v>92</v>
      </c>
      <c r="AS36" s="175"/>
      <c r="AT36" s="175"/>
      <c r="AU36" s="111"/>
      <c r="AV36" s="111"/>
      <c r="AW36" s="175">
        <f t="shared" si="18"/>
        <v>74.059458355549651</v>
      </c>
      <c r="AX36" s="385"/>
      <c r="AY36" s="385"/>
      <c r="AZ36" s="385"/>
      <c r="BA36" s="385"/>
      <c r="BB36" s="305"/>
      <c r="BC36" s="385"/>
      <c r="BD36" s="385"/>
    </row>
    <row r="37" spans="1:56" s="87" customFormat="1" ht="12" customHeight="1">
      <c r="A37" s="79">
        <v>1726</v>
      </c>
      <c r="B37" s="1540">
        <f t="shared" si="32"/>
        <v>86.01915410669443</v>
      </c>
      <c r="C37" s="1544">
        <v>2667</v>
      </c>
      <c r="D37" s="175">
        <v>2353</v>
      </c>
      <c r="E37" s="175">
        <v>224</v>
      </c>
      <c r="F37" s="175">
        <f t="shared" si="0"/>
        <v>90</v>
      </c>
      <c r="G37" s="1540">
        <f t="shared" si="19"/>
        <v>2443</v>
      </c>
      <c r="H37" s="1162">
        <f t="shared" si="1"/>
        <v>56.413803137651833</v>
      </c>
      <c r="I37" s="29">
        <f t="shared" si="2"/>
        <v>1.0704706477732795</v>
      </c>
      <c r="J37" s="111">
        <v>52.7</v>
      </c>
      <c r="K37" s="577">
        <v>48.6</v>
      </c>
      <c r="L37" s="959">
        <f t="shared" si="20"/>
        <v>4.1000000000000014</v>
      </c>
      <c r="M37" s="29">
        <f t="shared" si="3"/>
        <v>0.65582838756678075</v>
      </c>
      <c r="N37" s="29">
        <v>0.78959999999999997</v>
      </c>
      <c r="O37" s="111">
        <v>44.453781512605048</v>
      </c>
      <c r="P37" s="29">
        <f t="shared" si="30"/>
        <v>0.78799476440430938</v>
      </c>
      <c r="Q37" s="1558">
        <f t="shared" si="4"/>
        <v>4.3305004522368164E-2</v>
      </c>
      <c r="R37" s="961">
        <f t="shared" si="5"/>
        <v>4.8415637860082308E-2</v>
      </c>
      <c r="S37" s="961">
        <f t="shared" si="6"/>
        <v>1.1518078765809091E-2</v>
      </c>
      <c r="T37" s="1535">
        <f t="shared" si="7"/>
        <v>5.4955954631379957E-2</v>
      </c>
      <c r="U37" s="1544">
        <v>5518</v>
      </c>
      <c r="V37" s="175">
        <v>5543</v>
      </c>
      <c r="W37" s="175">
        <f t="shared" si="8"/>
        <v>5319</v>
      </c>
      <c r="X37" s="964">
        <f t="shared" si="21"/>
        <v>0.19900000000000001</v>
      </c>
      <c r="Y37" s="1536">
        <f t="shared" si="9"/>
        <v>0.43009577053347214</v>
      </c>
      <c r="Z37" s="111">
        <f t="shared" si="10"/>
        <v>-0.23109577053347213</v>
      </c>
      <c r="AA37" s="1536">
        <f t="shared" si="11"/>
        <v>0</v>
      </c>
      <c r="AB37" s="111">
        <f t="shared" si="12"/>
        <v>-0.21409412955465257</v>
      </c>
      <c r="AC37" s="111">
        <f t="shared" si="22"/>
        <v>0.19900000000000001</v>
      </c>
      <c r="AD37" s="111">
        <f t="shared" si="23"/>
        <v>-0.23109577053347213</v>
      </c>
      <c r="AE37" s="111">
        <f t="shared" si="24"/>
        <v>54.615168933811198</v>
      </c>
      <c r="AF37" s="29">
        <f t="shared" si="13"/>
        <v>-2.0909694154974914E-2</v>
      </c>
      <c r="AG37" s="587">
        <f t="shared" si="14"/>
        <v>2.2119042294665281</v>
      </c>
      <c r="AH37" s="964">
        <f t="shared" si="25"/>
        <v>0</v>
      </c>
      <c r="AI37" s="964">
        <v>0</v>
      </c>
      <c r="AJ37" s="964">
        <f t="shared" si="26"/>
        <v>0</v>
      </c>
      <c r="AK37" s="964">
        <f t="shared" si="27"/>
        <v>0.19900000000000001</v>
      </c>
      <c r="AL37" s="964">
        <f t="shared" si="15"/>
        <v>0.49146419952623971</v>
      </c>
      <c r="AM37" s="961">
        <f t="shared" si="16"/>
        <v>5.7134274875180573E-3</v>
      </c>
      <c r="AN37" s="964">
        <f t="shared" si="28"/>
        <v>-0.2924641995262397</v>
      </c>
      <c r="AO37" s="965"/>
      <c r="AP37" s="1544">
        <v>102</v>
      </c>
      <c r="AQ37" s="175">
        <v>92</v>
      </c>
      <c r="AR37" s="175">
        <f t="shared" si="17"/>
        <v>97</v>
      </c>
      <c r="AS37" s="175"/>
      <c r="AT37" s="175"/>
      <c r="AU37" s="111"/>
      <c r="AV37" s="111"/>
      <c r="AW37" s="175">
        <f t="shared" si="18"/>
        <v>74.059458355549651</v>
      </c>
      <c r="AX37" s="385"/>
      <c r="AY37" s="385"/>
      <c r="AZ37" s="385"/>
      <c r="BA37" s="305"/>
      <c r="BB37" s="305"/>
      <c r="BC37" s="305"/>
      <c r="BD37" s="305"/>
    </row>
    <row r="38" spans="1:56" s="87" customFormat="1" ht="12" customHeight="1">
      <c r="A38" s="79">
        <v>1727</v>
      </c>
      <c r="B38" s="1540">
        <f t="shared" si="32"/>
        <v>86.679103426487757</v>
      </c>
      <c r="C38" s="1544">
        <v>2783</v>
      </c>
      <c r="D38" s="175">
        <v>2448</v>
      </c>
      <c r="E38" s="175">
        <v>203</v>
      </c>
      <c r="F38" s="175">
        <f t="shared" si="0"/>
        <v>132</v>
      </c>
      <c r="G38" s="1540">
        <f t="shared" si="19"/>
        <v>2580</v>
      </c>
      <c r="H38" s="1162">
        <f t="shared" si="1"/>
        <v>56.627897267206485</v>
      </c>
      <c r="I38" s="29">
        <f t="shared" si="2"/>
        <v>1.0704706477732795</v>
      </c>
      <c r="J38" s="111">
        <v>52.9</v>
      </c>
      <c r="K38" s="577">
        <v>49.1</v>
      </c>
      <c r="L38" s="959">
        <f t="shared" si="20"/>
        <v>3.7999999999999972</v>
      </c>
      <c r="M38" s="29">
        <f t="shared" si="3"/>
        <v>0.65330506464262639</v>
      </c>
      <c r="N38" s="29">
        <v>0.79099999999999993</v>
      </c>
      <c r="O38" s="111">
        <v>46.696035242290755</v>
      </c>
      <c r="P38" s="29">
        <f t="shared" si="30"/>
        <v>0.82461185203379739</v>
      </c>
      <c r="Q38" s="1558">
        <f t="shared" si="4"/>
        <v>4.5560582760576764E-2</v>
      </c>
      <c r="R38" s="961">
        <f t="shared" si="5"/>
        <v>4.9857433808553966E-2</v>
      </c>
      <c r="S38" s="961">
        <f t="shared" si="6"/>
        <v>1.75347770186805E-2</v>
      </c>
      <c r="T38" s="1535">
        <f t="shared" si="7"/>
        <v>5.525094339622641E-2</v>
      </c>
      <c r="U38" s="1544">
        <v>6103</v>
      </c>
      <c r="V38" s="175">
        <v>5860</v>
      </c>
      <c r="W38" s="175">
        <f t="shared" si="8"/>
        <v>5657</v>
      </c>
      <c r="X38" s="964">
        <f t="shared" si="21"/>
        <v>0.44600000000000001</v>
      </c>
      <c r="Y38" s="1536">
        <f t="shared" si="9"/>
        <v>0.43339551713243879</v>
      </c>
      <c r="Z38" s="111">
        <f t="shared" si="10"/>
        <v>1.2604482867561217E-2</v>
      </c>
      <c r="AA38" s="1536">
        <f t="shared" si="11"/>
        <v>0</v>
      </c>
      <c r="AB38" s="111">
        <f t="shared" si="12"/>
        <v>-0.10704706477732628</v>
      </c>
      <c r="AC38" s="111">
        <f t="shared" si="22"/>
        <v>0.44600000000000001</v>
      </c>
      <c r="AD38" s="111">
        <f t="shared" si="23"/>
        <v>1.2604482867561217E-2</v>
      </c>
      <c r="AE38" s="111">
        <f t="shared" si="24"/>
        <v>54.846264704344669</v>
      </c>
      <c r="AF38" s="29">
        <f t="shared" si="13"/>
        <v>-2.0554349231044045E-2</v>
      </c>
      <c r="AG38" s="587">
        <f t="shared" si="14"/>
        <v>2.5926044828675612</v>
      </c>
      <c r="AH38" s="964">
        <f t="shared" si="25"/>
        <v>0</v>
      </c>
      <c r="AI38" s="964">
        <v>0</v>
      </c>
      <c r="AJ38" s="964">
        <f t="shared" si="26"/>
        <v>0</v>
      </c>
      <c r="AK38" s="964">
        <f t="shared" si="27"/>
        <v>0.44600000000000001</v>
      </c>
      <c r="AL38" s="964">
        <f t="shared" si="15"/>
        <v>0.49523477211031575</v>
      </c>
      <c r="AM38" s="961">
        <f t="shared" si="16"/>
        <v>5.7134274875180573E-3</v>
      </c>
      <c r="AN38" s="964">
        <f t="shared" si="28"/>
        <v>-4.9234772110315739E-2</v>
      </c>
      <c r="AO38" s="965"/>
      <c r="AP38" s="1544">
        <v>96</v>
      </c>
      <c r="AQ38" s="175">
        <v>97</v>
      </c>
      <c r="AR38" s="175">
        <f t="shared" si="17"/>
        <v>96.5</v>
      </c>
      <c r="AS38" s="175"/>
      <c r="AT38" s="175"/>
      <c r="AU38" s="111"/>
      <c r="AV38" s="111"/>
      <c r="AW38" s="175">
        <f t="shared" si="18"/>
        <v>74.059458355549651</v>
      </c>
      <c r="AX38" s="385"/>
      <c r="AY38" s="385"/>
      <c r="AZ38" s="385"/>
      <c r="BA38" s="385"/>
      <c r="BB38" s="305"/>
      <c r="BC38" s="385"/>
      <c r="BD38" s="385"/>
    </row>
    <row r="39" spans="1:56" s="87" customFormat="1" ht="12" customHeight="1">
      <c r="A39" s="79">
        <v>1728</v>
      </c>
      <c r="B39" s="1540">
        <f t="shared" si="32"/>
        <v>87.339052746281084</v>
      </c>
      <c r="C39" s="1544">
        <v>2335</v>
      </c>
      <c r="D39" s="175">
        <v>2006</v>
      </c>
      <c r="E39" s="175">
        <v>208</v>
      </c>
      <c r="F39" s="175">
        <f t="shared" si="0"/>
        <v>121</v>
      </c>
      <c r="G39" s="1540">
        <f t="shared" si="19"/>
        <v>2127</v>
      </c>
      <c r="H39" s="1162">
        <f t="shared" si="1"/>
        <v>56.734944331983812</v>
      </c>
      <c r="I39" s="29">
        <f t="shared" si="2"/>
        <v>1.0704706477732795</v>
      </c>
      <c r="J39" s="111">
        <v>53</v>
      </c>
      <c r="K39" s="577">
        <v>48.4</v>
      </c>
      <c r="L39" s="959">
        <f t="shared" si="20"/>
        <v>4.6000000000000014</v>
      </c>
      <c r="M39" s="29">
        <f t="shared" si="3"/>
        <v>0.64959422558426594</v>
      </c>
      <c r="N39" s="29">
        <v>0.78659999999999997</v>
      </c>
      <c r="O39" s="111">
        <v>48.796296296296291</v>
      </c>
      <c r="P39" s="29">
        <f t="shared" si="30"/>
        <v>0.86007480699664351</v>
      </c>
      <c r="Q39" s="1558">
        <f t="shared" si="4"/>
        <v>3.7490122270216503E-2</v>
      </c>
      <c r="R39" s="961">
        <f t="shared" si="5"/>
        <v>4.1446280991735536E-2</v>
      </c>
      <c r="S39" s="961">
        <f t="shared" si="6"/>
        <v>1.4517193538496087E-2</v>
      </c>
      <c r="T39" s="1535">
        <f t="shared" si="7"/>
        <v>4.3589373814041744E-2</v>
      </c>
      <c r="U39" s="1544">
        <v>6741</v>
      </c>
      <c r="V39" s="175">
        <v>6504</v>
      </c>
      <c r="W39" s="175">
        <f t="shared" si="8"/>
        <v>6296</v>
      </c>
      <c r="X39" s="964">
        <f t="shared" si="21"/>
        <v>0.44500000000000001</v>
      </c>
      <c r="Y39" s="1536">
        <f t="shared" si="9"/>
        <v>0.43669526373140544</v>
      </c>
      <c r="Z39" s="111">
        <f t="shared" si="10"/>
        <v>8.3047362685945703E-3</v>
      </c>
      <c r="AA39" s="1536">
        <f t="shared" si="11"/>
        <v>0</v>
      </c>
      <c r="AB39" s="111">
        <f t="shared" si="12"/>
        <v>0.32114119433197885</v>
      </c>
      <c r="AC39" s="111">
        <f t="shared" si="22"/>
        <v>0.44500000000000001</v>
      </c>
      <c r="AD39" s="111">
        <f t="shared" si="23"/>
        <v>8.3047362685945703E-3</v>
      </c>
      <c r="AE39" s="111">
        <f t="shared" si="24"/>
        <v>54.83366022147711</v>
      </c>
      <c r="AF39" s="29">
        <f t="shared" si="13"/>
        <v>-2.1769003105974929E-2</v>
      </c>
      <c r="AG39" s="587">
        <f t="shared" si="14"/>
        <v>2.1353047362685942</v>
      </c>
      <c r="AH39" s="964">
        <f t="shared" si="25"/>
        <v>0</v>
      </c>
      <c r="AI39" s="964">
        <v>0</v>
      </c>
      <c r="AJ39" s="964">
        <f t="shared" si="26"/>
        <v>0</v>
      </c>
      <c r="AK39" s="964">
        <f t="shared" si="27"/>
        <v>0.44500000000000001</v>
      </c>
      <c r="AL39" s="964">
        <f t="shared" si="15"/>
        <v>0.49900534469439184</v>
      </c>
      <c r="AM39" s="961">
        <f t="shared" si="16"/>
        <v>5.7134274875180573E-3</v>
      </c>
      <c r="AN39" s="964">
        <f t="shared" si="28"/>
        <v>-5.4005344694391832E-2</v>
      </c>
      <c r="AO39" s="965"/>
      <c r="AP39" s="1544">
        <v>99</v>
      </c>
      <c r="AQ39" s="175">
        <v>95</v>
      </c>
      <c r="AR39" s="175">
        <f t="shared" si="17"/>
        <v>97</v>
      </c>
      <c r="AS39" s="175"/>
      <c r="AT39" s="175"/>
      <c r="AU39" s="111"/>
      <c r="AV39" s="111"/>
      <c r="AW39" s="175">
        <f t="shared" si="18"/>
        <v>74.059458355549651</v>
      </c>
      <c r="AX39" s="385"/>
      <c r="AY39" s="385"/>
      <c r="AZ39" s="385"/>
      <c r="BA39" s="385"/>
      <c r="BB39" s="305"/>
      <c r="BC39" s="385"/>
      <c r="BD39" s="385"/>
    </row>
    <row r="40" spans="1:56" s="87" customFormat="1" ht="12" customHeight="1">
      <c r="A40" s="79">
        <v>1729</v>
      </c>
      <c r="B40" s="1540">
        <f t="shared" si="32"/>
        <v>87.999002066074411</v>
      </c>
      <c r="C40" s="1544">
        <v>2284</v>
      </c>
      <c r="D40" s="175">
        <v>1998</v>
      </c>
      <c r="E40" s="175">
        <v>184</v>
      </c>
      <c r="F40" s="175">
        <f t="shared" si="0"/>
        <v>102</v>
      </c>
      <c r="G40" s="1540">
        <f t="shared" si="19"/>
        <v>2100</v>
      </c>
      <c r="H40" s="1162">
        <f t="shared" si="1"/>
        <v>56.413803137651833</v>
      </c>
      <c r="I40" s="29">
        <f t="shared" si="2"/>
        <v>1.0704706477732795</v>
      </c>
      <c r="J40" s="111">
        <v>52.7</v>
      </c>
      <c r="K40" s="577">
        <v>48.5</v>
      </c>
      <c r="L40" s="959">
        <f t="shared" si="20"/>
        <v>4.2000000000000028</v>
      </c>
      <c r="M40" s="29">
        <f t="shared" si="3"/>
        <v>0.64107321461774414</v>
      </c>
      <c r="N40" s="29">
        <v>0.77760000000000007</v>
      </c>
      <c r="O40" s="111">
        <v>47.363636363636367</v>
      </c>
      <c r="P40" s="29">
        <f t="shared" si="30"/>
        <v>0.83957531188009582</v>
      </c>
      <c r="Q40" s="1558">
        <f t="shared" si="4"/>
        <v>3.7224932254184676E-2</v>
      </c>
      <c r="R40" s="961">
        <f t="shared" si="5"/>
        <v>4.1195876288659797E-2</v>
      </c>
      <c r="S40" s="961">
        <f t="shared" si="6"/>
        <v>1.2888872546590187E-2</v>
      </c>
      <c r="T40" s="1535">
        <f t="shared" si="7"/>
        <v>4.433781190019194E-2</v>
      </c>
      <c r="U40" s="1544">
        <v>6294</v>
      </c>
      <c r="V40" s="175">
        <v>5711</v>
      </c>
      <c r="W40" s="175">
        <f t="shared" si="8"/>
        <v>5527</v>
      </c>
      <c r="X40" s="964">
        <f t="shared" si="21"/>
        <v>0.76700000000000002</v>
      </c>
      <c r="Y40" s="1536">
        <f t="shared" si="9"/>
        <v>0.43999501033037208</v>
      </c>
      <c r="Z40" s="111">
        <f t="shared" si="10"/>
        <v>0.32700498966962793</v>
      </c>
      <c r="AA40" s="1536">
        <f t="shared" si="11"/>
        <v>0</v>
      </c>
      <c r="AB40" s="111">
        <f t="shared" si="12"/>
        <v>0.64228238866397191</v>
      </c>
      <c r="AC40" s="111">
        <f t="shared" si="22"/>
        <v>0.76700000000000002</v>
      </c>
      <c r="AD40" s="111">
        <f t="shared" si="23"/>
        <v>0.32700498966962793</v>
      </c>
      <c r="AE40" s="111">
        <f t="shared" si="24"/>
        <v>54.825355485208519</v>
      </c>
      <c r="AF40" s="29">
        <f t="shared" si="13"/>
        <v>-1.805074620335605E-2</v>
      </c>
      <c r="AG40" s="587">
        <f t="shared" si="14"/>
        <v>2.4270049896696282</v>
      </c>
      <c r="AH40" s="964">
        <f t="shared" si="25"/>
        <v>0</v>
      </c>
      <c r="AI40" s="964">
        <v>0</v>
      </c>
      <c r="AJ40" s="964">
        <f t="shared" si="26"/>
        <v>0</v>
      </c>
      <c r="AK40" s="964">
        <f t="shared" si="27"/>
        <v>0.76700000000000002</v>
      </c>
      <c r="AL40" s="964">
        <f t="shared" si="15"/>
        <v>0.50277591727846782</v>
      </c>
      <c r="AM40" s="961">
        <f t="shared" si="16"/>
        <v>5.7134274875180573E-3</v>
      </c>
      <c r="AN40" s="964">
        <f t="shared" si="28"/>
        <v>0.26422408272153219</v>
      </c>
      <c r="AO40" s="965"/>
      <c r="AP40" s="1544">
        <v>104</v>
      </c>
      <c r="AQ40" s="175">
        <v>95</v>
      </c>
      <c r="AR40" s="175">
        <f t="shared" si="17"/>
        <v>99.5</v>
      </c>
      <c r="AS40" s="175"/>
      <c r="AT40" s="175"/>
      <c r="AU40" s="111"/>
      <c r="AV40" s="111"/>
      <c r="AW40" s="175">
        <f t="shared" si="18"/>
        <v>74.059458355549651</v>
      </c>
      <c r="AX40" s="385"/>
      <c r="AY40" s="385"/>
      <c r="AZ40" s="385"/>
      <c r="BA40" s="385"/>
      <c r="BB40" s="305"/>
      <c r="BC40" s="385"/>
      <c r="BD40" s="385"/>
    </row>
    <row r="41" spans="1:56" s="87" customFormat="1" ht="12" customHeight="1">
      <c r="A41" s="79">
        <v>1730</v>
      </c>
      <c r="B41" s="1540">
        <f>TableUK2!B13*1000</f>
        <v>88.658951385867766</v>
      </c>
      <c r="C41" s="1544">
        <v>2280</v>
      </c>
      <c r="D41" s="175">
        <v>2001</v>
      </c>
      <c r="E41" s="175">
        <v>187</v>
      </c>
      <c r="F41" s="175">
        <f t="shared" si="0"/>
        <v>92</v>
      </c>
      <c r="G41" s="1540">
        <f t="shared" si="19"/>
        <v>2093</v>
      </c>
      <c r="H41" s="1162">
        <f t="shared" si="1"/>
        <v>55.771520748987861</v>
      </c>
      <c r="I41" s="29">
        <f t="shared" si="2"/>
        <v>1.0704706477732795</v>
      </c>
      <c r="J41" s="111">
        <v>52.1</v>
      </c>
      <c r="K41" s="577">
        <v>48.4</v>
      </c>
      <c r="L41" s="959">
        <f t="shared" si="20"/>
        <v>3.7000000000000028</v>
      </c>
      <c r="M41" s="29">
        <f t="shared" si="3"/>
        <v>0.6290568507431934</v>
      </c>
      <c r="N41" s="29">
        <v>0.75590000000000002</v>
      </c>
      <c r="O41" s="111">
        <v>49.42307692307692</v>
      </c>
      <c r="P41" s="29">
        <f t="shared" si="30"/>
        <v>0.8861705088788322</v>
      </c>
      <c r="Q41" s="1558">
        <f t="shared" si="4"/>
        <v>3.7528114204022016E-2</v>
      </c>
      <c r="R41" s="961">
        <f t="shared" si="5"/>
        <v>4.1342975206611572E-2</v>
      </c>
      <c r="S41" s="961">
        <f t="shared" si="6"/>
        <v>1.24804640904839E-2</v>
      </c>
      <c r="T41" s="1535">
        <f t="shared" si="7"/>
        <v>4.2348638132295724E-2</v>
      </c>
      <c r="U41" s="1544">
        <v>6265</v>
      </c>
      <c r="V41" s="175">
        <v>5574</v>
      </c>
      <c r="W41" s="175">
        <f t="shared" si="8"/>
        <v>5387</v>
      </c>
      <c r="X41" s="964">
        <f t="shared" si="21"/>
        <v>0.878</v>
      </c>
      <c r="Y41" s="1536">
        <f t="shared" si="9"/>
        <v>0.44329475692933884</v>
      </c>
      <c r="Z41" s="111">
        <f t="shared" si="10"/>
        <v>0.43470524307066116</v>
      </c>
      <c r="AA41" s="1536">
        <f t="shared" si="11"/>
        <v>0</v>
      </c>
      <c r="AB41" s="111">
        <f t="shared" si="12"/>
        <v>0.7493294534412982</v>
      </c>
      <c r="AC41" s="111">
        <f t="shared" si="22"/>
        <v>0.878</v>
      </c>
      <c r="AD41" s="111">
        <f t="shared" si="23"/>
        <v>0.43470524307066116</v>
      </c>
      <c r="AE41" s="111">
        <f t="shared" si="24"/>
        <v>54.498350495538894</v>
      </c>
      <c r="AF41" s="29">
        <f t="shared" si="13"/>
        <v>-1.4360312563452113E-2</v>
      </c>
      <c r="AG41" s="587">
        <f t="shared" si="14"/>
        <v>2.527705243070661</v>
      </c>
      <c r="AH41" s="964">
        <f t="shared" si="25"/>
        <v>0</v>
      </c>
      <c r="AI41" s="964">
        <v>0</v>
      </c>
      <c r="AJ41" s="964">
        <f t="shared" si="26"/>
        <v>0</v>
      </c>
      <c r="AK41" s="964">
        <f t="shared" si="27"/>
        <v>0.878</v>
      </c>
      <c r="AL41" s="964">
        <f t="shared" si="15"/>
        <v>0.50654648986254402</v>
      </c>
      <c r="AM41" s="961">
        <f t="shared" si="16"/>
        <v>5.7134274875180573E-3</v>
      </c>
      <c r="AN41" s="964">
        <f t="shared" si="28"/>
        <v>0.37145351013745598</v>
      </c>
      <c r="AO41" s="965"/>
      <c r="AP41" s="1544">
        <v>95</v>
      </c>
      <c r="AQ41" s="175">
        <v>98</v>
      </c>
      <c r="AR41" s="175">
        <f t="shared" si="17"/>
        <v>96.5</v>
      </c>
      <c r="AS41" s="175"/>
      <c r="AT41" s="175"/>
      <c r="AU41" s="111"/>
      <c r="AV41" s="111"/>
      <c r="AW41" s="175">
        <f t="shared" si="18"/>
        <v>74.059458355549651</v>
      </c>
      <c r="AX41" s="385"/>
      <c r="AY41" s="385"/>
      <c r="AZ41" s="385"/>
      <c r="BA41" s="385"/>
      <c r="BB41" s="305"/>
      <c r="BC41" s="385"/>
      <c r="BD41" s="385"/>
    </row>
    <row r="42" spans="1:56" s="87" customFormat="1" ht="12" customHeight="1">
      <c r="A42" s="79">
        <v>1731</v>
      </c>
      <c r="B42" s="1540">
        <f>B41+(B$51-B$41)/10</f>
        <v>89.371976014018387</v>
      </c>
      <c r="C42" s="1544">
        <v>2120</v>
      </c>
      <c r="D42" s="175">
        <v>1850</v>
      </c>
      <c r="E42" s="175">
        <v>186</v>
      </c>
      <c r="F42" s="175">
        <f t="shared" si="0"/>
        <v>84</v>
      </c>
      <c r="G42" s="1540">
        <f t="shared" si="19"/>
        <v>1934</v>
      </c>
      <c r="H42" s="1162">
        <f t="shared" si="1"/>
        <v>55.022191295546563</v>
      </c>
      <c r="I42" s="29">
        <f t="shared" si="2"/>
        <v>1.0704706477732795</v>
      </c>
      <c r="J42" s="111">
        <v>51.4</v>
      </c>
      <c r="K42" s="577">
        <v>47.4</v>
      </c>
      <c r="L42" s="959">
        <f t="shared" si="20"/>
        <v>4</v>
      </c>
      <c r="M42" s="29">
        <f t="shared" si="3"/>
        <v>0.61565374012672713</v>
      </c>
      <c r="N42" s="29">
        <v>0.76029999999999998</v>
      </c>
      <c r="O42" s="111">
        <v>51.188118811881196</v>
      </c>
      <c r="P42" s="29">
        <f t="shared" si="30"/>
        <v>0.93031770648553413</v>
      </c>
      <c r="Q42" s="1558">
        <f t="shared" si="4"/>
        <v>3.5149454328558087E-2</v>
      </c>
      <c r="R42" s="961">
        <f t="shared" si="5"/>
        <v>3.9029535864978905E-2</v>
      </c>
      <c r="S42" s="961">
        <f t="shared" si="6"/>
        <v>1.1020452878042944E-2</v>
      </c>
      <c r="T42" s="1535">
        <f t="shared" si="7"/>
        <v>3.7782205029013534E-2</v>
      </c>
      <c r="U42" s="1544">
        <v>6080</v>
      </c>
      <c r="V42" s="175">
        <v>5347</v>
      </c>
      <c r="W42" s="175">
        <f t="shared" si="8"/>
        <v>5161</v>
      </c>
      <c r="X42" s="964">
        <f t="shared" si="21"/>
        <v>0.91900000000000004</v>
      </c>
      <c r="Y42" s="1536">
        <f t="shared" si="9"/>
        <v>0.44685988007009192</v>
      </c>
      <c r="Z42" s="111">
        <f t="shared" si="10"/>
        <v>0.47214011992990812</v>
      </c>
      <c r="AA42" s="1536">
        <f t="shared" si="11"/>
        <v>0</v>
      </c>
      <c r="AB42" s="111">
        <f t="shared" si="12"/>
        <v>-0.32114119433199306</v>
      </c>
      <c r="AC42" s="111">
        <f t="shared" si="22"/>
        <v>0.91900000000000004</v>
      </c>
      <c r="AD42" s="111">
        <f t="shared" si="23"/>
        <v>0.47214011992990812</v>
      </c>
      <c r="AE42" s="111">
        <f t="shared" si="24"/>
        <v>54.063645252468234</v>
      </c>
      <c r="AF42" s="29">
        <f t="shared" si="13"/>
        <v>-1.0725353582066669E-2</v>
      </c>
      <c r="AG42" s="587">
        <f t="shared" si="14"/>
        <v>2.406140119929908</v>
      </c>
      <c r="AH42" s="964">
        <f t="shared" si="25"/>
        <v>0</v>
      </c>
      <c r="AI42" s="964">
        <v>0</v>
      </c>
      <c r="AJ42" s="964">
        <f t="shared" si="26"/>
        <v>0</v>
      </c>
      <c r="AK42" s="964">
        <f t="shared" si="27"/>
        <v>0.91900000000000004</v>
      </c>
      <c r="AL42" s="964">
        <f t="shared" si="15"/>
        <v>0.51062030437229711</v>
      </c>
      <c r="AM42" s="961">
        <f t="shared" si="16"/>
        <v>5.7134274875180573E-3</v>
      </c>
      <c r="AN42" s="964">
        <f t="shared" si="28"/>
        <v>0.40837969562770293</v>
      </c>
      <c r="AO42" s="965"/>
      <c r="AP42" s="1544">
        <v>88</v>
      </c>
      <c r="AQ42" s="175">
        <v>95</v>
      </c>
      <c r="AR42" s="175">
        <f t="shared" si="17"/>
        <v>91.5</v>
      </c>
      <c r="AS42" s="175"/>
      <c r="AT42" s="175"/>
      <c r="AU42" s="111"/>
      <c r="AV42" s="111"/>
      <c r="AW42" s="175">
        <f t="shared" si="18"/>
        <v>74.059458355549651</v>
      </c>
      <c r="AX42" s="385"/>
      <c r="AY42" s="385"/>
      <c r="AZ42" s="385"/>
      <c r="BA42" s="385"/>
      <c r="BB42" s="305"/>
      <c r="BC42" s="385"/>
      <c r="BD42" s="385"/>
    </row>
    <row r="43" spans="1:56" s="87" customFormat="1" ht="12" customHeight="1">
      <c r="A43" s="79">
        <v>1732</v>
      </c>
      <c r="B43" s="1540">
        <f t="shared" ref="B43:B50" si="33">B42+(B$51-B$41)/10</f>
        <v>90.085000642169007</v>
      </c>
      <c r="C43" s="1544">
        <v>2217</v>
      </c>
      <c r="D43" s="175">
        <v>1959</v>
      </c>
      <c r="E43" s="175">
        <v>182</v>
      </c>
      <c r="F43" s="175">
        <f t="shared" si="0"/>
        <v>76</v>
      </c>
      <c r="G43" s="1540">
        <f t="shared" si="19"/>
        <v>2035</v>
      </c>
      <c r="H43" s="1162">
        <f t="shared" si="1"/>
        <v>55.343332489878556</v>
      </c>
      <c r="I43" s="29">
        <f t="shared" si="2"/>
        <v>1.0704706477732795</v>
      </c>
      <c r="J43" s="111">
        <v>51.7</v>
      </c>
      <c r="K43" s="577">
        <v>47.9</v>
      </c>
      <c r="L43" s="959">
        <f t="shared" si="20"/>
        <v>3.8000000000000043</v>
      </c>
      <c r="M43" s="29">
        <f t="shared" si="3"/>
        <v>0.61434569679041784</v>
      </c>
      <c r="N43" s="29">
        <v>0.73680000000000012</v>
      </c>
      <c r="O43" s="111">
        <v>48.640776699029125</v>
      </c>
      <c r="P43" s="29">
        <f t="shared" si="30"/>
        <v>0.87889135891707959</v>
      </c>
      <c r="Q43" s="1558">
        <f t="shared" ref="Q43:Q74" si="34">(C43-E43)/H43/1000</f>
        <v>3.6770463729703488E-2</v>
      </c>
      <c r="R43" s="961">
        <f t="shared" ref="R43:R74" si="35">(D43/1000)/K43</f>
        <v>4.0897703549060548E-2</v>
      </c>
      <c r="S43" s="961">
        <f t="shared" ref="S43:S74" si="36">F43/(H43-K43)/1000</f>
        <v>1.021048033301546E-2</v>
      </c>
      <c r="T43" s="1535">
        <f t="shared" ref="T43:T74" si="37">(G43/1000)/O43</f>
        <v>4.1837325349301402E-2</v>
      </c>
      <c r="U43" s="1544">
        <v>5803</v>
      </c>
      <c r="V43" s="175">
        <v>4974</v>
      </c>
      <c r="W43" s="175">
        <f t="shared" si="8"/>
        <v>4792</v>
      </c>
      <c r="X43" s="964">
        <f t="shared" si="21"/>
        <v>1.0109999999999999</v>
      </c>
      <c r="Y43" s="1536">
        <f t="shared" ref="Y43:Y74" si="38">0.005*B43</f>
        <v>0.45042500321084505</v>
      </c>
      <c r="Z43" s="111">
        <f t="shared" si="10"/>
        <v>0.5605749967891549</v>
      </c>
      <c r="AA43" s="1536">
        <f t="shared" si="11"/>
        <v>0</v>
      </c>
      <c r="AB43" s="111">
        <f t="shared" si="12"/>
        <v>1.712753036437249</v>
      </c>
      <c r="AC43" s="111">
        <f t="shared" si="22"/>
        <v>1.0109999999999999</v>
      </c>
      <c r="AD43" s="111">
        <f t="shared" si="23"/>
        <v>0.5605749967891549</v>
      </c>
      <c r="AE43" s="111">
        <f t="shared" si="24"/>
        <v>53.591505132538323</v>
      </c>
      <c r="AF43" s="29">
        <f t="shared" si="13"/>
        <v>-1.9446382248458328E-2</v>
      </c>
      <c r="AG43" s="587">
        <f t="shared" ref="AG43:AG74" si="39">AD43+G43/1000</f>
        <v>2.5955749967891553</v>
      </c>
      <c r="AH43" s="964">
        <f t="shared" si="25"/>
        <v>0</v>
      </c>
      <c r="AI43" s="964">
        <v>0</v>
      </c>
      <c r="AJ43" s="964">
        <f t="shared" si="26"/>
        <v>0</v>
      </c>
      <c r="AK43" s="964">
        <f t="shared" si="27"/>
        <v>1.0109999999999999</v>
      </c>
      <c r="AL43" s="964">
        <f t="shared" ref="AL43:AL74" si="40">AM43*B43</f>
        <v>0.51469411888205019</v>
      </c>
      <c r="AM43" s="961">
        <f t="shared" si="16"/>
        <v>5.7134274875180573E-3</v>
      </c>
      <c r="AN43" s="964">
        <f t="shared" si="28"/>
        <v>0.49630588111794971</v>
      </c>
      <c r="AO43" s="965"/>
      <c r="AP43" s="1544">
        <v>89</v>
      </c>
      <c r="AQ43" s="175">
        <v>90</v>
      </c>
      <c r="AR43" s="175">
        <f t="shared" si="17"/>
        <v>89.5</v>
      </c>
      <c r="AS43" s="175"/>
      <c r="AT43" s="175"/>
      <c r="AU43" s="111"/>
      <c r="AV43" s="111"/>
      <c r="AW43" s="175">
        <f t="shared" si="18"/>
        <v>74.059458355549651</v>
      </c>
      <c r="AX43" s="385"/>
      <c r="AY43" s="385"/>
      <c r="AZ43" s="385"/>
      <c r="BA43" s="385"/>
      <c r="BB43" s="305"/>
      <c r="BC43" s="385"/>
      <c r="BD43" s="385"/>
    </row>
    <row r="44" spans="1:56" s="87" customFormat="1" ht="12" customHeight="1">
      <c r="A44" s="79">
        <v>1733</v>
      </c>
      <c r="B44" s="1540">
        <f t="shared" si="33"/>
        <v>90.798025270319627</v>
      </c>
      <c r="C44" s="1544">
        <v>2143</v>
      </c>
      <c r="D44" s="175">
        <v>1888</v>
      </c>
      <c r="E44" s="175">
        <v>182</v>
      </c>
      <c r="F44" s="175">
        <f t="shared" si="0"/>
        <v>73</v>
      </c>
      <c r="G44" s="1540">
        <f t="shared" si="19"/>
        <v>1961</v>
      </c>
      <c r="H44" s="1162">
        <f t="shared" si="1"/>
        <v>53.630579453441307</v>
      </c>
      <c r="I44" s="29">
        <f t="shared" si="2"/>
        <v>1.0704706477732795</v>
      </c>
      <c r="J44" s="111">
        <v>50.1</v>
      </c>
      <c r="K44" s="577">
        <v>46.4</v>
      </c>
      <c r="L44" s="959">
        <f t="shared" si="20"/>
        <v>3.7000000000000028</v>
      </c>
      <c r="M44" s="29">
        <f t="shared" si="3"/>
        <v>0.59065799386908313</v>
      </c>
      <c r="N44" s="29">
        <v>0.73530000000000006</v>
      </c>
      <c r="O44" s="111">
        <v>47.021943573667713</v>
      </c>
      <c r="P44" s="29">
        <f t="shared" si="30"/>
        <v>0.8767748559287748</v>
      </c>
      <c r="Q44" s="1558">
        <f t="shared" si="34"/>
        <v>3.6564960139996563E-2</v>
      </c>
      <c r="R44" s="961">
        <f t="shared" si="35"/>
        <v>4.068965517241379E-2</v>
      </c>
      <c r="S44" s="961">
        <f t="shared" si="36"/>
        <v>1.0096009658708131E-2</v>
      </c>
      <c r="T44" s="1535">
        <f t="shared" si="37"/>
        <v>4.1703933333333332E-2</v>
      </c>
      <c r="U44" s="1544">
        <v>5522</v>
      </c>
      <c r="V44" s="175">
        <v>4595</v>
      </c>
      <c r="W44" s="175">
        <f t="shared" si="8"/>
        <v>4413</v>
      </c>
      <c r="X44" s="964">
        <f t="shared" si="21"/>
        <v>1.109</v>
      </c>
      <c r="Y44" s="1536">
        <f t="shared" si="38"/>
        <v>0.45399012635159813</v>
      </c>
      <c r="Z44" s="111">
        <f t="shared" si="10"/>
        <v>0.6550098736484018</v>
      </c>
      <c r="AA44" s="1536">
        <f t="shared" si="11"/>
        <v>0</v>
      </c>
      <c r="AB44" s="111">
        <f t="shared" si="12"/>
        <v>0.10704706477733339</v>
      </c>
      <c r="AC44" s="111">
        <f t="shared" si="22"/>
        <v>1.109</v>
      </c>
      <c r="AD44" s="111">
        <f t="shared" si="23"/>
        <v>0.6550098736484018</v>
      </c>
      <c r="AE44" s="111">
        <f t="shared" si="24"/>
        <v>53.030930135749166</v>
      </c>
      <c r="AF44" s="29">
        <f t="shared" si="13"/>
        <v>-6.6042110046654941E-3</v>
      </c>
      <c r="AG44" s="587">
        <f t="shared" si="39"/>
        <v>2.6160098736484017</v>
      </c>
      <c r="AH44" s="964">
        <f t="shared" si="25"/>
        <v>0</v>
      </c>
      <c r="AI44" s="964">
        <v>0</v>
      </c>
      <c r="AJ44" s="964">
        <f t="shared" si="26"/>
        <v>0</v>
      </c>
      <c r="AK44" s="964">
        <f t="shared" si="27"/>
        <v>1.109</v>
      </c>
      <c r="AL44" s="964">
        <f t="shared" si="40"/>
        <v>0.51876793339180338</v>
      </c>
      <c r="AM44" s="961">
        <f t="shared" si="16"/>
        <v>5.7134274875180573E-3</v>
      </c>
      <c r="AN44" s="964">
        <f t="shared" si="28"/>
        <v>0.5902320666081966</v>
      </c>
      <c r="AO44" s="965"/>
      <c r="AP44" s="1544">
        <v>85</v>
      </c>
      <c r="AQ44" s="175">
        <v>86</v>
      </c>
      <c r="AR44" s="175">
        <f t="shared" si="17"/>
        <v>85.5</v>
      </c>
      <c r="AS44" s="175"/>
      <c r="AT44" s="175"/>
      <c r="AU44" s="111"/>
      <c r="AV44" s="111"/>
      <c r="AW44" s="175">
        <f t="shared" si="18"/>
        <v>74.059458355549651</v>
      </c>
      <c r="AX44" s="385"/>
      <c r="AY44" s="385"/>
      <c r="AZ44" s="385"/>
      <c r="BA44" s="385"/>
      <c r="BB44" s="305"/>
      <c r="BC44" s="385"/>
      <c r="BD44" s="385"/>
    </row>
    <row r="45" spans="1:56" s="87" customFormat="1" ht="12" customHeight="1">
      <c r="A45" s="79">
        <v>1734</v>
      </c>
      <c r="B45" s="1540">
        <f t="shared" si="33"/>
        <v>91.511049898470247</v>
      </c>
      <c r="C45" s="1544">
        <v>2052</v>
      </c>
      <c r="D45" s="175">
        <v>1792</v>
      </c>
      <c r="E45" s="175">
        <v>182</v>
      </c>
      <c r="F45" s="175">
        <f t="shared" si="0"/>
        <v>78</v>
      </c>
      <c r="G45" s="1540">
        <f t="shared" si="19"/>
        <v>1870</v>
      </c>
      <c r="H45" s="1162">
        <f t="shared" si="1"/>
        <v>53.523532388663973</v>
      </c>
      <c r="I45" s="29">
        <f t="shared" si="2"/>
        <v>1.0704706477732795</v>
      </c>
      <c r="J45" s="111">
        <v>50</v>
      </c>
      <c r="K45" s="577">
        <v>46.4</v>
      </c>
      <c r="L45" s="959">
        <f t="shared" si="20"/>
        <v>3.6000000000000014</v>
      </c>
      <c r="M45" s="29">
        <f t="shared" si="3"/>
        <v>0.58488600500209875</v>
      </c>
      <c r="N45" s="29">
        <v>0.71160000000000001</v>
      </c>
      <c r="O45" s="111">
        <v>46.175548589341695</v>
      </c>
      <c r="P45" s="29">
        <f t="shared" si="30"/>
        <v>0.86271489433910109</v>
      </c>
      <c r="Q45" s="1558">
        <f t="shared" si="34"/>
        <v>3.4937903321120428E-2</v>
      </c>
      <c r="R45" s="961">
        <f t="shared" si="35"/>
        <v>3.8620689655172416E-2</v>
      </c>
      <c r="S45" s="961">
        <f t="shared" si="36"/>
        <v>1.0949623830464394E-2</v>
      </c>
      <c r="T45" s="1535">
        <f t="shared" si="37"/>
        <v>4.0497623896809234E-2</v>
      </c>
      <c r="U45" s="1544">
        <v>5448</v>
      </c>
      <c r="V45" s="175">
        <v>6360</v>
      </c>
      <c r="W45" s="175">
        <f t="shared" si="8"/>
        <v>6178</v>
      </c>
      <c r="X45" s="964">
        <f t="shared" si="21"/>
        <v>-0.73</v>
      </c>
      <c r="Y45" s="1536">
        <f t="shared" si="38"/>
        <v>0.45755524949235127</v>
      </c>
      <c r="Z45" s="111">
        <f t="shared" si="10"/>
        <v>-1.1875552494923514</v>
      </c>
      <c r="AA45" s="1536">
        <f t="shared" si="11"/>
        <v>0</v>
      </c>
      <c r="AB45" s="111">
        <f t="shared" si="12"/>
        <v>0.96342358299595077</v>
      </c>
      <c r="AC45" s="111">
        <f t="shared" si="22"/>
        <v>-0.73</v>
      </c>
      <c r="AD45" s="111">
        <f t="shared" si="23"/>
        <v>-1.1875552494923514</v>
      </c>
      <c r="AE45" s="111">
        <f t="shared" si="24"/>
        <v>52.375920262100763</v>
      </c>
      <c r="AF45" s="29">
        <f t="shared" si="13"/>
        <v>-1.254069457007065E-2</v>
      </c>
      <c r="AG45" s="587">
        <f t="shared" si="39"/>
        <v>0.68244475050764875</v>
      </c>
      <c r="AH45" s="964">
        <f t="shared" si="25"/>
        <v>0</v>
      </c>
      <c r="AI45" s="964">
        <v>0</v>
      </c>
      <c r="AJ45" s="964">
        <f t="shared" si="26"/>
        <v>0</v>
      </c>
      <c r="AK45" s="964">
        <f t="shared" si="27"/>
        <v>-0.73</v>
      </c>
      <c r="AL45" s="964">
        <f t="shared" si="40"/>
        <v>0.52284174790155646</v>
      </c>
      <c r="AM45" s="961">
        <f t="shared" si="16"/>
        <v>5.7134274875180573E-3</v>
      </c>
      <c r="AN45" s="964">
        <f t="shared" si="28"/>
        <v>-1.2528417479015563</v>
      </c>
      <c r="AO45" s="965"/>
      <c r="AP45" s="1544">
        <v>88</v>
      </c>
      <c r="AQ45" s="175">
        <v>86</v>
      </c>
      <c r="AR45" s="175">
        <f t="shared" si="17"/>
        <v>87</v>
      </c>
      <c r="AS45" s="175"/>
      <c r="AT45" s="175"/>
      <c r="AU45" s="111"/>
      <c r="AV45" s="111"/>
      <c r="AW45" s="175">
        <f t="shared" si="18"/>
        <v>74.059458355549651</v>
      </c>
      <c r="AX45" s="385"/>
      <c r="AY45" s="385"/>
      <c r="AZ45" s="385"/>
      <c r="BA45" s="385"/>
      <c r="BB45" s="305"/>
      <c r="BC45" s="385"/>
      <c r="BD45" s="385"/>
    </row>
    <row r="46" spans="1:56" s="87" customFormat="1" ht="12" customHeight="1">
      <c r="A46" s="79">
        <v>1735</v>
      </c>
      <c r="B46" s="1540">
        <f t="shared" si="33"/>
        <v>92.224074526620868</v>
      </c>
      <c r="C46" s="1544">
        <v>2174</v>
      </c>
      <c r="D46" s="175">
        <v>1863</v>
      </c>
      <c r="E46" s="175">
        <v>186</v>
      </c>
      <c r="F46" s="175">
        <f t="shared" si="0"/>
        <v>125</v>
      </c>
      <c r="G46" s="1540">
        <f t="shared" si="19"/>
        <v>1988</v>
      </c>
      <c r="H46" s="1162">
        <f t="shared" si="1"/>
        <v>52.560108805668023</v>
      </c>
      <c r="I46" s="29">
        <f t="shared" si="2"/>
        <v>1.0704706477732795</v>
      </c>
      <c r="J46" s="111">
        <v>49.1</v>
      </c>
      <c r="K46" s="577">
        <v>45.4</v>
      </c>
      <c r="L46" s="959">
        <f t="shared" si="20"/>
        <v>3.7000000000000028</v>
      </c>
      <c r="M46" s="29">
        <f t="shared" si="3"/>
        <v>0.56991744374183262</v>
      </c>
      <c r="N46" s="29">
        <v>0.71450000000000002</v>
      </c>
      <c r="O46" s="111">
        <v>51.713286713286713</v>
      </c>
      <c r="P46" s="29">
        <f t="shared" si="30"/>
        <v>0.98388850191478316</v>
      </c>
      <c r="Q46" s="1558">
        <f t="shared" si="34"/>
        <v>3.78233615792214E-2</v>
      </c>
      <c r="R46" s="961">
        <f t="shared" si="35"/>
        <v>4.1035242290748897E-2</v>
      </c>
      <c r="S46" s="961">
        <f t="shared" si="36"/>
        <v>1.745783526376702E-2</v>
      </c>
      <c r="T46" s="1535">
        <f t="shared" si="37"/>
        <v>3.8442731575388779E-2</v>
      </c>
      <c r="U46" s="1544">
        <v>5652</v>
      </c>
      <c r="V46" s="175">
        <v>5852</v>
      </c>
      <c r="W46" s="175">
        <f t="shared" si="8"/>
        <v>5666</v>
      </c>
      <c r="X46" s="964">
        <f t="shared" si="21"/>
        <v>-1.4E-2</v>
      </c>
      <c r="Y46" s="1536">
        <f t="shared" si="38"/>
        <v>0.46112037263310435</v>
      </c>
      <c r="Z46" s="111">
        <f t="shared" si="10"/>
        <v>-0.47512037263310436</v>
      </c>
      <c r="AA46" s="1536">
        <f t="shared" si="11"/>
        <v>0</v>
      </c>
      <c r="AB46" s="111">
        <f t="shared" si="12"/>
        <v>-0.21409412955465257</v>
      </c>
      <c r="AC46" s="111">
        <f t="shared" si="22"/>
        <v>-1.4E-2</v>
      </c>
      <c r="AD46" s="111">
        <f t="shared" si="23"/>
        <v>-0.47512037263310436</v>
      </c>
      <c r="AE46" s="111">
        <f t="shared" si="24"/>
        <v>53.563475511593111</v>
      </c>
      <c r="AF46" s="29">
        <f t="shared" si="13"/>
        <v>1.0879661423281214E-2</v>
      </c>
      <c r="AG46" s="587">
        <f t="shared" si="39"/>
        <v>1.5128796273668956</v>
      </c>
      <c r="AH46" s="964">
        <f t="shared" si="25"/>
        <v>0</v>
      </c>
      <c r="AI46" s="964">
        <v>0</v>
      </c>
      <c r="AJ46" s="964">
        <f t="shared" si="26"/>
        <v>0</v>
      </c>
      <c r="AK46" s="964">
        <f t="shared" si="27"/>
        <v>-1.4E-2</v>
      </c>
      <c r="AL46" s="964">
        <f t="shared" si="40"/>
        <v>0.52691556241130955</v>
      </c>
      <c r="AM46" s="961">
        <f t="shared" si="16"/>
        <v>5.7134274875180573E-3</v>
      </c>
      <c r="AN46" s="964">
        <f t="shared" si="28"/>
        <v>-0.54091556241130956</v>
      </c>
      <c r="AO46" s="965"/>
      <c r="AP46" s="1544">
        <v>89</v>
      </c>
      <c r="AQ46" s="175">
        <v>83</v>
      </c>
      <c r="AR46" s="175">
        <f t="shared" si="17"/>
        <v>86</v>
      </c>
      <c r="AS46" s="175"/>
      <c r="AT46" s="175"/>
      <c r="AU46" s="111"/>
      <c r="AV46" s="111"/>
      <c r="AW46" s="175">
        <f t="shared" si="18"/>
        <v>74.059458355549651</v>
      </c>
      <c r="AX46" s="385"/>
      <c r="AY46" s="385"/>
      <c r="AZ46" s="385"/>
      <c r="BA46" s="385"/>
      <c r="BB46" s="305"/>
      <c r="BC46" s="385"/>
      <c r="BD46" s="385"/>
    </row>
    <row r="47" spans="1:56" s="87" customFormat="1" ht="12" customHeight="1">
      <c r="A47" s="79">
        <v>1736</v>
      </c>
      <c r="B47" s="1540">
        <f t="shared" si="33"/>
        <v>92.937099154771488</v>
      </c>
      <c r="C47" s="1544">
        <v>2127</v>
      </c>
      <c r="D47" s="175">
        <v>1829</v>
      </c>
      <c r="E47" s="175">
        <v>179</v>
      </c>
      <c r="F47" s="175">
        <f t="shared" si="0"/>
        <v>119</v>
      </c>
      <c r="G47" s="1540">
        <f t="shared" si="19"/>
        <v>1948</v>
      </c>
      <c r="H47" s="1162">
        <f t="shared" si="1"/>
        <v>52.774202935222675</v>
      </c>
      <c r="I47" s="29">
        <f t="shared" si="2"/>
        <v>1.0704706477732795</v>
      </c>
      <c r="J47" s="111">
        <v>49.3</v>
      </c>
      <c r="K47" s="577">
        <v>45.4</v>
      </c>
      <c r="L47" s="959">
        <f t="shared" si="20"/>
        <v>3.8999999999999986</v>
      </c>
      <c r="M47" s="29">
        <f t="shared" si="3"/>
        <v>0.56784861390321528</v>
      </c>
      <c r="N47" s="29">
        <v>0.72030000000000005</v>
      </c>
      <c r="O47" s="111">
        <v>52.685512367491171</v>
      </c>
      <c r="P47" s="29">
        <f t="shared" si="30"/>
        <v>0.99831943330645156</v>
      </c>
      <c r="Q47" s="1558">
        <f t="shared" si="34"/>
        <v>3.6911973874642102E-2</v>
      </c>
      <c r="R47" s="961">
        <f t="shared" si="35"/>
        <v>4.0286343612334803E-2</v>
      </c>
      <c r="S47" s="961">
        <f t="shared" si="36"/>
        <v>1.613733728856305E-2</v>
      </c>
      <c r="T47" s="1535">
        <f t="shared" si="37"/>
        <v>3.6974111334674709E-2</v>
      </c>
      <c r="U47" s="1544">
        <v>5762</v>
      </c>
      <c r="V47" s="175">
        <v>5793</v>
      </c>
      <c r="W47" s="175">
        <f t="shared" si="8"/>
        <v>5614</v>
      </c>
      <c r="X47" s="964">
        <f t="shared" si="21"/>
        <v>0.14799999999999999</v>
      </c>
      <c r="Y47" s="1536">
        <f t="shared" si="38"/>
        <v>0.46468549577385743</v>
      </c>
      <c r="Z47" s="111">
        <f t="shared" si="10"/>
        <v>-0.31668549577385741</v>
      </c>
      <c r="AA47" s="1536">
        <f t="shared" si="11"/>
        <v>0</v>
      </c>
      <c r="AB47" s="111">
        <f t="shared" si="12"/>
        <v>-0.42818825910931935</v>
      </c>
      <c r="AC47" s="111">
        <f t="shared" si="22"/>
        <v>0.14799999999999999</v>
      </c>
      <c r="AD47" s="111">
        <f t="shared" si="23"/>
        <v>-0.31668549577385741</v>
      </c>
      <c r="AE47" s="111">
        <f t="shared" si="24"/>
        <v>54.038595884226218</v>
      </c>
      <c r="AF47" s="29">
        <f t="shared" si="13"/>
        <v>1.3604824773989386E-2</v>
      </c>
      <c r="AG47" s="587">
        <f t="shared" si="39"/>
        <v>1.6313145042261425</v>
      </c>
      <c r="AH47" s="964">
        <f t="shared" si="25"/>
        <v>0</v>
      </c>
      <c r="AI47" s="964">
        <v>0</v>
      </c>
      <c r="AJ47" s="964">
        <f t="shared" si="26"/>
        <v>0</v>
      </c>
      <c r="AK47" s="964">
        <f t="shared" si="27"/>
        <v>0.14799999999999999</v>
      </c>
      <c r="AL47" s="964">
        <f t="shared" si="40"/>
        <v>0.53098937692106263</v>
      </c>
      <c r="AM47" s="961">
        <f t="shared" si="16"/>
        <v>5.7134274875180573E-3</v>
      </c>
      <c r="AN47" s="964">
        <f t="shared" si="28"/>
        <v>-0.38298937692106261</v>
      </c>
      <c r="AO47" s="965"/>
      <c r="AP47" s="1544">
        <v>87</v>
      </c>
      <c r="AQ47" s="175">
        <v>82</v>
      </c>
      <c r="AR47" s="175">
        <f t="shared" si="17"/>
        <v>84.5</v>
      </c>
      <c r="AS47" s="175"/>
      <c r="AT47" s="175"/>
      <c r="AU47" s="111"/>
      <c r="AV47" s="111"/>
      <c r="AW47" s="175">
        <f t="shared" si="18"/>
        <v>74.059458355549651</v>
      </c>
      <c r="AX47" s="385"/>
      <c r="AY47" s="385"/>
      <c r="AZ47" s="385"/>
      <c r="BA47" s="385"/>
      <c r="BB47" s="305"/>
      <c r="BC47" s="385"/>
      <c r="BD47" s="385"/>
    </row>
    <row r="48" spans="1:56" s="87" customFormat="1" ht="12" customHeight="1">
      <c r="A48" s="79">
        <v>1737</v>
      </c>
      <c r="B48" s="1540">
        <f t="shared" si="33"/>
        <v>93.650123782922108</v>
      </c>
      <c r="C48" s="1544">
        <v>2105</v>
      </c>
      <c r="D48" s="175">
        <v>1808</v>
      </c>
      <c r="E48" s="175">
        <v>181</v>
      </c>
      <c r="F48" s="175">
        <f t="shared" si="0"/>
        <v>116</v>
      </c>
      <c r="G48" s="1540">
        <f t="shared" si="19"/>
        <v>1924</v>
      </c>
      <c r="H48" s="1162">
        <f t="shared" si="1"/>
        <v>53.202391194331994</v>
      </c>
      <c r="I48" s="29">
        <f t="shared" si="2"/>
        <v>1.0704706477732795</v>
      </c>
      <c r="J48" s="111">
        <v>49.7</v>
      </c>
      <c r="K48" s="577">
        <v>46</v>
      </c>
      <c r="L48" s="959">
        <f t="shared" si="20"/>
        <v>3.7000000000000028</v>
      </c>
      <c r="M48" s="29">
        <f t="shared" si="3"/>
        <v>0.56809739320423513</v>
      </c>
      <c r="N48" s="29">
        <v>0.70290000000000008</v>
      </c>
      <c r="O48" s="111">
        <v>50.874125874125873</v>
      </c>
      <c r="P48" s="29">
        <f t="shared" si="30"/>
        <v>0.95623758128273439</v>
      </c>
      <c r="Q48" s="1558">
        <f t="shared" si="34"/>
        <v>3.6163788070581619E-2</v>
      </c>
      <c r="R48" s="961">
        <f t="shared" si="35"/>
        <v>3.9304347826086959E-2</v>
      </c>
      <c r="S48" s="961">
        <f t="shared" si="36"/>
        <v>1.6105762221203364E-2</v>
      </c>
      <c r="T48" s="1535">
        <f t="shared" si="37"/>
        <v>3.7818831615120271E-2</v>
      </c>
      <c r="U48" s="1544">
        <v>6077</v>
      </c>
      <c r="V48" s="175">
        <v>5129</v>
      </c>
      <c r="W48" s="175">
        <f t="shared" si="8"/>
        <v>4948</v>
      </c>
      <c r="X48" s="964">
        <f t="shared" si="21"/>
        <v>1.129</v>
      </c>
      <c r="Y48" s="1536">
        <f t="shared" si="38"/>
        <v>0.46825061891461056</v>
      </c>
      <c r="Z48" s="111">
        <f t="shared" si="10"/>
        <v>0.6607493810853895</v>
      </c>
      <c r="AA48" s="1536">
        <f t="shared" si="11"/>
        <v>0</v>
      </c>
      <c r="AB48" s="111">
        <f t="shared" si="12"/>
        <v>1.2845647773279367</v>
      </c>
      <c r="AC48" s="111">
        <f t="shared" si="22"/>
        <v>1.129</v>
      </c>
      <c r="AD48" s="111">
        <f t="shared" si="23"/>
        <v>0.6607493810853895</v>
      </c>
      <c r="AE48" s="111">
        <f t="shared" si="24"/>
        <v>54.355281380000079</v>
      </c>
      <c r="AF48" s="29">
        <f t="shared" si="13"/>
        <v>1.2310610377199778E-2</v>
      </c>
      <c r="AG48" s="587">
        <f t="shared" si="39"/>
        <v>2.5847493810853894</v>
      </c>
      <c r="AH48" s="964">
        <f t="shared" si="25"/>
        <v>0</v>
      </c>
      <c r="AI48" s="964">
        <v>0</v>
      </c>
      <c r="AJ48" s="964">
        <f t="shared" si="26"/>
        <v>0</v>
      </c>
      <c r="AK48" s="964">
        <f t="shared" si="27"/>
        <v>1.129</v>
      </c>
      <c r="AL48" s="964">
        <f t="shared" si="40"/>
        <v>0.53506319143081571</v>
      </c>
      <c r="AM48" s="961">
        <f t="shared" si="16"/>
        <v>5.7134274875180573E-3</v>
      </c>
      <c r="AN48" s="964">
        <f t="shared" si="28"/>
        <v>0.59393680856918429</v>
      </c>
      <c r="AO48" s="965"/>
      <c r="AP48" s="1544">
        <v>93</v>
      </c>
      <c r="AQ48" s="175">
        <v>81</v>
      </c>
      <c r="AR48" s="175">
        <f t="shared" si="17"/>
        <v>87</v>
      </c>
      <c r="AS48" s="175"/>
      <c r="AT48" s="175"/>
      <c r="AU48" s="111"/>
      <c r="AV48" s="111"/>
      <c r="AW48" s="175">
        <f t="shared" si="18"/>
        <v>74.059458355549651</v>
      </c>
      <c r="AX48" s="385"/>
      <c r="AY48" s="385"/>
      <c r="AZ48" s="385"/>
      <c r="BA48" s="385"/>
      <c r="BB48" s="305"/>
      <c r="BC48" s="385"/>
      <c r="BD48" s="385"/>
    </row>
    <row r="49" spans="1:56" s="87" customFormat="1" ht="12" customHeight="1">
      <c r="A49" s="79">
        <v>1738</v>
      </c>
      <c r="B49" s="1540">
        <f t="shared" si="33"/>
        <v>94.363148411072729</v>
      </c>
      <c r="C49" s="1544">
        <v>2059</v>
      </c>
      <c r="D49" s="175">
        <v>1753</v>
      </c>
      <c r="E49" s="175">
        <v>184</v>
      </c>
      <c r="F49" s="175">
        <f t="shared" si="0"/>
        <v>122</v>
      </c>
      <c r="G49" s="1540">
        <f t="shared" si="19"/>
        <v>1875</v>
      </c>
      <c r="H49" s="1162">
        <f t="shared" si="1"/>
        <v>51.917826417004058</v>
      </c>
      <c r="I49" s="29">
        <f t="shared" si="2"/>
        <v>1.0704706477732795</v>
      </c>
      <c r="J49" s="111">
        <v>48.5</v>
      </c>
      <c r="K49" s="577">
        <v>45</v>
      </c>
      <c r="L49" s="959">
        <f t="shared" si="20"/>
        <v>3.5</v>
      </c>
      <c r="M49" s="29">
        <f t="shared" si="3"/>
        <v>0.55019175696464928</v>
      </c>
      <c r="N49" s="29">
        <v>0.67859999999999998</v>
      </c>
      <c r="O49" s="111">
        <v>46.568627450980387</v>
      </c>
      <c r="P49" s="29">
        <f t="shared" si="30"/>
        <v>0.89696797159690589</v>
      </c>
      <c r="Q49" s="1558">
        <f t="shared" si="34"/>
        <v>3.6114763066928054E-2</v>
      </c>
      <c r="R49" s="961">
        <f t="shared" si="35"/>
        <v>3.8955555555555556E-2</v>
      </c>
      <c r="S49" s="961">
        <f t="shared" si="36"/>
        <v>1.7635597172563234E-2</v>
      </c>
      <c r="T49" s="1535">
        <f t="shared" si="37"/>
        <v>4.0263157894736848E-2</v>
      </c>
      <c r="U49" s="1544">
        <v>5716</v>
      </c>
      <c r="V49" s="175">
        <v>4725</v>
      </c>
      <c r="W49" s="175">
        <f t="shared" si="8"/>
        <v>4541</v>
      </c>
      <c r="X49" s="964">
        <f t="shared" si="21"/>
        <v>1.175</v>
      </c>
      <c r="Y49" s="1536">
        <f t="shared" si="38"/>
        <v>0.47181574205536364</v>
      </c>
      <c r="Z49" s="111">
        <f t="shared" si="10"/>
        <v>0.70318425794463635</v>
      </c>
      <c r="AA49" s="1536">
        <f t="shared" si="11"/>
        <v>0</v>
      </c>
      <c r="AB49" s="111">
        <f t="shared" si="12"/>
        <v>1.0704706477732842</v>
      </c>
      <c r="AC49" s="111">
        <f t="shared" si="22"/>
        <v>1.175</v>
      </c>
      <c r="AD49" s="111">
        <f t="shared" si="23"/>
        <v>0.70318425794463635</v>
      </c>
      <c r="AE49" s="111">
        <f t="shared" si="24"/>
        <v>53.694531998914691</v>
      </c>
      <c r="AF49" s="29">
        <f t="shared" si="13"/>
        <v>1.8828383874717681E-2</v>
      </c>
      <c r="AG49" s="587">
        <f t="shared" si="39"/>
        <v>2.5781842579446366</v>
      </c>
      <c r="AH49" s="964">
        <f t="shared" si="25"/>
        <v>0</v>
      </c>
      <c r="AI49" s="964">
        <v>0</v>
      </c>
      <c r="AJ49" s="964">
        <f t="shared" si="26"/>
        <v>0</v>
      </c>
      <c r="AK49" s="964">
        <f t="shared" si="27"/>
        <v>1.175</v>
      </c>
      <c r="AL49" s="964">
        <f t="shared" si="40"/>
        <v>0.53913700594056879</v>
      </c>
      <c r="AM49" s="961">
        <f t="shared" si="16"/>
        <v>5.7134274875180573E-3</v>
      </c>
      <c r="AN49" s="964">
        <f t="shared" si="28"/>
        <v>0.63586299405943125</v>
      </c>
      <c r="AO49" s="965"/>
      <c r="AP49" s="1544">
        <v>91</v>
      </c>
      <c r="AQ49" s="175">
        <v>81</v>
      </c>
      <c r="AR49" s="175">
        <f t="shared" si="17"/>
        <v>86</v>
      </c>
      <c r="AS49" s="175"/>
      <c r="AT49" s="175"/>
      <c r="AU49" s="111"/>
      <c r="AV49" s="111"/>
      <c r="AW49" s="175">
        <f t="shared" si="18"/>
        <v>74.059458355549651</v>
      </c>
      <c r="AX49" s="385"/>
      <c r="AY49" s="385"/>
      <c r="AZ49" s="385"/>
      <c r="BA49" s="385"/>
      <c r="BB49" s="305"/>
      <c r="BC49" s="385"/>
      <c r="BD49" s="385"/>
    </row>
    <row r="50" spans="1:56" s="87" customFormat="1" ht="12" customHeight="1">
      <c r="A50" s="79">
        <v>1739</v>
      </c>
      <c r="B50" s="1540">
        <f t="shared" si="33"/>
        <v>95.076173039223349</v>
      </c>
      <c r="C50" s="1544">
        <v>2047</v>
      </c>
      <c r="D50" s="175">
        <v>1762</v>
      </c>
      <c r="E50" s="175">
        <v>181</v>
      </c>
      <c r="F50" s="175">
        <f t="shared" si="0"/>
        <v>104</v>
      </c>
      <c r="G50" s="1540">
        <f t="shared" si="19"/>
        <v>1866</v>
      </c>
      <c r="H50" s="1162">
        <f t="shared" si="1"/>
        <v>50.847355769230774</v>
      </c>
      <c r="I50" s="29">
        <f t="shared" si="2"/>
        <v>1.0704706477732795</v>
      </c>
      <c r="J50" s="111">
        <v>47.5</v>
      </c>
      <c r="K50" s="577">
        <v>44</v>
      </c>
      <c r="L50" s="959">
        <f t="shared" si="20"/>
        <v>3.5</v>
      </c>
      <c r="M50" s="29">
        <f t="shared" si="3"/>
        <v>0.53480650455139656</v>
      </c>
      <c r="N50" s="29">
        <v>0.67</v>
      </c>
      <c r="O50" s="111">
        <v>46.9</v>
      </c>
      <c r="P50" s="29">
        <f t="shared" si="30"/>
        <v>0.92236851436000467</v>
      </c>
      <c r="Q50" s="1558">
        <f t="shared" si="34"/>
        <v>3.6698073513769053E-2</v>
      </c>
      <c r="R50" s="961">
        <f t="shared" si="35"/>
        <v>4.0045454545454544E-2</v>
      </c>
      <c r="S50" s="961">
        <f t="shared" si="36"/>
        <v>1.5188344742847104E-2</v>
      </c>
      <c r="T50" s="1535">
        <f t="shared" si="37"/>
        <v>3.9786780383795316E-2</v>
      </c>
      <c r="U50" s="1544">
        <v>5820</v>
      </c>
      <c r="V50" s="175">
        <v>5210</v>
      </c>
      <c r="W50" s="175">
        <f t="shared" si="8"/>
        <v>5029</v>
      </c>
      <c r="X50" s="964">
        <f t="shared" si="21"/>
        <v>0.79100000000000004</v>
      </c>
      <c r="Y50" s="1536">
        <f t="shared" si="38"/>
        <v>0.47538086519611678</v>
      </c>
      <c r="Z50" s="111">
        <f t="shared" si="10"/>
        <v>0.31561913480388326</v>
      </c>
      <c r="AA50" s="1536">
        <f t="shared" si="11"/>
        <v>0</v>
      </c>
      <c r="AB50" s="111">
        <f t="shared" si="12"/>
        <v>0.64228238866396481</v>
      </c>
      <c r="AC50" s="111">
        <f t="shared" si="22"/>
        <v>0.79100000000000004</v>
      </c>
      <c r="AD50" s="111">
        <f t="shared" si="23"/>
        <v>0.31561913480388326</v>
      </c>
      <c r="AE50" s="111">
        <f t="shared" si="24"/>
        <v>52.991347740970056</v>
      </c>
      <c r="AF50" s="29">
        <f t="shared" si="13"/>
        <v>2.2550255265899124E-2</v>
      </c>
      <c r="AG50" s="587">
        <f t="shared" si="39"/>
        <v>2.1816191348038831</v>
      </c>
      <c r="AH50" s="964">
        <f t="shared" si="25"/>
        <v>0</v>
      </c>
      <c r="AI50" s="964">
        <v>0</v>
      </c>
      <c r="AJ50" s="964">
        <f t="shared" si="26"/>
        <v>0</v>
      </c>
      <c r="AK50" s="964">
        <f t="shared" si="27"/>
        <v>0.79100000000000004</v>
      </c>
      <c r="AL50" s="964">
        <f t="shared" si="40"/>
        <v>0.54321082045032187</v>
      </c>
      <c r="AM50" s="961">
        <f t="shared" si="16"/>
        <v>5.7134274875180573E-3</v>
      </c>
      <c r="AN50" s="964">
        <f t="shared" si="28"/>
        <v>0.24778917954967816</v>
      </c>
      <c r="AO50" s="965"/>
      <c r="AP50" s="1544">
        <v>89</v>
      </c>
      <c r="AQ50" s="175">
        <v>87</v>
      </c>
      <c r="AR50" s="175">
        <f t="shared" si="17"/>
        <v>88</v>
      </c>
      <c r="AS50" s="175"/>
      <c r="AT50" s="175"/>
      <c r="AU50" s="111"/>
      <c r="AV50" s="111"/>
      <c r="AW50" s="175">
        <f t="shared" si="18"/>
        <v>74.059458355549651</v>
      </c>
      <c r="AX50" s="385"/>
      <c r="AY50" s="385"/>
      <c r="AZ50" s="385"/>
      <c r="BA50" s="385"/>
      <c r="BB50" s="305"/>
      <c r="BC50" s="385"/>
      <c r="BD50" s="385"/>
    </row>
    <row r="51" spans="1:56" s="87" customFormat="1" ht="12" customHeight="1">
      <c r="A51" s="79">
        <v>1740</v>
      </c>
      <c r="B51" s="1540">
        <f>TableUK2!B14*1000</f>
        <v>95.789197667373955</v>
      </c>
      <c r="C51" s="1544">
        <v>2102</v>
      </c>
      <c r="D51" s="175">
        <v>1790</v>
      </c>
      <c r="E51" s="175">
        <v>185</v>
      </c>
      <c r="F51" s="175">
        <f t="shared" si="0"/>
        <v>127</v>
      </c>
      <c r="G51" s="1540">
        <f t="shared" si="19"/>
        <v>1917</v>
      </c>
      <c r="H51" s="1162">
        <f t="shared" si="1"/>
        <v>50.205073380566809</v>
      </c>
      <c r="I51" s="29">
        <f t="shared" si="2"/>
        <v>1.0704706477732795</v>
      </c>
      <c r="J51" s="111">
        <v>46.9</v>
      </c>
      <c r="K51" s="577">
        <v>43.3</v>
      </c>
      <c r="L51" s="959">
        <f t="shared" si="20"/>
        <v>3.6000000000000014</v>
      </c>
      <c r="M51" s="29">
        <f t="shared" si="3"/>
        <v>0.52412040817904026</v>
      </c>
      <c r="N51" s="29">
        <v>0.67709999999999992</v>
      </c>
      <c r="O51" s="111">
        <v>46.930693069306933</v>
      </c>
      <c r="P51" s="29">
        <f t="shared" si="30"/>
        <v>0.93477989193563638</v>
      </c>
      <c r="Q51" s="1558">
        <f t="shared" si="34"/>
        <v>3.8183392054198753E-2</v>
      </c>
      <c r="R51" s="961">
        <f t="shared" si="35"/>
        <v>4.1339491916859129E-2</v>
      </c>
      <c r="S51" s="961">
        <f t="shared" si="36"/>
        <v>1.8392273767491092E-2</v>
      </c>
      <c r="T51" s="1535">
        <f t="shared" si="37"/>
        <v>4.0847468354430379E-2</v>
      </c>
      <c r="U51" s="1544">
        <v>5745</v>
      </c>
      <c r="V51" s="175">
        <v>6161</v>
      </c>
      <c r="W51" s="175">
        <f t="shared" si="8"/>
        <v>5976</v>
      </c>
      <c r="X51" s="964">
        <f t="shared" si="21"/>
        <v>-0.23100000000000001</v>
      </c>
      <c r="Y51" s="1536">
        <f t="shared" si="38"/>
        <v>0.4789459883368698</v>
      </c>
      <c r="Z51" s="111">
        <f t="shared" si="10"/>
        <v>-0.70994598833686984</v>
      </c>
      <c r="AA51" s="1536">
        <f t="shared" si="11"/>
        <v>0</v>
      </c>
      <c r="AB51" s="111">
        <f t="shared" si="12"/>
        <v>-0.53523532388663853</v>
      </c>
      <c r="AC51" s="111">
        <f t="shared" si="22"/>
        <v>-0.23100000000000001</v>
      </c>
      <c r="AD51" s="111">
        <f t="shared" si="23"/>
        <v>-0.70994598833686984</v>
      </c>
      <c r="AE51" s="111">
        <f t="shared" si="24"/>
        <v>52.675728606166174</v>
      </c>
      <c r="AF51" s="29">
        <f t="shared" si="13"/>
        <v>2.5792628874277305E-2</v>
      </c>
      <c r="AG51" s="587">
        <f t="shared" si="39"/>
        <v>1.2070540116631303</v>
      </c>
      <c r="AH51" s="964">
        <f t="shared" si="25"/>
        <v>0</v>
      </c>
      <c r="AI51" s="964">
        <v>0</v>
      </c>
      <c r="AJ51" s="964">
        <f t="shared" si="26"/>
        <v>0</v>
      </c>
      <c r="AK51" s="964">
        <f t="shared" si="27"/>
        <v>-0.23100000000000001</v>
      </c>
      <c r="AL51" s="964">
        <f t="shared" si="40"/>
        <v>0.54728463496007496</v>
      </c>
      <c r="AM51" s="961">
        <f t="shared" si="16"/>
        <v>5.7134274875180573E-3</v>
      </c>
      <c r="AN51" s="964">
        <f t="shared" si="28"/>
        <v>-0.77828463496007494</v>
      </c>
      <c r="AO51" s="965"/>
      <c r="AP51" s="1544">
        <v>100</v>
      </c>
      <c r="AQ51" s="177">
        <v>89</v>
      </c>
      <c r="AR51" s="175">
        <f t="shared" si="17"/>
        <v>94.5</v>
      </c>
      <c r="AS51" s="175"/>
      <c r="AT51" s="175"/>
      <c r="AU51" s="111"/>
      <c r="AV51" s="111"/>
      <c r="AW51" s="175">
        <f t="shared" si="18"/>
        <v>74.059458355549651</v>
      </c>
      <c r="AX51" s="385"/>
      <c r="AY51" s="385"/>
      <c r="AZ51" s="385"/>
      <c r="BA51" s="385"/>
      <c r="BB51" s="305"/>
      <c r="BC51" s="385"/>
      <c r="BD51" s="385"/>
    </row>
    <row r="52" spans="1:56" s="87" customFormat="1" ht="12" customHeight="1">
      <c r="A52" s="79">
        <v>1741</v>
      </c>
      <c r="B52" s="1540">
        <f>B51+(B$61-B$51)/10</f>
        <v>96.559566095829254</v>
      </c>
      <c r="C52" s="1031">
        <v>2032</v>
      </c>
      <c r="D52" s="519">
        <v>1727</v>
      </c>
      <c r="E52" s="519">
        <v>177</v>
      </c>
      <c r="F52" s="175">
        <f t="shared" si="0"/>
        <v>128</v>
      </c>
      <c r="G52" s="1540">
        <f t="shared" si="19"/>
        <v>1855</v>
      </c>
      <c r="H52" s="1162">
        <f t="shared" si="1"/>
        <v>50.740308704453447</v>
      </c>
      <c r="I52" s="29">
        <f t="shared" si="2"/>
        <v>1.0704706477732795</v>
      </c>
      <c r="J52" s="111">
        <v>47.4</v>
      </c>
      <c r="K52" s="577">
        <v>43.3</v>
      </c>
      <c r="L52" s="959">
        <f t="shared" si="20"/>
        <v>4.1000000000000014</v>
      </c>
      <c r="M52" s="29">
        <f t="shared" si="3"/>
        <v>0.5254819460776875</v>
      </c>
      <c r="N52" s="29">
        <v>0.69709999999999994</v>
      </c>
      <c r="O52" s="111">
        <v>48.8</v>
      </c>
      <c r="P52" s="29">
        <f t="shared" si="30"/>
        <v>0.96176001380371678</v>
      </c>
      <c r="Q52" s="1558">
        <f t="shared" si="34"/>
        <v>3.6558705442743741E-2</v>
      </c>
      <c r="R52" s="961">
        <f t="shared" si="35"/>
        <v>3.9884526558891457E-2</v>
      </c>
      <c r="S52" s="961">
        <f t="shared" si="36"/>
        <v>1.7203587254838591E-2</v>
      </c>
      <c r="T52" s="1535">
        <f t="shared" si="37"/>
        <v>3.8012295081967212E-2</v>
      </c>
      <c r="U52" s="1544">
        <v>6244</v>
      </c>
      <c r="V52" s="175">
        <v>7388</v>
      </c>
      <c r="W52" s="175">
        <f t="shared" si="8"/>
        <v>7211</v>
      </c>
      <c r="X52" s="964">
        <f t="shared" si="21"/>
        <v>-0.96699999999999997</v>
      </c>
      <c r="Y52" s="1536">
        <f t="shared" si="38"/>
        <v>0.48279783047914626</v>
      </c>
      <c r="Z52" s="111">
        <f t="shared" si="10"/>
        <v>-1.4497978304791461</v>
      </c>
      <c r="AA52" s="1536">
        <f t="shared" si="11"/>
        <v>0</v>
      </c>
      <c r="AB52" s="111">
        <f t="shared" si="12"/>
        <v>-1.4986589068825893</v>
      </c>
      <c r="AC52" s="111">
        <f t="shared" si="22"/>
        <v>-0.96699999999999997</v>
      </c>
      <c r="AD52" s="111">
        <f t="shared" si="23"/>
        <v>-1.4497978304791461</v>
      </c>
      <c r="AE52" s="111">
        <f t="shared" si="24"/>
        <v>53.385674594503044</v>
      </c>
      <c r="AF52" s="29">
        <f t="shared" si="13"/>
        <v>2.739620730507673E-2</v>
      </c>
      <c r="AG52" s="587">
        <f t="shared" si="39"/>
        <v>0.40520216952085386</v>
      </c>
      <c r="AH52" s="964">
        <f t="shared" si="25"/>
        <v>0</v>
      </c>
      <c r="AI52" s="964">
        <v>0</v>
      </c>
      <c r="AJ52" s="964">
        <f t="shared" si="26"/>
        <v>0</v>
      </c>
      <c r="AK52" s="964">
        <f t="shared" si="27"/>
        <v>-0.96699999999999997</v>
      </c>
      <c r="AL52" s="964">
        <f t="shared" si="40"/>
        <v>0.55168607911472756</v>
      </c>
      <c r="AM52" s="961">
        <f t="shared" si="16"/>
        <v>5.7134274875180573E-3</v>
      </c>
      <c r="AN52" s="964">
        <f t="shared" si="28"/>
        <v>-1.5186860791147274</v>
      </c>
      <c r="AO52" s="965"/>
      <c r="AP52" s="1544">
        <v>108</v>
      </c>
      <c r="AQ52" s="177">
        <v>97</v>
      </c>
      <c r="AR52" s="175">
        <f t="shared" si="17"/>
        <v>102.5</v>
      </c>
      <c r="AS52" s="175"/>
      <c r="AT52" s="175"/>
      <c r="AU52" s="111"/>
      <c r="AV52" s="111"/>
      <c r="AW52" s="175">
        <f t="shared" si="18"/>
        <v>74.059458355549651</v>
      </c>
      <c r="AX52" s="385"/>
      <c r="AY52" s="385"/>
      <c r="AZ52" s="385"/>
      <c r="BA52" s="385"/>
      <c r="BB52" s="305"/>
      <c r="BC52" s="385"/>
      <c r="BD52" s="385"/>
    </row>
    <row r="53" spans="1:56" s="87" customFormat="1" ht="12" customHeight="1">
      <c r="A53" s="79">
        <v>1742</v>
      </c>
      <c r="B53" s="1540">
        <f t="shared" ref="B53:B60" si="41">B52+(B$61-B$51)/10</f>
        <v>97.329934524284553</v>
      </c>
      <c r="C53" s="1031">
        <v>2041</v>
      </c>
      <c r="D53" s="519">
        <v>1690</v>
      </c>
      <c r="E53" s="519">
        <v>182</v>
      </c>
      <c r="F53" s="175">
        <f t="shared" si="0"/>
        <v>169</v>
      </c>
      <c r="G53" s="1540">
        <f t="shared" si="19"/>
        <v>1859</v>
      </c>
      <c r="H53" s="1162">
        <f t="shared" si="1"/>
        <v>52.238967611336037</v>
      </c>
      <c r="I53" s="29">
        <f t="shared" si="2"/>
        <v>1.0704706477732795</v>
      </c>
      <c r="J53" s="111">
        <v>48.8</v>
      </c>
      <c r="K53" s="577">
        <v>43.3</v>
      </c>
      <c r="L53" s="959">
        <f t="shared" si="20"/>
        <v>5.5</v>
      </c>
      <c r="M53" s="29">
        <f t="shared" si="3"/>
        <v>0.53672046392163164</v>
      </c>
      <c r="N53" s="29">
        <v>0.72250000000000003</v>
      </c>
      <c r="O53" s="111">
        <v>51.818181818181806</v>
      </c>
      <c r="P53" s="29">
        <f t="shared" si="30"/>
        <v>0.99194498259833686</v>
      </c>
      <c r="Q53" s="1558">
        <f t="shared" si="34"/>
        <v>3.5586461314304201E-2</v>
      </c>
      <c r="R53" s="961">
        <f t="shared" si="35"/>
        <v>3.9030023094688227E-2</v>
      </c>
      <c r="S53" s="961">
        <f t="shared" si="36"/>
        <v>1.8905986389936239E-2</v>
      </c>
      <c r="T53" s="1535">
        <f t="shared" si="37"/>
        <v>3.5875438596491234E-2</v>
      </c>
      <c r="U53" s="1544">
        <v>6416</v>
      </c>
      <c r="V53" s="175">
        <v>8533</v>
      </c>
      <c r="W53" s="175">
        <f t="shared" si="8"/>
        <v>8351</v>
      </c>
      <c r="X53" s="964">
        <f t="shared" si="21"/>
        <v>-1.9350000000000001</v>
      </c>
      <c r="Y53" s="1536">
        <f t="shared" si="38"/>
        <v>0.48664967262142278</v>
      </c>
      <c r="Z53" s="111">
        <f t="shared" si="10"/>
        <v>-2.4216496726214229</v>
      </c>
      <c r="AA53" s="1536">
        <f t="shared" si="11"/>
        <v>0</v>
      </c>
      <c r="AB53" s="111">
        <f t="shared" si="12"/>
        <v>-2.6761766194331997</v>
      </c>
      <c r="AC53" s="111">
        <f t="shared" si="22"/>
        <v>-1.9350000000000001</v>
      </c>
      <c r="AD53" s="111">
        <f t="shared" si="23"/>
        <v>-2.4216496726214229</v>
      </c>
      <c r="AE53" s="111">
        <f t="shared" si="24"/>
        <v>54.835472424982193</v>
      </c>
      <c r="AF53" s="29">
        <f t="shared" si="13"/>
        <v>2.6677350871928397E-2</v>
      </c>
      <c r="AG53" s="587">
        <f t="shared" si="39"/>
        <v>-0.56264967262142296</v>
      </c>
      <c r="AH53" s="964">
        <f t="shared" si="25"/>
        <v>0</v>
      </c>
      <c r="AI53" s="964">
        <v>0</v>
      </c>
      <c r="AJ53" s="964">
        <f t="shared" si="26"/>
        <v>0</v>
      </c>
      <c r="AK53" s="964">
        <f t="shared" si="27"/>
        <v>-1.9350000000000001</v>
      </c>
      <c r="AL53" s="964">
        <f t="shared" si="40"/>
        <v>0.55608752326938016</v>
      </c>
      <c r="AM53" s="961">
        <f t="shared" si="16"/>
        <v>5.7134274875180573E-3</v>
      </c>
      <c r="AN53" s="964">
        <f t="shared" si="28"/>
        <v>-2.4910875232693801</v>
      </c>
      <c r="AO53" s="965"/>
      <c r="AP53" s="1544">
        <v>99</v>
      </c>
      <c r="AQ53" s="177">
        <v>97</v>
      </c>
      <c r="AR53" s="175">
        <f t="shared" si="17"/>
        <v>98</v>
      </c>
      <c r="AS53" s="175"/>
      <c r="AT53" s="175"/>
      <c r="AU53" s="111"/>
      <c r="AV53" s="111"/>
      <c r="AW53" s="175">
        <f t="shared" si="18"/>
        <v>74.059458355549651</v>
      </c>
      <c r="AX53" s="385"/>
      <c r="AY53" s="385"/>
      <c r="AZ53" s="385"/>
      <c r="BA53" s="385"/>
      <c r="BB53" s="305"/>
      <c r="BC53" s="385"/>
      <c r="BD53" s="385"/>
    </row>
    <row r="54" spans="1:56" s="87" customFormat="1" ht="12" customHeight="1">
      <c r="A54" s="79">
        <v>1743</v>
      </c>
      <c r="B54" s="1540">
        <f t="shared" si="41"/>
        <v>98.100302952739852</v>
      </c>
      <c r="C54" s="1031">
        <v>2117</v>
      </c>
      <c r="D54" s="519">
        <v>1725</v>
      </c>
      <c r="E54" s="519">
        <v>170</v>
      </c>
      <c r="F54" s="175">
        <f t="shared" si="0"/>
        <v>222</v>
      </c>
      <c r="G54" s="1540">
        <f t="shared" si="19"/>
        <v>1947</v>
      </c>
      <c r="H54" s="1162">
        <f t="shared" si="1"/>
        <v>54.915144230769236</v>
      </c>
      <c r="I54" s="29">
        <f t="shared" si="2"/>
        <v>1.0704706477732795</v>
      </c>
      <c r="J54" s="111">
        <v>51.3</v>
      </c>
      <c r="K54" s="577">
        <v>45</v>
      </c>
      <c r="L54" s="959">
        <f t="shared" si="20"/>
        <v>6.2999999999999972</v>
      </c>
      <c r="M54" s="29">
        <f t="shared" si="3"/>
        <v>0.55978567423206416</v>
      </c>
      <c r="N54" s="29">
        <v>0.75349999999999995</v>
      </c>
      <c r="O54" s="111">
        <v>49.537037037037024</v>
      </c>
      <c r="P54" s="29">
        <f t="shared" si="30"/>
        <v>0.90206513578236525</v>
      </c>
      <c r="Q54" s="1558">
        <f t="shared" si="34"/>
        <v>3.5454700652667787E-2</v>
      </c>
      <c r="R54" s="961">
        <f t="shared" si="35"/>
        <v>3.8333333333333337E-2</v>
      </c>
      <c r="S54" s="961">
        <f t="shared" si="36"/>
        <v>2.2389991999418126E-2</v>
      </c>
      <c r="T54" s="1535">
        <f t="shared" si="37"/>
        <v>3.9303925233644871E-2</v>
      </c>
      <c r="U54" s="1544">
        <v>6567</v>
      </c>
      <c r="V54" s="175">
        <v>8979</v>
      </c>
      <c r="W54" s="175">
        <f t="shared" si="8"/>
        <v>8809</v>
      </c>
      <c r="X54" s="964">
        <f t="shared" si="21"/>
        <v>-2.242</v>
      </c>
      <c r="Y54" s="1536">
        <f t="shared" si="38"/>
        <v>0.4905015147636993</v>
      </c>
      <c r="Z54" s="111">
        <f t="shared" si="10"/>
        <v>-2.7325015147636993</v>
      </c>
      <c r="AA54" s="1536">
        <f t="shared" si="11"/>
        <v>0</v>
      </c>
      <c r="AB54" s="111">
        <f t="shared" si="12"/>
        <v>-2.3550354251012138</v>
      </c>
      <c r="AC54" s="111">
        <f t="shared" si="22"/>
        <v>-2.242</v>
      </c>
      <c r="AD54" s="111">
        <f t="shared" si="23"/>
        <v>-2.7325015147636993</v>
      </c>
      <c r="AE54" s="111">
        <f t="shared" si="24"/>
        <v>57.257122097603613</v>
      </c>
      <c r="AF54" s="29">
        <f t="shared" si="13"/>
        <v>2.387329902500538E-2</v>
      </c>
      <c r="AG54" s="587">
        <f t="shared" si="39"/>
        <v>-0.78550151476369923</v>
      </c>
      <c r="AH54" s="964">
        <f t="shared" si="25"/>
        <v>0</v>
      </c>
      <c r="AI54" s="964">
        <v>0</v>
      </c>
      <c r="AJ54" s="964">
        <f t="shared" si="26"/>
        <v>0</v>
      </c>
      <c r="AK54" s="964">
        <f t="shared" si="27"/>
        <v>-2.242</v>
      </c>
      <c r="AL54" s="964">
        <f t="shared" si="40"/>
        <v>0.56048896742403276</v>
      </c>
      <c r="AM54" s="961">
        <f t="shared" si="16"/>
        <v>5.7134274875180573E-3</v>
      </c>
      <c r="AN54" s="964">
        <f t="shared" si="28"/>
        <v>-2.8024889674240328</v>
      </c>
      <c r="AO54" s="965"/>
      <c r="AP54" s="1544">
        <v>94</v>
      </c>
      <c r="AQ54" s="177">
        <v>91</v>
      </c>
      <c r="AR54" s="175">
        <f t="shared" si="17"/>
        <v>92.5</v>
      </c>
      <c r="AS54" s="175"/>
      <c r="AT54" s="175"/>
      <c r="AU54" s="111"/>
      <c r="AV54" s="111"/>
      <c r="AW54" s="175">
        <f t="shared" si="18"/>
        <v>74.059458355549651</v>
      </c>
      <c r="AX54" s="385"/>
      <c r="AY54" s="385"/>
      <c r="AZ54" s="385"/>
      <c r="BA54" s="385"/>
      <c r="BB54" s="305"/>
      <c r="BC54" s="385"/>
      <c r="BD54" s="385"/>
    </row>
    <row r="55" spans="1:56" s="87" customFormat="1" ht="12" customHeight="1">
      <c r="A55" s="79">
        <v>1744</v>
      </c>
      <c r="B55" s="1540">
        <f t="shared" si="41"/>
        <v>98.870671381195152</v>
      </c>
      <c r="C55" s="1031">
        <v>2178</v>
      </c>
      <c r="D55" s="519">
        <v>1824</v>
      </c>
      <c r="E55" s="519">
        <v>154</v>
      </c>
      <c r="F55" s="175">
        <f t="shared" si="0"/>
        <v>200</v>
      </c>
      <c r="G55" s="1540">
        <f t="shared" si="19"/>
        <v>2024</v>
      </c>
      <c r="H55" s="1162">
        <f t="shared" si="1"/>
        <v>57.27017965587045</v>
      </c>
      <c r="I55" s="29">
        <f t="shared" si="2"/>
        <v>1.0704706477732795</v>
      </c>
      <c r="J55" s="111">
        <v>53.5</v>
      </c>
      <c r="K55" s="577">
        <v>47.6</v>
      </c>
      <c r="L55" s="959">
        <f t="shared" si="20"/>
        <v>5.8999999999999986</v>
      </c>
      <c r="M55" s="29">
        <f t="shared" si="3"/>
        <v>0.57924335756824885</v>
      </c>
      <c r="N55" s="29">
        <v>0.80420000000000003</v>
      </c>
      <c r="O55" s="111">
        <v>48.526912181303118</v>
      </c>
      <c r="P55" s="29">
        <f t="shared" si="30"/>
        <v>0.84733298328895479</v>
      </c>
      <c r="Q55" s="1558">
        <f t="shared" si="34"/>
        <v>3.534125459640549E-2</v>
      </c>
      <c r="R55" s="961">
        <f t="shared" si="35"/>
        <v>3.8319327731092437E-2</v>
      </c>
      <c r="S55" s="961">
        <f t="shared" si="36"/>
        <v>2.0682139020921558E-2</v>
      </c>
      <c r="T55" s="1535">
        <f t="shared" si="37"/>
        <v>4.170881494454174E-2</v>
      </c>
      <c r="U55" s="1544">
        <v>6576</v>
      </c>
      <c r="V55" s="175">
        <v>9398</v>
      </c>
      <c r="W55" s="175">
        <f t="shared" si="8"/>
        <v>9244</v>
      </c>
      <c r="X55" s="964">
        <f t="shared" si="21"/>
        <v>-2.6680000000000001</v>
      </c>
      <c r="Y55" s="1536">
        <f t="shared" si="38"/>
        <v>0.49435335690597576</v>
      </c>
      <c r="Z55" s="111">
        <f t="shared" si="10"/>
        <v>-3.1623533569059759</v>
      </c>
      <c r="AA55" s="1536">
        <f t="shared" si="11"/>
        <v>0</v>
      </c>
      <c r="AB55" s="111">
        <f t="shared" si="12"/>
        <v>-3.8536943319838102</v>
      </c>
      <c r="AC55" s="111">
        <f t="shared" si="22"/>
        <v>-2.6680000000000001</v>
      </c>
      <c r="AD55" s="111">
        <f t="shared" si="23"/>
        <v>-3.1623533569059759</v>
      </c>
      <c r="AE55" s="111">
        <f t="shared" si="24"/>
        <v>59.989623612367311</v>
      </c>
      <c r="AF55" s="29">
        <f t="shared" si="13"/>
        <v>2.7505062102916891E-2</v>
      </c>
      <c r="AG55" s="587">
        <f t="shared" si="39"/>
        <v>-1.1383533569059758</v>
      </c>
      <c r="AH55" s="964">
        <f t="shared" si="25"/>
        <v>0</v>
      </c>
      <c r="AI55" s="964">
        <v>0</v>
      </c>
      <c r="AJ55" s="964">
        <f t="shared" si="26"/>
        <v>0</v>
      </c>
      <c r="AK55" s="964">
        <f t="shared" si="27"/>
        <v>-2.6680000000000001</v>
      </c>
      <c r="AL55" s="964">
        <f t="shared" si="40"/>
        <v>0.56489041157868536</v>
      </c>
      <c r="AM55" s="961">
        <f t="shared" si="16"/>
        <v>5.7134274875180573E-3</v>
      </c>
      <c r="AN55" s="964">
        <f t="shared" si="28"/>
        <v>-3.2328904115786856</v>
      </c>
      <c r="AO55" s="965"/>
      <c r="AP55" s="1544">
        <v>84</v>
      </c>
      <c r="AQ55" s="177">
        <v>98</v>
      </c>
      <c r="AR55" s="175">
        <f t="shared" si="17"/>
        <v>91</v>
      </c>
      <c r="AS55" s="175"/>
      <c r="AT55" s="175"/>
      <c r="AU55" s="111"/>
      <c r="AV55" s="111"/>
      <c r="AW55" s="175">
        <f t="shared" si="18"/>
        <v>74.059458355549651</v>
      </c>
      <c r="AX55" s="385"/>
      <c r="AY55" s="385"/>
      <c r="AZ55" s="385"/>
      <c r="BA55" s="385"/>
      <c r="BB55" s="305"/>
      <c r="BC55" s="385"/>
      <c r="BD55" s="385"/>
    </row>
    <row r="56" spans="1:56" s="87" customFormat="1" ht="12" customHeight="1">
      <c r="A56" s="79">
        <v>1745</v>
      </c>
      <c r="B56" s="1540">
        <f t="shared" si="41"/>
        <v>99.641039809650451</v>
      </c>
      <c r="C56" s="1031">
        <v>2259</v>
      </c>
      <c r="D56" s="519">
        <v>1855</v>
      </c>
      <c r="E56" s="519">
        <v>153</v>
      </c>
      <c r="F56" s="175">
        <f t="shared" si="0"/>
        <v>251</v>
      </c>
      <c r="G56" s="1540">
        <f t="shared" si="19"/>
        <v>2106</v>
      </c>
      <c r="H56" s="1162">
        <f t="shared" si="1"/>
        <v>61.12387398785426</v>
      </c>
      <c r="I56" s="29">
        <f t="shared" si="2"/>
        <v>1.0704706477732795</v>
      </c>
      <c r="J56" s="111">
        <v>57.1</v>
      </c>
      <c r="K56" s="577">
        <v>50.4</v>
      </c>
      <c r="L56" s="959">
        <f t="shared" si="20"/>
        <v>6.7000000000000028</v>
      </c>
      <c r="M56" s="29">
        <f t="shared" si="3"/>
        <v>0.61344074795508385</v>
      </c>
      <c r="N56" s="29">
        <v>0.84650000000000003</v>
      </c>
      <c r="O56" s="111">
        <v>52.873900293255133</v>
      </c>
      <c r="P56" s="29">
        <f t="shared" si="30"/>
        <v>0.86502861883004245</v>
      </c>
      <c r="Q56" s="1558">
        <f t="shared" si="34"/>
        <v>3.4454622434737646E-2</v>
      </c>
      <c r="R56" s="961">
        <f t="shared" si="35"/>
        <v>3.6805555555555557E-2</v>
      </c>
      <c r="S56" s="961">
        <f t="shared" si="36"/>
        <v>2.340572075765528E-2</v>
      </c>
      <c r="T56" s="1535">
        <f t="shared" si="37"/>
        <v>3.9830615640598997E-2</v>
      </c>
      <c r="U56" s="1544">
        <v>6451</v>
      </c>
      <c r="V56" s="175">
        <v>8920</v>
      </c>
      <c r="W56" s="175">
        <f t="shared" si="8"/>
        <v>8767</v>
      </c>
      <c r="X56" s="964">
        <f t="shared" si="21"/>
        <v>-2.3159999999999998</v>
      </c>
      <c r="Y56" s="1536">
        <f t="shared" si="38"/>
        <v>0.49820519904825228</v>
      </c>
      <c r="Z56" s="111">
        <f t="shared" si="10"/>
        <v>-2.8142051990482519</v>
      </c>
      <c r="AA56" s="1536">
        <f t="shared" si="11"/>
        <v>0</v>
      </c>
      <c r="AB56" s="111">
        <f t="shared" si="12"/>
        <v>-3.2114119433198383</v>
      </c>
      <c r="AC56" s="111">
        <f t="shared" si="22"/>
        <v>-2.3159999999999998</v>
      </c>
      <c r="AD56" s="111">
        <f t="shared" si="23"/>
        <v>-2.8142051990482519</v>
      </c>
      <c r="AE56" s="111">
        <f t="shared" si="24"/>
        <v>63.151976969273285</v>
      </c>
      <c r="AF56" s="29">
        <f t="shared" si="13"/>
        <v>2.0354092904825333E-2</v>
      </c>
      <c r="AG56" s="587">
        <f t="shared" si="39"/>
        <v>-0.70820519904825208</v>
      </c>
      <c r="AH56" s="964">
        <f t="shared" si="25"/>
        <v>0</v>
      </c>
      <c r="AI56" s="964">
        <v>0</v>
      </c>
      <c r="AJ56" s="964">
        <f t="shared" si="26"/>
        <v>0</v>
      </c>
      <c r="AK56" s="964">
        <f t="shared" si="27"/>
        <v>-2.3159999999999998</v>
      </c>
      <c r="AL56" s="964">
        <f t="shared" si="40"/>
        <v>0.56929185573333785</v>
      </c>
      <c r="AM56" s="961">
        <f t="shared" si="16"/>
        <v>5.7134274875180573E-3</v>
      </c>
      <c r="AN56" s="964">
        <f t="shared" si="28"/>
        <v>-2.8852918557333376</v>
      </c>
      <c r="AO56" s="965"/>
      <c r="AP56" s="1544">
        <v>85</v>
      </c>
      <c r="AQ56" s="177">
        <v>81</v>
      </c>
      <c r="AR56" s="175">
        <f t="shared" si="17"/>
        <v>83</v>
      </c>
      <c r="AS56" s="175"/>
      <c r="AT56" s="175"/>
      <c r="AU56" s="111"/>
      <c r="AV56" s="111"/>
      <c r="AW56" s="175">
        <f t="shared" si="18"/>
        <v>74.059458355549651</v>
      </c>
      <c r="AX56" s="385"/>
      <c r="AY56" s="385"/>
      <c r="AZ56" s="385"/>
      <c r="BA56" s="385"/>
      <c r="BB56" s="305"/>
      <c r="BC56" s="385"/>
      <c r="BD56" s="385"/>
    </row>
    <row r="57" spans="1:56" s="87" customFormat="1" ht="12" customHeight="1">
      <c r="A57" s="79">
        <v>1746</v>
      </c>
      <c r="B57" s="1540">
        <f t="shared" si="41"/>
        <v>100.41140823810575</v>
      </c>
      <c r="C57" s="1031">
        <v>2316</v>
      </c>
      <c r="D57" s="519">
        <v>1945</v>
      </c>
      <c r="E57" s="519">
        <v>172</v>
      </c>
      <c r="F57" s="175">
        <f t="shared" si="0"/>
        <v>199</v>
      </c>
      <c r="G57" s="1540">
        <f t="shared" si="19"/>
        <v>2144</v>
      </c>
      <c r="H57" s="1162">
        <f t="shared" si="1"/>
        <v>64.335285931174099</v>
      </c>
      <c r="I57" s="29">
        <f t="shared" si="2"/>
        <v>1.0704706477732795</v>
      </c>
      <c r="J57" s="111">
        <v>60.1</v>
      </c>
      <c r="K57" s="577">
        <v>52.4</v>
      </c>
      <c r="L57" s="959">
        <f t="shared" si="20"/>
        <v>7.7000000000000028</v>
      </c>
      <c r="M57" s="29">
        <f t="shared" si="3"/>
        <v>0.64071689721366842</v>
      </c>
      <c r="N57" s="29">
        <v>0.90139999999999998</v>
      </c>
      <c r="O57" s="111">
        <v>53.196721311475407</v>
      </c>
      <c r="P57" s="29">
        <f t="shared" si="30"/>
        <v>0.82686694465592758</v>
      </c>
      <c r="Q57" s="1558">
        <f t="shared" si="34"/>
        <v>3.3325413402120439E-2</v>
      </c>
      <c r="R57" s="961">
        <f t="shared" si="35"/>
        <v>3.7118320610687025E-2</v>
      </c>
      <c r="S57" s="961">
        <f t="shared" si="36"/>
        <v>1.6673249484557926E-2</v>
      </c>
      <c r="T57" s="1535">
        <f t="shared" si="37"/>
        <v>4.0303235747303545E-2</v>
      </c>
      <c r="U57" s="1544">
        <v>6249</v>
      </c>
      <c r="V57" s="175">
        <v>9804</v>
      </c>
      <c r="W57" s="175">
        <f t="shared" si="8"/>
        <v>9632</v>
      </c>
      <c r="X57" s="964">
        <f t="shared" si="21"/>
        <v>-3.383</v>
      </c>
      <c r="Y57" s="1536">
        <f t="shared" si="38"/>
        <v>0.50205704119052874</v>
      </c>
      <c r="Z57" s="111">
        <f t="shared" si="10"/>
        <v>-3.885057041190529</v>
      </c>
      <c r="AA57" s="1536">
        <f t="shared" si="11"/>
        <v>0</v>
      </c>
      <c r="AB57" s="111">
        <f t="shared" si="12"/>
        <v>-5.1382591093117469</v>
      </c>
      <c r="AC57" s="111">
        <f t="shared" si="22"/>
        <v>-3.383</v>
      </c>
      <c r="AD57" s="111">
        <f t="shared" si="23"/>
        <v>-3.885057041190529</v>
      </c>
      <c r="AE57" s="111">
        <f t="shared" si="24"/>
        <v>65.966182168321538</v>
      </c>
      <c r="AF57" s="29">
        <f t="shared" si="13"/>
        <v>1.624214086590731E-2</v>
      </c>
      <c r="AG57" s="587">
        <f t="shared" si="39"/>
        <v>-1.7410570411905288</v>
      </c>
      <c r="AH57" s="964">
        <f t="shared" si="25"/>
        <v>0</v>
      </c>
      <c r="AI57" s="964">
        <v>0</v>
      </c>
      <c r="AJ57" s="964">
        <f t="shared" si="26"/>
        <v>0</v>
      </c>
      <c r="AK57" s="964">
        <f t="shared" si="27"/>
        <v>-3.383</v>
      </c>
      <c r="AL57" s="964">
        <f t="shared" si="40"/>
        <v>0.57369329988799045</v>
      </c>
      <c r="AM57" s="961">
        <f t="shared" si="16"/>
        <v>5.7134274875180573E-3</v>
      </c>
      <c r="AN57" s="964">
        <f t="shared" si="28"/>
        <v>-3.9566932998879905</v>
      </c>
      <c r="AO57" s="965"/>
      <c r="AP57" s="1544">
        <v>93</v>
      </c>
      <c r="AQ57" s="177">
        <v>97</v>
      </c>
      <c r="AR57" s="175">
        <f t="shared" si="17"/>
        <v>95</v>
      </c>
      <c r="AS57" s="175"/>
      <c r="AT57" s="175"/>
      <c r="AU57" s="111"/>
      <c r="AV57" s="111"/>
      <c r="AW57" s="175">
        <f t="shared" si="18"/>
        <v>74.059458355549651</v>
      </c>
      <c r="AX57" s="385"/>
      <c r="AY57" s="385"/>
      <c r="AZ57" s="385"/>
      <c r="BA57" s="385"/>
      <c r="BB57" s="305"/>
      <c r="BC57" s="385"/>
      <c r="BD57" s="385"/>
    </row>
    <row r="58" spans="1:56" s="87" customFormat="1" ht="12" customHeight="1">
      <c r="A58" s="79">
        <v>1747</v>
      </c>
      <c r="B58" s="1540">
        <f t="shared" si="41"/>
        <v>101.18177666656105</v>
      </c>
      <c r="C58" s="1031">
        <v>2716</v>
      </c>
      <c r="D58" s="519">
        <v>2208</v>
      </c>
      <c r="E58" s="519">
        <v>210</v>
      </c>
      <c r="F58" s="175">
        <f t="shared" si="0"/>
        <v>298</v>
      </c>
      <c r="G58" s="1540">
        <f t="shared" si="19"/>
        <v>2506</v>
      </c>
      <c r="H58" s="1162">
        <f t="shared" si="1"/>
        <v>69.473545040485845</v>
      </c>
      <c r="I58" s="29">
        <f t="shared" si="2"/>
        <v>1.0704706477732795</v>
      </c>
      <c r="J58" s="111">
        <v>64.900000000000006</v>
      </c>
      <c r="K58" s="577">
        <v>56.3</v>
      </c>
      <c r="L58" s="959">
        <f t="shared" si="20"/>
        <v>8.6000000000000085</v>
      </c>
      <c r="M58" s="29">
        <f t="shared" si="3"/>
        <v>0.68662112219507743</v>
      </c>
      <c r="N58" s="29">
        <v>0.96389999999999998</v>
      </c>
      <c r="O58" s="111">
        <v>61.05571847507332</v>
      </c>
      <c r="P58" s="29">
        <f t="shared" si="30"/>
        <v>0.87883407186855056</v>
      </c>
      <c r="Q58" s="1558">
        <f t="shared" si="34"/>
        <v>3.6071284379393963E-2</v>
      </c>
      <c r="R58" s="961">
        <f t="shared" si="35"/>
        <v>3.9218472468916521E-2</v>
      </c>
      <c r="S58" s="961">
        <f t="shared" si="36"/>
        <v>2.2621093948831984E-2</v>
      </c>
      <c r="T58" s="1535">
        <f t="shared" si="37"/>
        <v>4.104447646493755E-2</v>
      </c>
      <c r="U58" s="1544">
        <v>6961</v>
      </c>
      <c r="V58" s="175">
        <v>11453</v>
      </c>
      <c r="W58" s="175">
        <f t="shared" si="8"/>
        <v>11243</v>
      </c>
      <c r="X58" s="964">
        <f t="shared" si="21"/>
        <v>-4.282</v>
      </c>
      <c r="Y58" s="1536">
        <f t="shared" si="38"/>
        <v>0.50590888333280526</v>
      </c>
      <c r="Z58" s="111">
        <f t="shared" si="10"/>
        <v>-4.787908883332805</v>
      </c>
      <c r="AA58" s="1536">
        <f t="shared" si="11"/>
        <v>0</v>
      </c>
      <c r="AB58" s="111">
        <f t="shared" si="12"/>
        <v>-4.8171179149797609</v>
      </c>
      <c r="AC58" s="111">
        <f t="shared" si="22"/>
        <v>-4.282</v>
      </c>
      <c r="AD58" s="111">
        <f t="shared" si="23"/>
        <v>-4.787908883332805</v>
      </c>
      <c r="AE58" s="111">
        <f t="shared" si="24"/>
        <v>69.851239209512073</v>
      </c>
      <c r="AF58" s="29">
        <f t="shared" si="13"/>
        <v>3.7328279999559399E-3</v>
      </c>
      <c r="AG58" s="587">
        <f t="shared" si="39"/>
        <v>-2.2819088833328052</v>
      </c>
      <c r="AH58" s="964">
        <f t="shared" si="25"/>
        <v>0</v>
      </c>
      <c r="AI58" s="964">
        <v>0</v>
      </c>
      <c r="AJ58" s="964">
        <f t="shared" si="26"/>
        <v>0</v>
      </c>
      <c r="AK58" s="964">
        <f t="shared" si="27"/>
        <v>-4.282</v>
      </c>
      <c r="AL58" s="964">
        <f t="shared" si="40"/>
        <v>0.57809474404264305</v>
      </c>
      <c r="AM58" s="961">
        <f t="shared" si="16"/>
        <v>5.7134274875180573E-3</v>
      </c>
      <c r="AN58" s="964">
        <f t="shared" si="28"/>
        <v>-4.8600947440426427</v>
      </c>
      <c r="AO58" s="965"/>
      <c r="AP58" s="1544">
        <v>90</v>
      </c>
      <c r="AQ58" s="177">
        <v>86</v>
      </c>
      <c r="AR58" s="175">
        <f t="shared" si="17"/>
        <v>88</v>
      </c>
      <c r="AS58" s="175"/>
      <c r="AT58" s="175"/>
      <c r="AU58" s="111"/>
      <c r="AV58" s="111"/>
      <c r="AW58" s="175">
        <f t="shared" si="18"/>
        <v>74.059458355549651</v>
      </c>
      <c r="AX58" s="385"/>
      <c r="AY58" s="385"/>
      <c r="AZ58" s="385"/>
      <c r="BA58" s="385"/>
      <c r="BB58" s="305"/>
      <c r="BC58" s="385"/>
      <c r="BD58" s="385"/>
    </row>
    <row r="59" spans="1:56" s="87" customFormat="1" ht="12" customHeight="1">
      <c r="A59" s="79">
        <v>1748</v>
      </c>
      <c r="B59" s="1540">
        <f t="shared" si="41"/>
        <v>101.95214509501635</v>
      </c>
      <c r="C59" s="1031">
        <v>2842</v>
      </c>
      <c r="D59" s="519">
        <v>2306</v>
      </c>
      <c r="E59" s="519">
        <v>219</v>
      </c>
      <c r="F59" s="175">
        <f t="shared" si="0"/>
        <v>317</v>
      </c>
      <c r="G59" s="1540">
        <f t="shared" si="19"/>
        <v>2623</v>
      </c>
      <c r="H59" s="1162">
        <f t="shared" si="1"/>
        <v>74.290662955465606</v>
      </c>
      <c r="I59" s="29">
        <f t="shared" si="2"/>
        <v>1.0704706477732795</v>
      </c>
      <c r="J59" s="111">
        <v>69.400000000000006</v>
      </c>
      <c r="K59" s="577">
        <v>61.8</v>
      </c>
      <c r="L59" s="959">
        <f t="shared" si="20"/>
        <v>7.6000000000000085</v>
      </c>
      <c r="M59" s="29">
        <f t="shared" si="3"/>
        <v>0.728681705384707</v>
      </c>
      <c r="N59" s="29">
        <v>1.0569</v>
      </c>
      <c r="O59" s="111">
        <v>76.868686868686851</v>
      </c>
      <c r="P59" s="29">
        <f t="shared" si="30"/>
        <v>1.0347018563391563</v>
      </c>
      <c r="Q59" s="1558">
        <f t="shared" si="34"/>
        <v>3.5307263330957052E-2</v>
      </c>
      <c r="R59" s="961">
        <f t="shared" si="35"/>
        <v>3.7313915857605177E-2</v>
      </c>
      <c r="S59" s="961">
        <f t="shared" si="36"/>
        <v>2.5378957156256349E-2</v>
      </c>
      <c r="T59" s="1535">
        <f t="shared" si="37"/>
        <v>3.4123127463863347E-2</v>
      </c>
      <c r="U59" s="1544">
        <v>7199</v>
      </c>
      <c r="V59" s="175">
        <v>11943</v>
      </c>
      <c r="W59" s="175">
        <f t="shared" si="8"/>
        <v>11724</v>
      </c>
      <c r="X59" s="964">
        <f t="shared" si="21"/>
        <v>-4.5250000000000004</v>
      </c>
      <c r="Y59" s="1536">
        <f t="shared" si="38"/>
        <v>0.50976072547508178</v>
      </c>
      <c r="Z59" s="111">
        <f t="shared" si="10"/>
        <v>-5.0347607254750821</v>
      </c>
      <c r="AA59" s="1536">
        <f t="shared" si="11"/>
        <v>0</v>
      </c>
      <c r="AB59" s="111">
        <f t="shared" si="12"/>
        <v>-7.1721533400809534</v>
      </c>
      <c r="AC59" s="111">
        <f t="shared" si="22"/>
        <v>-4.5250000000000004</v>
      </c>
      <c r="AD59" s="111">
        <f t="shared" si="23"/>
        <v>-5.0347607254750821</v>
      </c>
      <c r="AE59" s="111">
        <f t="shared" si="24"/>
        <v>74.639148092844877</v>
      </c>
      <c r="AF59" s="29">
        <f t="shared" si="13"/>
        <v>3.4181246216496283E-3</v>
      </c>
      <c r="AG59" s="587">
        <f t="shared" si="39"/>
        <v>-2.4117607254750819</v>
      </c>
      <c r="AH59" s="964">
        <f t="shared" si="25"/>
        <v>0</v>
      </c>
      <c r="AI59" s="964">
        <v>0</v>
      </c>
      <c r="AJ59" s="964">
        <f t="shared" si="26"/>
        <v>0</v>
      </c>
      <c r="AK59" s="964">
        <f t="shared" si="27"/>
        <v>-4.5250000000000004</v>
      </c>
      <c r="AL59" s="964">
        <f t="shared" si="40"/>
        <v>0.58249618819729565</v>
      </c>
      <c r="AM59" s="961">
        <f t="shared" si="16"/>
        <v>5.7134274875180573E-3</v>
      </c>
      <c r="AN59" s="964">
        <f t="shared" si="28"/>
        <v>-5.1074961881972962</v>
      </c>
      <c r="AO59" s="965"/>
      <c r="AP59" s="1544">
        <v>94</v>
      </c>
      <c r="AQ59" s="175">
        <v>89</v>
      </c>
      <c r="AR59" s="175">
        <f t="shared" si="17"/>
        <v>91.5</v>
      </c>
      <c r="AS59" s="175"/>
      <c r="AT59" s="175"/>
      <c r="AU59" s="111"/>
      <c r="AV59" s="111"/>
      <c r="AW59" s="175">
        <f t="shared" si="18"/>
        <v>74.059458355549651</v>
      </c>
      <c r="AX59" s="385"/>
      <c r="AY59" s="385"/>
      <c r="AZ59" s="385"/>
      <c r="BA59" s="385"/>
      <c r="BB59" s="305"/>
      <c r="BC59" s="385"/>
      <c r="BD59" s="385"/>
    </row>
    <row r="60" spans="1:56" s="87" customFormat="1" ht="12" customHeight="1">
      <c r="A60" s="79">
        <v>1749</v>
      </c>
      <c r="B60" s="1540">
        <f t="shared" si="41"/>
        <v>102.72251352347165</v>
      </c>
      <c r="C60" s="1031">
        <v>2981</v>
      </c>
      <c r="D60" s="519">
        <v>2449</v>
      </c>
      <c r="E60" s="519">
        <v>217</v>
      </c>
      <c r="F60" s="175">
        <f t="shared" si="0"/>
        <v>315</v>
      </c>
      <c r="G60" s="1540">
        <f t="shared" si="19"/>
        <v>2764</v>
      </c>
      <c r="H60" s="1162">
        <f t="shared" si="1"/>
        <v>81.46281629554656</v>
      </c>
      <c r="I60" s="29">
        <f t="shared" si="2"/>
        <v>1.0704706477732795</v>
      </c>
      <c r="J60" s="111">
        <v>76.099999999999994</v>
      </c>
      <c r="K60" s="577">
        <v>68.7</v>
      </c>
      <c r="L60" s="959">
        <f t="shared" si="20"/>
        <v>7.3999999999999915</v>
      </c>
      <c r="M60" s="29">
        <f t="shared" si="3"/>
        <v>0.79303760686242031</v>
      </c>
      <c r="N60" s="29">
        <v>1.0806</v>
      </c>
      <c r="O60" s="111">
        <v>77.8</v>
      </c>
      <c r="P60" s="29">
        <f t="shared" si="30"/>
        <v>0.95503695474683947</v>
      </c>
      <c r="Q60" s="1558">
        <f t="shared" si="34"/>
        <v>3.3929590525967404E-2</v>
      </c>
      <c r="R60" s="961">
        <f t="shared" si="35"/>
        <v>3.5647743813682672E-2</v>
      </c>
      <c r="S60" s="961">
        <f t="shared" si="36"/>
        <v>2.468107294703566E-2</v>
      </c>
      <c r="T60" s="1535">
        <f t="shared" si="37"/>
        <v>3.5526992287917739E-2</v>
      </c>
      <c r="U60" s="1544">
        <v>7494</v>
      </c>
      <c r="V60" s="175">
        <v>12544</v>
      </c>
      <c r="W60" s="175">
        <f t="shared" si="8"/>
        <v>12327</v>
      </c>
      <c r="X60" s="964">
        <f t="shared" si="21"/>
        <v>-4.8330000000000002</v>
      </c>
      <c r="Y60" s="1536">
        <f t="shared" si="38"/>
        <v>0.5136125676173583</v>
      </c>
      <c r="Z60" s="111">
        <f t="shared" si="10"/>
        <v>-5.3466125676173588</v>
      </c>
      <c r="AA60" s="1536">
        <f t="shared" si="11"/>
        <v>0</v>
      </c>
      <c r="AB60" s="111">
        <f t="shared" si="12"/>
        <v>-1.8198001012145824</v>
      </c>
      <c r="AC60" s="111">
        <f t="shared" si="22"/>
        <v>-4.8330000000000002</v>
      </c>
      <c r="AD60" s="111">
        <f t="shared" si="23"/>
        <v>-5.3466125676173588</v>
      </c>
      <c r="AE60" s="111">
        <f t="shared" si="24"/>
        <v>79.673908818319958</v>
      </c>
      <c r="AF60" s="29">
        <f t="shared" si="13"/>
        <v>-1.7414950392718377E-2</v>
      </c>
      <c r="AG60" s="587">
        <f t="shared" si="39"/>
        <v>-2.582612567617359</v>
      </c>
      <c r="AH60" s="964">
        <f t="shared" si="25"/>
        <v>0</v>
      </c>
      <c r="AI60" s="964">
        <v>0</v>
      </c>
      <c r="AJ60" s="964">
        <f t="shared" si="26"/>
        <v>0</v>
      </c>
      <c r="AK60" s="964">
        <f t="shared" si="27"/>
        <v>-4.8330000000000002</v>
      </c>
      <c r="AL60" s="964">
        <f t="shared" si="40"/>
        <v>0.58689763235194825</v>
      </c>
      <c r="AM60" s="961">
        <f t="shared" si="16"/>
        <v>5.7134274875180573E-3</v>
      </c>
      <c r="AN60" s="964">
        <f t="shared" si="28"/>
        <v>-5.4198976323519483</v>
      </c>
      <c r="AO60" s="965"/>
      <c r="AP60" s="1544">
        <v>96</v>
      </c>
      <c r="AQ60" s="175">
        <v>91</v>
      </c>
      <c r="AR60" s="175">
        <f t="shared" si="17"/>
        <v>93.5</v>
      </c>
      <c r="AS60" s="175"/>
      <c r="AT60" s="175"/>
      <c r="AU60" s="111"/>
      <c r="AV60" s="111"/>
      <c r="AW60" s="175">
        <f t="shared" si="18"/>
        <v>74.059458355549651</v>
      </c>
      <c r="AX60" s="385"/>
      <c r="AY60" s="385"/>
      <c r="AZ60" s="385"/>
      <c r="BA60" s="385"/>
      <c r="BB60" s="305"/>
      <c r="BC60" s="385"/>
      <c r="BD60" s="385"/>
    </row>
    <row r="61" spans="1:56" s="87" customFormat="1" ht="12" customHeight="1">
      <c r="A61" s="79">
        <v>1750</v>
      </c>
      <c r="B61" s="1540">
        <f>TableUK2!B15*1000</f>
        <v>103.49288195192695</v>
      </c>
      <c r="C61" s="1031">
        <v>3218</v>
      </c>
      <c r="D61" s="519">
        <v>2817</v>
      </c>
      <c r="E61" s="519">
        <v>214</v>
      </c>
      <c r="F61" s="175">
        <f t="shared" si="0"/>
        <v>187</v>
      </c>
      <c r="G61" s="1540">
        <f t="shared" si="19"/>
        <v>3004</v>
      </c>
      <c r="H61" s="1162">
        <f t="shared" si="1"/>
        <v>83.282616396761142</v>
      </c>
      <c r="I61" s="29">
        <f t="shared" si="2"/>
        <v>1.0704706477732795</v>
      </c>
      <c r="J61" s="111">
        <v>77.8</v>
      </c>
      <c r="K61" s="577">
        <v>71.8</v>
      </c>
      <c r="L61" s="959">
        <f t="shared" si="20"/>
        <v>6</v>
      </c>
      <c r="M61" s="29">
        <f t="shared" si="3"/>
        <v>0.80471830357807994</v>
      </c>
      <c r="N61" s="29">
        <v>1.0685</v>
      </c>
      <c r="O61" s="111">
        <v>77.227722772277232</v>
      </c>
      <c r="P61" s="29">
        <f t="shared" si="30"/>
        <v>0.92729702924271495</v>
      </c>
      <c r="Q61" s="1558">
        <f t="shared" si="34"/>
        <v>3.606995228978932E-2</v>
      </c>
      <c r="R61" s="961">
        <f t="shared" si="35"/>
        <v>3.9233983286908081E-2</v>
      </c>
      <c r="S61" s="961">
        <f t="shared" si="36"/>
        <v>1.6285486995171791E-2</v>
      </c>
      <c r="T61" s="1535">
        <f t="shared" si="37"/>
        <v>3.8897948717948716E-2</v>
      </c>
      <c r="U61" s="1544">
        <v>7467</v>
      </c>
      <c r="V61" s="175">
        <v>7185</v>
      </c>
      <c r="W61" s="175">
        <f t="shared" si="8"/>
        <v>6971</v>
      </c>
      <c r="X61" s="964">
        <f t="shared" si="21"/>
        <v>0.496</v>
      </c>
      <c r="Y61" s="1536">
        <f t="shared" si="38"/>
        <v>0.5174644097596347</v>
      </c>
      <c r="Z61" s="111">
        <f t="shared" si="10"/>
        <v>-2.1464409759634706E-2</v>
      </c>
      <c r="AA61" s="1536">
        <f t="shared" si="11"/>
        <v>0</v>
      </c>
      <c r="AB61" s="111">
        <f t="shared" si="12"/>
        <v>-0.21409412955465257</v>
      </c>
      <c r="AC61" s="111">
        <f t="shared" si="22"/>
        <v>0.496</v>
      </c>
      <c r="AD61" s="111">
        <f t="shared" si="23"/>
        <v>-2.1464409759634706E-2</v>
      </c>
      <c r="AE61" s="111">
        <f t="shared" si="24"/>
        <v>85.020521385937315</v>
      </c>
      <c r="AF61" s="29">
        <f t="shared" si="13"/>
        <v>1.6792507430447627E-2</v>
      </c>
      <c r="AG61" s="587">
        <f t="shared" si="39"/>
        <v>2.9825355902403654</v>
      </c>
      <c r="AH61" s="964">
        <f t="shared" si="25"/>
        <v>0</v>
      </c>
      <c r="AI61" s="964">
        <v>0</v>
      </c>
      <c r="AJ61" s="964">
        <f t="shared" si="26"/>
        <v>0</v>
      </c>
      <c r="AK61" s="964">
        <f t="shared" si="27"/>
        <v>0.496</v>
      </c>
      <c r="AL61" s="964">
        <f t="shared" si="40"/>
        <v>0.59129907650660085</v>
      </c>
      <c r="AM61" s="961">
        <f t="shared" si="16"/>
        <v>5.7134274875180573E-3</v>
      </c>
      <c r="AN61" s="964">
        <f t="shared" si="28"/>
        <v>-9.5299076506600855E-2</v>
      </c>
      <c r="AO61" s="965"/>
      <c r="AP61" s="1544">
        <v>95</v>
      </c>
      <c r="AQ61" s="175">
        <v>88</v>
      </c>
      <c r="AR61" s="175">
        <f t="shared" si="17"/>
        <v>91.5</v>
      </c>
      <c r="AS61" s="175"/>
      <c r="AT61" s="175"/>
      <c r="AU61" s="111"/>
      <c r="AV61" s="111">
        <v>5.0999999999999996</v>
      </c>
      <c r="AW61" s="175">
        <f t="shared" si="18"/>
        <v>74.059458355549651</v>
      </c>
      <c r="AX61" s="385"/>
      <c r="AY61" s="385"/>
      <c r="AZ61" s="385"/>
      <c r="BA61" s="385"/>
      <c r="BB61" s="305"/>
      <c r="BC61" s="385"/>
      <c r="BD61" s="385"/>
    </row>
    <row r="62" spans="1:56" s="87" customFormat="1" ht="12" customHeight="1">
      <c r="A62" s="79">
        <v>1751</v>
      </c>
      <c r="B62" s="1540">
        <f>B61+(B$71-B$61)/10</f>
        <v>104.32520595888302</v>
      </c>
      <c r="C62" s="1031">
        <v>2978</v>
      </c>
      <c r="D62" s="519">
        <v>2588</v>
      </c>
      <c r="E62" s="519">
        <v>212</v>
      </c>
      <c r="F62" s="175">
        <f t="shared" si="0"/>
        <v>178</v>
      </c>
      <c r="G62" s="1540">
        <f t="shared" si="19"/>
        <v>2766</v>
      </c>
      <c r="H62" s="1162">
        <f t="shared" si="1"/>
        <v>83.496710526315795</v>
      </c>
      <c r="I62" s="29">
        <f t="shared" si="2"/>
        <v>1.0704706477732795</v>
      </c>
      <c r="J62" s="111">
        <v>78</v>
      </c>
      <c r="K62" s="577">
        <v>72.8</v>
      </c>
      <c r="L62" s="959">
        <f t="shared" si="20"/>
        <v>5.2000000000000028</v>
      </c>
      <c r="M62" s="29">
        <f t="shared" si="3"/>
        <v>0.80035030613046465</v>
      </c>
      <c r="N62" s="29">
        <v>1.0698999999999999</v>
      </c>
      <c r="O62" s="111">
        <v>81.92307692307692</v>
      </c>
      <c r="P62" s="29">
        <f t="shared" si="30"/>
        <v>0.98115334612202587</v>
      </c>
      <c r="Q62" s="1558">
        <f t="shared" si="34"/>
        <v>3.3127053539770711E-2</v>
      </c>
      <c r="R62" s="961">
        <f t="shared" si="35"/>
        <v>3.5549450549450551E-2</v>
      </c>
      <c r="S62" s="961">
        <f t="shared" si="36"/>
        <v>1.6640629805031046E-2</v>
      </c>
      <c r="T62" s="1535">
        <f t="shared" si="37"/>
        <v>3.3763380281690139E-2</v>
      </c>
      <c r="U62" s="1544">
        <v>7097</v>
      </c>
      <c r="V62" s="175">
        <v>6425</v>
      </c>
      <c r="W62" s="175">
        <f t="shared" si="8"/>
        <v>6213</v>
      </c>
      <c r="X62" s="964">
        <f t="shared" si="21"/>
        <v>0.88400000000000001</v>
      </c>
      <c r="Y62" s="1536">
        <f t="shared" si="38"/>
        <v>0.52162602979441508</v>
      </c>
      <c r="Z62" s="111">
        <f t="shared" si="10"/>
        <v>0.36237397020558493</v>
      </c>
      <c r="AA62" s="1536">
        <f t="shared" si="11"/>
        <v>0</v>
      </c>
      <c r="AB62" s="111">
        <f t="shared" si="12"/>
        <v>-0.10704706477733339</v>
      </c>
      <c r="AC62" s="111">
        <f t="shared" si="22"/>
        <v>0.88400000000000001</v>
      </c>
      <c r="AD62" s="111">
        <f t="shared" si="23"/>
        <v>0.36237397020558493</v>
      </c>
      <c r="AE62" s="111">
        <f t="shared" si="24"/>
        <v>85.041985795696945</v>
      </c>
      <c r="AF62" s="29">
        <f t="shared" si="13"/>
        <v>1.4812098909156999E-2</v>
      </c>
      <c r="AG62" s="587">
        <f t="shared" si="39"/>
        <v>3.1283739702055851</v>
      </c>
      <c r="AH62" s="964">
        <f t="shared" si="25"/>
        <v>0</v>
      </c>
      <c r="AI62" s="964">
        <v>0</v>
      </c>
      <c r="AJ62" s="964">
        <f t="shared" si="26"/>
        <v>0</v>
      </c>
      <c r="AK62" s="964">
        <f t="shared" si="27"/>
        <v>0.88400000000000001</v>
      </c>
      <c r="AL62" s="964">
        <f t="shared" si="40"/>
        <v>0.59605449936646482</v>
      </c>
      <c r="AM62" s="961">
        <f t="shared" si="16"/>
        <v>5.7134274875180573E-3</v>
      </c>
      <c r="AN62" s="964">
        <f t="shared" si="28"/>
        <v>0.28794550063353519</v>
      </c>
      <c r="AO62" s="965"/>
      <c r="AP62" s="1544">
        <v>90</v>
      </c>
      <c r="AQ62" s="175">
        <v>85</v>
      </c>
      <c r="AR62" s="175">
        <f t="shared" si="17"/>
        <v>87.5</v>
      </c>
      <c r="AS62" s="175"/>
      <c r="AT62" s="175"/>
      <c r="AU62" s="111"/>
      <c r="AV62" s="111">
        <v>5</v>
      </c>
      <c r="AW62" s="175">
        <f t="shared" si="18"/>
        <v>74.059458355549651</v>
      </c>
      <c r="AX62" s="385"/>
      <c r="AY62" s="385"/>
      <c r="AZ62" s="385"/>
      <c r="BA62" s="385"/>
      <c r="BB62" s="305"/>
      <c r="BC62" s="385"/>
      <c r="BD62" s="385"/>
    </row>
    <row r="63" spans="1:56" s="87" customFormat="1" ht="12" customHeight="1">
      <c r="A63" s="79">
        <v>1752</v>
      </c>
      <c r="B63" s="1540">
        <f t="shared" ref="B63:B70" si="42">B62+(B$71-B$61)/10</f>
        <v>105.15752996583909</v>
      </c>
      <c r="C63" s="1031">
        <v>2944</v>
      </c>
      <c r="D63" s="519">
        <v>2580</v>
      </c>
      <c r="E63" s="519">
        <v>215</v>
      </c>
      <c r="F63" s="175">
        <f t="shared" si="0"/>
        <v>149</v>
      </c>
      <c r="G63" s="1540">
        <f t="shared" si="19"/>
        <v>2729</v>
      </c>
      <c r="H63" s="1162">
        <f t="shared" si="1"/>
        <v>83.603757591093128</v>
      </c>
      <c r="I63" s="29">
        <f t="shared" si="2"/>
        <v>1.0704706477732795</v>
      </c>
      <c r="J63" s="111">
        <v>78.099999999999994</v>
      </c>
      <c r="K63" s="577">
        <v>72.400000000000006</v>
      </c>
      <c r="L63" s="959">
        <f t="shared" si="20"/>
        <v>5.6999999999999886</v>
      </c>
      <c r="M63" s="29">
        <f t="shared" si="3"/>
        <v>0.7950334856500737</v>
      </c>
      <c r="N63" s="29">
        <v>1.0534000000000001</v>
      </c>
      <c r="O63" s="111">
        <v>80.664335664335667</v>
      </c>
      <c r="P63" s="29">
        <f t="shared" si="30"/>
        <v>0.96484103093626239</v>
      </c>
      <c r="Q63" s="1558">
        <f t="shared" si="34"/>
        <v>3.2642073498030652E-2</v>
      </c>
      <c r="R63" s="961">
        <f t="shared" si="35"/>
        <v>3.56353591160221E-2</v>
      </c>
      <c r="S63" s="961">
        <f t="shared" si="36"/>
        <v>1.3299109587880902E-2</v>
      </c>
      <c r="T63" s="1535">
        <f t="shared" si="37"/>
        <v>3.3831556133506718E-2</v>
      </c>
      <c r="U63" s="1544">
        <v>6992</v>
      </c>
      <c r="V63" s="175">
        <v>7037</v>
      </c>
      <c r="W63" s="175">
        <f t="shared" si="8"/>
        <v>6822</v>
      </c>
      <c r="X63" s="964">
        <f t="shared" si="21"/>
        <v>0.17</v>
      </c>
      <c r="Y63" s="1536">
        <f t="shared" si="38"/>
        <v>0.52578764982919546</v>
      </c>
      <c r="Z63" s="111">
        <f t="shared" si="10"/>
        <v>-0.35578764982919542</v>
      </c>
      <c r="AA63" s="1536">
        <f t="shared" si="11"/>
        <v>0</v>
      </c>
      <c r="AB63" s="111">
        <f t="shared" si="12"/>
        <v>1.2845647773279296</v>
      </c>
      <c r="AC63" s="111">
        <f t="shared" si="22"/>
        <v>0.17</v>
      </c>
      <c r="AD63" s="111">
        <f t="shared" si="23"/>
        <v>-0.35578764982919542</v>
      </c>
      <c r="AE63" s="111">
        <f t="shared" si="24"/>
        <v>84.679611825491364</v>
      </c>
      <c r="AF63" s="29">
        <f t="shared" si="13"/>
        <v>1.0230881561669734E-2</v>
      </c>
      <c r="AG63" s="587">
        <f t="shared" si="39"/>
        <v>2.3732123501708049</v>
      </c>
      <c r="AH63" s="964">
        <f t="shared" si="25"/>
        <v>0</v>
      </c>
      <c r="AI63" s="964">
        <v>0</v>
      </c>
      <c r="AJ63" s="964">
        <f t="shared" si="26"/>
        <v>0</v>
      </c>
      <c r="AK63" s="964">
        <f t="shared" si="27"/>
        <v>0.17</v>
      </c>
      <c r="AL63" s="964">
        <f t="shared" si="40"/>
        <v>0.6008099222263289</v>
      </c>
      <c r="AM63" s="961">
        <f t="shared" si="16"/>
        <v>5.7134274875180573E-3</v>
      </c>
      <c r="AN63" s="964">
        <f t="shared" si="28"/>
        <v>-0.43080992222632886</v>
      </c>
      <c r="AO63" s="965"/>
      <c r="AP63" s="1544">
        <v>93</v>
      </c>
      <c r="AQ63" s="175">
        <v>81</v>
      </c>
      <c r="AR63" s="175">
        <f t="shared" si="17"/>
        <v>87</v>
      </c>
      <c r="AS63" s="175"/>
      <c r="AT63" s="175"/>
      <c r="AU63" s="111"/>
      <c r="AV63" s="111">
        <v>5.2</v>
      </c>
      <c r="AW63" s="175">
        <f t="shared" si="18"/>
        <v>74.059458355549651</v>
      </c>
      <c r="AX63" s="385"/>
      <c r="AY63" s="385"/>
      <c r="AZ63" s="385"/>
      <c r="BA63" s="385"/>
      <c r="BB63" s="305"/>
      <c r="BC63" s="385"/>
      <c r="BD63" s="385"/>
    </row>
    <row r="64" spans="1:56" s="87" customFormat="1" ht="12" customHeight="1">
      <c r="A64" s="79">
        <v>1753</v>
      </c>
      <c r="B64" s="1540">
        <f t="shared" si="42"/>
        <v>105.98985397279516</v>
      </c>
      <c r="C64" s="1031">
        <v>2762</v>
      </c>
      <c r="D64" s="519">
        <v>2394</v>
      </c>
      <c r="E64" s="519">
        <v>212</v>
      </c>
      <c r="F64" s="175">
        <f t="shared" si="0"/>
        <v>156</v>
      </c>
      <c r="G64" s="1540">
        <f t="shared" si="19"/>
        <v>2550</v>
      </c>
      <c r="H64" s="1162">
        <f t="shared" si="1"/>
        <v>82.319192813765198</v>
      </c>
      <c r="I64" s="29">
        <f t="shared" si="2"/>
        <v>1.0704706477732795</v>
      </c>
      <c r="J64" s="111">
        <v>76.900000000000006</v>
      </c>
      <c r="K64" s="577">
        <v>71.5</v>
      </c>
      <c r="L64" s="959">
        <f t="shared" si="20"/>
        <v>5.4000000000000057</v>
      </c>
      <c r="M64" s="29">
        <f t="shared" si="3"/>
        <v>0.77667049937529298</v>
      </c>
      <c r="N64" s="29">
        <v>1.0273999999999999</v>
      </c>
      <c r="O64" s="111">
        <v>77.319587628865975</v>
      </c>
      <c r="P64" s="29">
        <f t="shared" si="30"/>
        <v>0.93926561942595721</v>
      </c>
      <c r="Q64" s="1558">
        <f t="shared" si="34"/>
        <v>3.097698012866807E-2</v>
      </c>
      <c r="R64" s="961">
        <f t="shared" si="35"/>
        <v>3.3482517482517488E-2</v>
      </c>
      <c r="S64" s="961">
        <f t="shared" si="36"/>
        <v>1.4418820579805368E-2</v>
      </c>
      <c r="T64" s="1535">
        <f t="shared" si="37"/>
        <v>3.2980000000000002E-2</v>
      </c>
      <c r="U64" s="1544">
        <v>7338</v>
      </c>
      <c r="V64" s="175">
        <v>5952</v>
      </c>
      <c r="W64" s="175">
        <f t="shared" si="8"/>
        <v>5740</v>
      </c>
      <c r="X64" s="964">
        <f t="shared" si="21"/>
        <v>1.5980000000000001</v>
      </c>
      <c r="Y64" s="1536">
        <f t="shared" si="38"/>
        <v>0.52994926986397584</v>
      </c>
      <c r="Z64" s="111">
        <f t="shared" si="10"/>
        <v>1.0680507301360243</v>
      </c>
      <c r="AA64" s="1536">
        <f t="shared" si="11"/>
        <v>0</v>
      </c>
      <c r="AB64" s="111">
        <f t="shared" si="12"/>
        <v>2.0338942307692349</v>
      </c>
      <c r="AC64" s="111">
        <f t="shared" si="22"/>
        <v>1.5980000000000001</v>
      </c>
      <c r="AD64" s="111">
        <f t="shared" si="23"/>
        <v>1.0680507301360243</v>
      </c>
      <c r="AE64" s="111">
        <f t="shared" si="24"/>
        <v>85.03539947532056</v>
      </c>
      <c r="AF64" s="29">
        <f t="shared" si="13"/>
        <v>2.5627044096622125E-2</v>
      </c>
      <c r="AG64" s="587">
        <f t="shared" si="39"/>
        <v>3.6180507301360239</v>
      </c>
      <c r="AH64" s="964">
        <f t="shared" si="25"/>
        <v>0</v>
      </c>
      <c r="AI64" s="964">
        <v>0</v>
      </c>
      <c r="AJ64" s="964">
        <f t="shared" si="26"/>
        <v>0</v>
      </c>
      <c r="AK64" s="964">
        <f t="shared" si="27"/>
        <v>1.5980000000000001</v>
      </c>
      <c r="AL64" s="964">
        <f t="shared" si="40"/>
        <v>0.60556534508619286</v>
      </c>
      <c r="AM64" s="961">
        <f t="shared" si="16"/>
        <v>5.7134274875180573E-3</v>
      </c>
      <c r="AN64" s="964">
        <f t="shared" si="28"/>
        <v>0.99243465491380722</v>
      </c>
      <c r="AO64" s="965"/>
      <c r="AP64" s="1544">
        <v>90</v>
      </c>
      <c r="AQ64" s="175">
        <v>81</v>
      </c>
      <c r="AR64" s="175">
        <f t="shared" si="17"/>
        <v>85.5</v>
      </c>
      <c r="AS64" s="175"/>
      <c r="AT64" s="175"/>
      <c r="AU64" s="111"/>
      <c r="AV64" s="111">
        <v>5.0999999999999996</v>
      </c>
      <c r="AW64" s="175">
        <f t="shared" si="18"/>
        <v>74.059458355549651</v>
      </c>
      <c r="AX64" s="385"/>
      <c r="AY64" s="385"/>
      <c r="AZ64" s="385"/>
      <c r="BA64" s="385"/>
      <c r="BB64" s="305"/>
      <c r="BC64" s="385"/>
      <c r="BD64" s="385"/>
    </row>
    <row r="65" spans="1:56" s="87" customFormat="1" ht="12" customHeight="1">
      <c r="A65" s="79">
        <v>1754</v>
      </c>
      <c r="B65" s="1540">
        <f t="shared" si="42"/>
        <v>106.82217797975123</v>
      </c>
      <c r="C65" s="1031">
        <v>2823</v>
      </c>
      <c r="D65" s="519">
        <v>2494</v>
      </c>
      <c r="E65" s="519">
        <v>211</v>
      </c>
      <c r="F65" s="175">
        <f t="shared" si="0"/>
        <v>118</v>
      </c>
      <c r="G65" s="1540">
        <f t="shared" si="19"/>
        <v>2612</v>
      </c>
      <c r="H65" s="1162">
        <f t="shared" si="1"/>
        <v>80.285298582995964</v>
      </c>
      <c r="I65" s="29">
        <f t="shared" si="2"/>
        <v>1.0704706477732795</v>
      </c>
      <c r="J65" s="111">
        <v>75</v>
      </c>
      <c r="K65" s="577">
        <v>71</v>
      </c>
      <c r="L65" s="959">
        <f t="shared" si="20"/>
        <v>4</v>
      </c>
      <c r="M65" s="29">
        <f t="shared" si="3"/>
        <v>0.75157893333924075</v>
      </c>
      <c r="N65" s="29">
        <v>0.9756999999999999</v>
      </c>
      <c r="O65" s="111">
        <v>68.980891719745216</v>
      </c>
      <c r="P65" s="29">
        <f t="shared" si="30"/>
        <v>0.85919705023498583</v>
      </c>
      <c r="Q65" s="1558">
        <f t="shared" si="34"/>
        <v>3.2533976283339233E-2</v>
      </c>
      <c r="R65" s="961">
        <f t="shared" si="35"/>
        <v>3.5126760563380287E-2</v>
      </c>
      <c r="S65" s="961">
        <f t="shared" si="36"/>
        <v>1.2708261230941107E-2</v>
      </c>
      <c r="T65" s="1535">
        <f t="shared" si="37"/>
        <v>3.7865558633425674E-2</v>
      </c>
      <c r="U65" s="1544">
        <v>6827</v>
      </c>
      <c r="V65" s="175">
        <v>6030</v>
      </c>
      <c r="W65" s="175">
        <f t="shared" si="8"/>
        <v>5819</v>
      </c>
      <c r="X65" s="964">
        <f t="shared" si="21"/>
        <v>1.008</v>
      </c>
      <c r="Y65" s="1536">
        <f t="shared" si="38"/>
        <v>0.53411088989875621</v>
      </c>
      <c r="Z65" s="111">
        <f t="shared" si="10"/>
        <v>0.47388911010124379</v>
      </c>
      <c r="AA65" s="1536">
        <f t="shared" si="11"/>
        <v>0</v>
      </c>
      <c r="AB65" s="111">
        <f t="shared" si="12"/>
        <v>2.9973178137651786</v>
      </c>
      <c r="AC65" s="111">
        <f t="shared" si="22"/>
        <v>1.008</v>
      </c>
      <c r="AD65" s="111">
        <f t="shared" si="23"/>
        <v>0.47388911010124379</v>
      </c>
      <c r="AE65" s="111">
        <f t="shared" si="24"/>
        <v>83.967348745184538</v>
      </c>
      <c r="AF65" s="29">
        <f t="shared" si="13"/>
        <v>3.4468967323307412E-2</v>
      </c>
      <c r="AG65" s="587">
        <f t="shared" si="39"/>
        <v>3.085889110101244</v>
      </c>
      <c r="AH65" s="964">
        <f t="shared" si="25"/>
        <v>0</v>
      </c>
      <c r="AI65" s="964">
        <v>0</v>
      </c>
      <c r="AJ65" s="964">
        <f t="shared" si="26"/>
        <v>0</v>
      </c>
      <c r="AK65" s="964">
        <f t="shared" si="27"/>
        <v>1.008</v>
      </c>
      <c r="AL65" s="964">
        <f t="shared" si="40"/>
        <v>0.61032076794605683</v>
      </c>
      <c r="AM65" s="961">
        <f t="shared" si="16"/>
        <v>5.7134274875180573E-3</v>
      </c>
      <c r="AN65" s="964">
        <f t="shared" si="28"/>
        <v>0.39767923205394318</v>
      </c>
      <c r="AO65" s="965"/>
      <c r="AP65" s="1544">
        <v>90</v>
      </c>
      <c r="AQ65" s="175">
        <v>89</v>
      </c>
      <c r="AR65" s="175">
        <f t="shared" si="17"/>
        <v>89.5</v>
      </c>
      <c r="AS65" s="175"/>
      <c r="AT65" s="175"/>
      <c r="AU65" s="111"/>
      <c r="AV65" s="111">
        <v>5.3</v>
      </c>
      <c r="AW65" s="175">
        <f t="shared" si="18"/>
        <v>74.059458355549651</v>
      </c>
      <c r="AX65" s="385"/>
      <c r="AY65" s="385"/>
      <c r="AZ65" s="385"/>
      <c r="BA65" s="385"/>
      <c r="BB65" s="305"/>
      <c r="BC65" s="385"/>
      <c r="BD65" s="385"/>
    </row>
    <row r="66" spans="1:56" s="87" customFormat="1" ht="12" customHeight="1">
      <c r="A66" s="79">
        <v>1755</v>
      </c>
      <c r="B66" s="1540">
        <f t="shared" si="42"/>
        <v>107.6545019867073</v>
      </c>
      <c r="C66" s="1031">
        <v>2731</v>
      </c>
      <c r="D66" s="519">
        <v>2419</v>
      </c>
      <c r="E66" s="519">
        <v>211</v>
      </c>
      <c r="F66" s="175">
        <f t="shared" si="0"/>
        <v>101</v>
      </c>
      <c r="G66" s="1540">
        <f t="shared" si="19"/>
        <v>2520</v>
      </c>
      <c r="H66" s="1162">
        <f t="shared" si="1"/>
        <v>77.287980769230785</v>
      </c>
      <c r="I66" s="29">
        <f t="shared" si="2"/>
        <v>1.0704706477732795</v>
      </c>
      <c r="J66" s="111">
        <v>72.2</v>
      </c>
      <c r="K66" s="959">
        <v>70.900000000000006</v>
      </c>
      <c r="L66" s="959">
        <f t="shared" si="20"/>
        <v>1.2999999999999972</v>
      </c>
      <c r="M66" s="29">
        <f t="shared" si="3"/>
        <v>0.71792613725317278</v>
      </c>
      <c r="N66" s="29">
        <v>0.97970000000000002</v>
      </c>
      <c r="O66" s="111">
        <v>64.540059347181014</v>
      </c>
      <c r="P66" s="29">
        <f t="shared" si="30"/>
        <v>0.8350594582084766</v>
      </c>
      <c r="Q66" s="1558">
        <f t="shared" si="34"/>
        <v>3.2605328473055931E-2</v>
      </c>
      <c r="R66" s="961">
        <f t="shared" si="35"/>
        <v>3.4118476727785611E-2</v>
      </c>
      <c r="S66" s="961">
        <f t="shared" si="36"/>
        <v>1.5810943027018864E-2</v>
      </c>
      <c r="T66" s="1535">
        <f t="shared" si="37"/>
        <v>3.9045517241379307E-2</v>
      </c>
      <c r="U66" s="1544">
        <v>6938</v>
      </c>
      <c r="V66" s="175">
        <v>7119</v>
      </c>
      <c r="W66" s="175">
        <f t="shared" si="8"/>
        <v>6908</v>
      </c>
      <c r="X66" s="964">
        <f t="shared" si="21"/>
        <v>0.03</v>
      </c>
      <c r="Y66" s="1536">
        <f t="shared" si="38"/>
        <v>0.53827250993353648</v>
      </c>
      <c r="Z66" s="111">
        <f t="shared" si="10"/>
        <v>-0.50827250993353645</v>
      </c>
      <c r="AA66" s="1536">
        <f t="shared" si="11"/>
        <v>0</v>
      </c>
      <c r="AB66" s="111">
        <f t="shared" si="12"/>
        <v>-0.32114119433197175</v>
      </c>
      <c r="AC66" s="111">
        <f t="shared" si="22"/>
        <v>0.03</v>
      </c>
      <c r="AD66" s="111">
        <f t="shared" si="23"/>
        <v>-0.50827250993353645</v>
      </c>
      <c r="AE66" s="111">
        <f t="shared" si="24"/>
        <v>83.493459635083298</v>
      </c>
      <c r="AF66" s="29">
        <f t="shared" si="13"/>
        <v>5.7642539339587837E-2</v>
      </c>
      <c r="AG66" s="587">
        <f t="shared" si="39"/>
        <v>2.0117274900664635</v>
      </c>
      <c r="AH66" s="964">
        <f t="shared" si="25"/>
        <v>0</v>
      </c>
      <c r="AI66" s="964">
        <v>0</v>
      </c>
      <c r="AJ66" s="964">
        <f t="shared" si="26"/>
        <v>0</v>
      </c>
      <c r="AK66" s="964">
        <f t="shared" si="27"/>
        <v>0.03</v>
      </c>
      <c r="AL66" s="964">
        <f t="shared" si="40"/>
        <v>0.6150761908059208</v>
      </c>
      <c r="AM66" s="961">
        <f t="shared" si="16"/>
        <v>5.7134274875180573E-3</v>
      </c>
      <c r="AN66" s="964">
        <f t="shared" si="28"/>
        <v>-0.58507619080592077</v>
      </c>
      <c r="AO66" s="965"/>
      <c r="AP66" s="1544">
        <v>92</v>
      </c>
      <c r="AQ66" s="175">
        <v>91</v>
      </c>
      <c r="AR66" s="175">
        <f t="shared" si="17"/>
        <v>91.5</v>
      </c>
      <c r="AS66" s="175"/>
      <c r="AT66" s="175"/>
      <c r="AU66" s="111"/>
      <c r="AV66" s="111">
        <v>5</v>
      </c>
      <c r="AW66" s="175">
        <f t="shared" si="18"/>
        <v>74.059458355549651</v>
      </c>
      <c r="AX66" s="385"/>
      <c r="AY66" s="385"/>
      <c r="AZ66" s="385"/>
      <c r="BA66" s="385"/>
      <c r="BB66" s="305"/>
      <c r="BC66" s="385"/>
      <c r="BD66" s="385"/>
    </row>
    <row r="67" spans="1:56" s="87" customFormat="1" ht="12" customHeight="1">
      <c r="A67" s="79">
        <v>1756</v>
      </c>
      <c r="B67" s="1540">
        <f t="shared" si="42"/>
        <v>108.48682599366337</v>
      </c>
      <c r="C67" s="1031">
        <v>2761</v>
      </c>
      <c r="D67" s="519">
        <v>2463</v>
      </c>
      <c r="E67" s="519">
        <v>207</v>
      </c>
      <c r="F67" s="175">
        <f t="shared" si="0"/>
        <v>91</v>
      </c>
      <c r="G67" s="1540">
        <f t="shared" si="19"/>
        <v>2554</v>
      </c>
      <c r="H67" s="1162">
        <f t="shared" si="1"/>
        <v>77.609121963562757</v>
      </c>
      <c r="I67" s="29">
        <f t="shared" si="2"/>
        <v>1.0704706477732795</v>
      </c>
      <c r="J67" s="111">
        <v>72.5</v>
      </c>
      <c r="K67" s="959">
        <v>71.8</v>
      </c>
      <c r="L67" s="959">
        <f t="shared" si="20"/>
        <v>0.70000000000000284</v>
      </c>
      <c r="M67" s="29">
        <f t="shared" si="3"/>
        <v>0.71537830748312092</v>
      </c>
      <c r="N67" s="29">
        <v>1.0081</v>
      </c>
      <c r="O67" s="111">
        <v>66.017699115044238</v>
      </c>
      <c r="P67" s="29">
        <f t="shared" si="30"/>
        <v>0.85064355123150781</v>
      </c>
      <c r="Q67" s="1558">
        <f t="shared" si="34"/>
        <v>3.290850270409057E-2</v>
      </c>
      <c r="R67" s="961">
        <f t="shared" si="35"/>
        <v>3.4303621169916435E-2</v>
      </c>
      <c r="S67" s="961">
        <f t="shared" si="36"/>
        <v>1.5665017978756517E-2</v>
      </c>
      <c r="T67" s="1535">
        <f t="shared" si="37"/>
        <v>3.868659517426274E-2</v>
      </c>
      <c r="U67" s="1544">
        <v>7006</v>
      </c>
      <c r="V67" s="175">
        <v>9589</v>
      </c>
      <c r="W67" s="175">
        <f t="shared" si="8"/>
        <v>9382</v>
      </c>
      <c r="X67" s="964">
        <f t="shared" si="21"/>
        <v>-2.3759999999999999</v>
      </c>
      <c r="Y67" s="1536">
        <f t="shared" si="38"/>
        <v>0.54243412996831686</v>
      </c>
      <c r="Z67" s="111">
        <f t="shared" si="10"/>
        <v>-2.9184341299683165</v>
      </c>
      <c r="AA67" s="1536">
        <f t="shared" si="11"/>
        <v>0</v>
      </c>
      <c r="AB67" s="111">
        <f t="shared" si="12"/>
        <v>-2.2479883603238875</v>
      </c>
      <c r="AC67" s="111">
        <f t="shared" si="22"/>
        <v>-2.3759999999999999</v>
      </c>
      <c r="AD67" s="111">
        <f t="shared" si="23"/>
        <v>-2.9184341299683165</v>
      </c>
      <c r="AE67" s="111">
        <f t="shared" si="24"/>
        <v>84.001732145016831</v>
      </c>
      <c r="AF67" s="29">
        <f t="shared" si="13"/>
        <v>5.8925220854258026E-2</v>
      </c>
      <c r="AG67" s="587">
        <f t="shared" si="39"/>
        <v>-0.3644341299683167</v>
      </c>
      <c r="AH67" s="964">
        <f t="shared" si="25"/>
        <v>0</v>
      </c>
      <c r="AI67" s="964">
        <v>0</v>
      </c>
      <c r="AJ67" s="964">
        <f t="shared" si="26"/>
        <v>0</v>
      </c>
      <c r="AK67" s="964">
        <f t="shared" si="27"/>
        <v>-2.3759999999999999</v>
      </c>
      <c r="AL67" s="964">
        <f t="shared" si="40"/>
        <v>0.61983161366578476</v>
      </c>
      <c r="AM67" s="961">
        <f t="shared" si="16"/>
        <v>5.7134274875180573E-3</v>
      </c>
      <c r="AN67" s="964">
        <f t="shared" si="28"/>
        <v>-2.9958316136657848</v>
      </c>
      <c r="AO67" s="965"/>
      <c r="AP67" s="1544">
        <v>92</v>
      </c>
      <c r="AQ67" s="175">
        <v>93</v>
      </c>
      <c r="AR67" s="175">
        <f t="shared" si="17"/>
        <v>92.5</v>
      </c>
      <c r="AS67" s="175"/>
      <c r="AT67" s="175"/>
      <c r="AU67" s="111"/>
      <c r="AV67" s="111">
        <v>5.2</v>
      </c>
      <c r="AW67" s="175">
        <f t="shared" si="18"/>
        <v>74.059458355549651</v>
      </c>
      <c r="AX67" s="385"/>
      <c r="AY67" s="385"/>
      <c r="AZ67" s="385"/>
      <c r="BA67" s="305"/>
      <c r="BB67" s="305"/>
      <c r="BC67" s="305"/>
      <c r="BD67" s="305"/>
    </row>
    <row r="68" spans="1:56" s="87" customFormat="1" ht="12" customHeight="1">
      <c r="A68" s="79">
        <v>1757</v>
      </c>
      <c r="B68" s="1540">
        <f t="shared" si="42"/>
        <v>109.31915000061944</v>
      </c>
      <c r="C68" s="1031">
        <v>2805</v>
      </c>
      <c r="D68" s="519">
        <v>2525</v>
      </c>
      <c r="E68" s="519">
        <v>205</v>
      </c>
      <c r="F68" s="175">
        <f t="shared" si="0"/>
        <v>75</v>
      </c>
      <c r="G68" s="1540">
        <f t="shared" si="19"/>
        <v>2600</v>
      </c>
      <c r="H68" s="1162">
        <f t="shared" si="1"/>
        <v>79.857110323886644</v>
      </c>
      <c r="I68" s="29">
        <f t="shared" si="2"/>
        <v>1.0704706477732795</v>
      </c>
      <c r="J68" s="111">
        <v>74.599999999999994</v>
      </c>
      <c r="K68" s="959">
        <v>73.8</v>
      </c>
      <c r="L68" s="959">
        <f t="shared" si="20"/>
        <v>0.79999999999999716</v>
      </c>
      <c r="M68" s="29">
        <f t="shared" si="3"/>
        <v>0.73049516323017649</v>
      </c>
      <c r="N68" s="29">
        <v>1.0514000000000001</v>
      </c>
      <c r="O68" s="111">
        <v>72.710280373831779</v>
      </c>
      <c r="P68" s="29">
        <f t="shared" si="30"/>
        <v>0.91050477633026594</v>
      </c>
      <c r="Q68" s="1558">
        <f t="shared" si="34"/>
        <v>3.2558152798853462E-2</v>
      </c>
      <c r="R68" s="961">
        <f t="shared" si="35"/>
        <v>3.4214092140921408E-2</v>
      </c>
      <c r="S68" s="961">
        <f t="shared" si="36"/>
        <v>1.2382141976881639E-2</v>
      </c>
      <c r="T68" s="1535">
        <f t="shared" si="37"/>
        <v>3.5758354755784059E-2</v>
      </c>
      <c r="U68" s="1544">
        <v>7969</v>
      </c>
      <c r="V68" s="175">
        <v>11214</v>
      </c>
      <c r="W68" s="175">
        <f t="shared" si="8"/>
        <v>11009</v>
      </c>
      <c r="X68" s="964">
        <f t="shared" si="21"/>
        <v>-3.04</v>
      </c>
      <c r="Y68" s="1536">
        <f t="shared" si="38"/>
        <v>0.54659575000309724</v>
      </c>
      <c r="Z68" s="111">
        <f t="shared" si="10"/>
        <v>-3.5865957500030974</v>
      </c>
      <c r="AA68" s="1536">
        <f t="shared" si="11"/>
        <v>0</v>
      </c>
      <c r="AB68" s="111">
        <f t="shared" si="12"/>
        <v>-3.4255060728744979</v>
      </c>
      <c r="AC68" s="111">
        <f t="shared" si="22"/>
        <v>-3.04</v>
      </c>
      <c r="AD68" s="111">
        <f t="shared" si="23"/>
        <v>-3.5865957500030974</v>
      </c>
      <c r="AE68" s="111">
        <f t="shared" si="24"/>
        <v>86.920166274985149</v>
      </c>
      <c r="AF68" s="29">
        <f t="shared" si="13"/>
        <v>6.4609503010757796E-2</v>
      </c>
      <c r="AG68" s="587">
        <f t="shared" si="39"/>
        <v>-0.98659575000309729</v>
      </c>
      <c r="AH68" s="964">
        <f t="shared" si="25"/>
        <v>0</v>
      </c>
      <c r="AI68" s="964">
        <v>0</v>
      </c>
      <c r="AJ68" s="964">
        <f t="shared" si="26"/>
        <v>0</v>
      </c>
      <c r="AK68" s="964">
        <f t="shared" si="27"/>
        <v>-3.04</v>
      </c>
      <c r="AL68" s="964">
        <f t="shared" si="40"/>
        <v>0.62458703652564873</v>
      </c>
      <c r="AM68" s="961">
        <f t="shared" si="16"/>
        <v>5.7134274875180573E-3</v>
      </c>
      <c r="AN68" s="964">
        <f t="shared" si="28"/>
        <v>-3.6645870365256488</v>
      </c>
      <c r="AO68" s="965"/>
      <c r="AP68" s="1544">
        <v>109</v>
      </c>
      <c r="AQ68" s="175">
        <v>94</v>
      </c>
      <c r="AR68" s="175">
        <f t="shared" si="17"/>
        <v>101.5</v>
      </c>
      <c r="AS68" s="175"/>
      <c r="AT68" s="175"/>
      <c r="AU68" s="111"/>
      <c r="AV68" s="111">
        <v>6.3</v>
      </c>
      <c r="AW68" s="175">
        <f t="shared" si="18"/>
        <v>74.059458355549651</v>
      </c>
      <c r="AX68" s="385"/>
      <c r="AY68" s="385"/>
      <c r="AZ68" s="385"/>
      <c r="BA68" s="385"/>
      <c r="BB68" s="305"/>
      <c r="BC68" s="385"/>
      <c r="BD68" s="385"/>
    </row>
    <row r="69" spans="1:56" s="87" customFormat="1" ht="12" customHeight="1">
      <c r="A69" s="79">
        <v>1758</v>
      </c>
      <c r="B69" s="1540">
        <f t="shared" si="42"/>
        <v>110.15147400757552</v>
      </c>
      <c r="C69" s="1031">
        <v>2895</v>
      </c>
      <c r="D69" s="519">
        <v>2492</v>
      </c>
      <c r="E69" s="519">
        <v>239</v>
      </c>
      <c r="F69" s="175">
        <f t="shared" si="0"/>
        <v>164</v>
      </c>
      <c r="G69" s="1540">
        <f t="shared" si="19"/>
        <v>2656</v>
      </c>
      <c r="H69" s="1162">
        <f t="shared" si="1"/>
        <v>83.282616396761142</v>
      </c>
      <c r="I69" s="29">
        <f t="shared" si="2"/>
        <v>1.0704706477732795</v>
      </c>
      <c r="J69" s="111">
        <v>77.8</v>
      </c>
      <c r="K69" s="959">
        <v>76.8</v>
      </c>
      <c r="L69" s="959">
        <f t="shared" si="20"/>
        <v>1</v>
      </c>
      <c r="M69" s="29">
        <f t="shared" si="3"/>
        <v>0.75607355368693019</v>
      </c>
      <c r="N69" s="29">
        <v>1.0947</v>
      </c>
      <c r="O69" s="111">
        <v>68.607242339832865</v>
      </c>
      <c r="P69" s="29">
        <f t="shared" si="30"/>
        <v>0.82378826828621343</v>
      </c>
      <c r="Q69" s="1558">
        <f t="shared" si="34"/>
        <v>3.1891409214940221E-2</v>
      </c>
      <c r="R69" s="961">
        <f t="shared" si="35"/>
        <v>3.2447916666666667E-2</v>
      </c>
      <c r="S69" s="961">
        <f t="shared" si="36"/>
        <v>2.5298427357499965E-2</v>
      </c>
      <c r="T69" s="1535">
        <f t="shared" si="37"/>
        <v>3.8713114088509949E-2</v>
      </c>
      <c r="U69" s="1544">
        <v>7946</v>
      </c>
      <c r="V69" s="175">
        <v>13200</v>
      </c>
      <c r="W69" s="175">
        <f t="shared" si="8"/>
        <v>12961</v>
      </c>
      <c r="X69" s="964">
        <f t="shared" si="21"/>
        <v>-5.0149999999999997</v>
      </c>
      <c r="Y69" s="1536">
        <f t="shared" si="38"/>
        <v>0.55075737003787761</v>
      </c>
      <c r="Z69" s="111">
        <f t="shared" si="10"/>
        <v>-5.5657573700378773</v>
      </c>
      <c r="AA69" s="1536">
        <f t="shared" si="11"/>
        <v>0</v>
      </c>
      <c r="AB69" s="111">
        <f t="shared" si="12"/>
        <v>-4.6030237854250942</v>
      </c>
      <c r="AC69" s="111">
        <f t="shared" si="22"/>
        <v>-5.0149999999999997</v>
      </c>
      <c r="AD69" s="111">
        <f t="shared" si="23"/>
        <v>-5.5657573700378773</v>
      </c>
      <c r="AE69" s="111">
        <f t="shared" si="24"/>
        <v>90.506762024988248</v>
      </c>
      <c r="AF69" s="29">
        <f t="shared" si="13"/>
        <v>6.5583739966387333E-2</v>
      </c>
      <c r="AG69" s="587">
        <f t="shared" si="39"/>
        <v>-2.9097573700378772</v>
      </c>
      <c r="AH69" s="964">
        <f t="shared" si="25"/>
        <v>0</v>
      </c>
      <c r="AI69" s="964">
        <v>0</v>
      </c>
      <c r="AJ69" s="964">
        <f t="shared" si="26"/>
        <v>0</v>
      </c>
      <c r="AK69" s="964">
        <f t="shared" si="27"/>
        <v>-5.0149999999999997</v>
      </c>
      <c r="AL69" s="964">
        <f t="shared" si="40"/>
        <v>0.62934245938551281</v>
      </c>
      <c r="AM69" s="961">
        <f t="shared" si="16"/>
        <v>5.7134274875180573E-3</v>
      </c>
      <c r="AN69" s="964">
        <f t="shared" si="28"/>
        <v>-5.6443424593855127</v>
      </c>
      <c r="AO69" s="965"/>
      <c r="AP69" s="1544">
        <v>106</v>
      </c>
      <c r="AQ69" s="175">
        <v>101</v>
      </c>
      <c r="AR69" s="175">
        <f t="shared" si="17"/>
        <v>103.5</v>
      </c>
      <c r="AS69" s="175"/>
      <c r="AT69" s="175"/>
      <c r="AU69" s="111"/>
      <c r="AV69" s="111">
        <v>6.3</v>
      </c>
      <c r="AW69" s="175">
        <f t="shared" si="18"/>
        <v>74.059458355549651</v>
      </c>
      <c r="AX69" s="385"/>
      <c r="AY69" s="385"/>
      <c r="AZ69" s="385"/>
      <c r="BA69" s="385"/>
      <c r="BB69" s="305"/>
      <c r="BC69" s="385"/>
      <c r="BD69" s="385"/>
    </row>
    <row r="70" spans="1:56" s="87" customFormat="1" ht="12" customHeight="1">
      <c r="A70" s="79">
        <v>1759</v>
      </c>
      <c r="B70" s="1540">
        <f t="shared" si="42"/>
        <v>110.98379801453159</v>
      </c>
      <c r="C70" s="1031">
        <v>2947</v>
      </c>
      <c r="D70" s="519">
        <v>2623</v>
      </c>
      <c r="E70" s="519">
        <v>240</v>
      </c>
      <c r="F70" s="175">
        <f t="shared" si="0"/>
        <v>84</v>
      </c>
      <c r="G70" s="1540">
        <f t="shared" si="19"/>
        <v>2707</v>
      </c>
      <c r="H70" s="1162">
        <f t="shared" si="1"/>
        <v>87.885640182186236</v>
      </c>
      <c r="I70" s="29">
        <f t="shared" si="2"/>
        <v>1.0704706477732795</v>
      </c>
      <c r="J70" s="111">
        <v>82.1</v>
      </c>
      <c r="K70" s="959">
        <v>81.8</v>
      </c>
      <c r="L70" s="959">
        <f t="shared" si="20"/>
        <v>0.29999999999999716</v>
      </c>
      <c r="M70" s="29">
        <f t="shared" si="3"/>
        <v>0.79187810972804329</v>
      </c>
      <c r="N70" s="29">
        <v>1.2173</v>
      </c>
      <c r="O70" s="111">
        <v>72.652519893899211</v>
      </c>
      <c r="P70" s="29">
        <f t="shared" si="30"/>
        <v>0.82667111195061116</v>
      </c>
      <c r="Q70" s="1558">
        <f t="shared" si="34"/>
        <v>3.0801391380758113E-2</v>
      </c>
      <c r="R70" s="961">
        <f t="shared" si="35"/>
        <v>3.2066014669926653E-2</v>
      </c>
      <c r="S70" s="961">
        <f t="shared" si="36"/>
        <v>1.3802984975333093E-2</v>
      </c>
      <c r="T70" s="1535">
        <f t="shared" si="37"/>
        <v>3.7259547280029205E-2</v>
      </c>
      <c r="U70" s="1544">
        <v>8155</v>
      </c>
      <c r="V70" s="175">
        <v>15382</v>
      </c>
      <c r="W70" s="175">
        <f t="shared" si="8"/>
        <v>15142</v>
      </c>
      <c r="X70" s="964">
        <f t="shared" si="21"/>
        <v>-6.9870000000000001</v>
      </c>
      <c r="Y70" s="1536">
        <f t="shared" si="38"/>
        <v>0.55491899007265799</v>
      </c>
      <c r="Z70" s="111">
        <f t="shared" si="10"/>
        <v>-7.5419189900726584</v>
      </c>
      <c r="AA70" s="1536">
        <f t="shared" si="11"/>
        <v>0</v>
      </c>
      <c r="AB70" s="111">
        <f t="shared" si="12"/>
        <v>-9.8483299595141744</v>
      </c>
      <c r="AC70" s="111">
        <f t="shared" si="22"/>
        <v>-6.9870000000000001</v>
      </c>
      <c r="AD70" s="111">
        <f t="shared" si="23"/>
        <v>-7.5419189900726584</v>
      </c>
      <c r="AE70" s="111">
        <f t="shared" si="24"/>
        <v>96.07251939502612</v>
      </c>
      <c r="AF70" s="29">
        <f t="shared" si="13"/>
        <v>7.3766435815865131E-2</v>
      </c>
      <c r="AG70" s="587">
        <f t="shared" si="39"/>
        <v>-4.8349189900726586</v>
      </c>
      <c r="AH70" s="964">
        <f t="shared" si="25"/>
        <v>0</v>
      </c>
      <c r="AI70" s="964">
        <v>0</v>
      </c>
      <c r="AJ70" s="964">
        <f t="shared" si="26"/>
        <v>0</v>
      </c>
      <c r="AK70" s="964">
        <f t="shared" si="27"/>
        <v>-6.9870000000000001</v>
      </c>
      <c r="AL70" s="964">
        <f t="shared" si="40"/>
        <v>0.63409788224537678</v>
      </c>
      <c r="AM70" s="961">
        <f t="shared" si="16"/>
        <v>5.7134274875180573E-3</v>
      </c>
      <c r="AN70" s="964">
        <f t="shared" si="28"/>
        <v>-7.621097882245377</v>
      </c>
      <c r="AO70" s="965"/>
      <c r="AP70" s="1544">
        <v>100</v>
      </c>
      <c r="AQ70" s="175">
        <v>101</v>
      </c>
      <c r="AR70" s="175">
        <f t="shared" si="17"/>
        <v>100.5</v>
      </c>
      <c r="AS70" s="175"/>
      <c r="AT70" s="175"/>
      <c r="AU70" s="111"/>
      <c r="AV70" s="111">
        <v>5.8</v>
      </c>
      <c r="AW70" s="963">
        <f>AW$71</f>
        <v>74.059458355549651</v>
      </c>
      <c r="AX70" s="385"/>
      <c r="AY70" s="385"/>
      <c r="AZ70" s="385"/>
      <c r="BA70" s="385"/>
      <c r="BB70" s="305"/>
      <c r="BC70" s="385"/>
      <c r="BD70" s="385"/>
    </row>
    <row r="71" spans="1:56" s="87" customFormat="1" ht="12" customHeight="1">
      <c r="A71" s="79">
        <v>1760</v>
      </c>
      <c r="B71" s="1540">
        <f>TableUK2!B16*1000</f>
        <v>111.81612202148763</v>
      </c>
      <c r="C71" s="1031">
        <v>3372</v>
      </c>
      <c r="D71" s="519">
        <v>2915</v>
      </c>
      <c r="E71" s="519">
        <v>237</v>
      </c>
      <c r="F71" s="175">
        <f t="shared" si="0"/>
        <v>220</v>
      </c>
      <c r="G71" s="1540">
        <f t="shared" si="19"/>
        <v>3135</v>
      </c>
      <c r="H71" s="1162">
        <f t="shared" si="1"/>
        <v>97.733970141700411</v>
      </c>
      <c r="I71" s="29">
        <f t="shared" si="2"/>
        <v>1.0704706477732795</v>
      </c>
      <c r="J71" s="111">
        <v>91.3</v>
      </c>
      <c r="K71" s="959">
        <v>89.3</v>
      </c>
      <c r="L71" s="959">
        <f t="shared" si="20"/>
        <v>2</v>
      </c>
      <c r="M71" s="29">
        <f t="shared" si="3"/>
        <v>0.87405973642082613</v>
      </c>
      <c r="N71" s="29">
        <v>1.3208000000000002</v>
      </c>
      <c r="O71" s="111">
        <v>78.230769230769226</v>
      </c>
      <c r="P71" s="29">
        <f t="shared" si="30"/>
        <v>0.80044603854059848</v>
      </c>
      <c r="Q71" s="1558">
        <f t="shared" si="34"/>
        <v>3.2076871485469123E-2</v>
      </c>
      <c r="R71" s="961">
        <f t="shared" si="35"/>
        <v>3.2642777155655098E-2</v>
      </c>
      <c r="S71" s="961">
        <f t="shared" si="36"/>
        <v>2.6084986821597253E-2</v>
      </c>
      <c r="T71" s="1535">
        <f t="shared" si="37"/>
        <v>4.0073746312684365E-2</v>
      </c>
      <c r="U71" s="1544">
        <v>9207</v>
      </c>
      <c r="V71" s="175">
        <v>17993</v>
      </c>
      <c r="W71" s="175">
        <f t="shared" si="8"/>
        <v>17756</v>
      </c>
      <c r="X71" s="964">
        <f t="shared" si="21"/>
        <v>-8.5489999999999995</v>
      </c>
      <c r="Y71" s="1536">
        <f t="shared" si="38"/>
        <v>0.55908061010743815</v>
      </c>
      <c r="Z71" s="111">
        <f t="shared" si="10"/>
        <v>-9.1080806101074376</v>
      </c>
      <c r="AA71" s="1536">
        <f t="shared" si="11"/>
        <v>0</v>
      </c>
      <c r="AB71" s="111">
        <f t="shared" si="12"/>
        <v>-11.132894736842118</v>
      </c>
      <c r="AC71" s="111">
        <f t="shared" si="22"/>
        <v>-8.5489999999999995</v>
      </c>
      <c r="AD71" s="111">
        <f t="shared" si="23"/>
        <v>-9.1080806101074376</v>
      </c>
      <c r="AE71" s="111">
        <f t="shared" si="24"/>
        <v>103.61443838509878</v>
      </c>
      <c r="AF71" s="29">
        <f t="shared" si="13"/>
        <v>5.2590522163416857E-2</v>
      </c>
      <c r="AG71" s="587">
        <f t="shared" si="39"/>
        <v>-5.9730806101074378</v>
      </c>
      <c r="AH71" s="964">
        <f t="shared" si="25"/>
        <v>0</v>
      </c>
      <c r="AI71" s="964">
        <v>0</v>
      </c>
      <c r="AJ71" s="964">
        <f t="shared" si="26"/>
        <v>0</v>
      </c>
      <c r="AK71" s="964">
        <f t="shared" si="27"/>
        <v>-8.5489999999999995</v>
      </c>
      <c r="AL71" s="964">
        <f t="shared" si="40"/>
        <v>0.63885330510524063</v>
      </c>
      <c r="AM71" s="961">
        <f t="shared" si="16"/>
        <v>5.7134274875180573E-3</v>
      </c>
      <c r="AN71" s="964">
        <f t="shared" si="28"/>
        <v>-9.1878533051052393</v>
      </c>
      <c r="AO71" s="965"/>
      <c r="AP71" s="1544">
        <v>98</v>
      </c>
      <c r="AQ71" s="175">
        <v>102</v>
      </c>
      <c r="AR71" s="175">
        <f t="shared" si="17"/>
        <v>100</v>
      </c>
      <c r="AS71" s="175"/>
      <c r="AT71" s="175"/>
      <c r="AU71" s="111"/>
      <c r="AV71" s="111">
        <v>5.6</v>
      </c>
      <c r="AW71" s="169">
        <f t="shared" ref="AW71:AW99" si="43">AW72*AR71/AR72</f>
        <v>74.059458355549651</v>
      </c>
      <c r="AX71" s="385"/>
      <c r="AY71" s="385"/>
      <c r="AZ71" s="385"/>
      <c r="BA71" s="385"/>
      <c r="BB71" s="305"/>
      <c r="BC71" s="385"/>
      <c r="BD71" s="385"/>
    </row>
    <row r="72" spans="1:56" s="87" customFormat="1" ht="12" customHeight="1">
      <c r="A72" s="79">
        <v>1761</v>
      </c>
      <c r="B72" s="1540">
        <f>B71+(B$81-B$71)/10</f>
        <v>112.61542236851244</v>
      </c>
      <c r="C72" s="1031">
        <v>3823</v>
      </c>
      <c r="D72" s="519">
        <v>3247</v>
      </c>
      <c r="E72" s="519">
        <v>298</v>
      </c>
      <c r="F72" s="175">
        <f t="shared" si="0"/>
        <v>278</v>
      </c>
      <c r="G72" s="1540">
        <f t="shared" si="19"/>
        <v>3525</v>
      </c>
      <c r="H72" s="1162">
        <f t="shared" si="1"/>
        <v>108.86686487854253</v>
      </c>
      <c r="I72" s="29">
        <f t="shared" si="2"/>
        <v>1.0704706477732795</v>
      </c>
      <c r="J72" s="111">
        <v>101.7</v>
      </c>
      <c r="K72" s="959">
        <v>97.6</v>
      </c>
      <c r="L72" s="959">
        <f t="shared" si="20"/>
        <v>4.1000000000000085</v>
      </c>
      <c r="M72" s="29">
        <f t="shared" si="3"/>
        <v>0.96671364000479909</v>
      </c>
      <c r="N72" s="29">
        <v>1.4275</v>
      </c>
      <c r="O72" s="111">
        <v>79.860139860139853</v>
      </c>
      <c r="P72" s="29">
        <f t="shared" si="30"/>
        <v>0.73355781806737919</v>
      </c>
      <c r="Q72" s="1558">
        <f t="shared" si="34"/>
        <v>3.2378997998451335E-2</v>
      </c>
      <c r="R72" s="961">
        <f t="shared" si="35"/>
        <v>3.3268442622950818E-2</v>
      </c>
      <c r="S72" s="961">
        <f t="shared" si="36"/>
        <v>2.4674122126861049E-2</v>
      </c>
      <c r="T72" s="1535">
        <f t="shared" si="37"/>
        <v>4.4139667250437831E-2</v>
      </c>
      <c r="U72" s="1544">
        <v>9594</v>
      </c>
      <c r="V72" s="175">
        <v>21112</v>
      </c>
      <c r="W72" s="175">
        <f t="shared" si="8"/>
        <v>20814</v>
      </c>
      <c r="X72" s="964">
        <f t="shared" si="21"/>
        <v>-11.22</v>
      </c>
      <c r="Y72" s="1536">
        <f t="shared" si="38"/>
        <v>0.56307711184256226</v>
      </c>
      <c r="Z72" s="111">
        <f t="shared" si="10"/>
        <v>-11.783077111842562</v>
      </c>
      <c r="AA72" s="1536">
        <f t="shared" si="11"/>
        <v>0</v>
      </c>
      <c r="AB72" s="111">
        <f t="shared" si="12"/>
        <v>-13.380883097165992</v>
      </c>
      <c r="AC72" s="111">
        <f t="shared" si="22"/>
        <v>-11.22</v>
      </c>
      <c r="AD72" s="111">
        <f t="shared" si="23"/>
        <v>-11.783077111842562</v>
      </c>
      <c r="AE72" s="111">
        <f t="shared" si="24"/>
        <v>112.72251899520622</v>
      </c>
      <c r="AF72" s="29">
        <f t="shared" si="13"/>
        <v>3.4237354312332061E-2</v>
      </c>
      <c r="AG72" s="587">
        <f t="shared" si="39"/>
        <v>-8.258077111842562</v>
      </c>
      <c r="AH72" s="964">
        <f t="shared" si="25"/>
        <v>0</v>
      </c>
      <c r="AI72" s="964">
        <v>0</v>
      </c>
      <c r="AJ72" s="964">
        <f t="shared" si="26"/>
        <v>0</v>
      </c>
      <c r="AK72" s="964">
        <f t="shared" si="27"/>
        <v>-11.22</v>
      </c>
      <c r="AL72" s="964">
        <f t="shared" si="40"/>
        <v>0.64342004967871491</v>
      </c>
      <c r="AM72" s="961">
        <f t="shared" si="16"/>
        <v>5.7134274875180573E-3</v>
      </c>
      <c r="AN72" s="964">
        <f t="shared" si="28"/>
        <v>-11.863420049678716</v>
      </c>
      <c r="AO72" s="965"/>
      <c r="AP72" s="1544">
        <v>94</v>
      </c>
      <c r="AQ72" s="175">
        <v>101</v>
      </c>
      <c r="AR72" s="175">
        <f t="shared" si="17"/>
        <v>97.5</v>
      </c>
      <c r="AS72" s="175"/>
      <c r="AT72" s="175"/>
      <c r="AU72" s="111"/>
      <c r="AV72" s="111">
        <v>5.3</v>
      </c>
      <c r="AW72" s="169">
        <f t="shared" si="43"/>
        <v>72.207971896660908</v>
      </c>
      <c r="AX72" s="385"/>
      <c r="AY72" s="385"/>
      <c r="AZ72" s="385"/>
      <c r="BA72" s="385"/>
      <c r="BB72" s="305"/>
      <c r="BC72" s="385"/>
      <c r="BD72" s="385"/>
    </row>
    <row r="73" spans="1:56" s="87" customFormat="1" ht="12" customHeight="1">
      <c r="A73" s="79">
        <v>1762</v>
      </c>
      <c r="B73" s="1540">
        <f t="shared" ref="B73:B80" si="44">B72+(B$81-B$71)/10</f>
        <v>113.41472271553727</v>
      </c>
      <c r="C73" s="1031">
        <v>4404</v>
      </c>
      <c r="D73" s="519">
        <v>3681</v>
      </c>
      <c r="E73" s="519">
        <v>418</v>
      </c>
      <c r="F73" s="175">
        <f t="shared" si="0"/>
        <v>305</v>
      </c>
      <c r="G73" s="1540">
        <f t="shared" si="19"/>
        <v>3986</v>
      </c>
      <c r="H73" s="1162">
        <f t="shared" si="1"/>
        <v>122.24774797570852</v>
      </c>
      <c r="I73" s="29">
        <f t="shared" si="2"/>
        <v>1.0704706477732795</v>
      </c>
      <c r="J73" s="111">
        <v>114.2</v>
      </c>
      <c r="K73" s="959">
        <v>109.9</v>
      </c>
      <c r="L73" s="959">
        <f t="shared" si="20"/>
        <v>4.2999999999999972</v>
      </c>
      <c r="M73" s="29">
        <f t="shared" si="3"/>
        <v>1.0778825274944765</v>
      </c>
      <c r="N73" s="29">
        <v>1.5438999999999998</v>
      </c>
      <c r="O73" s="111">
        <v>112.70029673590504</v>
      </c>
      <c r="P73" s="29">
        <f t="shared" si="30"/>
        <v>0.92190080064541868</v>
      </c>
      <c r="Q73" s="1558">
        <f t="shared" si="34"/>
        <v>3.2605917622237475E-2</v>
      </c>
      <c r="R73" s="961">
        <f t="shared" si="35"/>
        <v>3.3494085532302091E-2</v>
      </c>
      <c r="S73" s="961">
        <f t="shared" si="36"/>
        <v>2.4700860480795412E-2</v>
      </c>
      <c r="T73" s="1535">
        <f t="shared" si="37"/>
        <v>3.5368141126908899E-2</v>
      </c>
      <c r="U73" s="1544">
        <v>9459</v>
      </c>
      <c r="V73" s="175">
        <v>20040</v>
      </c>
      <c r="W73" s="175">
        <f t="shared" si="8"/>
        <v>19622</v>
      </c>
      <c r="X73" s="964">
        <f t="shared" si="21"/>
        <v>-10.163</v>
      </c>
      <c r="Y73" s="1536">
        <f t="shared" si="38"/>
        <v>0.56707361357768638</v>
      </c>
      <c r="Z73" s="111">
        <f t="shared" si="10"/>
        <v>-10.730073613577687</v>
      </c>
      <c r="AA73" s="1536">
        <f t="shared" si="11"/>
        <v>0</v>
      </c>
      <c r="AB73" s="111">
        <f t="shared" si="12"/>
        <v>-13.273836032388644</v>
      </c>
      <c r="AC73" s="111">
        <f t="shared" si="22"/>
        <v>-10.163</v>
      </c>
      <c r="AD73" s="111">
        <f t="shared" si="23"/>
        <v>-10.730073613577687</v>
      </c>
      <c r="AE73" s="111">
        <f t="shared" si="24"/>
        <v>124.50559610704877</v>
      </c>
      <c r="AF73" s="29">
        <f t="shared" si="13"/>
        <v>1.9907892708103753E-2</v>
      </c>
      <c r="AG73" s="587">
        <f t="shared" si="39"/>
        <v>-6.7440736135776866</v>
      </c>
      <c r="AH73" s="964">
        <f t="shared" si="25"/>
        <v>0</v>
      </c>
      <c r="AI73" s="964">
        <v>0</v>
      </c>
      <c r="AJ73" s="964">
        <f t="shared" si="26"/>
        <v>0</v>
      </c>
      <c r="AK73" s="964">
        <f t="shared" si="27"/>
        <v>-10.163</v>
      </c>
      <c r="AL73" s="964">
        <f t="shared" si="40"/>
        <v>0.64798679425218919</v>
      </c>
      <c r="AM73" s="961">
        <f t="shared" si="16"/>
        <v>5.7134274875180573E-3</v>
      </c>
      <c r="AN73" s="964">
        <f t="shared" si="28"/>
        <v>-10.810986794252189</v>
      </c>
      <c r="AO73" s="965"/>
      <c r="AP73" s="1544">
        <v>94</v>
      </c>
      <c r="AQ73" s="175">
        <v>102</v>
      </c>
      <c r="AR73" s="175">
        <f t="shared" si="17"/>
        <v>98</v>
      </c>
      <c r="AS73" s="175"/>
      <c r="AT73" s="175"/>
      <c r="AU73" s="111"/>
      <c r="AV73" s="111">
        <v>5.5</v>
      </c>
      <c r="AW73" s="169">
        <f t="shared" si="43"/>
        <v>72.578269188438654</v>
      </c>
      <c r="AX73" s="385"/>
      <c r="AY73" s="385"/>
      <c r="AZ73" s="385"/>
      <c r="BA73" s="385"/>
      <c r="BB73" s="305"/>
      <c r="BC73" s="385"/>
      <c r="BD73" s="385"/>
    </row>
    <row r="74" spans="1:56" s="87" customFormat="1" ht="12" customHeight="1">
      <c r="A74" s="79">
        <v>1763</v>
      </c>
      <c r="B74" s="1540">
        <f t="shared" si="44"/>
        <v>114.21402306256209</v>
      </c>
      <c r="C74" s="1031">
        <v>4666</v>
      </c>
      <c r="D74" s="519">
        <v>3989</v>
      </c>
      <c r="E74" s="519">
        <v>474</v>
      </c>
      <c r="F74" s="175">
        <f t="shared" si="0"/>
        <v>203</v>
      </c>
      <c r="G74" s="1540">
        <f t="shared" si="19"/>
        <v>4192</v>
      </c>
      <c r="H74" s="1162">
        <f t="shared" si="1"/>
        <v>135.52158400809716</v>
      </c>
      <c r="I74" s="29">
        <f t="shared" si="2"/>
        <v>1.0704706477732795</v>
      </c>
      <c r="J74" s="111">
        <v>126.6</v>
      </c>
      <c r="K74" s="959">
        <v>121.9</v>
      </c>
      <c r="L74" s="959">
        <f t="shared" si="20"/>
        <v>4.6999999999999886</v>
      </c>
      <c r="M74" s="29">
        <f t="shared" si="3"/>
        <v>1.1865581858881165</v>
      </c>
      <c r="N74" s="29">
        <v>1.5786000000000002</v>
      </c>
      <c r="O74" s="111">
        <v>110.19390581717451</v>
      </c>
      <c r="P74" s="29">
        <f t="shared" si="30"/>
        <v>0.81310963580967754</v>
      </c>
      <c r="Q74" s="1558">
        <f t="shared" si="34"/>
        <v>3.0932342111272368E-2</v>
      </c>
      <c r="R74" s="961">
        <f t="shared" si="35"/>
        <v>3.272354388843314E-2</v>
      </c>
      <c r="S74" s="961">
        <f t="shared" si="36"/>
        <v>1.4902818929085598E-2</v>
      </c>
      <c r="T74" s="1535">
        <f t="shared" si="37"/>
        <v>3.804203117144294E-2</v>
      </c>
      <c r="U74" s="1544">
        <v>9793</v>
      </c>
      <c r="V74" s="175">
        <v>17723</v>
      </c>
      <c r="W74" s="175">
        <f t="shared" si="8"/>
        <v>17249</v>
      </c>
      <c r="X74" s="964">
        <f t="shared" si="21"/>
        <v>-7.4560000000000004</v>
      </c>
      <c r="Y74" s="1536">
        <f t="shared" si="38"/>
        <v>0.57107011531281049</v>
      </c>
      <c r="Z74" s="111">
        <f t="shared" si="10"/>
        <v>-8.0270701153128101</v>
      </c>
      <c r="AA74" s="1536">
        <f t="shared" si="11"/>
        <v>0</v>
      </c>
      <c r="AB74" s="111">
        <f t="shared" si="12"/>
        <v>-6.4228238866396907</v>
      </c>
      <c r="AC74" s="111">
        <f t="shared" si="22"/>
        <v>-7.4560000000000004</v>
      </c>
      <c r="AD74" s="111">
        <f t="shared" si="23"/>
        <v>-8.0270701153128101</v>
      </c>
      <c r="AE74" s="111">
        <f t="shared" si="24"/>
        <v>135.23566972062645</v>
      </c>
      <c r="AF74" s="29">
        <f t="shared" si="13"/>
        <v>-2.5033203437208802E-3</v>
      </c>
      <c r="AG74" s="587">
        <f t="shared" si="39"/>
        <v>-3.8350701153128099</v>
      </c>
      <c r="AH74" s="964">
        <f t="shared" si="25"/>
        <v>0</v>
      </c>
      <c r="AI74" s="964">
        <v>0</v>
      </c>
      <c r="AJ74" s="964">
        <f t="shared" si="26"/>
        <v>0</v>
      </c>
      <c r="AK74" s="964">
        <f t="shared" si="27"/>
        <v>-7.4560000000000004</v>
      </c>
      <c r="AL74" s="964">
        <f t="shared" si="40"/>
        <v>0.65255353882566358</v>
      </c>
      <c r="AM74" s="961">
        <f t="shared" si="16"/>
        <v>5.7134274875180573E-3</v>
      </c>
      <c r="AN74" s="964">
        <f t="shared" si="28"/>
        <v>-8.1085535388256638</v>
      </c>
      <c r="AO74" s="965"/>
      <c r="AP74" s="1544">
        <v>100</v>
      </c>
      <c r="AQ74" s="175">
        <v>102</v>
      </c>
      <c r="AR74" s="175">
        <f t="shared" si="17"/>
        <v>101</v>
      </c>
      <c r="AS74" s="175"/>
      <c r="AT74" s="175"/>
      <c r="AU74" s="111"/>
      <c r="AV74" s="111">
        <v>5.7</v>
      </c>
      <c r="AW74" s="169">
        <f t="shared" si="43"/>
        <v>74.800052939105143</v>
      </c>
      <c r="AX74" s="385"/>
      <c r="AY74" s="385"/>
      <c r="AZ74" s="385"/>
      <c r="BA74" s="385"/>
      <c r="BB74" s="305"/>
      <c r="BC74" s="385"/>
      <c r="BD74" s="385"/>
    </row>
    <row r="75" spans="1:56" s="87" customFormat="1" ht="12" customHeight="1">
      <c r="A75" s="79">
        <v>1764</v>
      </c>
      <c r="B75" s="1540">
        <f t="shared" si="44"/>
        <v>115.01332340958692</v>
      </c>
      <c r="C75" s="1031">
        <v>4887</v>
      </c>
      <c r="D75" s="519">
        <v>4230</v>
      </c>
      <c r="E75" s="519">
        <v>474</v>
      </c>
      <c r="F75" s="175">
        <f t="shared" ref="F75:F138" si="45">C75-D75-E75</f>
        <v>183</v>
      </c>
      <c r="G75" s="1540">
        <f t="shared" si="19"/>
        <v>4413</v>
      </c>
      <c r="H75" s="1162">
        <f t="shared" ref="H75:H138" si="46">J75*I75</f>
        <v>141.94440789473686</v>
      </c>
      <c r="I75" s="29">
        <f t="shared" ref="I75:I138" si="47">I$147</f>
        <v>1.0704706477732795</v>
      </c>
      <c r="J75" s="111">
        <v>132.6</v>
      </c>
      <c r="K75" s="959">
        <v>129.1</v>
      </c>
      <c r="L75" s="959">
        <f t="shared" si="20"/>
        <v>3.5</v>
      </c>
      <c r="M75" s="29">
        <f t="shared" ref="M75:M138" si="48">H75/B75</f>
        <v>1.2341562150086092</v>
      </c>
      <c r="N75" s="29">
        <v>1.5425</v>
      </c>
      <c r="O75" s="111">
        <v>118.06451612903224</v>
      </c>
      <c r="P75" s="29">
        <f t="shared" si="30"/>
        <v>0.83176588553306396</v>
      </c>
      <c r="Q75" s="1558">
        <f t="shared" ref="Q75:Q111" si="49">(C75-E75)/H75/1000</f>
        <v>3.108963618540431E-2</v>
      </c>
      <c r="R75" s="961">
        <f t="shared" ref="R75:R111" si="50">(D75/1000)/K75</f>
        <v>3.2765298218435324E-2</v>
      </c>
      <c r="S75" s="961">
        <f t="shared" ref="S75:S111" si="51">F75/(H75-K75)/1000</f>
        <v>1.4247445386329275E-2</v>
      </c>
      <c r="T75" s="1535">
        <f t="shared" ref="T75:T111" si="52">(G75/1000)/O75</f>
        <v>3.7377868852459022E-2</v>
      </c>
      <c r="U75" s="1544">
        <v>10221</v>
      </c>
      <c r="V75" s="175">
        <v>10686</v>
      </c>
      <c r="W75" s="175">
        <f t="shared" ref="W75:W138" si="53">V75-E75</f>
        <v>10212</v>
      </c>
      <c r="X75" s="964">
        <f t="shared" si="21"/>
        <v>8.9999999999999993E-3</v>
      </c>
      <c r="Y75" s="1536">
        <f t="shared" ref="Y75:Y106" si="54">0.005*B75</f>
        <v>0.5750666170479346</v>
      </c>
      <c r="Z75" s="111">
        <f t="shared" ref="Z75:Z138" si="55">(X75-Y75)</f>
        <v>-0.56606661704793459</v>
      </c>
      <c r="AA75" s="1536">
        <f t="shared" ref="AA75:AA138" si="56">IF(((Z75-AB75)/B75&gt;0.06),(Z75-AB75),0)</f>
        <v>0</v>
      </c>
      <c r="AB75" s="111">
        <f t="shared" ref="AB75:AB138" si="57">H75-H76</f>
        <v>-1.712753036437249</v>
      </c>
      <c r="AC75" s="111">
        <f t="shared" si="22"/>
        <v>8.9999999999999993E-3</v>
      </c>
      <c r="AD75" s="111">
        <f t="shared" si="23"/>
        <v>-0.56606661704793459</v>
      </c>
      <c r="AE75" s="111">
        <f t="shared" si="24"/>
        <v>143.26273983593927</v>
      </c>
      <c r="AF75" s="29">
        <f t="shared" ref="AF75:AF138" si="58">(AE75-H75)/B75</f>
        <v>1.1462428022426198E-2</v>
      </c>
      <c r="AG75" s="587">
        <f t="shared" ref="AG75:AG111" si="59">AD75+G75/1000</f>
        <v>3.8469333829520655</v>
      </c>
      <c r="AH75" s="964">
        <f t="shared" si="25"/>
        <v>0</v>
      </c>
      <c r="AI75" s="964">
        <v>0</v>
      </c>
      <c r="AJ75" s="964">
        <f t="shared" si="26"/>
        <v>0</v>
      </c>
      <c r="AK75" s="964">
        <f t="shared" si="27"/>
        <v>8.9999999999999993E-3</v>
      </c>
      <c r="AL75" s="964">
        <f t="shared" ref="AL75:AL106" si="60">AM75*B75</f>
        <v>0.65712028339913797</v>
      </c>
      <c r="AM75" s="961">
        <f t="shared" ref="AM75:AM138" si="61">AM$166</f>
        <v>5.7134274875180573E-3</v>
      </c>
      <c r="AN75" s="964">
        <f t="shared" si="28"/>
        <v>-0.64812028339913796</v>
      </c>
      <c r="AO75" s="965"/>
      <c r="AP75" s="1544">
        <v>102</v>
      </c>
      <c r="AQ75" s="175">
        <v>101</v>
      </c>
      <c r="AR75" s="175">
        <f t="shared" ref="AR75:AR111" si="62">(AP75+AQ75)/2</f>
        <v>101.5</v>
      </c>
      <c r="AS75" s="175"/>
      <c r="AT75" s="175"/>
      <c r="AU75" s="111"/>
      <c r="AV75" s="111">
        <v>6.2</v>
      </c>
      <c r="AW75" s="169">
        <f t="shared" si="43"/>
        <v>75.170350230882889</v>
      </c>
      <c r="AX75" s="385"/>
      <c r="AY75" s="385"/>
      <c r="AZ75" s="385"/>
      <c r="BA75" s="385"/>
      <c r="BB75" s="305"/>
      <c r="BC75" s="385"/>
      <c r="BD75" s="385"/>
    </row>
    <row r="76" spans="1:56" s="87" customFormat="1" ht="12" customHeight="1">
      <c r="A76" s="79">
        <v>1765</v>
      </c>
      <c r="B76" s="1540">
        <f t="shared" si="44"/>
        <v>115.81262375661174</v>
      </c>
      <c r="C76" s="1031">
        <v>4828</v>
      </c>
      <c r="D76" s="519">
        <v>4224</v>
      </c>
      <c r="E76" s="519">
        <v>469</v>
      </c>
      <c r="F76" s="175">
        <f t="shared" si="45"/>
        <v>135</v>
      </c>
      <c r="G76" s="1540">
        <f t="shared" ref="G76:G139" si="63">C76-E76</f>
        <v>4359</v>
      </c>
      <c r="H76" s="1162">
        <f t="shared" si="46"/>
        <v>143.6571609311741</v>
      </c>
      <c r="I76" s="29">
        <f t="shared" si="47"/>
        <v>1.0704706477732795</v>
      </c>
      <c r="J76" s="111">
        <v>134.19999999999999</v>
      </c>
      <c r="K76" s="959">
        <v>129.19999999999999</v>
      </c>
      <c r="L76" s="959">
        <f t="shared" ref="L76:L139" si="64">J76-K76</f>
        <v>5</v>
      </c>
      <c r="M76" s="29">
        <f t="shared" si="48"/>
        <v>1.2404274790723988</v>
      </c>
      <c r="N76" s="29">
        <v>1.5011000000000001</v>
      </c>
      <c r="O76" s="111">
        <v>118.2300884955752</v>
      </c>
      <c r="P76" s="29">
        <f t="shared" si="30"/>
        <v>0.82300170579188203</v>
      </c>
      <c r="Q76" s="1558">
        <f t="shared" si="49"/>
        <v>3.0343074941376499E-2</v>
      </c>
      <c r="R76" s="961">
        <f t="shared" si="50"/>
        <v>3.2693498452012387E-2</v>
      </c>
      <c r="S76" s="961">
        <f t="shared" si="51"/>
        <v>9.3379329899342962E-3</v>
      </c>
      <c r="T76" s="1535">
        <f t="shared" si="52"/>
        <v>3.6868787425149707E-2</v>
      </c>
      <c r="U76" s="1544">
        <v>10928</v>
      </c>
      <c r="V76" s="175">
        <v>12017</v>
      </c>
      <c r="W76" s="175">
        <f t="shared" si="53"/>
        <v>11548</v>
      </c>
      <c r="X76" s="964">
        <f t="shared" ref="X76:X111" si="65">(U76-W76)/1000</f>
        <v>-0.62</v>
      </c>
      <c r="Y76" s="1536">
        <f t="shared" si="54"/>
        <v>0.57906311878305872</v>
      </c>
      <c r="Z76" s="111">
        <f t="shared" si="55"/>
        <v>-1.1990631187830587</v>
      </c>
      <c r="AA76" s="1536">
        <f t="shared" si="56"/>
        <v>0</v>
      </c>
      <c r="AB76" s="111">
        <f t="shared" si="57"/>
        <v>0.64228238866397191</v>
      </c>
      <c r="AC76" s="111">
        <f t="shared" ref="AC76:AC139" si="66">X76-AA76</f>
        <v>-0.62</v>
      </c>
      <c r="AD76" s="111">
        <f t="shared" ref="AD76:AD139" si="67">Z76-AA76</f>
        <v>-1.1990631187830587</v>
      </c>
      <c r="AE76" s="111">
        <f t="shared" ref="AE76:AE139" si="68">AE75-AD75</f>
        <v>143.82880645298721</v>
      </c>
      <c r="AF76" s="29">
        <f t="shared" si="58"/>
        <v>1.482096823691945E-3</v>
      </c>
      <c r="AG76" s="587">
        <f t="shared" si="59"/>
        <v>3.1599368812169413</v>
      </c>
      <c r="AH76" s="964">
        <f t="shared" ref="AH76:AH139" si="69">AI76</f>
        <v>0</v>
      </c>
      <c r="AI76" s="964">
        <v>0</v>
      </c>
      <c r="AJ76" s="964">
        <f t="shared" ref="AJ76:AJ139" si="70">AH76-AI76</f>
        <v>0</v>
      </c>
      <c r="AK76" s="964">
        <f t="shared" ref="AK76:AK139" si="71">AH76+AC76</f>
        <v>-0.62</v>
      </c>
      <c r="AL76" s="964">
        <f t="shared" si="60"/>
        <v>0.66168702797261225</v>
      </c>
      <c r="AM76" s="961">
        <f t="shared" si="61"/>
        <v>5.7134274875180573E-3</v>
      </c>
      <c r="AN76" s="964">
        <f t="shared" ref="AN76:AN139" si="72">AK76-AL76</f>
        <v>-1.2816870279726122</v>
      </c>
      <c r="AO76" s="965"/>
      <c r="AP76" s="1544">
        <v>106</v>
      </c>
      <c r="AQ76" s="175">
        <v>99</v>
      </c>
      <c r="AR76" s="175">
        <f t="shared" si="62"/>
        <v>102.5</v>
      </c>
      <c r="AS76" s="175"/>
      <c r="AT76" s="175"/>
      <c r="AU76" s="175">
        <f>AU86*AVERAGE(AR72:AR81)/AVERAGE(AR82:AR91)</f>
        <v>88.791029884179181</v>
      </c>
      <c r="AV76" s="111">
        <v>6.4</v>
      </c>
      <c r="AW76" s="169">
        <f t="shared" si="43"/>
        <v>75.91094481443838</v>
      </c>
      <c r="AX76" s="385"/>
      <c r="AY76" s="385"/>
      <c r="AZ76" s="385"/>
      <c r="BA76" s="385"/>
      <c r="BB76" s="305"/>
      <c r="BC76" s="385"/>
      <c r="BD76" s="385"/>
    </row>
    <row r="77" spans="1:56" s="87" customFormat="1" ht="12" customHeight="1">
      <c r="A77" s="79">
        <v>1766</v>
      </c>
      <c r="B77" s="1540">
        <f t="shared" si="44"/>
        <v>116.61192410363657</v>
      </c>
      <c r="C77" s="1031">
        <v>4686</v>
      </c>
      <c r="D77" s="519">
        <v>4046</v>
      </c>
      <c r="E77" s="519">
        <v>472</v>
      </c>
      <c r="F77" s="175">
        <f t="shared" si="45"/>
        <v>168</v>
      </c>
      <c r="G77" s="1540">
        <f t="shared" si="63"/>
        <v>4214</v>
      </c>
      <c r="H77" s="1162">
        <f t="shared" si="46"/>
        <v>143.01487854251013</v>
      </c>
      <c r="I77" s="29">
        <f t="shared" si="47"/>
        <v>1.0704706477732795</v>
      </c>
      <c r="J77" s="111">
        <v>133.6</v>
      </c>
      <c r="K77" s="959">
        <v>130.6</v>
      </c>
      <c r="L77" s="959">
        <f t="shared" si="64"/>
        <v>3</v>
      </c>
      <c r="M77" s="29">
        <f t="shared" si="48"/>
        <v>1.2264172780084519</v>
      </c>
      <c r="N77" s="29">
        <v>1.4488999999999999</v>
      </c>
      <c r="O77" s="111">
        <v>118.66468842729971</v>
      </c>
      <c r="P77" s="29">
        <f t="shared" ref="P77:P140" si="73">O77/H77</f>
        <v>0.8297366654199374</v>
      </c>
      <c r="Q77" s="1558">
        <f t="shared" si="49"/>
        <v>2.9465465711998765E-2</v>
      </c>
      <c r="R77" s="961">
        <f t="shared" si="50"/>
        <v>3.0980091883614093E-2</v>
      </c>
      <c r="S77" s="961">
        <f t="shared" si="51"/>
        <v>1.353215010720777E-2</v>
      </c>
      <c r="T77" s="1535">
        <f t="shared" si="52"/>
        <v>3.5511827956989248E-2</v>
      </c>
      <c r="U77" s="1544">
        <v>10276</v>
      </c>
      <c r="V77" s="175">
        <v>10314</v>
      </c>
      <c r="W77" s="175">
        <f t="shared" si="53"/>
        <v>9842</v>
      </c>
      <c r="X77" s="964">
        <f t="shared" si="65"/>
        <v>0.434</v>
      </c>
      <c r="Y77" s="1536">
        <f t="shared" si="54"/>
        <v>0.58305962051818283</v>
      </c>
      <c r="Z77" s="111">
        <f t="shared" si="55"/>
        <v>-0.14905962051818283</v>
      </c>
      <c r="AA77" s="1536">
        <f t="shared" si="56"/>
        <v>0</v>
      </c>
      <c r="AB77" s="111">
        <f t="shared" si="57"/>
        <v>0.32114119433197175</v>
      </c>
      <c r="AC77" s="111">
        <f t="shared" si="66"/>
        <v>0.434</v>
      </c>
      <c r="AD77" s="111">
        <f t="shared" si="67"/>
        <v>-0.14905962051818283</v>
      </c>
      <c r="AE77" s="111">
        <f t="shared" si="68"/>
        <v>145.02786957177028</v>
      </c>
      <c r="AF77" s="29">
        <f t="shared" si="58"/>
        <v>1.726230867669367E-2</v>
      </c>
      <c r="AG77" s="587">
        <f t="shared" si="59"/>
        <v>4.0649403794818175</v>
      </c>
      <c r="AH77" s="964">
        <f t="shared" si="69"/>
        <v>0</v>
      </c>
      <c r="AI77" s="964">
        <v>0</v>
      </c>
      <c r="AJ77" s="964">
        <f t="shared" si="70"/>
        <v>0</v>
      </c>
      <c r="AK77" s="964">
        <f t="shared" si="71"/>
        <v>0.434</v>
      </c>
      <c r="AL77" s="964">
        <f t="shared" si="60"/>
        <v>0.66625377254608664</v>
      </c>
      <c r="AM77" s="961">
        <f t="shared" si="61"/>
        <v>5.7134274875180573E-3</v>
      </c>
      <c r="AN77" s="964">
        <f t="shared" si="72"/>
        <v>-0.23225377254608665</v>
      </c>
      <c r="AO77" s="965"/>
      <c r="AP77" s="1544">
        <v>107</v>
      </c>
      <c r="AQ77" s="175">
        <v>99</v>
      </c>
      <c r="AR77" s="175">
        <f t="shared" si="62"/>
        <v>103</v>
      </c>
      <c r="AS77" s="175"/>
      <c r="AT77" s="175"/>
      <c r="AU77" s="111"/>
      <c r="AV77" s="111">
        <v>6.5</v>
      </c>
      <c r="AW77" s="169">
        <f t="shared" si="43"/>
        <v>76.281242106216126</v>
      </c>
      <c r="AX77" s="385"/>
      <c r="AY77" s="385"/>
      <c r="AZ77" s="385"/>
      <c r="BA77" s="385"/>
      <c r="BB77" s="305"/>
      <c r="BC77" s="385"/>
      <c r="BD77" s="385"/>
    </row>
    <row r="78" spans="1:56" s="87" customFormat="1" ht="12" customHeight="1">
      <c r="A78" s="79">
        <v>1767</v>
      </c>
      <c r="B78" s="1540">
        <f t="shared" si="44"/>
        <v>117.41122445066139</v>
      </c>
      <c r="C78" s="1031">
        <v>5020</v>
      </c>
      <c r="D78" s="519">
        <v>4274</v>
      </c>
      <c r="E78" s="519">
        <v>563</v>
      </c>
      <c r="F78" s="175">
        <f t="shared" si="45"/>
        <v>183</v>
      </c>
      <c r="G78" s="1540">
        <f t="shared" si="63"/>
        <v>4457</v>
      </c>
      <c r="H78" s="1162">
        <f t="shared" si="46"/>
        <v>142.69373734817816</v>
      </c>
      <c r="I78" s="29">
        <f t="shared" si="47"/>
        <v>1.0704706477732795</v>
      </c>
      <c r="J78" s="111">
        <v>133.30000000000001</v>
      </c>
      <c r="K78" s="959">
        <v>131.19999999999999</v>
      </c>
      <c r="L78" s="959">
        <f t="shared" si="64"/>
        <v>2.1000000000000227</v>
      </c>
      <c r="M78" s="29">
        <f t="shared" si="48"/>
        <v>1.215333014503575</v>
      </c>
      <c r="N78" s="29">
        <v>1.4095</v>
      </c>
      <c r="O78" s="111">
        <v>121.35951661631421</v>
      </c>
      <c r="P78" s="29">
        <f t="shared" si="73"/>
        <v>0.85048943893166351</v>
      </c>
      <c r="Q78" s="1558">
        <f t="shared" si="49"/>
        <v>3.1234727485795328E-2</v>
      </c>
      <c r="R78" s="961">
        <f t="shared" si="50"/>
        <v>3.2576219512195123E-2</v>
      </c>
      <c r="S78" s="961">
        <f t="shared" si="51"/>
        <v>1.5921714100157913E-2</v>
      </c>
      <c r="T78" s="1535">
        <f t="shared" si="52"/>
        <v>3.6725591237241721E-2</v>
      </c>
      <c r="U78" s="1544">
        <v>9868</v>
      </c>
      <c r="V78" s="175">
        <v>9638</v>
      </c>
      <c r="W78" s="175">
        <f t="shared" si="53"/>
        <v>9075</v>
      </c>
      <c r="X78" s="964">
        <f t="shared" si="65"/>
        <v>0.79300000000000004</v>
      </c>
      <c r="Y78" s="1536">
        <f t="shared" si="54"/>
        <v>0.58705612225330694</v>
      </c>
      <c r="Z78" s="111">
        <f t="shared" si="55"/>
        <v>0.20594387774669309</v>
      </c>
      <c r="AA78" s="1536">
        <f t="shared" si="56"/>
        <v>0</v>
      </c>
      <c r="AB78" s="111">
        <f t="shared" si="57"/>
        <v>-0.64228238866397191</v>
      </c>
      <c r="AC78" s="111">
        <f t="shared" si="66"/>
        <v>0.79300000000000004</v>
      </c>
      <c r="AD78" s="111">
        <f t="shared" si="67"/>
        <v>0.20594387774669309</v>
      </c>
      <c r="AE78" s="111">
        <f t="shared" si="68"/>
        <v>145.17692919228847</v>
      </c>
      <c r="AF78" s="29">
        <f t="shared" si="58"/>
        <v>2.1149526850848886E-2</v>
      </c>
      <c r="AG78" s="587">
        <f t="shared" si="59"/>
        <v>4.6629438777466934</v>
      </c>
      <c r="AH78" s="964">
        <f t="shared" si="69"/>
        <v>0</v>
      </c>
      <c r="AI78" s="964">
        <v>0</v>
      </c>
      <c r="AJ78" s="964">
        <f t="shared" si="70"/>
        <v>0</v>
      </c>
      <c r="AK78" s="964">
        <f t="shared" si="71"/>
        <v>0.79300000000000004</v>
      </c>
      <c r="AL78" s="964">
        <f t="shared" si="60"/>
        <v>0.67082051711956103</v>
      </c>
      <c r="AM78" s="961">
        <f t="shared" si="61"/>
        <v>5.7134274875180573E-3</v>
      </c>
      <c r="AN78" s="964">
        <f t="shared" si="72"/>
        <v>0.12217948288043901</v>
      </c>
      <c r="AO78" s="965"/>
      <c r="AP78" s="1544">
        <v>109.00000000000001</v>
      </c>
      <c r="AQ78" s="175">
        <v>99</v>
      </c>
      <c r="AR78" s="175">
        <f t="shared" si="62"/>
        <v>104</v>
      </c>
      <c r="AS78" s="175"/>
      <c r="AT78" s="175"/>
      <c r="AU78" s="111"/>
      <c r="AV78" s="111">
        <v>6.8</v>
      </c>
      <c r="AW78" s="169">
        <f t="shared" si="43"/>
        <v>77.021836689771618</v>
      </c>
      <c r="AX78" s="385"/>
      <c r="AY78" s="385"/>
      <c r="AZ78" s="385"/>
      <c r="BA78" s="305"/>
      <c r="BB78" s="305"/>
      <c r="BC78" s="305"/>
      <c r="BD78" s="305"/>
    </row>
    <row r="79" spans="1:56" s="87" customFormat="1" ht="12" customHeight="1">
      <c r="A79" s="79">
        <v>1768</v>
      </c>
      <c r="B79" s="1540">
        <f t="shared" si="44"/>
        <v>118.21052479768622</v>
      </c>
      <c r="C79" s="1031">
        <v>4911</v>
      </c>
      <c r="D79" s="519">
        <v>4299</v>
      </c>
      <c r="E79" s="519">
        <v>463</v>
      </c>
      <c r="F79" s="175">
        <f t="shared" si="45"/>
        <v>149</v>
      </c>
      <c r="G79" s="1540">
        <f t="shared" si="63"/>
        <v>4448</v>
      </c>
      <c r="H79" s="1162">
        <f t="shared" si="46"/>
        <v>143.33601973684213</v>
      </c>
      <c r="I79" s="29">
        <f t="shared" si="47"/>
        <v>1.0704706477732795</v>
      </c>
      <c r="J79" s="111">
        <v>133.9</v>
      </c>
      <c r="K79" s="959">
        <v>131.9</v>
      </c>
      <c r="L79" s="959">
        <f t="shared" si="64"/>
        <v>2</v>
      </c>
      <c r="M79" s="29">
        <f t="shared" si="48"/>
        <v>1.2125487132567718</v>
      </c>
      <c r="N79" s="29">
        <v>1.3531</v>
      </c>
      <c r="O79" s="111">
        <v>114.63976945244956</v>
      </c>
      <c r="P79" s="29">
        <f t="shared" si="73"/>
        <v>0.79979735493508552</v>
      </c>
      <c r="Q79" s="1558">
        <f t="shared" si="49"/>
        <v>3.1031976527367711E-2</v>
      </c>
      <c r="R79" s="961">
        <f t="shared" si="50"/>
        <v>3.2592873388931007E-2</v>
      </c>
      <c r="S79" s="961">
        <f t="shared" si="51"/>
        <v>1.302900864362656E-2</v>
      </c>
      <c r="T79" s="1535">
        <f t="shared" si="52"/>
        <v>3.8799798893916548E-2</v>
      </c>
      <c r="U79" s="1544">
        <v>10131</v>
      </c>
      <c r="V79" s="175">
        <v>9146</v>
      </c>
      <c r="W79" s="175">
        <f t="shared" si="53"/>
        <v>8683</v>
      </c>
      <c r="X79" s="964">
        <f t="shared" si="65"/>
        <v>1.448</v>
      </c>
      <c r="Y79" s="1536">
        <f t="shared" si="54"/>
        <v>0.59105262398843106</v>
      </c>
      <c r="Z79" s="111">
        <f t="shared" si="55"/>
        <v>0.8569473760115689</v>
      </c>
      <c r="AA79" s="1536">
        <f t="shared" si="56"/>
        <v>0</v>
      </c>
      <c r="AB79" s="111">
        <f t="shared" si="57"/>
        <v>1.3916118421052772</v>
      </c>
      <c r="AC79" s="111">
        <f t="shared" si="66"/>
        <v>1.448</v>
      </c>
      <c r="AD79" s="111">
        <f t="shared" si="67"/>
        <v>0.8569473760115689</v>
      </c>
      <c r="AE79" s="111">
        <f t="shared" si="68"/>
        <v>144.97098531454176</v>
      </c>
      <c r="AF79" s="29">
        <f t="shared" si="58"/>
        <v>1.3830964548189141E-2</v>
      </c>
      <c r="AG79" s="587">
        <f t="shared" si="59"/>
        <v>5.3049473760115688</v>
      </c>
      <c r="AH79" s="964">
        <f t="shared" si="69"/>
        <v>0</v>
      </c>
      <c r="AI79" s="964">
        <v>0</v>
      </c>
      <c r="AJ79" s="964">
        <f t="shared" si="70"/>
        <v>0</v>
      </c>
      <c r="AK79" s="964">
        <f t="shared" si="71"/>
        <v>1.448</v>
      </c>
      <c r="AL79" s="964">
        <f t="shared" si="60"/>
        <v>0.67538726169303542</v>
      </c>
      <c r="AM79" s="961">
        <f t="shared" si="61"/>
        <v>5.7134274875180573E-3</v>
      </c>
      <c r="AN79" s="964">
        <f t="shared" si="72"/>
        <v>0.77261273830696453</v>
      </c>
      <c r="AO79" s="965"/>
      <c r="AP79" s="1544">
        <v>108</v>
      </c>
      <c r="AQ79" s="175">
        <v>98</v>
      </c>
      <c r="AR79" s="175">
        <f t="shared" si="62"/>
        <v>103</v>
      </c>
      <c r="AS79" s="175"/>
      <c r="AT79" s="175"/>
      <c r="AU79" s="111"/>
      <c r="AV79" s="111">
        <v>6.7</v>
      </c>
      <c r="AW79" s="169">
        <f t="shared" si="43"/>
        <v>76.281242106216126</v>
      </c>
      <c r="AX79" s="385"/>
      <c r="AY79" s="385"/>
      <c r="AZ79" s="385"/>
      <c r="BA79" s="385"/>
      <c r="BB79" s="305"/>
      <c r="BC79" s="385"/>
      <c r="BD79" s="385"/>
    </row>
    <row r="80" spans="1:56" s="87" customFormat="1" ht="12" customHeight="1">
      <c r="A80" s="79">
        <v>1769</v>
      </c>
      <c r="B80" s="1540">
        <f t="shared" si="44"/>
        <v>119.00982514471104</v>
      </c>
      <c r="C80" s="1031">
        <v>4803</v>
      </c>
      <c r="D80" s="519">
        <v>4191</v>
      </c>
      <c r="E80" s="519">
        <v>466</v>
      </c>
      <c r="F80" s="175">
        <f t="shared" si="45"/>
        <v>146</v>
      </c>
      <c r="G80" s="1540">
        <f t="shared" si="63"/>
        <v>4337</v>
      </c>
      <c r="H80" s="1162">
        <f t="shared" si="46"/>
        <v>141.94440789473686</v>
      </c>
      <c r="I80" s="29">
        <f t="shared" si="47"/>
        <v>1.0704706477732795</v>
      </c>
      <c r="J80" s="111">
        <v>132.6</v>
      </c>
      <c r="K80" s="959">
        <v>130.30000000000001</v>
      </c>
      <c r="L80" s="959">
        <f t="shared" si="64"/>
        <v>2.2999999999999829</v>
      </c>
      <c r="M80" s="29">
        <f t="shared" si="48"/>
        <v>1.192711675041437</v>
      </c>
      <c r="N80" s="29">
        <v>1.2900999999999998</v>
      </c>
      <c r="O80" s="111">
        <v>107.3901098901099</v>
      </c>
      <c r="P80" s="29">
        <f t="shared" si="73"/>
        <v>0.75656456976979514</v>
      </c>
      <c r="Q80" s="1558">
        <f t="shared" si="49"/>
        <v>3.0554215303897233E-2</v>
      </c>
      <c r="R80" s="961">
        <f t="shared" si="50"/>
        <v>3.2164236377590173E-2</v>
      </c>
      <c r="S80" s="961">
        <f t="shared" si="51"/>
        <v>1.2538207293991353E-2</v>
      </c>
      <c r="T80" s="1535">
        <f t="shared" si="52"/>
        <v>4.0385469429521613E-2</v>
      </c>
      <c r="U80" s="1544">
        <v>11130</v>
      </c>
      <c r="V80" s="175">
        <v>9569</v>
      </c>
      <c r="W80" s="175">
        <f t="shared" si="53"/>
        <v>9103</v>
      </c>
      <c r="X80" s="964">
        <f t="shared" si="65"/>
        <v>2.0270000000000001</v>
      </c>
      <c r="Y80" s="1536">
        <f t="shared" si="54"/>
        <v>0.59504912572355528</v>
      </c>
      <c r="Z80" s="111">
        <f t="shared" si="55"/>
        <v>1.4319508742764449</v>
      </c>
      <c r="AA80" s="1536">
        <f t="shared" si="56"/>
        <v>0</v>
      </c>
      <c r="AB80" s="111">
        <f t="shared" si="57"/>
        <v>2.4620824898785258</v>
      </c>
      <c r="AC80" s="111">
        <f t="shared" si="66"/>
        <v>2.0270000000000001</v>
      </c>
      <c r="AD80" s="111">
        <f t="shared" si="67"/>
        <v>1.4319508742764449</v>
      </c>
      <c r="AE80" s="111">
        <f t="shared" si="68"/>
        <v>144.1140379385302</v>
      </c>
      <c r="AF80" s="29">
        <f t="shared" si="58"/>
        <v>1.82306800396956E-2</v>
      </c>
      <c r="AG80" s="587">
        <f t="shared" si="59"/>
        <v>5.7689508742764444</v>
      </c>
      <c r="AH80" s="964">
        <f t="shared" si="69"/>
        <v>0</v>
      </c>
      <c r="AI80" s="964">
        <v>0</v>
      </c>
      <c r="AJ80" s="964">
        <f t="shared" si="70"/>
        <v>0</v>
      </c>
      <c r="AK80" s="964">
        <f t="shared" si="71"/>
        <v>2.0270000000000001</v>
      </c>
      <c r="AL80" s="964">
        <f t="shared" si="60"/>
        <v>0.6799540062665097</v>
      </c>
      <c r="AM80" s="961">
        <f t="shared" si="61"/>
        <v>5.7134274875180573E-3</v>
      </c>
      <c r="AN80" s="964">
        <f t="shared" si="72"/>
        <v>1.3470459937334904</v>
      </c>
      <c r="AO80" s="965"/>
      <c r="AP80" s="1544">
        <v>99</v>
      </c>
      <c r="AQ80" s="175">
        <v>92</v>
      </c>
      <c r="AR80" s="175">
        <f t="shared" si="62"/>
        <v>95.5</v>
      </c>
      <c r="AS80" s="175"/>
      <c r="AT80" s="175"/>
      <c r="AU80" s="111"/>
      <c r="AV80" s="111">
        <v>6.2</v>
      </c>
      <c r="AW80" s="169">
        <f t="shared" si="43"/>
        <v>70.726782729549896</v>
      </c>
      <c r="AX80" s="385"/>
      <c r="AY80" s="385"/>
      <c r="AZ80" s="385"/>
      <c r="BA80" s="385"/>
      <c r="BB80" s="305"/>
      <c r="BC80" s="385"/>
      <c r="BD80" s="385"/>
    </row>
    <row r="81" spans="1:56" s="87" customFormat="1" ht="12" customHeight="1">
      <c r="A81" s="79">
        <v>1770</v>
      </c>
      <c r="B81" s="1540">
        <f>TableUK2!B17*1000</f>
        <v>119.80912549173581</v>
      </c>
      <c r="C81" s="1031">
        <v>4836</v>
      </c>
      <c r="D81" s="519">
        <v>4236</v>
      </c>
      <c r="E81" s="519">
        <v>463</v>
      </c>
      <c r="F81" s="175">
        <f t="shared" si="45"/>
        <v>137</v>
      </c>
      <c r="G81" s="1540">
        <f t="shared" si="63"/>
        <v>4373</v>
      </c>
      <c r="H81" s="1162">
        <f t="shared" si="46"/>
        <v>139.48232540485833</v>
      </c>
      <c r="I81" s="29">
        <f t="shared" si="47"/>
        <v>1.0704706477732795</v>
      </c>
      <c r="J81" s="111">
        <v>130.30000000000001</v>
      </c>
      <c r="K81" s="959">
        <v>128.6</v>
      </c>
      <c r="L81" s="959">
        <f t="shared" si="64"/>
        <v>1.7000000000000171</v>
      </c>
      <c r="M81" s="29">
        <f t="shared" si="48"/>
        <v>1.1642045197507058</v>
      </c>
      <c r="N81" s="29">
        <v>1.2558</v>
      </c>
      <c r="O81" s="111">
        <v>110.36619718309861</v>
      </c>
      <c r="P81" s="29">
        <f t="shared" si="73"/>
        <v>0.79125578715978606</v>
      </c>
      <c r="Q81" s="1558">
        <f t="shared" si="49"/>
        <v>3.1351642491670724E-2</v>
      </c>
      <c r="R81" s="961">
        <f t="shared" si="50"/>
        <v>3.2939346811819592E-2</v>
      </c>
      <c r="S81" s="961">
        <f t="shared" si="51"/>
        <v>1.2589221044505557E-2</v>
      </c>
      <c r="T81" s="1535">
        <f t="shared" si="52"/>
        <v>3.9622639101582438E-2</v>
      </c>
      <c r="U81" s="1544">
        <v>11373</v>
      </c>
      <c r="V81" s="175">
        <v>10524</v>
      </c>
      <c r="W81" s="175">
        <f t="shared" si="53"/>
        <v>10061</v>
      </c>
      <c r="X81" s="964">
        <f t="shared" si="65"/>
        <v>1.3120000000000001</v>
      </c>
      <c r="Y81" s="1536">
        <f t="shared" si="54"/>
        <v>0.59904562745867906</v>
      </c>
      <c r="Z81" s="111">
        <f t="shared" si="55"/>
        <v>0.71295437254132099</v>
      </c>
      <c r="AA81" s="1536">
        <f t="shared" si="56"/>
        <v>0</v>
      </c>
      <c r="AB81" s="111">
        <f t="shared" si="57"/>
        <v>-0.32114119433197175</v>
      </c>
      <c r="AC81" s="111">
        <f t="shared" si="66"/>
        <v>1.3120000000000001</v>
      </c>
      <c r="AD81" s="111">
        <f t="shared" si="67"/>
        <v>0.71295437254132099</v>
      </c>
      <c r="AE81" s="111">
        <f t="shared" si="68"/>
        <v>142.68208706425375</v>
      </c>
      <c r="AF81" s="29">
        <f t="shared" si="58"/>
        <v>2.6707161464225308E-2</v>
      </c>
      <c r="AG81" s="587">
        <f t="shared" si="59"/>
        <v>5.0859543725413214</v>
      </c>
      <c r="AH81" s="964">
        <f t="shared" si="69"/>
        <v>0</v>
      </c>
      <c r="AI81" s="964">
        <v>0</v>
      </c>
      <c r="AJ81" s="964">
        <f t="shared" si="70"/>
        <v>0</v>
      </c>
      <c r="AK81" s="964">
        <f t="shared" si="71"/>
        <v>1.3120000000000001</v>
      </c>
      <c r="AL81" s="964">
        <f t="shared" si="60"/>
        <v>0.68452075083998376</v>
      </c>
      <c r="AM81" s="961">
        <f t="shared" si="61"/>
        <v>5.7134274875180573E-3</v>
      </c>
      <c r="AN81" s="964">
        <f t="shared" si="72"/>
        <v>0.62747924916001629</v>
      </c>
      <c r="AO81" s="965"/>
      <c r="AP81" s="1544">
        <v>100</v>
      </c>
      <c r="AQ81" s="175">
        <v>94</v>
      </c>
      <c r="AR81" s="175">
        <f t="shared" si="62"/>
        <v>97</v>
      </c>
      <c r="AS81" s="175"/>
      <c r="AT81" s="175"/>
      <c r="AU81" s="111"/>
      <c r="AV81" s="111">
        <v>6.2</v>
      </c>
      <c r="AW81" s="169">
        <f t="shared" si="43"/>
        <v>71.837674604883134</v>
      </c>
      <c r="AX81" s="385"/>
      <c r="AY81" s="385"/>
      <c r="AZ81" s="385"/>
      <c r="BA81" s="385"/>
      <c r="BB81" s="305"/>
      <c r="BC81" s="385"/>
      <c r="BD81" s="385"/>
    </row>
    <row r="82" spans="1:56" s="87" customFormat="1" ht="12" customHeight="1">
      <c r="A82" s="79">
        <v>1771</v>
      </c>
      <c r="B82" s="1540">
        <f>B81+(B$91-B$81)/10</f>
        <v>123.0409293437414</v>
      </c>
      <c r="C82" s="1031">
        <v>4611</v>
      </c>
      <c r="D82" s="519">
        <v>4054</v>
      </c>
      <c r="E82" s="519">
        <v>458</v>
      </c>
      <c r="F82" s="175">
        <f t="shared" si="45"/>
        <v>99</v>
      </c>
      <c r="G82" s="1540">
        <f t="shared" si="63"/>
        <v>4153</v>
      </c>
      <c r="H82" s="1162">
        <f t="shared" si="46"/>
        <v>139.8034665991903</v>
      </c>
      <c r="I82" s="29">
        <f t="shared" si="47"/>
        <v>1.0704706477732795</v>
      </c>
      <c r="J82" s="111">
        <v>130.6</v>
      </c>
      <c r="K82" s="959">
        <v>128.6</v>
      </c>
      <c r="L82" s="959">
        <f t="shared" si="64"/>
        <v>2</v>
      </c>
      <c r="M82" s="29">
        <f t="shared" si="48"/>
        <v>1.1362354571349111</v>
      </c>
      <c r="N82" s="29">
        <v>1.2046999999999999</v>
      </c>
      <c r="O82" s="111">
        <v>117.18181818181819</v>
      </c>
      <c r="P82" s="29">
        <f t="shared" si="73"/>
        <v>0.83818964602482082</v>
      </c>
      <c r="Q82" s="1558">
        <f t="shared" si="49"/>
        <v>2.970598727645608E-2</v>
      </c>
      <c r="R82" s="961">
        <f t="shared" si="50"/>
        <v>3.1524105754276832E-2</v>
      </c>
      <c r="S82" s="961">
        <f t="shared" si="51"/>
        <v>8.836550644704462E-3</v>
      </c>
      <c r="T82" s="1535">
        <f t="shared" si="52"/>
        <v>3.5440651667959656E-2</v>
      </c>
      <c r="U82" s="1544">
        <v>10987</v>
      </c>
      <c r="V82" s="175">
        <v>10106</v>
      </c>
      <c r="W82" s="175">
        <f t="shared" si="53"/>
        <v>9648</v>
      </c>
      <c r="X82" s="964">
        <f t="shared" si="65"/>
        <v>1.339</v>
      </c>
      <c r="Y82" s="1536">
        <f t="shared" si="54"/>
        <v>0.615204646718707</v>
      </c>
      <c r="Z82" s="111">
        <f t="shared" si="55"/>
        <v>0.72379535328129296</v>
      </c>
      <c r="AA82" s="1536">
        <f t="shared" si="56"/>
        <v>0</v>
      </c>
      <c r="AB82" s="111">
        <f t="shared" si="57"/>
        <v>1.8198001012145824</v>
      </c>
      <c r="AC82" s="111">
        <f t="shared" si="66"/>
        <v>1.339</v>
      </c>
      <c r="AD82" s="111">
        <f t="shared" si="67"/>
        <v>0.72379535328129296</v>
      </c>
      <c r="AE82" s="111">
        <f t="shared" si="68"/>
        <v>141.96913269171242</v>
      </c>
      <c r="AF82" s="29">
        <f t="shared" si="58"/>
        <v>1.7601184451979068E-2</v>
      </c>
      <c r="AG82" s="587">
        <f t="shared" si="59"/>
        <v>4.8767953532812927</v>
      </c>
      <c r="AH82" s="964">
        <f t="shared" si="69"/>
        <v>0</v>
      </c>
      <c r="AI82" s="964">
        <v>0</v>
      </c>
      <c r="AJ82" s="964">
        <f t="shared" si="70"/>
        <v>0</v>
      </c>
      <c r="AK82" s="964">
        <f t="shared" si="71"/>
        <v>1.339</v>
      </c>
      <c r="AL82" s="964">
        <f t="shared" si="60"/>
        <v>0.70298542780229922</v>
      </c>
      <c r="AM82" s="961">
        <f t="shared" si="61"/>
        <v>5.7134274875180573E-3</v>
      </c>
      <c r="AN82" s="964">
        <f t="shared" si="72"/>
        <v>0.63601457219770074</v>
      </c>
      <c r="AO82" s="965"/>
      <c r="AP82" s="1544">
        <v>107</v>
      </c>
      <c r="AQ82" s="175">
        <v>94</v>
      </c>
      <c r="AR82" s="175">
        <f t="shared" si="62"/>
        <v>100.5</v>
      </c>
      <c r="AS82" s="175"/>
      <c r="AT82" s="175"/>
      <c r="AU82" s="111"/>
      <c r="AV82" s="111">
        <v>6.7</v>
      </c>
      <c r="AW82" s="169">
        <f t="shared" si="43"/>
        <v>74.429755647327369</v>
      </c>
      <c r="AX82" s="385"/>
      <c r="AY82" s="385"/>
      <c r="AZ82" s="385"/>
      <c r="BA82" s="385"/>
      <c r="BB82" s="305"/>
      <c r="BC82" s="385"/>
      <c r="BD82" s="385"/>
    </row>
    <row r="83" spans="1:56" s="87" customFormat="1" ht="12" customHeight="1">
      <c r="A83" s="79">
        <v>1772</v>
      </c>
      <c r="B83" s="1540">
        <f t="shared" ref="B83:B90" si="74">B82+(B$91-B$81)/10</f>
        <v>126.27273319574698</v>
      </c>
      <c r="C83" s="1031">
        <v>4686</v>
      </c>
      <c r="D83" s="519">
        <v>4066</v>
      </c>
      <c r="E83" s="519">
        <v>459</v>
      </c>
      <c r="F83" s="175">
        <f t="shared" si="45"/>
        <v>161</v>
      </c>
      <c r="G83" s="1540">
        <f t="shared" si="63"/>
        <v>4227</v>
      </c>
      <c r="H83" s="1162">
        <f t="shared" si="46"/>
        <v>137.98366649797572</v>
      </c>
      <c r="I83" s="29">
        <f t="shared" si="47"/>
        <v>1.0704706477732795</v>
      </c>
      <c r="J83" s="111">
        <v>128.9</v>
      </c>
      <c r="K83" s="959">
        <v>127.1</v>
      </c>
      <c r="L83" s="959">
        <f t="shared" si="64"/>
        <v>1.8000000000000114</v>
      </c>
      <c r="M83" s="29">
        <f t="shared" si="48"/>
        <v>1.0927431679496042</v>
      </c>
      <c r="N83" s="29">
        <v>1.17</v>
      </c>
      <c r="O83" s="111">
        <v>111.26801152737751</v>
      </c>
      <c r="P83" s="29">
        <f t="shared" si="73"/>
        <v>0.80638538133794158</v>
      </c>
      <c r="Q83" s="1558">
        <f t="shared" si="49"/>
        <v>3.0634060590512081E-2</v>
      </c>
      <c r="R83" s="961">
        <f t="shared" si="50"/>
        <v>3.1990558615263572E-2</v>
      </c>
      <c r="S83" s="961">
        <f t="shared" si="51"/>
        <v>1.4792809025335783E-2</v>
      </c>
      <c r="T83" s="1535">
        <f t="shared" si="52"/>
        <v>3.7989355089355095E-2</v>
      </c>
      <c r="U83" s="1544">
        <v>11033</v>
      </c>
      <c r="V83" s="175">
        <v>10725</v>
      </c>
      <c r="W83" s="175">
        <f t="shared" si="53"/>
        <v>10266</v>
      </c>
      <c r="X83" s="964">
        <f t="shared" si="65"/>
        <v>0.76700000000000002</v>
      </c>
      <c r="Y83" s="1536">
        <f t="shared" si="54"/>
        <v>0.63136366597873494</v>
      </c>
      <c r="Z83" s="111">
        <f t="shared" si="55"/>
        <v>0.13563633402126507</v>
      </c>
      <c r="AA83" s="1536">
        <f t="shared" si="56"/>
        <v>0</v>
      </c>
      <c r="AB83" s="111">
        <f t="shared" si="57"/>
        <v>0.21409412955466678</v>
      </c>
      <c r="AC83" s="111">
        <f t="shared" si="66"/>
        <v>0.76700000000000002</v>
      </c>
      <c r="AD83" s="111">
        <f t="shared" si="67"/>
        <v>0.13563633402126507</v>
      </c>
      <c r="AE83" s="111">
        <f t="shared" si="68"/>
        <v>141.24533733843111</v>
      </c>
      <c r="AF83" s="29">
        <f t="shared" si="58"/>
        <v>2.5830365415462884E-2</v>
      </c>
      <c r="AG83" s="587">
        <f t="shared" si="59"/>
        <v>4.362636334021265</v>
      </c>
      <c r="AH83" s="964">
        <f t="shared" si="69"/>
        <v>0</v>
      </c>
      <c r="AI83" s="964">
        <v>0</v>
      </c>
      <c r="AJ83" s="964">
        <f t="shared" si="70"/>
        <v>0</v>
      </c>
      <c r="AK83" s="964">
        <f t="shared" si="71"/>
        <v>0.76700000000000002</v>
      </c>
      <c r="AL83" s="964">
        <f t="shared" si="60"/>
        <v>0.72145010476461469</v>
      </c>
      <c r="AM83" s="961">
        <f t="shared" si="61"/>
        <v>5.7134274875180573E-3</v>
      </c>
      <c r="AN83" s="964">
        <f t="shared" si="72"/>
        <v>4.5549895235385329E-2</v>
      </c>
      <c r="AO83" s="965"/>
      <c r="AP83" s="1544">
        <v>117</v>
      </c>
      <c r="AQ83" s="175">
        <v>98</v>
      </c>
      <c r="AR83" s="175">
        <f t="shared" si="62"/>
        <v>107.5</v>
      </c>
      <c r="AS83" s="175"/>
      <c r="AT83" s="175"/>
      <c r="AU83" s="111"/>
      <c r="AV83" s="111">
        <v>7.4</v>
      </c>
      <c r="AW83" s="169">
        <f t="shared" si="43"/>
        <v>79.613917732215839</v>
      </c>
      <c r="AX83" s="385"/>
      <c r="AY83" s="385"/>
      <c r="AZ83" s="385"/>
      <c r="BA83" s="385"/>
      <c r="BB83" s="305"/>
      <c r="BC83" s="385"/>
      <c r="BD83" s="385"/>
    </row>
    <row r="84" spans="1:56" s="87" customFormat="1" ht="12" customHeight="1">
      <c r="A84" s="79">
        <v>1773</v>
      </c>
      <c r="B84" s="1540">
        <f t="shared" si="74"/>
        <v>129.50453704775256</v>
      </c>
      <c r="C84" s="1031">
        <v>4649</v>
      </c>
      <c r="D84" s="519">
        <v>4041</v>
      </c>
      <c r="E84" s="519">
        <v>456</v>
      </c>
      <c r="F84" s="175">
        <f t="shared" si="45"/>
        <v>152</v>
      </c>
      <c r="G84" s="1540">
        <f t="shared" si="63"/>
        <v>4193</v>
      </c>
      <c r="H84" s="1162">
        <f t="shared" si="46"/>
        <v>137.76957236842105</v>
      </c>
      <c r="I84" s="29">
        <f t="shared" si="47"/>
        <v>1.0704706477732795</v>
      </c>
      <c r="J84" s="111">
        <v>128.69999999999999</v>
      </c>
      <c r="K84" s="959">
        <v>126.4</v>
      </c>
      <c r="L84" s="959">
        <f t="shared" si="64"/>
        <v>2.2999999999999829</v>
      </c>
      <c r="M84" s="29">
        <f t="shared" si="48"/>
        <v>1.0638204306125654</v>
      </c>
      <c r="N84" s="29">
        <v>1.1406999999999998</v>
      </c>
      <c r="O84" s="111">
        <v>112.74052478134109</v>
      </c>
      <c r="P84" s="29">
        <f t="shared" si="73"/>
        <v>0.81832673821366231</v>
      </c>
      <c r="Q84" s="1558">
        <f t="shared" si="49"/>
        <v>3.0434877077117947E-2</v>
      </c>
      <c r="R84" s="961">
        <f t="shared" si="50"/>
        <v>3.1969936708860759E-2</v>
      </c>
      <c r="S84" s="961">
        <f t="shared" si="51"/>
        <v>1.3369016447987044E-2</v>
      </c>
      <c r="T84" s="1535">
        <f t="shared" si="52"/>
        <v>3.7191595552107576E-2</v>
      </c>
      <c r="U84" s="1544">
        <v>10487</v>
      </c>
      <c r="V84" s="175">
        <v>9977</v>
      </c>
      <c r="W84" s="175">
        <f t="shared" si="53"/>
        <v>9521</v>
      </c>
      <c r="X84" s="964">
        <f t="shared" si="65"/>
        <v>0.96599999999999997</v>
      </c>
      <c r="Y84" s="1536">
        <f t="shared" si="54"/>
        <v>0.64752268523876289</v>
      </c>
      <c r="Z84" s="111">
        <f t="shared" si="55"/>
        <v>0.31847731476123708</v>
      </c>
      <c r="AA84" s="1536">
        <f t="shared" si="56"/>
        <v>0</v>
      </c>
      <c r="AB84" s="111">
        <f t="shared" si="57"/>
        <v>-0.21409412955466678</v>
      </c>
      <c r="AC84" s="111">
        <f t="shared" si="66"/>
        <v>0.96599999999999997</v>
      </c>
      <c r="AD84" s="111">
        <f t="shared" si="67"/>
        <v>0.31847731476123708</v>
      </c>
      <c r="AE84" s="111">
        <f t="shared" si="68"/>
        <v>141.10970100440986</v>
      </c>
      <c r="AF84" s="29">
        <f t="shared" si="58"/>
        <v>2.5791595508018302E-2</v>
      </c>
      <c r="AG84" s="587">
        <f t="shared" si="59"/>
        <v>4.5114773147612368</v>
      </c>
      <c r="AH84" s="964">
        <f t="shared" si="69"/>
        <v>0</v>
      </c>
      <c r="AI84" s="964">
        <v>0</v>
      </c>
      <c r="AJ84" s="964">
        <f t="shared" si="70"/>
        <v>0</v>
      </c>
      <c r="AK84" s="964">
        <f t="shared" si="71"/>
        <v>0.96599999999999997</v>
      </c>
      <c r="AL84" s="964">
        <f t="shared" si="60"/>
        <v>0.73991478172693015</v>
      </c>
      <c r="AM84" s="961">
        <f t="shared" si="61"/>
        <v>5.7134274875180573E-3</v>
      </c>
      <c r="AN84" s="964">
        <f t="shared" si="72"/>
        <v>0.22608521827306982</v>
      </c>
      <c r="AO84" s="965"/>
      <c r="AP84" s="1544">
        <v>119</v>
      </c>
      <c r="AQ84" s="175">
        <v>99</v>
      </c>
      <c r="AR84" s="175">
        <f t="shared" si="62"/>
        <v>109</v>
      </c>
      <c r="AS84" s="175"/>
      <c r="AT84" s="175"/>
      <c r="AU84" s="111"/>
      <c r="AV84" s="111">
        <v>7.4</v>
      </c>
      <c r="AW84" s="169">
        <f t="shared" si="43"/>
        <v>80.724809607549091</v>
      </c>
      <c r="AX84" s="385"/>
      <c r="AY84" s="385"/>
      <c r="AZ84" s="385"/>
      <c r="BA84" s="385"/>
      <c r="BB84" s="305"/>
      <c r="BC84" s="385"/>
      <c r="BD84" s="385"/>
    </row>
    <row r="85" spans="1:56" s="87" customFormat="1" ht="12" customHeight="1">
      <c r="A85" s="79">
        <v>1774</v>
      </c>
      <c r="B85" s="1540">
        <f t="shared" si="74"/>
        <v>132.73634089975815</v>
      </c>
      <c r="C85" s="1031">
        <v>4612</v>
      </c>
      <c r="D85" s="519">
        <v>4040</v>
      </c>
      <c r="E85" s="519">
        <v>450</v>
      </c>
      <c r="F85" s="175">
        <f t="shared" si="45"/>
        <v>122</v>
      </c>
      <c r="G85" s="1540">
        <f t="shared" si="63"/>
        <v>4162</v>
      </c>
      <c r="H85" s="1162">
        <f t="shared" si="46"/>
        <v>137.98366649797572</v>
      </c>
      <c r="I85" s="29">
        <f t="shared" si="47"/>
        <v>1.0704706477732795</v>
      </c>
      <c r="J85" s="111">
        <v>128.9</v>
      </c>
      <c r="K85" s="959">
        <v>125.8</v>
      </c>
      <c r="L85" s="959">
        <f t="shared" si="64"/>
        <v>3.1000000000000085</v>
      </c>
      <c r="M85" s="29">
        <f t="shared" si="48"/>
        <v>1.0395319440226269</v>
      </c>
      <c r="N85" s="29">
        <v>1.1009</v>
      </c>
      <c r="O85" s="111">
        <v>113.00884955752211</v>
      </c>
      <c r="P85" s="29">
        <f t="shared" si="73"/>
        <v>0.81900164291677235</v>
      </c>
      <c r="Q85" s="1558">
        <f t="shared" si="49"/>
        <v>3.0162990342491428E-2</v>
      </c>
      <c r="R85" s="961">
        <f t="shared" si="50"/>
        <v>3.2114467408585055E-2</v>
      </c>
      <c r="S85" s="961">
        <f t="shared" si="51"/>
        <v>1.0013406064608706E-2</v>
      </c>
      <c r="T85" s="1535">
        <f t="shared" si="52"/>
        <v>3.6828974158183245E-2</v>
      </c>
      <c r="U85" s="1544">
        <v>10613</v>
      </c>
      <c r="V85" s="175">
        <v>9566</v>
      </c>
      <c r="W85" s="175">
        <f t="shared" si="53"/>
        <v>9116</v>
      </c>
      <c r="X85" s="964">
        <f t="shared" si="65"/>
        <v>1.4970000000000001</v>
      </c>
      <c r="Y85" s="1536">
        <f t="shared" si="54"/>
        <v>0.66368170449879071</v>
      </c>
      <c r="Z85" s="111">
        <f t="shared" si="55"/>
        <v>0.83331829550120939</v>
      </c>
      <c r="AA85" s="1536">
        <f t="shared" si="56"/>
        <v>0</v>
      </c>
      <c r="AB85" s="111">
        <f t="shared" si="57"/>
        <v>1.2845647773279154</v>
      </c>
      <c r="AC85" s="111">
        <f t="shared" si="66"/>
        <v>1.4970000000000001</v>
      </c>
      <c r="AD85" s="111">
        <f t="shared" si="67"/>
        <v>0.83331829550120939</v>
      </c>
      <c r="AE85" s="111">
        <f t="shared" si="68"/>
        <v>140.79122368964863</v>
      </c>
      <c r="AF85" s="29">
        <f t="shared" si="58"/>
        <v>2.1151383054872418E-2</v>
      </c>
      <c r="AG85" s="587">
        <f t="shared" si="59"/>
        <v>4.9953182955012094</v>
      </c>
      <c r="AH85" s="964">
        <f t="shared" si="69"/>
        <v>0</v>
      </c>
      <c r="AI85" s="964">
        <v>0</v>
      </c>
      <c r="AJ85" s="964">
        <f t="shared" si="70"/>
        <v>0</v>
      </c>
      <c r="AK85" s="964">
        <f t="shared" si="71"/>
        <v>1.4970000000000001</v>
      </c>
      <c r="AL85" s="964">
        <f t="shared" si="60"/>
        <v>0.7583794586892455</v>
      </c>
      <c r="AM85" s="961">
        <f t="shared" si="61"/>
        <v>5.7134274875180573E-3</v>
      </c>
      <c r="AN85" s="964">
        <f t="shared" si="72"/>
        <v>0.73862054131075461</v>
      </c>
      <c r="AO85" s="965"/>
      <c r="AP85" s="1544">
        <v>115.99999999999999</v>
      </c>
      <c r="AQ85" s="175">
        <v>98</v>
      </c>
      <c r="AR85" s="175">
        <f t="shared" si="62"/>
        <v>107</v>
      </c>
      <c r="AS85" s="175"/>
      <c r="AT85" s="175"/>
      <c r="AU85" s="111"/>
      <c r="AV85" s="111">
        <v>7.5</v>
      </c>
      <c r="AW85" s="169">
        <f t="shared" si="43"/>
        <v>79.243620440438093</v>
      </c>
      <c r="AX85" s="385"/>
      <c r="AY85" s="385"/>
      <c r="AZ85" s="385"/>
      <c r="BA85" s="385"/>
      <c r="BB85" s="305"/>
      <c r="BC85" s="385"/>
      <c r="BD85" s="385"/>
    </row>
    <row r="86" spans="1:56" s="87" customFormat="1" ht="12" customHeight="1">
      <c r="A86" s="79">
        <v>1775</v>
      </c>
      <c r="B86" s="1540">
        <f t="shared" si="74"/>
        <v>135.96814475176373</v>
      </c>
      <c r="C86" s="1031">
        <v>4674</v>
      </c>
      <c r="D86" s="519">
        <v>4010</v>
      </c>
      <c r="E86" s="519">
        <v>452</v>
      </c>
      <c r="F86" s="175">
        <f t="shared" si="45"/>
        <v>212</v>
      </c>
      <c r="G86" s="1540">
        <f t="shared" si="63"/>
        <v>4222</v>
      </c>
      <c r="H86" s="1162">
        <f t="shared" si="46"/>
        <v>136.6991017206478</v>
      </c>
      <c r="I86" s="29">
        <f t="shared" si="47"/>
        <v>1.0704706477732795</v>
      </c>
      <c r="J86" s="111">
        <v>127.7</v>
      </c>
      <c r="K86" s="959">
        <v>125.3</v>
      </c>
      <c r="L86" s="959">
        <f t="shared" si="64"/>
        <v>2.4000000000000057</v>
      </c>
      <c r="M86" s="29">
        <f t="shared" si="48"/>
        <v>1.0053759428005624</v>
      </c>
      <c r="N86" s="29">
        <v>1.0608</v>
      </c>
      <c r="O86" s="111">
        <v>108.80341880341879</v>
      </c>
      <c r="P86" s="29">
        <f t="shared" si="73"/>
        <v>0.7959336779386057</v>
      </c>
      <c r="Q86" s="1558">
        <f t="shared" si="49"/>
        <v>3.0885352916421437E-2</v>
      </c>
      <c r="R86" s="961">
        <f t="shared" si="50"/>
        <v>3.2003192338387866E-2</v>
      </c>
      <c r="S86" s="961">
        <f t="shared" si="51"/>
        <v>1.85979566807438E-2</v>
      </c>
      <c r="T86" s="1535">
        <f t="shared" si="52"/>
        <v>3.8803927729772196E-2</v>
      </c>
      <c r="U86" s="1544">
        <v>11112</v>
      </c>
      <c r="V86" s="175">
        <v>10365</v>
      </c>
      <c r="W86" s="175">
        <f t="shared" si="53"/>
        <v>9913</v>
      </c>
      <c r="X86" s="964">
        <f t="shared" si="65"/>
        <v>1.1990000000000001</v>
      </c>
      <c r="Y86" s="1536">
        <f t="shared" si="54"/>
        <v>0.67984072375881865</v>
      </c>
      <c r="Z86" s="111">
        <f t="shared" si="55"/>
        <v>0.51915927624118141</v>
      </c>
      <c r="AA86" s="1536">
        <f t="shared" si="56"/>
        <v>0</v>
      </c>
      <c r="AB86" s="111">
        <f t="shared" si="57"/>
        <v>0.42818825910933356</v>
      </c>
      <c r="AC86" s="111">
        <f t="shared" si="66"/>
        <v>1.1990000000000001</v>
      </c>
      <c r="AD86" s="111">
        <f t="shared" si="67"/>
        <v>0.51915927624118141</v>
      </c>
      <c r="AE86" s="111">
        <f t="shared" si="68"/>
        <v>139.95790539414742</v>
      </c>
      <c r="AF86" s="29">
        <f t="shared" si="58"/>
        <v>2.3967405596724094E-2</v>
      </c>
      <c r="AG86" s="587">
        <f t="shared" si="59"/>
        <v>4.7411592762411816</v>
      </c>
      <c r="AH86" s="964">
        <f t="shared" si="69"/>
        <v>0</v>
      </c>
      <c r="AI86" s="964">
        <v>0</v>
      </c>
      <c r="AJ86" s="964">
        <f t="shared" si="70"/>
        <v>0</v>
      </c>
      <c r="AK86" s="964">
        <f t="shared" si="71"/>
        <v>1.1990000000000001</v>
      </c>
      <c r="AL86" s="964">
        <f t="shared" si="60"/>
        <v>0.77684413565156096</v>
      </c>
      <c r="AM86" s="961">
        <f t="shared" si="61"/>
        <v>5.7134274875180573E-3</v>
      </c>
      <c r="AN86" s="964">
        <f t="shared" si="72"/>
        <v>0.4221558643484391</v>
      </c>
      <c r="AO86" s="965"/>
      <c r="AP86" s="1544">
        <v>112.99999999999999</v>
      </c>
      <c r="AQ86" s="175">
        <v>98</v>
      </c>
      <c r="AR86" s="175">
        <f t="shared" si="62"/>
        <v>105.5</v>
      </c>
      <c r="AS86" s="175"/>
      <c r="AT86" s="175"/>
      <c r="AU86" s="175">
        <f>AU96*AVERAGE(AR82:AR91)/AVERAGE(AR92:AR101)</f>
        <v>95.120599811117174</v>
      </c>
      <c r="AV86" s="111">
        <v>7</v>
      </c>
      <c r="AW86" s="169">
        <f t="shared" si="43"/>
        <v>78.132728565104856</v>
      </c>
      <c r="AX86" s="385"/>
      <c r="AY86" s="385"/>
      <c r="AZ86" s="385"/>
      <c r="BA86" s="385"/>
      <c r="BB86" s="305"/>
      <c r="BC86" s="385"/>
      <c r="BD86" s="385"/>
    </row>
    <row r="87" spans="1:56" s="87" customFormat="1" ht="12" customHeight="1">
      <c r="A87" s="79">
        <v>1776</v>
      </c>
      <c r="B87" s="1540">
        <f t="shared" si="74"/>
        <v>139.19994860376931</v>
      </c>
      <c r="C87" s="1031">
        <v>4632</v>
      </c>
      <c r="D87" s="519">
        <v>3991</v>
      </c>
      <c r="E87" s="519">
        <v>446</v>
      </c>
      <c r="F87" s="175">
        <f t="shared" si="45"/>
        <v>195</v>
      </c>
      <c r="G87" s="1540">
        <f t="shared" si="63"/>
        <v>4186</v>
      </c>
      <c r="H87" s="1162">
        <f t="shared" si="46"/>
        <v>136.27091346153847</v>
      </c>
      <c r="I87" s="29">
        <f t="shared" si="47"/>
        <v>1.0704706477732795</v>
      </c>
      <c r="J87" s="111">
        <v>127.3</v>
      </c>
      <c r="K87" s="959">
        <v>124.3</v>
      </c>
      <c r="L87" s="959">
        <f t="shared" si="64"/>
        <v>3</v>
      </c>
      <c r="M87" s="29">
        <f t="shared" si="48"/>
        <v>0.97895807310555627</v>
      </c>
      <c r="N87" s="29">
        <v>1.0667</v>
      </c>
      <c r="O87" s="111">
        <v>102.23376623376622</v>
      </c>
      <c r="P87" s="29">
        <f t="shared" si="73"/>
        <v>0.75022441427033504</v>
      </c>
      <c r="Q87" s="1558">
        <f t="shared" si="49"/>
        <v>3.0718220738877408E-2</v>
      </c>
      <c r="R87" s="961">
        <f t="shared" si="50"/>
        <v>3.2107803700724059E-2</v>
      </c>
      <c r="S87" s="961">
        <f t="shared" si="51"/>
        <v>1.628948372457277E-2</v>
      </c>
      <c r="T87" s="1535">
        <f t="shared" si="52"/>
        <v>4.0945376016260165E-2</v>
      </c>
      <c r="U87" s="1544">
        <v>10576</v>
      </c>
      <c r="V87" s="175">
        <v>14045</v>
      </c>
      <c r="W87" s="175">
        <f t="shared" si="53"/>
        <v>13599</v>
      </c>
      <c r="X87" s="964">
        <f t="shared" si="65"/>
        <v>-3.0230000000000001</v>
      </c>
      <c r="Y87" s="1536">
        <f t="shared" si="54"/>
        <v>0.69599974301884659</v>
      </c>
      <c r="Z87" s="111">
        <f t="shared" si="55"/>
        <v>-3.7189997430188466</v>
      </c>
      <c r="AA87" s="1536">
        <f t="shared" si="56"/>
        <v>0</v>
      </c>
      <c r="AB87" s="111">
        <f t="shared" si="57"/>
        <v>-4.1748355263157748</v>
      </c>
      <c r="AC87" s="111">
        <f t="shared" si="66"/>
        <v>-3.0230000000000001</v>
      </c>
      <c r="AD87" s="111">
        <f t="shared" si="67"/>
        <v>-3.7189997430188466</v>
      </c>
      <c r="AE87" s="111">
        <f t="shared" si="68"/>
        <v>139.43874611790625</v>
      </c>
      <c r="AF87" s="29">
        <f t="shared" si="58"/>
        <v>2.2757426911018262E-2</v>
      </c>
      <c r="AG87" s="587">
        <f t="shared" si="59"/>
        <v>0.46700025698115333</v>
      </c>
      <c r="AH87" s="964">
        <f t="shared" si="69"/>
        <v>0</v>
      </c>
      <c r="AI87" s="964">
        <v>0</v>
      </c>
      <c r="AJ87" s="964">
        <f t="shared" si="70"/>
        <v>0</v>
      </c>
      <c r="AK87" s="964">
        <f t="shared" si="71"/>
        <v>-3.0230000000000001</v>
      </c>
      <c r="AL87" s="964">
        <f t="shared" si="60"/>
        <v>0.79530881261387643</v>
      </c>
      <c r="AM87" s="961">
        <f t="shared" si="61"/>
        <v>5.7134274875180573E-3</v>
      </c>
      <c r="AN87" s="964">
        <f t="shared" si="72"/>
        <v>-3.8183088126138767</v>
      </c>
      <c r="AO87" s="965"/>
      <c r="AP87" s="1544">
        <v>113.99999999999999</v>
      </c>
      <c r="AQ87" s="175">
        <v>101</v>
      </c>
      <c r="AR87" s="175">
        <f t="shared" si="62"/>
        <v>107.5</v>
      </c>
      <c r="AS87" s="175"/>
      <c r="AT87" s="175"/>
      <c r="AU87" s="111"/>
      <c r="AV87" s="111">
        <v>6.9</v>
      </c>
      <c r="AW87" s="169">
        <f t="shared" si="43"/>
        <v>79.613917732215839</v>
      </c>
      <c r="AX87" s="385"/>
      <c r="AY87" s="385"/>
      <c r="AZ87" s="385"/>
      <c r="BA87" s="385"/>
      <c r="BB87" s="305"/>
      <c r="BC87" s="385"/>
      <c r="BD87" s="385"/>
    </row>
    <row r="88" spans="1:56" s="87" customFormat="1" ht="12" customHeight="1">
      <c r="A88" s="79">
        <v>1777</v>
      </c>
      <c r="B88" s="1540">
        <f t="shared" si="74"/>
        <v>142.4317524557749</v>
      </c>
      <c r="C88" s="1031">
        <v>4709</v>
      </c>
      <c r="D88" s="519">
        <v>4036</v>
      </c>
      <c r="E88" s="519">
        <v>455</v>
      </c>
      <c r="F88" s="175">
        <f t="shared" si="45"/>
        <v>218</v>
      </c>
      <c r="G88" s="1540">
        <f t="shared" si="63"/>
        <v>4254</v>
      </c>
      <c r="H88" s="1162">
        <f t="shared" si="46"/>
        <v>140.44574898785424</v>
      </c>
      <c r="I88" s="29">
        <f t="shared" si="47"/>
        <v>1.0704706477732795</v>
      </c>
      <c r="J88" s="111">
        <v>131.19999999999999</v>
      </c>
      <c r="K88" s="959">
        <v>125.9</v>
      </c>
      <c r="L88" s="959">
        <f t="shared" si="64"/>
        <v>5.2999999999999829</v>
      </c>
      <c r="M88" s="29">
        <f t="shared" si="48"/>
        <v>0.9860564555748389</v>
      </c>
      <c r="N88" s="29">
        <v>1.0756000000000001</v>
      </c>
      <c r="O88" s="111">
        <v>90.86474501108647</v>
      </c>
      <c r="P88" s="29">
        <f t="shared" si="73"/>
        <v>0.64697397867801931</v>
      </c>
      <c r="Q88" s="1558">
        <f t="shared" si="49"/>
        <v>3.0289275614656632E-2</v>
      </c>
      <c r="R88" s="961">
        <f t="shared" si="50"/>
        <v>3.2057188244638594E-2</v>
      </c>
      <c r="S88" s="961">
        <f t="shared" si="51"/>
        <v>1.4987196615453141E-2</v>
      </c>
      <c r="T88" s="1535">
        <f t="shared" si="52"/>
        <v>4.681683748169839E-2</v>
      </c>
      <c r="U88" s="1544">
        <v>11105</v>
      </c>
      <c r="V88" s="175">
        <v>15259</v>
      </c>
      <c r="W88" s="175">
        <f t="shared" si="53"/>
        <v>14804</v>
      </c>
      <c r="X88" s="964">
        <f t="shared" si="65"/>
        <v>-3.6989999999999998</v>
      </c>
      <c r="Y88" s="1536">
        <f t="shared" si="54"/>
        <v>0.71215876227887454</v>
      </c>
      <c r="Z88" s="111">
        <f t="shared" si="55"/>
        <v>-4.4111587622788742</v>
      </c>
      <c r="AA88" s="1536">
        <f t="shared" si="56"/>
        <v>0</v>
      </c>
      <c r="AB88" s="111">
        <f t="shared" si="57"/>
        <v>-5.7805414979757188</v>
      </c>
      <c r="AC88" s="111">
        <f t="shared" si="66"/>
        <v>-3.6989999999999998</v>
      </c>
      <c r="AD88" s="111">
        <f t="shared" si="67"/>
        <v>-4.4111587622788742</v>
      </c>
      <c r="AE88" s="111">
        <f t="shared" si="68"/>
        <v>143.1577458609251</v>
      </c>
      <c r="AF88" s="29">
        <f t="shared" si="58"/>
        <v>1.9040676157607028E-2</v>
      </c>
      <c r="AG88" s="587">
        <f t="shared" si="59"/>
        <v>-0.1571587622788746</v>
      </c>
      <c r="AH88" s="964">
        <f t="shared" si="69"/>
        <v>0</v>
      </c>
      <c r="AI88" s="964">
        <v>0</v>
      </c>
      <c r="AJ88" s="964">
        <f t="shared" si="70"/>
        <v>0</v>
      </c>
      <c r="AK88" s="964">
        <f t="shared" si="71"/>
        <v>-3.6989999999999998</v>
      </c>
      <c r="AL88" s="964">
        <f t="shared" si="60"/>
        <v>0.81377348957619189</v>
      </c>
      <c r="AM88" s="961">
        <f t="shared" si="61"/>
        <v>5.7134274875180573E-3</v>
      </c>
      <c r="AN88" s="964">
        <f t="shared" si="72"/>
        <v>-4.5127734895761922</v>
      </c>
      <c r="AO88" s="965"/>
      <c r="AP88" s="1544">
        <v>108</v>
      </c>
      <c r="AQ88" s="175">
        <v>102</v>
      </c>
      <c r="AR88" s="175">
        <f t="shared" si="62"/>
        <v>105</v>
      </c>
      <c r="AS88" s="175"/>
      <c r="AT88" s="175"/>
      <c r="AU88" s="111"/>
      <c r="AV88" s="111">
        <v>6.9</v>
      </c>
      <c r="AW88" s="169">
        <f t="shared" si="43"/>
        <v>77.762431273327095</v>
      </c>
      <c r="AX88" s="385"/>
      <c r="AY88" s="385"/>
      <c r="AZ88" s="385"/>
      <c r="BA88" s="385"/>
      <c r="BB88" s="305"/>
      <c r="BC88" s="385"/>
      <c r="BD88" s="385"/>
    </row>
    <row r="89" spans="1:56" s="87" customFormat="1" ht="12" customHeight="1">
      <c r="A89" s="79">
        <v>1778</v>
      </c>
      <c r="B89" s="1540">
        <f t="shared" si="74"/>
        <v>145.66355630778048</v>
      </c>
      <c r="C89" s="1031">
        <v>5030</v>
      </c>
      <c r="D89" s="519">
        <v>4414</v>
      </c>
      <c r="E89" s="519">
        <v>506</v>
      </c>
      <c r="F89" s="175">
        <f t="shared" si="45"/>
        <v>110</v>
      </c>
      <c r="G89" s="1540">
        <f t="shared" si="63"/>
        <v>4524</v>
      </c>
      <c r="H89" s="1162">
        <f t="shared" si="46"/>
        <v>146.22629048582996</v>
      </c>
      <c r="I89" s="29">
        <f t="shared" si="47"/>
        <v>1.0704706477732795</v>
      </c>
      <c r="J89" s="111">
        <v>136.6</v>
      </c>
      <c r="K89" s="959">
        <v>130.9</v>
      </c>
      <c r="L89" s="959">
        <f t="shared" si="64"/>
        <v>5.6999999999999886</v>
      </c>
      <c r="M89" s="29">
        <f t="shared" si="48"/>
        <v>1.0038632461839696</v>
      </c>
      <c r="N89" s="29">
        <v>1.0924</v>
      </c>
      <c r="O89" s="111">
        <v>87.971311475409834</v>
      </c>
      <c r="P89" s="29">
        <f t="shared" si="73"/>
        <v>0.60161077179164768</v>
      </c>
      <c r="Q89" s="1558">
        <f t="shared" si="49"/>
        <v>3.0938348945112559E-2</v>
      </c>
      <c r="R89" s="961">
        <f t="shared" si="50"/>
        <v>3.3720397249809013E-2</v>
      </c>
      <c r="S89" s="961">
        <f t="shared" si="51"/>
        <v>7.177209651722403E-3</v>
      </c>
      <c r="T89" s="1535">
        <f t="shared" si="52"/>
        <v>5.1425856044723973E-2</v>
      </c>
      <c r="U89" s="1544">
        <v>11436</v>
      </c>
      <c r="V89" s="175">
        <v>17940</v>
      </c>
      <c r="W89" s="175">
        <f t="shared" si="53"/>
        <v>17434</v>
      </c>
      <c r="X89" s="964">
        <f t="shared" si="65"/>
        <v>-5.9980000000000002</v>
      </c>
      <c r="Y89" s="1536">
        <f t="shared" si="54"/>
        <v>0.72831778153890248</v>
      </c>
      <c r="Z89" s="111">
        <f t="shared" si="55"/>
        <v>-6.7263177815389028</v>
      </c>
      <c r="AA89" s="1536">
        <f t="shared" si="56"/>
        <v>0</v>
      </c>
      <c r="AB89" s="111">
        <f t="shared" si="57"/>
        <v>-6.9580592105263293</v>
      </c>
      <c r="AC89" s="111">
        <f t="shared" si="66"/>
        <v>-5.9980000000000002</v>
      </c>
      <c r="AD89" s="111">
        <f t="shared" si="67"/>
        <v>-6.7263177815389028</v>
      </c>
      <c r="AE89" s="111">
        <f t="shared" si="68"/>
        <v>147.56890462320399</v>
      </c>
      <c r="AF89" s="29">
        <f t="shared" si="58"/>
        <v>9.2172275029256123E-3</v>
      </c>
      <c r="AG89" s="587">
        <f t="shared" si="59"/>
        <v>-2.2023177815389028</v>
      </c>
      <c r="AH89" s="964">
        <f t="shared" si="69"/>
        <v>0</v>
      </c>
      <c r="AI89" s="964">
        <v>0</v>
      </c>
      <c r="AJ89" s="964">
        <f t="shared" si="70"/>
        <v>0</v>
      </c>
      <c r="AK89" s="964">
        <f t="shared" si="71"/>
        <v>-5.9980000000000002</v>
      </c>
      <c r="AL89" s="964">
        <f t="shared" si="60"/>
        <v>0.83223816653850735</v>
      </c>
      <c r="AM89" s="961">
        <f t="shared" si="61"/>
        <v>5.7134274875180573E-3</v>
      </c>
      <c r="AN89" s="964">
        <f t="shared" si="72"/>
        <v>-6.8302381665385079</v>
      </c>
      <c r="AO89" s="965"/>
      <c r="AP89" s="1544">
        <v>117</v>
      </c>
      <c r="AQ89" s="175">
        <v>104</v>
      </c>
      <c r="AR89" s="175">
        <f t="shared" si="62"/>
        <v>110.5</v>
      </c>
      <c r="AS89" s="175"/>
      <c r="AT89" s="175"/>
      <c r="AU89" s="111"/>
      <c r="AV89" s="111">
        <v>7.5</v>
      </c>
      <c r="AW89" s="169">
        <f t="shared" si="43"/>
        <v>81.835701482882328</v>
      </c>
      <c r="AX89" s="385"/>
      <c r="AY89" s="385"/>
      <c r="AZ89" s="385"/>
      <c r="BA89" s="385"/>
      <c r="BB89" s="305"/>
      <c r="BC89" s="385"/>
      <c r="BD89" s="385"/>
    </row>
    <row r="90" spans="1:56" s="87" customFormat="1" ht="12" customHeight="1">
      <c r="A90" s="79">
        <v>1779</v>
      </c>
      <c r="B90" s="1540">
        <f t="shared" si="74"/>
        <v>148.89536015978607</v>
      </c>
      <c r="C90" s="1031">
        <v>5618</v>
      </c>
      <c r="D90" s="519">
        <v>4543</v>
      </c>
      <c r="E90" s="519">
        <v>750</v>
      </c>
      <c r="F90" s="175">
        <f t="shared" si="45"/>
        <v>325</v>
      </c>
      <c r="G90" s="1540">
        <f t="shared" si="63"/>
        <v>4868</v>
      </c>
      <c r="H90" s="1162">
        <f t="shared" si="46"/>
        <v>153.18434969635629</v>
      </c>
      <c r="I90" s="29">
        <f t="shared" si="47"/>
        <v>1.0704706477732795</v>
      </c>
      <c r="J90" s="111">
        <v>143.1</v>
      </c>
      <c r="K90" s="959">
        <v>137.1</v>
      </c>
      <c r="L90" s="959">
        <f t="shared" si="64"/>
        <v>6</v>
      </c>
      <c r="M90" s="29">
        <f t="shared" si="48"/>
        <v>1.0288053941504123</v>
      </c>
      <c r="N90" s="29">
        <v>1.1362999999999999</v>
      </c>
      <c r="O90" s="111">
        <v>94.3032786885246</v>
      </c>
      <c r="P90" s="29">
        <f t="shared" si="73"/>
        <v>0.61561953865034902</v>
      </c>
      <c r="Q90" s="1558">
        <f t="shared" si="49"/>
        <v>3.1778703305196665E-2</v>
      </c>
      <c r="R90" s="961">
        <f t="shared" si="50"/>
        <v>3.3136396790663748E-2</v>
      </c>
      <c r="S90" s="961">
        <f t="shared" si="51"/>
        <v>2.0205976998474769E-2</v>
      </c>
      <c r="T90" s="1535">
        <f t="shared" si="52"/>
        <v>5.1620686657974792E-2</v>
      </c>
      <c r="U90" s="1544">
        <v>11853</v>
      </c>
      <c r="V90" s="175">
        <v>19714</v>
      </c>
      <c r="W90" s="175">
        <f t="shared" si="53"/>
        <v>18964</v>
      </c>
      <c r="X90" s="964">
        <f t="shared" si="65"/>
        <v>-7.1109999999999998</v>
      </c>
      <c r="Y90" s="1536">
        <f t="shared" si="54"/>
        <v>0.7444768007989303</v>
      </c>
      <c r="Z90" s="111">
        <f t="shared" si="55"/>
        <v>-7.8554768007989297</v>
      </c>
      <c r="AA90" s="1536">
        <f t="shared" si="56"/>
        <v>0</v>
      </c>
      <c r="AB90" s="111">
        <f t="shared" si="57"/>
        <v>-11.025847672064799</v>
      </c>
      <c r="AC90" s="111">
        <f t="shared" si="66"/>
        <v>-7.1109999999999998</v>
      </c>
      <c r="AD90" s="111">
        <f t="shared" si="67"/>
        <v>-7.8554768007989297</v>
      </c>
      <c r="AE90" s="111">
        <f t="shared" si="68"/>
        <v>154.2952224047429</v>
      </c>
      <c r="AF90" s="29">
        <f t="shared" si="58"/>
        <v>7.4607610821081525E-3</v>
      </c>
      <c r="AG90" s="587">
        <f t="shared" si="59"/>
        <v>-2.9874768007989294</v>
      </c>
      <c r="AH90" s="964">
        <f t="shared" si="69"/>
        <v>0</v>
      </c>
      <c r="AI90" s="964">
        <v>0</v>
      </c>
      <c r="AJ90" s="964">
        <f t="shared" si="70"/>
        <v>0</v>
      </c>
      <c r="AK90" s="964">
        <f t="shared" si="71"/>
        <v>-7.1109999999999998</v>
      </c>
      <c r="AL90" s="964">
        <f t="shared" si="60"/>
        <v>0.8507028435008227</v>
      </c>
      <c r="AM90" s="961">
        <f t="shared" si="61"/>
        <v>5.7134274875180573E-3</v>
      </c>
      <c r="AN90" s="964">
        <f t="shared" si="72"/>
        <v>-7.9617028435008228</v>
      </c>
      <c r="AO90" s="965"/>
      <c r="AP90" s="1544">
        <v>111.00000000000001</v>
      </c>
      <c r="AQ90" s="175">
        <v>110</v>
      </c>
      <c r="AR90" s="175">
        <f t="shared" si="62"/>
        <v>110.5</v>
      </c>
      <c r="AS90" s="175"/>
      <c r="AT90" s="175"/>
      <c r="AU90" s="111"/>
      <c r="AV90" s="111">
        <v>6.5</v>
      </c>
      <c r="AW90" s="169">
        <f t="shared" si="43"/>
        <v>81.835701482882328</v>
      </c>
      <c r="AX90" s="385"/>
      <c r="AY90" s="385"/>
      <c r="AZ90" s="385"/>
      <c r="BA90" s="385"/>
      <c r="BB90" s="305"/>
      <c r="BC90" s="385"/>
      <c r="BD90" s="385"/>
    </row>
    <row r="91" spans="1:56" s="87" customFormat="1">
      <c r="A91" s="79">
        <v>1780</v>
      </c>
      <c r="B91" s="1540">
        <f>TableUK2!B18*1000</f>
        <v>152.12716401179168</v>
      </c>
      <c r="C91" s="1031">
        <v>5995</v>
      </c>
      <c r="D91" s="519">
        <v>4675</v>
      </c>
      <c r="E91" s="519">
        <v>964</v>
      </c>
      <c r="F91" s="175">
        <f t="shared" si="45"/>
        <v>356</v>
      </c>
      <c r="G91" s="1540">
        <f t="shared" si="63"/>
        <v>5031</v>
      </c>
      <c r="H91" s="1162">
        <f t="shared" si="46"/>
        <v>164.21019736842109</v>
      </c>
      <c r="I91" s="29">
        <f t="shared" si="47"/>
        <v>1.0704706477732795</v>
      </c>
      <c r="J91" s="111">
        <v>153.4</v>
      </c>
      <c r="K91" s="959">
        <v>144.1</v>
      </c>
      <c r="L91" s="959">
        <f t="shared" si="64"/>
        <v>9.3000000000000114</v>
      </c>
      <c r="M91" s="29">
        <f t="shared" si="48"/>
        <v>1.0794271912917066</v>
      </c>
      <c r="N91" s="29">
        <v>1.2029000000000001</v>
      </c>
      <c r="O91" s="111">
        <v>96.091954022988489</v>
      </c>
      <c r="P91" s="29">
        <f t="shared" si="73"/>
        <v>0.58517653326606212</v>
      </c>
      <c r="Q91" s="1558">
        <f t="shared" si="49"/>
        <v>3.0637561373320049E-2</v>
      </c>
      <c r="R91" s="961">
        <f t="shared" si="50"/>
        <v>3.2442748091603052E-2</v>
      </c>
      <c r="S91" s="961">
        <f t="shared" si="51"/>
        <v>1.7702461764946394E-2</v>
      </c>
      <c r="T91" s="1535">
        <f t="shared" si="52"/>
        <v>5.2356100478468906E-2</v>
      </c>
      <c r="U91" s="1544">
        <v>12524</v>
      </c>
      <c r="V91" s="175">
        <v>22605</v>
      </c>
      <c r="W91" s="175">
        <f t="shared" si="53"/>
        <v>21641</v>
      </c>
      <c r="X91" s="964">
        <f t="shared" si="65"/>
        <v>-9.1170000000000009</v>
      </c>
      <c r="Y91" s="1536">
        <f t="shared" si="54"/>
        <v>0.76063582005895836</v>
      </c>
      <c r="Z91" s="111">
        <f t="shared" si="55"/>
        <v>-9.8776358200589591</v>
      </c>
      <c r="AA91" s="1536">
        <f t="shared" si="56"/>
        <v>0</v>
      </c>
      <c r="AB91" s="111">
        <f t="shared" si="57"/>
        <v>-14.77249493927124</v>
      </c>
      <c r="AC91" s="111">
        <f t="shared" si="66"/>
        <v>-9.1170000000000009</v>
      </c>
      <c r="AD91" s="111">
        <f t="shared" si="67"/>
        <v>-9.8776358200589591</v>
      </c>
      <c r="AE91" s="111">
        <f t="shared" si="68"/>
        <v>162.15069920554183</v>
      </c>
      <c r="AF91" s="29">
        <f t="shared" si="58"/>
        <v>-1.3538004052449367E-2</v>
      </c>
      <c r="AG91" s="587">
        <f t="shared" si="59"/>
        <v>-4.8466358200589594</v>
      </c>
      <c r="AH91" s="964">
        <f t="shared" si="69"/>
        <v>0</v>
      </c>
      <c r="AI91" s="964">
        <v>0</v>
      </c>
      <c r="AJ91" s="964">
        <f t="shared" si="70"/>
        <v>0</v>
      </c>
      <c r="AK91" s="964">
        <f t="shared" si="71"/>
        <v>-9.1170000000000009</v>
      </c>
      <c r="AL91" s="964">
        <f t="shared" si="60"/>
        <v>0.86916752046313839</v>
      </c>
      <c r="AM91" s="961">
        <f t="shared" si="61"/>
        <v>5.7134274875180573E-3</v>
      </c>
      <c r="AN91" s="964">
        <f t="shared" si="72"/>
        <v>-9.9861675204631393</v>
      </c>
      <c r="AO91" s="965"/>
      <c r="AP91" s="1544">
        <v>110.00000000000001</v>
      </c>
      <c r="AQ91" s="175">
        <v>113</v>
      </c>
      <c r="AR91" s="175">
        <f t="shared" si="62"/>
        <v>111.5</v>
      </c>
      <c r="AS91" s="175"/>
      <c r="AT91" s="175"/>
      <c r="AU91" s="111"/>
      <c r="AV91" s="111">
        <v>6.3</v>
      </c>
      <c r="AW91" s="169">
        <f t="shared" si="43"/>
        <v>82.57629606643782</v>
      </c>
      <c r="AX91" s="385"/>
      <c r="AY91" s="385"/>
      <c r="AZ91" s="385"/>
      <c r="BA91" s="385"/>
      <c r="BB91" s="305"/>
      <c r="BC91" s="385"/>
      <c r="BD91" s="385"/>
    </row>
    <row r="92" spans="1:56" s="87" customFormat="1">
      <c r="A92" s="79">
        <v>1781</v>
      </c>
      <c r="B92" s="1540">
        <f>B91+(B$101-B$91)/10</f>
        <v>154.32159569009451</v>
      </c>
      <c r="C92" s="1031">
        <v>6917</v>
      </c>
      <c r="D92" s="519">
        <v>5348</v>
      </c>
      <c r="E92" s="519">
        <v>1149</v>
      </c>
      <c r="F92" s="175">
        <f t="shared" si="45"/>
        <v>420</v>
      </c>
      <c r="G92" s="1540">
        <f t="shared" si="63"/>
        <v>5768</v>
      </c>
      <c r="H92" s="1162">
        <f t="shared" si="46"/>
        <v>178.98269230769233</v>
      </c>
      <c r="I92" s="29">
        <f t="shared" si="47"/>
        <v>1.0704706477732795</v>
      </c>
      <c r="J92" s="111">
        <v>167.2</v>
      </c>
      <c r="K92" s="959">
        <v>156.1</v>
      </c>
      <c r="L92" s="959">
        <f t="shared" si="64"/>
        <v>11.099999999999994</v>
      </c>
      <c r="M92" s="29">
        <f t="shared" si="48"/>
        <v>1.1598032764456487</v>
      </c>
      <c r="N92" s="29">
        <v>1.3315000000000001</v>
      </c>
      <c r="O92" s="111">
        <v>108.59315589353612</v>
      </c>
      <c r="P92" s="29">
        <f t="shared" si="73"/>
        <v>0.60672434017727084</v>
      </c>
      <c r="Q92" s="1558">
        <f t="shared" si="49"/>
        <v>3.2226579707964879E-2</v>
      </c>
      <c r="R92" s="961">
        <f t="shared" si="50"/>
        <v>3.4260089686098658E-2</v>
      </c>
      <c r="S92" s="961">
        <f t="shared" si="51"/>
        <v>1.8354483570047878E-2</v>
      </c>
      <c r="T92" s="1535">
        <f t="shared" si="52"/>
        <v>5.3115686274509799E-2</v>
      </c>
      <c r="U92" s="1544">
        <v>13280</v>
      </c>
      <c r="V92" s="175">
        <v>25810</v>
      </c>
      <c r="W92" s="175">
        <f t="shared" si="53"/>
        <v>24661</v>
      </c>
      <c r="X92" s="964">
        <f t="shared" si="65"/>
        <v>-11.381</v>
      </c>
      <c r="Y92" s="1536">
        <f t="shared" si="54"/>
        <v>0.77160797845047258</v>
      </c>
      <c r="Z92" s="111">
        <f t="shared" si="55"/>
        <v>-12.152607978450472</v>
      </c>
      <c r="AA92" s="1536">
        <f t="shared" si="56"/>
        <v>12.682311049889623</v>
      </c>
      <c r="AB92" s="111">
        <f t="shared" si="57"/>
        <v>-24.834919028340096</v>
      </c>
      <c r="AC92" s="111">
        <f t="shared" si="66"/>
        <v>-24.063311049889624</v>
      </c>
      <c r="AD92" s="111">
        <f t="shared" si="67"/>
        <v>-24.834919028340096</v>
      </c>
      <c r="AE92" s="111">
        <f t="shared" si="68"/>
        <v>172.0283350256008</v>
      </c>
      <c r="AF92" s="29">
        <f t="shared" si="58"/>
        <v>-4.5064057632329922E-2</v>
      </c>
      <c r="AG92" s="587">
        <f t="shared" si="59"/>
        <v>-19.066919028340095</v>
      </c>
      <c r="AH92" s="964">
        <f t="shared" si="69"/>
        <v>0</v>
      </c>
      <c r="AI92" s="964">
        <v>0</v>
      </c>
      <c r="AJ92" s="964">
        <f t="shared" si="70"/>
        <v>0</v>
      </c>
      <c r="AK92" s="964">
        <f t="shared" si="71"/>
        <v>-24.063311049889624</v>
      </c>
      <c r="AL92" s="964">
        <f t="shared" si="60"/>
        <v>0.88170524673343409</v>
      </c>
      <c r="AM92" s="961">
        <f t="shared" si="61"/>
        <v>5.7134274875180573E-3</v>
      </c>
      <c r="AN92" s="964">
        <f t="shared" si="72"/>
        <v>-24.945016296623059</v>
      </c>
      <c r="AO92" s="965"/>
      <c r="AP92" s="1544">
        <v>114.99999999999999</v>
      </c>
      <c r="AQ92" s="175">
        <v>110</v>
      </c>
      <c r="AR92" s="175">
        <f t="shared" si="62"/>
        <v>112.5</v>
      </c>
      <c r="AS92" s="175"/>
      <c r="AT92" s="175"/>
      <c r="AU92" s="111"/>
      <c r="AV92" s="111">
        <v>6.6</v>
      </c>
      <c r="AW92" s="169">
        <f t="shared" si="43"/>
        <v>83.316890649993326</v>
      </c>
      <c r="AX92" s="385"/>
      <c r="AY92" s="385"/>
      <c r="AZ92" s="385"/>
      <c r="BA92" s="385"/>
      <c r="BB92" s="305"/>
      <c r="BC92" s="385"/>
      <c r="BD92" s="385"/>
    </row>
    <row r="93" spans="1:56" s="87" customFormat="1">
      <c r="A93" s="79">
        <v>1782</v>
      </c>
      <c r="B93" s="1540">
        <f t="shared" ref="B93:B100" si="75">B92+(B$101-B$91)/10</f>
        <v>156.51602736839735</v>
      </c>
      <c r="C93" s="1031">
        <v>7364</v>
      </c>
      <c r="D93" s="519">
        <v>5898</v>
      </c>
      <c r="E93" s="519">
        <v>1113</v>
      </c>
      <c r="F93" s="175">
        <f t="shared" si="45"/>
        <v>353</v>
      </c>
      <c r="G93" s="1540">
        <f t="shared" si="63"/>
        <v>6251</v>
      </c>
      <c r="H93" s="1162">
        <f t="shared" si="46"/>
        <v>203.81761133603243</v>
      </c>
      <c r="I93" s="29">
        <f t="shared" si="47"/>
        <v>1.0704706477732795</v>
      </c>
      <c r="J93" s="111">
        <v>190.4</v>
      </c>
      <c r="K93" s="959">
        <v>177.4</v>
      </c>
      <c r="L93" s="959">
        <f t="shared" si="64"/>
        <v>13</v>
      </c>
      <c r="M93" s="29">
        <f t="shared" si="48"/>
        <v>1.3022155926325658</v>
      </c>
      <c r="N93" s="29">
        <v>1.4578</v>
      </c>
      <c r="O93" s="111">
        <v>135.06302521008405</v>
      </c>
      <c r="P93" s="29">
        <f t="shared" si="73"/>
        <v>0.66266611763694327</v>
      </c>
      <c r="Q93" s="1558">
        <f t="shared" si="49"/>
        <v>3.0669577368827208E-2</v>
      </c>
      <c r="R93" s="961">
        <f t="shared" si="50"/>
        <v>3.3246899661781279E-2</v>
      </c>
      <c r="S93" s="961">
        <f t="shared" si="51"/>
        <v>1.3362298184716043E-2</v>
      </c>
      <c r="T93" s="1535">
        <f t="shared" si="52"/>
        <v>4.6282096749105613E-2</v>
      </c>
      <c r="U93" s="1544">
        <v>13765</v>
      </c>
      <c r="V93" s="175">
        <v>29234</v>
      </c>
      <c r="W93" s="175">
        <f t="shared" si="53"/>
        <v>28121</v>
      </c>
      <c r="X93" s="964">
        <f t="shared" si="65"/>
        <v>-14.356</v>
      </c>
      <c r="Y93" s="1536">
        <f t="shared" si="54"/>
        <v>0.7825801368419868</v>
      </c>
      <c r="Z93" s="111">
        <f t="shared" si="55"/>
        <v>-15.138580136841986</v>
      </c>
      <c r="AA93" s="1536">
        <f t="shared" si="56"/>
        <v>10.445668344939387</v>
      </c>
      <c r="AB93" s="111">
        <f t="shared" si="57"/>
        <v>-25.584248481781373</v>
      </c>
      <c r="AC93" s="111">
        <f t="shared" si="66"/>
        <v>-24.801668344939387</v>
      </c>
      <c r="AD93" s="111">
        <f t="shared" si="67"/>
        <v>-25.584248481781373</v>
      </c>
      <c r="AE93" s="111">
        <f t="shared" si="68"/>
        <v>196.86325405394089</v>
      </c>
      <c r="AF93" s="29">
        <f t="shared" si="58"/>
        <v>-4.4432237381816606E-2</v>
      </c>
      <c r="AG93" s="587">
        <f t="shared" si="59"/>
        <v>-19.333248481781371</v>
      </c>
      <c r="AH93" s="964">
        <f t="shared" si="69"/>
        <v>0</v>
      </c>
      <c r="AI93" s="964">
        <v>0</v>
      </c>
      <c r="AJ93" s="964">
        <f t="shared" si="70"/>
        <v>0</v>
      </c>
      <c r="AK93" s="964">
        <f t="shared" si="71"/>
        <v>-24.801668344939387</v>
      </c>
      <c r="AL93" s="964">
        <f t="shared" si="60"/>
        <v>0.8942429730037299</v>
      </c>
      <c r="AM93" s="961">
        <f t="shared" si="61"/>
        <v>5.7134274875180573E-3</v>
      </c>
      <c r="AN93" s="964">
        <f t="shared" si="72"/>
        <v>-25.695911317943118</v>
      </c>
      <c r="AO93" s="965"/>
      <c r="AP93" s="1544">
        <v>115.99999999999999</v>
      </c>
      <c r="AQ93" s="175">
        <v>120</v>
      </c>
      <c r="AR93" s="175">
        <f t="shared" si="62"/>
        <v>118</v>
      </c>
      <c r="AS93" s="175"/>
      <c r="AT93" s="175"/>
      <c r="AU93" s="111"/>
      <c r="AV93" s="111">
        <v>6.7</v>
      </c>
      <c r="AW93" s="169">
        <f t="shared" si="43"/>
        <v>87.390160859548544</v>
      </c>
      <c r="AX93" s="385"/>
      <c r="AY93" s="385"/>
      <c r="AZ93" s="385"/>
      <c r="BA93" s="385"/>
      <c r="BB93" s="305"/>
      <c r="BC93" s="385"/>
      <c r="BD93" s="385"/>
    </row>
    <row r="94" spans="1:56" s="87" customFormat="1">
      <c r="A94" s="79">
        <v>1783</v>
      </c>
      <c r="B94" s="1540">
        <f t="shared" si="75"/>
        <v>158.71045904670018</v>
      </c>
      <c r="C94" s="1031">
        <v>8054</v>
      </c>
      <c r="D94" s="519">
        <v>6447</v>
      </c>
      <c r="E94" s="519">
        <v>1245</v>
      </c>
      <c r="F94" s="175">
        <f t="shared" si="45"/>
        <v>362</v>
      </c>
      <c r="G94" s="1540">
        <f t="shared" si="63"/>
        <v>6809</v>
      </c>
      <c r="H94" s="1162">
        <f t="shared" si="46"/>
        <v>229.4018598178138</v>
      </c>
      <c r="I94" s="29">
        <f t="shared" si="47"/>
        <v>1.0704706477732795</v>
      </c>
      <c r="J94" s="111">
        <v>214.3</v>
      </c>
      <c r="K94" s="959">
        <v>197.5</v>
      </c>
      <c r="L94" s="959">
        <f t="shared" si="64"/>
        <v>16.800000000000011</v>
      </c>
      <c r="M94" s="29">
        <f t="shared" si="48"/>
        <v>1.4454111039418822</v>
      </c>
      <c r="N94" s="29">
        <v>1.5249999999999999</v>
      </c>
      <c r="O94" s="111">
        <v>128.53974121996302</v>
      </c>
      <c r="P94" s="29">
        <f t="shared" si="73"/>
        <v>0.56032562823181387</v>
      </c>
      <c r="Q94" s="1558">
        <f t="shared" si="49"/>
        <v>2.9681537915200718E-2</v>
      </c>
      <c r="R94" s="961">
        <f t="shared" si="50"/>
        <v>3.2643037974683542E-2</v>
      </c>
      <c r="S94" s="961">
        <f t="shared" si="51"/>
        <v>1.1347300817799388E-2</v>
      </c>
      <c r="T94" s="1535">
        <f t="shared" si="52"/>
        <v>5.2971944204774239E-2</v>
      </c>
      <c r="U94" s="1544">
        <v>12677</v>
      </c>
      <c r="V94" s="175">
        <v>23510</v>
      </c>
      <c r="W94" s="175">
        <f t="shared" si="53"/>
        <v>22265</v>
      </c>
      <c r="X94" s="964">
        <f t="shared" si="65"/>
        <v>-9.5879999999999992</v>
      </c>
      <c r="Y94" s="1536">
        <f t="shared" si="54"/>
        <v>0.7935522952335009</v>
      </c>
      <c r="Z94" s="111">
        <f t="shared" si="55"/>
        <v>-10.381552295233501</v>
      </c>
      <c r="AA94" s="1536">
        <f t="shared" si="56"/>
        <v>0</v>
      </c>
      <c r="AB94" s="111">
        <f t="shared" si="57"/>
        <v>-18.733236336032405</v>
      </c>
      <c r="AC94" s="111">
        <f t="shared" si="66"/>
        <v>-9.5879999999999992</v>
      </c>
      <c r="AD94" s="111">
        <f t="shared" si="67"/>
        <v>-10.381552295233501</v>
      </c>
      <c r="AE94" s="111">
        <f t="shared" si="68"/>
        <v>222.44750253572226</v>
      </c>
      <c r="AF94" s="29">
        <f t="shared" si="58"/>
        <v>-4.3817889028001822E-2</v>
      </c>
      <c r="AG94" s="587">
        <f t="shared" si="59"/>
        <v>-3.5725522952335007</v>
      </c>
      <c r="AH94" s="964">
        <f t="shared" si="69"/>
        <v>0</v>
      </c>
      <c r="AI94" s="964">
        <v>0</v>
      </c>
      <c r="AJ94" s="964">
        <f t="shared" si="70"/>
        <v>0</v>
      </c>
      <c r="AK94" s="964">
        <f t="shared" si="71"/>
        <v>-9.5879999999999992</v>
      </c>
      <c r="AL94" s="964">
        <f t="shared" si="60"/>
        <v>0.90678069927402571</v>
      </c>
      <c r="AM94" s="961">
        <f t="shared" si="61"/>
        <v>5.7134274875180573E-3</v>
      </c>
      <c r="AN94" s="964">
        <f t="shared" si="72"/>
        <v>-10.494780699274024</v>
      </c>
      <c r="AO94" s="965"/>
      <c r="AP94" s="1544">
        <v>129</v>
      </c>
      <c r="AQ94" s="175">
        <v>117</v>
      </c>
      <c r="AR94" s="175">
        <f t="shared" si="62"/>
        <v>123</v>
      </c>
      <c r="AS94" s="175"/>
      <c r="AT94" s="175"/>
      <c r="AU94" s="111"/>
      <c r="AV94" s="111">
        <v>7.5</v>
      </c>
      <c r="AW94" s="169">
        <f t="shared" si="43"/>
        <v>91.093133777326017</v>
      </c>
      <c r="AX94" s="385"/>
      <c r="AY94" s="385"/>
      <c r="AZ94" s="385"/>
      <c r="BA94" s="385"/>
      <c r="BB94" s="305"/>
      <c r="BC94" s="385"/>
      <c r="BD94" s="385"/>
    </row>
    <row r="95" spans="1:56" s="87" customFormat="1">
      <c r="A95" s="79">
        <v>1784</v>
      </c>
      <c r="B95" s="1540">
        <f t="shared" si="75"/>
        <v>160.90489072500301</v>
      </c>
      <c r="C95" s="1031">
        <v>8678</v>
      </c>
      <c r="D95" s="519">
        <v>6959</v>
      </c>
      <c r="E95" s="519">
        <v>1323</v>
      </c>
      <c r="F95" s="175">
        <f t="shared" si="45"/>
        <v>396</v>
      </c>
      <c r="G95" s="1540">
        <f t="shared" si="63"/>
        <v>7355</v>
      </c>
      <c r="H95" s="1162">
        <f t="shared" si="46"/>
        <v>248.13509615384621</v>
      </c>
      <c r="I95" s="29">
        <f t="shared" si="47"/>
        <v>1.0704706477732795</v>
      </c>
      <c r="J95" s="111">
        <v>231.8</v>
      </c>
      <c r="K95" s="959">
        <v>212.8</v>
      </c>
      <c r="L95" s="959">
        <f t="shared" si="64"/>
        <v>19</v>
      </c>
      <c r="M95" s="29">
        <f t="shared" si="48"/>
        <v>1.5421227722526181</v>
      </c>
      <c r="N95" s="29">
        <v>1.5571000000000002</v>
      </c>
      <c r="O95" s="111">
        <v>153.08823529411765</v>
      </c>
      <c r="P95" s="29">
        <f t="shared" si="73"/>
        <v>0.61695518960043216</v>
      </c>
      <c r="Q95" s="1558">
        <f t="shared" si="49"/>
        <v>2.964111128979444E-2</v>
      </c>
      <c r="R95" s="961">
        <f t="shared" si="50"/>
        <v>3.2702067669172927E-2</v>
      </c>
      <c r="S95" s="961">
        <f t="shared" si="51"/>
        <v>1.1206988040328164E-2</v>
      </c>
      <c r="T95" s="1535">
        <f t="shared" si="52"/>
        <v>4.8044188280499521E-2</v>
      </c>
      <c r="U95" s="1544">
        <v>13214</v>
      </c>
      <c r="V95" s="175">
        <v>24245</v>
      </c>
      <c r="W95" s="175">
        <f t="shared" si="53"/>
        <v>22922</v>
      </c>
      <c r="X95" s="964">
        <f t="shared" si="65"/>
        <v>-9.7080000000000002</v>
      </c>
      <c r="Y95" s="1536">
        <f t="shared" si="54"/>
        <v>0.80452445362501512</v>
      </c>
      <c r="Z95" s="111">
        <f t="shared" si="55"/>
        <v>-10.512524453625016</v>
      </c>
      <c r="AA95" s="1536">
        <f t="shared" si="56"/>
        <v>0</v>
      </c>
      <c r="AB95" s="111">
        <f t="shared" si="57"/>
        <v>-11.882224190283381</v>
      </c>
      <c r="AC95" s="111">
        <f t="shared" si="66"/>
        <v>-9.7080000000000002</v>
      </c>
      <c r="AD95" s="111">
        <f t="shared" si="67"/>
        <v>-10.512524453625016</v>
      </c>
      <c r="AE95" s="111">
        <f t="shared" si="68"/>
        <v>232.82905483095576</v>
      </c>
      <c r="AF95" s="29">
        <f t="shared" si="58"/>
        <v>-9.5124773733879078E-2</v>
      </c>
      <c r="AG95" s="587">
        <f t="shared" si="59"/>
        <v>-3.1575244536250153</v>
      </c>
      <c r="AH95" s="964">
        <f t="shared" si="69"/>
        <v>0</v>
      </c>
      <c r="AI95" s="964">
        <v>0</v>
      </c>
      <c r="AJ95" s="964">
        <f t="shared" si="70"/>
        <v>0</v>
      </c>
      <c r="AK95" s="964">
        <f t="shared" si="71"/>
        <v>-9.7080000000000002</v>
      </c>
      <c r="AL95" s="964">
        <f t="shared" si="60"/>
        <v>0.91931842554432153</v>
      </c>
      <c r="AM95" s="961">
        <f t="shared" si="61"/>
        <v>5.7134274875180573E-3</v>
      </c>
      <c r="AN95" s="964">
        <f t="shared" si="72"/>
        <v>-10.627318425544322</v>
      </c>
      <c r="AO95" s="965"/>
      <c r="AP95" s="1544">
        <v>126</v>
      </c>
      <c r="AQ95" s="175">
        <v>108</v>
      </c>
      <c r="AR95" s="175">
        <f t="shared" si="62"/>
        <v>117</v>
      </c>
      <c r="AS95" s="175"/>
      <c r="AT95" s="175"/>
      <c r="AU95" s="111"/>
      <c r="AV95" s="111">
        <v>7.6</v>
      </c>
      <c r="AW95" s="169">
        <f t="shared" si="43"/>
        <v>86.649566275993038</v>
      </c>
      <c r="AX95" s="385"/>
      <c r="AY95" s="385"/>
      <c r="AZ95" s="385"/>
      <c r="BA95" s="305"/>
      <c r="BB95" s="305"/>
      <c r="BC95" s="385"/>
      <c r="BD95" s="385"/>
    </row>
    <row r="96" spans="1:56" s="87" customFormat="1">
      <c r="A96" s="79">
        <v>1785</v>
      </c>
      <c r="B96" s="1540">
        <f t="shared" si="75"/>
        <v>163.09932240330585</v>
      </c>
      <c r="C96" s="1031">
        <v>9229</v>
      </c>
      <c r="D96" s="519">
        <v>7431</v>
      </c>
      <c r="E96" s="519">
        <v>1299</v>
      </c>
      <c r="F96" s="175">
        <f t="shared" si="45"/>
        <v>499</v>
      </c>
      <c r="G96" s="1540">
        <f t="shared" si="63"/>
        <v>7930</v>
      </c>
      <c r="H96" s="1162">
        <f t="shared" si="46"/>
        <v>260.01732034412959</v>
      </c>
      <c r="I96" s="29">
        <f t="shared" si="47"/>
        <v>1.0704706477732795</v>
      </c>
      <c r="J96" s="111">
        <v>242.9</v>
      </c>
      <c r="K96" s="959">
        <v>228.7</v>
      </c>
      <c r="L96" s="959">
        <f t="shared" si="64"/>
        <v>14.200000000000017</v>
      </c>
      <c r="M96" s="29">
        <f t="shared" si="48"/>
        <v>1.5942268582892611</v>
      </c>
      <c r="N96" s="29">
        <v>1.5247999999999999</v>
      </c>
      <c r="O96" s="111">
        <v>181.4039408866995</v>
      </c>
      <c r="P96" s="29">
        <f t="shared" si="73"/>
        <v>0.69766098907031926</v>
      </c>
      <c r="Q96" s="1558">
        <f t="shared" si="49"/>
        <v>3.0497968325743634E-2</v>
      </c>
      <c r="R96" s="961">
        <f t="shared" si="50"/>
        <v>3.2492348054219501E-2</v>
      </c>
      <c r="S96" s="961">
        <f t="shared" si="51"/>
        <v>1.5933674864795293E-2</v>
      </c>
      <c r="T96" s="1535">
        <f t="shared" si="52"/>
        <v>4.3714596062457568E-2</v>
      </c>
      <c r="U96" s="1544">
        <v>15527</v>
      </c>
      <c r="V96" s="175">
        <v>25832</v>
      </c>
      <c r="W96" s="175">
        <f t="shared" si="53"/>
        <v>24533</v>
      </c>
      <c r="X96" s="964">
        <f t="shared" si="65"/>
        <v>-9.0060000000000002</v>
      </c>
      <c r="Y96" s="1536">
        <f t="shared" si="54"/>
        <v>0.81549661201652923</v>
      </c>
      <c r="Z96" s="111">
        <f t="shared" si="55"/>
        <v>-9.8214966120165297</v>
      </c>
      <c r="AA96" s="1536">
        <f t="shared" si="56"/>
        <v>0</v>
      </c>
      <c r="AB96" s="111">
        <f t="shared" si="57"/>
        <v>-2.7832236842105544</v>
      </c>
      <c r="AC96" s="111">
        <f t="shared" si="66"/>
        <v>-9.0060000000000002</v>
      </c>
      <c r="AD96" s="111">
        <f t="shared" si="67"/>
        <v>-9.8214966120165297</v>
      </c>
      <c r="AE96" s="111">
        <f t="shared" si="68"/>
        <v>243.34157928458077</v>
      </c>
      <c r="AF96" s="29">
        <f t="shared" si="58"/>
        <v>-0.10224285922116629</v>
      </c>
      <c r="AG96" s="587">
        <f t="shared" si="59"/>
        <v>-1.89149661201653</v>
      </c>
      <c r="AH96" s="964">
        <f t="shared" si="69"/>
        <v>0</v>
      </c>
      <c r="AI96" s="964">
        <v>0</v>
      </c>
      <c r="AJ96" s="964">
        <f t="shared" si="70"/>
        <v>0</v>
      </c>
      <c r="AK96" s="964">
        <f t="shared" si="71"/>
        <v>-9.0060000000000002</v>
      </c>
      <c r="AL96" s="964">
        <f t="shared" si="60"/>
        <v>0.93185615181461734</v>
      </c>
      <c r="AM96" s="961">
        <f t="shared" si="61"/>
        <v>5.7134274875180573E-3</v>
      </c>
      <c r="AN96" s="964">
        <f t="shared" si="72"/>
        <v>-9.9378561518146178</v>
      </c>
      <c r="AO96" s="965"/>
      <c r="AP96" s="1544">
        <v>120</v>
      </c>
      <c r="AQ96" s="175">
        <v>107</v>
      </c>
      <c r="AR96" s="175">
        <f t="shared" si="62"/>
        <v>113.5</v>
      </c>
      <c r="AS96" s="175"/>
      <c r="AT96" s="175"/>
      <c r="AU96" s="175">
        <f>AU106*AVERAGE(AR92:AR101)/AVERAGE(AR102:AR111)</f>
        <v>102.55673790710027</v>
      </c>
      <c r="AV96" s="111">
        <v>7.2</v>
      </c>
      <c r="AW96" s="169">
        <f t="shared" si="43"/>
        <v>84.057485233548803</v>
      </c>
      <c r="AX96" s="385"/>
      <c r="AY96" s="385"/>
      <c r="AZ96" s="385"/>
      <c r="BA96" s="305"/>
      <c r="BB96" s="305"/>
      <c r="BC96" s="385"/>
      <c r="BD96" s="385"/>
    </row>
    <row r="97" spans="1:56" s="87" customFormat="1">
      <c r="A97" s="79">
        <v>1786</v>
      </c>
      <c r="B97" s="1540">
        <f t="shared" si="75"/>
        <v>165.29375408160868</v>
      </c>
      <c r="C97" s="1031">
        <v>9481</v>
      </c>
      <c r="D97" s="519">
        <v>7980</v>
      </c>
      <c r="E97" s="519">
        <v>1295</v>
      </c>
      <c r="F97" s="175">
        <f t="shared" si="45"/>
        <v>206</v>
      </c>
      <c r="G97" s="1540">
        <f t="shared" si="63"/>
        <v>8186</v>
      </c>
      <c r="H97" s="1162">
        <f t="shared" si="46"/>
        <v>262.80054402834014</v>
      </c>
      <c r="I97" s="29">
        <f t="shared" si="47"/>
        <v>1.0704706477732795</v>
      </c>
      <c r="J97" s="111">
        <v>245.5</v>
      </c>
      <c r="K97" s="959">
        <v>239.6</v>
      </c>
      <c r="L97" s="959">
        <f t="shared" si="64"/>
        <v>5.9000000000000057</v>
      </c>
      <c r="M97" s="29">
        <f t="shared" si="48"/>
        <v>1.5899000267039158</v>
      </c>
      <c r="N97" s="29">
        <v>1.4831000000000001</v>
      </c>
      <c r="O97" s="111">
        <v>181.02941176470586</v>
      </c>
      <c r="P97" s="29">
        <f t="shared" si="73"/>
        <v>0.68884717280183339</v>
      </c>
      <c r="Q97" s="1558">
        <f t="shared" si="49"/>
        <v>3.1149098379024777E-2</v>
      </c>
      <c r="R97" s="961">
        <f t="shared" si="50"/>
        <v>3.330550918196995E-2</v>
      </c>
      <c r="S97" s="961">
        <f t="shared" si="51"/>
        <v>8.8791021343449933E-3</v>
      </c>
      <c r="T97" s="1535">
        <f t="shared" si="52"/>
        <v>4.5219171405361504E-2</v>
      </c>
      <c r="U97" s="1544">
        <v>15246</v>
      </c>
      <c r="V97" s="175">
        <v>16978</v>
      </c>
      <c r="W97" s="175">
        <f t="shared" si="53"/>
        <v>15683</v>
      </c>
      <c r="X97" s="964">
        <f t="shared" si="65"/>
        <v>-0.437</v>
      </c>
      <c r="Y97" s="1536">
        <f t="shared" si="54"/>
        <v>0.82646877040804345</v>
      </c>
      <c r="Z97" s="111">
        <f t="shared" si="55"/>
        <v>-1.2634687704080434</v>
      </c>
      <c r="AA97" s="1536">
        <f t="shared" si="56"/>
        <v>0</v>
      </c>
      <c r="AB97" s="111">
        <f t="shared" si="57"/>
        <v>-0.74932945344124846</v>
      </c>
      <c r="AC97" s="111">
        <f t="shared" si="66"/>
        <v>-0.437</v>
      </c>
      <c r="AD97" s="111">
        <f t="shared" si="67"/>
        <v>-1.2634687704080434</v>
      </c>
      <c r="AE97" s="111">
        <f t="shared" si="68"/>
        <v>253.16307589659729</v>
      </c>
      <c r="AF97" s="29">
        <f t="shared" si="58"/>
        <v>-5.8305095587487518E-2</v>
      </c>
      <c r="AG97" s="587">
        <f t="shared" si="59"/>
        <v>6.9225312295919563</v>
      </c>
      <c r="AH97" s="964">
        <f t="shared" si="69"/>
        <v>0</v>
      </c>
      <c r="AI97" s="964">
        <v>0</v>
      </c>
      <c r="AJ97" s="964">
        <f t="shared" si="70"/>
        <v>0</v>
      </c>
      <c r="AK97" s="964">
        <f t="shared" si="71"/>
        <v>-0.437</v>
      </c>
      <c r="AL97" s="964">
        <f t="shared" si="60"/>
        <v>0.94439387808491315</v>
      </c>
      <c r="AM97" s="961">
        <f t="shared" si="61"/>
        <v>5.7134274875180573E-3</v>
      </c>
      <c r="AN97" s="964">
        <f t="shared" si="72"/>
        <v>-1.3813938780849131</v>
      </c>
      <c r="AO97" s="965"/>
      <c r="AP97" s="1544">
        <v>119</v>
      </c>
      <c r="AQ97" s="175">
        <v>113</v>
      </c>
      <c r="AR97" s="175">
        <f t="shared" si="62"/>
        <v>116</v>
      </c>
      <c r="AS97" s="175"/>
      <c r="AT97" s="175"/>
      <c r="AU97" s="111"/>
      <c r="AV97" s="111">
        <v>7.2</v>
      </c>
      <c r="AW97" s="169">
        <f t="shared" si="43"/>
        <v>85.908971692437547</v>
      </c>
      <c r="AX97" s="385"/>
      <c r="AY97" s="385"/>
      <c r="AZ97" s="385"/>
      <c r="BA97" s="305"/>
      <c r="BB97" s="305"/>
      <c r="BC97" s="385"/>
      <c r="BD97" s="385"/>
    </row>
    <row r="98" spans="1:56" s="87" customFormat="1">
      <c r="A98" s="79">
        <v>1787</v>
      </c>
      <c r="B98" s="1540">
        <f t="shared" si="75"/>
        <v>167.48818575991152</v>
      </c>
      <c r="C98" s="1031">
        <v>9292</v>
      </c>
      <c r="D98" s="519">
        <v>7916</v>
      </c>
      <c r="E98" s="519">
        <v>1021</v>
      </c>
      <c r="F98" s="175">
        <f t="shared" si="45"/>
        <v>355</v>
      </c>
      <c r="G98" s="1540">
        <f t="shared" si="63"/>
        <v>8271</v>
      </c>
      <c r="H98" s="1162">
        <f t="shared" si="46"/>
        <v>263.54987348178139</v>
      </c>
      <c r="I98" s="29">
        <f t="shared" si="47"/>
        <v>1.0704706477732795</v>
      </c>
      <c r="J98" s="111">
        <v>246.2</v>
      </c>
      <c r="K98" s="959">
        <v>239.7</v>
      </c>
      <c r="L98" s="959">
        <f t="shared" si="64"/>
        <v>6.5</v>
      </c>
      <c r="M98" s="29">
        <f t="shared" si="48"/>
        <v>1.5735430668499266</v>
      </c>
      <c r="N98" s="29">
        <v>1.4459</v>
      </c>
      <c r="O98" s="111">
        <v>181.62561576354679</v>
      </c>
      <c r="P98" s="29">
        <f t="shared" si="73"/>
        <v>0.68915083647764364</v>
      </c>
      <c r="Q98" s="1558">
        <f t="shared" si="49"/>
        <v>3.1383054337044691E-2</v>
      </c>
      <c r="R98" s="961">
        <f t="shared" si="50"/>
        <v>3.3024614100959533E-2</v>
      </c>
      <c r="S98" s="961">
        <f t="shared" si="51"/>
        <v>1.4884774976738544E-2</v>
      </c>
      <c r="T98" s="1535">
        <f t="shared" si="52"/>
        <v>4.5538730675345813E-2</v>
      </c>
      <c r="U98" s="1544">
        <v>16453</v>
      </c>
      <c r="V98" s="175">
        <v>15484</v>
      </c>
      <c r="W98" s="175">
        <f t="shared" si="53"/>
        <v>14463</v>
      </c>
      <c r="X98" s="964">
        <f t="shared" si="65"/>
        <v>1.99</v>
      </c>
      <c r="Y98" s="1536">
        <f t="shared" si="54"/>
        <v>0.83744092879955756</v>
      </c>
      <c r="Z98" s="111">
        <f t="shared" si="55"/>
        <v>1.1525590712004425</v>
      </c>
      <c r="AA98" s="1536">
        <f t="shared" si="56"/>
        <v>0</v>
      </c>
      <c r="AB98" s="111">
        <f t="shared" si="57"/>
        <v>1.177517712550582</v>
      </c>
      <c r="AC98" s="111">
        <f t="shared" si="66"/>
        <v>1.99</v>
      </c>
      <c r="AD98" s="111">
        <f t="shared" si="67"/>
        <v>1.1525590712004425</v>
      </c>
      <c r="AE98" s="111">
        <f t="shared" si="68"/>
        <v>254.42654466700534</v>
      </c>
      <c r="AF98" s="29">
        <f t="shared" si="58"/>
        <v>-5.4471476739583406E-2</v>
      </c>
      <c r="AG98" s="587">
        <f t="shared" si="59"/>
        <v>9.4235590712004438</v>
      </c>
      <c r="AH98" s="964">
        <f t="shared" si="69"/>
        <v>0</v>
      </c>
      <c r="AI98" s="964">
        <v>0</v>
      </c>
      <c r="AJ98" s="964">
        <f t="shared" si="70"/>
        <v>0</v>
      </c>
      <c r="AK98" s="964">
        <f t="shared" si="71"/>
        <v>1.99</v>
      </c>
      <c r="AL98" s="964">
        <f t="shared" si="60"/>
        <v>0.95693160435520896</v>
      </c>
      <c r="AM98" s="961">
        <f t="shared" si="61"/>
        <v>5.7134274875180573E-3</v>
      </c>
      <c r="AN98" s="964">
        <f t="shared" si="72"/>
        <v>1.033068395644791</v>
      </c>
      <c r="AO98" s="965"/>
      <c r="AP98" s="1544">
        <v>117</v>
      </c>
      <c r="AQ98" s="175">
        <v>111</v>
      </c>
      <c r="AR98" s="175">
        <f t="shared" si="62"/>
        <v>114</v>
      </c>
      <c r="AS98" s="175"/>
      <c r="AT98" s="175"/>
      <c r="AU98" s="111"/>
      <c r="AV98" s="111">
        <v>7.2</v>
      </c>
      <c r="AW98" s="169">
        <f t="shared" si="43"/>
        <v>84.427782525326563</v>
      </c>
      <c r="AX98" s="385"/>
      <c r="AY98" s="385"/>
      <c r="AZ98" s="385"/>
      <c r="BA98" s="305"/>
      <c r="BB98" s="305"/>
      <c r="BC98" s="385"/>
      <c r="BD98" s="385"/>
    </row>
    <row r="99" spans="1:56" s="87" customFormat="1">
      <c r="A99" s="79">
        <v>1788</v>
      </c>
      <c r="B99" s="1540">
        <f t="shared" si="75"/>
        <v>169.68261743821435</v>
      </c>
      <c r="C99" s="1031">
        <v>9407</v>
      </c>
      <c r="D99" s="519">
        <v>7894</v>
      </c>
      <c r="E99" s="519">
        <v>1267</v>
      </c>
      <c r="F99" s="175">
        <f t="shared" si="45"/>
        <v>246</v>
      </c>
      <c r="G99" s="1540">
        <f t="shared" si="63"/>
        <v>8140</v>
      </c>
      <c r="H99" s="1162">
        <f t="shared" si="46"/>
        <v>262.37235576923081</v>
      </c>
      <c r="I99" s="29">
        <f t="shared" si="47"/>
        <v>1.0704706477732795</v>
      </c>
      <c r="J99" s="111">
        <v>245.1</v>
      </c>
      <c r="K99" s="959">
        <v>237.7</v>
      </c>
      <c r="L99" s="959">
        <f t="shared" si="64"/>
        <v>7.4000000000000057</v>
      </c>
      <c r="M99" s="29">
        <f t="shared" si="48"/>
        <v>1.5462535864333133</v>
      </c>
      <c r="N99" s="29">
        <v>1.3925999999999998</v>
      </c>
      <c r="O99" s="111">
        <v>187.57653061224488</v>
      </c>
      <c r="P99" s="29">
        <f t="shared" si="73"/>
        <v>0.71492490152898391</v>
      </c>
      <c r="Q99" s="1558">
        <f t="shared" si="49"/>
        <v>3.1024609952275323E-2</v>
      </c>
      <c r="R99" s="961">
        <f t="shared" si="50"/>
        <v>3.3209928481278926E-2</v>
      </c>
      <c r="S99" s="961">
        <f t="shared" si="51"/>
        <v>9.9706733439207888E-3</v>
      </c>
      <c r="T99" s="1535">
        <f t="shared" si="52"/>
        <v>4.339562083503333E-2</v>
      </c>
      <c r="U99" s="1544">
        <v>16779</v>
      </c>
      <c r="V99" s="175">
        <v>16338</v>
      </c>
      <c r="W99" s="175">
        <f t="shared" si="53"/>
        <v>15071</v>
      </c>
      <c r="X99" s="964">
        <f t="shared" si="65"/>
        <v>1.708</v>
      </c>
      <c r="Y99" s="1536">
        <f t="shared" si="54"/>
        <v>0.84841308719107178</v>
      </c>
      <c r="Z99" s="111">
        <f t="shared" si="55"/>
        <v>0.85958691280892818</v>
      </c>
      <c r="AA99" s="1536">
        <f t="shared" si="56"/>
        <v>0</v>
      </c>
      <c r="AB99" s="111">
        <f t="shared" si="57"/>
        <v>0.85637651821861027</v>
      </c>
      <c r="AC99" s="111">
        <f t="shared" si="66"/>
        <v>1.708</v>
      </c>
      <c r="AD99" s="111">
        <f t="shared" si="67"/>
        <v>0.85958691280892818</v>
      </c>
      <c r="AE99" s="111">
        <f t="shared" si="68"/>
        <v>253.2739855958049</v>
      </c>
      <c r="AF99" s="29">
        <f t="shared" si="58"/>
        <v>-5.3619930613923068E-2</v>
      </c>
      <c r="AG99" s="587">
        <f t="shared" si="59"/>
        <v>8.9995869128089296</v>
      </c>
      <c r="AH99" s="964">
        <f t="shared" si="69"/>
        <v>0</v>
      </c>
      <c r="AI99" s="964">
        <v>0</v>
      </c>
      <c r="AJ99" s="964">
        <f t="shared" si="70"/>
        <v>0</v>
      </c>
      <c r="AK99" s="964">
        <f t="shared" si="71"/>
        <v>1.708</v>
      </c>
      <c r="AL99" s="964">
        <f t="shared" si="60"/>
        <v>0.96946933062550467</v>
      </c>
      <c r="AM99" s="961">
        <f t="shared" si="61"/>
        <v>5.7134274875180573E-3</v>
      </c>
      <c r="AN99" s="964">
        <f t="shared" si="72"/>
        <v>0.7385306693744953</v>
      </c>
      <c r="AO99" s="965"/>
      <c r="AP99" s="1544">
        <v>121</v>
      </c>
      <c r="AQ99" s="175">
        <v>113</v>
      </c>
      <c r="AR99" s="175">
        <f t="shared" si="62"/>
        <v>117</v>
      </c>
      <c r="AS99" s="175"/>
      <c r="AT99" s="175"/>
      <c r="AU99" s="111"/>
      <c r="AV99" s="111">
        <v>7.5</v>
      </c>
      <c r="AW99" s="169">
        <f t="shared" si="43"/>
        <v>86.649566275993038</v>
      </c>
      <c r="AX99" s="385"/>
      <c r="AY99" s="385"/>
      <c r="AZ99" s="385"/>
      <c r="BA99" s="305"/>
      <c r="BB99" s="305"/>
      <c r="BC99" s="385"/>
      <c r="BD99" s="385"/>
    </row>
    <row r="100" spans="1:56" s="87" customFormat="1">
      <c r="A100" s="79">
        <v>1789</v>
      </c>
      <c r="B100" s="1540">
        <f t="shared" si="75"/>
        <v>171.87704911651718</v>
      </c>
      <c r="C100" s="1031">
        <v>9425</v>
      </c>
      <c r="D100" s="519">
        <v>7850</v>
      </c>
      <c r="E100" s="519">
        <v>1265</v>
      </c>
      <c r="F100" s="175">
        <f t="shared" si="45"/>
        <v>310</v>
      </c>
      <c r="G100" s="1540">
        <f t="shared" si="63"/>
        <v>8160</v>
      </c>
      <c r="H100" s="1162">
        <f t="shared" si="46"/>
        <v>261.5159792510122</v>
      </c>
      <c r="I100" s="29">
        <f t="shared" si="47"/>
        <v>1.0704706477732795</v>
      </c>
      <c r="J100" s="959">
        <v>244.3</v>
      </c>
      <c r="K100" s="959">
        <v>236.2</v>
      </c>
      <c r="L100" s="959">
        <f t="shared" si="64"/>
        <v>8.1000000000000227</v>
      </c>
      <c r="M100" s="29">
        <f t="shared" si="48"/>
        <v>1.5215293757674877</v>
      </c>
      <c r="N100" s="29">
        <v>1.3496999999999999</v>
      </c>
      <c r="O100" s="111">
        <v>187.92307692307691</v>
      </c>
      <c r="P100" s="29">
        <f t="shared" si="73"/>
        <v>0.71859118307528635</v>
      </c>
      <c r="Q100" s="1558">
        <f t="shared" si="49"/>
        <v>3.1202682235213421E-2</v>
      </c>
      <c r="R100" s="961">
        <f t="shared" si="50"/>
        <v>3.3234546994072821E-2</v>
      </c>
      <c r="S100" s="961">
        <f t="shared" si="51"/>
        <v>1.224523045015552E-2</v>
      </c>
      <c r="T100" s="1535">
        <f t="shared" si="52"/>
        <v>4.3422022103970531E-2</v>
      </c>
      <c r="U100" s="1544">
        <v>16669</v>
      </c>
      <c r="V100" s="175">
        <v>16018</v>
      </c>
      <c r="W100" s="175">
        <f t="shared" si="53"/>
        <v>14753</v>
      </c>
      <c r="X100" s="964">
        <f t="shared" si="65"/>
        <v>1.9159999999999999</v>
      </c>
      <c r="Y100" s="1536">
        <f t="shared" si="54"/>
        <v>0.85938524558258589</v>
      </c>
      <c r="Z100" s="111">
        <f t="shared" si="55"/>
        <v>1.056614754417414</v>
      </c>
      <c r="AA100" s="1536">
        <f t="shared" si="56"/>
        <v>0</v>
      </c>
      <c r="AB100" s="111">
        <f t="shared" si="57"/>
        <v>0.32114119433202859</v>
      </c>
      <c r="AC100" s="111">
        <f t="shared" si="66"/>
        <v>1.9159999999999999</v>
      </c>
      <c r="AD100" s="111">
        <f t="shared" si="67"/>
        <v>1.056614754417414</v>
      </c>
      <c r="AE100" s="111">
        <f t="shared" si="68"/>
        <v>252.41439868299597</v>
      </c>
      <c r="AF100" s="29">
        <f t="shared" si="58"/>
        <v>-5.295401925271697E-2</v>
      </c>
      <c r="AG100" s="587">
        <f t="shared" si="59"/>
        <v>9.2166147544174137</v>
      </c>
      <c r="AH100" s="964">
        <f t="shared" si="69"/>
        <v>0</v>
      </c>
      <c r="AI100" s="964">
        <v>0</v>
      </c>
      <c r="AJ100" s="964">
        <f t="shared" si="70"/>
        <v>0</v>
      </c>
      <c r="AK100" s="964">
        <f t="shared" si="71"/>
        <v>1.9159999999999999</v>
      </c>
      <c r="AL100" s="964">
        <f t="shared" si="60"/>
        <v>0.98200705689580048</v>
      </c>
      <c r="AM100" s="961">
        <f t="shared" si="61"/>
        <v>5.7134274875180573E-3</v>
      </c>
      <c r="AN100" s="964">
        <f t="shared" si="72"/>
        <v>0.93399294310419945</v>
      </c>
      <c r="AO100" s="965"/>
      <c r="AP100" s="1544">
        <v>117</v>
      </c>
      <c r="AQ100" s="175">
        <v>107</v>
      </c>
      <c r="AR100" s="175">
        <f t="shared" si="62"/>
        <v>112</v>
      </c>
      <c r="AS100" s="175"/>
      <c r="AT100" s="175"/>
      <c r="AU100" s="111"/>
      <c r="AV100" s="111">
        <v>7.4</v>
      </c>
      <c r="AW100" s="169">
        <f>AW101*AR100/AR101</f>
        <v>82.946593358215566</v>
      </c>
      <c r="AX100" s="385"/>
      <c r="AY100" s="385"/>
      <c r="AZ100" s="385"/>
      <c r="BA100" s="305"/>
      <c r="BB100" s="305"/>
      <c r="BC100" s="385"/>
      <c r="BD100" s="385"/>
    </row>
    <row r="101" spans="1:56" s="87" customFormat="1">
      <c r="A101" s="79">
        <v>1790</v>
      </c>
      <c r="B101" s="1540">
        <f>TableUK2!B19*1000</f>
        <v>174.07148079481999</v>
      </c>
      <c r="C101" s="1031">
        <v>9370</v>
      </c>
      <c r="D101" s="519">
        <v>7904</v>
      </c>
      <c r="E101" s="519">
        <v>1277</v>
      </c>
      <c r="F101" s="175">
        <f t="shared" si="45"/>
        <v>189</v>
      </c>
      <c r="G101" s="1540">
        <f t="shared" si="63"/>
        <v>8093</v>
      </c>
      <c r="H101" s="1162">
        <f t="shared" si="46"/>
        <v>261.19483805668017</v>
      </c>
      <c r="I101" s="29">
        <f t="shared" si="47"/>
        <v>1.0704706477732795</v>
      </c>
      <c r="J101" s="959">
        <v>244</v>
      </c>
      <c r="K101" s="959">
        <v>234.6</v>
      </c>
      <c r="L101" s="959">
        <f t="shared" si="64"/>
        <v>9.4000000000000057</v>
      </c>
      <c r="M101" s="29">
        <f t="shared" si="48"/>
        <v>1.5005033384219524</v>
      </c>
      <c r="N101" s="29">
        <v>1.3118000000000001</v>
      </c>
      <c r="O101" s="111">
        <v>204.46927374301677</v>
      </c>
      <c r="P101" s="29">
        <f t="shared" si="73"/>
        <v>0.78282279720492121</v>
      </c>
      <c r="Q101" s="1558">
        <f t="shared" si="49"/>
        <v>3.0984532696790093E-2</v>
      </c>
      <c r="R101" s="961">
        <f t="shared" si="50"/>
        <v>3.3691389599317986E-2</v>
      </c>
      <c r="S101" s="961">
        <f t="shared" si="51"/>
        <v>7.1066422588170787E-3</v>
      </c>
      <c r="T101" s="1535">
        <f t="shared" si="52"/>
        <v>3.9580519125683056E-2</v>
      </c>
      <c r="U101" s="1544">
        <v>17014</v>
      </c>
      <c r="V101" s="175">
        <v>16798</v>
      </c>
      <c r="W101" s="175">
        <f t="shared" si="53"/>
        <v>15521</v>
      </c>
      <c r="X101" s="964">
        <f t="shared" si="65"/>
        <v>1.4930000000000001</v>
      </c>
      <c r="Y101" s="1536">
        <f t="shared" si="54"/>
        <v>0.8703574039741</v>
      </c>
      <c r="Z101" s="111">
        <f t="shared" si="55"/>
        <v>0.62264259602590011</v>
      </c>
      <c r="AA101" s="1536">
        <f t="shared" si="56"/>
        <v>0</v>
      </c>
      <c r="AB101" s="111">
        <f t="shared" si="57"/>
        <v>0.85637651821861027</v>
      </c>
      <c r="AC101" s="111">
        <f t="shared" si="66"/>
        <v>1.4930000000000001</v>
      </c>
      <c r="AD101" s="111">
        <f t="shared" si="67"/>
        <v>0.62264259602590011</v>
      </c>
      <c r="AE101" s="111">
        <f t="shared" si="68"/>
        <v>251.35778392857856</v>
      </c>
      <c r="AF101" s="29">
        <f t="shared" si="58"/>
        <v>-5.6511578365307638E-2</v>
      </c>
      <c r="AG101" s="587">
        <f t="shared" si="59"/>
        <v>8.7156425960258996</v>
      </c>
      <c r="AH101" s="964">
        <f t="shared" si="69"/>
        <v>0</v>
      </c>
      <c r="AI101" s="964">
        <v>0</v>
      </c>
      <c r="AJ101" s="964">
        <f t="shared" si="70"/>
        <v>0</v>
      </c>
      <c r="AK101" s="964">
        <f t="shared" si="71"/>
        <v>1.4930000000000001</v>
      </c>
      <c r="AL101" s="964">
        <f t="shared" si="60"/>
        <v>0.99454478316609618</v>
      </c>
      <c r="AM101" s="961">
        <f t="shared" si="61"/>
        <v>5.7134274875180573E-3</v>
      </c>
      <c r="AN101" s="964">
        <f t="shared" si="72"/>
        <v>0.49845521683390392</v>
      </c>
      <c r="AO101" s="965"/>
      <c r="AP101" s="1544">
        <v>124</v>
      </c>
      <c r="AQ101" s="175">
        <v>107</v>
      </c>
      <c r="AR101" s="175">
        <f t="shared" si="62"/>
        <v>115.5</v>
      </c>
      <c r="AS101" s="175">
        <v>89.3</v>
      </c>
      <c r="AT101" s="175"/>
      <c r="AU101" s="111"/>
      <c r="AV101" s="111">
        <v>7.5</v>
      </c>
      <c r="AW101" s="1781">
        <f t="shared" ref="AW101:AW111" si="76">AW102*AS101/AS102</f>
        <v>85.538674400659801</v>
      </c>
      <c r="AX101" s="385"/>
      <c r="AY101" s="385"/>
      <c r="AZ101" s="385"/>
      <c r="BA101" s="305"/>
      <c r="BB101" s="305"/>
      <c r="BC101" s="385"/>
      <c r="BD101" s="385"/>
    </row>
    <row r="102" spans="1:56" s="87" customFormat="1">
      <c r="A102" s="79">
        <v>1791</v>
      </c>
      <c r="B102" s="1540">
        <f>B101+(B$111-B$101)/10</f>
        <v>181.43721424467191</v>
      </c>
      <c r="C102" s="1031">
        <v>9430</v>
      </c>
      <c r="D102" s="519">
        <v>7758</v>
      </c>
      <c r="E102" s="519">
        <v>1344</v>
      </c>
      <c r="F102" s="175">
        <f t="shared" si="45"/>
        <v>328</v>
      </c>
      <c r="G102" s="1540">
        <f t="shared" si="63"/>
        <v>8086</v>
      </c>
      <c r="H102" s="1162">
        <f t="shared" si="46"/>
        <v>260.33846153846156</v>
      </c>
      <c r="I102" s="29">
        <f t="shared" si="47"/>
        <v>1.0704706477732795</v>
      </c>
      <c r="J102" s="959">
        <v>243.2</v>
      </c>
      <c r="K102" s="959">
        <v>233</v>
      </c>
      <c r="L102" s="959">
        <f t="shared" si="64"/>
        <v>10.199999999999989</v>
      </c>
      <c r="M102" s="29">
        <f t="shared" si="48"/>
        <v>1.4348680485547449</v>
      </c>
      <c r="N102" s="29">
        <v>1.2666999999999999</v>
      </c>
      <c r="O102" s="111">
        <v>219.09909909909908</v>
      </c>
      <c r="P102" s="29">
        <f t="shared" si="73"/>
        <v>0.84159327747556079</v>
      </c>
      <c r="Q102" s="1558">
        <f t="shared" si="49"/>
        <v>3.105956742701808E-2</v>
      </c>
      <c r="R102" s="961">
        <f t="shared" si="50"/>
        <v>3.3296137339055794E-2</v>
      </c>
      <c r="S102" s="961">
        <f t="shared" si="51"/>
        <v>1.1997749015194138E-2</v>
      </c>
      <c r="T102" s="1535">
        <f t="shared" si="52"/>
        <v>3.6905674342105267E-2</v>
      </c>
      <c r="U102" s="1544">
        <v>18506</v>
      </c>
      <c r="V102" s="175">
        <v>17996</v>
      </c>
      <c r="W102" s="175">
        <f t="shared" si="53"/>
        <v>16652</v>
      </c>
      <c r="X102" s="964">
        <f t="shared" si="65"/>
        <v>1.8540000000000001</v>
      </c>
      <c r="Y102" s="1536">
        <f t="shared" si="54"/>
        <v>0.90718607122335959</v>
      </c>
      <c r="Z102" s="111">
        <f t="shared" si="55"/>
        <v>0.9468139287766405</v>
      </c>
      <c r="AA102" s="1536">
        <f t="shared" si="56"/>
        <v>0</v>
      </c>
      <c r="AB102" s="111">
        <f t="shared" si="57"/>
        <v>1.7127530364372205</v>
      </c>
      <c r="AC102" s="111">
        <f t="shared" si="66"/>
        <v>1.8540000000000001</v>
      </c>
      <c r="AD102" s="111">
        <f t="shared" si="67"/>
        <v>0.9468139287766405</v>
      </c>
      <c r="AE102" s="111">
        <f t="shared" si="68"/>
        <v>250.73514133255264</v>
      </c>
      <c r="AF102" s="29">
        <f t="shared" si="58"/>
        <v>-5.29291647575598E-2</v>
      </c>
      <c r="AG102" s="587">
        <f t="shared" si="59"/>
        <v>9.0328139287766405</v>
      </c>
      <c r="AH102" s="964">
        <f t="shared" si="69"/>
        <v>0</v>
      </c>
      <c r="AI102" s="964">
        <v>0</v>
      </c>
      <c r="AJ102" s="964">
        <f t="shared" si="70"/>
        <v>0</v>
      </c>
      <c r="AK102" s="964">
        <f t="shared" si="71"/>
        <v>1.8540000000000001</v>
      </c>
      <c r="AL102" s="964">
        <f t="shared" si="60"/>
        <v>1.0366283671242114</v>
      </c>
      <c r="AM102" s="961">
        <f t="shared" si="61"/>
        <v>5.7134274875180573E-3</v>
      </c>
      <c r="AN102" s="964">
        <f t="shared" si="72"/>
        <v>0.81737163287578873</v>
      </c>
      <c r="AO102" s="965"/>
      <c r="AP102" s="1544">
        <v>121</v>
      </c>
      <c r="AQ102" s="175">
        <v>107</v>
      </c>
      <c r="AR102" s="175">
        <f t="shared" si="62"/>
        <v>114</v>
      </c>
      <c r="AS102" s="175">
        <v>89.7</v>
      </c>
      <c r="AT102" s="175"/>
      <c r="AU102" s="111"/>
      <c r="AV102" s="111">
        <v>7.5</v>
      </c>
      <c r="AW102" s="175">
        <f t="shared" si="76"/>
        <v>85.921826357661644</v>
      </c>
      <c r="AX102" s="385"/>
      <c r="AY102" s="385"/>
      <c r="AZ102" s="385"/>
      <c r="BA102" s="305"/>
      <c r="BB102" s="305"/>
      <c r="BC102" s="385"/>
      <c r="BD102" s="385"/>
    </row>
    <row r="103" spans="1:56" s="87" customFormat="1">
      <c r="A103" s="79">
        <v>1792</v>
      </c>
      <c r="B103" s="1540">
        <f t="shared" ref="B103:B110" si="77">B102+(B$111-B$101)/10</f>
        <v>188.80294769452382</v>
      </c>
      <c r="C103" s="1031">
        <v>9310</v>
      </c>
      <c r="D103" s="519">
        <v>7712</v>
      </c>
      <c r="E103" s="519">
        <v>1294</v>
      </c>
      <c r="F103" s="175">
        <f t="shared" si="45"/>
        <v>304</v>
      </c>
      <c r="G103" s="1540">
        <f t="shared" si="63"/>
        <v>8016</v>
      </c>
      <c r="H103" s="1162">
        <f t="shared" si="46"/>
        <v>258.62570850202434</v>
      </c>
      <c r="I103" s="29">
        <f t="shared" si="47"/>
        <v>1.0704706477732795</v>
      </c>
      <c r="J103" s="959">
        <v>241.6</v>
      </c>
      <c r="K103" s="959">
        <v>231.5</v>
      </c>
      <c r="L103" s="959">
        <f t="shared" si="64"/>
        <v>10.099999999999994</v>
      </c>
      <c r="M103" s="29">
        <f t="shared" si="48"/>
        <v>1.3698181710619854</v>
      </c>
      <c r="N103" s="29">
        <v>1.2263999999999999</v>
      </c>
      <c r="O103" s="111">
        <v>183.03030303030303</v>
      </c>
      <c r="P103" s="29">
        <f t="shared" si="73"/>
        <v>0.70770343787717604</v>
      </c>
      <c r="Q103" s="1558">
        <f t="shared" si="49"/>
        <v>3.0994598512379741E-2</v>
      </c>
      <c r="R103" s="961">
        <f t="shared" si="50"/>
        <v>3.3313174946004318E-2</v>
      </c>
      <c r="S103" s="961">
        <f t="shared" si="51"/>
        <v>1.1207080544175024E-2</v>
      </c>
      <c r="T103" s="1535">
        <f t="shared" si="52"/>
        <v>4.3796026490066226E-2</v>
      </c>
      <c r="U103" s="1544">
        <v>18607</v>
      </c>
      <c r="V103" s="175">
        <v>16953</v>
      </c>
      <c r="W103" s="175">
        <f t="shared" si="53"/>
        <v>15659</v>
      </c>
      <c r="X103" s="964">
        <f t="shared" si="65"/>
        <v>2.948</v>
      </c>
      <c r="Y103" s="1536">
        <f t="shared" si="54"/>
        <v>0.94401473847261919</v>
      </c>
      <c r="Z103" s="111">
        <f t="shared" si="55"/>
        <v>2.0039852615273808</v>
      </c>
      <c r="AA103" s="1536">
        <f t="shared" si="56"/>
        <v>0</v>
      </c>
      <c r="AB103" s="111">
        <f t="shared" si="57"/>
        <v>-1.3916118421052488</v>
      </c>
      <c r="AC103" s="111">
        <f t="shared" si="66"/>
        <v>2.948</v>
      </c>
      <c r="AD103" s="111">
        <f t="shared" si="67"/>
        <v>2.0039852615273808</v>
      </c>
      <c r="AE103" s="111">
        <f t="shared" si="68"/>
        <v>249.78832740377601</v>
      </c>
      <c r="AF103" s="29">
        <f t="shared" si="58"/>
        <v>-4.6807431802107689E-2</v>
      </c>
      <c r="AG103" s="587">
        <f t="shared" si="59"/>
        <v>10.019985261527381</v>
      </c>
      <c r="AH103" s="964">
        <f t="shared" si="69"/>
        <v>0</v>
      </c>
      <c r="AI103" s="964">
        <v>0</v>
      </c>
      <c r="AJ103" s="964">
        <f t="shared" si="70"/>
        <v>0</v>
      </c>
      <c r="AK103" s="964">
        <f t="shared" si="71"/>
        <v>2.948</v>
      </c>
      <c r="AL103" s="964">
        <f t="shared" si="60"/>
        <v>1.0787119510823264</v>
      </c>
      <c r="AM103" s="961">
        <f t="shared" si="61"/>
        <v>5.7134274875180573E-3</v>
      </c>
      <c r="AN103" s="964">
        <f t="shared" si="72"/>
        <v>1.8692880489176735</v>
      </c>
      <c r="AO103" s="965"/>
      <c r="AP103" s="1544">
        <v>122</v>
      </c>
      <c r="AQ103" s="175">
        <v>111</v>
      </c>
      <c r="AR103" s="175">
        <f t="shared" si="62"/>
        <v>116.5</v>
      </c>
      <c r="AS103" s="175">
        <v>88.1</v>
      </c>
      <c r="AT103" s="175"/>
      <c r="AU103" s="111"/>
      <c r="AV103" s="111">
        <v>7.6</v>
      </c>
      <c r="AW103" s="175">
        <f t="shared" si="76"/>
        <v>84.389218529654286</v>
      </c>
      <c r="AX103" s="385"/>
      <c r="AY103" s="385"/>
      <c r="AZ103" s="385"/>
      <c r="BA103" s="305"/>
      <c r="BB103" s="305"/>
      <c r="BC103" s="385"/>
      <c r="BD103" s="385"/>
    </row>
    <row r="104" spans="1:56" s="87" customFormat="1">
      <c r="A104" s="79">
        <v>1793</v>
      </c>
      <c r="B104" s="1540">
        <f t="shared" si="77"/>
        <v>196.16868114437574</v>
      </c>
      <c r="C104" s="1031">
        <v>9149</v>
      </c>
      <c r="D104" s="519">
        <v>7661</v>
      </c>
      <c r="E104" s="519">
        <v>1269</v>
      </c>
      <c r="F104" s="175">
        <f t="shared" si="45"/>
        <v>219</v>
      </c>
      <c r="G104" s="1540">
        <f t="shared" si="63"/>
        <v>7880</v>
      </c>
      <c r="H104" s="1162">
        <f t="shared" si="46"/>
        <v>260.01732034412959</v>
      </c>
      <c r="I104" s="29">
        <f t="shared" si="47"/>
        <v>1.0704706477732795</v>
      </c>
      <c r="J104" s="959">
        <v>242.9</v>
      </c>
      <c r="K104" s="959">
        <v>229.6</v>
      </c>
      <c r="L104" s="959">
        <f t="shared" si="64"/>
        <v>13.300000000000011</v>
      </c>
      <c r="M104" s="29">
        <f t="shared" si="48"/>
        <v>1.3254782507956133</v>
      </c>
      <c r="N104" s="29">
        <v>1.1965999999999999</v>
      </c>
      <c r="O104" s="111">
        <v>165.61363636363635</v>
      </c>
      <c r="P104" s="29">
        <f t="shared" si="73"/>
        <v>0.63693309408945842</v>
      </c>
      <c r="Q104" s="1558">
        <f t="shared" si="49"/>
        <v>3.0305673443488002E-2</v>
      </c>
      <c r="R104" s="961">
        <f t="shared" si="50"/>
        <v>3.3366724738675954E-2</v>
      </c>
      <c r="S104" s="961">
        <f t="shared" si="51"/>
        <v>7.1998452698107587E-3</v>
      </c>
      <c r="T104" s="1535">
        <f t="shared" si="52"/>
        <v>4.7580623027308908E-2</v>
      </c>
      <c r="U104" s="1544">
        <v>18131</v>
      </c>
      <c r="V104" s="175">
        <v>19623</v>
      </c>
      <c r="W104" s="175">
        <f t="shared" si="53"/>
        <v>18354</v>
      </c>
      <c r="X104" s="964">
        <f t="shared" si="65"/>
        <v>-0.223</v>
      </c>
      <c r="Y104" s="1536">
        <f t="shared" si="54"/>
        <v>0.98084340572187867</v>
      </c>
      <c r="Z104" s="111">
        <f t="shared" si="55"/>
        <v>-1.2038434057218788</v>
      </c>
      <c r="AA104" s="1536">
        <f t="shared" si="56"/>
        <v>0</v>
      </c>
      <c r="AB104" s="111">
        <f t="shared" si="57"/>
        <v>-7.1721533400809676</v>
      </c>
      <c r="AC104" s="111">
        <f t="shared" si="66"/>
        <v>-0.223</v>
      </c>
      <c r="AD104" s="111">
        <f t="shared" si="67"/>
        <v>-1.2038434057218788</v>
      </c>
      <c r="AE104" s="111">
        <f t="shared" si="68"/>
        <v>247.78434214224862</v>
      </c>
      <c r="AF104" s="29">
        <f t="shared" si="58"/>
        <v>-6.2359486389561701E-2</v>
      </c>
      <c r="AG104" s="587">
        <f t="shared" si="59"/>
        <v>6.6761565942781207</v>
      </c>
      <c r="AH104" s="964">
        <f t="shared" si="69"/>
        <v>0</v>
      </c>
      <c r="AI104" s="964">
        <v>0</v>
      </c>
      <c r="AJ104" s="964">
        <f t="shared" si="70"/>
        <v>0</v>
      </c>
      <c r="AK104" s="964">
        <f t="shared" si="71"/>
        <v>-0.223</v>
      </c>
      <c r="AL104" s="964">
        <f t="shared" si="60"/>
        <v>1.1207955350404415</v>
      </c>
      <c r="AM104" s="961">
        <f t="shared" si="61"/>
        <v>5.7134274875180573E-3</v>
      </c>
      <c r="AN104" s="964">
        <f t="shared" si="72"/>
        <v>-1.3437955350404416</v>
      </c>
      <c r="AO104" s="965"/>
      <c r="AP104" s="1544">
        <v>129</v>
      </c>
      <c r="AQ104" s="175">
        <v>124</v>
      </c>
      <c r="AR104" s="175">
        <f t="shared" si="62"/>
        <v>126.5</v>
      </c>
      <c r="AS104" s="175">
        <v>96.6</v>
      </c>
      <c r="AT104" s="175"/>
      <c r="AU104" s="111"/>
      <c r="AV104" s="111">
        <v>7.8</v>
      </c>
      <c r="AW104" s="175">
        <f t="shared" si="76"/>
        <v>92.531197615943299</v>
      </c>
      <c r="AX104" s="385"/>
      <c r="AY104" s="385"/>
      <c r="AZ104" s="385"/>
      <c r="BA104" s="385"/>
      <c r="BB104" s="305"/>
      <c r="BC104" s="385"/>
      <c r="BD104" s="385"/>
    </row>
    <row r="105" spans="1:56" s="87" customFormat="1">
      <c r="A105" s="79">
        <v>1794</v>
      </c>
      <c r="B105" s="1540">
        <f t="shared" si="77"/>
        <v>203.53441459422766</v>
      </c>
      <c r="C105" s="1031">
        <v>9797</v>
      </c>
      <c r="D105" s="519">
        <v>8016</v>
      </c>
      <c r="E105" s="519">
        <v>1272</v>
      </c>
      <c r="F105" s="175">
        <f t="shared" si="45"/>
        <v>509</v>
      </c>
      <c r="G105" s="1540">
        <f t="shared" si="63"/>
        <v>8525</v>
      </c>
      <c r="H105" s="1162">
        <f t="shared" si="46"/>
        <v>267.18947368421055</v>
      </c>
      <c r="I105" s="29">
        <f t="shared" si="47"/>
        <v>1.0704706477732795</v>
      </c>
      <c r="J105" s="959">
        <v>249.6</v>
      </c>
      <c r="K105" s="959">
        <v>234</v>
      </c>
      <c r="L105" s="959">
        <f t="shared" si="64"/>
        <v>15.599999999999994</v>
      </c>
      <c r="M105" s="29">
        <f t="shared" si="48"/>
        <v>1.3127483832003917</v>
      </c>
      <c r="N105" s="29">
        <v>1.1943000000000001</v>
      </c>
      <c r="O105" s="111">
        <v>165.6637168141593</v>
      </c>
      <c r="P105" s="29">
        <f t="shared" si="73"/>
        <v>0.6200233659277915</v>
      </c>
      <c r="Q105" s="1558">
        <f t="shared" si="49"/>
        <v>3.1906197061025092E-2</v>
      </c>
      <c r="R105" s="961">
        <f t="shared" si="50"/>
        <v>3.4256410256410255E-2</v>
      </c>
      <c r="S105" s="961">
        <f t="shared" si="51"/>
        <v>1.5336187757691074E-2</v>
      </c>
      <c r="T105" s="1535">
        <f t="shared" si="52"/>
        <v>5.1459668803418804E-2</v>
      </c>
      <c r="U105" s="1544">
        <v>18732</v>
      </c>
      <c r="V105" s="175">
        <v>28706</v>
      </c>
      <c r="W105" s="175">
        <f t="shared" si="53"/>
        <v>27434</v>
      </c>
      <c r="X105" s="964">
        <f t="shared" si="65"/>
        <v>-8.702</v>
      </c>
      <c r="Y105" s="1536">
        <f t="shared" si="54"/>
        <v>1.0176720729711384</v>
      </c>
      <c r="Z105" s="111">
        <f t="shared" si="55"/>
        <v>-9.7196720729711377</v>
      </c>
      <c r="AA105" s="1536">
        <f t="shared" si="56"/>
        <v>0</v>
      </c>
      <c r="AB105" s="111">
        <f t="shared" si="57"/>
        <v>-19.054377530364377</v>
      </c>
      <c r="AC105" s="111">
        <f t="shared" si="66"/>
        <v>-8.702</v>
      </c>
      <c r="AD105" s="111">
        <f t="shared" si="67"/>
        <v>-9.7196720729711377</v>
      </c>
      <c r="AE105" s="111">
        <f t="shared" si="68"/>
        <v>248.98818554797049</v>
      </c>
      <c r="AF105" s="29">
        <f t="shared" si="58"/>
        <v>-8.9426096183914172E-2</v>
      </c>
      <c r="AG105" s="587">
        <f t="shared" si="59"/>
        <v>-1.1946720729711373</v>
      </c>
      <c r="AH105" s="964">
        <f t="shared" si="69"/>
        <v>0</v>
      </c>
      <c r="AI105" s="964">
        <v>0</v>
      </c>
      <c r="AJ105" s="964">
        <f t="shared" si="70"/>
        <v>0</v>
      </c>
      <c r="AK105" s="964">
        <f t="shared" si="71"/>
        <v>-8.702</v>
      </c>
      <c r="AL105" s="964">
        <f t="shared" si="60"/>
        <v>1.1628791189985568</v>
      </c>
      <c r="AM105" s="961">
        <f t="shared" si="61"/>
        <v>5.7134274875180573E-3</v>
      </c>
      <c r="AN105" s="964">
        <f t="shared" si="72"/>
        <v>-9.864879118998557</v>
      </c>
      <c r="AO105" s="965"/>
      <c r="AP105" s="1544">
        <v>136</v>
      </c>
      <c r="AQ105" s="175">
        <v>119</v>
      </c>
      <c r="AR105" s="175">
        <f t="shared" si="62"/>
        <v>127.5</v>
      </c>
      <c r="AS105" s="175">
        <v>98.5</v>
      </c>
      <c r="AT105" s="175"/>
      <c r="AU105" s="111"/>
      <c r="AV105" s="111">
        <v>8.5</v>
      </c>
      <c r="AW105" s="175">
        <f t="shared" si="76"/>
        <v>94.351169411702017</v>
      </c>
      <c r="AX105" s="385"/>
      <c r="AY105" s="385"/>
      <c r="AZ105" s="385"/>
      <c r="BA105" s="385"/>
      <c r="BB105" s="305"/>
      <c r="BC105" s="385"/>
      <c r="BD105" s="385"/>
    </row>
    <row r="106" spans="1:56" s="87" customFormat="1">
      <c r="A106" s="79">
        <v>1795</v>
      </c>
      <c r="B106" s="1540">
        <f t="shared" si="77"/>
        <v>210.90014804407957</v>
      </c>
      <c r="C106" s="1031">
        <v>10470</v>
      </c>
      <c r="D106" s="519">
        <v>8595</v>
      </c>
      <c r="E106" s="519">
        <v>1351</v>
      </c>
      <c r="F106" s="175">
        <f t="shared" si="45"/>
        <v>524</v>
      </c>
      <c r="G106" s="1540">
        <f t="shared" si="63"/>
        <v>9119</v>
      </c>
      <c r="H106" s="1162">
        <f t="shared" si="46"/>
        <v>286.24385121457493</v>
      </c>
      <c r="I106" s="29">
        <f t="shared" si="47"/>
        <v>1.0704706477732795</v>
      </c>
      <c r="J106" s="959">
        <v>267.39999999999998</v>
      </c>
      <c r="K106" s="959">
        <v>247.9</v>
      </c>
      <c r="L106" s="959">
        <f t="shared" si="64"/>
        <v>19.499999999999972</v>
      </c>
      <c r="M106" s="29">
        <f t="shared" si="48"/>
        <v>1.3572482232432952</v>
      </c>
      <c r="N106" s="29">
        <v>1.238</v>
      </c>
      <c r="O106" s="111">
        <v>167.125</v>
      </c>
      <c r="P106" s="29">
        <f t="shared" si="73"/>
        <v>0.58385533624867025</v>
      </c>
      <c r="Q106" s="1558">
        <f t="shared" si="49"/>
        <v>3.185745287211144E-2</v>
      </c>
      <c r="R106" s="961">
        <f t="shared" si="50"/>
        <v>3.467123840258169E-2</v>
      </c>
      <c r="S106" s="961">
        <f t="shared" si="51"/>
        <v>1.3665815597594999E-2</v>
      </c>
      <c r="T106" s="1535">
        <f t="shared" si="52"/>
        <v>5.456394913986537E-2</v>
      </c>
      <c r="U106" s="1544">
        <v>19053</v>
      </c>
      <c r="V106" s="175">
        <v>38996</v>
      </c>
      <c r="W106" s="175">
        <f t="shared" si="53"/>
        <v>37645</v>
      </c>
      <c r="X106" s="964">
        <f t="shared" si="65"/>
        <v>-18.591999999999999</v>
      </c>
      <c r="Y106" s="1536">
        <f t="shared" si="54"/>
        <v>1.0545007402203979</v>
      </c>
      <c r="Z106" s="111">
        <f t="shared" si="55"/>
        <v>-19.646500740220397</v>
      </c>
      <c r="AA106" s="1536">
        <f t="shared" si="56"/>
        <v>26.38373711403063</v>
      </c>
      <c r="AB106" s="111">
        <f t="shared" si="57"/>
        <v>-46.030237854251027</v>
      </c>
      <c r="AC106" s="111">
        <f t="shared" si="66"/>
        <v>-44.975737114030629</v>
      </c>
      <c r="AD106" s="111">
        <f t="shared" si="67"/>
        <v>-46.030237854251027</v>
      </c>
      <c r="AE106" s="111">
        <f t="shared" si="68"/>
        <v>258.70785762094164</v>
      </c>
      <c r="AF106" s="29">
        <f t="shared" si="58"/>
        <v>-0.13056412643142423</v>
      </c>
      <c r="AG106" s="587">
        <f t="shared" si="59"/>
        <v>-36.911237854251027</v>
      </c>
      <c r="AH106" s="964">
        <f t="shared" si="69"/>
        <v>0</v>
      </c>
      <c r="AI106" s="964">
        <v>0</v>
      </c>
      <c r="AJ106" s="964">
        <f t="shared" si="70"/>
        <v>0</v>
      </c>
      <c r="AK106" s="964">
        <f t="shared" si="71"/>
        <v>-44.975737114030629</v>
      </c>
      <c r="AL106" s="964">
        <f t="shared" si="60"/>
        <v>1.2049627029566718</v>
      </c>
      <c r="AM106" s="961">
        <f t="shared" si="61"/>
        <v>5.7134274875180573E-3</v>
      </c>
      <c r="AN106" s="964">
        <f t="shared" si="72"/>
        <v>-46.1806998169873</v>
      </c>
      <c r="AO106" s="965"/>
      <c r="AP106" s="1544">
        <v>147</v>
      </c>
      <c r="AQ106" s="175">
        <v>122</v>
      </c>
      <c r="AR106" s="175">
        <f t="shared" si="62"/>
        <v>134.5</v>
      </c>
      <c r="AS106" s="175">
        <v>114.9</v>
      </c>
      <c r="AT106" s="175"/>
      <c r="AU106" s="175">
        <f>AU116*AVERAGE(AS102:AS111)/AVERAGE(AS112:AS121)</f>
        <v>121.27987132734344</v>
      </c>
      <c r="AV106" s="111">
        <v>9.4</v>
      </c>
      <c r="AW106" s="175">
        <f t="shared" si="76"/>
        <v>110.06039964877728</v>
      </c>
      <c r="AX106" s="385"/>
      <c r="AY106" s="385"/>
      <c r="AZ106" s="385"/>
      <c r="BA106" s="385"/>
      <c r="BB106" s="305"/>
      <c r="BC106" s="385"/>
      <c r="BD106" s="385"/>
    </row>
    <row r="107" spans="1:56" s="87" customFormat="1">
      <c r="A107" s="79">
        <v>1796</v>
      </c>
      <c r="B107" s="1540">
        <f t="shared" si="77"/>
        <v>218.26588149393149</v>
      </c>
      <c r="C107" s="1031">
        <v>11602</v>
      </c>
      <c r="D107" s="519">
        <v>9582</v>
      </c>
      <c r="E107" s="519">
        <v>1453</v>
      </c>
      <c r="F107" s="175">
        <f t="shared" si="45"/>
        <v>567</v>
      </c>
      <c r="G107" s="1540">
        <f t="shared" si="63"/>
        <v>10149</v>
      </c>
      <c r="H107" s="1162">
        <f t="shared" si="46"/>
        <v>332.27408906882596</v>
      </c>
      <c r="I107" s="29">
        <f t="shared" si="47"/>
        <v>1.0704706477732795</v>
      </c>
      <c r="J107" s="959">
        <v>310.39999999999998</v>
      </c>
      <c r="K107" s="959">
        <v>301.89999999999998</v>
      </c>
      <c r="L107" s="959">
        <f t="shared" si="64"/>
        <v>8.5</v>
      </c>
      <c r="M107" s="29">
        <f t="shared" si="48"/>
        <v>1.5223363669784746</v>
      </c>
      <c r="N107" s="29">
        <v>1.3981999999999999</v>
      </c>
      <c r="O107" s="111">
        <v>157.83050847457625</v>
      </c>
      <c r="P107" s="29">
        <f t="shared" si="73"/>
        <v>0.47500095152434185</v>
      </c>
      <c r="Q107" s="1558">
        <f t="shared" si="49"/>
        <v>3.0544060863854406E-2</v>
      </c>
      <c r="R107" s="961">
        <f t="shared" si="50"/>
        <v>3.173898641934416E-2</v>
      </c>
      <c r="S107" s="961">
        <f t="shared" si="51"/>
        <v>1.8667226487523947E-2</v>
      </c>
      <c r="T107" s="1535">
        <f t="shared" si="52"/>
        <v>6.430315721649485E-2</v>
      </c>
      <c r="U107" s="1544">
        <v>19391</v>
      </c>
      <c r="V107" s="175">
        <v>42372</v>
      </c>
      <c r="W107" s="175">
        <f t="shared" si="53"/>
        <v>40919</v>
      </c>
      <c r="X107" s="964">
        <f t="shared" si="65"/>
        <v>-21.527999999999999</v>
      </c>
      <c r="Y107" s="1536">
        <f t="shared" ref="Y107:Y123" si="78">0.005*B107</f>
        <v>1.0913294074696576</v>
      </c>
      <c r="Z107" s="111">
        <f t="shared" si="55"/>
        <v>-22.619329407469657</v>
      </c>
      <c r="AA107" s="1536">
        <f t="shared" si="56"/>
        <v>29.619638203866366</v>
      </c>
      <c r="AB107" s="111">
        <f t="shared" si="57"/>
        <v>-52.238967611336022</v>
      </c>
      <c r="AC107" s="111">
        <f t="shared" si="66"/>
        <v>-51.147638203866364</v>
      </c>
      <c r="AD107" s="111">
        <f t="shared" si="67"/>
        <v>-52.238967611336022</v>
      </c>
      <c r="AE107" s="111">
        <f t="shared" si="68"/>
        <v>304.73809547519267</v>
      </c>
      <c r="AF107" s="29">
        <f t="shared" si="58"/>
        <v>-0.12615802985405616</v>
      </c>
      <c r="AG107" s="587">
        <f t="shared" si="59"/>
        <v>-42.089967611336021</v>
      </c>
      <c r="AH107" s="964">
        <f t="shared" si="69"/>
        <v>0</v>
      </c>
      <c r="AI107" s="964">
        <v>0</v>
      </c>
      <c r="AJ107" s="964">
        <f t="shared" si="70"/>
        <v>0</v>
      </c>
      <c r="AK107" s="964">
        <f t="shared" si="71"/>
        <v>-51.147638203866364</v>
      </c>
      <c r="AL107" s="964">
        <f t="shared" ref="AL107:AL138" si="79">AM107*B107</f>
        <v>1.2470462869147869</v>
      </c>
      <c r="AM107" s="961">
        <f t="shared" si="61"/>
        <v>5.7134274875180573E-3</v>
      </c>
      <c r="AN107" s="964">
        <f t="shared" si="72"/>
        <v>-52.394684490781152</v>
      </c>
      <c r="AO107" s="965"/>
      <c r="AP107" s="1544">
        <v>154</v>
      </c>
      <c r="AQ107" s="175">
        <v>138</v>
      </c>
      <c r="AR107" s="175">
        <f t="shared" si="62"/>
        <v>146</v>
      </c>
      <c r="AS107" s="175">
        <v>116.1</v>
      </c>
      <c r="AT107" s="175"/>
      <c r="AU107" s="111"/>
      <c r="AV107" s="111">
        <v>10</v>
      </c>
      <c r="AW107" s="175">
        <f t="shared" si="76"/>
        <v>111.20985551978278</v>
      </c>
      <c r="AX107" s="385"/>
      <c r="AY107" s="385"/>
      <c r="AZ107" s="385"/>
      <c r="BA107" s="385"/>
      <c r="BB107" s="305"/>
      <c r="BC107" s="385"/>
      <c r="BD107" s="385"/>
    </row>
    <row r="108" spans="1:56" s="87" customFormat="1">
      <c r="A108" s="79">
        <v>1797</v>
      </c>
      <c r="B108" s="1540">
        <f t="shared" si="77"/>
        <v>225.6316149437834</v>
      </c>
      <c r="C108" s="1031">
        <v>13594</v>
      </c>
      <c r="D108" s="519">
        <v>11609</v>
      </c>
      <c r="E108" s="519">
        <v>1499</v>
      </c>
      <c r="F108" s="175">
        <f t="shared" si="45"/>
        <v>486</v>
      </c>
      <c r="G108" s="1540">
        <f t="shared" si="63"/>
        <v>12095</v>
      </c>
      <c r="H108" s="1162">
        <f t="shared" si="46"/>
        <v>384.51305668016198</v>
      </c>
      <c r="I108" s="29">
        <f t="shared" si="47"/>
        <v>1.0704706477732795</v>
      </c>
      <c r="J108" s="959">
        <v>359.2</v>
      </c>
      <c r="K108" s="959">
        <v>351.5</v>
      </c>
      <c r="L108" s="959">
        <f t="shared" si="64"/>
        <v>7.6999999999999886</v>
      </c>
      <c r="M108" s="29">
        <f t="shared" si="48"/>
        <v>1.7041630304155924</v>
      </c>
      <c r="N108" s="29">
        <v>1.5686000000000002</v>
      </c>
      <c r="O108" s="111">
        <v>181.41414141414137</v>
      </c>
      <c r="P108" s="29">
        <f t="shared" si="73"/>
        <v>0.47180229191811729</v>
      </c>
      <c r="Q108" s="1558">
        <f t="shared" si="49"/>
        <v>3.1455368783642169E-2</v>
      </c>
      <c r="R108" s="961">
        <f t="shared" si="50"/>
        <v>3.3027027027027027E-2</v>
      </c>
      <c r="S108" s="961">
        <f t="shared" si="51"/>
        <v>1.4721448083662134E-2</v>
      </c>
      <c r="T108" s="1535">
        <f t="shared" si="52"/>
        <v>6.6670657015590218E-2</v>
      </c>
      <c r="U108" s="1544">
        <v>21380</v>
      </c>
      <c r="V108" s="175">
        <v>57649</v>
      </c>
      <c r="W108" s="175">
        <f t="shared" si="53"/>
        <v>56150</v>
      </c>
      <c r="X108" s="964">
        <f t="shared" si="65"/>
        <v>-34.770000000000003</v>
      </c>
      <c r="Y108" s="1536">
        <f t="shared" si="78"/>
        <v>1.128158074718917</v>
      </c>
      <c r="Z108" s="111">
        <f t="shared" si="55"/>
        <v>-35.898158074718921</v>
      </c>
      <c r="AA108" s="1536">
        <f t="shared" si="56"/>
        <v>0</v>
      </c>
      <c r="AB108" s="111">
        <f t="shared" si="57"/>
        <v>-34.255060728744922</v>
      </c>
      <c r="AC108" s="111">
        <f t="shared" si="66"/>
        <v>-34.770000000000003</v>
      </c>
      <c r="AD108" s="111">
        <f t="shared" si="67"/>
        <v>-35.898158074718921</v>
      </c>
      <c r="AE108" s="111">
        <f t="shared" si="68"/>
        <v>356.97706308652869</v>
      </c>
      <c r="AF108" s="29">
        <f t="shared" si="58"/>
        <v>-0.12203960690745375</v>
      </c>
      <c r="AG108" s="587">
        <f t="shared" si="59"/>
        <v>-23.803158074718922</v>
      </c>
      <c r="AH108" s="964">
        <f t="shared" si="69"/>
        <v>0</v>
      </c>
      <c r="AI108" s="964">
        <v>0</v>
      </c>
      <c r="AJ108" s="964">
        <f t="shared" si="70"/>
        <v>0</v>
      </c>
      <c r="AK108" s="964">
        <f t="shared" si="71"/>
        <v>-34.770000000000003</v>
      </c>
      <c r="AL108" s="964">
        <f t="shared" si="79"/>
        <v>1.2891298708729022</v>
      </c>
      <c r="AM108" s="961">
        <f t="shared" si="61"/>
        <v>5.7134274875180573E-3</v>
      </c>
      <c r="AN108" s="964">
        <f t="shared" si="72"/>
        <v>-36.059129870872908</v>
      </c>
      <c r="AO108" s="965"/>
      <c r="AP108" s="1544">
        <v>148</v>
      </c>
      <c r="AQ108" s="175">
        <v>141</v>
      </c>
      <c r="AR108" s="175">
        <f t="shared" si="62"/>
        <v>144.5</v>
      </c>
      <c r="AS108" s="175">
        <v>106.2</v>
      </c>
      <c r="AT108" s="175"/>
      <c r="AU108" s="111"/>
      <c r="AV108" s="111">
        <v>9</v>
      </c>
      <c r="AW108" s="175">
        <f t="shared" si="76"/>
        <v>101.72684458398736</v>
      </c>
      <c r="AX108" s="385"/>
      <c r="AY108" s="385"/>
      <c r="AZ108" s="385"/>
      <c r="BA108" s="305"/>
      <c r="BB108" s="305"/>
      <c r="BC108" s="305"/>
      <c r="BD108" s="305"/>
    </row>
    <row r="109" spans="1:56" s="87" customFormat="1">
      <c r="A109" s="79">
        <v>1798</v>
      </c>
      <c r="B109" s="1540">
        <f t="shared" si="77"/>
        <v>232.99734839363532</v>
      </c>
      <c r="C109" s="1031">
        <v>16029</v>
      </c>
      <c r="D109" s="519">
        <v>13750</v>
      </c>
      <c r="E109" s="519">
        <v>1517</v>
      </c>
      <c r="F109" s="175">
        <f t="shared" si="45"/>
        <v>762</v>
      </c>
      <c r="G109" s="1540">
        <f t="shared" si="63"/>
        <v>14512</v>
      </c>
      <c r="H109" s="1162">
        <f t="shared" si="46"/>
        <v>418.7681174089069</v>
      </c>
      <c r="I109" s="29">
        <f t="shared" si="47"/>
        <v>1.0704706477732795</v>
      </c>
      <c r="J109" s="959">
        <v>391.2</v>
      </c>
      <c r="K109" s="959">
        <v>378.6</v>
      </c>
      <c r="L109" s="959">
        <f t="shared" si="64"/>
        <v>12.599999999999966</v>
      </c>
      <c r="M109" s="29">
        <f t="shared" si="48"/>
        <v>1.7973085114317386</v>
      </c>
      <c r="N109" s="29">
        <v>1.6647000000000001</v>
      </c>
      <c r="O109" s="111">
        <v>231.47928994082835</v>
      </c>
      <c r="P109" s="29">
        <f t="shared" si="73"/>
        <v>0.55276244851945111</v>
      </c>
      <c r="Q109" s="1558">
        <f t="shared" si="49"/>
        <v>3.4654023066015151E-2</v>
      </c>
      <c r="R109" s="961">
        <f t="shared" si="50"/>
        <v>3.6318013734812464E-2</v>
      </c>
      <c r="S109" s="961">
        <f t="shared" si="51"/>
        <v>1.8970269187448506E-2</v>
      </c>
      <c r="T109" s="1535">
        <f t="shared" si="52"/>
        <v>6.2692433537832326E-2</v>
      </c>
      <c r="U109" s="1544">
        <v>26946</v>
      </c>
      <c r="V109" s="175">
        <v>47422</v>
      </c>
      <c r="W109" s="175">
        <f t="shared" si="53"/>
        <v>45905</v>
      </c>
      <c r="X109" s="964">
        <f t="shared" si="65"/>
        <v>-18.959</v>
      </c>
      <c r="Y109" s="1536">
        <f t="shared" si="78"/>
        <v>1.1649867419681765</v>
      </c>
      <c r="Z109" s="111">
        <f t="shared" si="55"/>
        <v>-20.123986741968174</v>
      </c>
      <c r="AA109" s="1536">
        <f t="shared" si="56"/>
        <v>17.77067418920597</v>
      </c>
      <c r="AB109" s="111">
        <f t="shared" si="57"/>
        <v>-37.894660931174144</v>
      </c>
      <c r="AC109" s="111">
        <f t="shared" si="66"/>
        <v>-36.729674189205966</v>
      </c>
      <c r="AD109" s="111">
        <f t="shared" si="67"/>
        <v>-37.894660931174144</v>
      </c>
      <c r="AE109" s="111">
        <f t="shared" si="68"/>
        <v>392.87522116124762</v>
      </c>
      <c r="AF109" s="29">
        <f t="shared" si="58"/>
        <v>-0.11112957476200439</v>
      </c>
      <c r="AG109" s="587">
        <f t="shared" si="59"/>
        <v>-23.382660931174144</v>
      </c>
      <c r="AH109" s="964">
        <f t="shared" si="69"/>
        <v>0</v>
      </c>
      <c r="AI109" s="964">
        <v>0</v>
      </c>
      <c r="AJ109" s="964">
        <f t="shared" si="70"/>
        <v>0</v>
      </c>
      <c r="AK109" s="964">
        <f t="shared" si="71"/>
        <v>-36.729674189205966</v>
      </c>
      <c r="AL109" s="964">
        <f t="shared" si="79"/>
        <v>1.3312134548310173</v>
      </c>
      <c r="AM109" s="961">
        <f t="shared" si="61"/>
        <v>5.7134274875180573E-3</v>
      </c>
      <c r="AN109" s="964">
        <f t="shared" si="72"/>
        <v>-38.060887644036981</v>
      </c>
      <c r="AO109" s="965"/>
      <c r="AP109" s="1544">
        <v>148</v>
      </c>
      <c r="AQ109" s="175">
        <v>129</v>
      </c>
      <c r="AR109" s="175">
        <f t="shared" si="62"/>
        <v>138.5</v>
      </c>
      <c r="AS109" s="175">
        <v>107.9</v>
      </c>
      <c r="AT109" s="175"/>
      <c r="AU109" s="111"/>
      <c r="AV109" s="111">
        <v>8.8000000000000007</v>
      </c>
      <c r="AW109" s="175">
        <f t="shared" si="76"/>
        <v>103.35524040124515</v>
      </c>
      <c r="AX109" s="385"/>
      <c r="AY109" s="385"/>
      <c r="AZ109" s="385"/>
      <c r="BA109" s="385"/>
      <c r="BB109" s="305"/>
      <c r="BC109" s="385"/>
      <c r="BD109" s="385"/>
    </row>
    <row r="110" spans="1:56" s="87" customFormat="1">
      <c r="A110" s="79">
        <v>1799</v>
      </c>
      <c r="B110" s="1540">
        <f t="shared" si="77"/>
        <v>240.36308184348724</v>
      </c>
      <c r="C110" s="1031">
        <v>16856</v>
      </c>
      <c r="D110" s="519">
        <v>13916</v>
      </c>
      <c r="E110" s="519">
        <v>1555</v>
      </c>
      <c r="F110" s="175">
        <f t="shared" si="45"/>
        <v>1385</v>
      </c>
      <c r="G110" s="1540">
        <f t="shared" si="63"/>
        <v>15301</v>
      </c>
      <c r="H110" s="1162">
        <f t="shared" si="46"/>
        <v>456.66277834008105</v>
      </c>
      <c r="I110" s="29">
        <f t="shared" si="47"/>
        <v>1.0704706477732795</v>
      </c>
      <c r="J110" s="959">
        <v>426.6</v>
      </c>
      <c r="K110" s="959">
        <v>408.1</v>
      </c>
      <c r="L110" s="959">
        <f t="shared" si="64"/>
        <v>18.5</v>
      </c>
      <c r="M110" s="29">
        <f t="shared" si="48"/>
        <v>1.8998873489125825</v>
      </c>
      <c r="N110" s="29">
        <v>1.7627999999999999</v>
      </c>
      <c r="O110" s="111">
        <v>271.71974522292993</v>
      </c>
      <c r="P110" s="29">
        <f t="shared" si="73"/>
        <v>0.59501180764195694</v>
      </c>
      <c r="Q110" s="1558">
        <f t="shared" si="49"/>
        <v>3.3506124706763819E-2</v>
      </c>
      <c r="R110" s="961">
        <f t="shared" si="50"/>
        <v>3.4099485420240133E-2</v>
      </c>
      <c r="S110" s="961">
        <f t="shared" si="51"/>
        <v>2.8519785056385413E-2</v>
      </c>
      <c r="T110" s="1535">
        <f t="shared" si="52"/>
        <v>5.6311697140178155E-2</v>
      </c>
      <c r="U110" s="1544">
        <v>31783</v>
      </c>
      <c r="V110" s="175">
        <v>47419</v>
      </c>
      <c r="W110" s="175">
        <f t="shared" si="53"/>
        <v>45864</v>
      </c>
      <c r="X110" s="964">
        <f t="shared" si="65"/>
        <v>-14.081</v>
      </c>
      <c r="Y110" s="1536">
        <f t="shared" si="78"/>
        <v>1.2018154092174362</v>
      </c>
      <c r="Z110" s="111">
        <f t="shared" si="55"/>
        <v>-15.282815409217436</v>
      </c>
      <c r="AA110" s="1536">
        <f t="shared" si="56"/>
        <v>0</v>
      </c>
      <c r="AB110" s="111">
        <f t="shared" si="57"/>
        <v>-3.6396002024291079</v>
      </c>
      <c r="AC110" s="111">
        <f t="shared" si="66"/>
        <v>-14.081</v>
      </c>
      <c r="AD110" s="111">
        <f t="shared" si="67"/>
        <v>-15.282815409217436</v>
      </c>
      <c r="AE110" s="111">
        <f t="shared" si="68"/>
        <v>430.76988209242177</v>
      </c>
      <c r="AF110" s="29">
        <f t="shared" si="58"/>
        <v>-0.10772409826447256</v>
      </c>
      <c r="AG110" s="587">
        <f t="shared" si="59"/>
        <v>1.8184590782563959E-2</v>
      </c>
      <c r="AH110" s="964">
        <f t="shared" si="69"/>
        <v>0</v>
      </c>
      <c r="AI110" s="964">
        <v>0</v>
      </c>
      <c r="AJ110" s="964">
        <f t="shared" si="70"/>
        <v>0</v>
      </c>
      <c r="AK110" s="964">
        <f t="shared" si="71"/>
        <v>-14.081</v>
      </c>
      <c r="AL110" s="964">
        <f t="shared" si="79"/>
        <v>1.3732970387891323</v>
      </c>
      <c r="AM110" s="961">
        <f t="shared" si="61"/>
        <v>5.7134274875180573E-3</v>
      </c>
      <c r="AN110" s="964">
        <f t="shared" si="72"/>
        <v>-15.454297038789132</v>
      </c>
      <c r="AO110" s="965"/>
      <c r="AP110" s="1544">
        <v>160</v>
      </c>
      <c r="AQ110" s="175">
        <v>128</v>
      </c>
      <c r="AR110" s="175">
        <f t="shared" si="62"/>
        <v>144</v>
      </c>
      <c r="AS110" s="175">
        <v>124.6</v>
      </c>
      <c r="AT110" s="175"/>
      <c r="AU110" s="111"/>
      <c r="AV110" s="111">
        <v>9.9</v>
      </c>
      <c r="AW110" s="175">
        <f t="shared" si="76"/>
        <v>119.35183460607178</v>
      </c>
      <c r="AX110" s="385"/>
      <c r="AY110" s="385"/>
      <c r="AZ110" s="385"/>
      <c r="BA110" s="385"/>
      <c r="BB110" s="305"/>
      <c r="BC110" s="385"/>
      <c r="BD110" s="385"/>
    </row>
    <row r="111" spans="1:56" s="87" customFormat="1">
      <c r="A111" s="79">
        <v>1800</v>
      </c>
      <c r="B111" s="1540">
        <f>TableUK2!B20*1000</f>
        <v>247.72881529333901</v>
      </c>
      <c r="C111" s="1031">
        <v>16749</v>
      </c>
      <c r="D111" s="519">
        <v>13872</v>
      </c>
      <c r="E111" s="519">
        <v>1780</v>
      </c>
      <c r="F111" s="175">
        <f t="shared" si="45"/>
        <v>1097</v>
      </c>
      <c r="G111" s="1540">
        <f t="shared" si="63"/>
        <v>14969</v>
      </c>
      <c r="H111" s="1162">
        <f t="shared" si="46"/>
        <v>460.30237854251016</v>
      </c>
      <c r="I111" s="29">
        <f t="shared" si="47"/>
        <v>1.0704706477732795</v>
      </c>
      <c r="J111" s="959">
        <v>430</v>
      </c>
      <c r="K111" s="962">
        <f>K110*J111/J110</f>
        <v>411.35255508673225</v>
      </c>
      <c r="L111" s="959">
        <f t="shared" si="64"/>
        <v>18.647444913267748</v>
      </c>
      <c r="M111" s="29">
        <f t="shared" si="48"/>
        <v>1.8580897744877194</v>
      </c>
      <c r="N111" s="29">
        <v>1.7653999999999999</v>
      </c>
      <c r="O111" s="111">
        <v>262.19512195121951</v>
      </c>
      <c r="P111" s="29">
        <f t="shared" si="73"/>
        <v>0.56961496219382468</v>
      </c>
      <c r="Q111" s="1558">
        <f t="shared" si="49"/>
        <v>3.2519927547186404E-2</v>
      </c>
      <c r="R111" s="961">
        <f t="shared" si="50"/>
        <v>3.3722897374674474E-2</v>
      </c>
      <c r="S111" s="961">
        <f t="shared" si="51"/>
        <v>2.241070391175258E-2</v>
      </c>
      <c r="T111" s="1535">
        <f t="shared" si="52"/>
        <v>5.7091069767441861E-2</v>
      </c>
      <c r="U111" s="1562">
        <v>31585</v>
      </c>
      <c r="V111" s="963">
        <v>50991</v>
      </c>
      <c r="W111" s="963">
        <f t="shared" si="53"/>
        <v>49211</v>
      </c>
      <c r="X111" s="964">
        <f t="shared" si="65"/>
        <v>-17.626000000000001</v>
      </c>
      <c r="Y111" s="1536">
        <f t="shared" si="78"/>
        <v>1.2386440764666951</v>
      </c>
      <c r="Z111" s="111">
        <f t="shared" si="55"/>
        <v>-18.864644076466696</v>
      </c>
      <c r="AA111" s="1536">
        <f t="shared" si="56"/>
        <v>0</v>
      </c>
      <c r="AB111" s="111">
        <f t="shared" si="57"/>
        <v>-27.939283906882622</v>
      </c>
      <c r="AC111" s="111">
        <f t="shared" si="66"/>
        <v>-17.626000000000001</v>
      </c>
      <c r="AD111" s="111">
        <f t="shared" si="67"/>
        <v>-18.864644076466696</v>
      </c>
      <c r="AE111" s="111">
        <f t="shared" si="68"/>
        <v>446.05269750163922</v>
      </c>
      <c r="AF111" s="29">
        <f t="shared" si="58"/>
        <v>-5.7521290060656455E-2</v>
      </c>
      <c r="AG111" s="587">
        <f t="shared" si="59"/>
        <v>-3.8956440764666969</v>
      </c>
      <c r="AH111" s="964">
        <f t="shared" si="69"/>
        <v>0</v>
      </c>
      <c r="AI111" s="964">
        <v>0</v>
      </c>
      <c r="AJ111" s="964">
        <f t="shared" si="70"/>
        <v>0</v>
      </c>
      <c r="AK111" s="964">
        <f t="shared" si="71"/>
        <v>-17.626000000000001</v>
      </c>
      <c r="AL111" s="964">
        <f t="shared" si="79"/>
        <v>1.4153806227472467</v>
      </c>
      <c r="AM111" s="961">
        <f t="shared" si="61"/>
        <v>5.7134274875180573E-3</v>
      </c>
      <c r="AN111" s="964">
        <f t="shared" si="72"/>
        <v>-19.041380622747248</v>
      </c>
      <c r="AO111" s="965"/>
      <c r="AP111" s="1544">
        <v>212</v>
      </c>
      <c r="AQ111" s="175">
        <v>144</v>
      </c>
      <c r="AR111" s="175">
        <f t="shared" si="62"/>
        <v>178</v>
      </c>
      <c r="AS111" s="175">
        <v>151</v>
      </c>
      <c r="AT111" s="175">
        <v>175</v>
      </c>
      <c r="AU111" s="111"/>
      <c r="AV111" s="111">
        <v>13.5</v>
      </c>
      <c r="AW111" s="175">
        <f t="shared" si="76"/>
        <v>144.63986376819292</v>
      </c>
      <c r="AX111" s="385"/>
      <c r="AY111" s="385"/>
      <c r="AZ111" s="385"/>
      <c r="BA111" s="385"/>
      <c r="BB111" s="305"/>
      <c r="BC111" s="385"/>
      <c r="BD111" s="385"/>
    </row>
    <row r="112" spans="1:56" s="87" customFormat="1">
      <c r="A112" s="79">
        <v>1801</v>
      </c>
      <c r="B112" s="1540">
        <f>B111+(B$121-B$111)/10</f>
        <v>259.58050784403741</v>
      </c>
      <c r="C112" s="1545">
        <v>19.899999999999999</v>
      </c>
      <c r="D112" s="1386">
        <v>16.100000000000001</v>
      </c>
      <c r="E112" s="1386">
        <v>1.9</v>
      </c>
      <c r="F112" s="111">
        <f t="shared" si="45"/>
        <v>1.8999999999999972</v>
      </c>
      <c r="G112" s="1540">
        <f t="shared" si="63"/>
        <v>18</v>
      </c>
      <c r="H112" s="1162">
        <f t="shared" si="46"/>
        <v>488.24166244939278</v>
      </c>
      <c r="I112" s="29">
        <f t="shared" si="47"/>
        <v>1.0704706477732795</v>
      </c>
      <c r="J112" s="959">
        <v>456.1</v>
      </c>
      <c r="K112" s="959">
        <v>432.3</v>
      </c>
      <c r="L112" s="959">
        <f t="shared" si="64"/>
        <v>23.800000000000011</v>
      </c>
      <c r="M112" s="29">
        <f t="shared" si="48"/>
        <v>1.8808872303414277</v>
      </c>
      <c r="N112" s="29">
        <v>1.7746999999999999</v>
      </c>
      <c r="O112" s="111">
        <v>323.47517730496452</v>
      </c>
      <c r="P112" s="29">
        <f t="shared" si="73"/>
        <v>0.66253087801267552</v>
      </c>
      <c r="Q112" s="1558">
        <f t="shared" ref="Q112:Q143" si="80">(C112-E112)/H112</f>
        <v>3.6866989002327787E-2</v>
      </c>
      <c r="R112" s="961">
        <f t="shared" ref="R112:R143" si="81">D112/K112</f>
        <v>3.7242655563266253E-2</v>
      </c>
      <c r="S112" s="961">
        <f t="shared" ref="S112:S143" si="82">F112/(H112-K112)</f>
        <v>3.3963953104161303E-2</v>
      </c>
      <c r="T112" s="1535">
        <f t="shared" ref="T112:T143" si="83">(G112)/O112</f>
        <v>5.5645691734268803E-2</v>
      </c>
      <c r="U112" s="1160">
        <v>39.1</v>
      </c>
      <c r="V112" s="111">
        <v>65.5</v>
      </c>
      <c r="W112" s="175">
        <f t="shared" si="53"/>
        <v>63.6</v>
      </c>
      <c r="X112" s="964">
        <f>(U112-W112)</f>
        <v>-24.5</v>
      </c>
      <c r="Y112" s="1536">
        <f t="shared" si="78"/>
        <v>1.2979025392201871</v>
      </c>
      <c r="Z112" s="111">
        <f t="shared" si="55"/>
        <v>-25.797902539220186</v>
      </c>
      <c r="AA112" s="1536">
        <f t="shared" si="56"/>
        <v>19.697099991144203</v>
      </c>
      <c r="AB112" s="111">
        <f t="shared" si="57"/>
        <v>-45.495002530364388</v>
      </c>
      <c r="AC112" s="111">
        <f t="shared" si="66"/>
        <v>-44.197099991144199</v>
      </c>
      <c r="AD112" s="111">
        <f t="shared" si="67"/>
        <v>-45.495002530364388</v>
      </c>
      <c r="AE112" s="111">
        <f t="shared" si="68"/>
        <v>464.91734157810589</v>
      </c>
      <c r="AF112" s="29">
        <f t="shared" si="58"/>
        <v>-8.9853899528160003E-2</v>
      </c>
      <c r="AG112" s="587">
        <f t="shared" ref="AG112:AG143" si="84">AD112+G112</f>
        <v>-27.495002530364388</v>
      </c>
      <c r="AH112" s="964">
        <f t="shared" si="69"/>
        <v>0</v>
      </c>
      <c r="AI112" s="964">
        <v>0</v>
      </c>
      <c r="AJ112" s="964">
        <f t="shared" si="70"/>
        <v>0</v>
      </c>
      <c r="AK112" s="964">
        <f t="shared" si="71"/>
        <v>-44.197099991144199</v>
      </c>
      <c r="AL112" s="964">
        <f t="shared" si="79"/>
        <v>1.48309440874002</v>
      </c>
      <c r="AM112" s="961">
        <f t="shared" si="61"/>
        <v>5.7134274875180573E-3</v>
      </c>
      <c r="AN112" s="964">
        <f t="shared" si="72"/>
        <v>-45.680194399884222</v>
      </c>
      <c r="AO112" s="965"/>
      <c r="AP112" s="1544">
        <v>227.99999999999997</v>
      </c>
      <c r="AQ112" s="175">
        <v>162</v>
      </c>
      <c r="AR112" s="175">
        <f>(AP112+AQ112)/2</f>
        <v>195</v>
      </c>
      <c r="AS112" s="175">
        <v>155.69999999999999</v>
      </c>
      <c r="AT112" s="175">
        <v>188</v>
      </c>
      <c r="AU112" s="111"/>
      <c r="AV112" s="111">
        <v>15.1</v>
      </c>
      <c r="AW112" s="175">
        <f t="shared" ref="AW112:AW120" si="85">AW113*AS112/AS113</f>
        <v>149.14189926296447</v>
      </c>
      <c r="AX112" s="385"/>
      <c r="AY112" s="385"/>
      <c r="AZ112" s="385"/>
      <c r="BA112" s="385"/>
      <c r="BB112" s="305"/>
      <c r="BC112" s="385"/>
      <c r="BD112" s="385"/>
    </row>
    <row r="113" spans="1:56" s="87" customFormat="1">
      <c r="A113" s="79">
        <v>1802</v>
      </c>
      <c r="B113" s="1540">
        <f t="shared" ref="B113:B120" si="86">B112+(B$121-B$111)/10</f>
        <v>271.43220039473584</v>
      </c>
      <c r="C113" s="1162">
        <v>20.399999999999999</v>
      </c>
      <c r="D113" s="959">
        <v>17.2</v>
      </c>
      <c r="E113" s="959">
        <v>1.9</v>
      </c>
      <c r="F113" s="111">
        <f t="shared" si="45"/>
        <v>1.2999999999999994</v>
      </c>
      <c r="G113" s="1540">
        <f t="shared" si="63"/>
        <v>18.5</v>
      </c>
      <c r="H113" s="1162">
        <f t="shared" si="46"/>
        <v>533.73666497975717</v>
      </c>
      <c r="I113" s="29">
        <f t="shared" si="47"/>
        <v>1.0704706477732795</v>
      </c>
      <c r="J113" s="959">
        <v>498.6</v>
      </c>
      <c r="K113" s="959">
        <v>478.1</v>
      </c>
      <c r="L113" s="959">
        <f t="shared" si="64"/>
        <v>20.5</v>
      </c>
      <c r="M113" s="29">
        <f t="shared" si="48"/>
        <v>1.9663719492512668</v>
      </c>
      <c r="N113" s="29">
        <v>1.8886000000000001</v>
      </c>
      <c r="O113" s="111">
        <v>299.75951903807612</v>
      </c>
      <c r="P113" s="29">
        <f t="shared" si="73"/>
        <v>0.561624371541807</v>
      </c>
      <c r="Q113" s="1558">
        <f t="shared" si="80"/>
        <v>3.4661287510951946E-2</v>
      </c>
      <c r="R113" s="961">
        <f t="shared" si="81"/>
        <v>3.5975737293453248E-2</v>
      </c>
      <c r="S113" s="961">
        <f t="shared" si="82"/>
        <v>2.3365886515178284E-2</v>
      </c>
      <c r="T113" s="1535">
        <f t="shared" si="83"/>
        <v>6.1716138521192676E-2</v>
      </c>
      <c r="U113" s="1160">
        <v>41.2</v>
      </c>
      <c r="V113" s="111">
        <v>54.8</v>
      </c>
      <c r="W113" s="175">
        <f t="shared" si="53"/>
        <v>52.9</v>
      </c>
      <c r="X113" s="964">
        <f t="shared" ref="X113:X176" si="87">(U113-W113)</f>
        <v>-11.699999999999996</v>
      </c>
      <c r="Y113" s="1536">
        <f t="shared" si="78"/>
        <v>1.3571610019736793</v>
      </c>
      <c r="Z113" s="111">
        <f t="shared" si="55"/>
        <v>-13.057161001973675</v>
      </c>
      <c r="AA113" s="1536">
        <f t="shared" si="56"/>
        <v>0</v>
      </c>
      <c r="AB113" s="111">
        <f t="shared" si="57"/>
        <v>-19.054377530364377</v>
      </c>
      <c r="AC113" s="111">
        <f t="shared" si="66"/>
        <v>-11.699999999999996</v>
      </c>
      <c r="AD113" s="111">
        <f t="shared" si="67"/>
        <v>-13.057161001973675</v>
      </c>
      <c r="AE113" s="111">
        <f t="shared" si="68"/>
        <v>510.41234410847028</v>
      </c>
      <c r="AF113" s="29">
        <f t="shared" si="58"/>
        <v>-8.5930559592292344E-2</v>
      </c>
      <c r="AG113" s="587">
        <f t="shared" si="84"/>
        <v>5.4428389980263248</v>
      </c>
      <c r="AH113" s="964">
        <f t="shared" si="69"/>
        <v>0</v>
      </c>
      <c r="AI113" s="964">
        <v>0</v>
      </c>
      <c r="AJ113" s="964">
        <f t="shared" si="70"/>
        <v>0</v>
      </c>
      <c r="AK113" s="964">
        <f t="shared" si="71"/>
        <v>-11.699999999999996</v>
      </c>
      <c r="AL113" s="964">
        <f t="shared" si="79"/>
        <v>1.5508081947327934</v>
      </c>
      <c r="AM113" s="961">
        <f t="shared" si="61"/>
        <v>5.7134274875180573E-3</v>
      </c>
      <c r="AN113" s="964">
        <f t="shared" si="72"/>
        <v>-13.250808194732789</v>
      </c>
      <c r="AO113" s="965"/>
      <c r="AP113" s="1544">
        <v>174</v>
      </c>
      <c r="AQ113" s="527"/>
      <c r="AR113" s="175"/>
      <c r="AS113" s="175">
        <v>122.2</v>
      </c>
      <c r="AT113" s="175">
        <v>152</v>
      </c>
      <c r="AU113" s="111"/>
      <c r="AV113" s="111">
        <v>11.6</v>
      </c>
      <c r="AW113" s="175">
        <f t="shared" si="85"/>
        <v>117.05292286406076</v>
      </c>
      <c r="AX113" s="385"/>
      <c r="AY113" s="385"/>
      <c r="AZ113" s="385"/>
      <c r="BA113" s="385"/>
      <c r="BB113" s="305"/>
      <c r="BC113" s="385"/>
      <c r="BD113" s="385"/>
    </row>
    <row r="114" spans="1:56" s="87" customFormat="1">
      <c r="A114" s="79">
        <v>1803</v>
      </c>
      <c r="B114" s="1540">
        <f t="shared" si="86"/>
        <v>283.28389294543427</v>
      </c>
      <c r="C114" s="1162">
        <v>20.7</v>
      </c>
      <c r="D114" s="959">
        <v>17.899999999999999</v>
      </c>
      <c r="E114" s="959">
        <v>1.9</v>
      </c>
      <c r="F114" s="111">
        <f t="shared" si="45"/>
        <v>0.9000000000000008</v>
      </c>
      <c r="G114" s="1540">
        <f t="shared" si="63"/>
        <v>18.8</v>
      </c>
      <c r="H114" s="1162">
        <f t="shared" si="46"/>
        <v>552.79104251012154</v>
      </c>
      <c r="I114" s="29">
        <f t="shared" si="47"/>
        <v>1.0704706477732795</v>
      </c>
      <c r="J114" s="959">
        <v>516.4</v>
      </c>
      <c r="K114" s="959">
        <v>501</v>
      </c>
      <c r="L114" s="959">
        <f t="shared" si="64"/>
        <v>15.399999999999977</v>
      </c>
      <c r="M114" s="29">
        <f t="shared" si="48"/>
        <v>1.9513677137181935</v>
      </c>
      <c r="N114" s="29">
        <v>1.9055000000000002</v>
      </c>
      <c r="O114" s="111">
        <v>292.30188679245282</v>
      </c>
      <c r="P114" s="29">
        <f t="shared" si="73"/>
        <v>0.52877464414973907</v>
      </c>
      <c r="Q114" s="1558">
        <f t="shared" si="80"/>
        <v>3.4009234148644464E-2</v>
      </c>
      <c r="R114" s="961">
        <f t="shared" si="81"/>
        <v>3.5728542914171657E-2</v>
      </c>
      <c r="S114" s="961">
        <f t="shared" si="82"/>
        <v>1.7377522374146331E-2</v>
      </c>
      <c r="T114" s="1535">
        <f t="shared" si="83"/>
        <v>6.4317066873224901E-2</v>
      </c>
      <c r="U114" s="1160">
        <v>42.4</v>
      </c>
      <c r="V114" s="111">
        <v>53</v>
      </c>
      <c r="W114" s="175">
        <f t="shared" si="53"/>
        <v>51.1</v>
      </c>
      <c r="X114" s="964">
        <f t="shared" si="87"/>
        <v>-8.7000000000000028</v>
      </c>
      <c r="Y114" s="1536">
        <f t="shared" si="78"/>
        <v>1.4164194647271715</v>
      </c>
      <c r="Z114" s="111">
        <f t="shared" si="55"/>
        <v>-10.116419464727175</v>
      </c>
      <c r="AA114" s="1536">
        <f t="shared" si="56"/>
        <v>0</v>
      </c>
      <c r="AB114" s="111">
        <f t="shared" si="57"/>
        <v>-7.9214827935221592</v>
      </c>
      <c r="AC114" s="111">
        <f t="shared" si="66"/>
        <v>-8.7000000000000028</v>
      </c>
      <c r="AD114" s="111">
        <f t="shared" si="67"/>
        <v>-10.116419464727175</v>
      </c>
      <c r="AE114" s="111">
        <f t="shared" si="68"/>
        <v>523.46950511044395</v>
      </c>
      <c r="AF114" s="29">
        <f t="shared" si="58"/>
        <v>-0.10350584035967575</v>
      </c>
      <c r="AG114" s="587">
        <f t="shared" si="84"/>
        <v>8.6835805352728261</v>
      </c>
      <c r="AH114" s="964">
        <f t="shared" si="69"/>
        <v>0</v>
      </c>
      <c r="AI114" s="964">
        <v>0</v>
      </c>
      <c r="AJ114" s="964">
        <f t="shared" si="70"/>
        <v>0</v>
      </c>
      <c r="AK114" s="964">
        <f t="shared" si="71"/>
        <v>-8.7000000000000028</v>
      </c>
      <c r="AL114" s="964">
        <f t="shared" si="79"/>
        <v>1.6185219807255669</v>
      </c>
      <c r="AM114" s="961">
        <f t="shared" si="61"/>
        <v>5.7134274875180573E-3</v>
      </c>
      <c r="AN114" s="964">
        <f t="shared" si="72"/>
        <v>-10.318521980725571</v>
      </c>
      <c r="AO114" s="965"/>
      <c r="AP114" s="1544">
        <v>156</v>
      </c>
      <c r="AQ114" s="527"/>
      <c r="AR114" s="175"/>
      <c r="AS114" s="175">
        <v>123.6</v>
      </c>
      <c r="AT114" s="175">
        <v>161</v>
      </c>
      <c r="AU114" s="111"/>
      <c r="AV114" s="111">
        <v>11</v>
      </c>
      <c r="AW114" s="175">
        <f t="shared" si="85"/>
        <v>118.39395471356717</v>
      </c>
      <c r="AX114" s="385"/>
      <c r="AY114" s="385"/>
      <c r="AZ114" s="385"/>
      <c r="BA114" s="385"/>
      <c r="BB114" s="305"/>
      <c r="BC114" s="385"/>
      <c r="BD114" s="385"/>
    </row>
    <row r="115" spans="1:56" s="87" customFormat="1">
      <c r="A115" s="79">
        <v>1804</v>
      </c>
      <c r="B115" s="1540">
        <f t="shared" si="86"/>
        <v>295.13558549613271</v>
      </c>
      <c r="C115" s="1162">
        <v>20.7</v>
      </c>
      <c r="D115" s="959">
        <v>18</v>
      </c>
      <c r="E115" s="959">
        <v>1.9</v>
      </c>
      <c r="F115" s="111">
        <f t="shared" si="45"/>
        <v>0.79999999999999938</v>
      </c>
      <c r="G115" s="1540">
        <f t="shared" si="63"/>
        <v>18.8</v>
      </c>
      <c r="H115" s="1162">
        <f t="shared" si="46"/>
        <v>560.7125253036437</v>
      </c>
      <c r="I115" s="29">
        <f t="shared" si="47"/>
        <v>1.0704706477732795</v>
      </c>
      <c r="J115" s="959">
        <v>523.79999999999995</v>
      </c>
      <c r="K115" s="959">
        <v>504.3</v>
      </c>
      <c r="L115" s="959">
        <f t="shared" si="64"/>
        <v>19.499999999999943</v>
      </c>
      <c r="M115" s="29">
        <f t="shared" si="48"/>
        <v>1.8998472324544238</v>
      </c>
      <c r="N115" s="29">
        <v>1.8841999999999999</v>
      </c>
      <c r="O115" s="111">
        <v>311.78571428571428</v>
      </c>
      <c r="P115" s="29">
        <f t="shared" si="73"/>
        <v>0.55605270118920991</v>
      </c>
      <c r="Q115" s="1558">
        <f t="shared" si="80"/>
        <v>3.3528767686827048E-2</v>
      </c>
      <c r="R115" s="961">
        <f t="shared" si="81"/>
        <v>3.569303985722784E-2</v>
      </c>
      <c r="S115" s="961">
        <f t="shared" si="82"/>
        <v>1.4181247793711644E-2</v>
      </c>
      <c r="T115" s="1535">
        <f t="shared" si="83"/>
        <v>6.0297823596792671E-2</v>
      </c>
      <c r="U115" s="1160">
        <v>50.2</v>
      </c>
      <c r="V115" s="111">
        <v>62.8</v>
      </c>
      <c r="W115" s="175">
        <f t="shared" si="53"/>
        <v>60.9</v>
      </c>
      <c r="X115" s="964">
        <f t="shared" si="87"/>
        <v>-10.699999999999996</v>
      </c>
      <c r="Y115" s="1536">
        <f t="shared" si="78"/>
        <v>1.4756779274806635</v>
      </c>
      <c r="Z115" s="111">
        <f t="shared" si="55"/>
        <v>-12.17567792748066</v>
      </c>
      <c r="AA115" s="1536">
        <f t="shared" si="56"/>
        <v>0</v>
      </c>
      <c r="AB115" s="111">
        <f t="shared" si="57"/>
        <v>-16.913436234817937</v>
      </c>
      <c r="AC115" s="111">
        <f t="shared" si="66"/>
        <v>-10.699999999999996</v>
      </c>
      <c r="AD115" s="111">
        <f t="shared" si="67"/>
        <v>-12.17567792748066</v>
      </c>
      <c r="AE115" s="111">
        <f t="shared" si="68"/>
        <v>533.58592457517113</v>
      </c>
      <c r="AF115" s="29">
        <f t="shared" si="58"/>
        <v>-9.1912334742257032E-2</v>
      </c>
      <c r="AG115" s="587">
        <f t="shared" si="84"/>
        <v>6.624322072519341</v>
      </c>
      <c r="AH115" s="964">
        <f t="shared" si="69"/>
        <v>0</v>
      </c>
      <c r="AI115" s="964">
        <v>0</v>
      </c>
      <c r="AJ115" s="964">
        <f t="shared" si="70"/>
        <v>0</v>
      </c>
      <c r="AK115" s="964">
        <f t="shared" si="71"/>
        <v>-10.699999999999996</v>
      </c>
      <c r="AL115" s="964">
        <f t="shared" si="79"/>
        <v>1.6862357667183403</v>
      </c>
      <c r="AM115" s="961">
        <f t="shared" si="61"/>
        <v>5.7134274875180573E-3</v>
      </c>
      <c r="AN115" s="964">
        <f t="shared" si="72"/>
        <v>-12.386235766718336</v>
      </c>
      <c r="AO115" s="965"/>
      <c r="AP115" s="1544">
        <v>161</v>
      </c>
      <c r="AQ115" s="175"/>
      <c r="AR115" s="175"/>
      <c r="AS115" s="175">
        <v>124.3</v>
      </c>
      <c r="AT115" s="175">
        <v>159</v>
      </c>
      <c r="AU115" s="111"/>
      <c r="AV115" s="111">
        <v>11.3</v>
      </c>
      <c r="AW115" s="175">
        <f t="shared" si="85"/>
        <v>119.06447063832039</v>
      </c>
      <c r="AX115" s="385"/>
      <c r="AY115" s="385"/>
      <c r="AZ115" s="385"/>
      <c r="BA115" s="385"/>
      <c r="BB115" s="305"/>
      <c r="BC115" s="385"/>
      <c r="BD115" s="385"/>
    </row>
    <row r="116" spans="1:56" s="87" customFormat="1">
      <c r="A116" s="79">
        <v>1805</v>
      </c>
      <c r="B116" s="1540">
        <f t="shared" si="86"/>
        <v>306.98727804683114</v>
      </c>
      <c r="C116" s="1162">
        <v>22.3</v>
      </c>
      <c r="D116" s="959">
        <v>18.600000000000001</v>
      </c>
      <c r="E116" s="577">
        <v>1.9</v>
      </c>
      <c r="F116" s="111">
        <f t="shared" si="45"/>
        <v>1.7999999999999994</v>
      </c>
      <c r="G116" s="1540">
        <f t="shared" si="63"/>
        <v>20.400000000000002</v>
      </c>
      <c r="H116" s="1162">
        <f t="shared" si="46"/>
        <v>577.62596153846164</v>
      </c>
      <c r="I116" s="29">
        <f t="shared" si="47"/>
        <v>1.0704706477732795</v>
      </c>
      <c r="J116" s="959">
        <v>539.6</v>
      </c>
      <c r="K116" s="959">
        <v>514.20000000000005</v>
      </c>
      <c r="L116" s="959">
        <f t="shared" si="64"/>
        <v>25.399999999999977</v>
      </c>
      <c r="M116" s="29">
        <f t="shared" si="48"/>
        <v>1.8815957625786186</v>
      </c>
      <c r="N116" s="29">
        <v>1.8933000000000002</v>
      </c>
      <c r="O116" s="111">
        <v>332.40246406570844</v>
      </c>
      <c r="P116" s="29">
        <f t="shared" si="73"/>
        <v>0.57546316509109185</v>
      </c>
      <c r="Q116" s="1558">
        <f t="shared" si="80"/>
        <v>3.5316972155590438E-2</v>
      </c>
      <c r="R116" s="961">
        <f t="shared" si="81"/>
        <v>3.6172695449241538E-2</v>
      </c>
      <c r="S116" s="961">
        <f t="shared" si="82"/>
        <v>2.8379546109182387E-2</v>
      </c>
      <c r="T116" s="1535">
        <f t="shared" si="83"/>
        <v>6.1371386212008897E-2</v>
      </c>
      <c r="U116" s="1160">
        <v>55</v>
      </c>
      <c r="V116" s="111">
        <v>71.400000000000006</v>
      </c>
      <c r="W116" s="175">
        <f t="shared" si="53"/>
        <v>69.5</v>
      </c>
      <c r="X116" s="964">
        <f t="shared" si="87"/>
        <v>-14.5</v>
      </c>
      <c r="Y116" s="1536">
        <f t="shared" si="78"/>
        <v>1.5349363902341557</v>
      </c>
      <c r="Z116" s="111">
        <f t="shared" si="55"/>
        <v>-16.034936390234154</v>
      </c>
      <c r="AA116" s="1536">
        <f t="shared" si="56"/>
        <v>0</v>
      </c>
      <c r="AB116" s="111">
        <f t="shared" si="57"/>
        <v>-26.547672064777316</v>
      </c>
      <c r="AC116" s="111">
        <f t="shared" si="66"/>
        <v>-14.5</v>
      </c>
      <c r="AD116" s="111">
        <f t="shared" si="67"/>
        <v>-16.034936390234154</v>
      </c>
      <c r="AE116" s="111">
        <f t="shared" si="68"/>
        <v>545.76160250265184</v>
      </c>
      <c r="AF116" s="29">
        <f t="shared" si="58"/>
        <v>-0.10379700174724786</v>
      </c>
      <c r="AG116" s="587">
        <f t="shared" si="84"/>
        <v>4.3650636097658477</v>
      </c>
      <c r="AH116" s="964">
        <f t="shared" si="69"/>
        <v>0</v>
      </c>
      <c r="AI116" s="964">
        <v>0</v>
      </c>
      <c r="AJ116" s="964">
        <f t="shared" si="70"/>
        <v>0</v>
      </c>
      <c r="AK116" s="964">
        <f t="shared" si="71"/>
        <v>-14.5</v>
      </c>
      <c r="AL116" s="964">
        <f t="shared" si="79"/>
        <v>1.7539495527111137</v>
      </c>
      <c r="AM116" s="961">
        <f t="shared" si="61"/>
        <v>5.7134274875180573E-3</v>
      </c>
      <c r="AN116" s="964">
        <f t="shared" si="72"/>
        <v>-16.253949552711113</v>
      </c>
      <c r="AO116" s="965"/>
      <c r="AP116" s="1544">
        <v>187</v>
      </c>
      <c r="AQ116" s="175"/>
      <c r="AR116" s="175"/>
      <c r="AS116" s="175">
        <v>136.19999999999999</v>
      </c>
      <c r="AT116" s="175">
        <v>170</v>
      </c>
      <c r="AU116" s="175">
        <f>AU126*AVERAGE(AS112:AS121)/AVERAGE(AS122:AS131)</f>
        <v>153.1080745743694</v>
      </c>
      <c r="AV116" s="111">
        <v>13.1</v>
      </c>
      <c r="AW116" s="175">
        <f t="shared" si="85"/>
        <v>130.46324135912499</v>
      </c>
      <c r="AX116" s="385"/>
      <c r="AY116" s="385"/>
      <c r="AZ116" s="385"/>
      <c r="BA116" s="385"/>
      <c r="BB116" s="305"/>
      <c r="BC116" s="385"/>
      <c r="BD116" s="385"/>
    </row>
    <row r="117" spans="1:56" s="87" customFormat="1">
      <c r="A117" s="79">
        <v>1806</v>
      </c>
      <c r="B117" s="1540">
        <f t="shared" si="86"/>
        <v>318.83897059752957</v>
      </c>
      <c r="C117" s="1162">
        <v>23.2</v>
      </c>
      <c r="D117" s="959">
        <v>19.600000000000001</v>
      </c>
      <c r="E117" s="959">
        <v>2</v>
      </c>
      <c r="F117" s="111">
        <f t="shared" si="45"/>
        <v>1.5999999999999979</v>
      </c>
      <c r="G117" s="1540">
        <f t="shared" si="63"/>
        <v>21.2</v>
      </c>
      <c r="H117" s="1162">
        <f t="shared" si="46"/>
        <v>604.17363360323895</v>
      </c>
      <c r="I117" s="29">
        <f t="shared" si="47"/>
        <v>1.0704706477732795</v>
      </c>
      <c r="J117" s="959">
        <v>564.4</v>
      </c>
      <c r="K117" s="959">
        <v>538</v>
      </c>
      <c r="L117" s="959">
        <f t="shared" si="64"/>
        <v>26.399999999999977</v>
      </c>
      <c r="M117" s="29">
        <f t="shared" si="48"/>
        <v>1.8949177776824757</v>
      </c>
      <c r="N117" s="29">
        <v>1.9262999999999999</v>
      </c>
      <c r="O117" s="111">
        <v>344.14634146341461</v>
      </c>
      <c r="P117" s="29">
        <f t="shared" si="73"/>
        <v>0.56961496219382468</v>
      </c>
      <c r="Q117" s="1558">
        <f t="shared" si="80"/>
        <v>3.508925054138004E-2</v>
      </c>
      <c r="R117" s="961">
        <f t="shared" si="81"/>
        <v>3.6431226765799261E-2</v>
      </c>
      <c r="S117" s="961">
        <f t="shared" si="82"/>
        <v>2.4178814323438994E-2</v>
      </c>
      <c r="T117" s="1535">
        <f t="shared" si="83"/>
        <v>6.1601700921332388E-2</v>
      </c>
      <c r="U117" s="1160">
        <v>60.1</v>
      </c>
      <c r="V117" s="111">
        <v>72.900000000000006</v>
      </c>
      <c r="W117" s="175">
        <f t="shared" si="53"/>
        <v>70.900000000000006</v>
      </c>
      <c r="X117" s="964">
        <f t="shared" si="87"/>
        <v>-10.800000000000004</v>
      </c>
      <c r="Y117" s="1536">
        <f t="shared" si="78"/>
        <v>1.594194852987648</v>
      </c>
      <c r="Z117" s="111">
        <f t="shared" si="55"/>
        <v>-12.394194852987653</v>
      </c>
      <c r="AA117" s="1536">
        <f t="shared" si="56"/>
        <v>0</v>
      </c>
      <c r="AB117" s="111">
        <f t="shared" si="57"/>
        <v>-20.017801113360292</v>
      </c>
      <c r="AC117" s="111">
        <f t="shared" si="66"/>
        <v>-10.800000000000004</v>
      </c>
      <c r="AD117" s="111">
        <f t="shared" si="67"/>
        <v>-12.394194852987653</v>
      </c>
      <c r="AE117" s="111">
        <f t="shared" si="68"/>
        <v>561.79653889288602</v>
      </c>
      <c r="AF117" s="29">
        <f t="shared" si="58"/>
        <v>-0.13291064963274374</v>
      </c>
      <c r="AG117" s="587">
        <f t="shared" si="84"/>
        <v>8.8058051470123466</v>
      </c>
      <c r="AH117" s="964">
        <f t="shared" si="69"/>
        <v>0</v>
      </c>
      <c r="AI117" s="964">
        <v>0</v>
      </c>
      <c r="AJ117" s="964">
        <f t="shared" si="70"/>
        <v>0</v>
      </c>
      <c r="AK117" s="964">
        <f t="shared" si="71"/>
        <v>-10.800000000000004</v>
      </c>
      <c r="AL117" s="964">
        <f t="shared" si="79"/>
        <v>1.8216633387038872</v>
      </c>
      <c r="AM117" s="961">
        <f t="shared" si="61"/>
        <v>5.7134274875180573E-3</v>
      </c>
      <c r="AN117" s="964">
        <f t="shared" si="72"/>
        <v>-12.621663338703891</v>
      </c>
      <c r="AO117" s="965"/>
      <c r="AP117" s="1544">
        <v>184</v>
      </c>
      <c r="AQ117" s="175"/>
      <c r="AR117" s="175"/>
      <c r="AS117" s="175">
        <v>134.5</v>
      </c>
      <c r="AT117" s="175">
        <v>166</v>
      </c>
      <c r="AU117" s="111"/>
      <c r="AV117" s="111">
        <v>12.6</v>
      </c>
      <c r="AW117" s="175">
        <f t="shared" si="85"/>
        <v>128.8348455418672</v>
      </c>
      <c r="AX117" s="385"/>
      <c r="AY117" s="385"/>
      <c r="AZ117" s="385"/>
      <c r="BA117" s="385"/>
      <c r="BB117" s="305"/>
      <c r="BC117" s="305"/>
      <c r="BD117" s="385"/>
    </row>
    <row r="118" spans="1:56" s="87" customFormat="1">
      <c r="A118" s="79">
        <v>1807</v>
      </c>
      <c r="B118" s="1540">
        <f t="shared" si="86"/>
        <v>330.690663148228</v>
      </c>
      <c r="C118" s="1162">
        <v>23.8</v>
      </c>
      <c r="D118" s="959">
        <v>19.899999999999999</v>
      </c>
      <c r="E118" s="959">
        <v>2</v>
      </c>
      <c r="F118" s="111">
        <f t="shared" si="45"/>
        <v>1.9000000000000021</v>
      </c>
      <c r="G118" s="1540">
        <f t="shared" si="63"/>
        <v>21.8</v>
      </c>
      <c r="H118" s="1162">
        <f t="shared" si="46"/>
        <v>624.19143471659925</v>
      </c>
      <c r="I118" s="29">
        <f t="shared" si="47"/>
        <v>1.0704706477732795</v>
      </c>
      <c r="J118" s="959">
        <v>583.1</v>
      </c>
      <c r="K118" s="959">
        <v>556</v>
      </c>
      <c r="L118" s="959">
        <f t="shared" si="64"/>
        <v>27.100000000000023</v>
      </c>
      <c r="M118" s="29">
        <f t="shared" si="48"/>
        <v>1.8875387311337943</v>
      </c>
      <c r="N118" s="29">
        <v>1.9372</v>
      </c>
      <c r="O118" s="111">
        <v>384.46153846153845</v>
      </c>
      <c r="P118" s="29">
        <f t="shared" si="73"/>
        <v>0.615935299778817</v>
      </c>
      <c r="Q118" s="1558">
        <f t="shared" si="80"/>
        <v>3.4925182864609196E-2</v>
      </c>
      <c r="R118" s="961">
        <f t="shared" si="81"/>
        <v>3.5791366906474817E-2</v>
      </c>
      <c r="S118" s="961">
        <f t="shared" si="82"/>
        <v>2.7862736836324425E-2</v>
      </c>
      <c r="T118" s="1535">
        <f t="shared" si="83"/>
        <v>5.6702681072428977E-2</v>
      </c>
      <c r="U118" s="1160">
        <v>64.8</v>
      </c>
      <c r="V118" s="111">
        <v>73.3</v>
      </c>
      <c r="W118" s="175">
        <f t="shared" si="53"/>
        <v>71.3</v>
      </c>
      <c r="X118" s="964">
        <f t="shared" si="87"/>
        <v>-6.5</v>
      </c>
      <c r="Y118" s="1536">
        <f t="shared" si="78"/>
        <v>1.65345331574114</v>
      </c>
      <c r="Z118" s="111">
        <f t="shared" si="55"/>
        <v>-8.1534533157411406</v>
      </c>
      <c r="AA118" s="1536">
        <f t="shared" si="56"/>
        <v>0</v>
      </c>
      <c r="AB118" s="111">
        <f t="shared" si="57"/>
        <v>-8.7778593117408263</v>
      </c>
      <c r="AC118" s="111">
        <f t="shared" si="66"/>
        <v>-6.5</v>
      </c>
      <c r="AD118" s="111">
        <f t="shared" si="67"/>
        <v>-8.1534533157411406</v>
      </c>
      <c r="AE118" s="111">
        <f t="shared" si="68"/>
        <v>574.19073374587367</v>
      </c>
      <c r="AF118" s="29">
        <f t="shared" si="58"/>
        <v>-0.15120082464594223</v>
      </c>
      <c r="AG118" s="587">
        <f t="shared" si="84"/>
        <v>13.64654668425886</v>
      </c>
      <c r="AH118" s="964">
        <f t="shared" si="69"/>
        <v>0</v>
      </c>
      <c r="AI118" s="964">
        <v>0</v>
      </c>
      <c r="AJ118" s="964">
        <f t="shared" si="70"/>
        <v>0</v>
      </c>
      <c r="AK118" s="964">
        <f t="shared" si="71"/>
        <v>-6.5</v>
      </c>
      <c r="AL118" s="964">
        <f t="shared" si="79"/>
        <v>1.8893771246966604</v>
      </c>
      <c r="AM118" s="961">
        <f t="shared" si="61"/>
        <v>5.7134274875180573E-3</v>
      </c>
      <c r="AN118" s="964">
        <f t="shared" si="72"/>
        <v>-8.3893771246966597</v>
      </c>
      <c r="AO118" s="965"/>
      <c r="AP118" s="1544">
        <v>186</v>
      </c>
      <c r="AQ118" s="175"/>
      <c r="AR118" s="175"/>
      <c r="AS118" s="175">
        <v>131.19999999999999</v>
      </c>
      <c r="AT118" s="175">
        <v>161</v>
      </c>
      <c r="AU118" s="111"/>
      <c r="AV118" s="111">
        <v>12.3</v>
      </c>
      <c r="AW118" s="175">
        <f t="shared" si="85"/>
        <v>125.67384189660206</v>
      </c>
      <c r="AX118" s="385"/>
      <c r="AY118" s="385"/>
      <c r="AZ118" s="385"/>
      <c r="BA118" s="385"/>
      <c r="BB118" s="305"/>
      <c r="BC118" s="385"/>
      <c r="BD118" s="385"/>
    </row>
    <row r="119" spans="1:56" s="87" customFormat="1">
      <c r="A119" s="79">
        <v>1808</v>
      </c>
      <c r="B119" s="1540">
        <f t="shared" si="86"/>
        <v>342.54235569892643</v>
      </c>
      <c r="C119" s="1162">
        <v>23.1</v>
      </c>
      <c r="D119" s="959">
        <v>20</v>
      </c>
      <c r="E119" s="959">
        <v>1.6</v>
      </c>
      <c r="F119" s="111">
        <f t="shared" si="45"/>
        <v>1.5000000000000013</v>
      </c>
      <c r="G119" s="1540">
        <f t="shared" si="63"/>
        <v>21.5</v>
      </c>
      <c r="H119" s="1162">
        <f t="shared" si="46"/>
        <v>632.96929402834007</v>
      </c>
      <c r="I119" s="29">
        <f t="shared" si="47"/>
        <v>1.0704706477732795</v>
      </c>
      <c r="J119" s="959">
        <v>591.29999999999995</v>
      </c>
      <c r="K119" s="959">
        <v>559.20000000000005</v>
      </c>
      <c r="L119" s="959">
        <f t="shared" si="64"/>
        <v>32.099999999999909</v>
      </c>
      <c r="M119" s="29">
        <f t="shared" si="48"/>
        <v>1.8478570124177023</v>
      </c>
      <c r="N119" s="29">
        <v>1.9136000000000002</v>
      </c>
      <c r="O119" s="111">
        <v>395.07795100222711</v>
      </c>
      <c r="P119" s="29">
        <f t="shared" si="73"/>
        <v>0.62416606102307737</v>
      </c>
      <c r="Q119" s="1558">
        <f t="shared" si="80"/>
        <v>3.3966892553617893E-2</v>
      </c>
      <c r="R119" s="961">
        <f t="shared" si="81"/>
        <v>3.5765379113018594E-2</v>
      </c>
      <c r="S119" s="961">
        <f t="shared" si="82"/>
        <v>2.0333663480956516E-2</v>
      </c>
      <c r="T119" s="1535">
        <f t="shared" si="83"/>
        <v>5.4419640340492709E-2</v>
      </c>
      <c r="U119" s="1160">
        <v>68.2</v>
      </c>
      <c r="V119" s="111">
        <v>78</v>
      </c>
      <c r="W119" s="175">
        <f t="shared" si="53"/>
        <v>76.400000000000006</v>
      </c>
      <c r="X119" s="964">
        <f t="shared" si="87"/>
        <v>-8.2000000000000028</v>
      </c>
      <c r="Y119" s="1536">
        <f t="shared" si="78"/>
        <v>1.7127117784946322</v>
      </c>
      <c r="Z119" s="111">
        <f t="shared" si="55"/>
        <v>-9.9127117784946357</v>
      </c>
      <c r="AA119" s="1536">
        <f t="shared" si="56"/>
        <v>0</v>
      </c>
      <c r="AB119" s="111">
        <f t="shared" si="57"/>
        <v>-8.2426239878543583</v>
      </c>
      <c r="AC119" s="111">
        <f t="shared" si="66"/>
        <v>-8.2000000000000028</v>
      </c>
      <c r="AD119" s="111">
        <f t="shared" si="67"/>
        <v>-9.9127117784946357</v>
      </c>
      <c r="AE119" s="111">
        <f t="shared" si="68"/>
        <v>582.34418706161478</v>
      </c>
      <c r="AF119" s="29">
        <f t="shared" si="58"/>
        <v>-0.14779225437224949</v>
      </c>
      <c r="AG119" s="587">
        <f t="shared" si="84"/>
        <v>11.587288221505364</v>
      </c>
      <c r="AH119" s="964">
        <f t="shared" si="69"/>
        <v>0</v>
      </c>
      <c r="AI119" s="964">
        <v>0</v>
      </c>
      <c r="AJ119" s="964">
        <f t="shared" si="70"/>
        <v>0</v>
      </c>
      <c r="AK119" s="964">
        <f t="shared" si="71"/>
        <v>-8.2000000000000028</v>
      </c>
      <c r="AL119" s="964">
        <f t="shared" si="79"/>
        <v>1.9570909106894339</v>
      </c>
      <c r="AM119" s="961">
        <f t="shared" si="61"/>
        <v>5.7134274875180573E-3</v>
      </c>
      <c r="AN119" s="964">
        <f t="shared" si="72"/>
        <v>-10.157090910689437</v>
      </c>
      <c r="AO119" s="965"/>
      <c r="AP119" s="1544">
        <v>204</v>
      </c>
      <c r="AQ119" s="175"/>
      <c r="AR119" s="175"/>
      <c r="AS119" s="175">
        <v>144.5</v>
      </c>
      <c r="AT119" s="175">
        <v>189</v>
      </c>
      <c r="AU119" s="111"/>
      <c r="AV119" s="111">
        <v>12.8</v>
      </c>
      <c r="AW119" s="175">
        <f t="shared" si="85"/>
        <v>138.4136444669131</v>
      </c>
      <c r="AX119" s="385"/>
      <c r="AY119" s="385"/>
      <c r="AZ119" s="385"/>
      <c r="BA119" s="385"/>
      <c r="BB119" s="305"/>
      <c r="BC119" s="385"/>
      <c r="BD119" s="385"/>
    </row>
    <row r="120" spans="1:56" s="87" customFormat="1">
      <c r="A120" s="79">
        <v>1809</v>
      </c>
      <c r="B120" s="1540">
        <f t="shared" si="86"/>
        <v>354.39404824962486</v>
      </c>
      <c r="C120" s="1162">
        <v>24.2</v>
      </c>
      <c r="D120" s="959">
        <v>20.399999999999999</v>
      </c>
      <c r="E120" s="959">
        <v>1.6</v>
      </c>
      <c r="F120" s="111">
        <f t="shared" si="45"/>
        <v>2.2000000000000006</v>
      </c>
      <c r="G120" s="1540">
        <f t="shared" si="63"/>
        <v>22.599999999999998</v>
      </c>
      <c r="H120" s="1162">
        <f t="shared" si="46"/>
        <v>641.21191801619443</v>
      </c>
      <c r="I120" s="29">
        <f t="shared" si="47"/>
        <v>1.0704706477732795</v>
      </c>
      <c r="J120" s="959">
        <v>599</v>
      </c>
      <c r="K120" s="959">
        <v>559.79999999999995</v>
      </c>
      <c r="L120" s="959">
        <f t="shared" si="64"/>
        <v>39.200000000000045</v>
      </c>
      <c r="M120" s="29">
        <f t="shared" si="48"/>
        <v>1.8093190932048142</v>
      </c>
      <c r="N120" s="29">
        <v>1.8896000000000002</v>
      </c>
      <c r="O120" s="111">
        <v>402.01342281879198</v>
      </c>
      <c r="P120" s="29">
        <f t="shared" si="73"/>
        <v>0.62695875033414261</v>
      </c>
      <c r="Q120" s="1558">
        <f t="shared" si="80"/>
        <v>3.5245757861021562E-2</v>
      </c>
      <c r="R120" s="961">
        <f t="shared" si="81"/>
        <v>3.6441586280814578E-2</v>
      </c>
      <c r="S120" s="961">
        <f t="shared" si="82"/>
        <v>2.7023070498871874E-2</v>
      </c>
      <c r="T120" s="1535">
        <f t="shared" si="83"/>
        <v>5.621702838063438E-2</v>
      </c>
      <c r="U120" s="1160">
        <v>69.2</v>
      </c>
      <c r="V120" s="111">
        <v>81.5</v>
      </c>
      <c r="W120" s="175">
        <f t="shared" si="53"/>
        <v>79.900000000000006</v>
      </c>
      <c r="X120" s="964">
        <f t="shared" si="87"/>
        <v>-10.700000000000003</v>
      </c>
      <c r="Y120" s="1536">
        <f t="shared" si="78"/>
        <v>1.7719702412481244</v>
      </c>
      <c r="Z120" s="111">
        <f t="shared" si="55"/>
        <v>-12.471970241248128</v>
      </c>
      <c r="AA120" s="1536">
        <f t="shared" si="56"/>
        <v>0</v>
      </c>
      <c r="AB120" s="111">
        <f t="shared" si="57"/>
        <v>-8.99195344129555</v>
      </c>
      <c r="AC120" s="111">
        <f t="shared" si="66"/>
        <v>-10.700000000000003</v>
      </c>
      <c r="AD120" s="111">
        <f t="shared" si="67"/>
        <v>-12.471970241248128</v>
      </c>
      <c r="AE120" s="111">
        <f t="shared" si="68"/>
        <v>592.25689884010944</v>
      </c>
      <c r="AF120" s="29">
        <f t="shared" si="58"/>
        <v>-0.13813724981521838</v>
      </c>
      <c r="AG120" s="587">
        <f t="shared" si="84"/>
        <v>10.12802975875187</v>
      </c>
      <c r="AH120" s="964">
        <f t="shared" si="69"/>
        <v>0</v>
      </c>
      <c r="AI120" s="964">
        <v>0</v>
      </c>
      <c r="AJ120" s="964">
        <f t="shared" si="70"/>
        <v>0</v>
      </c>
      <c r="AK120" s="964">
        <f t="shared" si="71"/>
        <v>-10.700000000000003</v>
      </c>
      <c r="AL120" s="964">
        <f t="shared" si="79"/>
        <v>2.0248046966822075</v>
      </c>
      <c r="AM120" s="961">
        <f t="shared" si="61"/>
        <v>5.7134274875180573E-3</v>
      </c>
      <c r="AN120" s="964">
        <f t="shared" si="72"/>
        <v>-12.724804696682209</v>
      </c>
      <c r="AO120" s="965"/>
      <c r="AP120" s="1544">
        <v>212</v>
      </c>
      <c r="AQ120" s="175"/>
      <c r="AR120" s="175"/>
      <c r="AS120" s="175">
        <v>155</v>
      </c>
      <c r="AT120" s="175">
        <v>206</v>
      </c>
      <c r="AU120" s="111"/>
      <c r="AV120" s="111">
        <v>14</v>
      </c>
      <c r="AW120" s="175">
        <f t="shared" si="85"/>
        <v>148.47138333821127</v>
      </c>
      <c r="AX120" s="385"/>
      <c r="AY120" s="385"/>
      <c r="AZ120" s="385"/>
      <c r="BA120" s="385"/>
      <c r="BB120" s="305"/>
      <c r="BC120" s="385"/>
      <c r="BD120" s="385"/>
    </row>
    <row r="121" spans="1:56" s="87" customFormat="1">
      <c r="A121" s="79">
        <v>1810</v>
      </c>
      <c r="B121" s="1540">
        <f>TableUK2!B21*1000</f>
        <v>366.24574080032329</v>
      </c>
      <c r="C121" s="1162">
        <v>24.4</v>
      </c>
      <c r="D121" s="959">
        <v>20.9</v>
      </c>
      <c r="E121" s="959">
        <v>1.7</v>
      </c>
      <c r="F121" s="111">
        <f t="shared" si="45"/>
        <v>1.8</v>
      </c>
      <c r="G121" s="1540">
        <f t="shared" si="63"/>
        <v>22.7</v>
      </c>
      <c r="H121" s="1162">
        <f t="shared" si="46"/>
        <v>650.20387145748998</v>
      </c>
      <c r="I121" s="29">
        <f t="shared" si="47"/>
        <v>1.0704706477732795</v>
      </c>
      <c r="J121" s="959">
        <v>607.4</v>
      </c>
      <c r="K121" s="959">
        <v>567.70000000000005</v>
      </c>
      <c r="L121" s="959">
        <f t="shared" si="64"/>
        <v>39.699999999999932</v>
      </c>
      <c r="M121" s="29">
        <f t="shared" si="48"/>
        <v>1.7753213185132446</v>
      </c>
      <c r="N121" s="29">
        <v>1.8688999999999998</v>
      </c>
      <c r="O121" s="111">
        <v>390.19271948608133</v>
      </c>
      <c r="P121" s="29">
        <f t="shared" si="73"/>
        <v>0.60010826852111709</v>
      </c>
      <c r="Q121" s="1558">
        <f t="shared" si="80"/>
        <v>3.4912126790503296E-2</v>
      </c>
      <c r="R121" s="961">
        <f t="shared" si="81"/>
        <v>3.681521930597146E-2</v>
      </c>
      <c r="S121" s="961">
        <f t="shared" si="82"/>
        <v>2.1817158009699567E-2</v>
      </c>
      <c r="T121" s="1535">
        <f t="shared" si="83"/>
        <v>5.8176380199758536E-2</v>
      </c>
      <c r="U121" s="1160">
        <v>73</v>
      </c>
      <c r="V121" s="111">
        <v>81.599999999999994</v>
      </c>
      <c r="W121" s="175">
        <f t="shared" si="53"/>
        <v>79.899999999999991</v>
      </c>
      <c r="X121" s="964">
        <f t="shared" si="87"/>
        <v>-6.8999999999999915</v>
      </c>
      <c r="Y121" s="1536">
        <f t="shared" si="78"/>
        <v>1.8312287040016164</v>
      </c>
      <c r="Z121" s="111">
        <f t="shared" si="55"/>
        <v>-8.7312287040016088</v>
      </c>
      <c r="AA121" s="1536">
        <f t="shared" si="56"/>
        <v>0</v>
      </c>
      <c r="AB121" s="111">
        <f t="shared" si="57"/>
        <v>-2.3550354251012777</v>
      </c>
      <c r="AC121" s="111">
        <f t="shared" si="66"/>
        <v>-6.8999999999999915</v>
      </c>
      <c r="AD121" s="111">
        <f t="shared" si="67"/>
        <v>-8.7312287040016088</v>
      </c>
      <c r="AE121" s="111">
        <f t="shared" si="68"/>
        <v>604.72886908135752</v>
      </c>
      <c r="AF121" s="29">
        <f t="shared" si="58"/>
        <v>-0.12416527295787824</v>
      </c>
      <c r="AG121" s="587">
        <f t="shared" si="84"/>
        <v>13.968771295998391</v>
      </c>
      <c r="AH121" s="964">
        <f t="shared" si="69"/>
        <v>0</v>
      </c>
      <c r="AI121" s="964">
        <v>0</v>
      </c>
      <c r="AJ121" s="964">
        <f t="shared" si="70"/>
        <v>0</v>
      </c>
      <c r="AK121" s="964">
        <f t="shared" si="71"/>
        <v>-6.8999999999999915</v>
      </c>
      <c r="AL121" s="964">
        <f t="shared" si="79"/>
        <v>2.0925184826749805</v>
      </c>
      <c r="AM121" s="961">
        <f t="shared" si="61"/>
        <v>5.7134274875180573E-3</v>
      </c>
      <c r="AN121" s="964">
        <f t="shared" si="72"/>
        <v>-8.9925184826749724</v>
      </c>
      <c r="AO121" s="965"/>
      <c r="AP121" s="1544">
        <v>206.99999999999997</v>
      </c>
      <c r="AQ121" s="175"/>
      <c r="AR121" s="175"/>
      <c r="AS121" s="175">
        <v>153.4</v>
      </c>
      <c r="AT121" s="175">
        <v>193</v>
      </c>
      <c r="AU121" s="111"/>
      <c r="AV121" s="111">
        <v>14.4</v>
      </c>
      <c r="AW121" s="1781">
        <f t="shared" ref="AW121:AW152" si="88">AW122*AV121/AV122</f>
        <v>146.93877551020393</v>
      </c>
      <c r="AX121" s="385"/>
      <c r="AY121" s="385"/>
      <c r="AZ121" s="385"/>
      <c r="BA121" s="385"/>
      <c r="BB121" s="305"/>
      <c r="BC121" s="385"/>
      <c r="BD121" s="385"/>
    </row>
    <row r="122" spans="1:56" s="87" customFormat="1">
      <c r="A122" s="79">
        <v>1811</v>
      </c>
      <c r="B122" s="1540">
        <f>B121+(B$131-B$121)/10</f>
        <v>367.96488207621877</v>
      </c>
      <c r="C122" s="1162">
        <v>24.6</v>
      </c>
      <c r="D122" s="959">
        <v>21.5</v>
      </c>
      <c r="E122" s="959">
        <v>1.6</v>
      </c>
      <c r="F122" s="111">
        <f t="shared" si="45"/>
        <v>1.5000000000000013</v>
      </c>
      <c r="G122" s="1540">
        <f t="shared" si="63"/>
        <v>23</v>
      </c>
      <c r="H122" s="1162">
        <f t="shared" si="46"/>
        <v>652.55890688259126</v>
      </c>
      <c r="I122" s="29">
        <f t="shared" si="47"/>
        <v>1.0704706477732795</v>
      </c>
      <c r="J122" s="959">
        <v>609.6</v>
      </c>
      <c r="K122" s="959">
        <v>570.79999999999995</v>
      </c>
      <c r="L122" s="959">
        <f t="shared" si="64"/>
        <v>38.800000000000068</v>
      </c>
      <c r="M122" s="29">
        <f t="shared" si="48"/>
        <v>1.7734271357651539</v>
      </c>
      <c r="N122" s="29">
        <v>1.8250999999999999</v>
      </c>
      <c r="O122" s="111">
        <v>360</v>
      </c>
      <c r="P122" s="29">
        <f t="shared" si="73"/>
        <v>0.55167433346331041</v>
      </c>
      <c r="Q122" s="1558">
        <f t="shared" si="80"/>
        <v>3.5245860193489277E-2</v>
      </c>
      <c r="R122" s="961">
        <f t="shared" si="81"/>
        <v>3.7666433076384023E-2</v>
      </c>
      <c r="S122" s="961">
        <f t="shared" si="82"/>
        <v>1.8346624939030248E-2</v>
      </c>
      <c r="T122" s="1535">
        <f t="shared" si="83"/>
        <v>6.3888888888888884E-2</v>
      </c>
      <c r="U122" s="1160">
        <v>71</v>
      </c>
      <c r="V122" s="111">
        <v>87.3</v>
      </c>
      <c r="W122" s="175">
        <f t="shared" si="53"/>
        <v>85.7</v>
      </c>
      <c r="X122" s="964">
        <f t="shared" si="87"/>
        <v>-14.700000000000003</v>
      </c>
      <c r="Y122" s="1536">
        <f t="shared" si="78"/>
        <v>1.8398244103810939</v>
      </c>
      <c r="Z122" s="111">
        <f t="shared" si="55"/>
        <v>-16.539824410381097</v>
      </c>
      <c r="AA122" s="1536">
        <f t="shared" si="56"/>
        <v>0</v>
      </c>
      <c r="AB122" s="111">
        <f t="shared" si="57"/>
        <v>-17.555718623481653</v>
      </c>
      <c r="AC122" s="111">
        <f t="shared" si="66"/>
        <v>-14.700000000000003</v>
      </c>
      <c r="AD122" s="111">
        <f t="shared" si="67"/>
        <v>-16.539824410381097</v>
      </c>
      <c r="AE122" s="111">
        <f t="shared" si="68"/>
        <v>613.46009778535915</v>
      </c>
      <c r="AF122" s="29">
        <f t="shared" si="58"/>
        <v>-0.10625690385620369</v>
      </c>
      <c r="AG122" s="587">
        <f t="shared" si="84"/>
        <v>6.4601755896189026</v>
      </c>
      <c r="AH122" s="964">
        <f t="shared" si="69"/>
        <v>0</v>
      </c>
      <c r="AI122" s="964">
        <v>0</v>
      </c>
      <c r="AJ122" s="964">
        <f t="shared" si="70"/>
        <v>0</v>
      </c>
      <c r="AK122" s="964">
        <f t="shared" si="71"/>
        <v>-14.700000000000003</v>
      </c>
      <c r="AL122" s="964">
        <f t="shared" si="79"/>
        <v>2.1023406716956088</v>
      </c>
      <c r="AM122" s="961">
        <f t="shared" si="61"/>
        <v>5.7134274875180573E-3</v>
      </c>
      <c r="AN122" s="964">
        <f t="shared" si="72"/>
        <v>-16.80234067169561</v>
      </c>
      <c r="AO122" s="965"/>
      <c r="AP122" s="1544">
        <v>206</v>
      </c>
      <c r="AQ122" s="175"/>
      <c r="AR122" s="175"/>
      <c r="AS122" s="175">
        <v>145.4</v>
      </c>
      <c r="AT122" s="175">
        <v>178</v>
      </c>
      <c r="AU122" s="111"/>
      <c r="AV122" s="111">
        <v>14</v>
      </c>
      <c r="AW122" s="175">
        <f t="shared" si="88"/>
        <v>142.85714285714272</v>
      </c>
      <c r="AX122" s="385"/>
      <c r="AY122" s="385"/>
      <c r="AZ122" s="385"/>
      <c r="BA122" s="385"/>
      <c r="BB122" s="305"/>
      <c r="BC122" s="385"/>
      <c r="BD122" s="385"/>
    </row>
    <row r="123" spans="1:56" s="87" customFormat="1">
      <c r="A123" s="79">
        <v>1812</v>
      </c>
      <c r="B123" s="1540">
        <f t="shared" ref="B123:B130" si="89">B122+(B$131-B$121)/10</f>
        <v>369.68402335211425</v>
      </c>
      <c r="C123" s="1162">
        <v>26.4</v>
      </c>
      <c r="D123" s="959">
        <v>22.2</v>
      </c>
      <c r="E123" s="959">
        <v>1.7</v>
      </c>
      <c r="F123" s="111">
        <f t="shared" si="45"/>
        <v>2.4999999999999991</v>
      </c>
      <c r="G123" s="1540">
        <f t="shared" si="63"/>
        <v>24.7</v>
      </c>
      <c r="H123" s="1162">
        <f t="shared" si="46"/>
        <v>670.11462550607291</v>
      </c>
      <c r="I123" s="29">
        <f t="shared" si="47"/>
        <v>1.0704706477732795</v>
      </c>
      <c r="J123" s="959">
        <v>626</v>
      </c>
      <c r="K123" s="959">
        <v>583.4</v>
      </c>
      <c r="L123" s="959">
        <f t="shared" si="64"/>
        <v>42.600000000000023</v>
      </c>
      <c r="M123" s="29">
        <f t="shared" si="48"/>
        <v>1.8126686120482043</v>
      </c>
      <c r="N123" s="29">
        <v>1.8799000000000001</v>
      </c>
      <c r="O123" s="111">
        <v>381.70731707317071</v>
      </c>
      <c r="P123" s="29">
        <f t="shared" si="73"/>
        <v>0.56961496219382468</v>
      </c>
      <c r="Q123" s="1558">
        <f t="shared" si="80"/>
        <v>3.6859365636657267E-2</v>
      </c>
      <c r="R123" s="961">
        <f t="shared" si="81"/>
        <v>3.805279396640384E-2</v>
      </c>
      <c r="S123" s="961">
        <f t="shared" si="82"/>
        <v>2.8830200043070187E-2</v>
      </c>
      <c r="T123" s="1535">
        <f t="shared" si="83"/>
        <v>6.4709265175718844E-2</v>
      </c>
      <c r="U123" s="1160">
        <v>70.3</v>
      </c>
      <c r="V123" s="111">
        <v>94.8</v>
      </c>
      <c r="W123" s="175">
        <f t="shared" si="53"/>
        <v>93.1</v>
      </c>
      <c r="X123" s="964">
        <f t="shared" si="87"/>
        <v>-22.799999999999997</v>
      </c>
      <c r="Y123" s="1536">
        <f t="shared" si="78"/>
        <v>1.8484201167605714</v>
      </c>
      <c r="Z123" s="111">
        <f t="shared" si="55"/>
        <v>-24.648420116760569</v>
      </c>
      <c r="AA123" s="1536">
        <f t="shared" si="56"/>
        <v>0</v>
      </c>
      <c r="AB123" s="111">
        <f t="shared" si="57"/>
        <v>-28.153378036437289</v>
      </c>
      <c r="AC123" s="111">
        <f t="shared" si="66"/>
        <v>-22.799999999999997</v>
      </c>
      <c r="AD123" s="111">
        <f t="shared" si="67"/>
        <v>-24.648420116760569</v>
      </c>
      <c r="AE123" s="111">
        <f t="shared" si="68"/>
        <v>629.99992219574028</v>
      </c>
      <c r="AF123" s="29">
        <f t="shared" si="58"/>
        <v>-0.10851078428164702</v>
      </c>
      <c r="AG123" s="587">
        <f t="shared" si="84"/>
        <v>5.1579883239430302E-2</v>
      </c>
      <c r="AH123" s="964">
        <f t="shared" si="69"/>
        <v>0</v>
      </c>
      <c r="AI123" s="964">
        <v>0</v>
      </c>
      <c r="AJ123" s="964">
        <f t="shared" si="70"/>
        <v>0</v>
      </c>
      <c r="AK123" s="964">
        <f t="shared" si="71"/>
        <v>-22.799999999999997</v>
      </c>
      <c r="AL123" s="964">
        <f t="shared" si="79"/>
        <v>2.112162860716237</v>
      </c>
      <c r="AM123" s="961">
        <f t="shared" si="61"/>
        <v>5.7134274875180573E-3</v>
      </c>
      <c r="AN123" s="964">
        <f t="shared" si="72"/>
        <v>-24.912162860716233</v>
      </c>
      <c r="AO123" s="965"/>
      <c r="AP123" s="1544">
        <v>237</v>
      </c>
      <c r="AQ123" s="175"/>
      <c r="AR123" s="175"/>
      <c r="AS123" s="175">
        <v>163.69999999999999</v>
      </c>
      <c r="AT123" s="175">
        <v>196</v>
      </c>
      <c r="AU123" s="111"/>
      <c r="AV123" s="111">
        <v>15.9</v>
      </c>
      <c r="AW123" s="175">
        <f t="shared" si="88"/>
        <v>162.24489795918353</v>
      </c>
      <c r="AX123" s="385"/>
      <c r="AY123" s="385"/>
      <c r="AZ123" s="385"/>
      <c r="BA123" s="385"/>
      <c r="BB123" s="305"/>
      <c r="BC123" s="385"/>
      <c r="BD123" s="385"/>
    </row>
    <row r="124" spans="1:56" s="87" customFormat="1">
      <c r="A124" s="79">
        <v>1813</v>
      </c>
      <c r="B124" s="1540">
        <f t="shared" si="89"/>
        <v>371.40316462800973</v>
      </c>
      <c r="C124" s="1162">
        <v>27.3</v>
      </c>
      <c r="D124" s="959">
        <v>23.5</v>
      </c>
      <c r="E124" s="959">
        <v>1.8</v>
      </c>
      <c r="F124" s="111">
        <f t="shared" si="45"/>
        <v>2.0000000000000009</v>
      </c>
      <c r="G124" s="1540">
        <f t="shared" si="63"/>
        <v>25.5</v>
      </c>
      <c r="H124" s="1162">
        <f t="shared" si="46"/>
        <v>698.2680035425102</v>
      </c>
      <c r="I124" s="29">
        <f t="shared" si="47"/>
        <v>1.0704706477732795</v>
      </c>
      <c r="J124" s="959">
        <v>652.29999999999995</v>
      </c>
      <c r="K124" s="959">
        <v>607.5</v>
      </c>
      <c r="L124" s="959">
        <f t="shared" si="64"/>
        <v>44.799999999999955</v>
      </c>
      <c r="M124" s="29">
        <f t="shared" si="48"/>
        <v>1.8800809202632456</v>
      </c>
      <c r="N124" s="29">
        <v>1.9647999999999999</v>
      </c>
      <c r="O124" s="111">
        <v>397.74390243902434</v>
      </c>
      <c r="P124" s="29">
        <f t="shared" si="73"/>
        <v>0.56961496219382457</v>
      </c>
      <c r="Q124" s="1558">
        <f t="shared" si="80"/>
        <v>3.6518929509345009E-2</v>
      </c>
      <c r="R124" s="961">
        <f t="shared" si="81"/>
        <v>3.868312757201646E-2</v>
      </c>
      <c r="S124" s="961">
        <f t="shared" si="82"/>
        <v>2.2034196213903977E-2</v>
      </c>
      <c r="T124" s="1535">
        <f t="shared" si="83"/>
        <v>6.4111605089682666E-2</v>
      </c>
      <c r="U124" s="1563">
        <v>74.7</v>
      </c>
      <c r="V124" s="111">
        <v>111.1</v>
      </c>
      <c r="W124" s="175">
        <f t="shared" si="53"/>
        <v>109.3</v>
      </c>
      <c r="X124" s="964">
        <f t="shared" si="87"/>
        <v>-34.599999999999994</v>
      </c>
      <c r="Y124" s="1536">
        <f t="shared" ref="Y124:Y155" si="90">0.002*B124</f>
        <v>0.74280632925601953</v>
      </c>
      <c r="Z124" s="111">
        <f t="shared" si="55"/>
        <v>-35.342806329256014</v>
      </c>
      <c r="AA124" s="1536">
        <f t="shared" si="56"/>
        <v>43.015645087748048</v>
      </c>
      <c r="AB124" s="111">
        <f t="shared" si="57"/>
        <v>-78.358451417004062</v>
      </c>
      <c r="AC124" s="111">
        <f t="shared" si="66"/>
        <v>-77.615645087748049</v>
      </c>
      <c r="AD124" s="111">
        <f t="shared" si="67"/>
        <v>-78.358451417004062</v>
      </c>
      <c r="AE124" s="111">
        <f t="shared" si="68"/>
        <v>654.64834231250086</v>
      </c>
      <c r="AF124" s="29">
        <f t="shared" si="58"/>
        <v>-0.11744558308677298</v>
      </c>
      <c r="AG124" s="587">
        <f t="shared" si="84"/>
        <v>-52.858451417004062</v>
      </c>
      <c r="AH124" s="964">
        <f t="shared" si="69"/>
        <v>0</v>
      </c>
      <c r="AI124" s="964">
        <v>0</v>
      </c>
      <c r="AJ124" s="964">
        <f t="shared" si="70"/>
        <v>0</v>
      </c>
      <c r="AK124" s="964">
        <f t="shared" si="71"/>
        <v>-77.615645087748049</v>
      </c>
      <c r="AL124" s="964">
        <f t="shared" si="79"/>
        <v>2.1219850497368649</v>
      </c>
      <c r="AM124" s="961">
        <f t="shared" si="61"/>
        <v>5.7134274875180573E-3</v>
      </c>
      <c r="AN124" s="964">
        <f t="shared" si="72"/>
        <v>-79.737630137484913</v>
      </c>
      <c r="AO124" s="965"/>
      <c r="AP124" s="1544">
        <v>243.00000000000003</v>
      </c>
      <c r="AQ124" s="175"/>
      <c r="AR124" s="175"/>
      <c r="AS124" s="175">
        <v>168.9</v>
      </c>
      <c r="AT124" s="175">
        <v>203</v>
      </c>
      <c r="AU124" s="111"/>
      <c r="AV124" s="111">
        <v>16.3</v>
      </c>
      <c r="AW124" s="175">
        <f t="shared" si="88"/>
        <v>166.32653061224477</v>
      </c>
      <c r="AX124" s="385"/>
      <c r="AY124" s="385"/>
      <c r="AZ124" s="385"/>
      <c r="BA124" s="385"/>
      <c r="BB124" s="305"/>
      <c r="BC124" s="385"/>
      <c r="BD124" s="385"/>
    </row>
    <row r="125" spans="1:56" s="87" customFormat="1">
      <c r="A125" s="79">
        <v>1814</v>
      </c>
      <c r="B125" s="1540">
        <f t="shared" si="89"/>
        <v>373.12230590390521</v>
      </c>
      <c r="C125" s="1162">
        <v>30</v>
      </c>
      <c r="D125" s="959">
        <v>25.6</v>
      </c>
      <c r="E125" s="959">
        <v>1.9</v>
      </c>
      <c r="F125" s="111">
        <f t="shared" si="45"/>
        <v>2.4999999999999987</v>
      </c>
      <c r="G125" s="1540">
        <f t="shared" si="63"/>
        <v>28.1</v>
      </c>
      <c r="H125" s="1162">
        <f t="shared" si="46"/>
        <v>776.62645495951426</v>
      </c>
      <c r="I125" s="29">
        <f t="shared" si="47"/>
        <v>1.0704706477732795</v>
      </c>
      <c r="J125" s="959">
        <v>725.5</v>
      </c>
      <c r="K125" s="959">
        <v>677.5</v>
      </c>
      <c r="L125" s="959">
        <f t="shared" si="64"/>
        <v>48</v>
      </c>
      <c r="M125" s="29">
        <f t="shared" si="48"/>
        <v>2.0814259632055565</v>
      </c>
      <c r="N125" s="29">
        <v>2.1985000000000001</v>
      </c>
      <c r="O125" s="111">
        <v>485.82589285714272</v>
      </c>
      <c r="P125" s="29">
        <f t="shared" si="73"/>
        <v>0.62555928883786083</v>
      </c>
      <c r="Q125" s="1558">
        <f t="shared" si="80"/>
        <v>3.6182130830792858E-2</v>
      </c>
      <c r="R125" s="961">
        <f t="shared" si="81"/>
        <v>3.7785977859778601E-2</v>
      </c>
      <c r="S125" s="961">
        <f t="shared" si="82"/>
        <v>2.5220310773961013E-2</v>
      </c>
      <c r="T125" s="1535">
        <f t="shared" si="83"/>
        <v>5.7839650815529539E-2</v>
      </c>
      <c r="U125" s="1563">
        <v>77.900000000000006</v>
      </c>
      <c r="V125" s="111">
        <v>112.9</v>
      </c>
      <c r="W125" s="175">
        <f t="shared" si="53"/>
        <v>111</v>
      </c>
      <c r="X125" s="964">
        <f t="shared" si="87"/>
        <v>-33.099999999999994</v>
      </c>
      <c r="Y125" s="1536">
        <f t="shared" si="90"/>
        <v>0.74624461180781043</v>
      </c>
      <c r="Z125" s="111">
        <f t="shared" si="55"/>
        <v>-33.846244611807805</v>
      </c>
      <c r="AA125" s="1536">
        <f t="shared" si="56"/>
        <v>0</v>
      </c>
      <c r="AB125" s="111">
        <f t="shared" si="57"/>
        <v>-20.767130566801598</v>
      </c>
      <c r="AC125" s="111">
        <f t="shared" si="66"/>
        <v>-33.099999999999994</v>
      </c>
      <c r="AD125" s="111">
        <f t="shared" si="67"/>
        <v>-33.846244611807805</v>
      </c>
      <c r="AE125" s="111">
        <f t="shared" si="68"/>
        <v>733.00679372950492</v>
      </c>
      <c r="AF125" s="29">
        <f t="shared" si="58"/>
        <v>-0.11690445877884141</v>
      </c>
      <c r="AG125" s="587">
        <f t="shared" si="84"/>
        <v>-5.7462446118078034</v>
      </c>
      <c r="AH125" s="964">
        <f t="shared" si="69"/>
        <v>0</v>
      </c>
      <c r="AI125" s="964">
        <v>0</v>
      </c>
      <c r="AJ125" s="964">
        <f t="shared" si="70"/>
        <v>0</v>
      </c>
      <c r="AK125" s="964">
        <f t="shared" si="71"/>
        <v>-33.099999999999994</v>
      </c>
      <c r="AL125" s="964">
        <f t="shared" si="79"/>
        <v>2.1318072387574931</v>
      </c>
      <c r="AM125" s="961">
        <f t="shared" si="61"/>
        <v>5.7134274875180573E-3</v>
      </c>
      <c r="AN125" s="964">
        <f t="shared" si="72"/>
        <v>-35.23180723875749</v>
      </c>
      <c r="AO125" s="965"/>
      <c r="AP125" s="1544">
        <v>209</v>
      </c>
      <c r="AQ125" s="175"/>
      <c r="AR125" s="175"/>
      <c r="AS125" s="175">
        <v>153.69999999999999</v>
      </c>
      <c r="AT125" s="175">
        <v>202</v>
      </c>
      <c r="AU125" s="111"/>
      <c r="AV125" s="111">
        <v>14.2</v>
      </c>
      <c r="AW125" s="175">
        <f t="shared" si="88"/>
        <v>144.89795918367335</v>
      </c>
      <c r="AX125" s="385"/>
      <c r="AY125" s="385"/>
      <c r="AZ125" s="385"/>
      <c r="BA125" s="385"/>
      <c r="BB125" s="305"/>
      <c r="BC125" s="385"/>
      <c r="BD125" s="385"/>
    </row>
    <row r="126" spans="1:56" s="87" customFormat="1">
      <c r="A126" s="79">
        <v>1815</v>
      </c>
      <c r="B126" s="1540">
        <f t="shared" si="89"/>
        <v>374.8414471798007</v>
      </c>
      <c r="C126" s="1162">
        <v>32.200000000000003</v>
      </c>
      <c r="D126" s="959">
        <v>26.3</v>
      </c>
      <c r="E126" s="959">
        <v>1.9</v>
      </c>
      <c r="F126" s="111">
        <f t="shared" si="45"/>
        <v>4.0000000000000018</v>
      </c>
      <c r="G126" s="1540">
        <f t="shared" si="63"/>
        <v>30.300000000000004</v>
      </c>
      <c r="H126" s="1162">
        <f t="shared" si="46"/>
        <v>797.39358552631586</v>
      </c>
      <c r="I126" s="29">
        <f t="shared" si="47"/>
        <v>1.0704706477732795</v>
      </c>
      <c r="J126" s="959">
        <v>744.9</v>
      </c>
      <c r="K126" s="959">
        <v>684.6</v>
      </c>
      <c r="L126" s="959">
        <f t="shared" si="64"/>
        <v>60.299999999999955</v>
      </c>
      <c r="M126" s="29">
        <f t="shared" si="48"/>
        <v>2.1272823257024429</v>
      </c>
      <c r="N126" s="29">
        <v>2.2641</v>
      </c>
      <c r="O126" s="111">
        <v>445.15936254980079</v>
      </c>
      <c r="P126" s="29">
        <f t="shared" si="73"/>
        <v>0.55826805059633811</v>
      </c>
      <c r="Q126" s="1558">
        <f t="shared" si="80"/>
        <v>3.7998800780420915E-2</v>
      </c>
      <c r="R126" s="961">
        <f t="shared" si="81"/>
        <v>3.841659363131756E-2</v>
      </c>
      <c r="S126" s="961">
        <f t="shared" si="82"/>
        <v>3.5463009543807461E-2</v>
      </c>
      <c r="T126" s="1535">
        <f t="shared" si="83"/>
        <v>6.806551214928179E-2</v>
      </c>
      <c r="U126" s="1563">
        <v>79.099999999999994</v>
      </c>
      <c r="V126" s="111">
        <v>99.5</v>
      </c>
      <c r="W126" s="175">
        <f t="shared" si="53"/>
        <v>97.6</v>
      </c>
      <c r="X126" s="964">
        <f t="shared" si="87"/>
        <v>-18.5</v>
      </c>
      <c r="Y126" s="1536">
        <f t="shared" si="90"/>
        <v>0.74968289435960145</v>
      </c>
      <c r="Z126" s="111">
        <f t="shared" si="55"/>
        <v>-19.249682894359601</v>
      </c>
      <c r="AA126" s="1536">
        <f t="shared" si="56"/>
        <v>0</v>
      </c>
      <c r="AB126" s="111">
        <f t="shared" si="57"/>
        <v>-35.753719635627476</v>
      </c>
      <c r="AC126" s="111">
        <f t="shared" si="66"/>
        <v>-18.5</v>
      </c>
      <c r="AD126" s="111">
        <f t="shared" si="67"/>
        <v>-19.249682894359601</v>
      </c>
      <c r="AE126" s="111">
        <f t="shared" si="68"/>
        <v>766.85303834131275</v>
      </c>
      <c r="AF126" s="29">
        <f t="shared" si="58"/>
        <v>-8.1475907786562565E-2</v>
      </c>
      <c r="AG126" s="587">
        <f t="shared" si="84"/>
        <v>11.050317105640403</v>
      </c>
      <c r="AH126" s="964">
        <f t="shared" si="69"/>
        <v>0</v>
      </c>
      <c r="AI126" s="964">
        <v>0</v>
      </c>
      <c r="AJ126" s="964">
        <f t="shared" si="70"/>
        <v>0</v>
      </c>
      <c r="AK126" s="964">
        <f t="shared" si="71"/>
        <v>-18.5</v>
      </c>
      <c r="AL126" s="964">
        <f t="shared" si="79"/>
        <v>2.1416294277781214</v>
      </c>
      <c r="AM126" s="961">
        <f t="shared" si="61"/>
        <v>5.7134274875180573E-3</v>
      </c>
      <c r="AN126" s="964">
        <f t="shared" si="72"/>
        <v>-20.64162942777812</v>
      </c>
      <c r="AO126" s="965"/>
      <c r="AP126" s="1544">
        <v>191</v>
      </c>
      <c r="AQ126" s="175"/>
      <c r="AR126" s="175"/>
      <c r="AS126" s="175">
        <v>129.9</v>
      </c>
      <c r="AT126" s="175">
        <v>164</v>
      </c>
      <c r="AU126" s="175">
        <f>AU136*AVERAGE(AS122:AS131)/AVERAGE(AS132:AS141)</f>
        <v>154.62739995584764</v>
      </c>
      <c r="AV126" s="111">
        <v>12.7</v>
      </c>
      <c r="AW126" s="175">
        <f t="shared" si="88"/>
        <v>129.59183673469377</v>
      </c>
      <c r="AX126" s="385"/>
      <c r="AY126" s="385"/>
      <c r="AZ126" s="385"/>
      <c r="BA126" s="385"/>
      <c r="BB126" s="305"/>
      <c r="BC126" s="385"/>
      <c r="BD126" s="385"/>
    </row>
    <row r="127" spans="1:56" s="87" customFormat="1">
      <c r="A127" s="79">
        <v>1816</v>
      </c>
      <c r="B127" s="1540">
        <f t="shared" si="89"/>
        <v>376.56058845569618</v>
      </c>
      <c r="C127" s="1162">
        <v>32.9</v>
      </c>
      <c r="D127" s="959">
        <v>28.5</v>
      </c>
      <c r="E127" s="959">
        <v>1.9</v>
      </c>
      <c r="F127" s="111">
        <f t="shared" si="45"/>
        <v>2.4999999999999987</v>
      </c>
      <c r="G127" s="1540">
        <f t="shared" si="63"/>
        <v>31</v>
      </c>
      <c r="H127" s="1162">
        <f t="shared" si="46"/>
        <v>833.14730516194334</v>
      </c>
      <c r="I127" s="29">
        <f t="shared" si="47"/>
        <v>1.0704706477732795</v>
      </c>
      <c r="J127" s="959">
        <v>778.3</v>
      </c>
      <c r="K127" s="959">
        <v>733.6</v>
      </c>
      <c r="L127" s="959">
        <f t="shared" si="64"/>
        <v>44.699999999999932</v>
      </c>
      <c r="M127" s="29">
        <f t="shared" si="48"/>
        <v>2.2125185978138187</v>
      </c>
      <c r="N127" s="29">
        <v>2.3729</v>
      </c>
      <c r="O127" s="111">
        <v>598.31707317073187</v>
      </c>
      <c r="P127" s="29">
        <f t="shared" si="73"/>
        <v>0.71814080110891521</v>
      </c>
      <c r="Q127" s="1558">
        <f t="shared" si="80"/>
        <v>3.720830615178472E-2</v>
      </c>
      <c r="R127" s="961">
        <f t="shared" si="81"/>
        <v>3.8849509269356597E-2</v>
      </c>
      <c r="S127" s="961">
        <f t="shared" si="82"/>
        <v>2.5113688370900698E-2</v>
      </c>
      <c r="T127" s="1535">
        <f t="shared" si="83"/>
        <v>5.1811992988463562E-2</v>
      </c>
      <c r="U127" s="1563">
        <v>69.2</v>
      </c>
      <c r="V127" s="111">
        <v>71.3</v>
      </c>
      <c r="W127" s="175">
        <f t="shared" si="53"/>
        <v>69.399999999999991</v>
      </c>
      <c r="X127" s="964">
        <f t="shared" si="87"/>
        <v>-0.19999999999998863</v>
      </c>
      <c r="Y127" s="1536">
        <f t="shared" si="90"/>
        <v>0.75312117691139235</v>
      </c>
      <c r="Z127" s="111">
        <f t="shared" si="55"/>
        <v>-0.95312117691138099</v>
      </c>
      <c r="AA127" s="1536">
        <f t="shared" si="56"/>
        <v>0</v>
      </c>
      <c r="AB127" s="111">
        <f t="shared" si="57"/>
        <v>13.059741902833935</v>
      </c>
      <c r="AC127" s="111">
        <f t="shared" si="66"/>
        <v>-0.19999999999998863</v>
      </c>
      <c r="AD127" s="111">
        <f t="shared" si="67"/>
        <v>-0.95312117691138099</v>
      </c>
      <c r="AE127" s="111">
        <f t="shared" si="68"/>
        <v>786.10272123567233</v>
      </c>
      <c r="AF127" s="29">
        <f t="shared" si="58"/>
        <v>-0.12493230935081243</v>
      </c>
      <c r="AG127" s="587">
        <f t="shared" si="84"/>
        <v>30.046878823088619</v>
      </c>
      <c r="AH127" s="964">
        <f t="shared" si="69"/>
        <v>0</v>
      </c>
      <c r="AI127" s="964">
        <v>0</v>
      </c>
      <c r="AJ127" s="964">
        <f t="shared" si="70"/>
        <v>0</v>
      </c>
      <c r="AK127" s="964">
        <f t="shared" si="71"/>
        <v>-0.19999999999998863</v>
      </c>
      <c r="AL127" s="964">
        <f t="shared" si="79"/>
        <v>2.1514516167987492</v>
      </c>
      <c r="AM127" s="961">
        <f t="shared" si="61"/>
        <v>5.7134274875180573E-3</v>
      </c>
      <c r="AN127" s="964">
        <f t="shared" si="72"/>
        <v>-2.3514516167987378</v>
      </c>
      <c r="AO127" s="965"/>
      <c r="AP127" s="1544">
        <v>172</v>
      </c>
      <c r="AQ127" s="175"/>
      <c r="AR127" s="175"/>
      <c r="AS127" s="175">
        <v>118.6</v>
      </c>
      <c r="AT127" s="175">
        <v>144</v>
      </c>
      <c r="AU127" s="111"/>
      <c r="AV127" s="111">
        <v>11.6</v>
      </c>
      <c r="AW127" s="175">
        <f t="shared" si="88"/>
        <v>118.36734693877541</v>
      </c>
      <c r="AX127" s="385"/>
      <c r="AY127" s="111">
        <v>19.600000000000001</v>
      </c>
      <c r="AZ127" s="385"/>
      <c r="BA127" s="111">
        <f>AY127-BB127</f>
        <v>19</v>
      </c>
      <c r="BB127" s="111">
        <v>0.6</v>
      </c>
      <c r="BC127" s="385"/>
      <c r="BD127" s="385"/>
    </row>
    <row r="128" spans="1:56" s="87" customFormat="1">
      <c r="A128" s="79">
        <v>1817</v>
      </c>
      <c r="B128" s="1540">
        <f t="shared" si="89"/>
        <v>378.27972973159166</v>
      </c>
      <c r="C128" s="1162">
        <v>31.5</v>
      </c>
      <c r="D128" s="959">
        <v>27.8</v>
      </c>
      <c r="E128" s="959">
        <v>1.9</v>
      </c>
      <c r="F128" s="111">
        <f t="shared" si="45"/>
        <v>1.7999999999999994</v>
      </c>
      <c r="G128" s="1540">
        <f t="shared" si="63"/>
        <v>29.6</v>
      </c>
      <c r="H128" s="1162">
        <f t="shared" si="46"/>
        <v>820.0875632591094</v>
      </c>
      <c r="I128" s="29">
        <f t="shared" si="47"/>
        <v>1.0704706477732795</v>
      </c>
      <c r="J128" s="959">
        <v>766.1</v>
      </c>
      <c r="K128" s="959">
        <v>716.3</v>
      </c>
      <c r="L128" s="959">
        <f t="shared" si="64"/>
        <v>49.800000000000068</v>
      </c>
      <c r="M128" s="29">
        <f t="shared" si="48"/>
        <v>2.1679394871118323</v>
      </c>
      <c r="N128" s="29">
        <v>2.3091999999999997</v>
      </c>
      <c r="O128" s="111">
        <v>624.7286821705427</v>
      </c>
      <c r="P128" s="29">
        <f t="shared" si="73"/>
        <v>0.76178289997205773</v>
      </c>
      <c r="Q128" s="1558">
        <f t="shared" si="80"/>
        <v>3.6093706728543305E-2</v>
      </c>
      <c r="R128" s="961">
        <f t="shared" si="81"/>
        <v>3.8810554237051521E-2</v>
      </c>
      <c r="S128" s="961">
        <f t="shared" si="82"/>
        <v>1.7343118418786205E-2</v>
      </c>
      <c r="T128" s="1535">
        <f t="shared" si="83"/>
        <v>4.7380568308723163E-2</v>
      </c>
      <c r="U128" s="1563">
        <v>57.6</v>
      </c>
      <c r="V128" s="111">
        <v>58.7</v>
      </c>
      <c r="W128" s="175">
        <f t="shared" si="53"/>
        <v>56.800000000000004</v>
      </c>
      <c r="X128" s="964">
        <f t="shared" si="87"/>
        <v>0.79999999999999716</v>
      </c>
      <c r="Y128" s="1536">
        <f t="shared" si="90"/>
        <v>0.75655945946318337</v>
      </c>
      <c r="Z128" s="111">
        <f t="shared" si="55"/>
        <v>4.3440540536813788E-2</v>
      </c>
      <c r="AA128" s="1536">
        <f t="shared" si="56"/>
        <v>82.683774548633977</v>
      </c>
      <c r="AB128" s="111">
        <f t="shared" si="57"/>
        <v>-82.64033400809717</v>
      </c>
      <c r="AC128" s="111">
        <f t="shared" si="66"/>
        <v>-81.88377454863398</v>
      </c>
      <c r="AD128" s="111">
        <f t="shared" si="67"/>
        <v>-82.64033400809717</v>
      </c>
      <c r="AE128" s="111">
        <f t="shared" si="68"/>
        <v>787.05584241258373</v>
      </c>
      <c r="AF128" s="29">
        <f t="shared" si="58"/>
        <v>-8.732088518188201E-2</v>
      </c>
      <c r="AG128" s="587">
        <f t="shared" si="84"/>
        <v>-53.040334008097169</v>
      </c>
      <c r="AH128" s="964">
        <f t="shared" si="69"/>
        <v>0</v>
      </c>
      <c r="AI128" s="964">
        <v>0</v>
      </c>
      <c r="AJ128" s="964">
        <f t="shared" si="70"/>
        <v>0</v>
      </c>
      <c r="AK128" s="964">
        <f t="shared" si="71"/>
        <v>-81.88377454863398</v>
      </c>
      <c r="AL128" s="964">
        <f t="shared" si="79"/>
        <v>2.1612738058193774</v>
      </c>
      <c r="AM128" s="961">
        <f t="shared" si="61"/>
        <v>5.7134274875180573E-3</v>
      </c>
      <c r="AN128" s="964">
        <f t="shared" si="72"/>
        <v>-84.045048354453357</v>
      </c>
      <c r="AO128" s="965"/>
      <c r="AP128" s="1544">
        <v>189</v>
      </c>
      <c r="AQ128" s="175"/>
      <c r="AR128" s="175"/>
      <c r="AS128" s="175">
        <v>131.9</v>
      </c>
      <c r="AT128" s="175">
        <v>161</v>
      </c>
      <c r="AU128" s="111"/>
      <c r="AV128" s="111">
        <v>13.2</v>
      </c>
      <c r="AW128" s="175">
        <f t="shared" si="88"/>
        <v>134.69387755102028</v>
      </c>
      <c r="AX128" s="385"/>
      <c r="AY128" s="111">
        <v>9.1999999999999993</v>
      </c>
      <c r="AZ128" s="385"/>
      <c r="BA128" s="111">
        <f t="shared" ref="BA128:BA191" si="91">AY128-BB128</f>
        <v>7.6999999999999993</v>
      </c>
      <c r="BB128" s="111">
        <v>1.5</v>
      </c>
      <c r="BC128" s="385"/>
      <c r="BD128" s="385"/>
    </row>
    <row r="129" spans="1:59" s="87" customFormat="1">
      <c r="A129" s="79">
        <v>1818</v>
      </c>
      <c r="B129" s="1540">
        <f t="shared" si="89"/>
        <v>379.99887100748714</v>
      </c>
      <c r="C129" s="1162">
        <v>31.3</v>
      </c>
      <c r="D129" s="959">
        <v>27.1</v>
      </c>
      <c r="E129" s="959">
        <v>2</v>
      </c>
      <c r="F129" s="111">
        <f t="shared" si="45"/>
        <v>2.1999999999999993</v>
      </c>
      <c r="G129" s="1540">
        <f t="shared" si="63"/>
        <v>29.3</v>
      </c>
      <c r="H129" s="1162">
        <f t="shared" si="46"/>
        <v>902.72789726720657</v>
      </c>
      <c r="I129" s="29">
        <f t="shared" si="47"/>
        <v>1.0704706477732795</v>
      </c>
      <c r="J129" s="959">
        <v>843.3</v>
      </c>
      <c r="K129" s="959">
        <v>780.6</v>
      </c>
      <c r="L129" s="959">
        <f t="shared" si="64"/>
        <v>62.699999999999932</v>
      </c>
      <c r="M129" s="29">
        <f t="shared" si="48"/>
        <v>2.375606787656535</v>
      </c>
      <c r="N129" s="29">
        <v>2.5868000000000002</v>
      </c>
      <c r="O129" s="111">
        <v>635.61151079136687</v>
      </c>
      <c r="P129" s="29">
        <f t="shared" si="73"/>
        <v>0.70410088434790719</v>
      </c>
      <c r="Q129" s="1558">
        <f t="shared" si="80"/>
        <v>3.2457177947750104E-2</v>
      </c>
      <c r="R129" s="961">
        <f t="shared" si="81"/>
        <v>3.471688444786062E-2</v>
      </c>
      <c r="S129" s="961">
        <f t="shared" si="82"/>
        <v>1.8013902222410057E-2</v>
      </c>
      <c r="T129" s="1535">
        <f t="shared" si="83"/>
        <v>4.6097340124504817E-2</v>
      </c>
      <c r="U129" s="1563">
        <v>59.5</v>
      </c>
      <c r="V129" s="111">
        <v>57.6</v>
      </c>
      <c r="W129" s="175">
        <f t="shared" si="53"/>
        <v>55.6</v>
      </c>
      <c r="X129" s="964">
        <f t="shared" si="87"/>
        <v>3.8999999999999986</v>
      </c>
      <c r="Y129" s="1536">
        <f t="shared" si="90"/>
        <v>0.75999774201497428</v>
      </c>
      <c r="Z129" s="111">
        <f t="shared" si="55"/>
        <v>3.1400022579850244</v>
      </c>
      <c r="AA129" s="1536">
        <f t="shared" si="56"/>
        <v>0</v>
      </c>
      <c r="AB129" s="111">
        <f t="shared" si="57"/>
        <v>-1.0704706477732771</v>
      </c>
      <c r="AC129" s="111">
        <f t="shared" si="66"/>
        <v>3.8999999999999986</v>
      </c>
      <c r="AD129" s="111">
        <f t="shared" si="67"/>
        <v>3.1400022579850244</v>
      </c>
      <c r="AE129" s="111">
        <f t="shared" si="68"/>
        <v>869.6961764206809</v>
      </c>
      <c r="AF129" s="29">
        <f t="shared" si="58"/>
        <v>-8.6925839434598862E-2</v>
      </c>
      <c r="AG129" s="587">
        <f t="shared" si="84"/>
        <v>32.440002257985029</v>
      </c>
      <c r="AH129" s="964">
        <f t="shared" si="69"/>
        <v>0</v>
      </c>
      <c r="AI129" s="964">
        <v>0</v>
      </c>
      <c r="AJ129" s="964">
        <f t="shared" si="70"/>
        <v>0</v>
      </c>
      <c r="AK129" s="964">
        <f t="shared" si="71"/>
        <v>3.8999999999999986</v>
      </c>
      <c r="AL129" s="964">
        <f t="shared" si="79"/>
        <v>2.1710959948400057</v>
      </c>
      <c r="AM129" s="961">
        <f t="shared" si="61"/>
        <v>5.7134274875180573E-3</v>
      </c>
      <c r="AN129" s="964">
        <f t="shared" si="72"/>
        <v>1.7289040051599929</v>
      </c>
      <c r="AO129" s="965"/>
      <c r="AP129" s="1544">
        <v>194</v>
      </c>
      <c r="AQ129" s="175"/>
      <c r="AR129" s="175"/>
      <c r="AS129" s="175">
        <v>138.69999999999999</v>
      </c>
      <c r="AT129" s="175">
        <v>160</v>
      </c>
      <c r="AU129" s="111"/>
      <c r="AV129" s="111">
        <v>13.2</v>
      </c>
      <c r="AW129" s="175">
        <f t="shared" si="88"/>
        <v>134.69387755102028</v>
      </c>
      <c r="AX129" s="385"/>
      <c r="AY129" s="111">
        <v>0.8</v>
      </c>
      <c r="AZ129" s="385"/>
      <c r="BA129" s="111">
        <f t="shared" si="91"/>
        <v>-1.0999999999999999</v>
      </c>
      <c r="BB129" s="111">
        <v>1.9</v>
      </c>
      <c r="BC129" s="385"/>
      <c r="BD129" s="385"/>
    </row>
    <row r="130" spans="1:59" s="87" customFormat="1">
      <c r="A130" s="79">
        <v>1819</v>
      </c>
      <c r="B130" s="1540">
        <f t="shared" si="89"/>
        <v>381.71801228338262</v>
      </c>
      <c r="C130" s="1162">
        <v>31.1</v>
      </c>
      <c r="D130" s="959">
        <v>28.2</v>
      </c>
      <c r="E130" s="959">
        <v>2</v>
      </c>
      <c r="F130" s="111">
        <f t="shared" si="45"/>
        <v>0.90000000000000213</v>
      </c>
      <c r="G130" s="1540">
        <f t="shared" si="63"/>
        <v>29.1</v>
      </c>
      <c r="H130" s="1162">
        <f t="shared" si="46"/>
        <v>903.79836791497985</v>
      </c>
      <c r="I130" s="29">
        <f t="shared" si="47"/>
        <v>1.0704706477732795</v>
      </c>
      <c r="J130" s="959">
        <v>844.3</v>
      </c>
      <c r="K130" s="959">
        <v>795.6</v>
      </c>
      <c r="L130" s="959">
        <f t="shared" si="64"/>
        <v>48.699999999999932</v>
      </c>
      <c r="M130" s="29">
        <f t="shared" si="48"/>
        <v>2.3677121299793717</v>
      </c>
      <c r="N130" s="29">
        <v>2.6058999999999997</v>
      </c>
      <c r="O130" s="111">
        <v>599.9321266968326</v>
      </c>
      <c r="P130" s="29">
        <f t="shared" si="73"/>
        <v>0.66378978762801677</v>
      </c>
      <c r="Q130" s="1558">
        <f t="shared" si="80"/>
        <v>3.2197446945088345E-2</v>
      </c>
      <c r="R130" s="961">
        <f t="shared" si="81"/>
        <v>3.5444947209653091E-2</v>
      </c>
      <c r="S130" s="961">
        <f t="shared" si="82"/>
        <v>8.3180552289587647E-3</v>
      </c>
      <c r="T130" s="1535">
        <f t="shared" si="83"/>
        <v>4.8505487046045931E-2</v>
      </c>
      <c r="U130" s="1563">
        <v>58.1</v>
      </c>
      <c r="V130" s="111">
        <v>57.5</v>
      </c>
      <c r="W130" s="175">
        <f t="shared" si="53"/>
        <v>55.5</v>
      </c>
      <c r="X130" s="964">
        <f t="shared" si="87"/>
        <v>2.6000000000000014</v>
      </c>
      <c r="Y130" s="1536">
        <f t="shared" si="90"/>
        <v>0.76343602456676529</v>
      </c>
      <c r="Z130" s="111">
        <f t="shared" si="55"/>
        <v>1.8365639754332361</v>
      </c>
      <c r="AA130" s="1536">
        <f t="shared" si="56"/>
        <v>0</v>
      </c>
      <c r="AB130" s="111">
        <f t="shared" si="57"/>
        <v>4.4959767206477181</v>
      </c>
      <c r="AC130" s="111">
        <f t="shared" si="66"/>
        <v>2.6000000000000014</v>
      </c>
      <c r="AD130" s="111">
        <f t="shared" si="67"/>
        <v>1.8365639754332361</v>
      </c>
      <c r="AE130" s="111">
        <f t="shared" si="68"/>
        <v>866.55617416269592</v>
      </c>
      <c r="AF130" s="29">
        <f t="shared" si="58"/>
        <v>-9.7564674848604704E-2</v>
      </c>
      <c r="AG130" s="587">
        <f t="shared" si="84"/>
        <v>30.936563975433238</v>
      </c>
      <c r="AH130" s="964">
        <f t="shared" si="69"/>
        <v>0</v>
      </c>
      <c r="AI130" s="964">
        <v>0</v>
      </c>
      <c r="AJ130" s="964">
        <f t="shared" si="70"/>
        <v>0</v>
      </c>
      <c r="AK130" s="964">
        <f t="shared" si="71"/>
        <v>2.6000000000000014</v>
      </c>
      <c r="AL130" s="964">
        <f t="shared" si="79"/>
        <v>2.1809181838606335</v>
      </c>
      <c r="AM130" s="961">
        <f t="shared" si="61"/>
        <v>5.7134274875180573E-3</v>
      </c>
      <c r="AN130" s="964">
        <f t="shared" si="72"/>
        <v>0.4190818161393679</v>
      </c>
      <c r="AO130" s="965"/>
      <c r="AP130" s="1544">
        <v>192</v>
      </c>
      <c r="AQ130" s="175"/>
      <c r="AR130" s="175"/>
      <c r="AS130" s="175">
        <v>128.1</v>
      </c>
      <c r="AT130" s="175">
        <v>147</v>
      </c>
      <c r="AU130" s="111"/>
      <c r="AV130" s="111">
        <v>12.9</v>
      </c>
      <c r="AW130" s="175">
        <f t="shared" si="88"/>
        <v>131.63265306122437</v>
      </c>
      <c r="AX130" s="385"/>
      <c r="AY130" s="111">
        <v>5.9</v>
      </c>
      <c r="AZ130" s="385"/>
      <c r="BA130" s="111">
        <f t="shared" si="91"/>
        <v>3.8000000000000003</v>
      </c>
      <c r="BB130" s="111">
        <v>2.1</v>
      </c>
      <c r="BC130" s="385"/>
      <c r="BD130" s="385"/>
    </row>
    <row r="131" spans="1:59" s="87" customFormat="1">
      <c r="A131" s="79">
        <v>1820</v>
      </c>
      <c r="B131" s="1540">
        <f>TableUK2!B22*1000</f>
        <v>383.43715355927833</v>
      </c>
      <c r="C131" s="1162">
        <v>32</v>
      </c>
      <c r="D131" s="959">
        <v>28</v>
      </c>
      <c r="E131" s="959">
        <v>1.8</v>
      </c>
      <c r="F131" s="111">
        <f t="shared" si="45"/>
        <v>2.2000000000000002</v>
      </c>
      <c r="G131" s="1540">
        <f t="shared" si="63"/>
        <v>30.2</v>
      </c>
      <c r="H131" s="1162">
        <f t="shared" si="46"/>
        <v>899.30239119433213</v>
      </c>
      <c r="I131" s="29">
        <f t="shared" si="47"/>
        <v>1.0704706477732795</v>
      </c>
      <c r="J131" s="959">
        <v>840.1</v>
      </c>
      <c r="K131" s="959">
        <v>798.5</v>
      </c>
      <c r="L131" s="959">
        <f t="shared" si="64"/>
        <v>41.600000000000023</v>
      </c>
      <c r="M131" s="29">
        <f t="shared" si="48"/>
        <v>2.3453710284632145</v>
      </c>
      <c r="N131" s="29">
        <v>2.6008999999999998</v>
      </c>
      <c r="O131" s="111">
        <v>649.45945945945948</v>
      </c>
      <c r="P131" s="29">
        <f t="shared" si="73"/>
        <v>0.72218139951450033</v>
      </c>
      <c r="Q131" s="1558">
        <f t="shared" si="80"/>
        <v>3.3581585344049217E-2</v>
      </c>
      <c r="R131" s="961">
        <f t="shared" si="81"/>
        <v>3.5065748278021287E-2</v>
      </c>
      <c r="S131" s="961">
        <f t="shared" si="82"/>
        <v>2.1824879091992221E-2</v>
      </c>
      <c r="T131" s="1535">
        <f t="shared" si="83"/>
        <v>4.6500208073241782E-2</v>
      </c>
      <c r="U131" s="1563">
        <v>59.9</v>
      </c>
      <c r="V131" s="111">
        <v>58.4</v>
      </c>
      <c r="W131" s="175">
        <f t="shared" si="53"/>
        <v>56.6</v>
      </c>
      <c r="X131" s="964">
        <f t="shared" si="87"/>
        <v>3.2999999999999972</v>
      </c>
      <c r="Y131" s="1536">
        <f t="shared" si="90"/>
        <v>0.76687430711855664</v>
      </c>
      <c r="Z131" s="111">
        <f t="shared" si="55"/>
        <v>2.5331256928814403</v>
      </c>
      <c r="AA131" s="1536">
        <f t="shared" si="56"/>
        <v>0</v>
      </c>
      <c r="AB131" s="111">
        <f t="shared" si="57"/>
        <v>1.9268471659919442</v>
      </c>
      <c r="AC131" s="111">
        <f t="shared" si="66"/>
        <v>3.2999999999999972</v>
      </c>
      <c r="AD131" s="111">
        <f t="shared" si="67"/>
        <v>2.5331256928814403</v>
      </c>
      <c r="AE131" s="111">
        <f t="shared" si="68"/>
        <v>864.71961018726267</v>
      </c>
      <c r="AF131" s="29">
        <f t="shared" si="58"/>
        <v>-9.0191523398431062E-2</v>
      </c>
      <c r="AG131" s="587">
        <f t="shared" si="84"/>
        <v>32.733125692881437</v>
      </c>
      <c r="AH131" s="964">
        <f t="shared" si="69"/>
        <v>0</v>
      </c>
      <c r="AI131" s="964">
        <v>0</v>
      </c>
      <c r="AJ131" s="964">
        <f t="shared" si="70"/>
        <v>0</v>
      </c>
      <c r="AK131" s="964">
        <f t="shared" si="71"/>
        <v>3.2999999999999972</v>
      </c>
      <c r="AL131" s="964">
        <f t="shared" si="79"/>
        <v>2.1907403728812631</v>
      </c>
      <c r="AM131" s="961">
        <f t="shared" si="61"/>
        <v>5.7134274875180573E-3</v>
      </c>
      <c r="AN131" s="964">
        <f t="shared" si="72"/>
        <v>1.109259627118734</v>
      </c>
      <c r="AO131" s="965"/>
      <c r="AP131" s="1544">
        <v>162</v>
      </c>
      <c r="AQ131" s="175"/>
      <c r="AR131" s="175"/>
      <c r="AS131" s="175">
        <v>115.4</v>
      </c>
      <c r="AT131" s="175">
        <v>132</v>
      </c>
      <c r="AU131" s="111"/>
      <c r="AV131" s="111">
        <v>11.7</v>
      </c>
      <c r="AW131" s="175">
        <f t="shared" si="88"/>
        <v>119.3877551020407</v>
      </c>
      <c r="AX131" s="385"/>
      <c r="AY131" s="111">
        <v>8.6</v>
      </c>
      <c r="AZ131" s="385"/>
      <c r="BA131" s="111">
        <f t="shared" si="91"/>
        <v>6</v>
      </c>
      <c r="BB131" s="111">
        <v>2.6</v>
      </c>
      <c r="BC131" s="385"/>
      <c r="BD131" s="385"/>
      <c r="BE131" s="87">
        <v>0</v>
      </c>
      <c r="BF131" s="2133">
        <f t="shared" ref="BF131:BF162" si="92">BE131/B131</f>
        <v>0</v>
      </c>
      <c r="BG131" s="530"/>
    </row>
    <row r="132" spans="1:59" s="87" customFormat="1">
      <c r="A132" s="79">
        <v>1821</v>
      </c>
      <c r="B132" s="1540">
        <f>B131+(B$141-B$131)/10</f>
        <v>383.87464370627998</v>
      </c>
      <c r="C132" s="1162">
        <v>31.9</v>
      </c>
      <c r="D132" s="959">
        <v>28.4</v>
      </c>
      <c r="E132" s="959">
        <v>1.8</v>
      </c>
      <c r="F132" s="111">
        <f t="shared" si="45"/>
        <v>1.7</v>
      </c>
      <c r="G132" s="1540">
        <f t="shared" si="63"/>
        <v>30.099999999999998</v>
      </c>
      <c r="H132" s="1162">
        <f t="shared" si="46"/>
        <v>897.37554402834019</v>
      </c>
      <c r="I132" s="29">
        <f t="shared" si="47"/>
        <v>1.0704706477732795</v>
      </c>
      <c r="J132" s="959">
        <v>838.3</v>
      </c>
      <c r="K132" s="959">
        <v>804.9</v>
      </c>
      <c r="L132" s="959">
        <f t="shared" si="64"/>
        <v>33.399999999999977</v>
      </c>
      <c r="M132" s="29">
        <f t="shared" si="48"/>
        <v>2.3376786113410586</v>
      </c>
      <c r="N132" s="29">
        <v>2.6033999999999997</v>
      </c>
      <c r="O132" s="111">
        <v>698.48548812664899</v>
      </c>
      <c r="P132" s="29">
        <f t="shared" si="73"/>
        <v>0.77836474681617795</v>
      </c>
      <c r="Q132" s="1558">
        <f t="shared" si="80"/>
        <v>3.354225574822374E-2</v>
      </c>
      <c r="R132" s="961">
        <f t="shared" si="81"/>
        <v>3.5283886197043111E-2</v>
      </c>
      <c r="S132" s="961">
        <f t="shared" si="82"/>
        <v>1.8383238702321288E-2</v>
      </c>
      <c r="T132" s="1535">
        <f t="shared" si="83"/>
        <v>4.3093236025173197E-2</v>
      </c>
      <c r="U132" s="1563">
        <v>61.6</v>
      </c>
      <c r="V132" s="111">
        <v>58.4</v>
      </c>
      <c r="W132" s="175">
        <f t="shared" si="53"/>
        <v>56.6</v>
      </c>
      <c r="X132" s="964">
        <f t="shared" si="87"/>
        <v>5</v>
      </c>
      <c r="Y132" s="1536">
        <f t="shared" si="90"/>
        <v>0.76774928741255999</v>
      </c>
      <c r="Z132" s="111">
        <f t="shared" si="55"/>
        <v>4.2322507125874402</v>
      </c>
      <c r="AA132" s="1536">
        <f t="shared" si="56"/>
        <v>0</v>
      </c>
      <c r="AB132" s="111">
        <f t="shared" si="57"/>
        <v>7.7073886639675493</v>
      </c>
      <c r="AC132" s="111">
        <f t="shared" si="66"/>
        <v>5</v>
      </c>
      <c r="AD132" s="111">
        <f t="shared" si="67"/>
        <v>4.2322507125874402</v>
      </c>
      <c r="AE132" s="111">
        <f t="shared" si="68"/>
        <v>862.18648449438126</v>
      </c>
      <c r="AF132" s="29">
        <f t="shared" si="58"/>
        <v>-9.1668100800332317E-2</v>
      </c>
      <c r="AG132" s="587">
        <f t="shared" si="84"/>
        <v>34.332250712587438</v>
      </c>
      <c r="AH132" s="964">
        <f t="shared" si="69"/>
        <v>0</v>
      </c>
      <c r="AI132" s="964">
        <v>0</v>
      </c>
      <c r="AJ132" s="964">
        <f t="shared" si="70"/>
        <v>0</v>
      </c>
      <c r="AK132" s="964">
        <f t="shared" si="71"/>
        <v>5</v>
      </c>
      <c r="AL132" s="964">
        <f t="shared" si="79"/>
        <v>2.1932399411126609</v>
      </c>
      <c r="AM132" s="961">
        <f t="shared" si="61"/>
        <v>5.7134274875180573E-3</v>
      </c>
      <c r="AN132" s="964">
        <f t="shared" si="72"/>
        <v>2.8067600588873391</v>
      </c>
      <c r="AO132" s="965"/>
      <c r="AP132" s="1544">
        <v>139</v>
      </c>
      <c r="AQ132" s="175"/>
      <c r="AR132" s="175"/>
      <c r="AS132" s="175">
        <v>99.7</v>
      </c>
      <c r="AT132" s="175">
        <v>121</v>
      </c>
      <c r="AU132" s="111"/>
      <c r="AV132" s="111">
        <v>10.3</v>
      </c>
      <c r="AW132" s="175">
        <f t="shared" si="88"/>
        <v>105.10204081632645</v>
      </c>
      <c r="AX132" s="385"/>
      <c r="AY132" s="111">
        <v>16</v>
      </c>
      <c r="AZ132" s="385"/>
      <c r="BA132" s="111">
        <f t="shared" si="91"/>
        <v>13.2</v>
      </c>
      <c r="BB132" s="111">
        <v>2.8</v>
      </c>
      <c r="BC132" s="385"/>
      <c r="BD132" s="385"/>
      <c r="BE132" s="967">
        <f t="shared" ref="BE132:BE163" si="93">BE131+AY131</f>
        <v>8.6</v>
      </c>
      <c r="BF132" s="2133">
        <f t="shared" si="92"/>
        <v>2.2403146811072659E-2</v>
      </c>
      <c r="BG132" s="530"/>
    </row>
    <row r="133" spans="1:59" s="87" customFormat="1">
      <c r="A133" s="79">
        <v>1822</v>
      </c>
      <c r="B133" s="1540">
        <f t="shared" ref="B133:B140" si="94">B132+(B$141-B$131)/10</f>
        <v>384.31213385328164</v>
      </c>
      <c r="C133" s="1162">
        <v>31.4</v>
      </c>
      <c r="D133" s="959">
        <v>28.1</v>
      </c>
      <c r="E133" s="959">
        <v>1.8</v>
      </c>
      <c r="F133" s="111">
        <f t="shared" si="45"/>
        <v>1.4999999999999971</v>
      </c>
      <c r="G133" s="1540">
        <f t="shared" si="63"/>
        <v>29.599999999999998</v>
      </c>
      <c r="H133" s="1162">
        <f t="shared" si="46"/>
        <v>889.66815536437264</v>
      </c>
      <c r="I133" s="29">
        <f t="shared" si="47"/>
        <v>1.0704706477732795</v>
      </c>
      <c r="J133" s="959">
        <v>831.1</v>
      </c>
      <c r="K133" s="959">
        <v>798.5</v>
      </c>
      <c r="L133" s="959">
        <f t="shared" si="64"/>
        <v>32.600000000000023</v>
      </c>
      <c r="M133" s="29">
        <f t="shared" si="48"/>
        <v>2.314962440670739</v>
      </c>
      <c r="N133" s="29">
        <v>2.4662000000000002</v>
      </c>
      <c r="O133" s="111">
        <v>693.42631578947373</v>
      </c>
      <c r="P133" s="29">
        <f t="shared" si="73"/>
        <v>0.77942130625713357</v>
      </c>
      <c r="Q133" s="1558">
        <f t="shared" si="80"/>
        <v>3.3270832300249097E-2</v>
      </c>
      <c r="R133" s="961">
        <f t="shared" si="81"/>
        <v>3.5190983093299939E-2</v>
      </c>
      <c r="S133" s="961">
        <f t="shared" si="82"/>
        <v>1.6453113414491419E-2</v>
      </c>
      <c r="T133" s="1535">
        <f t="shared" si="83"/>
        <v>4.2686583024037765E-2</v>
      </c>
      <c r="U133" s="1563">
        <v>59.9</v>
      </c>
      <c r="V133" s="111">
        <v>56.5</v>
      </c>
      <c r="W133" s="175">
        <f t="shared" si="53"/>
        <v>54.7</v>
      </c>
      <c r="X133" s="964">
        <f t="shared" si="87"/>
        <v>5.1999999999999957</v>
      </c>
      <c r="Y133" s="1536">
        <f t="shared" si="90"/>
        <v>0.76862426770656334</v>
      </c>
      <c r="Z133" s="111">
        <f t="shared" si="55"/>
        <v>4.4313757322934322</v>
      </c>
      <c r="AA133" s="1536">
        <f t="shared" si="56"/>
        <v>0</v>
      </c>
      <c r="AB133" s="111">
        <f t="shared" si="57"/>
        <v>-5.3523532388663853</v>
      </c>
      <c r="AC133" s="111">
        <f t="shared" si="66"/>
        <v>5.1999999999999957</v>
      </c>
      <c r="AD133" s="111">
        <f t="shared" si="67"/>
        <v>4.4313757322934322</v>
      </c>
      <c r="AE133" s="111">
        <f t="shared" si="68"/>
        <v>857.95423378179385</v>
      </c>
      <c r="AF133" s="29">
        <f t="shared" si="58"/>
        <v>-8.2521260165795793E-2</v>
      </c>
      <c r="AG133" s="587">
        <f t="shared" si="84"/>
        <v>34.031375732293426</v>
      </c>
      <c r="AH133" s="964">
        <f t="shared" si="69"/>
        <v>0</v>
      </c>
      <c r="AI133" s="964">
        <v>0</v>
      </c>
      <c r="AJ133" s="964">
        <f t="shared" si="70"/>
        <v>0</v>
      </c>
      <c r="AK133" s="964">
        <f t="shared" si="71"/>
        <v>5.1999999999999957</v>
      </c>
      <c r="AL133" s="964">
        <f t="shared" si="79"/>
        <v>2.1957395093440581</v>
      </c>
      <c r="AM133" s="961">
        <f t="shared" si="61"/>
        <v>5.7134274875180573E-3</v>
      </c>
      <c r="AN133" s="964">
        <f t="shared" si="72"/>
        <v>3.0042604906559376</v>
      </c>
      <c r="AO133" s="965"/>
      <c r="AP133" s="1544">
        <v>125</v>
      </c>
      <c r="AQ133" s="175"/>
      <c r="AR133" s="175"/>
      <c r="AS133" s="175">
        <v>87.9</v>
      </c>
      <c r="AT133" s="175">
        <v>116</v>
      </c>
      <c r="AU133" s="111"/>
      <c r="AV133" s="111">
        <v>8.9</v>
      </c>
      <c r="AW133" s="175">
        <f t="shared" si="88"/>
        <v>90.816326530612173</v>
      </c>
      <c r="AX133" s="385"/>
      <c r="AY133" s="111">
        <v>16.100000000000001</v>
      </c>
      <c r="AZ133" s="385"/>
      <c r="BA133" s="111">
        <f t="shared" si="91"/>
        <v>12.500000000000002</v>
      </c>
      <c r="BB133" s="111">
        <v>3.6</v>
      </c>
      <c r="BC133" s="385"/>
      <c r="BD133" s="385"/>
      <c r="BE133" s="967">
        <f t="shared" si="93"/>
        <v>24.6</v>
      </c>
      <c r="BF133" s="2133">
        <f t="shared" si="92"/>
        <v>6.4010469181260646E-2</v>
      </c>
      <c r="BG133" s="530"/>
    </row>
    <row r="134" spans="1:59" s="87" customFormat="1">
      <c r="A134" s="79">
        <v>1823</v>
      </c>
      <c r="B134" s="1540">
        <f t="shared" si="94"/>
        <v>384.74962400028329</v>
      </c>
      <c r="C134" s="1162">
        <v>30</v>
      </c>
      <c r="D134" s="959">
        <v>26.7</v>
      </c>
      <c r="E134" s="959">
        <v>2.2000000000000002</v>
      </c>
      <c r="F134" s="111">
        <f t="shared" si="45"/>
        <v>1.1000000000000005</v>
      </c>
      <c r="G134" s="1540">
        <f t="shared" si="63"/>
        <v>27.8</v>
      </c>
      <c r="H134" s="1162">
        <f t="shared" si="46"/>
        <v>895.02050860323902</v>
      </c>
      <c r="I134" s="29">
        <f t="shared" si="47"/>
        <v>1.0704706477732795</v>
      </c>
      <c r="J134" s="959">
        <v>836.1</v>
      </c>
      <c r="K134" s="959">
        <v>797.4</v>
      </c>
      <c r="L134" s="959">
        <f t="shared" si="64"/>
        <v>38.700000000000045</v>
      </c>
      <c r="M134" s="29">
        <f t="shared" si="48"/>
        <v>2.3262414120061101</v>
      </c>
      <c r="N134" s="29">
        <v>2.3753000000000002</v>
      </c>
      <c r="O134" s="111">
        <v>805.87272727272727</v>
      </c>
      <c r="P134" s="29">
        <f t="shared" si="73"/>
        <v>0.90039582280674779</v>
      </c>
      <c r="Q134" s="1558">
        <f t="shared" si="80"/>
        <v>3.1060740768258408E-2</v>
      </c>
      <c r="R134" s="961">
        <f t="shared" si="81"/>
        <v>3.3483822422874343E-2</v>
      </c>
      <c r="S134" s="961">
        <f t="shared" si="82"/>
        <v>1.1268124042159544E-2</v>
      </c>
      <c r="T134" s="1535">
        <f t="shared" si="83"/>
        <v>3.4496762403266927E-2</v>
      </c>
      <c r="U134" s="1563">
        <v>58.5</v>
      </c>
      <c r="V134" s="111">
        <v>54.3</v>
      </c>
      <c r="W134" s="175">
        <f t="shared" si="53"/>
        <v>52.099999999999994</v>
      </c>
      <c r="X134" s="964">
        <f t="shared" si="87"/>
        <v>6.4000000000000057</v>
      </c>
      <c r="Y134" s="1536">
        <f t="shared" si="90"/>
        <v>0.76949924800056657</v>
      </c>
      <c r="Z134" s="111">
        <f t="shared" si="55"/>
        <v>5.6305007519994392</v>
      </c>
      <c r="AA134" s="1536">
        <f t="shared" si="56"/>
        <v>0</v>
      </c>
      <c r="AB134" s="111">
        <f t="shared" si="57"/>
        <v>8.0285298582996347</v>
      </c>
      <c r="AC134" s="111">
        <f t="shared" si="66"/>
        <v>6.4000000000000057</v>
      </c>
      <c r="AD134" s="111">
        <f t="shared" si="67"/>
        <v>5.6305007519994392</v>
      </c>
      <c r="AE134" s="111">
        <f t="shared" si="68"/>
        <v>853.52285804950043</v>
      </c>
      <c r="AF134" s="29">
        <f t="shared" si="58"/>
        <v>-0.10785624719339047</v>
      </c>
      <c r="AG134" s="587">
        <f t="shared" si="84"/>
        <v>33.430500751999439</v>
      </c>
      <c r="AH134" s="964">
        <f t="shared" si="69"/>
        <v>0</v>
      </c>
      <c r="AI134" s="964">
        <v>0</v>
      </c>
      <c r="AJ134" s="964">
        <f t="shared" si="70"/>
        <v>0</v>
      </c>
      <c r="AK134" s="964">
        <f t="shared" si="71"/>
        <v>6.4000000000000057</v>
      </c>
      <c r="AL134" s="964">
        <f t="shared" si="79"/>
        <v>2.1982390775754559</v>
      </c>
      <c r="AM134" s="961">
        <f t="shared" si="61"/>
        <v>5.7134274875180573E-3</v>
      </c>
      <c r="AN134" s="964">
        <f t="shared" si="72"/>
        <v>4.2017609224245493</v>
      </c>
      <c r="AO134" s="965"/>
      <c r="AP134" s="1544">
        <v>128</v>
      </c>
      <c r="AQ134" s="175"/>
      <c r="AR134" s="175"/>
      <c r="AS134" s="175">
        <v>97.6</v>
      </c>
      <c r="AT134" s="175">
        <v>120</v>
      </c>
      <c r="AU134" s="111"/>
      <c r="AV134" s="111">
        <v>9.5</v>
      </c>
      <c r="AW134" s="175">
        <f t="shared" si="88"/>
        <v>96.93877551020401</v>
      </c>
      <c r="AX134" s="385"/>
      <c r="AY134" s="111">
        <v>8.4</v>
      </c>
      <c r="AZ134" s="385"/>
      <c r="BA134" s="111">
        <f t="shared" si="91"/>
        <v>4</v>
      </c>
      <c r="BB134" s="111">
        <v>4.4000000000000004</v>
      </c>
      <c r="BC134" s="385"/>
      <c r="BD134" s="385"/>
      <c r="BE134" s="967">
        <f t="shared" si="93"/>
        <v>40.700000000000003</v>
      </c>
      <c r="BF134" s="2133">
        <f t="shared" si="92"/>
        <v>0.10578307933569296</v>
      </c>
      <c r="BG134" s="530"/>
    </row>
    <row r="135" spans="1:59" s="87" customFormat="1">
      <c r="A135" s="79">
        <v>1824</v>
      </c>
      <c r="B135" s="1540">
        <f t="shared" si="94"/>
        <v>385.18711414728494</v>
      </c>
      <c r="C135" s="1162">
        <v>30.2</v>
      </c>
      <c r="D135" s="959">
        <v>26.6</v>
      </c>
      <c r="E135" s="959">
        <v>2.5</v>
      </c>
      <c r="F135" s="111">
        <f t="shared" si="45"/>
        <v>1.0999999999999979</v>
      </c>
      <c r="G135" s="1540">
        <f t="shared" si="63"/>
        <v>27.7</v>
      </c>
      <c r="H135" s="1162">
        <f t="shared" si="46"/>
        <v>886.99197874493939</v>
      </c>
      <c r="I135" s="29">
        <f t="shared" si="47"/>
        <v>1.0704706477732795</v>
      </c>
      <c r="J135" s="959">
        <v>828.6</v>
      </c>
      <c r="K135" s="959">
        <v>792.9</v>
      </c>
      <c r="L135" s="959">
        <f t="shared" si="64"/>
        <v>35.700000000000045</v>
      </c>
      <c r="M135" s="29">
        <f t="shared" si="48"/>
        <v>2.3027561051945731</v>
      </c>
      <c r="N135" s="29">
        <v>2.2455000000000003</v>
      </c>
      <c r="O135" s="111">
        <v>747.52542372881351</v>
      </c>
      <c r="P135" s="29">
        <f t="shared" si="73"/>
        <v>0.84276458146389799</v>
      </c>
      <c r="Q135" s="1558">
        <f t="shared" si="80"/>
        <v>3.1229143739489582E-2</v>
      </c>
      <c r="R135" s="961">
        <f t="shared" si="81"/>
        <v>3.3547736158405853E-2</v>
      </c>
      <c r="S135" s="961">
        <f t="shared" si="82"/>
        <v>1.1690688352742923E-2</v>
      </c>
      <c r="T135" s="1535">
        <f t="shared" si="83"/>
        <v>3.7055595864320695E-2</v>
      </c>
      <c r="U135" s="1563">
        <v>59.7</v>
      </c>
      <c r="V135" s="111">
        <v>55.5</v>
      </c>
      <c r="W135" s="175">
        <f t="shared" si="53"/>
        <v>53</v>
      </c>
      <c r="X135" s="964">
        <f t="shared" si="87"/>
        <v>6.7000000000000028</v>
      </c>
      <c r="Y135" s="1536">
        <f t="shared" si="90"/>
        <v>0.77037422829456992</v>
      </c>
      <c r="Z135" s="111">
        <f t="shared" si="55"/>
        <v>5.9296257717054326</v>
      </c>
      <c r="AA135" s="1536">
        <f t="shared" si="56"/>
        <v>0</v>
      </c>
      <c r="AB135" s="111">
        <f t="shared" si="57"/>
        <v>8.99195344129555</v>
      </c>
      <c r="AC135" s="111">
        <f t="shared" si="66"/>
        <v>6.7000000000000028</v>
      </c>
      <c r="AD135" s="111">
        <f t="shared" si="67"/>
        <v>5.9296257717054326</v>
      </c>
      <c r="AE135" s="111">
        <f t="shared" si="68"/>
        <v>847.89235729750101</v>
      </c>
      <c r="AF135" s="29">
        <f t="shared" si="58"/>
        <v>-0.1015081242631802</v>
      </c>
      <c r="AG135" s="587">
        <f t="shared" si="84"/>
        <v>33.629625771705435</v>
      </c>
      <c r="AH135" s="964">
        <f t="shared" si="69"/>
        <v>0</v>
      </c>
      <c r="AI135" s="964">
        <v>0</v>
      </c>
      <c r="AJ135" s="964">
        <f t="shared" si="70"/>
        <v>0</v>
      </c>
      <c r="AK135" s="964">
        <f t="shared" si="71"/>
        <v>6.7000000000000028</v>
      </c>
      <c r="AL135" s="964">
        <f t="shared" si="79"/>
        <v>2.2007386458068532</v>
      </c>
      <c r="AM135" s="961">
        <f t="shared" si="61"/>
        <v>5.7134274875180573E-3</v>
      </c>
      <c r="AN135" s="964">
        <f t="shared" si="72"/>
        <v>4.4992613541931501</v>
      </c>
      <c r="AO135" s="965"/>
      <c r="AP135" s="1544"/>
      <c r="AQ135" s="175"/>
      <c r="AR135" s="175"/>
      <c r="AS135" s="175">
        <v>101.9</v>
      </c>
      <c r="AT135" s="175">
        <v>122</v>
      </c>
      <c r="AU135" s="111"/>
      <c r="AV135" s="111">
        <v>10.3</v>
      </c>
      <c r="AW135" s="175">
        <f t="shared" si="88"/>
        <v>105.10204081632646</v>
      </c>
      <c r="AX135" s="385"/>
      <c r="AY135" s="111">
        <v>12.8</v>
      </c>
      <c r="AZ135" s="385"/>
      <c r="BA135" s="111">
        <f t="shared" si="91"/>
        <v>8.1000000000000014</v>
      </c>
      <c r="BB135" s="111">
        <v>4.7</v>
      </c>
      <c r="BC135" s="385"/>
      <c r="BD135" s="385"/>
      <c r="BE135" s="967">
        <f t="shared" si="93"/>
        <v>49.1</v>
      </c>
      <c r="BF135" s="2133">
        <f t="shared" si="92"/>
        <v>0.12747051548880609</v>
      </c>
      <c r="BG135" s="530"/>
    </row>
    <row r="136" spans="1:59" s="87" customFormat="1">
      <c r="A136" s="79">
        <v>1825</v>
      </c>
      <c r="B136" s="1540">
        <f t="shared" si="94"/>
        <v>385.6246042942866</v>
      </c>
      <c r="C136" s="1162">
        <v>29.2</v>
      </c>
      <c r="D136" s="959">
        <v>25.8</v>
      </c>
      <c r="E136" s="959">
        <v>2.5</v>
      </c>
      <c r="F136" s="111">
        <f t="shared" si="45"/>
        <v>0.89999999999999858</v>
      </c>
      <c r="G136" s="1540">
        <f t="shared" si="63"/>
        <v>26.7</v>
      </c>
      <c r="H136" s="1162">
        <f t="shared" si="46"/>
        <v>878.00002530364384</v>
      </c>
      <c r="I136" s="29">
        <f t="shared" si="47"/>
        <v>1.0704706477732795</v>
      </c>
      <c r="J136" s="959">
        <v>820.2</v>
      </c>
      <c r="K136" s="959">
        <v>782.3</v>
      </c>
      <c r="L136" s="959">
        <f t="shared" si="64"/>
        <v>37.900000000000091</v>
      </c>
      <c r="M136" s="29">
        <f t="shared" si="48"/>
        <v>2.2768257406978227</v>
      </c>
      <c r="N136" s="29">
        <v>2.1249000000000002</v>
      </c>
      <c r="O136" s="111">
        <v>694.03693931398413</v>
      </c>
      <c r="P136" s="29">
        <f t="shared" si="73"/>
        <v>0.79047485115272209</v>
      </c>
      <c r="Q136" s="1558">
        <f t="shared" si="80"/>
        <v>3.0410021902637398E-2</v>
      </c>
      <c r="R136" s="961">
        <f t="shared" si="81"/>
        <v>3.2979675316374794E-2</v>
      </c>
      <c r="S136" s="961">
        <f t="shared" si="82"/>
        <v>9.4043862281583956E-3</v>
      </c>
      <c r="T136" s="1535">
        <f t="shared" si="83"/>
        <v>3.8470574817518248E-2</v>
      </c>
      <c r="U136" s="1563">
        <v>57.7</v>
      </c>
      <c r="V136" s="111">
        <v>54.1</v>
      </c>
      <c r="W136" s="175">
        <f t="shared" si="53"/>
        <v>51.6</v>
      </c>
      <c r="X136" s="964">
        <f t="shared" si="87"/>
        <v>6.1000000000000014</v>
      </c>
      <c r="Y136" s="1536">
        <f t="shared" si="90"/>
        <v>0.77124920858857327</v>
      </c>
      <c r="Z136" s="111">
        <f t="shared" si="55"/>
        <v>5.3287507914114283</v>
      </c>
      <c r="AA136" s="1536">
        <f t="shared" si="56"/>
        <v>0</v>
      </c>
      <c r="AB136" s="111">
        <f t="shared" si="57"/>
        <v>9.8483299595142171</v>
      </c>
      <c r="AC136" s="111">
        <f t="shared" si="66"/>
        <v>6.1000000000000014</v>
      </c>
      <c r="AD136" s="111">
        <f t="shared" si="67"/>
        <v>5.3287507914114283</v>
      </c>
      <c r="AE136" s="111">
        <f t="shared" si="68"/>
        <v>841.96273152579556</v>
      </c>
      <c r="AF136" s="29">
        <f t="shared" si="58"/>
        <v>-9.345174912736294E-2</v>
      </c>
      <c r="AG136" s="587">
        <f t="shared" si="84"/>
        <v>32.028750791411426</v>
      </c>
      <c r="AH136" s="964">
        <f t="shared" si="69"/>
        <v>0</v>
      </c>
      <c r="AI136" s="964">
        <v>0</v>
      </c>
      <c r="AJ136" s="964">
        <f t="shared" si="70"/>
        <v>0</v>
      </c>
      <c r="AK136" s="964">
        <f t="shared" si="71"/>
        <v>6.1000000000000014</v>
      </c>
      <c r="AL136" s="964">
        <f t="shared" si="79"/>
        <v>2.2032382140382509</v>
      </c>
      <c r="AM136" s="961">
        <f t="shared" si="61"/>
        <v>5.7134274875180573E-3</v>
      </c>
      <c r="AN136" s="964">
        <f t="shared" si="72"/>
        <v>3.8967617859617505</v>
      </c>
      <c r="AO136" s="965"/>
      <c r="AP136" s="1544"/>
      <c r="AQ136" s="175"/>
      <c r="AR136" s="175"/>
      <c r="AS136" s="175">
        <v>113</v>
      </c>
      <c r="AT136" s="175">
        <v>133</v>
      </c>
      <c r="AU136" s="175">
        <f>AU146*AVERAGE(AS132:AS141)/AVERAGE(AS142:AS151)</f>
        <v>109.35815756756891</v>
      </c>
      <c r="AV136" s="111">
        <v>12.1</v>
      </c>
      <c r="AW136" s="175">
        <f t="shared" si="88"/>
        <v>123.46938775510195</v>
      </c>
      <c r="AX136" s="385"/>
      <c r="AY136" s="111">
        <v>-3</v>
      </c>
      <c r="AZ136" s="385"/>
      <c r="BA136" s="111">
        <f t="shared" si="91"/>
        <v>-8.6999999999999993</v>
      </c>
      <c r="BB136" s="111">
        <v>5.7</v>
      </c>
      <c r="BC136" s="385"/>
      <c r="BD136" s="385"/>
      <c r="BE136" s="967">
        <f t="shared" si="93"/>
        <v>61.900000000000006</v>
      </c>
      <c r="BF136" s="2133">
        <f t="shared" si="92"/>
        <v>0.16051880328870685</v>
      </c>
      <c r="BG136" s="530"/>
    </row>
    <row r="137" spans="1:59" s="87" customFormat="1">
      <c r="A137" s="79">
        <v>1826</v>
      </c>
      <c r="B137" s="1540">
        <f t="shared" si="94"/>
        <v>386.06209444128825</v>
      </c>
      <c r="C137" s="1162">
        <v>29.2</v>
      </c>
      <c r="D137" s="959">
        <v>25.8</v>
      </c>
      <c r="E137" s="959">
        <v>2.6</v>
      </c>
      <c r="F137" s="111">
        <f t="shared" si="45"/>
        <v>0.79999999999999849</v>
      </c>
      <c r="G137" s="1540">
        <f t="shared" si="63"/>
        <v>26.599999999999998</v>
      </c>
      <c r="H137" s="1162">
        <f t="shared" si="46"/>
        <v>868.15169534412962</v>
      </c>
      <c r="I137" s="29">
        <f t="shared" si="47"/>
        <v>1.0704706477732795</v>
      </c>
      <c r="J137" s="959">
        <v>811</v>
      </c>
      <c r="K137" s="959">
        <v>779.3</v>
      </c>
      <c r="L137" s="959">
        <f t="shared" si="64"/>
        <v>31.700000000000045</v>
      </c>
      <c r="M137" s="29">
        <f t="shared" si="48"/>
        <v>2.2487359102180822</v>
      </c>
      <c r="N137" s="29">
        <v>2.0124</v>
      </c>
      <c r="O137" s="111">
        <v>721.62880886426592</v>
      </c>
      <c r="P137" s="29">
        <f t="shared" si="73"/>
        <v>0.83122432719343708</v>
      </c>
      <c r="Q137" s="1558">
        <f t="shared" si="80"/>
        <v>3.0639806548388913E-2</v>
      </c>
      <c r="R137" s="961">
        <f t="shared" si="81"/>
        <v>3.3106634158860518E-2</v>
      </c>
      <c r="S137" s="961">
        <f t="shared" si="82"/>
        <v>9.0037674227997008E-3</v>
      </c>
      <c r="T137" s="1535">
        <f t="shared" si="83"/>
        <v>3.6861056090407969E-2</v>
      </c>
      <c r="U137" s="1563">
        <v>55.2</v>
      </c>
      <c r="V137" s="111">
        <v>56.1</v>
      </c>
      <c r="W137" s="175">
        <f t="shared" si="53"/>
        <v>53.5</v>
      </c>
      <c r="X137" s="964">
        <f t="shared" si="87"/>
        <v>1.7000000000000028</v>
      </c>
      <c r="Y137" s="1536">
        <f t="shared" si="90"/>
        <v>0.7721241888825765</v>
      </c>
      <c r="Z137" s="111">
        <f t="shared" si="55"/>
        <v>0.92787581111742634</v>
      </c>
      <c r="AA137" s="1536">
        <f t="shared" si="56"/>
        <v>0</v>
      </c>
      <c r="AB137" s="111">
        <f t="shared" si="57"/>
        <v>1.0704706477732771</v>
      </c>
      <c r="AC137" s="111">
        <f t="shared" si="66"/>
        <v>1.7000000000000028</v>
      </c>
      <c r="AD137" s="111">
        <f t="shared" si="67"/>
        <v>0.92787581111742634</v>
      </c>
      <c r="AE137" s="111">
        <f t="shared" si="68"/>
        <v>836.63398073438418</v>
      </c>
      <c r="AF137" s="29">
        <f t="shared" si="58"/>
        <v>-8.1638977417241895E-2</v>
      </c>
      <c r="AG137" s="587">
        <f t="shared" si="84"/>
        <v>27.527875811117426</v>
      </c>
      <c r="AH137" s="964">
        <f t="shared" si="69"/>
        <v>0</v>
      </c>
      <c r="AI137" s="964">
        <v>0</v>
      </c>
      <c r="AJ137" s="964">
        <f t="shared" si="70"/>
        <v>0</v>
      </c>
      <c r="AK137" s="964">
        <f t="shared" si="71"/>
        <v>1.7000000000000028</v>
      </c>
      <c r="AL137" s="964">
        <f t="shared" si="79"/>
        <v>2.2057377822696487</v>
      </c>
      <c r="AM137" s="961">
        <f t="shared" si="61"/>
        <v>5.7134274875180573E-3</v>
      </c>
      <c r="AN137" s="964">
        <f t="shared" si="72"/>
        <v>-0.50573778226964583</v>
      </c>
      <c r="AO137" s="965"/>
      <c r="AP137" s="1784"/>
      <c r="AQ137" s="1778"/>
      <c r="AR137" s="1778"/>
      <c r="AS137" s="175">
        <v>100</v>
      </c>
      <c r="AT137" s="175">
        <v>117</v>
      </c>
      <c r="AU137" s="111"/>
      <c r="AV137" s="111">
        <v>11.4</v>
      </c>
      <c r="AW137" s="175">
        <f t="shared" si="88"/>
        <v>116.32653061224482</v>
      </c>
      <c r="AX137" s="385"/>
      <c r="AY137" s="111">
        <v>6.4</v>
      </c>
      <c r="AZ137" s="385"/>
      <c r="BA137" s="111">
        <f t="shared" si="91"/>
        <v>1</v>
      </c>
      <c r="BB137" s="111">
        <v>5.4</v>
      </c>
      <c r="BC137" s="385"/>
      <c r="BD137" s="385"/>
      <c r="BE137" s="967">
        <f t="shared" si="93"/>
        <v>58.900000000000006</v>
      </c>
      <c r="BF137" s="2133">
        <f t="shared" si="92"/>
        <v>0.1525661308066012</v>
      </c>
      <c r="BG137" s="530"/>
    </row>
    <row r="138" spans="1:59" s="87" customFormat="1">
      <c r="A138" s="79">
        <v>1827</v>
      </c>
      <c r="B138" s="1540">
        <f t="shared" si="94"/>
        <v>386.49958458828991</v>
      </c>
      <c r="C138" s="1162">
        <v>29.4</v>
      </c>
      <c r="D138" s="959">
        <v>26</v>
      </c>
      <c r="E138" s="959">
        <v>2.6</v>
      </c>
      <c r="F138" s="111">
        <f t="shared" si="45"/>
        <v>0.79999999999999849</v>
      </c>
      <c r="G138" s="1540">
        <f t="shared" si="63"/>
        <v>26.799999999999997</v>
      </c>
      <c r="H138" s="1162">
        <f t="shared" si="46"/>
        <v>867.08122469635634</v>
      </c>
      <c r="I138" s="29">
        <f t="shared" si="47"/>
        <v>1.0704706477732795</v>
      </c>
      <c r="J138" s="959">
        <v>810</v>
      </c>
      <c r="K138" s="959">
        <v>785</v>
      </c>
      <c r="L138" s="959">
        <f t="shared" si="64"/>
        <v>25</v>
      </c>
      <c r="M138" s="29">
        <f t="shared" si="48"/>
        <v>2.2434208451219821</v>
      </c>
      <c r="N138" s="29">
        <v>1.9194</v>
      </c>
      <c r="O138" s="111">
        <v>735.69491525423723</v>
      </c>
      <c r="P138" s="29">
        <f t="shared" si="73"/>
        <v>0.84847289308088825</v>
      </c>
      <c r="Q138" s="1558">
        <f t="shared" si="80"/>
        <v>3.0908292368324666E-2</v>
      </c>
      <c r="R138" s="961">
        <f t="shared" si="81"/>
        <v>3.3121019108280254E-2</v>
      </c>
      <c r="S138" s="961">
        <f t="shared" si="82"/>
        <v>9.7464432695716242E-3</v>
      </c>
      <c r="T138" s="1535">
        <f t="shared" si="83"/>
        <v>3.6428143574621021E-2</v>
      </c>
      <c r="U138" s="1563">
        <v>54.7</v>
      </c>
      <c r="V138" s="111">
        <v>55.9</v>
      </c>
      <c r="W138" s="175">
        <f t="shared" si="53"/>
        <v>53.3</v>
      </c>
      <c r="X138" s="964">
        <f t="shared" si="87"/>
        <v>1.4000000000000057</v>
      </c>
      <c r="Y138" s="1536">
        <f t="shared" si="90"/>
        <v>0.77299916917657985</v>
      </c>
      <c r="Z138" s="111">
        <f t="shared" si="55"/>
        <v>0.62700083082342584</v>
      </c>
      <c r="AA138" s="1536">
        <f t="shared" si="56"/>
        <v>0</v>
      </c>
      <c r="AB138" s="111">
        <f t="shared" si="57"/>
        <v>3.8536943319837746</v>
      </c>
      <c r="AC138" s="111">
        <f t="shared" si="66"/>
        <v>1.4000000000000057</v>
      </c>
      <c r="AD138" s="111">
        <f t="shared" si="67"/>
        <v>0.62700083082342584</v>
      </c>
      <c r="AE138" s="111">
        <f t="shared" si="68"/>
        <v>835.70610492326671</v>
      </c>
      <c r="AF138" s="29">
        <f t="shared" si="58"/>
        <v>-8.1177628706926783E-2</v>
      </c>
      <c r="AG138" s="587">
        <f t="shared" si="84"/>
        <v>27.427000830823424</v>
      </c>
      <c r="AH138" s="964">
        <f t="shared" si="69"/>
        <v>0</v>
      </c>
      <c r="AI138" s="964">
        <v>0</v>
      </c>
      <c r="AJ138" s="964">
        <f t="shared" si="70"/>
        <v>0</v>
      </c>
      <c r="AK138" s="964">
        <f t="shared" si="71"/>
        <v>1.4000000000000057</v>
      </c>
      <c r="AL138" s="964">
        <f t="shared" si="79"/>
        <v>2.208237350501046</v>
      </c>
      <c r="AM138" s="961">
        <f t="shared" si="61"/>
        <v>5.7134274875180573E-3</v>
      </c>
      <c r="AN138" s="964">
        <f t="shared" si="72"/>
        <v>-0.80823735050104029</v>
      </c>
      <c r="AO138" s="965"/>
      <c r="AP138" s="1784"/>
      <c r="AQ138" s="1778"/>
      <c r="AR138" s="1778"/>
      <c r="AS138" s="175">
        <v>99.3</v>
      </c>
      <c r="AT138" s="175">
        <v>117</v>
      </c>
      <c r="AU138" s="111"/>
      <c r="AV138" s="111">
        <v>10.7</v>
      </c>
      <c r="AW138" s="175">
        <f t="shared" si="88"/>
        <v>109.18367346938767</v>
      </c>
      <c r="AX138" s="385"/>
      <c r="AY138" s="111">
        <v>3.6</v>
      </c>
      <c r="AZ138" s="385"/>
      <c r="BA138" s="111">
        <f t="shared" si="91"/>
        <v>-1.4</v>
      </c>
      <c r="BB138" s="111">
        <v>5</v>
      </c>
      <c r="BC138" s="385"/>
      <c r="BD138" s="385"/>
      <c r="BE138" s="967">
        <f t="shared" si="93"/>
        <v>65.300000000000011</v>
      </c>
      <c r="BF138" s="2133">
        <f t="shared" si="92"/>
        <v>0.16895231613135983</v>
      </c>
      <c r="BG138" s="530"/>
    </row>
    <row r="139" spans="1:59" s="87" customFormat="1">
      <c r="A139" s="79">
        <v>1828</v>
      </c>
      <c r="B139" s="1540">
        <f t="shared" si="94"/>
        <v>386.93707473529156</v>
      </c>
      <c r="C139" s="1162">
        <v>29.3</v>
      </c>
      <c r="D139" s="959">
        <v>25.7</v>
      </c>
      <c r="E139" s="959">
        <v>2.6</v>
      </c>
      <c r="F139" s="111">
        <f t="shared" ref="F139:F202" si="95">C139-D139-E139</f>
        <v>1.0000000000000013</v>
      </c>
      <c r="G139" s="1540">
        <f t="shared" si="63"/>
        <v>26.7</v>
      </c>
      <c r="H139" s="1162">
        <f t="shared" ref="H139:H145" si="96">J139*I139</f>
        <v>863.22753036437257</v>
      </c>
      <c r="I139" s="29">
        <f t="shared" ref="I139:I145" si="97">I$147</f>
        <v>1.0704706477732795</v>
      </c>
      <c r="J139" s="959">
        <v>806.4</v>
      </c>
      <c r="K139" s="959">
        <v>778.7</v>
      </c>
      <c r="L139" s="959">
        <f t="shared" si="64"/>
        <v>27.699999999999932</v>
      </c>
      <c r="M139" s="29">
        <f t="shared" ref="M139:M202" si="98">H139/B139</f>
        <v>2.2309248369516341</v>
      </c>
      <c r="N139" s="29">
        <v>1.8286000000000002</v>
      </c>
      <c r="O139" s="111">
        <v>777.19760479041906</v>
      </c>
      <c r="P139" s="29">
        <f t="shared" si="73"/>
        <v>0.90033922396145094</v>
      </c>
      <c r="Q139" s="1558">
        <f t="shared" si="80"/>
        <v>3.0930431503649793E-2</v>
      </c>
      <c r="R139" s="961">
        <f t="shared" si="81"/>
        <v>3.3003724155644017E-2</v>
      </c>
      <c r="S139" s="961">
        <f t="shared" si="82"/>
        <v>1.1830465124076203E-2</v>
      </c>
      <c r="T139" s="1535">
        <f t="shared" si="83"/>
        <v>3.4354197485207107E-2</v>
      </c>
      <c r="U139" s="1563">
        <v>56.5</v>
      </c>
      <c r="V139" s="111">
        <v>53.5</v>
      </c>
      <c r="W139" s="175">
        <f t="shared" ref="W139:W202" si="99">V139-E139</f>
        <v>50.9</v>
      </c>
      <c r="X139" s="964">
        <f t="shared" si="87"/>
        <v>5.6000000000000014</v>
      </c>
      <c r="Y139" s="1536">
        <f t="shared" si="90"/>
        <v>0.77387414947058308</v>
      </c>
      <c r="Z139" s="111">
        <f t="shared" ref="Z139:Z202" si="100">(X139-Y139)</f>
        <v>4.8261258505294187</v>
      </c>
      <c r="AA139" s="1536">
        <f t="shared" ref="AA139:AA202" si="101">IF(((Z139-AB139)/B139&gt;0.06),(Z139-AB139),0)</f>
        <v>0</v>
      </c>
      <c r="AB139" s="111">
        <f t="shared" ref="AB139:AB202" si="102">H139-H140</f>
        <v>5.4594003036437471</v>
      </c>
      <c r="AC139" s="111">
        <f t="shared" si="66"/>
        <v>5.6000000000000014</v>
      </c>
      <c r="AD139" s="111">
        <f t="shared" si="67"/>
        <v>4.8261258505294187</v>
      </c>
      <c r="AE139" s="111">
        <f t="shared" si="68"/>
        <v>835.07910409244323</v>
      </c>
      <c r="AF139" s="29">
        <f t="shared" ref="AF139:AF202" si="103">(AE139-H139)/B139</f>
        <v>-7.2746780057677402E-2</v>
      </c>
      <c r="AG139" s="587">
        <f t="shared" si="84"/>
        <v>31.526125850529418</v>
      </c>
      <c r="AH139" s="964">
        <f t="shared" si="69"/>
        <v>0</v>
      </c>
      <c r="AI139" s="964">
        <v>0</v>
      </c>
      <c r="AJ139" s="964">
        <f t="shared" si="70"/>
        <v>0</v>
      </c>
      <c r="AK139" s="964">
        <f t="shared" si="71"/>
        <v>5.6000000000000014</v>
      </c>
      <c r="AL139" s="964">
        <f t="shared" ref="AL139:AL165" si="104">AM139*B139</f>
        <v>2.2107369187324437</v>
      </c>
      <c r="AM139" s="961">
        <f t="shared" ref="AM139:AM164" si="105">AM$166</f>
        <v>5.7134274875180573E-3</v>
      </c>
      <c r="AN139" s="964">
        <f t="shared" si="72"/>
        <v>3.3892630812675577</v>
      </c>
      <c r="AO139" s="965"/>
      <c r="AP139" s="1784"/>
      <c r="AQ139" s="1778"/>
      <c r="AR139" s="1778"/>
      <c r="AS139" s="175">
        <v>96.399999999999991</v>
      </c>
      <c r="AT139" s="175">
        <v>112</v>
      </c>
      <c r="AU139" s="111"/>
      <c r="AV139" s="111">
        <v>10.4</v>
      </c>
      <c r="AW139" s="175">
        <f t="shared" si="88"/>
        <v>106.12244897959177</v>
      </c>
      <c r="AX139" s="385"/>
      <c r="AY139" s="111">
        <v>3.5</v>
      </c>
      <c r="AZ139" s="385"/>
      <c r="BA139" s="111">
        <f t="shared" si="91"/>
        <v>-1</v>
      </c>
      <c r="BB139" s="111">
        <v>4.5</v>
      </c>
      <c r="BC139" s="385"/>
      <c r="BD139" s="385"/>
      <c r="BE139" s="967">
        <f t="shared" si="93"/>
        <v>68.900000000000006</v>
      </c>
      <c r="BF139" s="2133">
        <f t="shared" si="92"/>
        <v>0.17806512867017291</v>
      </c>
      <c r="BG139" s="530"/>
    </row>
    <row r="140" spans="1:59" s="87" customFormat="1">
      <c r="A140" s="79">
        <v>1829</v>
      </c>
      <c r="B140" s="1540">
        <f t="shared" si="94"/>
        <v>387.37456488229321</v>
      </c>
      <c r="C140" s="1162">
        <v>29.1</v>
      </c>
      <c r="D140" s="959">
        <v>25.7</v>
      </c>
      <c r="E140" s="959">
        <v>2.6</v>
      </c>
      <c r="F140" s="111">
        <f t="shared" si="95"/>
        <v>0.80000000000000204</v>
      </c>
      <c r="G140" s="1540">
        <f t="shared" ref="G140:G203" si="106">C140-E140</f>
        <v>26.5</v>
      </c>
      <c r="H140" s="1162">
        <f t="shared" si="96"/>
        <v>857.76813006072882</v>
      </c>
      <c r="I140" s="29">
        <f t="shared" si="97"/>
        <v>1.0704706477732795</v>
      </c>
      <c r="J140" s="959">
        <v>801.3</v>
      </c>
      <c r="K140" s="959">
        <v>773.6</v>
      </c>
      <c r="L140" s="959">
        <f t="shared" ref="L140:L203" si="107">J140-K140</f>
        <v>27.699999999999932</v>
      </c>
      <c r="M140" s="29">
        <f t="shared" si="98"/>
        <v>2.2143119549456438</v>
      </c>
      <c r="N140" s="29">
        <v>1.7343999999999999</v>
      </c>
      <c r="O140" s="111">
        <v>740.06303724928364</v>
      </c>
      <c r="P140" s="29">
        <f t="shared" si="73"/>
        <v>0.86277749348986443</v>
      </c>
      <c r="Q140" s="1558">
        <f t="shared" si="80"/>
        <v>3.0894129860156772E-2</v>
      </c>
      <c r="R140" s="961">
        <f t="shared" si="81"/>
        <v>3.322130299896587E-2</v>
      </c>
      <c r="S140" s="961">
        <f t="shared" si="82"/>
        <v>9.5047852366779186E-3</v>
      </c>
      <c r="T140" s="1535">
        <f t="shared" si="83"/>
        <v>3.5807760509830339E-2</v>
      </c>
      <c r="U140" s="1563">
        <v>55.3</v>
      </c>
      <c r="V140" s="111">
        <v>53.7</v>
      </c>
      <c r="W140" s="175">
        <f t="shared" si="99"/>
        <v>51.1</v>
      </c>
      <c r="X140" s="964">
        <f t="shared" si="87"/>
        <v>4.1999999999999957</v>
      </c>
      <c r="Y140" s="1536">
        <f t="shared" si="90"/>
        <v>0.77474912976458643</v>
      </c>
      <c r="Z140" s="111">
        <f t="shared" si="100"/>
        <v>3.4252508702354092</v>
      </c>
      <c r="AA140" s="1536">
        <f t="shared" si="101"/>
        <v>0</v>
      </c>
      <c r="AB140" s="111">
        <f t="shared" si="102"/>
        <v>3.3184590080970793</v>
      </c>
      <c r="AC140" s="111">
        <f t="shared" ref="AC140:AC203" si="108">X140-AA140</f>
        <v>4.1999999999999957</v>
      </c>
      <c r="AD140" s="111">
        <f t="shared" ref="AD140:AD203" si="109">Z140-AA140</f>
        <v>3.4252508702354092</v>
      </c>
      <c r="AE140" s="111">
        <f t="shared" ref="AE140:AE203" si="110">AE139-AD139</f>
        <v>830.25297824191387</v>
      </c>
      <c r="AF140" s="29">
        <f t="shared" si="103"/>
        <v>-7.1029836012015013E-2</v>
      </c>
      <c r="AG140" s="587">
        <f t="shared" si="84"/>
        <v>29.925250870235409</v>
      </c>
      <c r="AH140" s="964">
        <f t="shared" ref="AH140:AH203" si="111">AI140</f>
        <v>0</v>
      </c>
      <c r="AI140" s="964">
        <v>0</v>
      </c>
      <c r="AJ140" s="964">
        <f t="shared" ref="AJ140:AJ203" si="112">AH140-AI140</f>
        <v>0</v>
      </c>
      <c r="AK140" s="964">
        <f t="shared" ref="AK140:AK203" si="113">AH140+AC140</f>
        <v>4.1999999999999957</v>
      </c>
      <c r="AL140" s="964">
        <f t="shared" si="104"/>
        <v>2.213236486963841</v>
      </c>
      <c r="AM140" s="961">
        <f t="shared" si="105"/>
        <v>5.7134274875180573E-3</v>
      </c>
      <c r="AN140" s="964">
        <f t="shared" ref="AN140:AN203" si="114">AK140-AL140</f>
        <v>1.9867635130361547</v>
      </c>
      <c r="AO140" s="965"/>
      <c r="AP140" s="1784"/>
      <c r="AQ140" s="1778"/>
      <c r="AR140" s="1778"/>
      <c r="AS140" s="175">
        <v>95.8</v>
      </c>
      <c r="AT140" s="175">
        <v>110</v>
      </c>
      <c r="AU140" s="111"/>
      <c r="AV140" s="111">
        <v>10.3</v>
      </c>
      <c r="AW140" s="175">
        <f t="shared" si="88"/>
        <v>105.10204081632645</v>
      </c>
      <c r="AX140" s="385"/>
      <c r="AY140" s="111">
        <v>5</v>
      </c>
      <c r="AZ140" s="385"/>
      <c r="BA140" s="111">
        <f t="shared" si="91"/>
        <v>0.79999999999999982</v>
      </c>
      <c r="BB140" s="111">
        <v>4.2</v>
      </c>
      <c r="BC140" s="385"/>
      <c r="BD140" s="385"/>
      <c r="BE140" s="967">
        <f t="shared" si="93"/>
        <v>72.400000000000006</v>
      </c>
      <c r="BF140" s="2133">
        <f t="shared" si="92"/>
        <v>0.18689920961124359</v>
      </c>
      <c r="BG140" s="530"/>
    </row>
    <row r="141" spans="1:59" s="87" customFormat="1">
      <c r="A141" s="79">
        <v>1830</v>
      </c>
      <c r="B141" s="1540">
        <f>TableUK2!B23*1000</f>
        <v>387.81205502929464</v>
      </c>
      <c r="C141" s="1162">
        <v>29.2</v>
      </c>
      <c r="D141" s="959">
        <v>25.5</v>
      </c>
      <c r="E141" s="959">
        <v>2.9</v>
      </c>
      <c r="F141" s="111">
        <f t="shared" si="95"/>
        <v>0.79999999999999938</v>
      </c>
      <c r="G141" s="1540">
        <f t="shared" si="106"/>
        <v>26.3</v>
      </c>
      <c r="H141" s="1162">
        <f t="shared" si="96"/>
        <v>854.44967105263174</v>
      </c>
      <c r="I141" s="29">
        <f t="shared" si="97"/>
        <v>1.0704706477732795</v>
      </c>
      <c r="J141" s="959">
        <v>798.2</v>
      </c>
      <c r="K141" s="959">
        <v>772.6</v>
      </c>
      <c r="L141" s="959">
        <f t="shared" si="107"/>
        <v>25.600000000000023</v>
      </c>
      <c r="M141" s="29">
        <f t="shared" si="98"/>
        <v>2.2032571189363575</v>
      </c>
      <c r="N141" s="29">
        <v>1.6525999999999998</v>
      </c>
      <c r="O141" s="111">
        <v>685.05319148936178</v>
      </c>
      <c r="P141" s="29">
        <f t="shared" ref="P141:P204" si="115">O141/H141</f>
        <v>0.80174785560560469</v>
      </c>
      <c r="Q141" s="1558">
        <f t="shared" si="80"/>
        <v>3.0780045789706896E-2</v>
      </c>
      <c r="R141" s="961">
        <f t="shared" si="81"/>
        <v>3.3005436189490034E-2</v>
      </c>
      <c r="S141" s="961">
        <f t="shared" si="82"/>
        <v>9.7740160676464544E-3</v>
      </c>
      <c r="T141" s="1535">
        <f t="shared" si="83"/>
        <v>3.8391179439397467E-2</v>
      </c>
      <c r="U141" s="1563">
        <v>54.5</v>
      </c>
      <c r="V141" s="111">
        <v>51.9</v>
      </c>
      <c r="W141" s="175">
        <f t="shared" si="99"/>
        <v>49</v>
      </c>
      <c r="X141" s="964">
        <f t="shared" si="87"/>
        <v>5.5</v>
      </c>
      <c r="Y141" s="1536">
        <f t="shared" si="90"/>
        <v>0.77562411005858933</v>
      </c>
      <c r="Z141" s="111">
        <f t="shared" si="100"/>
        <v>4.7243758899414106</v>
      </c>
      <c r="AA141" s="1536">
        <f t="shared" si="101"/>
        <v>0</v>
      </c>
      <c r="AB141" s="111">
        <f t="shared" si="102"/>
        <v>12.845647773279325</v>
      </c>
      <c r="AC141" s="111">
        <f t="shared" si="108"/>
        <v>5.5</v>
      </c>
      <c r="AD141" s="111">
        <f t="shared" si="109"/>
        <v>4.7243758899414106</v>
      </c>
      <c r="AE141" s="111">
        <f t="shared" si="110"/>
        <v>826.82772737167841</v>
      </c>
      <c r="AF141" s="29">
        <f t="shared" si="103"/>
        <v>-7.1225077515619836E-2</v>
      </c>
      <c r="AG141" s="587">
        <f t="shared" si="84"/>
        <v>31.02437588994141</v>
      </c>
      <c r="AH141" s="964">
        <f t="shared" si="111"/>
        <v>0</v>
      </c>
      <c r="AI141" s="964">
        <v>0</v>
      </c>
      <c r="AJ141" s="964">
        <f t="shared" si="112"/>
        <v>0</v>
      </c>
      <c r="AK141" s="964">
        <f t="shared" si="113"/>
        <v>5.5</v>
      </c>
      <c r="AL141" s="964">
        <f t="shared" si="104"/>
        <v>2.2157360551952374</v>
      </c>
      <c r="AM141" s="961">
        <f t="shared" si="105"/>
        <v>5.7134274875180573E-3</v>
      </c>
      <c r="AN141" s="964">
        <f t="shared" si="114"/>
        <v>3.2842639448047626</v>
      </c>
      <c r="AO141" s="965"/>
      <c r="AP141" s="1784"/>
      <c r="AQ141" s="1778"/>
      <c r="AR141" s="1778"/>
      <c r="AS141" s="175">
        <v>94.5</v>
      </c>
      <c r="AT141" s="175">
        <v>109</v>
      </c>
      <c r="AU141" s="111"/>
      <c r="AV141" s="111">
        <v>9.9</v>
      </c>
      <c r="AW141" s="175">
        <f t="shared" si="88"/>
        <v>101.02040816326522</v>
      </c>
      <c r="AX141" s="385"/>
      <c r="AY141" s="111">
        <v>4.0999999999999996</v>
      </c>
      <c r="AZ141" s="385"/>
      <c r="BA141" s="111">
        <f t="shared" si="91"/>
        <v>0.19999999999999973</v>
      </c>
      <c r="BB141" s="111">
        <v>3.9</v>
      </c>
      <c r="BC141" s="385"/>
      <c r="BD141" s="385"/>
      <c r="BE141" s="967">
        <f t="shared" si="93"/>
        <v>77.400000000000006</v>
      </c>
      <c r="BF141" s="2133">
        <f t="shared" si="92"/>
        <v>0.19958121207488855</v>
      </c>
      <c r="BG141" s="530"/>
    </row>
    <row r="142" spans="1:59" s="87" customFormat="1">
      <c r="A142" s="79">
        <v>1831</v>
      </c>
      <c r="B142" s="1540">
        <f>B141+(B$151-B$141)/10</f>
        <v>401.00493652776157</v>
      </c>
      <c r="C142" s="1162">
        <v>28.3</v>
      </c>
      <c r="D142" s="959">
        <v>24.4</v>
      </c>
      <c r="E142" s="959">
        <v>3.3</v>
      </c>
      <c r="F142" s="111">
        <f t="shared" si="95"/>
        <v>0.60000000000000231</v>
      </c>
      <c r="G142" s="1540">
        <f t="shared" si="106"/>
        <v>25</v>
      </c>
      <c r="H142" s="1162">
        <f t="shared" si="96"/>
        <v>841.60402327935242</v>
      </c>
      <c r="I142" s="29">
        <f t="shared" si="97"/>
        <v>1.0704706477732795</v>
      </c>
      <c r="J142" s="959">
        <v>786.2</v>
      </c>
      <c r="K142" s="959">
        <v>758.9</v>
      </c>
      <c r="L142" s="959">
        <f t="shared" si="107"/>
        <v>27.300000000000068</v>
      </c>
      <c r="M142" s="29">
        <f t="shared" si="98"/>
        <v>2.0987373137265313</v>
      </c>
      <c r="N142" s="29">
        <v>1.6378999999999999</v>
      </c>
      <c r="O142" s="111">
        <v>710.26256983240228</v>
      </c>
      <c r="P142" s="29">
        <f t="shared" si="115"/>
        <v>0.84393913311491597</v>
      </c>
      <c r="Q142" s="1558">
        <f t="shared" si="80"/>
        <v>2.9705181187925221E-2</v>
      </c>
      <c r="R142" s="961">
        <f t="shared" si="81"/>
        <v>3.2151798655949401E-2</v>
      </c>
      <c r="S142" s="961">
        <f t="shared" si="82"/>
        <v>7.2547861181234208E-3</v>
      </c>
      <c r="T142" s="1535">
        <f t="shared" si="83"/>
        <v>3.5198250705931397E-2</v>
      </c>
      <c r="U142" s="1563">
        <v>50.6</v>
      </c>
      <c r="V142" s="111">
        <v>51.5</v>
      </c>
      <c r="W142" s="175">
        <f t="shared" si="99"/>
        <v>48.2</v>
      </c>
      <c r="X142" s="964">
        <f t="shared" si="87"/>
        <v>2.3999999999999986</v>
      </c>
      <c r="Y142" s="1536">
        <f t="shared" si="90"/>
        <v>0.80200987305552318</v>
      </c>
      <c r="Z142" s="111">
        <f t="shared" si="100"/>
        <v>1.5979901269444754</v>
      </c>
      <c r="AA142" s="1536">
        <f t="shared" si="101"/>
        <v>0</v>
      </c>
      <c r="AB142" s="111">
        <f t="shared" si="102"/>
        <v>2.1409412955465541</v>
      </c>
      <c r="AC142" s="111">
        <f t="shared" si="108"/>
        <v>2.3999999999999986</v>
      </c>
      <c r="AD142" s="111">
        <f t="shared" si="109"/>
        <v>1.5979901269444754</v>
      </c>
      <c r="AE142" s="111">
        <f t="shared" si="110"/>
        <v>822.10335148173704</v>
      </c>
      <c r="AF142" s="29">
        <f t="shared" si="103"/>
        <v>-4.8629505577833083E-2</v>
      </c>
      <c r="AG142" s="587">
        <f t="shared" si="84"/>
        <v>26.597990126944474</v>
      </c>
      <c r="AH142" s="964">
        <f t="shared" si="111"/>
        <v>0</v>
      </c>
      <c r="AI142" s="964">
        <v>0</v>
      </c>
      <c r="AJ142" s="964">
        <f t="shared" si="112"/>
        <v>0</v>
      </c>
      <c r="AK142" s="964">
        <f t="shared" si="113"/>
        <v>2.3999999999999986</v>
      </c>
      <c r="AL142" s="964">
        <f t="shared" si="104"/>
        <v>2.2911126269881468</v>
      </c>
      <c r="AM142" s="961">
        <f t="shared" si="105"/>
        <v>5.7134274875180573E-3</v>
      </c>
      <c r="AN142" s="964">
        <f t="shared" si="114"/>
        <v>0.10888737301185181</v>
      </c>
      <c r="AO142" s="965"/>
      <c r="AP142" s="1784"/>
      <c r="AQ142" s="1778"/>
      <c r="AR142" s="1778"/>
      <c r="AS142" s="175">
        <v>95.3</v>
      </c>
      <c r="AT142" s="175">
        <v>112</v>
      </c>
      <c r="AU142" s="111"/>
      <c r="AV142" s="111">
        <v>10.9</v>
      </c>
      <c r="AW142" s="175">
        <f t="shared" si="88"/>
        <v>111.22448979591827</v>
      </c>
      <c r="AX142" s="385"/>
      <c r="AY142" s="111">
        <v>-1.1000000000000001</v>
      </c>
      <c r="AZ142" s="385"/>
      <c r="BA142" s="111">
        <f t="shared" si="91"/>
        <v>-5</v>
      </c>
      <c r="BB142" s="111">
        <v>3.9</v>
      </c>
      <c r="BC142" s="385"/>
      <c r="BD142" s="385"/>
      <c r="BE142" s="967">
        <f t="shared" si="93"/>
        <v>81.5</v>
      </c>
      <c r="BF142" s="2133">
        <f t="shared" si="92"/>
        <v>0.20323939327454577</v>
      </c>
      <c r="BG142" s="530"/>
    </row>
    <row r="143" spans="1:59" s="87" customFormat="1">
      <c r="A143" s="79">
        <v>1832</v>
      </c>
      <c r="B143" s="1540">
        <f t="shared" ref="B143:B150" si="116">B142+(B$151-B$141)/10</f>
        <v>414.1978180262285</v>
      </c>
      <c r="C143" s="1162">
        <v>28.3</v>
      </c>
      <c r="D143" s="959">
        <v>24.3</v>
      </c>
      <c r="E143" s="959">
        <v>3.3</v>
      </c>
      <c r="F143" s="111">
        <f t="shared" si="95"/>
        <v>0.70000000000000018</v>
      </c>
      <c r="G143" s="1540">
        <f t="shared" si="106"/>
        <v>25</v>
      </c>
      <c r="H143" s="1162">
        <f t="shared" si="96"/>
        <v>839.46308198380586</v>
      </c>
      <c r="I143" s="29">
        <f t="shared" si="97"/>
        <v>1.0704706477732795</v>
      </c>
      <c r="J143" s="959">
        <v>784.2</v>
      </c>
      <c r="K143" s="959">
        <v>757</v>
      </c>
      <c r="L143" s="959">
        <f t="shared" si="107"/>
        <v>27.200000000000045</v>
      </c>
      <c r="M143" s="29">
        <f t="shared" si="98"/>
        <v>2.0267201937086208</v>
      </c>
      <c r="N143" s="29">
        <v>1.7084999999999999</v>
      </c>
      <c r="O143" s="111">
        <v>742.59649122807014</v>
      </c>
      <c r="P143" s="29">
        <f t="shared" si="115"/>
        <v>0.88460887341606242</v>
      </c>
      <c r="Q143" s="1558">
        <f t="shared" si="80"/>
        <v>2.9780940385038011E-2</v>
      </c>
      <c r="R143" s="961">
        <f t="shared" si="81"/>
        <v>3.2100396301188903E-2</v>
      </c>
      <c r="S143" s="961">
        <f t="shared" si="82"/>
        <v>8.4886470789130395E-3</v>
      </c>
      <c r="T143" s="1535">
        <f t="shared" si="83"/>
        <v>3.3665658665658668E-2</v>
      </c>
      <c r="U143" s="1563">
        <v>51.1</v>
      </c>
      <c r="V143" s="111">
        <v>50.6</v>
      </c>
      <c r="W143" s="175">
        <f t="shared" si="99"/>
        <v>47.300000000000004</v>
      </c>
      <c r="X143" s="964">
        <f t="shared" si="87"/>
        <v>3.7999999999999972</v>
      </c>
      <c r="Y143" s="1536">
        <f t="shared" si="90"/>
        <v>0.82839563605245703</v>
      </c>
      <c r="Z143" s="111">
        <f t="shared" si="100"/>
        <v>2.9716043639475402</v>
      </c>
      <c r="AA143" s="1536">
        <f t="shared" si="101"/>
        <v>0</v>
      </c>
      <c r="AB143" s="111">
        <f t="shared" si="102"/>
        <v>1.2845647773280007</v>
      </c>
      <c r="AC143" s="111">
        <f t="shared" si="108"/>
        <v>3.7999999999999972</v>
      </c>
      <c r="AD143" s="111">
        <f t="shared" si="109"/>
        <v>2.9716043639475402</v>
      </c>
      <c r="AE143" s="111">
        <f t="shared" si="110"/>
        <v>820.50536135479251</v>
      </c>
      <c r="AF143" s="29">
        <f t="shared" si="103"/>
        <v>-4.5769725971402581E-2</v>
      </c>
      <c r="AG143" s="587">
        <f t="shared" si="84"/>
        <v>27.971604363947542</v>
      </c>
      <c r="AH143" s="964">
        <f t="shared" si="111"/>
        <v>0</v>
      </c>
      <c r="AI143" s="964">
        <v>0</v>
      </c>
      <c r="AJ143" s="964">
        <f t="shared" si="112"/>
        <v>0</v>
      </c>
      <c r="AK143" s="964">
        <f t="shared" si="113"/>
        <v>3.7999999999999972</v>
      </c>
      <c r="AL143" s="964">
        <f t="shared" si="104"/>
        <v>2.3664891987810561</v>
      </c>
      <c r="AM143" s="961">
        <f t="shared" si="105"/>
        <v>5.7134274875180573E-3</v>
      </c>
      <c r="AN143" s="964">
        <f t="shared" si="114"/>
        <v>1.433510801218941</v>
      </c>
      <c r="AO143" s="965"/>
      <c r="AP143" s="1784"/>
      <c r="AQ143" s="1778"/>
      <c r="AR143" s="1778"/>
      <c r="AS143" s="175">
        <v>91.5</v>
      </c>
      <c r="AT143" s="175">
        <v>109</v>
      </c>
      <c r="AU143" s="111"/>
      <c r="AV143" s="111">
        <v>10.1</v>
      </c>
      <c r="AW143" s="175">
        <f t="shared" si="88"/>
        <v>103.06122448979582</v>
      </c>
      <c r="AX143" s="385"/>
      <c r="AY143" s="111">
        <v>7.3</v>
      </c>
      <c r="AZ143" s="385"/>
      <c r="BA143" s="111">
        <f t="shared" si="91"/>
        <v>3</v>
      </c>
      <c r="BB143" s="111">
        <v>4.3</v>
      </c>
      <c r="BC143" s="385"/>
      <c r="BD143" s="385"/>
      <c r="BE143" s="967">
        <f t="shared" si="93"/>
        <v>80.400000000000006</v>
      </c>
      <c r="BF143" s="2133">
        <f t="shared" si="92"/>
        <v>0.19411014858342104</v>
      </c>
      <c r="BG143" s="530"/>
    </row>
    <row r="144" spans="1:59" s="87" customFormat="1">
      <c r="A144" s="79">
        <v>1833</v>
      </c>
      <c r="B144" s="1540">
        <f t="shared" si="116"/>
        <v>427.39069952469544</v>
      </c>
      <c r="C144" s="1162">
        <v>28.5</v>
      </c>
      <c r="D144" s="959">
        <v>24.3</v>
      </c>
      <c r="E144" s="959">
        <v>3.5</v>
      </c>
      <c r="F144" s="111">
        <f t="shared" si="95"/>
        <v>0.69999999999999929</v>
      </c>
      <c r="G144" s="1540">
        <f t="shared" si="106"/>
        <v>25</v>
      </c>
      <c r="H144" s="1162">
        <f t="shared" si="96"/>
        <v>838.17851720647786</v>
      </c>
      <c r="I144" s="29">
        <f t="shared" si="97"/>
        <v>1.0704706477732795</v>
      </c>
      <c r="J144" s="959">
        <v>783</v>
      </c>
      <c r="K144" s="959">
        <v>755.6</v>
      </c>
      <c r="L144" s="959">
        <f t="shared" si="107"/>
        <v>27.399999999999977</v>
      </c>
      <c r="M144" s="29">
        <f t="shared" si="98"/>
        <v>1.9611529173157554</v>
      </c>
      <c r="N144" s="29">
        <v>1.7284999999999999</v>
      </c>
      <c r="O144" s="111">
        <v>764.76506024096386</v>
      </c>
      <c r="P144" s="29">
        <f t="shared" si="115"/>
        <v>0.9124131011968788</v>
      </c>
      <c r="Q144" s="1558">
        <f t="shared" ref="Q144:Q175" si="117">(C144-E144)/H144</f>
        <v>2.9826581672984433E-2</v>
      </c>
      <c r="R144" s="961">
        <f t="shared" ref="R144:R175" si="118">D144/K144</f>
        <v>3.2159872948650081E-2</v>
      </c>
      <c r="S144" s="961">
        <f t="shared" ref="S144:S175" si="119">F144/(H144-K144)</f>
        <v>8.4767809314101866E-3</v>
      </c>
      <c r="T144" s="1535">
        <f t="shared" ref="T144:T175" si="120">(G144)/O144</f>
        <v>3.2689777945821619E-2</v>
      </c>
      <c r="U144" s="1563">
        <v>50.2</v>
      </c>
      <c r="V144" s="111">
        <v>48.8</v>
      </c>
      <c r="W144" s="175">
        <f t="shared" si="99"/>
        <v>45.3</v>
      </c>
      <c r="X144" s="964">
        <f t="shared" si="87"/>
        <v>4.9000000000000057</v>
      </c>
      <c r="Y144" s="1536">
        <f t="shared" si="90"/>
        <v>0.85478139904939088</v>
      </c>
      <c r="Z144" s="111">
        <f t="shared" si="100"/>
        <v>4.0452186009506148</v>
      </c>
      <c r="AA144" s="1536">
        <f t="shared" si="101"/>
        <v>0</v>
      </c>
      <c r="AB144" s="111">
        <f t="shared" si="102"/>
        <v>1.819800101214696</v>
      </c>
      <c r="AC144" s="111">
        <f t="shared" si="108"/>
        <v>4.9000000000000057</v>
      </c>
      <c r="AD144" s="111">
        <f t="shared" si="109"/>
        <v>4.0452186009506148</v>
      </c>
      <c r="AE144" s="111">
        <f t="shared" si="110"/>
        <v>817.53375699084495</v>
      </c>
      <c r="AF144" s="29">
        <f t="shared" si="103"/>
        <v>-4.8304186868343452E-2</v>
      </c>
      <c r="AG144" s="587">
        <f t="shared" ref="AG144:AG175" si="121">AD144+G144</f>
        <v>29.045218600950616</v>
      </c>
      <c r="AH144" s="964">
        <f t="shared" si="111"/>
        <v>0</v>
      </c>
      <c r="AI144" s="964">
        <v>0</v>
      </c>
      <c r="AJ144" s="964">
        <f t="shared" si="112"/>
        <v>0</v>
      </c>
      <c r="AK144" s="964">
        <f t="shared" si="113"/>
        <v>4.9000000000000057</v>
      </c>
      <c r="AL144" s="964">
        <f t="shared" si="104"/>
        <v>2.4418657705739655</v>
      </c>
      <c r="AM144" s="961">
        <f t="shared" si="105"/>
        <v>5.7134274875180573E-3</v>
      </c>
      <c r="AN144" s="964">
        <f t="shared" si="114"/>
        <v>2.4581342294260402</v>
      </c>
      <c r="AO144" s="965"/>
      <c r="AP144" s="1784"/>
      <c r="AQ144" s="1778"/>
      <c r="AR144" s="1778"/>
      <c r="AS144" s="175">
        <v>88.6</v>
      </c>
      <c r="AT144" s="175">
        <v>107</v>
      </c>
      <c r="AU144" s="111"/>
      <c r="AV144" s="111">
        <v>9.5</v>
      </c>
      <c r="AW144" s="175">
        <f t="shared" si="88"/>
        <v>96.938775510203996</v>
      </c>
      <c r="AX144" s="385"/>
      <c r="AY144" s="111">
        <v>6</v>
      </c>
      <c r="AZ144" s="385"/>
      <c r="BA144" s="111">
        <f t="shared" si="91"/>
        <v>1.2000000000000002</v>
      </c>
      <c r="BB144" s="111">
        <v>4.8</v>
      </c>
      <c r="BC144" s="385"/>
      <c r="BD144" s="385"/>
      <c r="BE144" s="967">
        <f t="shared" si="93"/>
        <v>87.7</v>
      </c>
      <c r="BF144" s="2133">
        <f t="shared" si="92"/>
        <v>0.20519866271664747</v>
      </c>
      <c r="BG144" s="530"/>
    </row>
    <row r="145" spans="1:59" s="87" customFormat="1">
      <c r="A145" s="79">
        <v>1834</v>
      </c>
      <c r="B145" s="1540">
        <f t="shared" si="116"/>
        <v>440.58358102316237</v>
      </c>
      <c r="C145" s="1162">
        <v>28.5</v>
      </c>
      <c r="D145" s="959">
        <v>24.2</v>
      </c>
      <c r="E145" s="959">
        <v>3.7</v>
      </c>
      <c r="F145" s="111">
        <f t="shared" si="95"/>
        <v>0.60000000000000053</v>
      </c>
      <c r="G145" s="1540">
        <f t="shared" si="106"/>
        <v>24.8</v>
      </c>
      <c r="H145" s="1162">
        <f t="shared" si="96"/>
        <v>836.35871710526317</v>
      </c>
      <c r="I145" s="29">
        <f t="shared" si="97"/>
        <v>1.0704706477732795</v>
      </c>
      <c r="J145" s="959">
        <v>781.3</v>
      </c>
      <c r="K145" s="959">
        <v>753.2</v>
      </c>
      <c r="L145" s="959">
        <f t="shared" si="107"/>
        <v>28.099999999999909</v>
      </c>
      <c r="M145" s="29">
        <f t="shared" si="98"/>
        <v>1.8982975152251398</v>
      </c>
      <c r="N145" s="29">
        <v>1.6243000000000001</v>
      </c>
      <c r="O145" s="111">
        <v>771.08206686930089</v>
      </c>
      <c r="P145" s="29">
        <f t="shared" si="115"/>
        <v>0.92195137217928147</v>
      </c>
      <c r="Q145" s="1558">
        <f t="shared" si="117"/>
        <v>2.9652348319911995E-2</v>
      </c>
      <c r="R145" s="961">
        <f t="shared" si="118"/>
        <v>3.2129580456718002E-2</v>
      </c>
      <c r="S145" s="961">
        <f t="shared" si="119"/>
        <v>7.2151185213753912E-3</v>
      </c>
      <c r="T145" s="1535">
        <f t="shared" si="120"/>
        <v>3.2162594703688811E-2</v>
      </c>
      <c r="U145" s="1563">
        <v>50.4</v>
      </c>
      <c r="V145" s="111">
        <v>48.9</v>
      </c>
      <c r="W145" s="175">
        <f t="shared" si="99"/>
        <v>45.199999999999996</v>
      </c>
      <c r="X145" s="964">
        <f t="shared" si="87"/>
        <v>5.2000000000000028</v>
      </c>
      <c r="Y145" s="1536">
        <f t="shared" si="90"/>
        <v>0.88116716204632473</v>
      </c>
      <c r="Z145" s="111">
        <f t="shared" si="100"/>
        <v>4.3188328379536784</v>
      </c>
      <c r="AA145" s="1536">
        <f t="shared" si="101"/>
        <v>0</v>
      </c>
      <c r="AB145" s="111">
        <f t="shared" si="102"/>
        <v>6.8510121457488822</v>
      </c>
      <c r="AC145" s="111">
        <f t="shared" si="108"/>
        <v>5.2000000000000028</v>
      </c>
      <c r="AD145" s="111">
        <f t="shared" si="109"/>
        <v>4.3188328379536784</v>
      </c>
      <c r="AE145" s="111">
        <f t="shared" si="110"/>
        <v>813.4885383898943</v>
      </c>
      <c r="AF145" s="29">
        <f t="shared" si="103"/>
        <v>-5.1908831151305512E-2</v>
      </c>
      <c r="AG145" s="587">
        <f t="shared" si="121"/>
        <v>29.118832837953679</v>
      </c>
      <c r="AH145" s="964">
        <f t="shared" si="111"/>
        <v>0</v>
      </c>
      <c r="AI145" s="964">
        <v>0</v>
      </c>
      <c r="AJ145" s="964">
        <f t="shared" si="112"/>
        <v>0</v>
      </c>
      <c r="AK145" s="964">
        <f t="shared" si="113"/>
        <v>5.2000000000000028</v>
      </c>
      <c r="AL145" s="964">
        <f t="shared" si="104"/>
        <v>2.5172423423668748</v>
      </c>
      <c r="AM145" s="961">
        <f t="shared" si="105"/>
        <v>5.7134274875180573E-3</v>
      </c>
      <c r="AN145" s="964">
        <f t="shared" si="114"/>
        <v>2.682757657633128</v>
      </c>
      <c r="AO145" s="965"/>
      <c r="AP145" s="1784"/>
      <c r="AQ145" s="1778"/>
      <c r="AR145" s="1778"/>
      <c r="AS145" s="175">
        <v>86.5</v>
      </c>
      <c r="AT145" s="175">
        <v>112</v>
      </c>
      <c r="AU145" s="111"/>
      <c r="AV145" s="111">
        <v>8.6999999999999993</v>
      </c>
      <c r="AW145" s="175">
        <f t="shared" si="88"/>
        <v>88.775510204081556</v>
      </c>
      <c r="AX145" s="385"/>
      <c r="AY145" s="111">
        <v>4.8</v>
      </c>
      <c r="AZ145" s="385"/>
      <c r="BA145" s="111">
        <f t="shared" si="91"/>
        <v>-1.2999999999999998</v>
      </c>
      <c r="BB145" s="111">
        <v>6.1</v>
      </c>
      <c r="BC145" s="385"/>
      <c r="BD145" s="385"/>
      <c r="BE145" s="967">
        <f t="shared" si="93"/>
        <v>93.7</v>
      </c>
      <c r="BF145" s="2133">
        <f t="shared" si="92"/>
        <v>0.21267247359150682</v>
      </c>
      <c r="BG145" s="530"/>
    </row>
    <row r="146" spans="1:59" s="87" customFormat="1">
      <c r="A146" s="79">
        <v>1835</v>
      </c>
      <c r="B146" s="1540">
        <f t="shared" si="116"/>
        <v>453.7764625216293</v>
      </c>
      <c r="C146" s="1162">
        <v>28.6</v>
      </c>
      <c r="D146" s="959">
        <v>23.8</v>
      </c>
      <c r="E146" s="959">
        <v>4</v>
      </c>
      <c r="F146" s="111">
        <f t="shared" si="95"/>
        <v>0.80000000000000071</v>
      </c>
      <c r="G146" s="1540">
        <f t="shared" si="106"/>
        <v>24.6</v>
      </c>
      <c r="H146" s="1162">
        <f>J146*I146</f>
        <v>829.50770495951429</v>
      </c>
      <c r="I146" s="29">
        <f>I$147</f>
        <v>1.0704706477732795</v>
      </c>
      <c r="J146" s="959">
        <v>774.9</v>
      </c>
      <c r="K146" s="959">
        <v>745.3</v>
      </c>
      <c r="L146" s="959">
        <f t="shared" si="107"/>
        <v>29.600000000000023</v>
      </c>
      <c r="M146" s="29">
        <f t="shared" si="98"/>
        <v>1.8280095453826579</v>
      </c>
      <c r="N146" s="29">
        <v>1.5253999999999999</v>
      </c>
      <c r="O146" s="111">
        <v>752.41791044776119</v>
      </c>
      <c r="P146" s="29">
        <f t="shared" si="115"/>
        <v>0.90706560764795352</v>
      </c>
      <c r="Q146" s="1558">
        <f t="shared" si="117"/>
        <v>2.9656144063424525E-2</v>
      </c>
      <c r="R146" s="961">
        <f t="shared" si="118"/>
        <v>3.1933449617603651E-2</v>
      </c>
      <c r="S146" s="961">
        <f t="shared" si="119"/>
        <v>9.5003182949188261E-3</v>
      </c>
      <c r="T146" s="1535">
        <f t="shared" si="120"/>
        <v>3.2694596524636993E-2</v>
      </c>
      <c r="U146" s="1563">
        <v>50</v>
      </c>
      <c r="V146" s="111">
        <v>65.2</v>
      </c>
      <c r="W146" s="175">
        <f t="shared" si="99"/>
        <v>61.2</v>
      </c>
      <c r="X146" s="964">
        <f t="shared" si="87"/>
        <v>-11.200000000000003</v>
      </c>
      <c r="Y146" s="1536">
        <f t="shared" si="90"/>
        <v>0.90755292504325857</v>
      </c>
      <c r="Z146" s="111">
        <f t="shared" si="100"/>
        <v>-12.107552925043262</v>
      </c>
      <c r="AA146" s="1536">
        <f t="shared" si="101"/>
        <v>0</v>
      </c>
      <c r="AB146" s="111">
        <f t="shared" si="102"/>
        <v>-16.592295040485737</v>
      </c>
      <c r="AC146" s="111">
        <f t="shared" si="108"/>
        <v>-11.200000000000003</v>
      </c>
      <c r="AD146" s="111">
        <f t="shared" si="109"/>
        <v>-12.107552925043262</v>
      </c>
      <c r="AE146" s="111">
        <f t="shared" si="110"/>
        <v>809.16970555194064</v>
      </c>
      <c r="AF146" s="29">
        <f t="shared" si="103"/>
        <v>-4.4819423410715653E-2</v>
      </c>
      <c r="AG146" s="587">
        <f t="shared" si="121"/>
        <v>12.49244707495674</v>
      </c>
      <c r="AH146" s="964">
        <f t="shared" si="111"/>
        <v>0</v>
      </c>
      <c r="AI146" s="964">
        <v>0</v>
      </c>
      <c r="AJ146" s="964">
        <f t="shared" si="112"/>
        <v>0</v>
      </c>
      <c r="AK146" s="964">
        <f t="shared" si="113"/>
        <v>-11.200000000000003</v>
      </c>
      <c r="AL146" s="964">
        <f t="shared" si="104"/>
        <v>2.5926189141597842</v>
      </c>
      <c r="AM146" s="961">
        <f t="shared" si="105"/>
        <v>5.7134274875180573E-3</v>
      </c>
      <c r="AN146" s="964">
        <f t="shared" si="114"/>
        <v>-13.792618914159787</v>
      </c>
      <c r="AO146" s="965"/>
      <c r="AP146" s="1784"/>
      <c r="AQ146" s="1778"/>
      <c r="AR146" s="1778"/>
      <c r="AS146" s="175">
        <v>84.5</v>
      </c>
      <c r="AT146" s="175">
        <v>112</v>
      </c>
      <c r="AU146" s="175">
        <f>AU156*AVERAGE(AS142:AS151)/AVERAGE(AS152:AS161)</f>
        <v>104.30113294016688</v>
      </c>
      <c r="AV146" s="111">
        <v>8.9</v>
      </c>
      <c r="AW146" s="175">
        <f t="shared" si="88"/>
        <v>90.816326530612187</v>
      </c>
      <c r="AX146" s="385"/>
      <c r="AY146" s="111">
        <v>11.9</v>
      </c>
      <c r="AZ146" s="385"/>
      <c r="BA146" s="111">
        <f t="shared" si="91"/>
        <v>4.1000000000000005</v>
      </c>
      <c r="BB146" s="111">
        <v>7.8</v>
      </c>
      <c r="BC146" s="385"/>
      <c r="BD146" s="385"/>
      <c r="BE146" s="967">
        <f t="shared" si="93"/>
        <v>98.5</v>
      </c>
      <c r="BF146" s="2133">
        <f t="shared" si="92"/>
        <v>0.21706723053160781</v>
      </c>
      <c r="BG146" s="530"/>
    </row>
    <row r="147" spans="1:59" s="87" customFormat="1">
      <c r="A147" s="79">
        <v>1836</v>
      </c>
      <c r="B147" s="1540">
        <f t="shared" si="116"/>
        <v>466.96934402009623</v>
      </c>
      <c r="C147" s="1162">
        <v>29.4</v>
      </c>
      <c r="D147" s="959">
        <v>24.4</v>
      </c>
      <c r="E147" s="959">
        <v>4.2</v>
      </c>
      <c r="F147" s="111">
        <f t="shared" si="95"/>
        <v>0.79999999999999982</v>
      </c>
      <c r="G147" s="1540">
        <f t="shared" si="106"/>
        <v>25.2</v>
      </c>
      <c r="H147" s="1551">
        <v>846.1</v>
      </c>
      <c r="I147" s="29">
        <f t="shared" ref="I147:I203" si="122">H147/J147</f>
        <v>1.0704706477732795</v>
      </c>
      <c r="J147" s="959">
        <v>790.4</v>
      </c>
      <c r="K147" s="1427">
        <v>760.3</v>
      </c>
      <c r="L147" s="959">
        <f t="shared" si="107"/>
        <v>30.100000000000023</v>
      </c>
      <c r="M147" s="29">
        <f t="shared" si="98"/>
        <v>1.8118962429439216</v>
      </c>
      <c r="N147" s="29">
        <v>1.4583000000000002</v>
      </c>
      <c r="O147" s="111">
        <v>776.76363636363635</v>
      </c>
      <c r="P147" s="29">
        <f t="shared" si="115"/>
        <v>0.91805180990856439</v>
      </c>
      <c r="Q147" s="1558">
        <f t="shared" si="117"/>
        <v>2.9783713509041482E-2</v>
      </c>
      <c r="R147" s="961">
        <f t="shared" si="118"/>
        <v>3.2092595028278312E-2</v>
      </c>
      <c r="S147" s="961">
        <f t="shared" si="119"/>
        <v>9.3240093240093153E-3</v>
      </c>
      <c r="T147" s="1535">
        <f t="shared" si="120"/>
        <v>3.2442301390384343E-2</v>
      </c>
      <c r="U147" s="1563">
        <v>52.6</v>
      </c>
      <c r="V147" s="111">
        <v>54</v>
      </c>
      <c r="W147" s="175">
        <f t="shared" si="99"/>
        <v>49.8</v>
      </c>
      <c r="X147" s="964">
        <f t="shared" si="87"/>
        <v>2.8000000000000043</v>
      </c>
      <c r="Y147" s="1536">
        <f t="shared" si="90"/>
        <v>0.93393868804019253</v>
      </c>
      <c r="Z147" s="111">
        <f t="shared" si="100"/>
        <v>1.8660613119598117</v>
      </c>
      <c r="AA147" s="1536">
        <f t="shared" si="101"/>
        <v>0</v>
      </c>
      <c r="AB147" s="111">
        <f t="shared" si="102"/>
        <v>0.60000000000002274</v>
      </c>
      <c r="AC147" s="111">
        <f t="shared" si="108"/>
        <v>2.8000000000000043</v>
      </c>
      <c r="AD147" s="111">
        <f t="shared" si="109"/>
        <v>1.8660613119598117</v>
      </c>
      <c r="AE147" s="111">
        <f t="shared" si="110"/>
        <v>821.27725847698389</v>
      </c>
      <c r="AF147" s="29">
        <f t="shared" si="103"/>
        <v>-5.3157111576788811E-2</v>
      </c>
      <c r="AG147" s="587">
        <f t="shared" si="121"/>
        <v>27.06606131195981</v>
      </c>
      <c r="AH147" s="964">
        <f t="shared" si="111"/>
        <v>0</v>
      </c>
      <c r="AI147" s="964">
        <v>0</v>
      </c>
      <c r="AJ147" s="964">
        <f t="shared" si="112"/>
        <v>0</v>
      </c>
      <c r="AK147" s="964">
        <f t="shared" si="113"/>
        <v>2.8000000000000043</v>
      </c>
      <c r="AL147" s="964">
        <f t="shared" si="104"/>
        <v>2.6679954859526935</v>
      </c>
      <c r="AM147" s="961">
        <f t="shared" si="105"/>
        <v>5.7134274875180573E-3</v>
      </c>
      <c r="AN147" s="964">
        <f t="shared" si="114"/>
        <v>0.13200451404731073</v>
      </c>
      <c r="AO147" s="965"/>
      <c r="AP147" s="1784"/>
      <c r="AQ147" s="1778"/>
      <c r="AR147" s="1778"/>
      <c r="AS147" s="175">
        <v>95.199999999999989</v>
      </c>
      <c r="AT147" s="175">
        <v>123</v>
      </c>
      <c r="AU147" s="111"/>
      <c r="AV147" s="111">
        <v>9.9</v>
      </c>
      <c r="AW147" s="175">
        <f t="shared" si="88"/>
        <v>101.02040816326524</v>
      </c>
      <c r="AX147" s="385"/>
      <c r="AY147" s="111">
        <v>4</v>
      </c>
      <c r="AZ147" s="385"/>
      <c r="BA147" s="111">
        <f t="shared" si="91"/>
        <v>-4.5999999999999996</v>
      </c>
      <c r="BB147" s="111">
        <v>8.6</v>
      </c>
      <c r="BC147" s="385"/>
      <c r="BD147" s="385"/>
      <c r="BE147" s="967">
        <f t="shared" si="93"/>
        <v>110.4</v>
      </c>
      <c r="BF147" s="2133">
        <f t="shared" si="92"/>
        <v>0.2364180891395922</v>
      </c>
      <c r="BG147" s="530"/>
    </row>
    <row r="148" spans="1:59" s="87" customFormat="1">
      <c r="A148" s="79">
        <v>1837</v>
      </c>
      <c r="B148" s="1540">
        <f t="shared" si="116"/>
        <v>480.16222551856316</v>
      </c>
      <c r="C148" s="1162">
        <v>29.6</v>
      </c>
      <c r="D148" s="959">
        <v>24.5</v>
      </c>
      <c r="E148" s="959">
        <v>4.2</v>
      </c>
      <c r="F148" s="111">
        <f t="shared" si="95"/>
        <v>0.90000000000000124</v>
      </c>
      <c r="G148" s="1540">
        <f t="shared" si="106"/>
        <v>25.400000000000002</v>
      </c>
      <c r="H148" s="1551">
        <v>845.5</v>
      </c>
      <c r="I148" s="29">
        <f t="shared" si="122"/>
        <v>1.0690352762675432</v>
      </c>
      <c r="J148" s="959">
        <v>790.9</v>
      </c>
      <c r="K148" s="1427">
        <v>763.2</v>
      </c>
      <c r="L148" s="959">
        <f t="shared" si="107"/>
        <v>27.699999999999932</v>
      </c>
      <c r="M148" s="29">
        <f t="shared" si="98"/>
        <v>1.7608632146914123</v>
      </c>
      <c r="N148" s="29">
        <v>1.518</v>
      </c>
      <c r="O148" s="111">
        <v>792.89164086687288</v>
      </c>
      <c r="P148" s="29">
        <f t="shared" si="115"/>
        <v>0.93777840433692827</v>
      </c>
      <c r="Q148" s="1558">
        <f t="shared" si="117"/>
        <v>3.0041395623891191E-2</v>
      </c>
      <c r="R148" s="961">
        <f t="shared" si="118"/>
        <v>3.2101677148846958E-2</v>
      </c>
      <c r="S148" s="961">
        <f t="shared" si="119"/>
        <v>1.0935601458080216E-2</v>
      </c>
      <c r="T148" s="1535">
        <f t="shared" si="120"/>
        <v>3.2034642176615759E-2</v>
      </c>
      <c r="U148" s="1563">
        <v>50.4</v>
      </c>
      <c r="V148" s="111">
        <v>51.1</v>
      </c>
      <c r="W148" s="175">
        <f t="shared" si="99"/>
        <v>46.9</v>
      </c>
      <c r="X148" s="964">
        <f t="shared" si="87"/>
        <v>3.5</v>
      </c>
      <c r="Y148" s="1536">
        <f t="shared" si="90"/>
        <v>0.96032445103712638</v>
      </c>
      <c r="Z148" s="111">
        <f t="shared" si="100"/>
        <v>2.5396755489628737</v>
      </c>
      <c r="AA148" s="1536">
        <f t="shared" si="101"/>
        <v>0</v>
      </c>
      <c r="AB148" s="111">
        <f t="shared" si="102"/>
        <v>3.6000000000000227</v>
      </c>
      <c r="AC148" s="111">
        <f t="shared" si="108"/>
        <v>3.5</v>
      </c>
      <c r="AD148" s="111">
        <f t="shared" si="109"/>
        <v>2.5396755489628737</v>
      </c>
      <c r="AE148" s="111">
        <f t="shared" si="110"/>
        <v>819.41119716502408</v>
      </c>
      <c r="AF148" s="29">
        <f t="shared" si="103"/>
        <v>-5.4333309553454917E-2</v>
      </c>
      <c r="AG148" s="587">
        <f t="shared" si="121"/>
        <v>27.939675548962875</v>
      </c>
      <c r="AH148" s="964">
        <f t="shared" si="111"/>
        <v>0</v>
      </c>
      <c r="AI148" s="964">
        <v>0</v>
      </c>
      <c r="AJ148" s="964">
        <f t="shared" si="112"/>
        <v>0</v>
      </c>
      <c r="AK148" s="964">
        <f t="shared" si="113"/>
        <v>3.5</v>
      </c>
      <c r="AL148" s="964">
        <f t="shared" si="104"/>
        <v>2.7433720577456033</v>
      </c>
      <c r="AM148" s="961">
        <f t="shared" si="105"/>
        <v>5.7134274875180573E-3</v>
      </c>
      <c r="AN148" s="964">
        <f t="shared" si="114"/>
        <v>0.75662794225439667</v>
      </c>
      <c r="AO148" s="965"/>
      <c r="AP148" s="1784"/>
      <c r="AQ148" s="1778"/>
      <c r="AR148" s="1778"/>
      <c r="AS148" s="175">
        <v>94.3</v>
      </c>
      <c r="AT148" s="175">
        <v>118</v>
      </c>
      <c r="AU148" s="111"/>
      <c r="AV148" s="111">
        <v>10.1</v>
      </c>
      <c r="AW148" s="175">
        <f t="shared" si="88"/>
        <v>103.06122448979585</v>
      </c>
      <c r="AX148" s="385"/>
      <c r="AY148" s="111">
        <v>4.3</v>
      </c>
      <c r="AZ148" s="385"/>
      <c r="BA148" s="111">
        <f t="shared" si="91"/>
        <v>-4.1000000000000005</v>
      </c>
      <c r="BB148" s="111">
        <v>8.4</v>
      </c>
      <c r="BC148" s="385"/>
      <c r="BD148" s="385"/>
      <c r="BE148" s="967">
        <f t="shared" si="93"/>
        <v>114.4</v>
      </c>
      <c r="BF148" s="2133">
        <f t="shared" si="92"/>
        <v>0.23825281107119761</v>
      </c>
      <c r="BG148" s="530"/>
    </row>
    <row r="149" spans="1:59" s="87" customFormat="1">
      <c r="A149" s="79">
        <v>1838</v>
      </c>
      <c r="B149" s="1540">
        <f t="shared" si="116"/>
        <v>493.35510701703009</v>
      </c>
      <c r="C149" s="1162">
        <v>29.4</v>
      </c>
      <c r="D149" s="959">
        <v>24.5</v>
      </c>
      <c r="E149" s="959">
        <v>4.2</v>
      </c>
      <c r="F149" s="111">
        <f t="shared" si="95"/>
        <v>0.6999999999999984</v>
      </c>
      <c r="G149" s="1540">
        <f t="shared" si="106"/>
        <v>25.2</v>
      </c>
      <c r="H149" s="1551">
        <v>841.9</v>
      </c>
      <c r="I149" s="29">
        <f t="shared" si="122"/>
        <v>1.0671821523640512</v>
      </c>
      <c r="J149" s="959">
        <v>788.9</v>
      </c>
      <c r="K149" s="1427">
        <v>763.6</v>
      </c>
      <c r="L149" s="959">
        <f t="shared" si="107"/>
        <v>25.299999999999955</v>
      </c>
      <c r="M149" s="29">
        <f t="shared" si="98"/>
        <v>1.706478737172449</v>
      </c>
      <c r="N149" s="29">
        <v>1.4265999999999999</v>
      </c>
      <c r="O149" s="111">
        <v>777.82317073170736</v>
      </c>
      <c r="P149" s="29">
        <f t="shared" si="115"/>
        <v>0.92389021348343914</v>
      </c>
      <c r="Q149" s="1558">
        <f t="shared" si="117"/>
        <v>2.9932295997149305E-2</v>
      </c>
      <c r="R149" s="961">
        <f t="shared" si="118"/>
        <v>3.2084861183865894E-2</v>
      </c>
      <c r="S149" s="961">
        <f t="shared" si="119"/>
        <v>8.9399744572158206E-3</v>
      </c>
      <c r="T149" s="1535">
        <f t="shared" si="120"/>
        <v>3.239810916958679E-2</v>
      </c>
      <c r="U149" s="1563">
        <v>51.3</v>
      </c>
      <c r="V149" s="111">
        <v>51.7</v>
      </c>
      <c r="W149" s="175">
        <f t="shared" si="99"/>
        <v>47.5</v>
      </c>
      <c r="X149" s="964">
        <f t="shared" si="87"/>
        <v>3.7999999999999972</v>
      </c>
      <c r="Y149" s="1536">
        <f t="shared" si="90"/>
        <v>0.98671021403406023</v>
      </c>
      <c r="Z149" s="111">
        <f t="shared" si="100"/>
        <v>2.8132897859659369</v>
      </c>
      <c r="AA149" s="1536">
        <f t="shared" si="101"/>
        <v>0</v>
      </c>
      <c r="AB149" s="111">
        <f t="shared" si="102"/>
        <v>1.5</v>
      </c>
      <c r="AC149" s="111">
        <f t="shared" si="108"/>
        <v>3.7999999999999972</v>
      </c>
      <c r="AD149" s="111">
        <f t="shared" si="109"/>
        <v>2.8132897859659369</v>
      </c>
      <c r="AE149" s="111">
        <f t="shared" si="110"/>
        <v>816.87152161606116</v>
      </c>
      <c r="AF149" s="29">
        <f t="shared" si="103"/>
        <v>-5.073116306683912E-2</v>
      </c>
      <c r="AG149" s="587">
        <f t="shared" si="121"/>
        <v>28.013289785965938</v>
      </c>
      <c r="AH149" s="964">
        <f t="shared" si="111"/>
        <v>0</v>
      </c>
      <c r="AI149" s="964">
        <v>0</v>
      </c>
      <c r="AJ149" s="964">
        <f t="shared" si="112"/>
        <v>0</v>
      </c>
      <c r="AK149" s="964">
        <f t="shared" si="113"/>
        <v>3.7999999999999972</v>
      </c>
      <c r="AL149" s="964">
        <f t="shared" si="104"/>
        <v>2.8187486295385127</v>
      </c>
      <c r="AM149" s="961">
        <f t="shared" si="105"/>
        <v>5.7134274875180573E-3</v>
      </c>
      <c r="AN149" s="964">
        <f t="shared" si="114"/>
        <v>0.98125137046148447</v>
      </c>
      <c r="AO149" s="965"/>
      <c r="AP149" s="1784"/>
      <c r="AQ149" s="1778"/>
      <c r="AR149" s="1778"/>
      <c r="AS149" s="175">
        <v>97.8</v>
      </c>
      <c r="AT149" s="175">
        <v>119</v>
      </c>
      <c r="AU149" s="111"/>
      <c r="AV149" s="111">
        <v>10.199999999999999</v>
      </c>
      <c r="AW149" s="175">
        <f t="shared" si="88"/>
        <v>104.08163265306115</v>
      </c>
      <c r="AX149" s="385"/>
      <c r="AY149" s="111">
        <v>4.5</v>
      </c>
      <c r="AZ149" s="385"/>
      <c r="BA149" s="111">
        <f t="shared" si="91"/>
        <v>-3.5999999999999996</v>
      </c>
      <c r="BB149" s="111">
        <v>8.1</v>
      </c>
      <c r="BC149" s="385"/>
      <c r="BD149" s="385"/>
      <c r="BE149" s="967">
        <f t="shared" si="93"/>
        <v>118.7</v>
      </c>
      <c r="BF149" s="2133">
        <f t="shared" si="92"/>
        <v>0.24059748913454057</v>
      </c>
      <c r="BG149" s="530"/>
    </row>
    <row r="150" spans="1:59" s="87" customFormat="1">
      <c r="A150" s="79">
        <v>1839</v>
      </c>
      <c r="B150" s="1540">
        <f t="shared" si="116"/>
        <v>506.54798851549702</v>
      </c>
      <c r="C150" s="1162">
        <v>29.6</v>
      </c>
      <c r="D150" s="959">
        <v>24.4</v>
      </c>
      <c r="E150" s="959">
        <v>4.3</v>
      </c>
      <c r="F150" s="111">
        <f t="shared" si="95"/>
        <v>0.90000000000000302</v>
      </c>
      <c r="G150" s="1540">
        <f t="shared" si="106"/>
        <v>25.3</v>
      </c>
      <c r="H150" s="1551">
        <v>840.4</v>
      </c>
      <c r="I150" s="29">
        <f t="shared" si="122"/>
        <v>1.0662268459781781</v>
      </c>
      <c r="J150" s="959">
        <v>788.2</v>
      </c>
      <c r="K150" s="1427">
        <v>762.8</v>
      </c>
      <c r="L150" s="959">
        <f t="shared" si="107"/>
        <v>25.400000000000091</v>
      </c>
      <c r="M150" s="29">
        <f t="shared" si="98"/>
        <v>1.659072820450632</v>
      </c>
      <c r="N150" s="29">
        <v>1.3555000000000001</v>
      </c>
      <c r="O150" s="111">
        <v>759.81492537313432</v>
      </c>
      <c r="P150" s="29">
        <f t="shared" si="115"/>
        <v>0.90411104875432458</v>
      </c>
      <c r="Q150" s="1558">
        <f t="shared" si="117"/>
        <v>3.0104712041884817E-2</v>
      </c>
      <c r="R150" s="961">
        <f t="shared" si="118"/>
        <v>3.1987414787624541E-2</v>
      </c>
      <c r="S150" s="961">
        <f t="shared" si="119"/>
        <v>1.1597938144329932E-2</v>
      </c>
      <c r="T150" s="1535">
        <f t="shared" si="120"/>
        <v>3.329758228633839E-2</v>
      </c>
      <c r="U150" s="1563">
        <v>51.8</v>
      </c>
      <c r="V150" s="111">
        <v>53.4</v>
      </c>
      <c r="W150" s="175">
        <f t="shared" si="99"/>
        <v>49.1</v>
      </c>
      <c r="X150" s="964">
        <f t="shared" si="87"/>
        <v>2.6999999999999957</v>
      </c>
      <c r="Y150" s="1536">
        <f t="shared" si="90"/>
        <v>1.013095977030994</v>
      </c>
      <c r="Z150" s="111">
        <f t="shared" si="100"/>
        <v>1.6869040229690018</v>
      </c>
      <c r="AA150" s="1536">
        <f t="shared" si="101"/>
        <v>0</v>
      </c>
      <c r="AB150" s="111">
        <f t="shared" si="102"/>
        <v>1.3999999999999773</v>
      </c>
      <c r="AC150" s="111">
        <f t="shared" si="108"/>
        <v>2.6999999999999957</v>
      </c>
      <c r="AD150" s="111">
        <f t="shared" si="109"/>
        <v>1.6869040229690018</v>
      </c>
      <c r="AE150" s="111">
        <f t="shared" si="110"/>
        <v>814.05823183009522</v>
      </c>
      <c r="AF150" s="29">
        <f t="shared" si="103"/>
        <v>-5.2002512628867875E-2</v>
      </c>
      <c r="AG150" s="587">
        <f t="shared" si="121"/>
        <v>26.986904022969004</v>
      </c>
      <c r="AH150" s="964">
        <f t="shared" si="111"/>
        <v>0</v>
      </c>
      <c r="AI150" s="964">
        <v>0</v>
      </c>
      <c r="AJ150" s="964">
        <f t="shared" si="112"/>
        <v>0</v>
      </c>
      <c r="AK150" s="964">
        <f t="shared" si="113"/>
        <v>2.6999999999999957</v>
      </c>
      <c r="AL150" s="964">
        <f t="shared" si="104"/>
        <v>2.894125201331422</v>
      </c>
      <c r="AM150" s="961">
        <f t="shared" si="105"/>
        <v>5.7134274875180573E-3</v>
      </c>
      <c r="AN150" s="964">
        <f t="shared" si="114"/>
        <v>-0.1941252013314263</v>
      </c>
      <c r="AO150" s="965"/>
      <c r="AP150" s="1784"/>
      <c r="AQ150" s="1778"/>
      <c r="AR150" s="1778"/>
      <c r="AS150" s="175">
        <v>104.3</v>
      </c>
      <c r="AT150" s="175">
        <v>130</v>
      </c>
      <c r="AU150" s="111"/>
      <c r="AV150" s="111">
        <v>10.9</v>
      </c>
      <c r="AW150" s="175">
        <f t="shared" si="88"/>
        <v>111.2244897959183</v>
      </c>
      <c r="AX150" s="385"/>
      <c r="AY150" s="111">
        <v>-1.3</v>
      </c>
      <c r="AZ150" s="385"/>
      <c r="BA150" s="111">
        <f t="shared" si="91"/>
        <v>-9</v>
      </c>
      <c r="BB150" s="111">
        <v>7.7</v>
      </c>
      <c r="BC150" s="385"/>
      <c r="BD150" s="385"/>
      <c r="BE150" s="967">
        <f t="shared" si="93"/>
        <v>123.2</v>
      </c>
      <c r="BF150" s="2133">
        <f t="shared" si="92"/>
        <v>0.24321486373098272</v>
      </c>
      <c r="BG150" s="530"/>
    </row>
    <row r="151" spans="1:59" s="87" customFormat="1">
      <c r="A151" s="79">
        <v>1840</v>
      </c>
      <c r="B151" s="1540">
        <f>TableUK2!B24*1000</f>
        <v>519.7408700139639</v>
      </c>
      <c r="C151" s="1162">
        <v>29.5</v>
      </c>
      <c r="D151" s="959">
        <v>24.6</v>
      </c>
      <c r="E151" s="959">
        <v>4.2</v>
      </c>
      <c r="F151" s="111">
        <f t="shared" si="95"/>
        <v>0.6999999999999984</v>
      </c>
      <c r="G151" s="1540">
        <f t="shared" si="106"/>
        <v>25.3</v>
      </c>
      <c r="H151" s="1551">
        <v>839</v>
      </c>
      <c r="I151" s="29">
        <f t="shared" si="122"/>
        <v>1.0637758336503105</v>
      </c>
      <c r="J151" s="959">
        <v>788.7</v>
      </c>
      <c r="K151" s="1427">
        <v>768</v>
      </c>
      <c r="L151" s="959">
        <f t="shared" si="107"/>
        <v>20.700000000000045</v>
      </c>
      <c r="M151" s="29">
        <f t="shared" si="98"/>
        <v>1.6142659706123526</v>
      </c>
      <c r="N151" s="29">
        <v>1.4444999999999999</v>
      </c>
      <c r="O151" s="111">
        <v>752.39644970414213</v>
      </c>
      <c r="P151" s="29">
        <f t="shared" si="115"/>
        <v>0.89677765161399536</v>
      </c>
      <c r="Q151" s="1558">
        <f t="shared" si="117"/>
        <v>3.0154946364719905E-2</v>
      </c>
      <c r="R151" s="961">
        <f t="shared" si="118"/>
        <v>3.2031250000000004E-2</v>
      </c>
      <c r="S151" s="961">
        <f t="shared" si="119"/>
        <v>9.859154929577443E-3</v>
      </c>
      <c r="T151" s="1535">
        <f t="shared" si="120"/>
        <v>3.3625889662223268E-2</v>
      </c>
      <c r="U151" s="1563">
        <v>51.6</v>
      </c>
      <c r="V151" s="111">
        <v>53.2</v>
      </c>
      <c r="W151" s="175">
        <f t="shared" si="99"/>
        <v>49</v>
      </c>
      <c r="X151" s="964">
        <f t="shared" si="87"/>
        <v>2.6000000000000014</v>
      </c>
      <c r="Y151" s="1536">
        <f t="shared" si="90"/>
        <v>1.0394817400279279</v>
      </c>
      <c r="Z151" s="111">
        <f t="shared" si="100"/>
        <v>1.5605182599720735</v>
      </c>
      <c r="AA151" s="1536">
        <f t="shared" si="101"/>
        <v>0</v>
      </c>
      <c r="AB151" s="111">
        <f t="shared" si="102"/>
        <v>0.20000000000004547</v>
      </c>
      <c r="AC151" s="111">
        <f t="shared" si="108"/>
        <v>2.6000000000000014</v>
      </c>
      <c r="AD151" s="111">
        <f t="shared" si="109"/>
        <v>1.5605182599720735</v>
      </c>
      <c r="AE151" s="111">
        <f t="shared" si="110"/>
        <v>812.37132780712625</v>
      </c>
      <c r="AF151" s="29">
        <f t="shared" si="103"/>
        <v>-5.1234516523894526E-2</v>
      </c>
      <c r="AG151" s="587">
        <f t="shared" si="121"/>
        <v>26.860518259972075</v>
      </c>
      <c r="AH151" s="964">
        <f t="shared" si="111"/>
        <v>0</v>
      </c>
      <c r="AI151" s="964">
        <v>0</v>
      </c>
      <c r="AJ151" s="964">
        <f t="shared" si="112"/>
        <v>0</v>
      </c>
      <c r="AK151" s="964">
        <f t="shared" si="113"/>
        <v>2.6000000000000014</v>
      </c>
      <c r="AL151" s="964">
        <f t="shared" si="104"/>
        <v>2.9695017731243309</v>
      </c>
      <c r="AM151" s="961">
        <f t="shared" si="105"/>
        <v>5.7134274875180573E-3</v>
      </c>
      <c r="AN151" s="964">
        <f t="shared" si="114"/>
        <v>-0.36950177312432952</v>
      </c>
      <c r="AO151" s="965"/>
      <c r="AP151" s="1784"/>
      <c r="AQ151" s="1778"/>
      <c r="AR151" s="1778"/>
      <c r="AS151" s="175">
        <v>102.49999999999999</v>
      </c>
      <c r="AT151" s="175">
        <v>128</v>
      </c>
      <c r="AU151" s="111"/>
      <c r="AV151" s="111">
        <v>11.1</v>
      </c>
      <c r="AW151" s="175">
        <f t="shared" si="88"/>
        <v>113.26530612244891</v>
      </c>
      <c r="AX151" s="385"/>
      <c r="AY151" s="111">
        <v>-3.2</v>
      </c>
      <c r="AZ151" s="385"/>
      <c r="BA151" s="111">
        <f t="shared" si="91"/>
        <v>-10.3</v>
      </c>
      <c r="BB151" s="111">
        <v>7.1</v>
      </c>
      <c r="BC151" s="385"/>
      <c r="BD151" s="385"/>
      <c r="BE151" s="967">
        <f t="shared" si="93"/>
        <v>121.9</v>
      </c>
      <c r="BF151" s="2133">
        <f t="shared" si="92"/>
        <v>0.23453995449063861</v>
      </c>
      <c r="BG151" s="530"/>
    </row>
    <row r="152" spans="1:59" s="87" customFormat="1">
      <c r="A152" s="79">
        <v>1841</v>
      </c>
      <c r="B152" s="1540">
        <f>B151+(B$166-B$151)/15</f>
        <v>529.2591863854891</v>
      </c>
      <c r="C152" s="1162">
        <v>29.7</v>
      </c>
      <c r="D152" s="959">
        <v>24.5</v>
      </c>
      <c r="E152" s="959">
        <v>4.0999999999999996</v>
      </c>
      <c r="F152" s="111">
        <f t="shared" si="95"/>
        <v>1.0999999999999996</v>
      </c>
      <c r="G152" s="1540">
        <f t="shared" si="106"/>
        <v>25.6</v>
      </c>
      <c r="H152" s="1551">
        <v>838.8</v>
      </c>
      <c r="I152" s="29">
        <f t="shared" si="122"/>
        <v>1.0615034168564919</v>
      </c>
      <c r="J152" s="959">
        <v>790.2</v>
      </c>
      <c r="K152" s="1427">
        <v>767.9</v>
      </c>
      <c r="L152" s="959">
        <f t="shared" si="107"/>
        <v>22.300000000000068</v>
      </c>
      <c r="M152" s="29">
        <f t="shared" si="98"/>
        <v>1.5848567612562041</v>
      </c>
      <c r="N152" s="29">
        <v>1.5196000000000001</v>
      </c>
      <c r="O152" s="111">
        <v>777.77981651376138</v>
      </c>
      <c r="P152" s="29">
        <f t="shared" si="115"/>
        <v>0.92725300013562406</v>
      </c>
      <c r="Q152" s="1558">
        <f t="shared" si="117"/>
        <v>3.0519790176442539E-2</v>
      </c>
      <c r="R152" s="961">
        <f t="shared" si="118"/>
        <v>3.1905195989061073E-2</v>
      </c>
      <c r="S152" s="961">
        <f t="shared" si="119"/>
        <v>1.5514809590973202E-2</v>
      </c>
      <c r="T152" s="1535">
        <f t="shared" si="120"/>
        <v>3.291419943853359E-2</v>
      </c>
      <c r="U152" s="1563">
        <v>52.2</v>
      </c>
      <c r="V152" s="111">
        <v>54.3</v>
      </c>
      <c r="W152" s="175">
        <f t="shared" si="99"/>
        <v>50.199999999999996</v>
      </c>
      <c r="X152" s="964">
        <f t="shared" si="87"/>
        <v>2.0000000000000071</v>
      </c>
      <c r="Y152" s="1536">
        <f t="shared" si="90"/>
        <v>1.0585183727709782</v>
      </c>
      <c r="Z152" s="111">
        <f t="shared" si="100"/>
        <v>0.94148162722902895</v>
      </c>
      <c r="AA152" s="1536">
        <f t="shared" si="101"/>
        <v>0</v>
      </c>
      <c r="AB152" s="111">
        <f t="shared" si="102"/>
        <v>-2</v>
      </c>
      <c r="AC152" s="111">
        <f t="shared" si="108"/>
        <v>2.0000000000000071</v>
      </c>
      <c r="AD152" s="111">
        <f t="shared" si="109"/>
        <v>0.94148162722902895</v>
      </c>
      <c r="AE152" s="111">
        <f t="shared" si="110"/>
        <v>810.81080954715412</v>
      </c>
      <c r="AF152" s="29">
        <f t="shared" si="103"/>
        <v>-5.2883712125989892E-2</v>
      </c>
      <c r="AG152" s="587">
        <f t="shared" si="121"/>
        <v>26.541481627229029</v>
      </c>
      <c r="AH152" s="964">
        <f t="shared" si="111"/>
        <v>0</v>
      </c>
      <c r="AI152" s="964">
        <v>0</v>
      </c>
      <c r="AJ152" s="964">
        <f t="shared" si="112"/>
        <v>0</v>
      </c>
      <c r="AK152" s="964">
        <f t="shared" si="113"/>
        <v>2.0000000000000071</v>
      </c>
      <c r="AL152" s="964">
        <f t="shared" si="104"/>
        <v>3.0238839835162961</v>
      </c>
      <c r="AM152" s="961">
        <f t="shared" si="105"/>
        <v>5.7134274875180573E-3</v>
      </c>
      <c r="AN152" s="964">
        <f t="shared" si="114"/>
        <v>-1.023883983516289</v>
      </c>
      <c r="AO152" s="965"/>
      <c r="AP152" s="1784"/>
      <c r="AQ152" s="1778"/>
      <c r="AR152" s="1778"/>
      <c r="AS152" s="175">
        <v>97.7</v>
      </c>
      <c r="AT152" s="175">
        <v>121</v>
      </c>
      <c r="AU152" s="111"/>
      <c r="AV152" s="111">
        <v>10.9</v>
      </c>
      <c r="AW152" s="175">
        <f t="shared" si="88"/>
        <v>111.22448979591829</v>
      </c>
      <c r="AX152" s="385"/>
      <c r="AY152" s="111">
        <v>2.1</v>
      </c>
      <c r="AZ152" s="385"/>
      <c r="BA152" s="111">
        <f t="shared" si="91"/>
        <v>-4.0999999999999996</v>
      </c>
      <c r="BB152" s="111">
        <v>6.2</v>
      </c>
      <c r="BC152" s="385"/>
      <c r="BD152" s="385"/>
      <c r="BE152" s="967">
        <f t="shared" si="93"/>
        <v>118.7</v>
      </c>
      <c r="BF152" s="2133">
        <f t="shared" si="92"/>
        <v>0.22427574816536891</v>
      </c>
      <c r="BG152" s="530"/>
    </row>
    <row r="153" spans="1:59" s="87" customFormat="1">
      <c r="A153" s="79">
        <v>1842</v>
      </c>
      <c r="B153" s="1540">
        <f t="shared" ref="B153:B165" si="123">B152+(B$166-B$151)/15</f>
        <v>538.7775027570143</v>
      </c>
      <c r="C153" s="1162">
        <v>29.6</v>
      </c>
      <c r="D153" s="959">
        <v>24.8</v>
      </c>
      <c r="E153" s="959">
        <v>4.0999999999999996</v>
      </c>
      <c r="F153" s="111">
        <f t="shared" si="95"/>
        <v>0.70000000000000107</v>
      </c>
      <c r="G153" s="1540">
        <f t="shared" si="106"/>
        <v>25.5</v>
      </c>
      <c r="H153" s="1551">
        <v>840.8</v>
      </c>
      <c r="I153" s="29">
        <f t="shared" si="122"/>
        <v>1.0590754503086031</v>
      </c>
      <c r="J153" s="959">
        <v>793.9</v>
      </c>
      <c r="K153" s="1427">
        <v>774.3</v>
      </c>
      <c r="L153" s="959">
        <f t="shared" si="107"/>
        <v>19.600000000000023</v>
      </c>
      <c r="M153" s="29">
        <f t="shared" si="98"/>
        <v>1.5605699861213325</v>
      </c>
      <c r="N153" s="29">
        <v>1.5878000000000001</v>
      </c>
      <c r="O153" s="111">
        <v>804.47318611987373</v>
      </c>
      <c r="P153" s="29">
        <f t="shared" si="115"/>
        <v>0.95679494067539694</v>
      </c>
      <c r="Q153" s="1558">
        <f t="shared" si="117"/>
        <v>3.0328258801141771E-2</v>
      </c>
      <c r="R153" s="961">
        <f t="shared" si="118"/>
        <v>3.2028929355546951E-2</v>
      </c>
      <c r="S153" s="961">
        <f t="shared" si="119"/>
        <v>1.05263157894737E-2</v>
      </c>
      <c r="T153" s="1535">
        <f t="shared" si="120"/>
        <v>3.1697762510881591E-2</v>
      </c>
      <c r="U153" s="1563">
        <v>51.1</v>
      </c>
      <c r="V153" s="111">
        <v>55.1</v>
      </c>
      <c r="W153" s="175">
        <f t="shared" si="99"/>
        <v>51</v>
      </c>
      <c r="X153" s="964">
        <f t="shared" si="87"/>
        <v>0.10000000000000142</v>
      </c>
      <c r="Y153" s="1536">
        <f t="shared" si="90"/>
        <v>1.0775550055140286</v>
      </c>
      <c r="Z153" s="111">
        <f t="shared" si="100"/>
        <v>-0.97755500551402719</v>
      </c>
      <c r="AA153" s="1536">
        <f t="shared" si="101"/>
        <v>0</v>
      </c>
      <c r="AB153" s="111">
        <f t="shared" si="102"/>
        <v>2.0999999999999091</v>
      </c>
      <c r="AC153" s="111">
        <f t="shared" si="108"/>
        <v>0.10000000000000142</v>
      </c>
      <c r="AD153" s="111">
        <f t="shared" si="109"/>
        <v>-0.97755500551402719</v>
      </c>
      <c r="AE153" s="111">
        <f t="shared" si="110"/>
        <v>809.86932791992513</v>
      </c>
      <c r="AF153" s="29">
        <f t="shared" si="103"/>
        <v>-5.7408989651196313E-2</v>
      </c>
      <c r="AG153" s="587">
        <f t="shared" si="121"/>
        <v>24.522444994485973</v>
      </c>
      <c r="AH153" s="964">
        <f t="shared" si="111"/>
        <v>0</v>
      </c>
      <c r="AI153" s="964">
        <v>0</v>
      </c>
      <c r="AJ153" s="964">
        <f t="shared" si="112"/>
        <v>0</v>
      </c>
      <c r="AK153" s="964">
        <f t="shared" si="113"/>
        <v>0.10000000000000142</v>
      </c>
      <c r="AL153" s="964">
        <f t="shared" si="104"/>
        <v>3.0782661939082616</v>
      </c>
      <c r="AM153" s="961">
        <f t="shared" si="105"/>
        <v>5.7134274875180573E-3</v>
      </c>
      <c r="AN153" s="964">
        <f t="shared" si="114"/>
        <v>-2.9782661939082602</v>
      </c>
      <c r="AO153" s="965"/>
      <c r="AP153" s="1784"/>
      <c r="AQ153" s="1778"/>
      <c r="AR153" s="1778"/>
      <c r="AS153" s="175">
        <v>88.8</v>
      </c>
      <c r="AT153" s="175">
        <v>111</v>
      </c>
      <c r="AU153" s="111"/>
      <c r="AV153" s="111">
        <v>10</v>
      </c>
      <c r="AW153" s="175">
        <f t="shared" ref="AW153:AW184" si="124">AW154*AV153/AV154</f>
        <v>102.04081632653055</v>
      </c>
      <c r="AX153" s="385"/>
      <c r="AY153" s="111">
        <v>2.2999999999999998</v>
      </c>
      <c r="AZ153" s="385"/>
      <c r="BA153" s="111">
        <f t="shared" si="91"/>
        <v>-4</v>
      </c>
      <c r="BB153" s="111">
        <v>6.3</v>
      </c>
      <c r="BC153" s="385"/>
      <c r="BD153" s="385"/>
      <c r="BE153" s="967">
        <f t="shared" si="93"/>
        <v>120.8</v>
      </c>
      <c r="BF153" s="2133">
        <f t="shared" si="92"/>
        <v>0.22421129201172332</v>
      </c>
      <c r="BG153" s="530"/>
    </row>
    <row r="154" spans="1:59" s="87" customFormat="1">
      <c r="A154" s="79">
        <v>1843</v>
      </c>
      <c r="B154" s="1540">
        <f t="shared" si="123"/>
        <v>548.29581912853951</v>
      </c>
      <c r="C154" s="1162">
        <v>29.4</v>
      </c>
      <c r="D154" s="959">
        <v>24.8</v>
      </c>
      <c r="E154" s="959">
        <v>3.9</v>
      </c>
      <c r="F154" s="111">
        <f t="shared" si="95"/>
        <v>0.69999999999999796</v>
      </c>
      <c r="G154" s="1540">
        <f t="shared" si="106"/>
        <v>25.5</v>
      </c>
      <c r="H154" s="1551">
        <v>838.7</v>
      </c>
      <c r="I154" s="29">
        <f t="shared" si="122"/>
        <v>1.0569628229363579</v>
      </c>
      <c r="J154" s="959">
        <v>793.5</v>
      </c>
      <c r="K154" s="1427">
        <v>774.9</v>
      </c>
      <c r="L154" s="959">
        <f t="shared" si="107"/>
        <v>18.600000000000023</v>
      </c>
      <c r="M154" s="29">
        <f t="shared" si="98"/>
        <v>1.5296487238093999</v>
      </c>
      <c r="N154" s="29">
        <v>1.5933999999999999</v>
      </c>
      <c r="O154" s="111">
        <v>839.84158415841591</v>
      </c>
      <c r="P154" s="29">
        <f t="shared" si="115"/>
        <v>1.0013611352789029</v>
      </c>
      <c r="Q154" s="1558">
        <f t="shared" si="117"/>
        <v>3.0404196971503514E-2</v>
      </c>
      <c r="R154" s="961">
        <f t="shared" si="118"/>
        <v>3.2004129565105177E-2</v>
      </c>
      <c r="S154" s="961">
        <f t="shared" si="119"/>
        <v>1.0971786833855756E-2</v>
      </c>
      <c r="T154" s="1535">
        <f t="shared" si="120"/>
        <v>3.0362868999339807E-2</v>
      </c>
      <c r="U154" s="1563">
        <v>56.7</v>
      </c>
      <c r="V154" s="111">
        <v>55.4</v>
      </c>
      <c r="W154" s="175">
        <f t="shared" si="99"/>
        <v>51.5</v>
      </c>
      <c r="X154" s="964">
        <f t="shared" si="87"/>
        <v>5.2000000000000028</v>
      </c>
      <c r="Y154" s="1536">
        <f t="shared" si="90"/>
        <v>1.0965916382570791</v>
      </c>
      <c r="Z154" s="111">
        <f t="shared" si="100"/>
        <v>4.1034083617429236</v>
      </c>
      <c r="AA154" s="1536">
        <f t="shared" si="101"/>
        <v>0</v>
      </c>
      <c r="AB154" s="111">
        <f t="shared" si="102"/>
        <v>0.40000000000009095</v>
      </c>
      <c r="AC154" s="111">
        <f t="shared" si="108"/>
        <v>5.2000000000000028</v>
      </c>
      <c r="AD154" s="111">
        <f t="shared" si="109"/>
        <v>4.1034083617429236</v>
      </c>
      <c r="AE154" s="111">
        <f t="shared" si="110"/>
        <v>810.8468829254391</v>
      </c>
      <c r="AF154" s="29">
        <f t="shared" si="103"/>
        <v>-5.0799433632068618E-2</v>
      </c>
      <c r="AG154" s="587">
        <f t="shared" si="121"/>
        <v>29.603408361742922</v>
      </c>
      <c r="AH154" s="964">
        <f t="shared" si="111"/>
        <v>0</v>
      </c>
      <c r="AI154" s="964">
        <v>0</v>
      </c>
      <c r="AJ154" s="964">
        <f t="shared" si="112"/>
        <v>0</v>
      </c>
      <c r="AK154" s="964">
        <f t="shared" si="113"/>
        <v>5.2000000000000028</v>
      </c>
      <c r="AL154" s="964">
        <f t="shared" si="104"/>
        <v>3.1326484043002267</v>
      </c>
      <c r="AM154" s="961">
        <f t="shared" si="105"/>
        <v>5.7134274875180573E-3</v>
      </c>
      <c r="AN154" s="964">
        <f t="shared" si="114"/>
        <v>2.0673515956997761</v>
      </c>
      <c r="AO154" s="965"/>
      <c r="AP154" s="1784"/>
      <c r="AQ154" s="1778"/>
      <c r="AR154" s="1778"/>
      <c r="AS154" s="175">
        <v>79.7</v>
      </c>
      <c r="AT154" s="175">
        <v>105</v>
      </c>
      <c r="AU154" s="111"/>
      <c r="AV154" s="111">
        <v>8.9</v>
      </c>
      <c r="AW154" s="175">
        <f t="shared" si="124"/>
        <v>90.816326530612201</v>
      </c>
      <c r="AX154" s="385"/>
      <c r="AY154" s="111">
        <v>12.9</v>
      </c>
      <c r="AZ154" s="385"/>
      <c r="BA154" s="111">
        <f t="shared" si="91"/>
        <v>5.9</v>
      </c>
      <c r="BB154" s="111">
        <v>7</v>
      </c>
      <c r="BC154" s="385"/>
      <c r="BD154" s="385"/>
      <c r="BE154" s="967">
        <f t="shared" si="93"/>
        <v>123.1</v>
      </c>
      <c r="BF154" s="2133">
        <f t="shared" si="92"/>
        <v>0.22451384034927521</v>
      </c>
      <c r="BG154" s="530"/>
    </row>
    <row r="155" spans="1:59" s="87" customFormat="1">
      <c r="A155" s="79">
        <v>1844</v>
      </c>
      <c r="B155" s="1540">
        <f t="shared" si="123"/>
        <v>557.81413550006471</v>
      </c>
      <c r="C155" s="1162">
        <v>30.6</v>
      </c>
      <c r="D155" s="959">
        <v>26.1</v>
      </c>
      <c r="E155" s="959">
        <v>4</v>
      </c>
      <c r="F155" s="111">
        <f t="shared" si="95"/>
        <v>0.5</v>
      </c>
      <c r="G155" s="1540">
        <f t="shared" si="106"/>
        <v>26.6</v>
      </c>
      <c r="H155" s="1551">
        <v>838.3</v>
      </c>
      <c r="I155" s="29">
        <f t="shared" si="122"/>
        <v>1.0551290119572057</v>
      </c>
      <c r="J155" s="959">
        <v>794.5</v>
      </c>
      <c r="K155" s="1427">
        <v>774</v>
      </c>
      <c r="L155" s="959">
        <f t="shared" si="107"/>
        <v>20.5</v>
      </c>
      <c r="M155" s="29">
        <f t="shared" si="98"/>
        <v>1.502830327611701</v>
      </c>
      <c r="N155" s="29">
        <v>1.4631999999999998</v>
      </c>
      <c r="O155" s="111">
        <v>815.21153846153845</v>
      </c>
      <c r="P155" s="29">
        <f t="shared" si="115"/>
        <v>0.97245799649473752</v>
      </c>
      <c r="Q155" s="1558">
        <f t="shared" si="117"/>
        <v>3.1730883931766672E-2</v>
      </c>
      <c r="R155" s="961">
        <f t="shared" si="118"/>
        <v>3.3720930232558143E-2</v>
      </c>
      <c r="S155" s="961">
        <f t="shared" si="119"/>
        <v>7.7760497667185126E-3</v>
      </c>
      <c r="T155" s="1535">
        <f t="shared" si="120"/>
        <v>3.2629567596895573E-2</v>
      </c>
      <c r="U155" s="1563">
        <v>58.2</v>
      </c>
      <c r="V155" s="111">
        <v>54.8</v>
      </c>
      <c r="W155" s="175">
        <f t="shared" si="99"/>
        <v>50.8</v>
      </c>
      <c r="X155" s="964">
        <f t="shared" si="87"/>
        <v>7.4000000000000057</v>
      </c>
      <c r="Y155" s="1536">
        <f t="shared" si="90"/>
        <v>1.1156282710001295</v>
      </c>
      <c r="Z155" s="111">
        <f t="shared" si="100"/>
        <v>6.2843717289998757</v>
      </c>
      <c r="AA155" s="1536">
        <f t="shared" si="101"/>
        <v>0</v>
      </c>
      <c r="AB155" s="111">
        <f t="shared" si="102"/>
        <v>4.5</v>
      </c>
      <c r="AC155" s="111">
        <f t="shared" si="108"/>
        <v>7.4000000000000057</v>
      </c>
      <c r="AD155" s="111">
        <f t="shared" si="109"/>
        <v>6.2843717289998757</v>
      </c>
      <c r="AE155" s="111">
        <f t="shared" si="110"/>
        <v>806.74347456369617</v>
      </c>
      <c r="AF155" s="29">
        <f t="shared" si="103"/>
        <v>-5.6571756483033989E-2</v>
      </c>
      <c r="AG155" s="587">
        <f t="shared" si="121"/>
        <v>32.884371728999881</v>
      </c>
      <c r="AH155" s="964">
        <f t="shared" si="111"/>
        <v>0</v>
      </c>
      <c r="AI155" s="964">
        <v>0</v>
      </c>
      <c r="AJ155" s="964">
        <f t="shared" si="112"/>
        <v>0</v>
      </c>
      <c r="AK155" s="964">
        <f t="shared" si="113"/>
        <v>7.4000000000000057</v>
      </c>
      <c r="AL155" s="964">
        <f t="shared" si="104"/>
        <v>3.1870306146921918</v>
      </c>
      <c r="AM155" s="961">
        <f t="shared" si="105"/>
        <v>5.7134274875180573E-3</v>
      </c>
      <c r="AN155" s="964">
        <f t="shared" si="114"/>
        <v>4.2129693853078134</v>
      </c>
      <c r="AO155" s="965"/>
      <c r="AP155" s="1784"/>
      <c r="AQ155" s="1778"/>
      <c r="AR155" s="1778"/>
      <c r="AS155" s="175">
        <v>81.099999999999994</v>
      </c>
      <c r="AT155" s="175">
        <v>108</v>
      </c>
      <c r="AU155" s="111"/>
      <c r="AV155" s="111">
        <v>8.9</v>
      </c>
      <c r="AW155" s="175">
        <f t="shared" si="124"/>
        <v>90.816326530612201</v>
      </c>
      <c r="AX155" s="385"/>
      <c r="AY155" s="111">
        <v>13.4</v>
      </c>
      <c r="AZ155" s="385"/>
      <c r="BA155" s="111">
        <f t="shared" si="91"/>
        <v>5.0999999999999996</v>
      </c>
      <c r="BB155" s="111">
        <v>8.3000000000000007</v>
      </c>
      <c r="BC155" s="385"/>
      <c r="BD155" s="385"/>
      <c r="BE155" s="967">
        <f t="shared" si="93"/>
        <v>136</v>
      </c>
      <c r="BF155" s="2133">
        <f t="shared" si="92"/>
        <v>0.2438088089647994</v>
      </c>
      <c r="BG155" s="530"/>
    </row>
    <row r="156" spans="1:59" s="87" customFormat="1">
      <c r="A156" s="79">
        <v>1845</v>
      </c>
      <c r="B156" s="1540">
        <f t="shared" si="123"/>
        <v>567.33245187158991</v>
      </c>
      <c r="C156" s="1162">
        <v>28.6</v>
      </c>
      <c r="D156" s="959">
        <v>24</v>
      </c>
      <c r="E156" s="959">
        <v>4</v>
      </c>
      <c r="F156" s="111">
        <f t="shared" si="95"/>
        <v>0.60000000000000142</v>
      </c>
      <c r="G156" s="1540">
        <f t="shared" si="106"/>
        <v>24.6</v>
      </c>
      <c r="H156" s="1551">
        <v>833.8</v>
      </c>
      <c r="I156" s="29">
        <f t="shared" si="122"/>
        <v>1.0555766552728194</v>
      </c>
      <c r="J156" s="959">
        <v>789.9</v>
      </c>
      <c r="K156" s="1427">
        <v>771.1</v>
      </c>
      <c r="L156" s="959">
        <f t="shared" si="107"/>
        <v>18.799999999999955</v>
      </c>
      <c r="M156" s="29">
        <f t="shared" si="98"/>
        <v>1.4696850096435561</v>
      </c>
      <c r="N156" s="29">
        <v>1.3737000000000001</v>
      </c>
      <c r="O156" s="111">
        <v>806.83706070287531</v>
      </c>
      <c r="P156" s="29">
        <f t="shared" si="115"/>
        <v>0.96766258179764375</v>
      </c>
      <c r="Q156" s="1558">
        <f t="shared" si="117"/>
        <v>2.950347805229072E-2</v>
      </c>
      <c r="R156" s="961">
        <f t="shared" si="118"/>
        <v>3.112436778627934E-2</v>
      </c>
      <c r="S156" s="961">
        <f t="shared" si="119"/>
        <v>9.5693779904306546E-3</v>
      </c>
      <c r="T156" s="1535">
        <f t="shared" si="120"/>
        <v>3.0489427417438826E-2</v>
      </c>
      <c r="U156" s="1563">
        <v>57.5</v>
      </c>
      <c r="V156" s="111">
        <v>53.7</v>
      </c>
      <c r="W156" s="175">
        <f t="shared" si="99"/>
        <v>49.7</v>
      </c>
      <c r="X156" s="964">
        <f t="shared" si="87"/>
        <v>7.7999999999999972</v>
      </c>
      <c r="Y156" s="1536">
        <f t="shared" ref="Y156:Y187" si="125">0.002*B156</f>
        <v>1.1346649037431797</v>
      </c>
      <c r="Z156" s="111">
        <f t="shared" si="100"/>
        <v>6.6653350962568174</v>
      </c>
      <c r="AA156" s="1536">
        <f t="shared" si="101"/>
        <v>0</v>
      </c>
      <c r="AB156" s="111">
        <f t="shared" si="102"/>
        <v>4</v>
      </c>
      <c r="AC156" s="111">
        <f t="shared" si="108"/>
        <v>7.7999999999999972</v>
      </c>
      <c r="AD156" s="111">
        <f t="shared" si="109"/>
        <v>6.6653350962568174</v>
      </c>
      <c r="AE156" s="111">
        <f t="shared" si="110"/>
        <v>800.4591028346963</v>
      </c>
      <c r="AF156" s="29">
        <f t="shared" si="103"/>
        <v>-5.8767830141417753E-2</v>
      </c>
      <c r="AG156" s="587">
        <f t="shared" si="121"/>
        <v>31.26533509625682</v>
      </c>
      <c r="AH156" s="964">
        <f t="shared" si="111"/>
        <v>0</v>
      </c>
      <c r="AI156" s="964">
        <v>0</v>
      </c>
      <c r="AJ156" s="964">
        <f t="shared" si="112"/>
        <v>0</v>
      </c>
      <c r="AK156" s="964">
        <f t="shared" si="113"/>
        <v>7.7999999999999972</v>
      </c>
      <c r="AL156" s="964">
        <f t="shared" si="104"/>
        <v>3.241412825084157</v>
      </c>
      <c r="AM156" s="961">
        <f t="shared" si="105"/>
        <v>5.7134274875180573E-3</v>
      </c>
      <c r="AN156" s="964">
        <f t="shared" si="114"/>
        <v>4.5585871749158402</v>
      </c>
      <c r="AO156" s="965"/>
      <c r="AP156" s="1784"/>
      <c r="AQ156" s="1778"/>
      <c r="AR156" s="1778"/>
      <c r="AS156" s="175">
        <v>83.3</v>
      </c>
      <c r="AT156" s="175">
        <v>110</v>
      </c>
      <c r="AU156" s="175">
        <f>AU166*AVERAGE(AT152:AT161)/AVERAGE(AT$162:AT$171)</f>
        <v>93.444055944055933</v>
      </c>
      <c r="AV156" s="111">
        <v>9.3000000000000007</v>
      </c>
      <c r="AW156" s="175">
        <f t="shared" si="124"/>
        <v>94.897959183673422</v>
      </c>
      <c r="AX156" s="385"/>
      <c r="AY156" s="111">
        <v>10.3</v>
      </c>
      <c r="AZ156" s="385"/>
      <c r="BA156" s="111">
        <f t="shared" si="91"/>
        <v>0.60000000000000142</v>
      </c>
      <c r="BB156" s="111">
        <v>9.6999999999999993</v>
      </c>
      <c r="BC156" s="385"/>
      <c r="BD156" s="385"/>
      <c r="BE156" s="967">
        <f t="shared" si="93"/>
        <v>149.4</v>
      </c>
      <c r="BF156" s="2133">
        <f t="shared" si="92"/>
        <v>0.26333765943961057</v>
      </c>
      <c r="BG156" s="530"/>
    </row>
    <row r="157" spans="1:59" s="87" customFormat="1">
      <c r="A157" s="79">
        <v>1846</v>
      </c>
      <c r="B157" s="1540">
        <f t="shared" si="123"/>
        <v>576.85076824311511</v>
      </c>
      <c r="C157" s="1162">
        <v>28.3</v>
      </c>
      <c r="D157" s="959">
        <v>23.9</v>
      </c>
      <c r="E157" s="577">
        <v>3.9</v>
      </c>
      <c r="F157" s="111">
        <f t="shared" si="95"/>
        <v>0.50000000000000222</v>
      </c>
      <c r="G157" s="1540">
        <f t="shared" si="106"/>
        <v>24.400000000000002</v>
      </c>
      <c r="H157" s="1551">
        <v>829.8</v>
      </c>
      <c r="I157" s="29">
        <f t="shared" si="122"/>
        <v>1.0408931259407928</v>
      </c>
      <c r="J157" s="959">
        <v>797.2</v>
      </c>
      <c r="K157" s="1427">
        <v>768.8</v>
      </c>
      <c r="L157" s="959">
        <f t="shared" si="107"/>
        <v>28.400000000000091</v>
      </c>
      <c r="M157" s="29">
        <f t="shared" si="98"/>
        <v>1.4385002944995278</v>
      </c>
      <c r="N157" s="29">
        <v>1.2821</v>
      </c>
      <c r="O157" s="111">
        <v>729.88953488372101</v>
      </c>
      <c r="P157" s="29">
        <f t="shared" si="115"/>
        <v>0.87959693285577378</v>
      </c>
      <c r="Q157" s="1558">
        <f t="shared" si="117"/>
        <v>2.9404675825500125E-2</v>
      </c>
      <c r="R157" s="961">
        <f t="shared" si="118"/>
        <v>3.1087408949011446E-2</v>
      </c>
      <c r="S157" s="961">
        <f t="shared" si="119"/>
        <v>8.1967213114754467E-3</v>
      </c>
      <c r="T157" s="1535">
        <f t="shared" si="120"/>
        <v>3.3429716188336879E-2</v>
      </c>
      <c r="U157" s="1563">
        <v>58.2</v>
      </c>
      <c r="V157" s="111">
        <v>55.4</v>
      </c>
      <c r="W157" s="175">
        <f t="shared" si="99"/>
        <v>51.5</v>
      </c>
      <c r="X157" s="964">
        <f t="shared" si="87"/>
        <v>6.7000000000000028</v>
      </c>
      <c r="Y157" s="1536">
        <f t="shared" si="125"/>
        <v>1.1537015364862302</v>
      </c>
      <c r="Z157" s="111">
        <f t="shared" si="100"/>
        <v>5.5462984635137724</v>
      </c>
      <c r="AA157" s="1536">
        <f t="shared" si="101"/>
        <v>0</v>
      </c>
      <c r="AB157" s="111">
        <f t="shared" si="102"/>
        <v>3.6999999999999318</v>
      </c>
      <c r="AC157" s="111">
        <f t="shared" si="108"/>
        <v>6.7000000000000028</v>
      </c>
      <c r="AD157" s="111">
        <f t="shared" si="109"/>
        <v>5.5462984635137724</v>
      </c>
      <c r="AE157" s="111">
        <f t="shared" si="110"/>
        <v>793.79376773843944</v>
      </c>
      <c r="AF157" s="29">
        <f t="shared" si="103"/>
        <v>-6.241862582799855E-2</v>
      </c>
      <c r="AG157" s="587">
        <f t="shared" si="121"/>
        <v>29.946298463513774</v>
      </c>
      <c r="AH157" s="964">
        <f t="shared" si="111"/>
        <v>0</v>
      </c>
      <c r="AI157" s="964">
        <v>0</v>
      </c>
      <c r="AJ157" s="964">
        <f t="shared" si="112"/>
        <v>0</v>
      </c>
      <c r="AK157" s="964">
        <f t="shared" si="113"/>
        <v>6.7000000000000028</v>
      </c>
      <c r="AL157" s="964">
        <f t="shared" si="104"/>
        <v>3.2957950354761225</v>
      </c>
      <c r="AM157" s="961">
        <f t="shared" si="105"/>
        <v>5.7134274875180573E-3</v>
      </c>
      <c r="AN157" s="964">
        <f t="shared" si="114"/>
        <v>3.4042049645238803</v>
      </c>
      <c r="AO157" s="965"/>
      <c r="AP157" s="1784"/>
      <c r="AQ157" s="1778"/>
      <c r="AR157" s="1778"/>
      <c r="AS157" s="175">
        <v>86</v>
      </c>
      <c r="AT157" s="175">
        <v>109</v>
      </c>
      <c r="AU157" s="111"/>
      <c r="AV157" s="111">
        <v>9.6999999999999993</v>
      </c>
      <c r="AW157" s="175">
        <f t="shared" si="124"/>
        <v>98.979591836734627</v>
      </c>
      <c r="AX157" s="385"/>
      <c r="AY157" s="111">
        <v>9.4</v>
      </c>
      <c r="AZ157" s="385"/>
      <c r="BA157" s="111">
        <f t="shared" si="91"/>
        <v>-0.79999999999999893</v>
      </c>
      <c r="BB157" s="111">
        <v>10.199999999999999</v>
      </c>
      <c r="BC157" s="385"/>
      <c r="BD157" s="385"/>
      <c r="BE157" s="967">
        <f t="shared" si="93"/>
        <v>159.70000000000002</v>
      </c>
      <c r="BF157" s="2133">
        <f t="shared" si="92"/>
        <v>0.27684803209396797</v>
      </c>
      <c r="BG157" s="530"/>
    </row>
    <row r="158" spans="1:59" s="87" customFormat="1">
      <c r="A158" s="79">
        <v>1847</v>
      </c>
      <c r="B158" s="1540">
        <f t="shared" si="123"/>
        <v>586.36908461464031</v>
      </c>
      <c r="C158" s="1162">
        <v>28.4</v>
      </c>
      <c r="D158" s="959">
        <v>24</v>
      </c>
      <c r="E158" s="959">
        <v>3.9</v>
      </c>
      <c r="F158" s="111">
        <f t="shared" si="95"/>
        <v>0.49999999999999867</v>
      </c>
      <c r="G158" s="1540">
        <f t="shared" si="106"/>
        <v>24.5</v>
      </c>
      <c r="H158" s="1551">
        <v>826.1</v>
      </c>
      <c r="I158" s="29">
        <f t="shared" si="122"/>
        <v>1.0388581488933601</v>
      </c>
      <c r="J158" s="959">
        <v>795.2</v>
      </c>
      <c r="K158" s="1427">
        <v>766.8</v>
      </c>
      <c r="L158" s="959">
        <f t="shared" si="107"/>
        <v>28.400000000000091</v>
      </c>
      <c r="M158" s="29">
        <f t="shared" si="98"/>
        <v>1.4088396228169329</v>
      </c>
      <c r="N158" s="29">
        <v>1.2306999999999999</v>
      </c>
      <c r="O158" s="111">
        <v>711.77777777777771</v>
      </c>
      <c r="P158" s="29">
        <f t="shared" si="115"/>
        <v>0.86161212659215314</v>
      </c>
      <c r="Q158" s="1558">
        <f t="shared" si="117"/>
        <v>2.9657426461687446E-2</v>
      </c>
      <c r="R158" s="961">
        <f t="shared" si="118"/>
        <v>3.1298904538341159E-2</v>
      </c>
      <c r="S158" s="961">
        <f t="shared" si="119"/>
        <v>8.4317032040471859E-3</v>
      </c>
      <c r="T158" s="1535">
        <f t="shared" si="120"/>
        <v>3.4420855448017484E-2</v>
      </c>
      <c r="U158" s="1563">
        <v>56.1</v>
      </c>
      <c r="V158" s="111">
        <v>59.1</v>
      </c>
      <c r="W158" s="175">
        <f t="shared" si="99"/>
        <v>55.2</v>
      </c>
      <c r="X158" s="964">
        <f t="shared" si="87"/>
        <v>0.89999999999999858</v>
      </c>
      <c r="Y158" s="1536">
        <f t="shared" si="125"/>
        <v>1.1727381692292806</v>
      </c>
      <c r="Z158" s="111">
        <f t="shared" si="100"/>
        <v>-0.27273816922928207</v>
      </c>
      <c r="AA158" s="1536">
        <f t="shared" si="101"/>
        <v>0</v>
      </c>
      <c r="AB158" s="111">
        <f t="shared" si="102"/>
        <v>-5.5</v>
      </c>
      <c r="AC158" s="111">
        <f t="shared" si="108"/>
        <v>0.89999999999999858</v>
      </c>
      <c r="AD158" s="111">
        <f t="shared" si="109"/>
        <v>-0.27273816922928207</v>
      </c>
      <c r="AE158" s="111">
        <f t="shared" si="110"/>
        <v>788.24746927492572</v>
      </c>
      <c r="AF158" s="29">
        <f t="shared" si="103"/>
        <v>-6.4554103751821856E-2</v>
      </c>
      <c r="AG158" s="587">
        <f t="shared" si="121"/>
        <v>24.227261830770718</v>
      </c>
      <c r="AH158" s="964">
        <f t="shared" si="111"/>
        <v>0</v>
      </c>
      <c r="AI158" s="964">
        <v>0</v>
      </c>
      <c r="AJ158" s="964">
        <f t="shared" si="112"/>
        <v>0</v>
      </c>
      <c r="AK158" s="964">
        <f t="shared" si="113"/>
        <v>0.89999999999999858</v>
      </c>
      <c r="AL158" s="964">
        <f t="shared" si="104"/>
        <v>3.3501772458680876</v>
      </c>
      <c r="AM158" s="961">
        <f t="shared" si="105"/>
        <v>5.7134274875180573E-3</v>
      </c>
      <c r="AN158" s="964">
        <f t="shared" si="114"/>
        <v>-2.450177245868089</v>
      </c>
      <c r="AO158" s="965"/>
      <c r="AP158" s="1784"/>
      <c r="AQ158" s="1778"/>
      <c r="AR158" s="1778"/>
      <c r="AS158" s="175">
        <v>96.8</v>
      </c>
      <c r="AT158" s="175">
        <v>115</v>
      </c>
      <c r="AU158" s="111"/>
      <c r="AV158" s="111">
        <v>10.9</v>
      </c>
      <c r="AW158" s="175">
        <f t="shared" si="124"/>
        <v>111.2244897959183</v>
      </c>
      <c r="AX158" s="385"/>
      <c r="AY158" s="111">
        <v>-6.4</v>
      </c>
      <c r="AZ158" s="385"/>
      <c r="BA158" s="111">
        <f t="shared" si="91"/>
        <v>-17</v>
      </c>
      <c r="BB158" s="111">
        <v>10.6</v>
      </c>
      <c r="BC158" s="385"/>
      <c r="BD158" s="385"/>
      <c r="BE158" s="967">
        <f t="shared" si="93"/>
        <v>169.10000000000002</v>
      </c>
      <c r="BF158" s="2133">
        <f t="shared" si="92"/>
        <v>0.28838491734456284</v>
      </c>
      <c r="BG158" s="530"/>
    </row>
    <row r="159" spans="1:59" s="87" customFormat="1">
      <c r="A159" s="79">
        <v>1848</v>
      </c>
      <c r="B159" s="1540">
        <f t="shared" si="123"/>
        <v>595.88740098616552</v>
      </c>
      <c r="C159" s="1162">
        <v>28.7</v>
      </c>
      <c r="D159" s="959">
        <v>24.2</v>
      </c>
      <c r="E159" s="959">
        <v>3.8</v>
      </c>
      <c r="F159" s="111">
        <f t="shared" si="95"/>
        <v>0.70000000000000018</v>
      </c>
      <c r="G159" s="1540">
        <f t="shared" si="106"/>
        <v>24.9</v>
      </c>
      <c r="H159" s="1551">
        <v>831.6</v>
      </c>
      <c r="I159" s="29">
        <f t="shared" si="122"/>
        <v>1.0490727892014633</v>
      </c>
      <c r="J159" s="959">
        <v>792.7</v>
      </c>
      <c r="K159" s="1427">
        <v>774.7</v>
      </c>
      <c r="L159" s="959">
        <f t="shared" si="107"/>
        <v>18</v>
      </c>
      <c r="M159" s="29">
        <f t="shared" si="98"/>
        <v>1.3955656699969512</v>
      </c>
      <c r="N159" s="29">
        <v>1.2909999999999999</v>
      </c>
      <c r="O159" s="111">
        <v>776.03703703703684</v>
      </c>
      <c r="P159" s="29">
        <f t="shared" si="115"/>
        <v>0.93318547022250697</v>
      </c>
      <c r="Q159" s="1558">
        <f t="shared" si="117"/>
        <v>2.994227994227994E-2</v>
      </c>
      <c r="R159" s="961">
        <f t="shared" si="118"/>
        <v>3.1237898541370851E-2</v>
      </c>
      <c r="S159" s="961">
        <f t="shared" si="119"/>
        <v>1.2302284710017583E-2</v>
      </c>
      <c r="T159" s="1535">
        <f t="shared" si="120"/>
        <v>3.2086097456211528E-2</v>
      </c>
      <c r="U159" s="1563">
        <v>57.8</v>
      </c>
      <c r="V159" s="111">
        <v>59</v>
      </c>
      <c r="W159" s="175">
        <f t="shared" si="99"/>
        <v>55.2</v>
      </c>
      <c r="X159" s="964">
        <f t="shared" si="87"/>
        <v>2.5999999999999943</v>
      </c>
      <c r="Y159" s="1536">
        <f t="shared" si="125"/>
        <v>1.1917748019723311</v>
      </c>
      <c r="Z159" s="111">
        <f t="shared" si="100"/>
        <v>1.4082251980276632</v>
      </c>
      <c r="AA159" s="1536">
        <f t="shared" si="101"/>
        <v>0</v>
      </c>
      <c r="AB159" s="111">
        <f t="shared" si="102"/>
        <v>0.20000000000004547</v>
      </c>
      <c r="AC159" s="111">
        <f t="shared" si="108"/>
        <v>2.5999999999999943</v>
      </c>
      <c r="AD159" s="111">
        <f t="shared" si="109"/>
        <v>1.4082251980276632</v>
      </c>
      <c r="AE159" s="111">
        <f t="shared" si="110"/>
        <v>788.52020744415495</v>
      </c>
      <c r="AF159" s="29">
        <f t="shared" si="103"/>
        <v>-7.2295189467926416E-2</v>
      </c>
      <c r="AG159" s="587">
        <f t="shared" si="121"/>
        <v>26.30822519802766</v>
      </c>
      <c r="AH159" s="964">
        <f t="shared" si="111"/>
        <v>0</v>
      </c>
      <c r="AI159" s="964">
        <v>0</v>
      </c>
      <c r="AJ159" s="964">
        <f t="shared" si="112"/>
        <v>0</v>
      </c>
      <c r="AK159" s="964">
        <f t="shared" si="113"/>
        <v>2.5999999999999943</v>
      </c>
      <c r="AL159" s="964">
        <f t="shared" si="104"/>
        <v>3.4045594562600527</v>
      </c>
      <c r="AM159" s="961">
        <f t="shared" si="105"/>
        <v>5.7134274875180573E-3</v>
      </c>
      <c r="AN159" s="964">
        <f t="shared" si="114"/>
        <v>-0.80455945626005843</v>
      </c>
      <c r="AO159" s="965"/>
      <c r="AP159" s="1784"/>
      <c r="AQ159" s="1778"/>
      <c r="AR159" s="1778"/>
      <c r="AS159" s="175">
        <v>81.8</v>
      </c>
      <c r="AT159" s="175">
        <v>100</v>
      </c>
      <c r="AU159" s="111"/>
      <c r="AV159" s="111">
        <v>9.5</v>
      </c>
      <c r="AW159" s="175">
        <f t="shared" si="124"/>
        <v>96.938775510204024</v>
      </c>
      <c r="AX159" s="385"/>
      <c r="AY159" s="111">
        <v>1.1000000000000001</v>
      </c>
      <c r="AZ159" s="385"/>
      <c r="BA159" s="111">
        <f t="shared" si="91"/>
        <v>-7.9</v>
      </c>
      <c r="BB159" s="111">
        <v>9</v>
      </c>
      <c r="BC159" s="385"/>
      <c r="BD159" s="385"/>
      <c r="BE159" s="967">
        <f t="shared" si="93"/>
        <v>162.70000000000002</v>
      </c>
      <c r="BF159" s="2133">
        <f t="shared" si="92"/>
        <v>0.27303816078463683</v>
      </c>
      <c r="BG159" s="530"/>
    </row>
    <row r="160" spans="1:59" s="87" customFormat="1">
      <c r="A160" s="79">
        <v>1849</v>
      </c>
      <c r="B160" s="1540">
        <f t="shared" si="123"/>
        <v>605.40571735769072</v>
      </c>
      <c r="C160" s="1162">
        <v>28.5</v>
      </c>
      <c r="D160" s="959">
        <v>24.2</v>
      </c>
      <c r="E160" s="959">
        <v>3.7</v>
      </c>
      <c r="F160" s="111">
        <f t="shared" si="95"/>
        <v>0.60000000000000053</v>
      </c>
      <c r="G160" s="1540">
        <f t="shared" si="106"/>
        <v>24.8</v>
      </c>
      <c r="H160" s="1551">
        <v>831.4</v>
      </c>
      <c r="I160" s="29">
        <f t="shared" si="122"/>
        <v>1.0467077930253053</v>
      </c>
      <c r="J160" s="959">
        <v>794.3</v>
      </c>
      <c r="K160" s="1427">
        <v>776.5</v>
      </c>
      <c r="L160" s="959">
        <f t="shared" si="107"/>
        <v>17.799999999999955</v>
      </c>
      <c r="M160" s="29">
        <f t="shared" si="98"/>
        <v>1.3732939352285394</v>
      </c>
      <c r="N160" s="29">
        <v>1.2709000000000001</v>
      </c>
      <c r="O160" s="111">
        <v>807.93569131832794</v>
      </c>
      <c r="P160" s="29">
        <f t="shared" si="115"/>
        <v>0.97177735304104884</v>
      </c>
      <c r="Q160" s="1558">
        <f t="shared" si="117"/>
        <v>2.9829203752706281E-2</v>
      </c>
      <c r="R160" s="961">
        <f t="shared" si="118"/>
        <v>3.116548615582743E-2</v>
      </c>
      <c r="S160" s="961">
        <f t="shared" si="119"/>
        <v>1.0928961748633894E-2</v>
      </c>
      <c r="T160" s="1535">
        <f t="shared" si="120"/>
        <v>3.0695512361303471E-2</v>
      </c>
      <c r="U160" s="1563">
        <v>57.1</v>
      </c>
      <c r="V160" s="111">
        <v>55.5</v>
      </c>
      <c r="W160" s="175">
        <f t="shared" si="99"/>
        <v>51.8</v>
      </c>
      <c r="X160" s="964">
        <f t="shared" si="87"/>
        <v>5.3000000000000043</v>
      </c>
      <c r="Y160" s="1536">
        <f t="shared" si="125"/>
        <v>1.2108114347153816</v>
      </c>
      <c r="Z160" s="111">
        <f t="shared" si="100"/>
        <v>4.0891885652846227</v>
      </c>
      <c r="AA160" s="1536">
        <f t="shared" si="101"/>
        <v>0</v>
      </c>
      <c r="AB160" s="111">
        <f t="shared" si="102"/>
        <v>2.5</v>
      </c>
      <c r="AC160" s="111">
        <f t="shared" si="108"/>
        <v>5.3000000000000043</v>
      </c>
      <c r="AD160" s="111">
        <f t="shared" si="109"/>
        <v>4.0891885652846227</v>
      </c>
      <c r="AE160" s="111">
        <f t="shared" si="110"/>
        <v>787.11198224612724</v>
      </c>
      <c r="AF160" s="29">
        <f t="shared" si="103"/>
        <v>-7.3154277345065327E-2</v>
      </c>
      <c r="AG160" s="587">
        <f t="shared" si="121"/>
        <v>28.889188565284623</v>
      </c>
      <c r="AH160" s="964">
        <f t="shared" si="111"/>
        <v>0</v>
      </c>
      <c r="AI160" s="964">
        <v>0</v>
      </c>
      <c r="AJ160" s="964">
        <f t="shared" si="112"/>
        <v>0</v>
      </c>
      <c r="AK160" s="964">
        <f t="shared" si="113"/>
        <v>5.3000000000000043</v>
      </c>
      <c r="AL160" s="964">
        <f t="shared" si="104"/>
        <v>3.4589416666520179</v>
      </c>
      <c r="AM160" s="961">
        <f t="shared" si="105"/>
        <v>5.7134274875180573E-3</v>
      </c>
      <c r="AN160" s="964">
        <f t="shared" si="114"/>
        <v>1.8410583333479864</v>
      </c>
      <c r="AO160" s="965"/>
      <c r="AP160" s="1784"/>
      <c r="AQ160" s="1778"/>
      <c r="AR160" s="1778"/>
      <c r="AS160" s="175">
        <v>73.900000000000006</v>
      </c>
      <c r="AT160" s="175">
        <v>95</v>
      </c>
      <c r="AU160" s="111"/>
      <c r="AV160" s="111">
        <v>8.9</v>
      </c>
      <c r="AW160" s="175">
        <f t="shared" si="124"/>
        <v>90.816326530612187</v>
      </c>
      <c r="AX160" s="385"/>
      <c r="AY160" s="111">
        <v>2.9</v>
      </c>
      <c r="AZ160" s="385"/>
      <c r="BA160" s="111">
        <f t="shared" si="91"/>
        <v>-5.2999999999999989</v>
      </c>
      <c r="BB160" s="111">
        <v>8.1999999999999993</v>
      </c>
      <c r="BC160" s="385"/>
      <c r="BD160" s="385"/>
      <c r="BE160" s="967">
        <f t="shared" si="93"/>
        <v>163.80000000000001</v>
      </c>
      <c r="BF160" s="2133">
        <f t="shared" si="92"/>
        <v>0.2705623605850791</v>
      </c>
      <c r="BG160" s="530"/>
    </row>
    <row r="161" spans="1:59" s="87" customFormat="1">
      <c r="A161" s="79">
        <v>1850</v>
      </c>
      <c r="B161" s="1540">
        <f t="shared" si="123"/>
        <v>614.92403372921592</v>
      </c>
      <c r="C161" s="1162">
        <v>28.3</v>
      </c>
      <c r="D161" s="959">
        <v>24.1</v>
      </c>
      <c r="E161" s="959">
        <v>3.7</v>
      </c>
      <c r="F161" s="111">
        <f t="shared" si="95"/>
        <v>0.49999999999999911</v>
      </c>
      <c r="G161" s="1540">
        <f t="shared" si="106"/>
        <v>24.6</v>
      </c>
      <c r="H161" s="1551">
        <v>828.9</v>
      </c>
      <c r="I161" s="29">
        <f t="shared" si="122"/>
        <v>1.0446124763705105</v>
      </c>
      <c r="J161" s="959">
        <v>793.5</v>
      </c>
      <c r="K161" s="1427">
        <v>775.7</v>
      </c>
      <c r="L161" s="959">
        <f t="shared" si="107"/>
        <v>17.799999999999955</v>
      </c>
      <c r="M161" s="29">
        <f t="shared" si="98"/>
        <v>1.3479713826976703</v>
      </c>
      <c r="N161" s="29">
        <v>1.3872</v>
      </c>
      <c r="O161" s="111">
        <v>810.29126213592235</v>
      </c>
      <c r="P161" s="29">
        <f t="shared" si="115"/>
        <v>0.97755008099399487</v>
      </c>
      <c r="Q161" s="1558">
        <f t="shared" si="117"/>
        <v>2.9677886355410788E-2</v>
      </c>
      <c r="R161" s="961">
        <f t="shared" si="118"/>
        <v>3.1068712130978469E-2</v>
      </c>
      <c r="S161" s="961">
        <f t="shared" si="119"/>
        <v>9.3984962406014998E-3</v>
      </c>
      <c r="T161" s="1535">
        <f t="shared" si="120"/>
        <v>3.0359453630481668E-2</v>
      </c>
      <c r="U161" s="1563">
        <v>57.1</v>
      </c>
      <c r="V161" s="111">
        <v>54.7</v>
      </c>
      <c r="W161" s="175">
        <f t="shared" si="99"/>
        <v>51</v>
      </c>
      <c r="X161" s="964">
        <f t="shared" si="87"/>
        <v>6.1000000000000014</v>
      </c>
      <c r="Y161" s="1536">
        <f t="shared" si="125"/>
        <v>1.2298480674584318</v>
      </c>
      <c r="Z161" s="111">
        <f t="shared" si="100"/>
        <v>4.8701519325415692</v>
      </c>
      <c r="AA161" s="1536">
        <f t="shared" si="101"/>
        <v>0</v>
      </c>
      <c r="AB161" s="111">
        <f t="shared" si="102"/>
        <v>5.1999999999999318</v>
      </c>
      <c r="AC161" s="111">
        <f t="shared" si="108"/>
        <v>6.1000000000000014</v>
      </c>
      <c r="AD161" s="111">
        <f t="shared" si="109"/>
        <v>4.8701519325415692</v>
      </c>
      <c r="AE161" s="111">
        <f t="shared" si="110"/>
        <v>783.0227936808426</v>
      </c>
      <c r="AF161" s="29">
        <f t="shared" si="103"/>
        <v>-7.4606298994258496E-2</v>
      </c>
      <c r="AG161" s="587">
        <f t="shared" si="121"/>
        <v>29.470151932541569</v>
      </c>
      <c r="AH161" s="964">
        <f t="shared" si="111"/>
        <v>0</v>
      </c>
      <c r="AI161" s="964">
        <v>0</v>
      </c>
      <c r="AJ161" s="964">
        <f t="shared" si="112"/>
        <v>0</v>
      </c>
      <c r="AK161" s="964">
        <f t="shared" si="113"/>
        <v>6.1000000000000014</v>
      </c>
      <c r="AL161" s="964">
        <f t="shared" si="104"/>
        <v>3.5133238770439834</v>
      </c>
      <c r="AM161" s="961">
        <f t="shared" si="105"/>
        <v>5.7134274875180573E-3</v>
      </c>
      <c r="AN161" s="964">
        <f t="shared" si="114"/>
        <v>2.586676122956018</v>
      </c>
      <c r="AO161" s="965"/>
      <c r="AP161" s="1784"/>
      <c r="AQ161" s="1778"/>
      <c r="AR161" s="1778"/>
      <c r="AS161" s="175">
        <v>73.5</v>
      </c>
      <c r="AT161" s="175">
        <v>95</v>
      </c>
      <c r="AU161" s="111"/>
      <c r="AV161" s="111">
        <v>8.4</v>
      </c>
      <c r="AW161" s="175">
        <f t="shared" si="124"/>
        <v>85.714285714285666</v>
      </c>
      <c r="AX161" s="385"/>
      <c r="AY161" s="111">
        <v>11.6</v>
      </c>
      <c r="AZ161" s="385"/>
      <c r="BA161" s="111">
        <f t="shared" si="91"/>
        <v>2.1999999999999993</v>
      </c>
      <c r="BB161" s="111">
        <v>9.4</v>
      </c>
      <c r="BC161" s="385"/>
      <c r="BD161" s="385"/>
      <c r="BE161" s="967">
        <f t="shared" si="93"/>
        <v>166.70000000000002</v>
      </c>
      <c r="BF161" s="2133">
        <f t="shared" si="92"/>
        <v>0.27109039630317489</v>
      </c>
      <c r="BG161" s="530"/>
    </row>
    <row r="162" spans="1:59" s="87" customFormat="1">
      <c r="A162" s="79">
        <v>1851</v>
      </c>
      <c r="B162" s="1540">
        <f t="shared" si="123"/>
        <v>624.44235010074112</v>
      </c>
      <c r="C162" s="1162">
        <v>28.2</v>
      </c>
      <c r="D162" s="959">
        <v>24</v>
      </c>
      <c r="E162" s="959">
        <v>3.8</v>
      </c>
      <c r="F162" s="111">
        <f t="shared" si="95"/>
        <v>0.39999999999999947</v>
      </c>
      <c r="G162" s="1540">
        <f t="shared" si="106"/>
        <v>24.4</v>
      </c>
      <c r="H162" s="1551">
        <v>823.7</v>
      </c>
      <c r="I162" s="29">
        <f t="shared" si="122"/>
        <v>1.0430543244269976</v>
      </c>
      <c r="J162" s="959">
        <v>789.7</v>
      </c>
      <c r="K162" s="1427">
        <v>772</v>
      </c>
      <c r="L162" s="959">
        <f t="shared" si="107"/>
        <v>17.700000000000045</v>
      </c>
      <c r="M162" s="29">
        <f t="shared" si="98"/>
        <v>1.3190969508508075</v>
      </c>
      <c r="N162" s="29">
        <v>1.3140000000000001</v>
      </c>
      <c r="O162" s="111">
        <v>823.13245033112582</v>
      </c>
      <c r="P162" s="29">
        <f t="shared" si="115"/>
        <v>0.99931097527148938</v>
      </c>
      <c r="Q162" s="1558">
        <f t="shared" si="117"/>
        <v>2.9622435352676942E-2</v>
      </c>
      <c r="R162" s="961">
        <f t="shared" si="118"/>
        <v>3.1088082901554404E-2</v>
      </c>
      <c r="S162" s="961">
        <f t="shared" si="119"/>
        <v>7.7369439071566558E-3</v>
      </c>
      <c r="T162" s="1535">
        <f t="shared" si="120"/>
        <v>2.964286001625192E-2</v>
      </c>
      <c r="U162" s="1563">
        <v>56.3</v>
      </c>
      <c r="V162" s="111">
        <v>54</v>
      </c>
      <c r="W162" s="175">
        <f t="shared" si="99"/>
        <v>50.2</v>
      </c>
      <c r="X162" s="964">
        <f t="shared" si="87"/>
        <v>6.0999999999999943</v>
      </c>
      <c r="Y162" s="1536">
        <f t="shared" si="125"/>
        <v>1.2488847002014822</v>
      </c>
      <c r="Z162" s="111">
        <f t="shared" si="100"/>
        <v>4.8511152997985123</v>
      </c>
      <c r="AA162" s="1536">
        <f t="shared" si="101"/>
        <v>0</v>
      </c>
      <c r="AB162" s="111">
        <f t="shared" si="102"/>
        <v>5.7000000000000455</v>
      </c>
      <c r="AC162" s="111">
        <f t="shared" si="108"/>
        <v>6.0999999999999943</v>
      </c>
      <c r="AD162" s="111">
        <f t="shared" si="109"/>
        <v>4.8511152997985123</v>
      </c>
      <c r="AE162" s="111">
        <f t="shared" si="110"/>
        <v>778.15264174830099</v>
      </c>
      <c r="AF162" s="29">
        <f t="shared" si="103"/>
        <v>-7.2940853938479516E-2</v>
      </c>
      <c r="AG162" s="587">
        <f t="shared" si="121"/>
        <v>29.25111529979851</v>
      </c>
      <c r="AH162" s="964">
        <f t="shared" si="111"/>
        <v>0</v>
      </c>
      <c r="AI162" s="964">
        <v>0</v>
      </c>
      <c r="AJ162" s="964">
        <f t="shared" si="112"/>
        <v>0</v>
      </c>
      <c r="AK162" s="964">
        <f t="shared" si="113"/>
        <v>6.0999999999999943</v>
      </c>
      <c r="AL162" s="964">
        <f t="shared" si="104"/>
        <v>3.5677060874359485</v>
      </c>
      <c r="AM162" s="961">
        <f t="shared" si="105"/>
        <v>5.7134274875180573E-3</v>
      </c>
      <c r="AN162" s="964">
        <f t="shared" si="114"/>
        <v>2.5322939125640458</v>
      </c>
      <c r="AO162" s="965"/>
      <c r="AP162" s="1784"/>
      <c r="AQ162" s="1778"/>
      <c r="AR162" s="1778"/>
      <c r="AS162" s="175"/>
      <c r="AT162" s="175">
        <v>91</v>
      </c>
      <c r="AU162" s="111"/>
      <c r="AV162" s="111">
        <v>8.1</v>
      </c>
      <c r="AW162" s="175">
        <f t="shared" si="124"/>
        <v>82.653061224489747</v>
      </c>
      <c r="AX162" s="385"/>
      <c r="AY162" s="111">
        <v>10.4</v>
      </c>
      <c r="AZ162" s="385"/>
      <c r="BA162" s="111">
        <f t="shared" si="91"/>
        <v>0</v>
      </c>
      <c r="BB162" s="111">
        <v>10.4</v>
      </c>
      <c r="BC162" s="385"/>
      <c r="BD162" s="385"/>
      <c r="BE162" s="967">
        <f t="shared" si="93"/>
        <v>178.3</v>
      </c>
      <c r="BF162" s="2133">
        <f t="shared" si="92"/>
        <v>0.28553476549313944</v>
      </c>
      <c r="BG162" s="530"/>
    </row>
    <row r="163" spans="1:59" s="87" customFormat="1">
      <c r="A163" s="79">
        <v>1852</v>
      </c>
      <c r="B163" s="1540">
        <f t="shared" si="123"/>
        <v>633.96066647226633</v>
      </c>
      <c r="C163" s="1162">
        <v>28.1</v>
      </c>
      <c r="D163" s="959">
        <v>23.9</v>
      </c>
      <c r="E163" s="959">
        <v>3.8</v>
      </c>
      <c r="F163" s="111">
        <f t="shared" si="95"/>
        <v>0.40000000000000302</v>
      </c>
      <c r="G163" s="1540">
        <f t="shared" si="106"/>
        <v>24.3</v>
      </c>
      <c r="H163" s="1551">
        <v>818</v>
      </c>
      <c r="I163" s="29">
        <f t="shared" si="122"/>
        <v>1.0411098383606974</v>
      </c>
      <c r="J163" s="959">
        <v>785.7</v>
      </c>
      <c r="K163" s="1427">
        <v>767.9</v>
      </c>
      <c r="L163" s="959">
        <f t="shared" si="107"/>
        <v>17.800000000000068</v>
      </c>
      <c r="M163" s="29">
        <f t="shared" si="98"/>
        <v>1.2903008707966661</v>
      </c>
      <c r="N163" s="29">
        <v>1.2944</v>
      </c>
      <c r="O163" s="111">
        <v>803.7</v>
      </c>
      <c r="P163" s="29">
        <f t="shared" si="115"/>
        <v>0.98251833740831307</v>
      </c>
      <c r="Q163" s="1558">
        <f t="shared" si="117"/>
        <v>2.9706601466992666E-2</v>
      </c>
      <c r="R163" s="961">
        <f t="shared" si="118"/>
        <v>3.1123844250553458E-2</v>
      </c>
      <c r="S163" s="961">
        <f t="shared" si="119"/>
        <v>7.9840319361278011E-3</v>
      </c>
      <c r="T163" s="1535">
        <f t="shared" si="120"/>
        <v>3.0235162374020155E-2</v>
      </c>
      <c r="U163" s="1563">
        <v>57.3</v>
      </c>
      <c r="V163" s="111">
        <v>55.3</v>
      </c>
      <c r="W163" s="175">
        <f t="shared" si="99"/>
        <v>51.5</v>
      </c>
      <c r="X163" s="964">
        <f t="shared" si="87"/>
        <v>5.7999999999999972</v>
      </c>
      <c r="Y163" s="1536">
        <f t="shared" si="125"/>
        <v>1.2679213329445327</v>
      </c>
      <c r="Z163" s="111">
        <f t="shared" si="100"/>
        <v>4.5320786670554645</v>
      </c>
      <c r="AA163" s="1536">
        <f t="shared" si="101"/>
        <v>0</v>
      </c>
      <c r="AB163" s="111">
        <f t="shared" si="102"/>
        <v>4.5</v>
      </c>
      <c r="AC163" s="111">
        <f t="shared" si="108"/>
        <v>5.7999999999999972</v>
      </c>
      <c r="AD163" s="111">
        <f t="shared" si="109"/>
        <v>4.5320786670554645</v>
      </c>
      <c r="AE163" s="111">
        <f t="shared" si="110"/>
        <v>773.3015264485025</v>
      </c>
      <c r="AF163" s="29">
        <f t="shared" si="103"/>
        <v>-7.0506698467944953E-2</v>
      </c>
      <c r="AG163" s="587">
        <f t="shared" si="121"/>
        <v>28.832078667055466</v>
      </c>
      <c r="AH163" s="964">
        <f t="shared" si="111"/>
        <v>0</v>
      </c>
      <c r="AI163" s="964">
        <v>0</v>
      </c>
      <c r="AJ163" s="964">
        <f t="shared" si="112"/>
        <v>0</v>
      </c>
      <c r="AK163" s="964">
        <f t="shared" si="113"/>
        <v>5.7999999999999972</v>
      </c>
      <c r="AL163" s="964">
        <f t="shared" si="104"/>
        <v>3.6220882978279136</v>
      </c>
      <c r="AM163" s="961">
        <f t="shared" si="105"/>
        <v>5.7134274875180573E-3</v>
      </c>
      <c r="AN163" s="964">
        <f t="shared" si="114"/>
        <v>2.1779117021720835</v>
      </c>
      <c r="AO163" s="965"/>
      <c r="AP163" s="1784"/>
      <c r="AQ163" s="1778"/>
      <c r="AR163" s="1778"/>
      <c r="AS163" s="175"/>
      <c r="AT163" s="175">
        <v>94</v>
      </c>
      <c r="AU163" s="111"/>
      <c r="AV163" s="111">
        <v>8.1</v>
      </c>
      <c r="AW163" s="175">
        <f t="shared" si="124"/>
        <v>82.653061224489747</v>
      </c>
      <c r="AX163" s="385"/>
      <c r="AY163" s="111">
        <v>15.5</v>
      </c>
      <c r="AZ163" s="967"/>
      <c r="BA163" s="111">
        <f t="shared" si="91"/>
        <v>4.5999999999999996</v>
      </c>
      <c r="BB163" s="111">
        <v>10.9</v>
      </c>
      <c r="BC163" s="385"/>
      <c r="BD163" s="385"/>
      <c r="BE163" s="967">
        <f t="shared" si="93"/>
        <v>188.70000000000002</v>
      </c>
      <c r="BF163" s="2133">
        <f t="shared" ref="BF163:BF194" si="126">BE163/B163</f>
        <v>0.29765253584270279</v>
      </c>
      <c r="BG163" s="530"/>
    </row>
    <row r="164" spans="1:59" s="87" customFormat="1">
      <c r="A164" s="79">
        <v>1853</v>
      </c>
      <c r="B164" s="1540">
        <f t="shared" si="123"/>
        <v>643.47898284379153</v>
      </c>
      <c r="C164" s="1162">
        <v>28.1</v>
      </c>
      <c r="D164" s="959">
        <v>23.8</v>
      </c>
      <c r="E164" s="959">
        <v>3.8</v>
      </c>
      <c r="F164" s="111">
        <f t="shared" si="95"/>
        <v>0.50000000000000089</v>
      </c>
      <c r="G164" s="1540">
        <f t="shared" si="106"/>
        <v>24.3</v>
      </c>
      <c r="H164" s="1551">
        <v>813.5</v>
      </c>
      <c r="I164" s="29">
        <f t="shared" si="122"/>
        <v>1.0398823980570115</v>
      </c>
      <c r="J164" s="959">
        <v>782.3</v>
      </c>
      <c r="K164" s="1427">
        <v>764.5</v>
      </c>
      <c r="L164" s="959">
        <f t="shared" si="107"/>
        <v>17.799999999999955</v>
      </c>
      <c r="M164" s="29">
        <f t="shared" si="98"/>
        <v>1.2642215545328574</v>
      </c>
      <c r="N164" s="29">
        <v>1.1537999999999999</v>
      </c>
      <c r="O164" s="111">
        <v>749.4</v>
      </c>
      <c r="P164" s="29">
        <f t="shared" si="115"/>
        <v>0.92120467117393978</v>
      </c>
      <c r="Q164" s="1558">
        <f t="shared" si="117"/>
        <v>2.9870928088506454E-2</v>
      </c>
      <c r="R164" s="961">
        <f t="shared" si="118"/>
        <v>3.1131458469587966E-2</v>
      </c>
      <c r="S164" s="961">
        <f t="shared" si="119"/>
        <v>1.0204081632653079E-2</v>
      </c>
      <c r="T164" s="1535">
        <f t="shared" si="120"/>
        <v>3.2425940752602085E-2</v>
      </c>
      <c r="U164" s="1563">
        <v>58.5</v>
      </c>
      <c r="V164" s="111">
        <v>55.8</v>
      </c>
      <c r="W164" s="175">
        <f t="shared" si="99"/>
        <v>52</v>
      </c>
      <c r="X164" s="964">
        <f t="shared" si="87"/>
        <v>6.5</v>
      </c>
      <c r="Y164" s="1536">
        <f t="shared" si="125"/>
        <v>1.2869579656875831</v>
      </c>
      <c r="Z164" s="111">
        <f t="shared" si="100"/>
        <v>5.2130420343124166</v>
      </c>
      <c r="AA164" s="1536">
        <f t="shared" si="101"/>
        <v>0</v>
      </c>
      <c r="AB164" s="111">
        <f t="shared" si="102"/>
        <v>9.8999999999999773</v>
      </c>
      <c r="AC164" s="111">
        <f t="shared" si="108"/>
        <v>6.5</v>
      </c>
      <c r="AD164" s="111">
        <f t="shared" si="109"/>
        <v>5.2130420343124166</v>
      </c>
      <c r="AE164" s="111">
        <f t="shared" si="110"/>
        <v>768.76944778144707</v>
      </c>
      <c r="AF164" s="29">
        <f t="shared" si="103"/>
        <v>-6.9513618021944848E-2</v>
      </c>
      <c r="AG164" s="587">
        <f t="shared" si="121"/>
        <v>29.513042034312416</v>
      </c>
      <c r="AH164" s="964">
        <f t="shared" si="111"/>
        <v>0</v>
      </c>
      <c r="AI164" s="964">
        <v>0</v>
      </c>
      <c r="AJ164" s="964">
        <f t="shared" si="112"/>
        <v>0</v>
      </c>
      <c r="AK164" s="964">
        <f t="shared" si="113"/>
        <v>6.5</v>
      </c>
      <c r="AL164" s="964">
        <f t="shared" si="104"/>
        <v>3.6764705082198788</v>
      </c>
      <c r="AM164" s="961">
        <f t="shared" si="105"/>
        <v>5.7134274875180573E-3</v>
      </c>
      <c r="AN164" s="964">
        <f t="shared" si="114"/>
        <v>2.8235294917801212</v>
      </c>
      <c r="AO164" s="965"/>
      <c r="AP164" s="1784"/>
      <c r="AQ164" s="1778"/>
      <c r="AR164" s="1778"/>
      <c r="AS164" s="175"/>
      <c r="AT164" s="175">
        <v>112</v>
      </c>
      <c r="AU164" s="111"/>
      <c r="AV164" s="111">
        <v>8.9</v>
      </c>
      <c r="AW164" s="175">
        <f t="shared" si="124"/>
        <v>90.816326530612201</v>
      </c>
      <c r="AX164" s="385"/>
      <c r="AY164" s="111">
        <v>9.8000000000000007</v>
      </c>
      <c r="AZ164" s="967"/>
      <c r="BA164" s="111">
        <f t="shared" si="91"/>
        <v>-2</v>
      </c>
      <c r="BB164" s="111">
        <v>11.8</v>
      </c>
      <c r="BC164" s="385"/>
      <c r="BD164" s="385"/>
      <c r="BE164" s="967">
        <f t="shared" ref="BE164:BE195" si="127">BE163+AY163</f>
        <v>204.20000000000002</v>
      </c>
      <c r="BF164" s="2133">
        <f t="shared" si="126"/>
        <v>0.31733748178931714</v>
      </c>
      <c r="BG164" s="530"/>
    </row>
    <row r="165" spans="1:59" s="87" customFormat="1">
      <c r="A165" s="79">
        <v>1854</v>
      </c>
      <c r="B165" s="1540">
        <f t="shared" si="123"/>
        <v>652.99729921531673</v>
      </c>
      <c r="C165" s="1162">
        <v>28</v>
      </c>
      <c r="D165" s="959">
        <v>23.3</v>
      </c>
      <c r="E165" s="959">
        <v>3.8</v>
      </c>
      <c r="F165" s="111">
        <f t="shared" si="95"/>
        <v>0.89999999999999947</v>
      </c>
      <c r="G165" s="1540">
        <f t="shared" si="106"/>
        <v>24.2</v>
      </c>
      <c r="H165" s="1551">
        <v>803.6</v>
      </c>
      <c r="I165" s="29">
        <f t="shared" si="122"/>
        <v>1.037706611570248</v>
      </c>
      <c r="J165" s="959">
        <v>774.4</v>
      </c>
      <c r="K165" s="1427">
        <v>758.4</v>
      </c>
      <c r="L165" s="959">
        <f t="shared" si="107"/>
        <v>16</v>
      </c>
      <c r="M165" s="29">
        <f t="shared" si="98"/>
        <v>1.2306329612169256</v>
      </c>
      <c r="N165" s="29">
        <v>1.0786</v>
      </c>
      <c r="O165" s="111">
        <v>731.2</v>
      </c>
      <c r="P165" s="29">
        <f t="shared" si="115"/>
        <v>0.90990542558486809</v>
      </c>
      <c r="Q165" s="1558">
        <f t="shared" si="117"/>
        <v>3.011448481831757E-2</v>
      </c>
      <c r="R165" s="961">
        <f t="shared" si="118"/>
        <v>3.072257383966245E-2</v>
      </c>
      <c r="S165" s="961">
        <f t="shared" si="119"/>
        <v>1.991150442477873E-2</v>
      </c>
      <c r="T165" s="1535">
        <f t="shared" si="120"/>
        <v>3.3096280087527352E-2</v>
      </c>
      <c r="U165" s="1162">
        <v>62.4</v>
      </c>
      <c r="V165" s="111">
        <v>69.099999999999994</v>
      </c>
      <c r="W165" s="175">
        <f t="shared" si="99"/>
        <v>65.3</v>
      </c>
      <c r="X165" s="964">
        <f t="shared" si="87"/>
        <v>-2.8999999999999986</v>
      </c>
      <c r="Y165" s="1536">
        <f t="shared" si="125"/>
        <v>1.3059945984306336</v>
      </c>
      <c r="Z165" s="111">
        <f t="shared" si="100"/>
        <v>-4.2059945984306317</v>
      </c>
      <c r="AA165" s="1536">
        <f t="shared" si="101"/>
        <v>0</v>
      </c>
      <c r="AB165" s="111">
        <f t="shared" si="102"/>
        <v>-3.1000000000000227</v>
      </c>
      <c r="AC165" s="111">
        <f t="shared" si="108"/>
        <v>-2.8999999999999986</v>
      </c>
      <c r="AD165" s="111">
        <f t="shared" si="109"/>
        <v>-4.2059945984306317</v>
      </c>
      <c r="AE165" s="111">
        <f t="shared" si="110"/>
        <v>763.5564057471347</v>
      </c>
      <c r="AF165" s="29">
        <f t="shared" si="103"/>
        <v>-6.1322756313057128E-2</v>
      </c>
      <c r="AG165" s="587">
        <f t="shared" si="121"/>
        <v>19.994005401569368</v>
      </c>
      <c r="AH165" s="964">
        <f t="shared" si="111"/>
        <v>0</v>
      </c>
      <c r="AI165" s="964">
        <v>0</v>
      </c>
      <c r="AJ165" s="964">
        <f t="shared" si="112"/>
        <v>0</v>
      </c>
      <c r="AK165" s="964">
        <f t="shared" si="113"/>
        <v>-2.8999999999999986</v>
      </c>
      <c r="AL165" s="964">
        <f t="shared" si="104"/>
        <v>3.7308527186118443</v>
      </c>
      <c r="AM165" s="961">
        <f>AM$166</f>
        <v>5.7134274875180573E-3</v>
      </c>
      <c r="AN165" s="964">
        <f t="shared" si="114"/>
        <v>-6.6308527186118429</v>
      </c>
      <c r="AO165" s="965"/>
      <c r="AP165" s="1784"/>
      <c r="AQ165" s="1778"/>
      <c r="AR165" s="1778"/>
      <c r="AS165" s="175"/>
      <c r="AT165" s="175">
        <v>125</v>
      </c>
      <c r="AU165" s="111"/>
      <c r="AV165" s="111">
        <v>10.199999999999999</v>
      </c>
      <c r="AW165" s="175">
        <f t="shared" si="124"/>
        <v>104.08163265306116</v>
      </c>
      <c r="AX165" s="385"/>
      <c r="AY165" s="111">
        <v>9.4</v>
      </c>
      <c r="AZ165" s="967"/>
      <c r="BA165" s="111">
        <f t="shared" si="91"/>
        <v>-3.1999999999999993</v>
      </c>
      <c r="BB165" s="111">
        <v>12.6</v>
      </c>
      <c r="BC165" s="385"/>
      <c r="BD165" s="385"/>
      <c r="BE165" s="967">
        <f t="shared" si="127"/>
        <v>214.00000000000003</v>
      </c>
      <c r="BF165" s="2133">
        <f t="shared" si="126"/>
        <v>0.32771957901993792</v>
      </c>
      <c r="BG165" s="530"/>
    </row>
    <row r="166" spans="1:59" s="87" customFormat="1">
      <c r="A166" s="79">
        <v>1855</v>
      </c>
      <c r="B166" s="1540">
        <f>DataUK1!B13</f>
        <v>662.51561558684193</v>
      </c>
      <c r="C166" s="1162">
        <v>28.2</v>
      </c>
      <c r="D166" s="959">
        <v>23.4</v>
      </c>
      <c r="E166" s="959">
        <v>3.9</v>
      </c>
      <c r="F166" s="111">
        <f t="shared" si="95"/>
        <v>0.9000000000000008</v>
      </c>
      <c r="G166" s="1540">
        <f t="shared" si="106"/>
        <v>24.3</v>
      </c>
      <c r="H166" s="1551">
        <v>806.7</v>
      </c>
      <c r="I166" s="29">
        <f t="shared" si="122"/>
        <v>1.0346287033474413</v>
      </c>
      <c r="J166" s="959">
        <v>779.7</v>
      </c>
      <c r="K166" s="1427">
        <v>755.6</v>
      </c>
      <c r="L166" s="959">
        <f t="shared" si="107"/>
        <v>24.100000000000023</v>
      </c>
      <c r="M166" s="29">
        <f t="shared" si="98"/>
        <v>1.21763167693103</v>
      </c>
      <c r="N166" s="29">
        <v>1.0551000000000001</v>
      </c>
      <c r="O166" s="111">
        <v>750</v>
      </c>
      <c r="P166" s="29">
        <f t="shared" si="115"/>
        <v>0.92971364819635549</v>
      </c>
      <c r="Q166" s="1558">
        <f t="shared" si="117"/>
        <v>3.0122722201561918E-2</v>
      </c>
      <c r="R166" s="961">
        <f t="shared" si="118"/>
        <v>3.0968766543144517E-2</v>
      </c>
      <c r="S166" s="961">
        <f t="shared" si="119"/>
        <v>1.761252446183954E-2</v>
      </c>
      <c r="T166" s="1535">
        <f t="shared" si="120"/>
        <v>3.2399999999999998E-2</v>
      </c>
      <c r="U166" s="1162">
        <v>69.7</v>
      </c>
      <c r="V166" s="111">
        <v>93.1</v>
      </c>
      <c r="W166" s="175">
        <f t="shared" si="99"/>
        <v>89.199999999999989</v>
      </c>
      <c r="X166" s="964">
        <f t="shared" si="87"/>
        <v>-19.499999999999986</v>
      </c>
      <c r="Y166" s="1536">
        <f t="shared" si="125"/>
        <v>1.3250312311736838</v>
      </c>
      <c r="Z166" s="111">
        <f t="shared" si="100"/>
        <v>-20.825031231173668</v>
      </c>
      <c r="AA166" s="1536">
        <f t="shared" si="101"/>
        <v>0</v>
      </c>
      <c r="AB166" s="111">
        <f t="shared" si="102"/>
        <v>-27</v>
      </c>
      <c r="AC166" s="111">
        <f t="shared" si="108"/>
        <v>-19.499999999999986</v>
      </c>
      <c r="AD166" s="111">
        <f t="shared" si="109"/>
        <v>-20.825031231173668</v>
      </c>
      <c r="AE166" s="111">
        <f t="shared" si="110"/>
        <v>767.76240034556531</v>
      </c>
      <c r="AF166" s="29">
        <f t="shared" si="103"/>
        <v>-5.877235002218726E-2</v>
      </c>
      <c r="AG166" s="587">
        <f t="shared" si="121"/>
        <v>3.4749687688263329</v>
      </c>
      <c r="AH166" s="964">
        <f t="shared" si="111"/>
        <v>0</v>
      </c>
      <c r="AI166" s="964">
        <v>0</v>
      </c>
      <c r="AJ166" s="964">
        <f t="shared" si="112"/>
        <v>0</v>
      </c>
      <c r="AK166" s="964">
        <f t="shared" si="113"/>
        <v>-19.499999999999986</v>
      </c>
      <c r="AL166" s="964">
        <f>DataUK1!DK13</f>
        <v>3.7852349290038094</v>
      </c>
      <c r="AM166" s="961">
        <f t="shared" ref="AM166:AM197" si="128">AL166/B166</f>
        <v>5.7134274875180573E-3</v>
      </c>
      <c r="AN166" s="964">
        <f t="shared" si="114"/>
        <v>-23.285234929003796</v>
      </c>
      <c r="AO166" s="965"/>
      <c r="AP166" s="1784"/>
      <c r="AQ166" s="1778"/>
      <c r="AR166" s="1778"/>
      <c r="AS166" s="175"/>
      <c r="AT166" s="175">
        <v>125</v>
      </c>
      <c r="AU166" s="111">
        <v>100</v>
      </c>
      <c r="AV166" s="111">
        <v>10.5</v>
      </c>
      <c r="AW166" s="175">
        <f t="shared" si="124"/>
        <v>107.1428571428571</v>
      </c>
      <c r="AX166" s="385"/>
      <c r="AY166" s="111">
        <v>21.7</v>
      </c>
      <c r="AZ166" s="967">
        <f>AY166-DataUK1!FI13</f>
        <v>0.69999999999999929</v>
      </c>
      <c r="BA166" s="111">
        <f t="shared" si="91"/>
        <v>8.7999999999999989</v>
      </c>
      <c r="BB166" s="111">
        <v>12.9</v>
      </c>
      <c r="BC166" s="385"/>
      <c r="BD166" s="385"/>
      <c r="BE166" s="967">
        <f t="shared" si="127"/>
        <v>223.40000000000003</v>
      </c>
      <c r="BF166" s="2133">
        <f t="shared" si="126"/>
        <v>0.3371995991401911</v>
      </c>
      <c r="BG166" s="385">
        <f>DataUK3!BS13</f>
        <v>0.39244358001991797</v>
      </c>
    </row>
    <row r="167" spans="1:59" s="87" customFormat="1">
      <c r="A167" s="79">
        <v>1856</v>
      </c>
      <c r="B167" s="1540">
        <f>DataUK1!B14</f>
        <v>694.69320112264984</v>
      </c>
      <c r="C167" s="1162">
        <v>28.8</v>
      </c>
      <c r="D167" s="959">
        <v>23.8</v>
      </c>
      <c r="E167" s="959">
        <v>4</v>
      </c>
      <c r="F167" s="111">
        <f t="shared" si="95"/>
        <v>1</v>
      </c>
      <c r="G167" s="1540">
        <f t="shared" si="106"/>
        <v>24.8</v>
      </c>
      <c r="H167" s="1551">
        <v>833.7</v>
      </c>
      <c r="I167" s="29">
        <f t="shared" si="122"/>
        <v>1.0337259764414135</v>
      </c>
      <c r="J167" s="959">
        <v>806.5</v>
      </c>
      <c r="K167" s="1427">
        <v>779.4</v>
      </c>
      <c r="L167" s="959">
        <f t="shared" si="107"/>
        <v>27.100000000000023</v>
      </c>
      <c r="M167" s="29">
        <f t="shared" si="98"/>
        <v>1.2000981133149282</v>
      </c>
      <c r="N167" s="29">
        <v>1.0488</v>
      </c>
      <c r="O167" s="111">
        <v>765.1</v>
      </c>
      <c r="P167" s="29">
        <f t="shared" si="115"/>
        <v>0.91771620486985728</v>
      </c>
      <c r="Q167" s="1558">
        <f t="shared" si="117"/>
        <v>2.9746911359002037E-2</v>
      </c>
      <c r="R167" s="961">
        <f t="shared" si="118"/>
        <v>3.0536309982037466E-2</v>
      </c>
      <c r="S167" s="961">
        <f t="shared" si="119"/>
        <v>1.8416206261510106E-2</v>
      </c>
      <c r="T167" s="1535">
        <f t="shared" si="120"/>
        <v>3.2414063521108351E-2</v>
      </c>
      <c r="U167" s="1162">
        <v>72.2</v>
      </c>
      <c r="V167" s="111">
        <v>76.099999999999994</v>
      </c>
      <c r="W167" s="175">
        <f t="shared" si="99"/>
        <v>72.099999999999994</v>
      </c>
      <c r="X167" s="964">
        <f t="shared" si="87"/>
        <v>0.10000000000000853</v>
      </c>
      <c r="Y167" s="1536">
        <f t="shared" si="125"/>
        <v>1.3893864022452997</v>
      </c>
      <c r="Z167" s="111">
        <f t="shared" si="100"/>
        <v>-1.2893864022452912</v>
      </c>
      <c r="AA167" s="1536">
        <f t="shared" si="101"/>
        <v>0</v>
      </c>
      <c r="AB167" s="111">
        <f t="shared" si="102"/>
        <v>-3.0999999999999091</v>
      </c>
      <c r="AC167" s="111">
        <f t="shared" si="108"/>
        <v>0.10000000000000853</v>
      </c>
      <c r="AD167" s="111">
        <f t="shared" si="109"/>
        <v>-1.2893864022452912</v>
      </c>
      <c r="AE167" s="111">
        <f t="shared" si="110"/>
        <v>788.58743157673894</v>
      </c>
      <c r="AF167" s="29">
        <f t="shared" si="103"/>
        <v>-6.4938836813657502E-2</v>
      </c>
      <c r="AG167" s="587">
        <f t="shared" si="121"/>
        <v>23.510613597754709</v>
      </c>
      <c r="AH167" s="964">
        <f t="shared" si="111"/>
        <v>0</v>
      </c>
      <c r="AI167" s="964">
        <v>0</v>
      </c>
      <c r="AJ167" s="964">
        <f t="shared" si="112"/>
        <v>0</v>
      </c>
      <c r="AK167" s="964">
        <f t="shared" si="113"/>
        <v>0.10000000000000853</v>
      </c>
      <c r="AL167" s="964">
        <f>DataUK1!DK14</f>
        <v>3.9548610081225344</v>
      </c>
      <c r="AM167" s="961">
        <f t="shared" si="128"/>
        <v>5.692960578470227E-3</v>
      </c>
      <c r="AN167" s="964">
        <f t="shared" si="114"/>
        <v>-3.8548610081225259</v>
      </c>
      <c r="AO167" s="965"/>
      <c r="AP167" s="1784"/>
      <c r="AQ167" s="1778"/>
      <c r="AR167" s="1778"/>
      <c r="AS167" s="175"/>
      <c r="AT167" s="175">
        <v>124</v>
      </c>
      <c r="AU167" s="111"/>
      <c r="AV167" s="111">
        <v>10.5</v>
      </c>
      <c r="AW167" s="175">
        <f t="shared" si="124"/>
        <v>107.14285714285711</v>
      </c>
      <c r="AX167" s="385"/>
      <c r="AY167" s="111">
        <v>23.7</v>
      </c>
      <c r="AZ167" s="967">
        <f>AY167-DataUK1!FI14</f>
        <v>1.6999999999999993</v>
      </c>
      <c r="BA167" s="111">
        <f t="shared" si="91"/>
        <v>8.7999999999999989</v>
      </c>
      <c r="BB167" s="111">
        <v>14.9</v>
      </c>
      <c r="BC167" s="385"/>
      <c r="BD167" s="385"/>
      <c r="BE167" s="967">
        <f t="shared" si="127"/>
        <v>245.10000000000002</v>
      </c>
      <c r="BF167" s="2133">
        <f t="shared" si="126"/>
        <v>0.35281761733655864</v>
      </c>
      <c r="BG167" s="385">
        <f>DataUK3!BS14</f>
        <v>0.40449510596316995</v>
      </c>
    </row>
    <row r="168" spans="1:59" s="87" customFormat="1">
      <c r="A168" s="79">
        <v>1857</v>
      </c>
      <c r="B168" s="1540">
        <f>DataUK1!B15</f>
        <v>681.97720315613515</v>
      </c>
      <c r="C168" s="1162">
        <v>28.7</v>
      </c>
      <c r="D168" s="959">
        <v>23.8</v>
      </c>
      <c r="E168" s="959">
        <v>4</v>
      </c>
      <c r="F168" s="111">
        <f t="shared" si="95"/>
        <v>0.89999999999999858</v>
      </c>
      <c r="G168" s="1540">
        <f t="shared" si="106"/>
        <v>24.7</v>
      </c>
      <c r="H168" s="1551">
        <v>836.8</v>
      </c>
      <c r="I168" s="29">
        <f t="shared" si="122"/>
        <v>1.0305418719211823</v>
      </c>
      <c r="J168" s="959">
        <v>812</v>
      </c>
      <c r="K168" s="1427">
        <v>784</v>
      </c>
      <c r="L168" s="959">
        <f t="shared" si="107"/>
        <v>28</v>
      </c>
      <c r="M168" s="29">
        <f t="shared" si="98"/>
        <v>1.2270204870886556</v>
      </c>
      <c r="N168" s="29">
        <v>1.0424</v>
      </c>
      <c r="O168" s="111">
        <v>809</v>
      </c>
      <c r="P168" s="29">
        <f t="shared" si="115"/>
        <v>0.96677820267686432</v>
      </c>
      <c r="Q168" s="1558">
        <f t="shared" si="117"/>
        <v>2.9517208413001914E-2</v>
      </c>
      <c r="R168" s="961">
        <f t="shared" si="118"/>
        <v>3.0357142857142857E-2</v>
      </c>
      <c r="S168" s="961">
        <f t="shared" si="119"/>
        <v>1.7045454545454534E-2</v>
      </c>
      <c r="T168" s="1535">
        <f t="shared" si="120"/>
        <v>3.0531520395550061E-2</v>
      </c>
      <c r="U168" s="1162">
        <v>66.900000000000006</v>
      </c>
      <c r="V168" s="111">
        <v>68.2</v>
      </c>
      <c r="W168" s="175">
        <f t="shared" si="99"/>
        <v>64.2</v>
      </c>
      <c r="X168" s="964">
        <f t="shared" si="87"/>
        <v>2.7000000000000028</v>
      </c>
      <c r="Y168" s="1536">
        <f t="shared" si="125"/>
        <v>1.3639544063122704</v>
      </c>
      <c r="Z168" s="111">
        <f t="shared" si="100"/>
        <v>1.3360455936877325</v>
      </c>
      <c r="AA168" s="1536">
        <f t="shared" si="101"/>
        <v>0</v>
      </c>
      <c r="AB168" s="111">
        <f t="shared" si="102"/>
        <v>5.5999999999999091</v>
      </c>
      <c r="AC168" s="111">
        <f t="shared" si="108"/>
        <v>2.7000000000000028</v>
      </c>
      <c r="AD168" s="111">
        <f t="shared" si="109"/>
        <v>1.3360455936877325</v>
      </c>
      <c r="AE168" s="111">
        <f t="shared" si="110"/>
        <v>789.87681797898426</v>
      </c>
      <c r="AF168" s="29">
        <f t="shared" si="103"/>
        <v>-6.8804619573585468E-2</v>
      </c>
      <c r="AG168" s="587">
        <f t="shared" si="121"/>
        <v>26.036045593687732</v>
      </c>
      <c r="AH168" s="964">
        <f t="shared" si="111"/>
        <v>0</v>
      </c>
      <c r="AI168" s="964">
        <v>0</v>
      </c>
      <c r="AJ168" s="964">
        <f t="shared" si="112"/>
        <v>0</v>
      </c>
      <c r="AK168" s="964">
        <f t="shared" si="113"/>
        <v>2.7000000000000028</v>
      </c>
      <c r="AL168" s="964">
        <f>DataUK1!DK15</f>
        <v>3.8770383258971055</v>
      </c>
      <c r="AM168" s="961">
        <f t="shared" si="128"/>
        <v>5.684996958775875E-3</v>
      </c>
      <c r="AN168" s="964">
        <f t="shared" si="114"/>
        <v>-1.1770383258971027</v>
      </c>
      <c r="AO168" s="965"/>
      <c r="AP168" s="1784"/>
      <c r="AQ168" s="1778"/>
      <c r="AR168" s="1778"/>
      <c r="AS168" s="175"/>
      <c r="AT168" s="175">
        <v>127</v>
      </c>
      <c r="AU168" s="111"/>
      <c r="AV168" s="111">
        <v>10</v>
      </c>
      <c r="AW168" s="175">
        <f t="shared" si="124"/>
        <v>102.04081632653059</v>
      </c>
      <c r="AY168" s="111">
        <v>20.6</v>
      </c>
      <c r="AZ168" s="967">
        <f>AY168-DataUK1!FI15</f>
        <v>1.6000000000000014</v>
      </c>
      <c r="BA168" s="111">
        <f t="shared" si="91"/>
        <v>4.4000000000000021</v>
      </c>
      <c r="BB168" s="111">
        <v>16.2</v>
      </c>
      <c r="BE168" s="967">
        <f t="shared" si="127"/>
        <v>268.8</v>
      </c>
      <c r="BF168" s="2133">
        <f t="shared" si="126"/>
        <v>0.39414807233440563</v>
      </c>
      <c r="BG168" s="385">
        <f>DataUK3!BS15</f>
        <v>0.4442963761805242</v>
      </c>
    </row>
    <row r="169" spans="1:59" s="87" customFormat="1">
      <c r="A169" s="79">
        <v>1858</v>
      </c>
      <c r="B169" s="1540">
        <f>DataUK1!B16</f>
        <v>671.76322148659688</v>
      </c>
      <c r="C169" s="1162">
        <v>28.7</v>
      </c>
      <c r="D169" s="959">
        <v>23.7</v>
      </c>
      <c r="E169" s="959">
        <v>4</v>
      </c>
      <c r="F169" s="111">
        <f t="shared" si="95"/>
        <v>1</v>
      </c>
      <c r="G169" s="1540">
        <f t="shared" si="106"/>
        <v>24.7</v>
      </c>
      <c r="H169" s="1551">
        <v>831.2</v>
      </c>
      <c r="I169" s="29">
        <f t="shared" si="122"/>
        <v>1.0275683026332056</v>
      </c>
      <c r="J169" s="959">
        <v>808.9</v>
      </c>
      <c r="K169" s="1427">
        <v>782.9</v>
      </c>
      <c r="L169" s="959">
        <f t="shared" si="107"/>
        <v>26</v>
      </c>
      <c r="M169" s="29">
        <f t="shared" si="98"/>
        <v>1.2373407376494552</v>
      </c>
      <c r="N169" s="29">
        <v>1.0756999999999999</v>
      </c>
      <c r="O169" s="111">
        <v>790.5</v>
      </c>
      <c r="P169" s="29">
        <f t="shared" si="115"/>
        <v>0.95103464870067367</v>
      </c>
      <c r="Q169" s="1558">
        <f t="shared" si="117"/>
        <v>2.9716073147256977E-2</v>
      </c>
      <c r="R169" s="961">
        <f t="shared" si="118"/>
        <v>3.0272065397879678E-2</v>
      </c>
      <c r="S169" s="961">
        <f t="shared" si="119"/>
        <v>2.070393374741198E-2</v>
      </c>
      <c r="T169" s="1535">
        <f t="shared" si="120"/>
        <v>3.1246046805819102E-2</v>
      </c>
      <c r="U169" s="1162">
        <v>64.3</v>
      </c>
      <c r="V169" s="111">
        <v>64.8</v>
      </c>
      <c r="W169" s="175">
        <f t="shared" si="99"/>
        <v>60.8</v>
      </c>
      <c r="X169" s="964">
        <f t="shared" si="87"/>
        <v>3.5</v>
      </c>
      <c r="Y169" s="1536">
        <f t="shared" si="125"/>
        <v>1.3435264429731937</v>
      </c>
      <c r="Z169" s="111">
        <f t="shared" si="100"/>
        <v>2.1564735570268061</v>
      </c>
      <c r="AA169" s="1536">
        <f t="shared" si="101"/>
        <v>0</v>
      </c>
      <c r="AB169" s="111">
        <f t="shared" si="102"/>
        <v>2.5</v>
      </c>
      <c r="AC169" s="111">
        <f t="shared" si="108"/>
        <v>3.5</v>
      </c>
      <c r="AD169" s="111">
        <f t="shared" si="109"/>
        <v>2.1564735570268061</v>
      </c>
      <c r="AE169" s="111">
        <f t="shared" si="110"/>
        <v>788.54077238529658</v>
      </c>
      <c r="AF169" s="29">
        <f t="shared" si="103"/>
        <v>-6.3503368821382564E-2</v>
      </c>
      <c r="AG169" s="587">
        <f t="shared" si="121"/>
        <v>26.856473557026806</v>
      </c>
      <c r="AH169" s="964">
        <f t="shared" si="111"/>
        <v>0</v>
      </c>
      <c r="AI169" s="964">
        <v>0</v>
      </c>
      <c r="AJ169" s="964">
        <f t="shared" si="112"/>
        <v>0</v>
      </c>
      <c r="AK169" s="964">
        <f t="shared" si="113"/>
        <v>3.5</v>
      </c>
      <c r="AL169" s="964">
        <f>DataUK1!DK16</f>
        <v>3.8225705952462778</v>
      </c>
      <c r="AM169" s="961">
        <f t="shared" si="128"/>
        <v>5.6903540905187027E-3</v>
      </c>
      <c r="AN169" s="964">
        <f t="shared" si="114"/>
        <v>-0.32257059524627785</v>
      </c>
      <c r="AO169" s="965"/>
      <c r="AP169" s="1784"/>
      <c r="AQ169" s="1778"/>
      <c r="AR169" s="1778"/>
      <c r="AS169" s="175"/>
      <c r="AT169" s="175">
        <v>111</v>
      </c>
      <c r="AU169" s="111"/>
      <c r="AV169" s="111">
        <v>9.1</v>
      </c>
      <c r="AW169" s="175">
        <f t="shared" si="124"/>
        <v>92.857142857142833</v>
      </c>
      <c r="AY169" s="111">
        <v>32.299999999999997</v>
      </c>
      <c r="AZ169" s="967">
        <f>AY169-DataUK1!FI16</f>
        <v>1.2999999999999972</v>
      </c>
      <c r="BA169" s="111">
        <f t="shared" si="91"/>
        <v>16.61</v>
      </c>
      <c r="BB169" s="111">
        <v>15.69</v>
      </c>
      <c r="BE169" s="967">
        <f t="shared" si="127"/>
        <v>289.40000000000003</v>
      </c>
      <c r="BF169" s="2133">
        <f t="shared" si="126"/>
        <v>0.43080655615465874</v>
      </c>
      <c r="BG169" s="385">
        <f>DataUK3!BS16</f>
        <v>0.47933556006150685</v>
      </c>
    </row>
    <row r="170" spans="1:59" s="87" customFormat="1">
      <c r="A170" s="79">
        <v>1859</v>
      </c>
      <c r="B170" s="1540">
        <f>DataUK1!B17</f>
        <v>700.400177541007</v>
      </c>
      <c r="C170" s="1162">
        <v>28.7</v>
      </c>
      <c r="D170" s="959">
        <v>23.9</v>
      </c>
      <c r="E170" s="959">
        <v>4.3</v>
      </c>
      <c r="F170" s="111">
        <f t="shared" si="95"/>
        <v>0.50000000000000089</v>
      </c>
      <c r="G170" s="1540">
        <f t="shared" si="106"/>
        <v>24.4</v>
      </c>
      <c r="H170" s="1551">
        <v>828.7</v>
      </c>
      <c r="I170" s="29">
        <f t="shared" si="122"/>
        <v>1.0246043521266075</v>
      </c>
      <c r="J170" s="959">
        <v>808.8</v>
      </c>
      <c r="K170" s="1427">
        <v>790.5</v>
      </c>
      <c r="L170" s="959">
        <f t="shared" si="107"/>
        <v>18.299999999999955</v>
      </c>
      <c r="M170" s="29">
        <f t="shared" si="98"/>
        <v>1.1831807394872931</v>
      </c>
      <c r="N170" s="29">
        <v>1.0185999999999999</v>
      </c>
      <c r="O170" s="111">
        <v>777.7</v>
      </c>
      <c r="P170" s="29">
        <f t="shared" si="115"/>
        <v>0.9384578255098347</v>
      </c>
      <c r="Q170" s="1558">
        <f t="shared" si="117"/>
        <v>2.9443707010981052E-2</v>
      </c>
      <c r="R170" s="961">
        <f t="shared" si="118"/>
        <v>3.0234029095509169E-2</v>
      </c>
      <c r="S170" s="961">
        <f t="shared" si="119"/>
        <v>1.3089005235602101E-2</v>
      </c>
      <c r="T170" s="1535">
        <f t="shared" si="120"/>
        <v>3.1374566028031368E-2</v>
      </c>
      <c r="U170" s="1162">
        <v>70.099999999999994</v>
      </c>
      <c r="V170" s="111">
        <v>69.599999999999994</v>
      </c>
      <c r="W170" s="175">
        <f t="shared" si="99"/>
        <v>65.3</v>
      </c>
      <c r="X170" s="964">
        <f t="shared" si="87"/>
        <v>4.7999999999999972</v>
      </c>
      <c r="Y170" s="1536">
        <f t="shared" si="125"/>
        <v>1.4008003550820141</v>
      </c>
      <c r="Z170" s="111">
        <f t="shared" si="100"/>
        <v>3.3991996449179833</v>
      </c>
      <c r="AA170" s="1536">
        <f t="shared" si="101"/>
        <v>0</v>
      </c>
      <c r="AB170" s="111">
        <f t="shared" si="102"/>
        <v>5.9000000000000909</v>
      </c>
      <c r="AC170" s="111">
        <f t="shared" si="108"/>
        <v>4.7999999999999972</v>
      </c>
      <c r="AD170" s="111">
        <f t="shared" si="109"/>
        <v>3.3991996449179833</v>
      </c>
      <c r="AE170" s="111">
        <f t="shared" si="110"/>
        <v>786.38429882826972</v>
      </c>
      <c r="AF170" s="29">
        <f t="shared" si="103"/>
        <v>-6.0416462657525281E-2</v>
      </c>
      <c r="AG170" s="587">
        <f t="shared" si="121"/>
        <v>27.799199644917984</v>
      </c>
      <c r="AH170" s="964">
        <f t="shared" si="111"/>
        <v>0</v>
      </c>
      <c r="AI170" s="964">
        <v>0</v>
      </c>
      <c r="AJ170" s="964">
        <f t="shared" si="112"/>
        <v>0</v>
      </c>
      <c r="AK170" s="964">
        <f t="shared" si="113"/>
        <v>4.7999999999999972</v>
      </c>
      <c r="AL170" s="964">
        <f>DataUK1!DK17</f>
        <v>3.9739841086830285</v>
      </c>
      <c r="AM170" s="961">
        <f t="shared" si="128"/>
        <v>5.6738765010526573E-3</v>
      </c>
      <c r="AN170" s="964">
        <f t="shared" si="114"/>
        <v>0.82601589131696862</v>
      </c>
      <c r="AO170" s="965"/>
      <c r="AP170" s="1784"/>
      <c r="AQ170" s="1778"/>
      <c r="AR170" s="1778"/>
      <c r="AS170" s="175"/>
      <c r="AT170" s="175">
        <v>115</v>
      </c>
      <c r="AU170" s="111"/>
      <c r="AV170" s="111">
        <v>9</v>
      </c>
      <c r="AW170" s="175">
        <f t="shared" si="124"/>
        <v>91.836734693877531</v>
      </c>
      <c r="AY170" s="111">
        <v>37.5</v>
      </c>
      <c r="AZ170" s="967">
        <f>AY170-DataUK1!FI17</f>
        <v>1.5</v>
      </c>
      <c r="BA170" s="111">
        <f t="shared" si="91"/>
        <v>20.6</v>
      </c>
      <c r="BB170" s="111">
        <v>16.899999999999999</v>
      </c>
      <c r="BE170" s="967">
        <f t="shared" si="127"/>
        <v>321.70000000000005</v>
      </c>
      <c r="BF170" s="2133">
        <f t="shared" si="126"/>
        <v>0.45930884987699072</v>
      </c>
      <c r="BG170" s="385">
        <f>DataUK3!BS17</f>
        <v>0.50399758783518089</v>
      </c>
    </row>
    <row r="171" spans="1:59" s="87" customFormat="1">
      <c r="A171" s="79">
        <v>1860</v>
      </c>
      <c r="B171" s="1540">
        <f>DataUK1!B18</f>
        <v>727.15878558392626</v>
      </c>
      <c r="C171" s="1160">
        <v>26.3</v>
      </c>
      <c r="D171" s="111">
        <v>23.9</v>
      </c>
      <c r="E171" s="111">
        <v>1.9</v>
      </c>
      <c r="F171" s="111">
        <f t="shared" si="95"/>
        <v>0.50000000000000222</v>
      </c>
      <c r="G171" s="1540">
        <f t="shared" si="106"/>
        <v>24.400000000000002</v>
      </c>
      <c r="H171" s="1551">
        <v>822.8</v>
      </c>
      <c r="I171" s="29">
        <f t="shared" si="122"/>
        <v>1.0208436724565757</v>
      </c>
      <c r="J171" s="959">
        <v>806</v>
      </c>
      <c r="K171" s="1427">
        <v>789.7</v>
      </c>
      <c r="L171" s="959">
        <f t="shared" si="107"/>
        <v>16.299999999999955</v>
      </c>
      <c r="M171" s="29">
        <f t="shared" si="98"/>
        <v>1.1315272761770614</v>
      </c>
      <c r="N171" s="29">
        <v>0.99260000000000004</v>
      </c>
      <c r="O171" s="111">
        <v>751.8</v>
      </c>
      <c r="P171" s="29">
        <f t="shared" si="115"/>
        <v>0.91370928536703933</v>
      </c>
      <c r="Q171" s="1558">
        <f t="shared" si="117"/>
        <v>2.9654837141468163E-2</v>
      </c>
      <c r="R171" s="961">
        <f t="shared" si="118"/>
        <v>3.0264657464860071E-2</v>
      </c>
      <c r="S171" s="961">
        <f t="shared" si="119"/>
        <v>1.5105740181268991E-2</v>
      </c>
      <c r="T171" s="1535">
        <f t="shared" si="120"/>
        <v>3.2455440276669328E-2</v>
      </c>
      <c r="U171" s="1162">
        <v>69.7</v>
      </c>
      <c r="V171" s="111">
        <v>72.900000000000006</v>
      </c>
      <c r="W171" s="175">
        <f t="shared" si="99"/>
        <v>71</v>
      </c>
      <c r="X171" s="964">
        <f t="shared" si="87"/>
        <v>-1.2999999999999972</v>
      </c>
      <c r="Y171" s="1536">
        <f t="shared" si="125"/>
        <v>1.4543175711678527</v>
      </c>
      <c r="Z171" s="111">
        <f t="shared" si="100"/>
        <v>-2.7543175711678498</v>
      </c>
      <c r="AA171" s="1536">
        <f t="shared" si="101"/>
        <v>0</v>
      </c>
      <c r="AB171" s="111">
        <f t="shared" si="102"/>
        <v>0.79999999999995453</v>
      </c>
      <c r="AC171" s="111">
        <f t="shared" si="108"/>
        <v>-1.2999999999999972</v>
      </c>
      <c r="AD171" s="111">
        <f t="shared" si="109"/>
        <v>-2.7543175711678498</v>
      </c>
      <c r="AE171" s="111">
        <f t="shared" si="110"/>
        <v>782.98509918335174</v>
      </c>
      <c r="AF171" s="29">
        <f t="shared" si="103"/>
        <v>-5.4754066932816994E-2</v>
      </c>
      <c r="AG171" s="587">
        <f t="shared" si="121"/>
        <v>21.645682428832153</v>
      </c>
      <c r="AH171" s="964">
        <f t="shared" si="111"/>
        <v>0</v>
      </c>
      <c r="AI171" s="964">
        <v>0</v>
      </c>
      <c r="AJ171" s="964">
        <f t="shared" si="112"/>
        <v>0</v>
      </c>
      <c r="AK171" s="964">
        <f t="shared" si="113"/>
        <v>-1.2999999999999972</v>
      </c>
      <c r="AL171" s="964">
        <f>DataUK1!DK18</f>
        <v>4.113456781041152</v>
      </c>
      <c r="AM171" s="961">
        <f t="shared" si="128"/>
        <v>5.6568893377777806E-3</v>
      </c>
      <c r="AN171" s="964">
        <f t="shared" si="114"/>
        <v>-5.4134567810411491</v>
      </c>
      <c r="AO171" s="965"/>
      <c r="AP171" s="1784"/>
      <c r="AQ171" s="1778"/>
      <c r="AR171" s="1778"/>
      <c r="AS171" s="175"/>
      <c r="AT171" s="175">
        <v>120</v>
      </c>
      <c r="AU171" s="111"/>
      <c r="AV171" s="111">
        <v>9.3000000000000007</v>
      </c>
      <c r="AW171" s="175">
        <f t="shared" si="124"/>
        <v>94.89795918367345</v>
      </c>
      <c r="AY171" s="111">
        <v>21.2</v>
      </c>
      <c r="AZ171" s="967">
        <f>AY171-DataUK1!FI18</f>
        <v>0.19999999999999929</v>
      </c>
      <c r="BA171" s="111">
        <f t="shared" si="91"/>
        <v>2.5</v>
      </c>
      <c r="BB171" s="111">
        <v>18.7</v>
      </c>
      <c r="BE171" s="967">
        <f t="shared" si="127"/>
        <v>359.20000000000005</v>
      </c>
      <c r="BF171" s="2133">
        <f t="shared" si="126"/>
        <v>0.493977391350025</v>
      </c>
      <c r="BG171" s="385">
        <f>DataUK3!BS18</f>
        <v>0.57759049099947235</v>
      </c>
    </row>
    <row r="172" spans="1:59" s="87" customFormat="1">
      <c r="A172" s="79">
        <v>1861</v>
      </c>
      <c r="B172" s="1540">
        <f>DataUK1!B19</f>
        <v>763.71083136645018</v>
      </c>
      <c r="C172" s="1160">
        <v>26.3</v>
      </c>
      <c r="D172" s="111">
        <v>23.9</v>
      </c>
      <c r="E172" s="111">
        <v>1.8</v>
      </c>
      <c r="F172" s="111">
        <f t="shared" si="95"/>
        <v>0.60000000000000209</v>
      </c>
      <c r="G172" s="1540">
        <f t="shared" si="106"/>
        <v>24.5</v>
      </c>
      <c r="H172" s="1551">
        <v>822</v>
      </c>
      <c r="I172" s="29">
        <f t="shared" si="122"/>
        <v>1.0202308551570063</v>
      </c>
      <c r="J172" s="959">
        <v>805.7</v>
      </c>
      <c r="K172" s="1427">
        <v>789</v>
      </c>
      <c r="L172" s="959">
        <f t="shared" si="107"/>
        <v>16.700000000000045</v>
      </c>
      <c r="M172" s="29">
        <f t="shared" si="98"/>
        <v>1.0763236112931087</v>
      </c>
      <c r="N172" s="29">
        <v>0.95120000000000005</v>
      </c>
      <c r="O172" s="111">
        <v>762.5</v>
      </c>
      <c r="P172" s="29">
        <f t="shared" si="115"/>
        <v>0.92761557177615572</v>
      </c>
      <c r="Q172" s="1558">
        <f t="shared" si="117"/>
        <v>2.9805352798053526E-2</v>
      </c>
      <c r="R172" s="961">
        <f t="shared" si="118"/>
        <v>3.0291508238276296E-2</v>
      </c>
      <c r="S172" s="961">
        <f t="shared" si="119"/>
        <v>1.8181818181818243E-2</v>
      </c>
      <c r="T172" s="1535">
        <f t="shared" si="120"/>
        <v>3.2131147540983604E-2</v>
      </c>
      <c r="U172" s="1162">
        <v>69</v>
      </c>
      <c r="V172" s="111">
        <v>72.3</v>
      </c>
      <c r="W172" s="175">
        <f t="shared" si="99"/>
        <v>70.5</v>
      </c>
      <c r="X172" s="964">
        <f t="shared" si="87"/>
        <v>-1.5</v>
      </c>
      <c r="Y172" s="1536">
        <f t="shared" si="125"/>
        <v>1.5274216627329005</v>
      </c>
      <c r="Z172" s="111">
        <f t="shared" si="100"/>
        <v>-3.0274216627329005</v>
      </c>
      <c r="AA172" s="1536">
        <f t="shared" si="101"/>
        <v>0</v>
      </c>
      <c r="AB172" s="111">
        <f t="shared" si="102"/>
        <v>0.70000000000004547</v>
      </c>
      <c r="AC172" s="111">
        <f t="shared" si="108"/>
        <v>-1.5</v>
      </c>
      <c r="AD172" s="111">
        <f t="shared" si="109"/>
        <v>-3.0274216627329005</v>
      </c>
      <c r="AE172" s="111">
        <f t="shared" si="110"/>
        <v>785.73941675451954</v>
      </c>
      <c r="AF172" s="29">
        <f t="shared" si="103"/>
        <v>-4.7479467039379469E-2</v>
      </c>
      <c r="AG172" s="587">
        <f t="shared" si="121"/>
        <v>21.472578337267098</v>
      </c>
      <c r="AH172" s="964">
        <f t="shared" si="111"/>
        <v>0</v>
      </c>
      <c r="AI172" s="964">
        <v>0</v>
      </c>
      <c r="AJ172" s="964">
        <f t="shared" si="112"/>
        <v>0</v>
      </c>
      <c r="AK172" s="964">
        <f t="shared" si="113"/>
        <v>-1.5</v>
      </c>
      <c r="AL172" s="964">
        <f>DataUK1!DK19</f>
        <v>4.3127990723614422</v>
      </c>
      <c r="AM172" s="961">
        <f t="shared" si="128"/>
        <v>5.6471623751163467E-3</v>
      </c>
      <c r="AN172" s="964">
        <f t="shared" si="114"/>
        <v>-5.8127990723614422</v>
      </c>
      <c r="AO172" s="965"/>
      <c r="AP172" s="1784"/>
      <c r="AQ172" s="1778"/>
      <c r="AR172" s="1778"/>
      <c r="AS172" s="175"/>
      <c r="AT172" s="175">
        <v>115</v>
      </c>
      <c r="AU172" s="111"/>
      <c r="AV172" s="111">
        <v>9.5</v>
      </c>
      <c r="AW172" s="175">
        <f t="shared" si="124"/>
        <v>96.938775510204067</v>
      </c>
      <c r="AY172" s="111">
        <v>12.3</v>
      </c>
      <c r="AZ172" s="967">
        <f>AY172-DataUK1!FI19</f>
        <v>-0.69999999999999929</v>
      </c>
      <c r="BA172" s="111">
        <f t="shared" si="91"/>
        <v>-7.5999999999999979</v>
      </c>
      <c r="BB172" s="111">
        <v>19.899999999999999</v>
      </c>
      <c r="BE172" s="967">
        <f t="shared" si="127"/>
        <v>380.40000000000003</v>
      </c>
      <c r="BF172" s="2133">
        <f t="shared" si="126"/>
        <v>0.49809428435024156</v>
      </c>
      <c r="BG172" s="385">
        <f>DataUK3!BS19</f>
        <v>0.57744368927039047</v>
      </c>
    </row>
    <row r="173" spans="1:59" s="87" customFormat="1">
      <c r="A173" s="79">
        <v>1862</v>
      </c>
      <c r="B173" s="1540">
        <f>DataUK1!B20</f>
        <v>784.21580211938692</v>
      </c>
      <c r="C173" s="1160">
        <v>26.2</v>
      </c>
      <c r="D173" s="111">
        <v>23.8</v>
      </c>
      <c r="E173" s="111">
        <v>1.9</v>
      </c>
      <c r="F173" s="111">
        <f t="shared" si="95"/>
        <v>0.49999999999999867</v>
      </c>
      <c r="G173" s="1540">
        <f t="shared" si="106"/>
        <v>24.3</v>
      </c>
      <c r="H173" s="1551">
        <v>821.3</v>
      </c>
      <c r="I173" s="29">
        <f t="shared" si="122"/>
        <v>1.0206288057661239</v>
      </c>
      <c r="J173" s="959">
        <v>804.7</v>
      </c>
      <c r="K173" s="1427">
        <v>788.2</v>
      </c>
      <c r="L173" s="959">
        <f t="shared" si="107"/>
        <v>16.5</v>
      </c>
      <c r="M173" s="29">
        <f t="shared" si="98"/>
        <v>1.0472882563452444</v>
      </c>
      <c r="N173" s="29">
        <v>0.93569999999999998</v>
      </c>
      <c r="O173" s="111">
        <v>763</v>
      </c>
      <c r="P173" s="29">
        <f t="shared" si="115"/>
        <v>0.92901497625715335</v>
      </c>
      <c r="Q173" s="1558">
        <f t="shared" si="117"/>
        <v>2.9587239741872644E-2</v>
      </c>
      <c r="R173" s="961">
        <f t="shared" si="118"/>
        <v>3.0195381882770871E-2</v>
      </c>
      <c r="S173" s="961">
        <f t="shared" si="119"/>
        <v>1.5105740181268883E-2</v>
      </c>
      <c r="T173" s="1535">
        <f t="shared" si="120"/>
        <v>3.1847968545216251E-2</v>
      </c>
      <c r="U173" s="1162">
        <v>68.8</v>
      </c>
      <c r="V173" s="111">
        <v>70.3</v>
      </c>
      <c r="W173" s="175">
        <f t="shared" si="99"/>
        <v>68.399999999999991</v>
      </c>
      <c r="X173" s="964">
        <f t="shared" si="87"/>
        <v>0.40000000000000568</v>
      </c>
      <c r="Y173" s="1536">
        <f t="shared" si="125"/>
        <v>1.5684316042387738</v>
      </c>
      <c r="Z173" s="111">
        <f t="shared" si="100"/>
        <v>-1.1684316042387681</v>
      </c>
      <c r="AA173" s="1536">
        <f t="shared" si="101"/>
        <v>0</v>
      </c>
      <c r="AB173" s="111">
        <f t="shared" si="102"/>
        <v>-0.20000000000004547</v>
      </c>
      <c r="AC173" s="111">
        <f t="shared" si="108"/>
        <v>0.40000000000000568</v>
      </c>
      <c r="AD173" s="111">
        <f t="shared" si="109"/>
        <v>-1.1684316042387681</v>
      </c>
      <c r="AE173" s="111">
        <f t="shared" si="110"/>
        <v>788.76683841725242</v>
      </c>
      <c r="AF173" s="29">
        <f t="shared" si="103"/>
        <v>-4.1484960510646249E-2</v>
      </c>
      <c r="AG173" s="587">
        <f t="shared" si="121"/>
        <v>23.131568395761231</v>
      </c>
      <c r="AH173" s="964">
        <f t="shared" si="111"/>
        <v>0</v>
      </c>
      <c r="AI173" s="964">
        <v>0</v>
      </c>
      <c r="AJ173" s="964">
        <f t="shared" si="112"/>
        <v>0</v>
      </c>
      <c r="AK173" s="964">
        <f t="shared" si="113"/>
        <v>0.40000000000000568</v>
      </c>
      <c r="AL173" s="964">
        <f>DataUK1!DK20</f>
        <v>4.42734570704914</v>
      </c>
      <c r="AM173" s="961">
        <f t="shared" si="128"/>
        <v>5.6455706389542159E-3</v>
      </c>
      <c r="AN173" s="964">
        <f t="shared" si="114"/>
        <v>-4.0273457070491343</v>
      </c>
      <c r="AO173" s="965"/>
      <c r="AP173" s="1784"/>
      <c r="AQ173" s="1778"/>
      <c r="AR173" s="1778"/>
      <c r="AS173" s="175"/>
      <c r="AT173" s="175">
        <v>120</v>
      </c>
      <c r="AU173" s="111"/>
      <c r="AV173" s="111">
        <v>9.3000000000000007</v>
      </c>
      <c r="AW173" s="175">
        <f t="shared" si="124"/>
        <v>94.897959183673464</v>
      </c>
      <c r="AY173" s="111">
        <v>13.8</v>
      </c>
      <c r="AZ173" s="967">
        <f>AY173-DataUK1!FI20</f>
        <v>-0.19999999999999929</v>
      </c>
      <c r="BA173" s="111">
        <f t="shared" si="91"/>
        <v>-6.8999999999999986</v>
      </c>
      <c r="BB173" s="111">
        <v>20.7</v>
      </c>
      <c r="BE173" s="967">
        <f t="shared" si="127"/>
        <v>392.70000000000005</v>
      </c>
      <c r="BF173" s="2133">
        <f t="shared" si="126"/>
        <v>0.50075502041492459</v>
      </c>
      <c r="BG173" s="385">
        <f>DataUK3!BS20</f>
        <v>0.57892227977686717</v>
      </c>
    </row>
    <row r="174" spans="1:59" s="87" customFormat="1">
      <c r="A174" s="79">
        <v>1863</v>
      </c>
      <c r="B174" s="1540">
        <f>DataUK1!B21</f>
        <v>815.83938362853598</v>
      </c>
      <c r="C174" s="1160">
        <v>26.2</v>
      </c>
      <c r="D174" s="111">
        <v>23.8</v>
      </c>
      <c r="E174" s="111">
        <v>2</v>
      </c>
      <c r="F174" s="111">
        <f t="shared" si="95"/>
        <v>0.39999999999999858</v>
      </c>
      <c r="G174" s="1540">
        <f t="shared" si="106"/>
        <v>24.2</v>
      </c>
      <c r="H174" s="1551">
        <v>821.5</v>
      </c>
      <c r="I174" s="29">
        <f t="shared" si="122"/>
        <v>1.0218932703072521</v>
      </c>
      <c r="J174" s="959">
        <v>803.9</v>
      </c>
      <c r="K174" s="1427">
        <v>787.4</v>
      </c>
      <c r="L174" s="959">
        <f t="shared" si="107"/>
        <v>16.5</v>
      </c>
      <c r="M174" s="29">
        <f t="shared" si="98"/>
        <v>1.0069383955776783</v>
      </c>
      <c r="N174" s="29">
        <v>0.8972</v>
      </c>
      <c r="O174" s="111">
        <v>743.2</v>
      </c>
      <c r="P174" s="29">
        <f t="shared" si="115"/>
        <v>0.90468654899573953</v>
      </c>
      <c r="Q174" s="1558">
        <f t="shared" si="117"/>
        <v>2.945830797321972E-2</v>
      </c>
      <c r="R174" s="961">
        <f t="shared" si="118"/>
        <v>3.0226060452120906E-2</v>
      </c>
      <c r="S174" s="961">
        <f t="shared" si="119"/>
        <v>1.1730205278592325E-2</v>
      </c>
      <c r="T174" s="1535">
        <f t="shared" si="120"/>
        <v>3.256189451022605E-2</v>
      </c>
      <c r="U174" s="1162">
        <v>68.400000000000006</v>
      </c>
      <c r="V174" s="111">
        <v>67.8</v>
      </c>
      <c r="W174" s="175">
        <f t="shared" si="99"/>
        <v>65.8</v>
      </c>
      <c r="X174" s="964">
        <f t="shared" si="87"/>
        <v>2.6000000000000085</v>
      </c>
      <c r="Y174" s="1536">
        <f t="shared" si="125"/>
        <v>1.6316787672570721</v>
      </c>
      <c r="Z174" s="111">
        <f t="shared" si="100"/>
        <v>0.96832123274293647</v>
      </c>
      <c r="AA174" s="1536">
        <f t="shared" si="101"/>
        <v>0</v>
      </c>
      <c r="AB174" s="111">
        <f t="shared" si="102"/>
        <v>4.2999999999999545</v>
      </c>
      <c r="AC174" s="111">
        <f t="shared" si="108"/>
        <v>2.6000000000000085</v>
      </c>
      <c r="AD174" s="111">
        <f t="shared" si="109"/>
        <v>0.96832123274293647</v>
      </c>
      <c r="AE174" s="111">
        <f t="shared" si="110"/>
        <v>789.93527002149119</v>
      </c>
      <c r="AF174" s="29">
        <f t="shared" si="103"/>
        <v>-3.8689882606697874E-2</v>
      </c>
      <c r="AG174" s="587">
        <f t="shared" si="121"/>
        <v>25.168321232742937</v>
      </c>
      <c r="AH174" s="964">
        <f t="shared" si="111"/>
        <v>0</v>
      </c>
      <c r="AI174" s="964">
        <v>0</v>
      </c>
      <c r="AJ174" s="964">
        <f t="shared" si="112"/>
        <v>0</v>
      </c>
      <c r="AK174" s="964">
        <f t="shared" si="113"/>
        <v>2.6000000000000085</v>
      </c>
      <c r="AL174" s="964">
        <f>DataUK1!DK21</f>
        <v>4.6134703394672281</v>
      </c>
      <c r="AM174" s="961">
        <f t="shared" si="128"/>
        <v>5.6548757415317554E-3</v>
      </c>
      <c r="AN174" s="964">
        <f t="shared" si="114"/>
        <v>-2.0134703394672195</v>
      </c>
      <c r="AO174" s="965"/>
      <c r="AP174" s="1784"/>
      <c r="AQ174" s="1778"/>
      <c r="AR174" s="1778"/>
      <c r="AS174" s="175"/>
      <c r="AT174" s="175">
        <v>121</v>
      </c>
      <c r="AU174" s="111"/>
      <c r="AV174" s="111">
        <v>9</v>
      </c>
      <c r="AW174" s="175">
        <f t="shared" si="124"/>
        <v>91.836734693877546</v>
      </c>
      <c r="AY174" s="111">
        <v>30</v>
      </c>
      <c r="AZ174" s="967">
        <f>AY174-DataUK1!FI21</f>
        <v>1</v>
      </c>
      <c r="BA174" s="111">
        <f t="shared" si="91"/>
        <v>8.6999999999999993</v>
      </c>
      <c r="BB174" s="111">
        <v>21.3</v>
      </c>
      <c r="BE174" s="967">
        <f t="shared" si="127"/>
        <v>406.50000000000006</v>
      </c>
      <c r="BF174" s="2133">
        <f t="shared" si="126"/>
        <v>0.49825983907769478</v>
      </c>
      <c r="BG174" s="385">
        <f>DataUK3!BS21</f>
        <v>0.57364232395660797</v>
      </c>
    </row>
    <row r="175" spans="1:59" s="87" customFormat="1">
      <c r="A175" s="79">
        <v>1864</v>
      </c>
      <c r="B175" s="1540">
        <f>DataUK1!B22</f>
        <v>845.23906709615505</v>
      </c>
      <c r="C175" s="1160">
        <v>26.4</v>
      </c>
      <c r="D175" s="111">
        <v>23.6</v>
      </c>
      <c r="E175" s="111">
        <v>2.2999999999999998</v>
      </c>
      <c r="F175" s="111">
        <f t="shared" si="95"/>
        <v>0.49999999999999734</v>
      </c>
      <c r="G175" s="1540">
        <f t="shared" si="106"/>
        <v>24.099999999999998</v>
      </c>
      <c r="H175" s="1551">
        <v>817.2</v>
      </c>
      <c r="I175" s="29">
        <f t="shared" si="122"/>
        <v>1.0281831907398089</v>
      </c>
      <c r="J175" s="959">
        <v>794.8</v>
      </c>
      <c r="K175" s="1427">
        <v>781.7</v>
      </c>
      <c r="L175" s="959">
        <f t="shared" si="107"/>
        <v>13.099999999999909</v>
      </c>
      <c r="M175" s="29">
        <f t="shared" si="98"/>
        <v>0.96682705735256169</v>
      </c>
      <c r="N175" s="29">
        <v>0.84109999999999996</v>
      </c>
      <c r="O175" s="111">
        <v>735.2</v>
      </c>
      <c r="P175" s="29">
        <f t="shared" si="115"/>
        <v>0.899657366617719</v>
      </c>
      <c r="Q175" s="1558">
        <f t="shared" si="117"/>
        <v>2.949094468918257E-2</v>
      </c>
      <c r="R175" s="961">
        <f t="shared" si="118"/>
        <v>3.0190610208519892E-2</v>
      </c>
      <c r="S175" s="961">
        <f t="shared" si="119"/>
        <v>1.4084507042253447E-2</v>
      </c>
      <c r="T175" s="1535">
        <f t="shared" si="120"/>
        <v>3.2780195865070721E-2</v>
      </c>
      <c r="U175" s="1162">
        <v>68.7</v>
      </c>
      <c r="V175" s="111">
        <v>67.099999999999994</v>
      </c>
      <c r="W175" s="175">
        <f t="shared" si="99"/>
        <v>64.8</v>
      </c>
      <c r="X175" s="964">
        <f t="shared" si="87"/>
        <v>3.9000000000000057</v>
      </c>
      <c r="Y175" s="1536">
        <f t="shared" si="125"/>
        <v>1.6904781341923101</v>
      </c>
      <c r="Z175" s="111">
        <f t="shared" si="100"/>
        <v>2.2095218658076954</v>
      </c>
      <c r="AA175" s="1536">
        <f t="shared" si="101"/>
        <v>0</v>
      </c>
      <c r="AB175" s="111">
        <f t="shared" si="102"/>
        <v>4.5</v>
      </c>
      <c r="AC175" s="111">
        <f t="shared" si="108"/>
        <v>3.9000000000000057</v>
      </c>
      <c r="AD175" s="111">
        <f t="shared" si="109"/>
        <v>2.2095218658076954</v>
      </c>
      <c r="AE175" s="111">
        <f t="shared" si="110"/>
        <v>788.96694878874825</v>
      </c>
      <c r="AF175" s="29">
        <f t="shared" si="103"/>
        <v>-3.3402444716909868E-2</v>
      </c>
      <c r="AG175" s="587">
        <f t="shared" si="121"/>
        <v>26.309521865807692</v>
      </c>
      <c r="AH175" s="964">
        <f t="shared" si="111"/>
        <v>0</v>
      </c>
      <c r="AI175" s="964">
        <v>0</v>
      </c>
      <c r="AJ175" s="964">
        <f t="shared" si="112"/>
        <v>0</v>
      </c>
      <c r="AK175" s="964">
        <f t="shared" si="113"/>
        <v>3.9000000000000057</v>
      </c>
      <c r="AL175" s="964">
        <f>DataUK1!DK22</f>
        <v>4.7763559064891927</v>
      </c>
      <c r="AM175" s="961">
        <f t="shared" si="128"/>
        <v>5.6508934482861883E-3</v>
      </c>
      <c r="AN175" s="964">
        <f t="shared" si="114"/>
        <v>-0.87635590648918704</v>
      </c>
      <c r="AO175" s="965"/>
      <c r="AP175" s="1784"/>
      <c r="AQ175" s="1778"/>
      <c r="AR175" s="1778"/>
      <c r="AS175" s="175"/>
      <c r="AT175" s="175">
        <v>119</v>
      </c>
      <c r="AU175" s="111"/>
      <c r="AV175" s="111">
        <v>8.9</v>
      </c>
      <c r="AW175" s="175">
        <f t="shared" si="124"/>
        <v>90.816326530612244</v>
      </c>
      <c r="AY175" s="111">
        <v>27.4</v>
      </c>
      <c r="AZ175" s="967">
        <f>AY175-DataUK1!FI22</f>
        <v>1.3999999999999986</v>
      </c>
      <c r="BA175" s="111">
        <f t="shared" si="91"/>
        <v>4.5</v>
      </c>
      <c r="BB175" s="111">
        <v>22.9</v>
      </c>
      <c r="BE175" s="967">
        <f t="shared" si="127"/>
        <v>436.50000000000006</v>
      </c>
      <c r="BF175" s="2133">
        <f t="shared" si="126"/>
        <v>0.51642194142730447</v>
      </c>
      <c r="BG175" s="385">
        <f>DataUK3!BS22</f>
        <v>0.58799932391608312</v>
      </c>
    </row>
    <row r="176" spans="1:59" s="87" customFormat="1">
      <c r="A176" s="79">
        <v>1865</v>
      </c>
      <c r="B176" s="1540">
        <f>DataUK1!B23</f>
        <v>876.54491040080984</v>
      </c>
      <c r="C176" s="1160">
        <v>26.2</v>
      </c>
      <c r="D176" s="111">
        <v>23.5</v>
      </c>
      <c r="E176" s="111">
        <v>2.4</v>
      </c>
      <c r="F176" s="111">
        <f t="shared" si="95"/>
        <v>0.29999999999999938</v>
      </c>
      <c r="G176" s="1540">
        <f t="shared" si="106"/>
        <v>23.8</v>
      </c>
      <c r="H176" s="1551">
        <v>812.7</v>
      </c>
      <c r="I176" s="29">
        <f t="shared" si="122"/>
        <v>1.0275635352130486</v>
      </c>
      <c r="J176" s="959">
        <v>790.9</v>
      </c>
      <c r="K176" s="1427">
        <v>780.2</v>
      </c>
      <c r="L176" s="959">
        <f t="shared" si="107"/>
        <v>10.699999999999932</v>
      </c>
      <c r="M176" s="29">
        <f t="shared" si="98"/>
        <v>0.92716299000399649</v>
      </c>
      <c r="N176" s="29">
        <v>0.81120000000000003</v>
      </c>
      <c r="O176" s="111">
        <v>717.9</v>
      </c>
      <c r="P176" s="29">
        <f t="shared" si="115"/>
        <v>0.88335179032853439</v>
      </c>
      <c r="Q176" s="1558">
        <f t="shared" ref="Q176:Q207" si="129">(C176-E176)/H176</f>
        <v>2.9285099052540911E-2</v>
      </c>
      <c r="R176" s="961">
        <f t="shared" ref="R176:R207" si="130">D176/K176</f>
        <v>3.0120481927710843E-2</v>
      </c>
      <c r="S176" s="961">
        <f t="shared" ref="S176:S207" si="131">F176/(H176-K176)</f>
        <v>9.2307692307692108E-3</v>
      </c>
      <c r="T176" s="1535">
        <f t="shared" ref="T176:T207" si="132">(G176)/O176</f>
        <v>3.3152249616938294E-2</v>
      </c>
      <c r="U176" s="1162">
        <v>66.099999999999994</v>
      </c>
      <c r="V176" s="111">
        <v>66.5</v>
      </c>
      <c r="W176" s="175">
        <f t="shared" si="99"/>
        <v>64.099999999999994</v>
      </c>
      <c r="X176" s="964">
        <f t="shared" si="87"/>
        <v>2</v>
      </c>
      <c r="Y176" s="1536">
        <f t="shared" si="125"/>
        <v>1.7530898208016197</v>
      </c>
      <c r="Z176" s="111">
        <f t="shared" si="100"/>
        <v>0.24691017919838032</v>
      </c>
      <c r="AA176" s="1536">
        <f t="shared" si="101"/>
        <v>0</v>
      </c>
      <c r="AB176" s="111">
        <f t="shared" si="102"/>
        <v>9.3000000000000682</v>
      </c>
      <c r="AC176" s="111">
        <f t="shared" si="108"/>
        <v>2</v>
      </c>
      <c r="AD176" s="111">
        <f t="shared" si="109"/>
        <v>0.24691017919838032</v>
      </c>
      <c r="AE176" s="111">
        <f t="shared" si="110"/>
        <v>786.75742692294057</v>
      </c>
      <c r="AF176" s="29">
        <f t="shared" si="103"/>
        <v>-2.959639919099747E-2</v>
      </c>
      <c r="AG176" s="587">
        <f t="shared" ref="AG176:AG207" si="133">AD176+G176</f>
        <v>24.046910179198381</v>
      </c>
      <c r="AH176" s="964">
        <f t="shared" si="111"/>
        <v>0</v>
      </c>
      <c r="AI176" s="964">
        <v>0</v>
      </c>
      <c r="AJ176" s="964">
        <f t="shared" si="112"/>
        <v>0</v>
      </c>
      <c r="AK176" s="964">
        <f t="shared" si="113"/>
        <v>2</v>
      </c>
      <c r="AL176" s="964">
        <f>DataUK1!DK23</f>
        <v>4.9511939032076295</v>
      </c>
      <c r="AM176" s="961">
        <f t="shared" si="128"/>
        <v>5.6485341988280341E-3</v>
      </c>
      <c r="AN176" s="964">
        <f t="shared" si="114"/>
        <v>-2.9511939032076295</v>
      </c>
      <c r="AO176" s="965"/>
      <c r="AP176" s="1784"/>
      <c r="AQ176" s="1778"/>
      <c r="AR176" s="1778"/>
      <c r="AS176" s="175"/>
      <c r="AT176" s="175">
        <v>117</v>
      </c>
      <c r="AU176" s="111"/>
      <c r="AV176" s="111">
        <v>9</v>
      </c>
      <c r="AW176" s="175">
        <f t="shared" si="124"/>
        <v>91.836734693877546</v>
      </c>
      <c r="AY176" s="111">
        <v>41.3</v>
      </c>
      <c r="AZ176" s="967">
        <f>AY176-DataUK1!FI23</f>
        <v>0.29999999999999716</v>
      </c>
      <c r="BA176" s="111">
        <f t="shared" si="91"/>
        <v>17.199999999999996</v>
      </c>
      <c r="BB176" s="111">
        <v>24.1</v>
      </c>
      <c r="BE176" s="967">
        <f t="shared" si="127"/>
        <v>463.90000000000003</v>
      </c>
      <c r="BF176" s="2133">
        <f t="shared" si="126"/>
        <v>0.52923700143085273</v>
      </c>
      <c r="BG176" s="385">
        <f>DataUK3!BS23</f>
        <v>0.5966608142882861</v>
      </c>
    </row>
    <row r="177" spans="1:59" s="87" customFormat="1">
      <c r="A177" s="79">
        <v>1866</v>
      </c>
      <c r="B177" s="1540">
        <f>DataUK1!B24</f>
        <v>898.03877474883018</v>
      </c>
      <c r="C177" s="1160">
        <v>26.1</v>
      </c>
      <c r="D177" s="111">
        <v>23.4</v>
      </c>
      <c r="E177" s="111">
        <v>2.4</v>
      </c>
      <c r="F177" s="111">
        <f t="shared" si="95"/>
        <v>0.30000000000000293</v>
      </c>
      <c r="G177" s="1540">
        <f t="shared" si="106"/>
        <v>23.700000000000003</v>
      </c>
      <c r="H177" s="1551">
        <v>803.4</v>
      </c>
      <c r="I177" s="29">
        <f t="shared" si="122"/>
        <v>1.0272343690065209</v>
      </c>
      <c r="J177" s="959">
        <v>782.1</v>
      </c>
      <c r="K177" s="1427">
        <v>773.9</v>
      </c>
      <c r="L177" s="959">
        <f t="shared" si="107"/>
        <v>8.2000000000000455</v>
      </c>
      <c r="M177" s="29">
        <f t="shared" si="98"/>
        <v>0.89461615978074061</v>
      </c>
      <c r="N177" s="29">
        <v>0.76680000000000004</v>
      </c>
      <c r="O177" s="111">
        <v>749.5</v>
      </c>
      <c r="P177" s="29">
        <f t="shared" si="115"/>
        <v>0.9329101319392582</v>
      </c>
      <c r="Q177" s="1558">
        <f t="shared" si="129"/>
        <v>2.9499626587005234E-2</v>
      </c>
      <c r="R177" s="961">
        <f t="shared" si="130"/>
        <v>3.0236464659516734E-2</v>
      </c>
      <c r="S177" s="961">
        <f t="shared" si="131"/>
        <v>1.0169491525423829E-2</v>
      </c>
      <c r="T177" s="1535">
        <f t="shared" si="132"/>
        <v>3.1621080720480324E-2</v>
      </c>
      <c r="U177" s="1162">
        <v>67.8</v>
      </c>
      <c r="V177" s="111">
        <v>67.2</v>
      </c>
      <c r="W177" s="175">
        <f t="shared" si="99"/>
        <v>64.8</v>
      </c>
      <c r="X177" s="964">
        <f t="shared" ref="X177:X240" si="134">(U177-W177)</f>
        <v>3</v>
      </c>
      <c r="Y177" s="1536">
        <f t="shared" si="125"/>
        <v>1.7960775494976604</v>
      </c>
      <c r="Z177" s="111">
        <f t="shared" si="100"/>
        <v>1.2039224505023396</v>
      </c>
      <c r="AA177" s="1536">
        <f t="shared" si="101"/>
        <v>0</v>
      </c>
      <c r="AB177" s="111">
        <f t="shared" si="102"/>
        <v>2.5</v>
      </c>
      <c r="AC177" s="111">
        <f t="shared" si="108"/>
        <v>3</v>
      </c>
      <c r="AD177" s="111">
        <f t="shared" si="109"/>
        <v>1.2039224505023396</v>
      </c>
      <c r="AE177" s="111">
        <f t="shared" si="110"/>
        <v>786.51051674374219</v>
      </c>
      <c r="AF177" s="29">
        <f t="shared" si="103"/>
        <v>-1.8807075742338142E-2</v>
      </c>
      <c r="AG177" s="587">
        <f t="shared" si="133"/>
        <v>24.903922450502343</v>
      </c>
      <c r="AH177" s="964">
        <f t="shared" si="111"/>
        <v>0</v>
      </c>
      <c r="AI177" s="964">
        <v>0</v>
      </c>
      <c r="AJ177" s="964">
        <f t="shared" si="112"/>
        <v>0</v>
      </c>
      <c r="AK177" s="964">
        <f t="shared" si="113"/>
        <v>3</v>
      </c>
      <c r="AL177" s="964">
        <f>DataUK1!DK24</f>
        <v>5.0661545552186702</v>
      </c>
      <c r="AM177" s="961">
        <f t="shared" si="128"/>
        <v>5.641353912180026E-3</v>
      </c>
      <c r="AN177" s="964">
        <f t="shared" si="114"/>
        <v>-2.0661545552186702</v>
      </c>
      <c r="AO177" s="965"/>
      <c r="AP177" s="1784"/>
      <c r="AQ177" s="1778"/>
      <c r="AR177" s="1778"/>
      <c r="AS177" s="175"/>
      <c r="AT177" s="175">
        <v>120</v>
      </c>
      <c r="AU177" s="111"/>
      <c r="AV177" s="111">
        <v>9.5</v>
      </c>
      <c r="AW177" s="175">
        <f t="shared" si="124"/>
        <v>96.938775510204067</v>
      </c>
      <c r="AY177" s="111">
        <v>45.7</v>
      </c>
      <c r="AZ177" s="967">
        <f>AY177-DataUK1!FI24</f>
        <v>0.70000000000000284</v>
      </c>
      <c r="BA177" s="111">
        <f t="shared" si="91"/>
        <v>19.300000000000004</v>
      </c>
      <c r="BB177" s="111">
        <v>26.4</v>
      </c>
      <c r="BE177" s="967">
        <f t="shared" si="127"/>
        <v>505.20000000000005</v>
      </c>
      <c r="BF177" s="2133">
        <f t="shared" si="126"/>
        <v>0.56255922818176529</v>
      </c>
      <c r="BG177" s="385">
        <f>DataUK3!BS24</f>
        <v>0.6280352428632533</v>
      </c>
    </row>
    <row r="178" spans="1:59" s="87" customFormat="1">
      <c r="A178" s="79">
        <v>1867</v>
      </c>
      <c r="B178" s="1540">
        <f>DataUK1!B25</f>
        <v>885.36322576313853</v>
      </c>
      <c r="C178" s="1160">
        <v>26.6</v>
      </c>
      <c r="D178" s="111">
        <v>22.9</v>
      </c>
      <c r="E178" s="111">
        <v>3.4</v>
      </c>
      <c r="F178" s="111">
        <f t="shared" si="95"/>
        <v>0.30000000000000293</v>
      </c>
      <c r="G178" s="1540">
        <f t="shared" si="106"/>
        <v>23.200000000000003</v>
      </c>
      <c r="H178" s="1551">
        <v>800.9</v>
      </c>
      <c r="I178" s="29">
        <f t="shared" si="122"/>
        <v>1.0293021462536949</v>
      </c>
      <c r="J178" s="959">
        <v>778.1</v>
      </c>
      <c r="K178" s="1427">
        <v>770.2</v>
      </c>
      <c r="L178" s="959">
        <f t="shared" si="107"/>
        <v>7.8999999999999773</v>
      </c>
      <c r="M178" s="29">
        <f t="shared" si="98"/>
        <v>0.90460048112983737</v>
      </c>
      <c r="N178" s="29">
        <v>0.77650000000000008</v>
      </c>
      <c r="O178" s="111">
        <v>754.7</v>
      </c>
      <c r="P178" s="29">
        <f t="shared" si="115"/>
        <v>0.94231489574228999</v>
      </c>
      <c r="Q178" s="1558">
        <f t="shared" si="129"/>
        <v>2.8967411661880389E-2</v>
      </c>
      <c r="R178" s="961">
        <f t="shared" si="130"/>
        <v>2.9732537003375744E-2</v>
      </c>
      <c r="S178" s="961">
        <f t="shared" si="131"/>
        <v>9.7719869706841562E-3</v>
      </c>
      <c r="T178" s="1535">
        <f t="shared" si="132"/>
        <v>3.0740691665562477E-2</v>
      </c>
      <c r="U178" s="1162">
        <v>67.8</v>
      </c>
      <c r="V178" s="111">
        <v>71.8</v>
      </c>
      <c r="W178" s="175">
        <f t="shared" si="99"/>
        <v>68.399999999999991</v>
      </c>
      <c r="X178" s="964">
        <f t="shared" si="134"/>
        <v>-0.59999999999999432</v>
      </c>
      <c r="Y178" s="1536">
        <f t="shared" si="125"/>
        <v>1.7707264515262771</v>
      </c>
      <c r="Z178" s="111">
        <f t="shared" si="100"/>
        <v>-2.3707264515262714</v>
      </c>
      <c r="AA178" s="1536">
        <f t="shared" si="101"/>
        <v>0</v>
      </c>
      <c r="AB178" s="111">
        <f t="shared" si="102"/>
        <v>3.1000000000000227</v>
      </c>
      <c r="AC178" s="111">
        <f t="shared" si="108"/>
        <v>-0.59999999999999432</v>
      </c>
      <c r="AD178" s="111">
        <f t="shared" si="109"/>
        <v>-2.3707264515262714</v>
      </c>
      <c r="AE178" s="111">
        <f t="shared" si="110"/>
        <v>785.30659429323987</v>
      </c>
      <c r="AF178" s="29">
        <f t="shared" si="103"/>
        <v>-1.7612438887236792E-2</v>
      </c>
      <c r="AG178" s="587">
        <f t="shared" si="133"/>
        <v>20.829273548473733</v>
      </c>
      <c r="AH178" s="964">
        <f t="shared" si="111"/>
        <v>0</v>
      </c>
      <c r="AI178" s="964">
        <v>0</v>
      </c>
      <c r="AJ178" s="964">
        <f t="shared" si="112"/>
        <v>0</v>
      </c>
      <c r="AK178" s="964">
        <f t="shared" si="113"/>
        <v>-0.59999999999999432</v>
      </c>
      <c r="AL178" s="964">
        <f>DataUK1!DK25</f>
        <v>4.982771606904655</v>
      </c>
      <c r="AM178" s="961">
        <f t="shared" si="128"/>
        <v>5.6279405580797158E-3</v>
      </c>
      <c r="AN178" s="964">
        <f t="shared" si="114"/>
        <v>-5.5827716069046494</v>
      </c>
      <c r="AO178" s="965"/>
      <c r="AP178" s="1784"/>
      <c r="AQ178" s="1778"/>
      <c r="AR178" s="1778"/>
      <c r="AS178" s="175"/>
      <c r="AT178" s="175">
        <v>118</v>
      </c>
      <c r="AU178" s="111"/>
      <c r="AV178" s="111">
        <v>10.1</v>
      </c>
      <c r="AW178" s="175">
        <f t="shared" si="124"/>
        <v>103.0612244897959</v>
      </c>
      <c r="AY178" s="111">
        <v>51.7</v>
      </c>
      <c r="AZ178" s="967">
        <f>AY178-DataUK1!FI25</f>
        <v>0.70000000000000284</v>
      </c>
      <c r="BA178" s="111">
        <f t="shared" si="91"/>
        <v>23.500000000000004</v>
      </c>
      <c r="BB178" s="111">
        <v>28.2</v>
      </c>
      <c r="BE178" s="967">
        <f t="shared" si="127"/>
        <v>550.90000000000009</v>
      </c>
      <c r="BF178" s="2133">
        <f t="shared" si="126"/>
        <v>0.62223049700889943</v>
      </c>
      <c r="BG178" s="385">
        <f>DataUK3!BS25</f>
        <v>0.68785328131860535</v>
      </c>
    </row>
    <row r="179" spans="1:59" s="87" customFormat="1">
      <c r="A179" s="79">
        <v>1868</v>
      </c>
      <c r="B179" s="1540">
        <f>DataUK1!B26</f>
        <v>885.96021628560834</v>
      </c>
      <c r="C179" s="1160">
        <v>26.6</v>
      </c>
      <c r="D179" s="111">
        <v>22.5</v>
      </c>
      <c r="E179" s="111">
        <v>4</v>
      </c>
      <c r="F179" s="111">
        <f t="shared" si="95"/>
        <v>0.10000000000000142</v>
      </c>
      <c r="G179" s="1540">
        <f t="shared" si="106"/>
        <v>22.6</v>
      </c>
      <c r="H179" s="1551">
        <v>797.8</v>
      </c>
      <c r="I179" s="29">
        <f t="shared" si="122"/>
        <v>1.0640170712189918</v>
      </c>
      <c r="J179" s="959">
        <v>749.8</v>
      </c>
      <c r="K179" s="1427">
        <v>741.8</v>
      </c>
      <c r="L179" s="959">
        <f t="shared" si="107"/>
        <v>8</v>
      </c>
      <c r="M179" s="29">
        <f t="shared" si="98"/>
        <v>0.90049190170725679</v>
      </c>
      <c r="N179" s="29">
        <v>0.74909999999999999</v>
      </c>
      <c r="O179" s="111">
        <v>748.6</v>
      </c>
      <c r="P179" s="29">
        <f t="shared" si="115"/>
        <v>0.93833040862371531</v>
      </c>
      <c r="Q179" s="1558">
        <f t="shared" si="129"/>
        <v>2.8327901729756834E-2</v>
      </c>
      <c r="R179" s="961">
        <f t="shared" si="130"/>
        <v>3.0331625775141549E-2</v>
      </c>
      <c r="S179" s="961">
        <f t="shared" si="131"/>
        <v>1.785714285714311E-3</v>
      </c>
      <c r="T179" s="1535">
        <f t="shared" si="132"/>
        <v>3.0189687416510822E-2</v>
      </c>
      <c r="U179" s="1162">
        <v>70.8</v>
      </c>
      <c r="V179" s="111">
        <v>75.5</v>
      </c>
      <c r="W179" s="175">
        <f t="shared" si="99"/>
        <v>71.5</v>
      </c>
      <c r="X179" s="964">
        <f t="shared" si="134"/>
        <v>-0.70000000000000284</v>
      </c>
      <c r="Y179" s="1536">
        <f t="shared" si="125"/>
        <v>1.7719204325712168</v>
      </c>
      <c r="Z179" s="111">
        <f t="shared" si="100"/>
        <v>-2.4719204325712196</v>
      </c>
      <c r="AA179" s="1536">
        <f t="shared" si="101"/>
        <v>0</v>
      </c>
      <c r="AB179" s="111">
        <f t="shared" si="102"/>
        <v>0</v>
      </c>
      <c r="AC179" s="111">
        <f t="shared" si="108"/>
        <v>-0.70000000000000284</v>
      </c>
      <c r="AD179" s="111">
        <f t="shared" si="109"/>
        <v>-2.4719204325712196</v>
      </c>
      <c r="AE179" s="111">
        <f t="shared" si="110"/>
        <v>787.67732074476612</v>
      </c>
      <c r="AF179" s="29">
        <f t="shared" si="103"/>
        <v>-1.1425658928200192E-2</v>
      </c>
      <c r="AG179" s="587">
        <f t="shared" si="133"/>
        <v>20.128079567428781</v>
      </c>
      <c r="AH179" s="964">
        <f t="shared" si="111"/>
        <v>0</v>
      </c>
      <c r="AI179" s="964">
        <v>0</v>
      </c>
      <c r="AJ179" s="964">
        <f t="shared" si="112"/>
        <v>0</v>
      </c>
      <c r="AK179" s="964">
        <f t="shared" si="113"/>
        <v>-0.70000000000000284</v>
      </c>
      <c r="AL179" s="964">
        <f>DataUK1!DK26</f>
        <v>4.9718680855474195</v>
      </c>
      <c r="AM179" s="961">
        <f t="shared" si="128"/>
        <v>5.6118412476713637E-3</v>
      </c>
      <c r="AN179" s="964">
        <f t="shared" si="114"/>
        <v>-5.6718680855474224</v>
      </c>
      <c r="AO179" s="965"/>
      <c r="AP179" s="1784"/>
      <c r="AQ179" s="1778"/>
      <c r="AR179" s="1778"/>
      <c r="AS179" s="175"/>
      <c r="AT179" s="175">
        <v>115</v>
      </c>
      <c r="AU179" s="111"/>
      <c r="AV179" s="111">
        <v>10</v>
      </c>
      <c r="AW179" s="175">
        <f t="shared" si="124"/>
        <v>102.0408163265306</v>
      </c>
      <c r="AY179" s="111">
        <v>41.1</v>
      </c>
      <c r="AZ179" s="967">
        <f>AY179-DataUK1!FI26</f>
        <v>1.1000000000000014</v>
      </c>
      <c r="BA179" s="111">
        <f t="shared" si="91"/>
        <v>10</v>
      </c>
      <c r="BB179" s="111">
        <v>31.1</v>
      </c>
      <c r="BE179" s="967">
        <f t="shared" si="127"/>
        <v>602.60000000000014</v>
      </c>
      <c r="BF179" s="2133">
        <f t="shared" si="126"/>
        <v>0.6801659814098685</v>
      </c>
      <c r="BG179" s="385">
        <f>DataUK3!BS26</f>
        <v>0.74495444362846519</v>
      </c>
    </row>
    <row r="180" spans="1:59" s="87" customFormat="1">
      <c r="A180" s="79">
        <v>1869</v>
      </c>
      <c r="B180" s="1540">
        <f>DataUK1!B27</f>
        <v>916.1262987439535</v>
      </c>
      <c r="C180" s="1160">
        <v>27.1</v>
      </c>
      <c r="D180" s="111">
        <v>22.4</v>
      </c>
      <c r="E180" s="111">
        <v>4.4000000000000004</v>
      </c>
      <c r="F180" s="111">
        <f t="shared" si="95"/>
        <v>0.30000000000000249</v>
      </c>
      <c r="G180" s="1540">
        <f t="shared" si="106"/>
        <v>22.700000000000003</v>
      </c>
      <c r="H180" s="1551">
        <v>797.8</v>
      </c>
      <c r="I180" s="29">
        <f t="shared" si="122"/>
        <v>1.0623169107856192</v>
      </c>
      <c r="J180" s="959">
        <v>751</v>
      </c>
      <c r="K180" s="1427">
        <v>741.1</v>
      </c>
      <c r="L180" s="959">
        <f t="shared" si="107"/>
        <v>9.8999999999999773</v>
      </c>
      <c r="M180" s="29">
        <f t="shared" si="98"/>
        <v>0.87084062655314698</v>
      </c>
      <c r="N180" s="29">
        <v>0.74650000000000005</v>
      </c>
      <c r="O180" s="111">
        <v>745.4</v>
      </c>
      <c r="P180" s="29">
        <f t="shared" si="115"/>
        <v>0.93431937829029832</v>
      </c>
      <c r="Q180" s="1558">
        <f t="shared" si="129"/>
        <v>2.8453246427676115E-2</v>
      </c>
      <c r="R180" s="961">
        <f t="shared" si="130"/>
        <v>3.0225340709755764E-2</v>
      </c>
      <c r="S180" s="961">
        <f t="shared" si="131"/>
        <v>5.291005291005341E-3</v>
      </c>
      <c r="T180" s="1535">
        <f t="shared" si="132"/>
        <v>3.0453447813254632E-2</v>
      </c>
      <c r="U180" s="1162">
        <v>73.7</v>
      </c>
      <c r="V180" s="111">
        <v>67.099999999999994</v>
      </c>
      <c r="W180" s="175">
        <f t="shared" si="99"/>
        <v>62.699999999999996</v>
      </c>
      <c r="X180" s="964">
        <f t="shared" si="134"/>
        <v>11.000000000000007</v>
      </c>
      <c r="Y180" s="1536">
        <f t="shared" si="125"/>
        <v>1.8322525974879071</v>
      </c>
      <c r="Z180" s="111">
        <f t="shared" si="100"/>
        <v>9.1677474025121004</v>
      </c>
      <c r="AA180" s="1536">
        <f t="shared" si="101"/>
        <v>0</v>
      </c>
      <c r="AB180" s="111">
        <f t="shared" si="102"/>
        <v>4.6999999999999318</v>
      </c>
      <c r="AC180" s="111">
        <f t="shared" si="108"/>
        <v>11.000000000000007</v>
      </c>
      <c r="AD180" s="111">
        <f t="shared" si="109"/>
        <v>9.1677474025121004</v>
      </c>
      <c r="AE180" s="111">
        <f t="shared" si="110"/>
        <v>790.14924117733733</v>
      </c>
      <c r="AF180" s="29">
        <f t="shared" si="103"/>
        <v>-8.3512053230565767E-3</v>
      </c>
      <c r="AG180" s="587">
        <f t="shared" si="133"/>
        <v>31.867747402512101</v>
      </c>
      <c r="AH180" s="964">
        <f t="shared" si="111"/>
        <v>0</v>
      </c>
      <c r="AI180" s="964">
        <v>0</v>
      </c>
      <c r="AJ180" s="964">
        <f t="shared" si="112"/>
        <v>0</v>
      </c>
      <c r="AK180" s="964">
        <f t="shared" si="113"/>
        <v>11.000000000000007</v>
      </c>
      <c r="AL180" s="964">
        <f>DataUK1!DK27</f>
        <v>5.1350749609499466</v>
      </c>
      <c r="AM180" s="961">
        <f t="shared" si="128"/>
        <v>5.605204181989256E-3</v>
      </c>
      <c r="AN180" s="964">
        <f t="shared" si="114"/>
        <v>5.8649250390500605</v>
      </c>
      <c r="AP180" s="1784"/>
      <c r="AQ180" s="1778"/>
      <c r="AR180" s="1778"/>
      <c r="AS180" s="175"/>
      <c r="AT180" s="175">
        <v>107</v>
      </c>
      <c r="AU180" s="111"/>
      <c r="AV180" s="111">
        <v>9.5</v>
      </c>
      <c r="AW180" s="175">
        <f t="shared" si="124"/>
        <v>96.938775510204067</v>
      </c>
      <c r="AY180" s="111">
        <v>50.8</v>
      </c>
      <c r="AZ180" s="967">
        <f>AY180-DataUK1!FI27</f>
        <v>0.79999999999999716</v>
      </c>
      <c r="BA180" s="111">
        <f t="shared" si="91"/>
        <v>17.699999999999996</v>
      </c>
      <c r="BB180" s="111">
        <v>33.1</v>
      </c>
      <c r="BE180" s="967">
        <f t="shared" si="127"/>
        <v>643.70000000000016</v>
      </c>
      <c r="BF180" s="2133">
        <f t="shared" si="126"/>
        <v>0.70263237818032198</v>
      </c>
      <c r="BG180" s="385">
        <f>DataUK3!BS27</f>
        <v>0.76408678689797305</v>
      </c>
    </row>
    <row r="181" spans="1:59" s="87" customFormat="1">
      <c r="A181" s="79">
        <v>1870</v>
      </c>
      <c r="B181" s="1540">
        <f>DataUK1!B28</f>
        <v>987.85714285714289</v>
      </c>
      <c r="C181" s="1160">
        <v>26.8</v>
      </c>
      <c r="D181" s="111">
        <v>22.3</v>
      </c>
      <c r="E181" s="111">
        <v>4.4000000000000004</v>
      </c>
      <c r="F181" s="111">
        <f t="shared" si="95"/>
        <v>9.9999999999999645E-2</v>
      </c>
      <c r="G181" s="1540">
        <f t="shared" si="106"/>
        <v>22.4</v>
      </c>
      <c r="H181" s="1551">
        <v>793.1</v>
      </c>
      <c r="I181" s="29">
        <f t="shared" si="122"/>
        <v>1.0598690364826941</v>
      </c>
      <c r="J181" s="959">
        <v>748.3</v>
      </c>
      <c r="K181" s="1427">
        <v>741.5</v>
      </c>
      <c r="L181" s="959">
        <f t="shared" si="107"/>
        <v>6.7999999999999545</v>
      </c>
      <c r="M181" s="29">
        <f t="shared" si="98"/>
        <v>0.80284887924801152</v>
      </c>
      <c r="N181" s="29">
        <v>0.70330000000000004</v>
      </c>
      <c r="O181" s="111">
        <v>744</v>
      </c>
      <c r="P181" s="29">
        <f t="shared" si="115"/>
        <v>0.93809103517841375</v>
      </c>
      <c r="Q181" s="1558">
        <f t="shared" si="129"/>
        <v>2.8243601059135037E-2</v>
      </c>
      <c r="R181" s="961">
        <f t="shared" si="130"/>
        <v>3.0074173971679032E-2</v>
      </c>
      <c r="S181" s="961">
        <f t="shared" si="131"/>
        <v>1.9379844961240232E-3</v>
      </c>
      <c r="T181" s="1535">
        <f t="shared" si="132"/>
        <v>3.0107526881720428E-2</v>
      </c>
      <c r="U181" s="1162">
        <v>68.2</v>
      </c>
      <c r="V181" s="111">
        <v>67.8</v>
      </c>
      <c r="W181" s="175">
        <f t="shared" si="99"/>
        <v>63.4</v>
      </c>
      <c r="X181" s="964">
        <f t="shared" si="134"/>
        <v>4.8000000000000043</v>
      </c>
      <c r="Y181" s="1536">
        <f t="shared" si="125"/>
        <v>1.9757142857142858</v>
      </c>
      <c r="Z181" s="111">
        <f t="shared" si="100"/>
        <v>2.8242857142857183</v>
      </c>
      <c r="AA181" s="1536">
        <f t="shared" si="101"/>
        <v>0</v>
      </c>
      <c r="AB181" s="111">
        <f t="shared" si="102"/>
        <v>5.8000000000000682</v>
      </c>
      <c r="AC181" s="111">
        <f t="shared" si="108"/>
        <v>4.8000000000000043</v>
      </c>
      <c r="AD181" s="111">
        <f t="shared" si="109"/>
        <v>2.8242857142857183</v>
      </c>
      <c r="AE181" s="111">
        <f t="shared" si="110"/>
        <v>780.98149377482525</v>
      </c>
      <c r="AF181" s="29">
        <f t="shared" si="103"/>
        <v>-1.226746834074091E-2</v>
      </c>
      <c r="AG181" s="587">
        <f t="shared" si="133"/>
        <v>25.224285714285717</v>
      </c>
      <c r="AH181" s="964">
        <f t="shared" si="111"/>
        <v>0</v>
      </c>
      <c r="AI181" s="964">
        <v>0</v>
      </c>
      <c r="AJ181" s="964">
        <f t="shared" si="112"/>
        <v>0</v>
      </c>
      <c r="AK181" s="964">
        <f t="shared" si="113"/>
        <v>4.8000000000000043</v>
      </c>
      <c r="AL181" s="964">
        <f>DataUK1!DK28</f>
        <v>5.6000000000000005</v>
      </c>
      <c r="AM181" s="961">
        <f t="shared" si="128"/>
        <v>5.6688358640636302E-3</v>
      </c>
      <c r="AN181" s="964">
        <f t="shared" si="114"/>
        <v>-0.79999999999999627</v>
      </c>
      <c r="AP181" s="1784"/>
      <c r="AQ181" s="1778"/>
      <c r="AR181" s="1778"/>
      <c r="AS181" s="175"/>
      <c r="AT181" s="175">
        <v>110</v>
      </c>
      <c r="AU181" s="111"/>
      <c r="AV181" s="111">
        <v>9.5</v>
      </c>
      <c r="AW181" s="175">
        <f t="shared" si="124"/>
        <v>96.938775510204067</v>
      </c>
      <c r="AY181" s="111">
        <v>55</v>
      </c>
      <c r="AZ181" s="967">
        <f>AY181-DataUK1!FI28</f>
        <v>-2</v>
      </c>
      <c r="BA181" s="111">
        <f t="shared" si="91"/>
        <v>19.700000000000003</v>
      </c>
      <c r="BB181" s="111">
        <v>35.299999999999997</v>
      </c>
      <c r="BE181" s="967">
        <f t="shared" si="127"/>
        <v>694.50000000000011</v>
      </c>
      <c r="BF181" s="2133">
        <f t="shared" si="126"/>
        <v>0.70303687635574852</v>
      </c>
      <c r="BG181" s="385">
        <f>DataUK3!BS28</f>
        <v>0.79971077368040488</v>
      </c>
    </row>
    <row r="182" spans="1:59" s="87" customFormat="1">
      <c r="A182" s="79">
        <v>1871</v>
      </c>
      <c r="B182" s="1540">
        <f>DataUK1!B29</f>
        <v>1062.2200000000003</v>
      </c>
      <c r="C182" s="1160">
        <v>26.8</v>
      </c>
      <c r="D182" s="111">
        <v>22.2</v>
      </c>
      <c r="E182" s="111">
        <v>4.5</v>
      </c>
      <c r="F182" s="111">
        <f t="shared" si="95"/>
        <v>0.10000000000000142</v>
      </c>
      <c r="G182" s="1540">
        <f t="shared" si="106"/>
        <v>22.3</v>
      </c>
      <c r="H182" s="1551">
        <v>787.3</v>
      </c>
      <c r="I182" s="29">
        <f t="shared" si="122"/>
        <v>1.0666576344668743</v>
      </c>
      <c r="J182" s="959">
        <v>738.1</v>
      </c>
      <c r="K182" s="1427">
        <v>732</v>
      </c>
      <c r="L182" s="959">
        <f t="shared" si="107"/>
        <v>6.1000000000000227</v>
      </c>
      <c r="M182" s="29">
        <f t="shared" si="98"/>
        <v>0.74118355896142019</v>
      </c>
      <c r="N182" s="29">
        <v>0.64180000000000004</v>
      </c>
      <c r="O182" s="111">
        <v>737</v>
      </c>
      <c r="P182" s="29">
        <f t="shared" si="115"/>
        <v>0.9361107582878192</v>
      </c>
      <c r="Q182" s="1558">
        <f t="shared" si="129"/>
        <v>2.8324653880350568E-2</v>
      </c>
      <c r="R182" s="961">
        <f t="shared" si="130"/>
        <v>3.0327868852459014E-2</v>
      </c>
      <c r="S182" s="961">
        <f t="shared" si="131"/>
        <v>1.8083182640144938E-3</v>
      </c>
      <c r="T182" s="1535">
        <f t="shared" si="132"/>
        <v>3.0257801899592946E-2</v>
      </c>
      <c r="U182" s="1162">
        <v>73.099999999999994</v>
      </c>
      <c r="V182" s="111">
        <v>69.900000000000006</v>
      </c>
      <c r="W182" s="175">
        <f t="shared" si="99"/>
        <v>65.400000000000006</v>
      </c>
      <c r="X182" s="964">
        <f t="shared" si="134"/>
        <v>7.6999999999999886</v>
      </c>
      <c r="Y182" s="1536">
        <f t="shared" si="125"/>
        <v>2.1244400000000008</v>
      </c>
      <c r="Z182" s="111">
        <f t="shared" si="100"/>
        <v>5.5755599999999879</v>
      </c>
      <c r="AA182" s="1536">
        <f t="shared" si="101"/>
        <v>0</v>
      </c>
      <c r="AB182" s="111">
        <f t="shared" si="102"/>
        <v>3.0999999999999091</v>
      </c>
      <c r="AC182" s="111">
        <f t="shared" si="108"/>
        <v>7.6999999999999886</v>
      </c>
      <c r="AD182" s="111">
        <f t="shared" si="109"/>
        <v>5.5755599999999879</v>
      </c>
      <c r="AE182" s="111">
        <f t="shared" si="110"/>
        <v>778.15720806053957</v>
      </c>
      <c r="AF182" s="29">
        <f t="shared" si="103"/>
        <v>-8.6072489121466166E-3</v>
      </c>
      <c r="AG182" s="587">
        <f t="shared" si="133"/>
        <v>27.875559999999989</v>
      </c>
      <c r="AH182" s="964">
        <f t="shared" si="111"/>
        <v>0</v>
      </c>
      <c r="AI182" s="964">
        <v>0</v>
      </c>
      <c r="AJ182" s="964">
        <f t="shared" si="112"/>
        <v>0</v>
      </c>
      <c r="AK182" s="964">
        <f t="shared" si="113"/>
        <v>7.6999999999999886</v>
      </c>
      <c r="AL182" s="964">
        <f>DataUK1!DK29</f>
        <v>6.1000000000000005</v>
      </c>
      <c r="AM182" s="961">
        <f t="shared" si="128"/>
        <v>5.7426898382632588E-3</v>
      </c>
      <c r="AN182" s="964">
        <f t="shared" si="114"/>
        <v>1.5999999999999881</v>
      </c>
      <c r="AP182" s="1784"/>
      <c r="AQ182" s="1778"/>
      <c r="AR182" s="1778"/>
      <c r="AS182" s="175"/>
      <c r="AT182" s="175">
        <v>115</v>
      </c>
      <c r="AU182" s="111"/>
      <c r="AV182" s="111">
        <v>9.6</v>
      </c>
      <c r="AW182" s="175">
        <f t="shared" si="124"/>
        <v>97.959183673469369</v>
      </c>
      <c r="AY182" s="111">
        <v>76</v>
      </c>
      <c r="AZ182" s="967">
        <f>AY182-DataUK1!FI29</f>
        <v>-2</v>
      </c>
      <c r="BA182" s="111">
        <f t="shared" si="91"/>
        <v>36.5</v>
      </c>
      <c r="BB182" s="111">
        <v>39.5</v>
      </c>
      <c r="BE182" s="967">
        <f t="shared" si="127"/>
        <v>749.50000000000011</v>
      </c>
      <c r="BF182" s="2133">
        <f t="shared" si="126"/>
        <v>0.70559771045546116</v>
      </c>
      <c r="BG182" s="385">
        <f>DataUK3!BS29</f>
        <v>0.79738660541130824</v>
      </c>
    </row>
    <row r="183" spans="1:59" s="87" customFormat="1">
      <c r="A183" s="79">
        <v>1872</v>
      </c>
      <c r="B183" s="1540">
        <f>DataUK1!B30</f>
        <v>1130.8014285714287</v>
      </c>
      <c r="C183" s="1160">
        <v>26.8</v>
      </c>
      <c r="D183" s="111">
        <v>22.1</v>
      </c>
      <c r="E183" s="111">
        <v>4.5</v>
      </c>
      <c r="F183" s="111">
        <f t="shared" si="95"/>
        <v>0.19999999999999929</v>
      </c>
      <c r="G183" s="1540">
        <f t="shared" si="106"/>
        <v>22.3</v>
      </c>
      <c r="H183" s="1551">
        <v>784.2</v>
      </c>
      <c r="I183" s="29">
        <f t="shared" si="122"/>
        <v>1.064187813814629</v>
      </c>
      <c r="J183" s="959">
        <v>736.9</v>
      </c>
      <c r="K183" s="1427">
        <v>731.8</v>
      </c>
      <c r="L183" s="959">
        <f t="shared" si="107"/>
        <v>5.1000000000000227</v>
      </c>
      <c r="M183" s="29">
        <f t="shared" si="98"/>
        <v>0.69349045746316451</v>
      </c>
      <c r="N183" s="29">
        <v>0.60399999999999998</v>
      </c>
      <c r="O183" s="111">
        <v>734.3</v>
      </c>
      <c r="P183" s="29">
        <f t="shared" si="115"/>
        <v>0.93636827339964279</v>
      </c>
      <c r="Q183" s="1558">
        <f t="shared" si="129"/>
        <v>2.8436623310380004E-2</v>
      </c>
      <c r="R183" s="961">
        <f t="shared" si="130"/>
        <v>3.019950806231211E-2</v>
      </c>
      <c r="S183" s="961">
        <f t="shared" si="131"/>
        <v>3.8167938931297509E-3</v>
      </c>
      <c r="T183" s="1535">
        <f t="shared" si="132"/>
        <v>3.0369058967724367E-2</v>
      </c>
      <c r="U183" s="1162">
        <v>74.7</v>
      </c>
      <c r="V183" s="111">
        <v>68.8</v>
      </c>
      <c r="W183" s="175">
        <f t="shared" si="99"/>
        <v>64.3</v>
      </c>
      <c r="X183" s="964">
        <f t="shared" si="134"/>
        <v>10.400000000000006</v>
      </c>
      <c r="Y183" s="1536">
        <f t="shared" si="125"/>
        <v>2.2616028571428575</v>
      </c>
      <c r="Z183" s="111">
        <f t="shared" si="100"/>
        <v>8.1383971428571478</v>
      </c>
      <c r="AA183" s="1536">
        <f t="shared" si="101"/>
        <v>0</v>
      </c>
      <c r="AB183" s="111">
        <f t="shared" si="102"/>
        <v>6.7000000000000455</v>
      </c>
      <c r="AC183" s="111">
        <f t="shared" si="108"/>
        <v>10.400000000000006</v>
      </c>
      <c r="AD183" s="111">
        <f t="shared" si="109"/>
        <v>8.1383971428571478</v>
      </c>
      <c r="AE183" s="111">
        <f t="shared" si="110"/>
        <v>772.58164806053958</v>
      </c>
      <c r="AF183" s="29">
        <f t="shared" si="103"/>
        <v>-1.0274440450732574E-2</v>
      </c>
      <c r="AG183" s="587">
        <f t="shared" si="133"/>
        <v>30.438397142857148</v>
      </c>
      <c r="AH183" s="964">
        <f t="shared" si="111"/>
        <v>0</v>
      </c>
      <c r="AI183" s="964">
        <v>0</v>
      </c>
      <c r="AJ183" s="964">
        <f t="shared" si="112"/>
        <v>0</v>
      </c>
      <c r="AK183" s="964">
        <f t="shared" si="113"/>
        <v>10.400000000000006</v>
      </c>
      <c r="AL183" s="964">
        <f>DataUK1!DK30</f>
        <v>6.3900000000000006</v>
      </c>
      <c r="AM183" s="961">
        <f t="shared" si="128"/>
        <v>5.6508595041948754E-3</v>
      </c>
      <c r="AN183" s="964">
        <f t="shared" si="114"/>
        <v>4.0100000000000051</v>
      </c>
      <c r="AP183" s="1784"/>
      <c r="AQ183" s="1778"/>
      <c r="AR183" s="1778"/>
      <c r="AS183" s="175"/>
      <c r="AT183" s="175">
        <v>128</v>
      </c>
      <c r="AU183" s="111"/>
      <c r="AV183" s="111">
        <v>10</v>
      </c>
      <c r="AW183" s="175">
        <f t="shared" si="124"/>
        <v>102.0408163265306</v>
      </c>
      <c r="AY183" s="111">
        <v>97</v>
      </c>
      <c r="AZ183" s="967">
        <f>AY183-DataUK1!FI30</f>
        <v>-2</v>
      </c>
      <c r="BA183" s="111">
        <f t="shared" si="91"/>
        <v>52.7</v>
      </c>
      <c r="BB183" s="111">
        <v>44.3</v>
      </c>
      <c r="BE183" s="967">
        <f t="shared" si="127"/>
        <v>825.50000000000011</v>
      </c>
      <c r="BF183" s="2133">
        <f t="shared" si="126"/>
        <v>0.73001322702861815</v>
      </c>
      <c r="BG183" s="385">
        <f>DataUK3!BS30</f>
        <v>0.81800391883885126</v>
      </c>
    </row>
    <row r="184" spans="1:59" s="87" customFormat="1">
      <c r="A184" s="79">
        <v>1873</v>
      </c>
      <c r="B184" s="1540">
        <f>DataUK1!B31</f>
        <v>1207.1821428571429</v>
      </c>
      <c r="C184" s="1160">
        <v>26.7</v>
      </c>
      <c r="D184" s="111">
        <v>22</v>
      </c>
      <c r="E184" s="111">
        <v>4.5999999999999996</v>
      </c>
      <c r="F184" s="111">
        <f t="shared" si="95"/>
        <v>9.9999999999999645E-2</v>
      </c>
      <c r="G184" s="1540">
        <f t="shared" si="106"/>
        <v>22.1</v>
      </c>
      <c r="H184" s="1551">
        <v>777.5</v>
      </c>
      <c r="I184" s="29">
        <f t="shared" si="122"/>
        <v>1.0618683419830646</v>
      </c>
      <c r="J184" s="959">
        <v>732.2</v>
      </c>
      <c r="K184" s="1427">
        <v>727.4</v>
      </c>
      <c r="L184" s="959">
        <f t="shared" si="107"/>
        <v>4.8000000000000682</v>
      </c>
      <c r="M184" s="29">
        <f t="shared" si="98"/>
        <v>0.64406187964297013</v>
      </c>
      <c r="N184" s="29">
        <v>0.57200000000000006</v>
      </c>
      <c r="O184" s="111">
        <v>726.9</v>
      </c>
      <c r="P184" s="29">
        <f t="shared" si="115"/>
        <v>0.93491961414790992</v>
      </c>
      <c r="Q184" s="1558">
        <f t="shared" si="129"/>
        <v>2.8424437299035373E-2</v>
      </c>
      <c r="R184" s="961">
        <f t="shared" si="130"/>
        <v>3.0244707176244157E-2</v>
      </c>
      <c r="S184" s="961">
        <f t="shared" si="131"/>
        <v>1.9960079840319282E-3</v>
      </c>
      <c r="T184" s="1535">
        <f t="shared" si="132"/>
        <v>3.0403081579309398E-2</v>
      </c>
      <c r="U184" s="1162">
        <v>75.5</v>
      </c>
      <c r="V184" s="111">
        <v>74.599999999999994</v>
      </c>
      <c r="W184" s="175">
        <f t="shared" si="99"/>
        <v>70</v>
      </c>
      <c r="X184" s="964">
        <f t="shared" si="134"/>
        <v>5.5</v>
      </c>
      <c r="Y184" s="1536">
        <f t="shared" si="125"/>
        <v>2.414364285714286</v>
      </c>
      <c r="Z184" s="111">
        <f t="shared" si="100"/>
        <v>3.085635714285714</v>
      </c>
      <c r="AA184" s="1536">
        <f t="shared" si="101"/>
        <v>0</v>
      </c>
      <c r="AB184" s="111">
        <f t="shared" si="102"/>
        <v>6.2999999999999545</v>
      </c>
      <c r="AC184" s="111">
        <f t="shared" si="108"/>
        <v>5.5</v>
      </c>
      <c r="AD184" s="111">
        <f t="shared" si="109"/>
        <v>3.085635714285714</v>
      </c>
      <c r="AE184" s="111">
        <f t="shared" si="110"/>
        <v>764.44325091768246</v>
      </c>
      <c r="AF184" s="29">
        <f t="shared" si="103"/>
        <v>-1.0815889846924834E-2</v>
      </c>
      <c r="AG184" s="587">
        <f t="shared" si="133"/>
        <v>25.185635714285716</v>
      </c>
      <c r="AH184" s="964">
        <f t="shared" si="111"/>
        <v>0</v>
      </c>
      <c r="AI184" s="964">
        <v>0</v>
      </c>
      <c r="AJ184" s="964">
        <f t="shared" si="112"/>
        <v>0</v>
      </c>
      <c r="AK184" s="964">
        <f t="shared" si="113"/>
        <v>5.5</v>
      </c>
      <c r="AL184" s="964">
        <f>DataUK1!DK31</f>
        <v>6.5650000000000004</v>
      </c>
      <c r="AM184" s="961">
        <f t="shared" si="128"/>
        <v>5.4382845528695815E-3</v>
      </c>
      <c r="AN184" s="964">
        <f t="shared" si="114"/>
        <v>-1.0650000000000004</v>
      </c>
      <c r="AP184" s="1784"/>
      <c r="AQ184" s="1778"/>
      <c r="AR184" s="1778"/>
      <c r="AS184" s="175"/>
      <c r="AT184" s="175">
        <v>127</v>
      </c>
      <c r="AU184" s="111"/>
      <c r="AV184" s="111">
        <v>10.4</v>
      </c>
      <c r="AW184" s="175">
        <f t="shared" si="124"/>
        <v>106.12244897959184</v>
      </c>
      <c r="AY184" s="111">
        <v>86</v>
      </c>
      <c r="AZ184" s="967">
        <f>AY184-DataUK1!FI31</f>
        <v>-2</v>
      </c>
      <c r="BA184" s="111">
        <f t="shared" si="91"/>
        <v>34.299999999999997</v>
      </c>
      <c r="BB184" s="111">
        <v>51.7</v>
      </c>
      <c r="BE184" s="967">
        <f t="shared" si="127"/>
        <v>922.50000000000011</v>
      </c>
      <c r="BF184" s="2133">
        <f t="shared" si="126"/>
        <v>0.76417631378860451</v>
      </c>
      <c r="BG184" s="385">
        <f>DataUK3!BS31</f>
        <v>0.82837540790092623</v>
      </c>
    </row>
    <row r="185" spans="1:59" s="87" customFormat="1">
      <c r="A185" s="79">
        <v>1874</v>
      </c>
      <c r="B185" s="1540">
        <f>DataUK1!B32</f>
        <v>1179.9285714285713</v>
      </c>
      <c r="C185" s="1160">
        <v>27.1</v>
      </c>
      <c r="D185" s="111">
        <v>21.8</v>
      </c>
      <c r="E185" s="111">
        <v>5.2</v>
      </c>
      <c r="F185" s="111">
        <f t="shared" si="95"/>
        <v>0.10000000000000053</v>
      </c>
      <c r="G185" s="1540">
        <f t="shared" si="106"/>
        <v>21.900000000000002</v>
      </c>
      <c r="H185" s="1551">
        <v>771.2</v>
      </c>
      <c r="I185" s="29">
        <f t="shared" si="122"/>
        <v>1.0593406593406594</v>
      </c>
      <c r="J185" s="959">
        <v>728</v>
      </c>
      <c r="K185" s="1427">
        <v>723.5</v>
      </c>
      <c r="L185" s="959">
        <f t="shared" si="107"/>
        <v>4.5</v>
      </c>
      <c r="M185" s="29">
        <f t="shared" si="98"/>
        <v>0.65359888613112183</v>
      </c>
      <c r="N185" s="29">
        <v>0.57229999999999992</v>
      </c>
      <c r="O185" s="111">
        <v>730.3</v>
      </c>
      <c r="P185" s="29">
        <f t="shared" si="115"/>
        <v>0.94696576763485463</v>
      </c>
      <c r="Q185" s="1558">
        <f t="shared" si="129"/>
        <v>2.8397302904564315E-2</v>
      </c>
      <c r="R185" s="961">
        <f t="shared" si="130"/>
        <v>3.0131306150656532E-2</v>
      </c>
      <c r="S185" s="961">
        <f t="shared" si="131"/>
        <v>2.0964360587002189E-3</v>
      </c>
      <c r="T185" s="1535">
        <f t="shared" si="132"/>
        <v>2.9987676297412027E-2</v>
      </c>
      <c r="U185" s="1162">
        <v>73.599999999999994</v>
      </c>
      <c r="V185" s="111">
        <v>73</v>
      </c>
      <c r="W185" s="175">
        <f t="shared" si="99"/>
        <v>67.8</v>
      </c>
      <c r="X185" s="964">
        <f t="shared" si="134"/>
        <v>5.7999999999999972</v>
      </c>
      <c r="Y185" s="1536">
        <f t="shared" si="125"/>
        <v>2.3598571428571429</v>
      </c>
      <c r="Z185" s="111">
        <f t="shared" si="100"/>
        <v>3.4401428571428543</v>
      </c>
      <c r="AA185" s="1536">
        <f t="shared" si="101"/>
        <v>0</v>
      </c>
      <c r="AB185" s="111">
        <f t="shared" si="102"/>
        <v>3.9000000000000909</v>
      </c>
      <c r="AC185" s="111">
        <f t="shared" si="108"/>
        <v>5.7999999999999972</v>
      </c>
      <c r="AD185" s="111">
        <f t="shared" si="109"/>
        <v>3.4401428571428543</v>
      </c>
      <c r="AE185" s="111">
        <f t="shared" si="110"/>
        <v>761.35761520339679</v>
      </c>
      <c r="AF185" s="29">
        <f t="shared" si="103"/>
        <v>-8.3415089988767843E-3</v>
      </c>
      <c r="AG185" s="587">
        <f t="shared" si="133"/>
        <v>25.340142857142858</v>
      </c>
      <c r="AH185" s="964">
        <f t="shared" si="111"/>
        <v>0</v>
      </c>
      <c r="AI185" s="964">
        <v>0</v>
      </c>
      <c r="AJ185" s="964">
        <f t="shared" si="112"/>
        <v>0</v>
      </c>
      <c r="AK185" s="964">
        <f t="shared" si="113"/>
        <v>5.7999999999999972</v>
      </c>
      <c r="AL185" s="964">
        <f>DataUK1!DK32</f>
        <v>6.74</v>
      </c>
      <c r="AM185" s="961">
        <f t="shared" si="128"/>
        <v>5.7122101822144203E-3</v>
      </c>
      <c r="AN185" s="964">
        <f t="shared" si="114"/>
        <v>-0.94000000000000306</v>
      </c>
      <c r="AP185" s="1784"/>
      <c r="AQ185" s="1778"/>
      <c r="AR185" s="1778"/>
      <c r="AS185" s="175"/>
      <c r="AT185" s="175">
        <v>121</v>
      </c>
      <c r="AU185" s="111"/>
      <c r="AV185" s="111">
        <v>10</v>
      </c>
      <c r="AW185" s="175">
        <f t="shared" ref="AW185:AW216" si="135">AW186*AV185/AV186</f>
        <v>102.0408163265306</v>
      </c>
      <c r="AY185" s="111">
        <v>78</v>
      </c>
      <c r="AZ185" s="967">
        <f>AY185-DataUK1!FI32</f>
        <v>-2</v>
      </c>
      <c r="BA185" s="111">
        <f t="shared" si="91"/>
        <v>21.4</v>
      </c>
      <c r="BB185" s="111">
        <v>56.6</v>
      </c>
      <c r="BE185" s="967">
        <f t="shared" si="127"/>
        <v>1008.5000000000001</v>
      </c>
      <c r="BF185" s="2133">
        <f t="shared" si="126"/>
        <v>0.85471275500938326</v>
      </c>
      <c r="BG185" s="385">
        <f>DataUK3!BS32</f>
        <v>0.92208971487378177</v>
      </c>
    </row>
    <row r="186" spans="1:59" s="87" customFormat="1">
      <c r="A186" s="79">
        <v>1875</v>
      </c>
      <c r="B186" s="1540">
        <f>DataUK1!B33</f>
        <v>1167.7935714285713</v>
      </c>
      <c r="C186" s="1160">
        <v>27.2</v>
      </c>
      <c r="D186" s="111">
        <v>21.6</v>
      </c>
      <c r="E186" s="111">
        <v>5.4</v>
      </c>
      <c r="F186" s="111">
        <f t="shared" si="95"/>
        <v>0.19999999999999751</v>
      </c>
      <c r="G186" s="1540">
        <f t="shared" si="106"/>
        <v>21.799999999999997</v>
      </c>
      <c r="H186" s="1551">
        <v>767.3</v>
      </c>
      <c r="I186" s="29">
        <f t="shared" si="122"/>
        <v>1.0656944444444443</v>
      </c>
      <c r="J186" s="959">
        <v>720</v>
      </c>
      <c r="K186" s="1427">
        <v>714.8</v>
      </c>
      <c r="L186" s="959">
        <f t="shared" si="107"/>
        <v>5.2000000000000455</v>
      </c>
      <c r="M186" s="29">
        <f t="shared" si="98"/>
        <v>0.65705105660185781</v>
      </c>
      <c r="N186" s="29">
        <v>0.57830000000000004</v>
      </c>
      <c r="O186" s="111">
        <v>735.8</v>
      </c>
      <c r="P186" s="29">
        <f t="shared" si="115"/>
        <v>0.95894695686172293</v>
      </c>
      <c r="Q186" s="1558">
        <f t="shared" si="129"/>
        <v>2.8411312394109212E-2</v>
      </c>
      <c r="R186" s="961">
        <f t="shared" si="130"/>
        <v>3.0218242865137104E-2</v>
      </c>
      <c r="S186" s="961">
        <f t="shared" si="131"/>
        <v>3.8095238095237622E-3</v>
      </c>
      <c r="T186" s="1535">
        <f t="shared" si="132"/>
        <v>2.9627616200054361E-2</v>
      </c>
      <c r="U186" s="1162">
        <v>75.5</v>
      </c>
      <c r="V186" s="111">
        <v>74.7</v>
      </c>
      <c r="W186" s="175">
        <f t="shared" si="99"/>
        <v>69.3</v>
      </c>
      <c r="X186" s="964">
        <f t="shared" si="134"/>
        <v>6.2000000000000028</v>
      </c>
      <c r="Y186" s="1536">
        <f t="shared" si="125"/>
        <v>2.3355871428571429</v>
      </c>
      <c r="Z186" s="111">
        <f t="shared" si="100"/>
        <v>3.86441285714286</v>
      </c>
      <c r="AA186" s="1536">
        <f t="shared" si="101"/>
        <v>0</v>
      </c>
      <c r="AB186" s="111">
        <f t="shared" si="102"/>
        <v>-2.1000000000000227</v>
      </c>
      <c r="AC186" s="111">
        <f t="shared" si="108"/>
        <v>6.2000000000000028</v>
      </c>
      <c r="AD186" s="111">
        <f t="shared" si="109"/>
        <v>3.86441285714286</v>
      </c>
      <c r="AE186" s="111">
        <f t="shared" si="110"/>
        <v>757.91747234625393</v>
      </c>
      <c r="AF186" s="29">
        <f t="shared" si="103"/>
        <v>-8.0344059800468853E-3</v>
      </c>
      <c r="AG186" s="587">
        <f t="shared" si="133"/>
        <v>25.664412857142857</v>
      </c>
      <c r="AH186" s="964">
        <f t="shared" si="111"/>
        <v>0</v>
      </c>
      <c r="AI186" s="964">
        <v>0</v>
      </c>
      <c r="AJ186" s="964">
        <f t="shared" si="112"/>
        <v>0</v>
      </c>
      <c r="AK186" s="964">
        <f t="shared" si="113"/>
        <v>6.2000000000000028</v>
      </c>
      <c r="AL186" s="964">
        <f>DataUK1!DK33</f>
        <v>6.5650000000000004</v>
      </c>
      <c r="AM186" s="961">
        <f t="shared" si="128"/>
        <v>5.6217127415498468E-3</v>
      </c>
      <c r="AN186" s="964">
        <f t="shared" si="114"/>
        <v>-0.36499999999999755</v>
      </c>
      <c r="AP186" s="1784"/>
      <c r="AQ186" s="1778"/>
      <c r="AR186" s="1778"/>
      <c r="AS186" s="175"/>
      <c r="AT186" s="175">
        <v>117</v>
      </c>
      <c r="AU186" s="111"/>
      <c r="AV186" s="111">
        <v>9.8000000000000007</v>
      </c>
      <c r="AW186" s="175">
        <f t="shared" si="135"/>
        <v>100</v>
      </c>
      <c r="AY186" s="111">
        <v>57</v>
      </c>
      <c r="AZ186" s="967">
        <f>AY186-DataUK1!FI33</f>
        <v>-1</v>
      </c>
      <c r="BA186" s="111">
        <f t="shared" si="91"/>
        <v>-0.79999999999999716</v>
      </c>
      <c r="BB186" s="111">
        <v>57.8</v>
      </c>
      <c r="BE186" s="967">
        <f t="shared" si="127"/>
        <v>1086.5</v>
      </c>
      <c r="BF186" s="2133">
        <f t="shared" si="126"/>
        <v>0.93038703635855413</v>
      </c>
      <c r="BG186" s="385">
        <f>DataUK3!BS33</f>
        <v>1.0001767680320215</v>
      </c>
    </row>
    <row r="187" spans="1:59" s="87" customFormat="1">
      <c r="A187" s="79">
        <v>1876</v>
      </c>
      <c r="B187" s="1540">
        <f>DataUK1!B34</f>
        <v>1153.1799999999998</v>
      </c>
      <c r="C187" s="1160">
        <v>27.4</v>
      </c>
      <c r="D187" s="111">
        <v>21.6</v>
      </c>
      <c r="E187" s="111">
        <v>5.4</v>
      </c>
      <c r="F187" s="111">
        <f t="shared" si="95"/>
        <v>0.3999999999999968</v>
      </c>
      <c r="G187" s="1540">
        <f t="shared" si="106"/>
        <v>22</v>
      </c>
      <c r="H187" s="1551">
        <v>769.4</v>
      </c>
      <c r="I187" s="29">
        <f t="shared" si="122"/>
        <v>1.0610950213763619</v>
      </c>
      <c r="J187" s="959">
        <v>725.1</v>
      </c>
      <c r="K187" s="1427">
        <v>713.7</v>
      </c>
      <c r="L187" s="959">
        <f t="shared" si="107"/>
        <v>11.399999999999977</v>
      </c>
      <c r="M187" s="29">
        <f t="shared" si="98"/>
        <v>0.66719852928424017</v>
      </c>
      <c r="N187" s="29">
        <v>0.59</v>
      </c>
      <c r="O187" s="111">
        <v>740</v>
      </c>
      <c r="P187" s="29">
        <f t="shared" si="115"/>
        <v>0.96178840655055886</v>
      </c>
      <c r="Q187" s="1558">
        <f t="shared" si="129"/>
        <v>2.8593709383935535E-2</v>
      </c>
      <c r="R187" s="961">
        <f t="shared" si="130"/>
        <v>3.0264817150063052E-2</v>
      </c>
      <c r="S187" s="961">
        <f t="shared" si="131"/>
        <v>7.1813285457809212E-3</v>
      </c>
      <c r="T187" s="1535">
        <f t="shared" si="132"/>
        <v>2.9729729729729731E-2</v>
      </c>
      <c r="U187" s="1162">
        <v>76.8</v>
      </c>
      <c r="V187" s="111">
        <v>75.7</v>
      </c>
      <c r="W187" s="175">
        <f t="shared" si="99"/>
        <v>70.3</v>
      </c>
      <c r="X187" s="964">
        <f t="shared" si="134"/>
        <v>6.5</v>
      </c>
      <c r="Y187" s="1536">
        <f t="shared" si="125"/>
        <v>2.3063599999999997</v>
      </c>
      <c r="Z187" s="111">
        <f t="shared" si="100"/>
        <v>4.1936400000000003</v>
      </c>
      <c r="AA187" s="1536">
        <f t="shared" si="101"/>
        <v>0</v>
      </c>
      <c r="AB187" s="111">
        <f t="shared" si="102"/>
        <v>0.69999999999993179</v>
      </c>
      <c r="AC187" s="111">
        <f t="shared" si="108"/>
        <v>6.5</v>
      </c>
      <c r="AD187" s="111">
        <f t="shared" si="109"/>
        <v>4.1936400000000003</v>
      </c>
      <c r="AE187" s="111">
        <f t="shared" si="110"/>
        <v>754.05305948911109</v>
      </c>
      <c r="AF187" s="29">
        <f t="shared" si="103"/>
        <v>-1.3308365138910566E-2</v>
      </c>
      <c r="AG187" s="587">
        <f t="shared" si="133"/>
        <v>26.193640000000002</v>
      </c>
      <c r="AH187" s="964">
        <f t="shared" si="111"/>
        <v>0</v>
      </c>
      <c r="AI187" s="964">
        <v>0</v>
      </c>
      <c r="AJ187" s="964">
        <f t="shared" si="112"/>
        <v>0</v>
      </c>
      <c r="AK187" s="964">
        <f t="shared" si="113"/>
        <v>6.5</v>
      </c>
      <c r="AL187" s="964">
        <f>DataUK1!DK34</f>
        <v>6.5</v>
      </c>
      <c r="AM187" s="961">
        <f t="shared" si="128"/>
        <v>5.6365875231967266E-3</v>
      </c>
      <c r="AN187" s="964">
        <f t="shared" si="114"/>
        <v>0</v>
      </c>
      <c r="AP187" s="1784"/>
      <c r="AQ187" s="1778"/>
      <c r="AR187" s="1778"/>
      <c r="AS187" s="175"/>
      <c r="AT187" s="175">
        <v>115</v>
      </c>
      <c r="AU187" s="111"/>
      <c r="AV187" s="111">
        <v>9.8000000000000007</v>
      </c>
      <c r="AW187" s="175">
        <f t="shared" si="135"/>
        <v>100</v>
      </c>
      <c r="AY187" s="111">
        <v>31</v>
      </c>
      <c r="AZ187" s="967">
        <f>AY187-DataUK1!FI34</f>
        <v>0</v>
      </c>
      <c r="BA187" s="111">
        <f t="shared" si="91"/>
        <v>-26.5</v>
      </c>
      <c r="BB187" s="111">
        <v>57.5</v>
      </c>
      <c r="BE187" s="967">
        <f t="shared" si="127"/>
        <v>1143.5</v>
      </c>
      <c r="BF187" s="2133">
        <f t="shared" si="126"/>
        <v>0.9916058204269933</v>
      </c>
      <c r="BG187" s="385">
        <f>DataUK3!BS34</f>
        <v>1.0631471236060286</v>
      </c>
    </row>
    <row r="188" spans="1:59" s="87" customFormat="1">
      <c r="A188" s="79">
        <v>1877</v>
      </c>
      <c r="B188" s="1540">
        <f>DataUK1!B35</f>
        <v>1144.5314285714287</v>
      </c>
      <c r="C188" s="1160">
        <v>27.6</v>
      </c>
      <c r="D188" s="111">
        <v>21.6</v>
      </c>
      <c r="E188" s="111">
        <v>5.5</v>
      </c>
      <c r="F188" s="111">
        <f t="shared" si="95"/>
        <v>0.5</v>
      </c>
      <c r="G188" s="1540">
        <f t="shared" si="106"/>
        <v>22.1</v>
      </c>
      <c r="H188" s="1551">
        <v>768.7</v>
      </c>
      <c r="I188" s="29">
        <f t="shared" si="122"/>
        <v>1.0579410955133499</v>
      </c>
      <c r="J188" s="959">
        <v>726.6</v>
      </c>
      <c r="K188" s="1427">
        <v>712.6</v>
      </c>
      <c r="L188" s="959">
        <f t="shared" si="107"/>
        <v>14</v>
      </c>
      <c r="M188" s="29">
        <f t="shared" si="98"/>
        <v>0.67162856415351502</v>
      </c>
      <c r="N188" s="29">
        <v>0.59750000000000003</v>
      </c>
      <c r="O188" s="111">
        <v>733.3</v>
      </c>
      <c r="P188" s="29">
        <f t="shared" si="115"/>
        <v>0.95394822427474946</v>
      </c>
      <c r="Q188" s="1558">
        <f t="shared" si="129"/>
        <v>2.8749837387797579E-2</v>
      </c>
      <c r="R188" s="961">
        <f t="shared" si="130"/>
        <v>3.031153522312658E-2</v>
      </c>
      <c r="S188" s="961">
        <f t="shared" si="131"/>
        <v>8.9126559714794978E-3</v>
      </c>
      <c r="T188" s="1535">
        <f t="shared" si="132"/>
        <v>3.0137733533342429E-2</v>
      </c>
      <c r="U188" s="1162">
        <v>77.7</v>
      </c>
      <c r="V188" s="111">
        <v>79.599999999999994</v>
      </c>
      <c r="W188" s="175">
        <f t="shared" si="99"/>
        <v>74.099999999999994</v>
      </c>
      <c r="X188" s="964">
        <f t="shared" si="134"/>
        <v>3.6000000000000085</v>
      </c>
      <c r="Y188" s="1536">
        <f t="shared" ref="Y188:Y224" si="136">0.002*B188</f>
        <v>2.2890628571428575</v>
      </c>
      <c r="Z188" s="111">
        <f t="shared" si="100"/>
        <v>1.310937142857151</v>
      </c>
      <c r="AA188" s="1536">
        <f t="shared" si="101"/>
        <v>0</v>
      </c>
      <c r="AB188" s="111">
        <f t="shared" si="102"/>
        <v>-2.1999999999999318</v>
      </c>
      <c r="AC188" s="111">
        <f t="shared" si="108"/>
        <v>3.6000000000000085</v>
      </c>
      <c r="AD188" s="111">
        <f t="shared" si="109"/>
        <v>1.310937142857151</v>
      </c>
      <c r="AE188" s="111">
        <f t="shared" si="110"/>
        <v>749.85941948911113</v>
      </c>
      <c r="AF188" s="29">
        <f t="shared" si="103"/>
        <v>-1.6461392007736463E-2</v>
      </c>
      <c r="AG188" s="587">
        <f t="shared" si="133"/>
        <v>23.410937142857151</v>
      </c>
      <c r="AH188" s="964">
        <f t="shared" si="111"/>
        <v>0</v>
      </c>
      <c r="AI188" s="964">
        <v>0</v>
      </c>
      <c r="AJ188" s="964">
        <f t="shared" si="112"/>
        <v>0</v>
      </c>
      <c r="AK188" s="964">
        <f t="shared" si="113"/>
        <v>3.6000000000000085</v>
      </c>
      <c r="AL188" s="964">
        <f>DataUK1!DK35</f>
        <v>6.4</v>
      </c>
      <c r="AM188" s="961">
        <f t="shared" si="128"/>
        <v>5.5918080012781271E-3</v>
      </c>
      <c r="AN188" s="964">
        <f t="shared" si="114"/>
        <v>-2.7999999999999918</v>
      </c>
      <c r="AP188" s="1784"/>
      <c r="AQ188" s="1778"/>
      <c r="AR188" s="1778"/>
      <c r="AS188" s="175"/>
      <c r="AT188" s="175">
        <v>110</v>
      </c>
      <c r="AU188" s="111"/>
      <c r="AV188" s="111">
        <v>9.6999999999999993</v>
      </c>
      <c r="AW188" s="175">
        <f t="shared" si="135"/>
        <v>98.97959183673467</v>
      </c>
      <c r="AY188" s="111">
        <v>10</v>
      </c>
      <c r="AZ188" s="967">
        <f>AY188-DataUK1!FI35</f>
        <v>0</v>
      </c>
      <c r="BA188" s="111">
        <f t="shared" si="91"/>
        <v>-45.5</v>
      </c>
      <c r="BB188" s="111">
        <v>55.5</v>
      </c>
      <c r="BE188" s="967">
        <f t="shared" si="127"/>
        <v>1174.5</v>
      </c>
      <c r="BF188" s="2133">
        <f t="shared" si="126"/>
        <v>1.0261841402345562</v>
      </c>
      <c r="BG188" s="385">
        <f>DataUK3!BS35</f>
        <v>1.098266040251032</v>
      </c>
    </row>
    <row r="189" spans="1:59" s="87" customFormat="1">
      <c r="A189" s="79">
        <v>1878</v>
      </c>
      <c r="B189" s="1540">
        <f>DataUK1!B36</f>
        <v>1112.82</v>
      </c>
      <c r="C189" s="1160">
        <v>28</v>
      </c>
      <c r="D189" s="111">
        <v>21.5</v>
      </c>
      <c r="E189" s="111">
        <v>5.7</v>
      </c>
      <c r="F189" s="111">
        <f t="shared" si="95"/>
        <v>0.79999999999999982</v>
      </c>
      <c r="G189" s="1540">
        <f t="shared" si="106"/>
        <v>22.3</v>
      </c>
      <c r="H189" s="1551">
        <v>770.9</v>
      </c>
      <c r="I189" s="29">
        <f t="shared" si="122"/>
        <v>1.0540060158599944</v>
      </c>
      <c r="J189" s="959">
        <v>731.4</v>
      </c>
      <c r="K189" s="1427">
        <v>710.8</v>
      </c>
      <c r="L189" s="959">
        <f t="shared" si="107"/>
        <v>20.600000000000023</v>
      </c>
      <c r="M189" s="29">
        <f t="shared" si="98"/>
        <v>0.69274455886846031</v>
      </c>
      <c r="N189" s="29">
        <v>0.61770000000000003</v>
      </c>
      <c r="O189" s="111">
        <v>730.6</v>
      </c>
      <c r="P189" s="29">
        <f t="shared" si="115"/>
        <v>0.94772344013490728</v>
      </c>
      <c r="Q189" s="1558">
        <f t="shared" si="129"/>
        <v>2.8927227915423532E-2</v>
      </c>
      <c r="R189" s="961">
        <f t="shared" si="130"/>
        <v>3.0247608328643785E-2</v>
      </c>
      <c r="S189" s="961">
        <f t="shared" si="131"/>
        <v>1.3311148086522454E-2</v>
      </c>
      <c r="T189" s="1535">
        <f t="shared" si="132"/>
        <v>3.0522857924993155E-2</v>
      </c>
      <c r="U189" s="1162">
        <v>81.2</v>
      </c>
      <c r="V189" s="111">
        <v>82.8</v>
      </c>
      <c r="W189" s="175">
        <f t="shared" si="99"/>
        <v>77.099999999999994</v>
      </c>
      <c r="X189" s="964">
        <f t="shared" si="134"/>
        <v>4.1000000000000085</v>
      </c>
      <c r="Y189" s="1536">
        <f t="shared" si="136"/>
        <v>2.2256399999999998</v>
      </c>
      <c r="Z189" s="111">
        <f t="shared" si="100"/>
        <v>1.8743600000000087</v>
      </c>
      <c r="AA189" s="1536">
        <f t="shared" si="101"/>
        <v>0</v>
      </c>
      <c r="AB189" s="111">
        <f t="shared" si="102"/>
        <v>-0.89999999999997726</v>
      </c>
      <c r="AC189" s="111">
        <f t="shared" si="108"/>
        <v>4.1000000000000085</v>
      </c>
      <c r="AD189" s="111">
        <f t="shared" si="109"/>
        <v>1.8743600000000087</v>
      </c>
      <c r="AE189" s="111">
        <f t="shared" si="110"/>
        <v>748.54848234625399</v>
      </c>
      <c r="AF189" s="29">
        <f t="shared" si="103"/>
        <v>-2.0085474428700047E-2</v>
      </c>
      <c r="AG189" s="587">
        <f t="shared" si="133"/>
        <v>24.174360000000011</v>
      </c>
      <c r="AH189" s="964">
        <f t="shared" si="111"/>
        <v>0</v>
      </c>
      <c r="AI189" s="964">
        <v>0</v>
      </c>
      <c r="AJ189" s="964">
        <f t="shared" si="112"/>
        <v>0</v>
      </c>
      <c r="AK189" s="964">
        <f t="shared" si="113"/>
        <v>4.1000000000000085</v>
      </c>
      <c r="AL189" s="964">
        <f>DataUK1!DK36</f>
        <v>6.34</v>
      </c>
      <c r="AM189" s="961">
        <f t="shared" si="128"/>
        <v>5.6972376484966123E-3</v>
      </c>
      <c r="AN189" s="964">
        <f t="shared" si="114"/>
        <v>-2.2399999999999913</v>
      </c>
      <c r="AP189" s="1784"/>
      <c r="AQ189" s="1778"/>
      <c r="AR189" s="1778"/>
      <c r="AS189" s="175"/>
      <c r="AT189" s="175">
        <v>101</v>
      </c>
      <c r="AU189" s="111"/>
      <c r="AV189" s="111">
        <v>9.5</v>
      </c>
      <c r="AW189" s="175">
        <f t="shared" si="135"/>
        <v>96.938775510204067</v>
      </c>
      <c r="AY189" s="111">
        <v>23</v>
      </c>
      <c r="AZ189" s="967">
        <f>AY189-DataUK1!FI36</f>
        <v>-1</v>
      </c>
      <c r="BA189" s="111">
        <f t="shared" si="91"/>
        <v>-32.1</v>
      </c>
      <c r="BB189" s="111">
        <v>55.1</v>
      </c>
      <c r="BE189" s="967">
        <f t="shared" si="127"/>
        <v>1184.5</v>
      </c>
      <c r="BF189" s="2133">
        <f t="shared" si="126"/>
        <v>1.0644129329091858</v>
      </c>
      <c r="BG189" s="385">
        <f>DataUK3!BS36</f>
        <v>1.1385489117736922</v>
      </c>
    </row>
    <row r="190" spans="1:59" s="87" customFormat="1">
      <c r="A190" s="79">
        <v>1879</v>
      </c>
      <c r="B190" s="1540">
        <f>DataUK1!B37</f>
        <v>1087.6864285714287</v>
      </c>
      <c r="C190" s="1160">
        <v>28.1</v>
      </c>
      <c r="D190" s="111">
        <v>21.5</v>
      </c>
      <c r="E190" s="111">
        <v>5.7</v>
      </c>
      <c r="F190" s="111">
        <f t="shared" si="95"/>
        <v>0.90000000000000124</v>
      </c>
      <c r="G190" s="1540">
        <f t="shared" si="106"/>
        <v>22.400000000000002</v>
      </c>
      <c r="H190" s="1551">
        <v>771.8</v>
      </c>
      <c r="I190" s="29">
        <f t="shared" si="122"/>
        <v>1.0496396028831769</v>
      </c>
      <c r="J190" s="959">
        <v>735.3</v>
      </c>
      <c r="K190" s="1427">
        <v>709.4</v>
      </c>
      <c r="L190" s="959">
        <f t="shared" si="107"/>
        <v>25.899999999999977</v>
      </c>
      <c r="M190" s="29">
        <f t="shared" si="98"/>
        <v>0.70957950722404883</v>
      </c>
      <c r="N190" s="29">
        <v>0.64390000000000003</v>
      </c>
      <c r="O190" s="111">
        <v>748.1</v>
      </c>
      <c r="P190" s="29">
        <f t="shared" si="115"/>
        <v>0.96929256284011411</v>
      </c>
      <c r="Q190" s="1558">
        <f t="shared" si="129"/>
        <v>2.9023062969681268E-2</v>
      </c>
      <c r="R190" s="961">
        <f t="shared" si="130"/>
        <v>3.0307301945305894E-2</v>
      </c>
      <c r="S190" s="961">
        <f t="shared" si="131"/>
        <v>1.4423076923076948E-2</v>
      </c>
      <c r="T190" s="1535">
        <f t="shared" si="132"/>
        <v>2.9942521053335117E-2</v>
      </c>
      <c r="U190" s="1162">
        <v>73.3</v>
      </c>
      <c r="V190" s="111">
        <v>81.5</v>
      </c>
      <c r="W190" s="175">
        <f t="shared" si="99"/>
        <v>75.8</v>
      </c>
      <c r="X190" s="964">
        <f t="shared" si="134"/>
        <v>-2.5</v>
      </c>
      <c r="Y190" s="1536">
        <f t="shared" si="136"/>
        <v>2.1753728571428574</v>
      </c>
      <c r="Z190" s="111">
        <f t="shared" si="100"/>
        <v>-4.6753728571428574</v>
      </c>
      <c r="AA190" s="1536">
        <f t="shared" si="101"/>
        <v>0</v>
      </c>
      <c r="AB190" s="111">
        <f t="shared" si="102"/>
        <v>1.1999999999999318</v>
      </c>
      <c r="AC190" s="111">
        <f t="shared" si="108"/>
        <v>-2.5</v>
      </c>
      <c r="AD190" s="111">
        <f t="shared" si="109"/>
        <v>-4.6753728571428574</v>
      </c>
      <c r="AE190" s="111">
        <f t="shared" si="110"/>
        <v>746.67412234625397</v>
      </c>
      <c r="AF190" s="29">
        <f t="shared" si="103"/>
        <v>-2.3100295263172869E-2</v>
      </c>
      <c r="AG190" s="587">
        <f t="shared" si="133"/>
        <v>17.724627142857145</v>
      </c>
      <c r="AH190" s="964">
        <f t="shared" si="111"/>
        <v>0</v>
      </c>
      <c r="AI190" s="964">
        <v>0</v>
      </c>
      <c r="AJ190" s="964">
        <f t="shared" si="112"/>
        <v>0</v>
      </c>
      <c r="AK190" s="964">
        <f t="shared" si="113"/>
        <v>-2.5</v>
      </c>
      <c r="AL190" s="964">
        <f>DataUK1!DK37</f>
        <v>5.9350000000000014</v>
      </c>
      <c r="AM190" s="961">
        <f t="shared" si="128"/>
        <v>5.4565358582206935E-3</v>
      </c>
      <c r="AN190" s="964">
        <f t="shared" si="114"/>
        <v>-8.4350000000000023</v>
      </c>
      <c r="AP190" s="1784"/>
      <c r="AQ190" s="1778"/>
      <c r="AR190" s="1778"/>
      <c r="AS190" s="175"/>
      <c r="AT190" s="175">
        <v>98</v>
      </c>
      <c r="AU190" s="111"/>
      <c r="AV190" s="111">
        <v>9.1</v>
      </c>
      <c r="AW190" s="175">
        <f t="shared" si="135"/>
        <v>92.857142857142847</v>
      </c>
      <c r="AY190" s="111">
        <v>31</v>
      </c>
      <c r="AZ190" s="967">
        <f>AY190-DataUK1!FI37</f>
        <v>-1</v>
      </c>
      <c r="BA190" s="111">
        <f t="shared" si="91"/>
        <v>-24.9</v>
      </c>
      <c r="BB190" s="111">
        <v>55.9</v>
      </c>
      <c r="BE190" s="967">
        <f t="shared" si="127"/>
        <v>1207.5</v>
      </c>
      <c r="BF190" s="2133">
        <f t="shared" si="126"/>
        <v>1.1101545153835697</v>
      </c>
      <c r="BG190" s="385">
        <f>DataUK3!BS37</f>
        <v>1.186922964273448</v>
      </c>
    </row>
    <row r="191" spans="1:59" s="87" customFormat="1">
      <c r="A191" s="79">
        <v>1880</v>
      </c>
      <c r="B191" s="1540">
        <f>DataUK1!B38</f>
        <v>1131.1357142857144</v>
      </c>
      <c r="C191" s="1160">
        <v>29.2</v>
      </c>
      <c r="D191" s="111">
        <v>21.5</v>
      </c>
      <c r="E191" s="111">
        <v>6.9</v>
      </c>
      <c r="F191" s="111">
        <f t="shared" si="95"/>
        <v>0.79999999999999893</v>
      </c>
      <c r="G191" s="1540">
        <f t="shared" si="106"/>
        <v>22.299999999999997</v>
      </c>
      <c r="H191" s="1551">
        <v>770.6</v>
      </c>
      <c r="I191" s="29">
        <f t="shared" si="122"/>
        <v>1.0444564922743291</v>
      </c>
      <c r="J191" s="959">
        <v>737.8</v>
      </c>
      <c r="K191" s="1427">
        <v>710.5</v>
      </c>
      <c r="L191" s="959">
        <f t="shared" si="107"/>
        <v>27.299999999999955</v>
      </c>
      <c r="M191" s="29">
        <f t="shared" si="98"/>
        <v>0.68126219539148392</v>
      </c>
      <c r="N191" s="29">
        <v>0.60570000000000002</v>
      </c>
      <c r="O191" s="111">
        <v>798.6</v>
      </c>
      <c r="P191" s="29">
        <f t="shared" si="115"/>
        <v>1.0363353231248378</v>
      </c>
      <c r="Q191" s="1558">
        <f t="shared" si="129"/>
        <v>2.8938489488710091E-2</v>
      </c>
      <c r="R191" s="961">
        <f t="shared" si="130"/>
        <v>3.0260380014074596E-2</v>
      </c>
      <c r="S191" s="961">
        <f t="shared" si="131"/>
        <v>1.331114808652244E-2</v>
      </c>
      <c r="T191" s="1535">
        <f t="shared" si="132"/>
        <v>2.792386676684197E-2</v>
      </c>
      <c r="U191" s="1162">
        <v>81.900000000000006</v>
      </c>
      <c r="V191" s="111">
        <v>80.599999999999994</v>
      </c>
      <c r="W191" s="175">
        <f t="shared" si="99"/>
        <v>73.699999999999989</v>
      </c>
      <c r="X191" s="964">
        <f t="shared" si="134"/>
        <v>8.2000000000000171</v>
      </c>
      <c r="Y191" s="1536">
        <f t="shared" si="136"/>
        <v>2.2622714285714287</v>
      </c>
      <c r="Z191" s="111">
        <f t="shared" si="100"/>
        <v>5.9377285714285879</v>
      </c>
      <c r="AA191" s="1536">
        <f t="shared" si="101"/>
        <v>0</v>
      </c>
      <c r="AB191" s="111">
        <f t="shared" si="102"/>
        <v>5.3999999999999773</v>
      </c>
      <c r="AC191" s="111">
        <f t="shared" si="108"/>
        <v>8.2000000000000171</v>
      </c>
      <c r="AD191" s="111">
        <f t="shared" si="109"/>
        <v>5.9377285714285879</v>
      </c>
      <c r="AE191" s="111">
        <f t="shared" si="110"/>
        <v>751.34949520339683</v>
      </c>
      <c r="AF191" s="29">
        <f t="shared" si="103"/>
        <v>-1.7018740150698396E-2</v>
      </c>
      <c r="AG191" s="587">
        <f t="shared" si="133"/>
        <v>28.237728571428583</v>
      </c>
      <c r="AH191" s="964">
        <f t="shared" si="111"/>
        <v>0</v>
      </c>
      <c r="AI191" s="964">
        <v>0</v>
      </c>
      <c r="AJ191" s="964">
        <f t="shared" si="112"/>
        <v>0</v>
      </c>
      <c r="AK191" s="964">
        <f t="shared" si="113"/>
        <v>8.2000000000000171</v>
      </c>
      <c r="AL191" s="964">
        <f>DataUK1!DK38</f>
        <v>6.65</v>
      </c>
      <c r="AM191" s="961">
        <f t="shared" si="128"/>
        <v>5.8790469755429118E-3</v>
      </c>
      <c r="AN191" s="964">
        <f t="shared" si="114"/>
        <v>1.5500000000000167</v>
      </c>
      <c r="AP191" s="1784"/>
      <c r="AQ191" s="1778"/>
      <c r="AR191" s="1778"/>
      <c r="AS191" s="175"/>
      <c r="AT191" s="175">
        <v>102</v>
      </c>
      <c r="AU191" s="111"/>
      <c r="AV191" s="111">
        <v>9.4</v>
      </c>
      <c r="AW191" s="175">
        <f t="shared" si="135"/>
        <v>95.918367346938766</v>
      </c>
      <c r="AY191" s="111">
        <v>33</v>
      </c>
      <c r="AZ191" s="967">
        <f>AY191-DataUK1!FI38</f>
        <v>-2</v>
      </c>
      <c r="BA191" s="111">
        <f t="shared" si="91"/>
        <v>-24.700000000000003</v>
      </c>
      <c r="BB191" s="111">
        <v>57.7</v>
      </c>
      <c r="BE191" s="967">
        <f t="shared" si="127"/>
        <v>1238.5</v>
      </c>
      <c r="BF191" s="2133">
        <f t="shared" si="126"/>
        <v>1.0949172449939693</v>
      </c>
      <c r="BG191" s="385">
        <f>DataUK3!BS38</f>
        <v>1.1581280508212353</v>
      </c>
    </row>
    <row r="192" spans="1:59" s="87" customFormat="1">
      <c r="A192" s="79">
        <v>1881</v>
      </c>
      <c r="B192" s="1540">
        <f>DataUK1!B39</f>
        <v>1172.4521428571429</v>
      </c>
      <c r="C192" s="1160">
        <v>29.4</v>
      </c>
      <c r="D192" s="111">
        <v>21.4</v>
      </c>
      <c r="E192" s="111">
        <v>7.2</v>
      </c>
      <c r="F192" s="111">
        <f t="shared" si="95"/>
        <v>0.79999999999999982</v>
      </c>
      <c r="G192" s="1540">
        <f t="shared" si="106"/>
        <v>22.2</v>
      </c>
      <c r="H192" s="1551">
        <v>765.2</v>
      </c>
      <c r="I192" s="29">
        <f t="shared" si="122"/>
        <v>1.0464989059080962</v>
      </c>
      <c r="J192" s="959">
        <v>731.2</v>
      </c>
      <c r="K192" s="1427">
        <v>709.1</v>
      </c>
      <c r="L192" s="959">
        <f t="shared" si="107"/>
        <v>22.100000000000023</v>
      </c>
      <c r="M192" s="29">
        <f t="shared" si="98"/>
        <v>0.65264924002380842</v>
      </c>
      <c r="N192" s="29">
        <v>0.58829999999999993</v>
      </c>
      <c r="O192" s="111">
        <v>781.6</v>
      </c>
      <c r="P192" s="29">
        <f t="shared" si="115"/>
        <v>1.0214323052796654</v>
      </c>
      <c r="Q192" s="1558">
        <f t="shared" si="129"/>
        <v>2.9012023000522736E-2</v>
      </c>
      <c r="R192" s="961">
        <f t="shared" si="130"/>
        <v>3.0179100267945281E-2</v>
      </c>
      <c r="S192" s="961">
        <f t="shared" si="131"/>
        <v>1.4260249554367192E-2</v>
      </c>
      <c r="T192" s="1535">
        <f t="shared" si="132"/>
        <v>2.8403275332650971E-2</v>
      </c>
      <c r="U192" s="1162">
        <v>84</v>
      </c>
      <c r="V192" s="111">
        <v>83.3</v>
      </c>
      <c r="W192" s="175">
        <f t="shared" si="99"/>
        <v>76.099999999999994</v>
      </c>
      <c r="X192" s="964">
        <f t="shared" si="134"/>
        <v>7.9000000000000057</v>
      </c>
      <c r="Y192" s="1536">
        <f t="shared" si="136"/>
        <v>2.3449042857142857</v>
      </c>
      <c r="Z192" s="111">
        <f t="shared" si="100"/>
        <v>5.55509571428572</v>
      </c>
      <c r="AA192" s="1536">
        <f t="shared" si="101"/>
        <v>0</v>
      </c>
      <c r="AB192" s="111">
        <f t="shared" si="102"/>
        <v>5.3000000000000682</v>
      </c>
      <c r="AC192" s="111">
        <f t="shared" si="108"/>
        <v>7.9000000000000057</v>
      </c>
      <c r="AD192" s="111">
        <f t="shared" si="109"/>
        <v>5.55509571428572</v>
      </c>
      <c r="AE192" s="111">
        <f t="shared" si="110"/>
        <v>745.41176663196825</v>
      </c>
      <c r="AF192" s="29">
        <f t="shared" si="103"/>
        <v>-1.6877646979952587E-2</v>
      </c>
      <c r="AG192" s="587">
        <f t="shared" si="133"/>
        <v>27.755095714285719</v>
      </c>
      <c r="AH192" s="964">
        <f t="shared" si="111"/>
        <v>0</v>
      </c>
      <c r="AI192" s="964">
        <v>0</v>
      </c>
      <c r="AJ192" s="964">
        <f t="shared" si="112"/>
        <v>0</v>
      </c>
      <c r="AK192" s="964">
        <f t="shared" si="113"/>
        <v>7.9000000000000057</v>
      </c>
      <c r="AL192" s="964">
        <f>DataUK1!DK39</f>
        <v>6.5150000000000006</v>
      </c>
      <c r="AM192" s="961">
        <f t="shared" si="128"/>
        <v>5.5567300036005124E-3</v>
      </c>
      <c r="AN192" s="964">
        <f t="shared" si="114"/>
        <v>1.3850000000000051</v>
      </c>
      <c r="AP192" s="1784"/>
      <c r="AQ192" s="1778"/>
      <c r="AR192" s="1778"/>
      <c r="AS192" s="175"/>
      <c r="AT192" s="175">
        <v>99</v>
      </c>
      <c r="AU192" s="111"/>
      <c r="AV192" s="111">
        <v>9.3000000000000007</v>
      </c>
      <c r="AW192" s="175">
        <f t="shared" si="135"/>
        <v>94.897959183673464</v>
      </c>
      <c r="AY192" s="111">
        <v>60</v>
      </c>
      <c r="AZ192" s="967">
        <f>AY192-DataUK1!FI39</f>
        <v>-2</v>
      </c>
      <c r="BA192" s="111">
        <f t="shared" ref="BA192:BA255" si="137">AY192-BB192</f>
        <v>0.5</v>
      </c>
      <c r="BB192" s="111">
        <v>59.5</v>
      </c>
      <c r="BE192" s="967">
        <f t="shared" si="127"/>
        <v>1271.5</v>
      </c>
      <c r="BF192" s="2133">
        <f t="shared" si="126"/>
        <v>1.0844792324755259</v>
      </c>
      <c r="BG192" s="385">
        <f>DataUK3!BS39</f>
        <v>1.1471683583795378</v>
      </c>
    </row>
    <row r="193" spans="1:59" s="87" customFormat="1">
      <c r="A193" s="79">
        <v>1882</v>
      </c>
      <c r="B193" s="1540">
        <f>DataUK1!B40</f>
        <v>1214.1671428571431</v>
      </c>
      <c r="C193" s="1160">
        <v>29.5</v>
      </c>
      <c r="D193" s="111">
        <v>21.4</v>
      </c>
      <c r="E193" s="111">
        <v>7.3</v>
      </c>
      <c r="F193" s="111">
        <f t="shared" si="95"/>
        <v>0.8000000000000016</v>
      </c>
      <c r="G193" s="1540">
        <f t="shared" si="106"/>
        <v>22.2</v>
      </c>
      <c r="H193" s="1551">
        <v>759.9</v>
      </c>
      <c r="I193" s="29">
        <f t="shared" si="122"/>
        <v>1.0445360824742267</v>
      </c>
      <c r="J193" s="959">
        <v>727.5</v>
      </c>
      <c r="K193" s="1427">
        <v>709.5</v>
      </c>
      <c r="L193" s="959">
        <f t="shared" si="107"/>
        <v>18</v>
      </c>
      <c r="M193" s="29">
        <f t="shared" si="98"/>
        <v>0.62586111349696483</v>
      </c>
      <c r="N193" s="29">
        <v>0.56700000000000006</v>
      </c>
      <c r="O193" s="111">
        <v>806.7</v>
      </c>
      <c r="P193" s="29">
        <f t="shared" si="115"/>
        <v>1.0615870509277539</v>
      </c>
      <c r="Q193" s="1558">
        <f t="shared" si="129"/>
        <v>2.9214370311883141E-2</v>
      </c>
      <c r="R193" s="961">
        <f t="shared" si="130"/>
        <v>3.0162085976039463E-2</v>
      </c>
      <c r="S193" s="961">
        <f t="shared" si="131"/>
        <v>1.587301587301591E-2</v>
      </c>
      <c r="T193" s="1535">
        <f t="shared" si="132"/>
        <v>2.7519523986612122E-2</v>
      </c>
      <c r="U193" s="1162">
        <v>87.4</v>
      </c>
      <c r="V193" s="111">
        <v>87.1</v>
      </c>
      <c r="W193" s="175">
        <f t="shared" si="99"/>
        <v>79.8</v>
      </c>
      <c r="X193" s="964">
        <f t="shared" si="134"/>
        <v>7.6000000000000085</v>
      </c>
      <c r="Y193" s="1536">
        <f t="shared" si="136"/>
        <v>2.428334285714286</v>
      </c>
      <c r="Z193" s="111">
        <f t="shared" si="100"/>
        <v>5.171665714285723</v>
      </c>
      <c r="AA193" s="1536">
        <f t="shared" si="101"/>
        <v>0</v>
      </c>
      <c r="AB193" s="111">
        <f t="shared" si="102"/>
        <v>6</v>
      </c>
      <c r="AC193" s="111">
        <f t="shared" si="108"/>
        <v>7.6000000000000085</v>
      </c>
      <c r="AD193" s="111">
        <f t="shared" si="109"/>
        <v>5.171665714285723</v>
      </c>
      <c r="AE193" s="111">
        <f t="shared" si="110"/>
        <v>739.85667091768255</v>
      </c>
      <c r="AF193" s="29">
        <f t="shared" si="103"/>
        <v>-1.6507882955185266E-2</v>
      </c>
      <c r="AG193" s="587">
        <f t="shared" si="133"/>
        <v>27.371665714285722</v>
      </c>
      <c r="AH193" s="964">
        <f t="shared" si="111"/>
        <v>0</v>
      </c>
      <c r="AI193" s="964">
        <v>0</v>
      </c>
      <c r="AJ193" s="964">
        <f t="shared" si="112"/>
        <v>0</v>
      </c>
      <c r="AK193" s="964">
        <f t="shared" si="113"/>
        <v>7.6000000000000085</v>
      </c>
      <c r="AL193" s="964">
        <f>DataUK1!DK40</f>
        <v>6.71</v>
      </c>
      <c r="AM193" s="961">
        <f t="shared" si="128"/>
        <v>5.5264219917944921E-3</v>
      </c>
      <c r="AN193" s="964">
        <f t="shared" si="114"/>
        <v>0.89000000000000856</v>
      </c>
      <c r="AP193" s="1784"/>
      <c r="AQ193" s="1778"/>
      <c r="AR193" s="1778"/>
      <c r="AS193" s="175"/>
      <c r="AT193" s="175">
        <v>101</v>
      </c>
      <c r="AU193" s="111"/>
      <c r="AV193" s="111">
        <v>9.4</v>
      </c>
      <c r="AW193" s="175">
        <f t="shared" si="135"/>
        <v>95.918367346938766</v>
      </c>
      <c r="AY193" s="111">
        <v>61</v>
      </c>
      <c r="AZ193" s="967">
        <f>AY193-DataUK1!FI40</f>
        <v>-2</v>
      </c>
      <c r="BA193" s="111">
        <f t="shared" si="137"/>
        <v>-1.7999999999999972</v>
      </c>
      <c r="BB193" s="111">
        <v>62.8</v>
      </c>
      <c r="BE193" s="967">
        <f t="shared" si="127"/>
        <v>1331.5</v>
      </c>
      <c r="BF193" s="2133">
        <f t="shared" si="126"/>
        <v>1.0966364950930501</v>
      </c>
      <c r="BG193" s="385">
        <f>DataUK3!BS40</f>
        <v>1.1588190376236736</v>
      </c>
    </row>
    <row r="194" spans="1:59" s="87" customFormat="1">
      <c r="A194" s="79">
        <v>1883</v>
      </c>
      <c r="B194" s="1540">
        <f>DataUK1!B41</f>
        <v>1199.83</v>
      </c>
      <c r="C194" s="1160">
        <v>29.1</v>
      </c>
      <c r="D194" s="111">
        <v>21.3</v>
      </c>
      <c r="E194" s="111">
        <v>7.1</v>
      </c>
      <c r="F194" s="111">
        <f t="shared" si="95"/>
        <v>0.70000000000000107</v>
      </c>
      <c r="G194" s="1540">
        <f t="shared" si="106"/>
        <v>22</v>
      </c>
      <c r="H194" s="1551">
        <v>753.9</v>
      </c>
      <c r="I194" s="29">
        <f t="shared" si="122"/>
        <v>1.0371440363186133</v>
      </c>
      <c r="J194" s="959">
        <v>726.9</v>
      </c>
      <c r="K194" s="1427">
        <v>712.7</v>
      </c>
      <c r="L194" s="959">
        <f t="shared" si="107"/>
        <v>14.199999999999932</v>
      </c>
      <c r="M194" s="29">
        <f t="shared" si="98"/>
        <v>0.62833901469374831</v>
      </c>
      <c r="N194" s="29">
        <v>0.56569999999999998</v>
      </c>
      <c r="O194" s="111">
        <v>831.6</v>
      </c>
      <c r="P194" s="29">
        <f t="shared" si="115"/>
        <v>1.1030640668523677</v>
      </c>
      <c r="Q194" s="1558">
        <f t="shared" si="129"/>
        <v>2.9181589070168459E-2</v>
      </c>
      <c r="R194" s="961">
        <f t="shared" si="130"/>
        <v>2.9886347691875963E-2</v>
      </c>
      <c r="S194" s="961">
        <f t="shared" si="131"/>
        <v>1.6990291262135977E-2</v>
      </c>
      <c r="T194" s="1535">
        <f t="shared" si="132"/>
        <v>2.6455026455026454E-2</v>
      </c>
      <c r="U194" s="1162">
        <v>86.2</v>
      </c>
      <c r="V194" s="111">
        <v>85.4</v>
      </c>
      <c r="W194" s="175">
        <f t="shared" si="99"/>
        <v>78.300000000000011</v>
      </c>
      <c r="X194" s="964">
        <f t="shared" si="134"/>
        <v>7.8999999999999915</v>
      </c>
      <c r="Y194" s="1536">
        <f t="shared" si="136"/>
        <v>2.3996599999999999</v>
      </c>
      <c r="Z194" s="111">
        <f t="shared" si="100"/>
        <v>5.5003399999999916</v>
      </c>
      <c r="AA194" s="1536">
        <f t="shared" si="101"/>
        <v>0</v>
      </c>
      <c r="AB194" s="111">
        <f t="shared" si="102"/>
        <v>8.2999999999999545</v>
      </c>
      <c r="AC194" s="111">
        <f t="shared" si="108"/>
        <v>7.8999999999999915</v>
      </c>
      <c r="AD194" s="111">
        <f t="shared" si="109"/>
        <v>5.5003399999999916</v>
      </c>
      <c r="AE194" s="111">
        <f t="shared" si="110"/>
        <v>734.68500520339683</v>
      </c>
      <c r="AF194" s="29">
        <f t="shared" si="103"/>
        <v>-1.6014764422129096E-2</v>
      </c>
      <c r="AG194" s="587">
        <f t="shared" si="133"/>
        <v>27.500339999999991</v>
      </c>
      <c r="AH194" s="964">
        <f t="shared" si="111"/>
        <v>0</v>
      </c>
      <c r="AI194" s="964">
        <v>0</v>
      </c>
      <c r="AJ194" s="964">
        <f t="shared" si="112"/>
        <v>0</v>
      </c>
      <c r="AK194" s="964">
        <f t="shared" si="113"/>
        <v>7.8999999999999915</v>
      </c>
      <c r="AL194" s="964">
        <f>DataUK1!DK41</f>
        <v>6.93</v>
      </c>
      <c r="AM194" s="961">
        <f t="shared" si="128"/>
        <v>5.7758182409174633E-3</v>
      </c>
      <c r="AN194" s="964">
        <f t="shared" si="114"/>
        <v>0.96999999999999176</v>
      </c>
      <c r="AP194" s="1784"/>
      <c r="AQ194" s="1778"/>
      <c r="AR194" s="1778"/>
      <c r="AS194" s="175"/>
      <c r="AT194" s="175">
        <v>101</v>
      </c>
      <c r="AU194" s="111"/>
      <c r="AV194" s="111">
        <v>9.3000000000000007</v>
      </c>
      <c r="AW194" s="175">
        <f t="shared" si="135"/>
        <v>94.897959183673464</v>
      </c>
      <c r="AY194" s="111">
        <v>49</v>
      </c>
      <c r="AZ194" s="967">
        <f>AY194-DataUK1!FI41</f>
        <v>-3</v>
      </c>
      <c r="BA194" s="111">
        <f t="shared" si="137"/>
        <v>-15.400000000000006</v>
      </c>
      <c r="BB194" s="111">
        <v>64.400000000000006</v>
      </c>
      <c r="BE194" s="967">
        <f t="shared" si="127"/>
        <v>1392.5</v>
      </c>
      <c r="BF194" s="2133">
        <f t="shared" si="126"/>
        <v>1.1605810823199953</v>
      </c>
      <c r="BG194" s="385">
        <f>DataUK3!BS41</f>
        <v>1.2251735662552197</v>
      </c>
    </row>
    <row r="195" spans="1:59" s="87" customFormat="1">
      <c r="A195" s="79">
        <v>1884</v>
      </c>
      <c r="B195" s="1540">
        <f>DataUK1!B42</f>
        <v>1170.9199999999998</v>
      </c>
      <c r="C195" s="1160">
        <v>29</v>
      </c>
      <c r="D195" s="111">
        <v>19.2</v>
      </c>
      <c r="E195" s="111">
        <v>9.1</v>
      </c>
      <c r="F195" s="111">
        <f t="shared" si="95"/>
        <v>0.70000000000000107</v>
      </c>
      <c r="G195" s="1540">
        <f t="shared" si="106"/>
        <v>19.899999999999999</v>
      </c>
      <c r="H195" s="1551">
        <v>745.6</v>
      </c>
      <c r="I195" s="29">
        <f t="shared" si="122"/>
        <v>1.1388422178096838</v>
      </c>
      <c r="J195" s="959">
        <v>654.70000000000005</v>
      </c>
      <c r="K195" s="1427">
        <v>640.6</v>
      </c>
      <c r="L195" s="959">
        <f t="shared" si="107"/>
        <v>14.100000000000023</v>
      </c>
      <c r="M195" s="29">
        <f t="shared" si="98"/>
        <v>0.63676425374918877</v>
      </c>
      <c r="N195" s="29">
        <v>0.52629999999999999</v>
      </c>
      <c r="O195" s="111">
        <v>785.3</v>
      </c>
      <c r="P195" s="29">
        <f t="shared" si="115"/>
        <v>1.0532457081545064</v>
      </c>
      <c r="Q195" s="1558">
        <f t="shared" si="129"/>
        <v>2.6689914163090127E-2</v>
      </c>
      <c r="R195" s="961">
        <f t="shared" si="130"/>
        <v>2.9971901342491412E-2</v>
      </c>
      <c r="S195" s="961">
        <f t="shared" si="131"/>
        <v>6.6666666666666766E-3</v>
      </c>
      <c r="T195" s="1535">
        <f t="shared" si="132"/>
        <v>2.5340634152553165E-2</v>
      </c>
      <c r="U195" s="1162">
        <v>88</v>
      </c>
      <c r="V195" s="111">
        <v>88.5</v>
      </c>
      <c r="W195" s="175">
        <f t="shared" si="99"/>
        <v>79.400000000000006</v>
      </c>
      <c r="X195" s="964">
        <f t="shared" si="134"/>
        <v>8.5999999999999943</v>
      </c>
      <c r="Y195" s="1536">
        <f t="shared" si="136"/>
        <v>2.3418399999999999</v>
      </c>
      <c r="Z195" s="111">
        <f t="shared" si="100"/>
        <v>6.2581599999999948</v>
      </c>
      <c r="AA195" s="1536">
        <f t="shared" si="101"/>
        <v>0</v>
      </c>
      <c r="AB195" s="111">
        <f t="shared" si="102"/>
        <v>5.7000000000000455</v>
      </c>
      <c r="AC195" s="111">
        <f t="shared" si="108"/>
        <v>8.5999999999999943</v>
      </c>
      <c r="AD195" s="111">
        <f t="shared" si="109"/>
        <v>6.2581599999999948</v>
      </c>
      <c r="AE195" s="111">
        <f t="shared" si="110"/>
        <v>729.18466520339689</v>
      </c>
      <c r="AF195" s="29">
        <f t="shared" si="103"/>
        <v>-1.4019177054455587E-2</v>
      </c>
      <c r="AG195" s="587">
        <f t="shared" si="133"/>
        <v>26.158159999999995</v>
      </c>
      <c r="AH195" s="964">
        <f t="shared" si="111"/>
        <v>0</v>
      </c>
      <c r="AI195" s="964">
        <v>0</v>
      </c>
      <c r="AJ195" s="964">
        <f t="shared" si="112"/>
        <v>0</v>
      </c>
      <c r="AK195" s="964">
        <f t="shared" si="113"/>
        <v>8.5999999999999943</v>
      </c>
      <c r="AL195" s="964">
        <f>DataUK1!DK42</f>
        <v>6.68</v>
      </c>
      <c r="AM195" s="961">
        <f t="shared" si="128"/>
        <v>5.7049157927100067E-3</v>
      </c>
      <c r="AN195" s="964">
        <f t="shared" si="114"/>
        <v>1.9199999999999946</v>
      </c>
      <c r="AP195" s="1784"/>
      <c r="AQ195" s="1778"/>
      <c r="AR195" s="1778"/>
      <c r="AS195" s="175"/>
      <c r="AT195" s="175">
        <v>95</v>
      </c>
      <c r="AU195" s="111"/>
      <c r="AV195" s="111">
        <v>9.1</v>
      </c>
      <c r="AW195" s="175">
        <f t="shared" si="135"/>
        <v>92.857142857142833</v>
      </c>
      <c r="AY195" s="111">
        <v>70</v>
      </c>
      <c r="AZ195" s="967">
        <f>AY195-DataUK1!FI42</f>
        <v>-2</v>
      </c>
      <c r="BA195" s="111">
        <f t="shared" si="137"/>
        <v>3.2000000000000028</v>
      </c>
      <c r="BB195" s="111">
        <v>66.8</v>
      </c>
      <c r="BE195" s="967">
        <f t="shared" si="127"/>
        <v>1441.5</v>
      </c>
      <c r="BF195" s="2133">
        <f t="shared" ref="BF195:BF226" si="138">BE195/B195</f>
        <v>1.2310832507771667</v>
      </c>
      <c r="BG195" s="385">
        <f>DataUK3!BS42</f>
        <v>1.299832610255184</v>
      </c>
    </row>
    <row r="196" spans="1:59" s="87" customFormat="1">
      <c r="A196" s="79">
        <v>1885</v>
      </c>
      <c r="B196" s="1540">
        <f>DataUK1!B43</f>
        <v>1154.1271428571429</v>
      </c>
      <c r="C196" s="1160">
        <v>23.5</v>
      </c>
      <c r="D196" s="111">
        <v>19</v>
      </c>
      <c r="E196" s="111">
        <v>3.6</v>
      </c>
      <c r="F196" s="111">
        <f t="shared" si="95"/>
        <v>0.89999999999999991</v>
      </c>
      <c r="G196" s="1540">
        <f t="shared" si="106"/>
        <v>19.899999999999999</v>
      </c>
      <c r="H196" s="1551">
        <v>739.9</v>
      </c>
      <c r="I196" s="29">
        <f t="shared" si="122"/>
        <v>1.1309996942830938</v>
      </c>
      <c r="J196" s="959">
        <v>654.20000000000005</v>
      </c>
      <c r="K196" s="1427">
        <v>640.20000000000005</v>
      </c>
      <c r="L196" s="959">
        <f t="shared" si="107"/>
        <v>14</v>
      </c>
      <c r="M196" s="29">
        <f t="shared" si="98"/>
        <v>0.64109054585469039</v>
      </c>
      <c r="N196" s="29">
        <v>0.53759999999999997</v>
      </c>
      <c r="O196" s="111">
        <v>790</v>
      </c>
      <c r="P196" s="29">
        <f t="shared" si="115"/>
        <v>1.0677118529531018</v>
      </c>
      <c r="Q196" s="1558">
        <f t="shared" si="129"/>
        <v>2.6895526422489525E-2</v>
      </c>
      <c r="R196" s="961">
        <f t="shared" si="130"/>
        <v>2.9678225554514211E-2</v>
      </c>
      <c r="S196" s="961">
        <f t="shared" si="131"/>
        <v>9.0270812437311995E-3</v>
      </c>
      <c r="T196" s="1535">
        <f t="shared" si="132"/>
        <v>2.5189873417721519E-2</v>
      </c>
      <c r="U196" s="1162">
        <v>89.6</v>
      </c>
      <c r="V196" s="111">
        <v>92.2</v>
      </c>
      <c r="W196" s="175">
        <f t="shared" si="99"/>
        <v>88.600000000000009</v>
      </c>
      <c r="X196" s="964">
        <f t="shared" si="134"/>
        <v>0.99999999999998579</v>
      </c>
      <c r="Y196" s="1536">
        <f t="shared" si="136"/>
        <v>2.3082542857142858</v>
      </c>
      <c r="Z196" s="111">
        <f t="shared" si="100"/>
        <v>-1.3082542857143</v>
      </c>
      <c r="AA196" s="1536">
        <f t="shared" si="101"/>
        <v>0</v>
      </c>
      <c r="AB196" s="111">
        <f t="shared" si="102"/>
        <v>-2.1000000000000227</v>
      </c>
      <c r="AC196" s="111">
        <f t="shared" si="108"/>
        <v>0.99999999999998579</v>
      </c>
      <c r="AD196" s="111">
        <f t="shared" si="109"/>
        <v>-1.3082542857143</v>
      </c>
      <c r="AE196" s="111">
        <f t="shared" si="110"/>
        <v>722.92650520339691</v>
      </c>
      <c r="AF196" s="29">
        <f t="shared" si="103"/>
        <v>-1.4706780705792682E-2</v>
      </c>
      <c r="AG196" s="587">
        <f t="shared" si="133"/>
        <v>18.5917457142857</v>
      </c>
      <c r="AH196" s="964">
        <f t="shared" si="111"/>
        <v>0</v>
      </c>
      <c r="AI196" s="964">
        <v>0</v>
      </c>
      <c r="AJ196" s="964">
        <f t="shared" si="112"/>
        <v>0</v>
      </c>
      <c r="AK196" s="964">
        <f t="shared" si="113"/>
        <v>0.99999999999998579</v>
      </c>
      <c r="AL196" s="964">
        <f>DataUK1!DK43</f>
        <v>6.47</v>
      </c>
      <c r="AM196" s="961">
        <f t="shared" si="128"/>
        <v>5.6059681466142002E-3</v>
      </c>
      <c r="AN196" s="964">
        <f t="shared" si="114"/>
        <v>-5.470000000000014</v>
      </c>
      <c r="AP196" s="1784"/>
      <c r="AQ196" s="1778"/>
      <c r="AR196" s="1778"/>
      <c r="AS196" s="175"/>
      <c r="AT196" s="175">
        <v>88</v>
      </c>
      <c r="AU196" s="111"/>
      <c r="AV196" s="111">
        <v>8.8000000000000007</v>
      </c>
      <c r="AW196" s="175">
        <f t="shared" si="135"/>
        <v>89.795918367346928</v>
      </c>
      <c r="AY196" s="111">
        <v>62</v>
      </c>
      <c r="AZ196" s="967">
        <f>AY196-DataUK1!FI43</f>
        <v>-1</v>
      </c>
      <c r="BA196" s="111">
        <f t="shared" si="137"/>
        <v>-8.2999999999999972</v>
      </c>
      <c r="BB196" s="111">
        <v>70.3</v>
      </c>
      <c r="BE196" s="967">
        <f t="shared" ref="BE196:BE227" si="139">BE195+AY195</f>
        <v>1511.5</v>
      </c>
      <c r="BF196" s="2133">
        <f t="shared" si="138"/>
        <v>1.3096477362607981</v>
      </c>
      <c r="BG196" s="385">
        <f>DataUK3!BS43</f>
        <v>1.38113032854761</v>
      </c>
    </row>
    <row r="197" spans="1:59" s="87" customFormat="1">
      <c r="A197" s="79">
        <v>1886</v>
      </c>
      <c r="B197" s="1540">
        <f>DataUK1!B44</f>
        <v>1177.4821428571429</v>
      </c>
      <c r="C197" s="1160">
        <v>28</v>
      </c>
      <c r="D197" s="111">
        <v>19</v>
      </c>
      <c r="E197" s="111">
        <v>8.1999999999999993</v>
      </c>
      <c r="F197" s="111">
        <f t="shared" si="95"/>
        <v>0.80000000000000071</v>
      </c>
      <c r="G197" s="1540">
        <f t="shared" si="106"/>
        <v>19.8</v>
      </c>
      <c r="H197" s="1551">
        <v>742</v>
      </c>
      <c r="I197" s="29">
        <f t="shared" si="122"/>
        <v>1.1477184841453982</v>
      </c>
      <c r="J197" s="959">
        <v>646.5</v>
      </c>
      <c r="K197" s="1427">
        <v>638.9</v>
      </c>
      <c r="L197" s="959">
        <f t="shared" si="107"/>
        <v>7.6000000000000227</v>
      </c>
      <c r="M197" s="29">
        <f t="shared" si="98"/>
        <v>0.63015817649645878</v>
      </c>
      <c r="N197" s="29">
        <v>0.53549999999999998</v>
      </c>
      <c r="O197" s="111">
        <v>818.4</v>
      </c>
      <c r="P197" s="29">
        <f t="shared" si="115"/>
        <v>1.1029649595687332</v>
      </c>
      <c r="Q197" s="1558">
        <f t="shared" si="129"/>
        <v>2.6684636118598382E-2</v>
      </c>
      <c r="R197" s="961">
        <f t="shared" si="130"/>
        <v>2.9738613241508845E-2</v>
      </c>
      <c r="S197" s="961">
        <f t="shared" si="131"/>
        <v>7.7594568380213438E-3</v>
      </c>
      <c r="T197" s="1535">
        <f t="shared" si="132"/>
        <v>2.4193548387096777E-2</v>
      </c>
      <c r="U197" s="1162">
        <v>90.8</v>
      </c>
      <c r="V197" s="111">
        <v>90</v>
      </c>
      <c r="W197" s="175">
        <f t="shared" si="99"/>
        <v>81.8</v>
      </c>
      <c r="X197" s="964">
        <f t="shared" si="134"/>
        <v>9</v>
      </c>
      <c r="Y197" s="1536">
        <f t="shared" si="136"/>
        <v>2.3549642857142858</v>
      </c>
      <c r="Z197" s="111">
        <f t="shared" si="100"/>
        <v>6.6450357142857142</v>
      </c>
      <c r="AA197" s="1536">
        <f t="shared" si="101"/>
        <v>0</v>
      </c>
      <c r="AB197" s="111">
        <f t="shared" si="102"/>
        <v>5.7999999999999545</v>
      </c>
      <c r="AC197" s="111">
        <f t="shared" si="108"/>
        <v>9</v>
      </c>
      <c r="AD197" s="111">
        <f t="shared" si="109"/>
        <v>6.6450357142857142</v>
      </c>
      <c r="AE197" s="111">
        <f t="shared" si="110"/>
        <v>724.23475948911118</v>
      </c>
      <c r="AF197" s="29">
        <f t="shared" si="103"/>
        <v>-1.5087481894019832E-2</v>
      </c>
      <c r="AG197" s="587">
        <f t="shared" si="133"/>
        <v>26.445035714285716</v>
      </c>
      <c r="AH197" s="964">
        <f t="shared" si="111"/>
        <v>0</v>
      </c>
      <c r="AI197" s="964">
        <v>0</v>
      </c>
      <c r="AJ197" s="964">
        <f t="shared" si="112"/>
        <v>0</v>
      </c>
      <c r="AK197" s="964">
        <f t="shared" si="113"/>
        <v>9</v>
      </c>
      <c r="AL197" s="964">
        <f>DataUK1!DK44</f>
        <v>6.4249999999999998</v>
      </c>
      <c r="AM197" s="961">
        <f t="shared" si="128"/>
        <v>5.4565583342179895E-3</v>
      </c>
      <c r="AN197" s="964">
        <f t="shared" si="114"/>
        <v>2.5750000000000002</v>
      </c>
      <c r="AP197" s="1784"/>
      <c r="AQ197" s="1778"/>
      <c r="AR197" s="1778"/>
      <c r="AS197" s="175"/>
      <c r="AT197" s="175">
        <v>83</v>
      </c>
      <c r="AU197" s="111"/>
      <c r="AV197" s="111">
        <v>8.6999999999999993</v>
      </c>
      <c r="AW197" s="175">
        <f t="shared" si="135"/>
        <v>88.775510204081613</v>
      </c>
      <c r="AY197" s="111">
        <v>78</v>
      </c>
      <c r="AZ197" s="967">
        <f>AY197-DataUK1!FI44</f>
        <v>-1</v>
      </c>
      <c r="BA197" s="111">
        <f t="shared" si="137"/>
        <v>4</v>
      </c>
      <c r="BB197" s="111">
        <v>74</v>
      </c>
      <c r="BE197" s="967">
        <f t="shared" si="139"/>
        <v>1573.5</v>
      </c>
      <c r="BF197" s="2133">
        <f t="shared" si="138"/>
        <v>1.3363259982711293</v>
      </c>
      <c r="BG197" s="385">
        <f>DataUK3!BS44</f>
        <v>1.407240024871472</v>
      </c>
    </row>
    <row r="198" spans="1:59" s="87" customFormat="1">
      <c r="A198" s="79">
        <v>1887</v>
      </c>
      <c r="B198" s="1540">
        <f>DataUK1!B45</f>
        <v>1223.2878571428571</v>
      </c>
      <c r="C198" s="1160">
        <v>25.5</v>
      </c>
      <c r="D198" s="111">
        <v>18.399999999999999</v>
      </c>
      <c r="E198" s="111">
        <v>6.6</v>
      </c>
      <c r="F198" s="111">
        <f t="shared" si="95"/>
        <v>0.50000000000000178</v>
      </c>
      <c r="G198" s="1540">
        <f t="shared" si="106"/>
        <v>18.899999999999999</v>
      </c>
      <c r="H198" s="1551">
        <v>736.2</v>
      </c>
      <c r="I198" s="29">
        <f t="shared" si="122"/>
        <v>1.1236263736263736</v>
      </c>
      <c r="J198" s="959">
        <v>655.20000000000005</v>
      </c>
      <c r="K198" s="1427">
        <v>637.6</v>
      </c>
      <c r="L198" s="959">
        <f t="shared" si="107"/>
        <v>17.600000000000023</v>
      </c>
      <c r="M198" s="29">
        <f t="shared" si="98"/>
        <v>0.60182073720529516</v>
      </c>
      <c r="N198" s="29">
        <v>0.51270000000000004</v>
      </c>
      <c r="O198" s="111">
        <v>842.7</v>
      </c>
      <c r="P198" s="29">
        <f t="shared" si="115"/>
        <v>1.1446617766911165</v>
      </c>
      <c r="Q198" s="1558">
        <f t="shared" si="129"/>
        <v>2.5672371638141806E-2</v>
      </c>
      <c r="R198" s="961">
        <f t="shared" si="130"/>
        <v>2.8858218318695103E-2</v>
      </c>
      <c r="S198" s="961">
        <f t="shared" si="131"/>
        <v>5.0709939148073195E-3</v>
      </c>
      <c r="T198" s="1535">
        <f t="shared" si="132"/>
        <v>2.2427910288358843E-2</v>
      </c>
      <c r="U198" s="1162">
        <v>89.8</v>
      </c>
      <c r="V198" s="111">
        <v>86.7</v>
      </c>
      <c r="W198" s="175">
        <f t="shared" si="99"/>
        <v>80.100000000000009</v>
      </c>
      <c r="X198" s="964">
        <f t="shared" si="134"/>
        <v>9.6999999999999886</v>
      </c>
      <c r="Y198" s="1536">
        <f t="shared" si="136"/>
        <v>2.4465757142857143</v>
      </c>
      <c r="Z198" s="111">
        <f t="shared" si="100"/>
        <v>7.2534242857142743</v>
      </c>
      <c r="AA198" s="1536">
        <f t="shared" si="101"/>
        <v>0</v>
      </c>
      <c r="AB198" s="111">
        <f t="shared" si="102"/>
        <v>31.600000000000023</v>
      </c>
      <c r="AC198" s="111">
        <f t="shared" si="108"/>
        <v>9.6999999999999886</v>
      </c>
      <c r="AD198" s="111">
        <f t="shared" si="109"/>
        <v>7.2534242857142743</v>
      </c>
      <c r="AE198" s="111">
        <f t="shared" si="110"/>
        <v>717.58972377482542</v>
      </c>
      <c r="AF198" s="29">
        <f t="shared" si="103"/>
        <v>-1.5213325397213763E-2</v>
      </c>
      <c r="AG198" s="587">
        <f t="shared" si="133"/>
        <v>26.153424285714273</v>
      </c>
      <c r="AH198" s="964">
        <f t="shared" si="111"/>
        <v>0</v>
      </c>
      <c r="AI198" s="964">
        <v>0</v>
      </c>
      <c r="AJ198" s="964">
        <f t="shared" si="112"/>
        <v>0</v>
      </c>
      <c r="AK198" s="964">
        <f t="shared" si="113"/>
        <v>9.6999999999999886</v>
      </c>
      <c r="AL198" s="964">
        <f>DataUK1!DK45</f>
        <v>6.7450000000000001</v>
      </c>
      <c r="AM198" s="961">
        <f t="shared" ref="AM198:AM229" si="140">AL198/B198</f>
        <v>5.5138289492661172E-3</v>
      </c>
      <c r="AN198" s="964">
        <f t="shared" si="114"/>
        <v>2.9549999999999885</v>
      </c>
      <c r="AP198" s="1784"/>
      <c r="AQ198" s="1778"/>
      <c r="AR198" s="1778"/>
      <c r="AS198" s="175"/>
      <c r="AT198" s="175">
        <v>81</v>
      </c>
      <c r="AU198" s="111"/>
      <c r="AV198" s="111">
        <v>8.6</v>
      </c>
      <c r="AW198" s="175">
        <f t="shared" si="135"/>
        <v>87.755102040816311</v>
      </c>
      <c r="AY198" s="111">
        <v>88</v>
      </c>
      <c r="AZ198" s="967">
        <f>AY198-DataUK1!FI45</f>
        <v>-2</v>
      </c>
      <c r="BA198" s="111">
        <f t="shared" si="137"/>
        <v>8.5</v>
      </c>
      <c r="BB198" s="111">
        <v>79.5</v>
      </c>
      <c r="BE198" s="967">
        <f t="shared" si="139"/>
        <v>1651.5</v>
      </c>
      <c r="BF198" s="2133">
        <f t="shared" si="138"/>
        <v>1.3500501867624897</v>
      </c>
      <c r="BG198" s="385">
        <f>DataUK3!BS45</f>
        <v>1.4191263240809457</v>
      </c>
    </row>
    <row r="199" spans="1:59" s="87" customFormat="1">
      <c r="A199" s="79">
        <v>1888</v>
      </c>
      <c r="B199" s="1540">
        <f>DataUK1!B46</f>
        <v>1301.8635714285715</v>
      </c>
      <c r="C199" s="1160">
        <v>25.1</v>
      </c>
      <c r="D199" s="111">
        <v>18.600000000000001</v>
      </c>
      <c r="E199" s="111">
        <v>5.9</v>
      </c>
      <c r="F199" s="111">
        <f t="shared" si="95"/>
        <v>0.59999999999999964</v>
      </c>
      <c r="G199" s="1540">
        <f t="shared" si="106"/>
        <v>19.200000000000003</v>
      </c>
      <c r="H199" s="1551">
        <v>704.6</v>
      </c>
      <c r="I199" s="29">
        <f t="shared" si="122"/>
        <v>1.1235847552224525</v>
      </c>
      <c r="J199" s="959">
        <v>627.1</v>
      </c>
      <c r="K199" s="1427">
        <v>609.70000000000005</v>
      </c>
      <c r="L199" s="959">
        <f t="shared" si="107"/>
        <v>17.399999999999977</v>
      </c>
      <c r="M199" s="29">
        <f t="shared" si="98"/>
        <v>0.54122414626505189</v>
      </c>
      <c r="N199" s="29">
        <v>0.47039999999999998</v>
      </c>
      <c r="O199" s="111">
        <v>805.3</v>
      </c>
      <c r="P199" s="29">
        <f t="shared" si="115"/>
        <v>1.1429179676412147</v>
      </c>
      <c r="Q199" s="1558">
        <f t="shared" si="129"/>
        <v>2.7249503264263415E-2</v>
      </c>
      <c r="R199" s="961">
        <f t="shared" si="130"/>
        <v>3.0506806626209613E-2</v>
      </c>
      <c r="S199" s="961">
        <f t="shared" si="131"/>
        <v>6.3224446786090596E-3</v>
      </c>
      <c r="T199" s="1535">
        <f t="shared" si="132"/>
        <v>2.3842046442319638E-2</v>
      </c>
      <c r="U199" s="1162">
        <v>89.9</v>
      </c>
      <c r="V199" s="111">
        <v>86.5</v>
      </c>
      <c r="W199" s="175">
        <f t="shared" si="99"/>
        <v>80.599999999999994</v>
      </c>
      <c r="X199" s="964">
        <f t="shared" si="134"/>
        <v>9.3000000000000114</v>
      </c>
      <c r="Y199" s="1536">
        <f t="shared" si="136"/>
        <v>2.6037271428571431</v>
      </c>
      <c r="Z199" s="111">
        <f t="shared" si="100"/>
        <v>6.6962728571428682</v>
      </c>
      <c r="AA199" s="1536">
        <f t="shared" si="101"/>
        <v>0</v>
      </c>
      <c r="AB199" s="111">
        <f t="shared" si="102"/>
        <v>7</v>
      </c>
      <c r="AC199" s="111">
        <f t="shared" si="108"/>
        <v>9.3000000000000114</v>
      </c>
      <c r="AD199" s="111">
        <f t="shared" si="109"/>
        <v>6.6962728571428682</v>
      </c>
      <c r="AE199" s="111">
        <f t="shared" si="110"/>
        <v>710.33629948911118</v>
      </c>
      <c r="AF199" s="29">
        <f t="shared" si="103"/>
        <v>4.406221677142835E-3</v>
      </c>
      <c r="AG199" s="587">
        <f t="shared" si="133"/>
        <v>25.896272857142872</v>
      </c>
      <c r="AH199" s="964">
        <f t="shared" si="111"/>
        <v>0</v>
      </c>
      <c r="AI199" s="964">
        <v>0</v>
      </c>
      <c r="AJ199" s="964">
        <f t="shared" si="112"/>
        <v>0</v>
      </c>
      <c r="AK199" s="964">
        <f t="shared" si="113"/>
        <v>9.3000000000000114</v>
      </c>
      <c r="AL199" s="964">
        <f>DataUK1!DK46</f>
        <v>6.835</v>
      </c>
      <c r="AM199" s="961">
        <f t="shared" si="140"/>
        <v>5.2501661080352393E-3</v>
      </c>
      <c r="AN199" s="964">
        <f t="shared" si="114"/>
        <v>2.4650000000000114</v>
      </c>
      <c r="AP199" s="1784"/>
      <c r="AQ199" s="1778"/>
      <c r="AR199" s="1778"/>
      <c r="AS199" s="175"/>
      <c r="AT199" s="175">
        <v>84</v>
      </c>
      <c r="AU199" s="111"/>
      <c r="AV199" s="111">
        <v>8.6999999999999993</v>
      </c>
      <c r="AW199" s="175">
        <f t="shared" si="135"/>
        <v>88.775510204081613</v>
      </c>
      <c r="AY199" s="111">
        <v>91</v>
      </c>
      <c r="AZ199" s="967">
        <f>AY199-DataUK1!FI46</f>
        <v>-2</v>
      </c>
      <c r="BA199" s="111">
        <f t="shared" si="137"/>
        <v>6.5</v>
      </c>
      <c r="BB199" s="111">
        <v>84.5</v>
      </c>
      <c r="BE199" s="967">
        <f t="shared" si="139"/>
        <v>1739.5</v>
      </c>
      <c r="BF199" s="2133">
        <f t="shared" si="138"/>
        <v>1.3361615135226479</v>
      </c>
      <c r="BG199" s="385">
        <f>DataUK3!BS46</f>
        <v>1.4026047276184852</v>
      </c>
    </row>
    <row r="200" spans="1:59" s="87" customFormat="1">
      <c r="A200" s="79">
        <v>1889</v>
      </c>
      <c r="B200" s="1540">
        <f>DataUK1!B47</f>
        <v>1389.54</v>
      </c>
      <c r="C200" s="1160">
        <v>24.5</v>
      </c>
      <c r="D200" s="111">
        <v>17</v>
      </c>
      <c r="E200" s="111">
        <v>6.6</v>
      </c>
      <c r="F200" s="111">
        <f t="shared" si="95"/>
        <v>0.90000000000000036</v>
      </c>
      <c r="G200" s="1540">
        <f t="shared" si="106"/>
        <v>17.899999999999999</v>
      </c>
      <c r="H200" s="1551">
        <v>697.6</v>
      </c>
      <c r="I200" s="29">
        <f t="shared" si="122"/>
        <v>1.1193838254172015</v>
      </c>
      <c r="J200" s="959">
        <v>623.20000000000005</v>
      </c>
      <c r="K200" s="1427">
        <v>607.1</v>
      </c>
      <c r="L200" s="959">
        <f t="shared" si="107"/>
        <v>16.100000000000023</v>
      </c>
      <c r="M200" s="29">
        <f t="shared" si="98"/>
        <v>0.50203664522072056</v>
      </c>
      <c r="N200" s="29">
        <v>0.44259999999999999</v>
      </c>
      <c r="O200" s="111">
        <v>653.6</v>
      </c>
      <c r="P200" s="29">
        <f t="shared" si="115"/>
        <v>0.93692660550458717</v>
      </c>
      <c r="Q200" s="1558">
        <f t="shared" si="129"/>
        <v>2.5659403669724769E-2</v>
      </c>
      <c r="R200" s="961">
        <f t="shared" si="130"/>
        <v>2.8001976610113655E-2</v>
      </c>
      <c r="S200" s="961">
        <f t="shared" si="131"/>
        <v>9.9447513812154741E-3</v>
      </c>
      <c r="T200" s="1535">
        <f t="shared" si="132"/>
        <v>2.738678090575275E-2</v>
      </c>
      <c r="U200" s="1162">
        <v>94.6</v>
      </c>
      <c r="V200" s="111">
        <v>90.6</v>
      </c>
      <c r="W200" s="175">
        <f t="shared" si="99"/>
        <v>84</v>
      </c>
      <c r="X200" s="964">
        <f t="shared" si="134"/>
        <v>10.599999999999994</v>
      </c>
      <c r="Y200" s="1536">
        <f t="shared" si="136"/>
        <v>2.77908</v>
      </c>
      <c r="Z200" s="111">
        <f t="shared" si="100"/>
        <v>7.8209199999999939</v>
      </c>
      <c r="AA200" s="1536">
        <f t="shared" si="101"/>
        <v>0</v>
      </c>
      <c r="AB200" s="111">
        <f t="shared" si="102"/>
        <v>8.5</v>
      </c>
      <c r="AC200" s="111">
        <f t="shared" si="108"/>
        <v>10.599999999999994</v>
      </c>
      <c r="AD200" s="111">
        <f t="shared" si="109"/>
        <v>7.8209199999999939</v>
      </c>
      <c r="AE200" s="111">
        <f t="shared" si="110"/>
        <v>703.64002663196834</v>
      </c>
      <c r="AF200" s="29">
        <f t="shared" si="103"/>
        <v>4.3467814038950425E-3</v>
      </c>
      <c r="AG200" s="587">
        <f t="shared" si="133"/>
        <v>25.720919999999992</v>
      </c>
      <c r="AH200" s="964">
        <f t="shared" si="111"/>
        <v>0</v>
      </c>
      <c r="AI200" s="964">
        <v>0</v>
      </c>
      <c r="AJ200" s="964">
        <f t="shared" si="112"/>
        <v>0</v>
      </c>
      <c r="AK200" s="964">
        <f t="shared" si="113"/>
        <v>10.599999999999994</v>
      </c>
      <c r="AL200" s="964">
        <f>DataUK1!DK47</f>
        <v>4</v>
      </c>
      <c r="AM200" s="961">
        <f t="shared" si="140"/>
        <v>2.8786504886509205E-3</v>
      </c>
      <c r="AN200" s="964">
        <f t="shared" si="114"/>
        <v>6.5999999999999943</v>
      </c>
      <c r="AP200" s="1784"/>
      <c r="AQ200" s="1778"/>
      <c r="AR200" s="1778"/>
      <c r="AS200" s="175"/>
      <c r="AT200" s="175">
        <v>84</v>
      </c>
      <c r="AU200" s="111"/>
      <c r="AV200" s="111">
        <v>8.8000000000000007</v>
      </c>
      <c r="AW200" s="175">
        <f t="shared" si="135"/>
        <v>89.795918367346928</v>
      </c>
      <c r="AY200" s="111">
        <v>83</v>
      </c>
      <c r="AZ200" s="967">
        <f>AY200-DataUK1!FI47</f>
        <v>-2</v>
      </c>
      <c r="BA200" s="111">
        <f t="shared" si="137"/>
        <v>-5.7999999999999972</v>
      </c>
      <c r="BB200" s="111">
        <v>88.8</v>
      </c>
      <c r="BE200" s="967">
        <f t="shared" si="139"/>
        <v>1830.5</v>
      </c>
      <c r="BF200" s="2133">
        <f t="shared" si="138"/>
        <v>1.3173424298688774</v>
      </c>
      <c r="BG200" s="385">
        <f>DataUK3!BS47</f>
        <v>1.3810325719302792</v>
      </c>
    </row>
    <row r="201" spans="1:59" s="87" customFormat="1">
      <c r="A201" s="79">
        <v>1890</v>
      </c>
      <c r="B201" s="1540">
        <f>DataUK1!B48</f>
        <v>1421</v>
      </c>
      <c r="C201" s="1160">
        <v>23.9</v>
      </c>
      <c r="D201" s="111">
        <v>16.2</v>
      </c>
      <c r="E201" s="111">
        <v>6.6</v>
      </c>
      <c r="F201" s="111">
        <f t="shared" si="95"/>
        <v>1.0999999999999996</v>
      </c>
      <c r="G201" s="1540">
        <f t="shared" si="106"/>
        <v>17.299999999999997</v>
      </c>
      <c r="H201" s="1551">
        <v>689.1</v>
      </c>
      <c r="I201" s="29">
        <f t="shared" si="122"/>
        <v>1.1146878032999028</v>
      </c>
      <c r="J201" s="959">
        <v>618.20000000000005</v>
      </c>
      <c r="K201" s="1427">
        <v>586</v>
      </c>
      <c r="L201" s="959">
        <f t="shared" si="107"/>
        <v>32.200000000000045</v>
      </c>
      <c r="M201" s="29">
        <f t="shared" si="98"/>
        <v>0.48494018296973962</v>
      </c>
      <c r="N201" s="29">
        <v>0.42869999999999997</v>
      </c>
      <c r="O201" s="111">
        <v>643.70000000000005</v>
      </c>
      <c r="P201" s="29">
        <f t="shared" si="115"/>
        <v>0.93411696415614576</v>
      </c>
      <c r="Q201" s="1558">
        <f t="shared" si="129"/>
        <v>2.5105209693803508E-2</v>
      </c>
      <c r="R201" s="961">
        <f t="shared" si="130"/>
        <v>2.764505119453925E-2</v>
      </c>
      <c r="S201" s="961">
        <f t="shared" si="131"/>
        <v>1.0669253152279335E-2</v>
      </c>
      <c r="T201" s="1535">
        <f t="shared" si="132"/>
        <v>2.6875873854279936E-2</v>
      </c>
      <c r="U201" s="1162">
        <v>96.5</v>
      </c>
      <c r="V201" s="111">
        <v>93.4</v>
      </c>
      <c r="W201" s="175">
        <f t="shared" si="99"/>
        <v>86.800000000000011</v>
      </c>
      <c r="X201" s="964">
        <f t="shared" si="134"/>
        <v>9.6999999999999886</v>
      </c>
      <c r="Y201" s="1536">
        <f t="shared" si="136"/>
        <v>2.8420000000000001</v>
      </c>
      <c r="Z201" s="111">
        <f t="shared" si="100"/>
        <v>6.8579999999999881</v>
      </c>
      <c r="AA201" s="1536">
        <f t="shared" si="101"/>
        <v>0</v>
      </c>
      <c r="AB201" s="111">
        <f t="shared" si="102"/>
        <v>5.6000000000000227</v>
      </c>
      <c r="AC201" s="111">
        <f t="shared" si="108"/>
        <v>9.6999999999999886</v>
      </c>
      <c r="AD201" s="111">
        <f t="shared" si="109"/>
        <v>6.8579999999999881</v>
      </c>
      <c r="AE201" s="111">
        <f t="shared" si="110"/>
        <v>695.81910663196834</v>
      </c>
      <c r="AF201" s="29">
        <f t="shared" si="103"/>
        <v>4.7284353497313979E-3</v>
      </c>
      <c r="AG201" s="587">
        <f t="shared" si="133"/>
        <v>24.157999999999987</v>
      </c>
      <c r="AH201" s="964">
        <f t="shared" si="111"/>
        <v>0</v>
      </c>
      <c r="AI201" s="964">
        <v>0</v>
      </c>
      <c r="AJ201" s="964">
        <f t="shared" si="112"/>
        <v>0</v>
      </c>
      <c r="AK201" s="964">
        <f t="shared" si="113"/>
        <v>9.6999999999999886</v>
      </c>
      <c r="AL201" s="964">
        <f>DataUK1!DK48</f>
        <v>5</v>
      </c>
      <c r="AM201" s="961">
        <f t="shared" si="140"/>
        <v>3.518648838845883E-3</v>
      </c>
      <c r="AN201" s="964">
        <f t="shared" si="114"/>
        <v>4.6999999999999886</v>
      </c>
      <c r="AP201" s="1784"/>
      <c r="AQ201" s="1778"/>
      <c r="AR201" s="1778"/>
      <c r="AS201" s="175"/>
      <c r="AT201" s="175">
        <v>87</v>
      </c>
      <c r="AU201" s="111"/>
      <c r="AV201" s="111">
        <v>8.8000000000000007</v>
      </c>
      <c r="AW201" s="175">
        <f t="shared" si="135"/>
        <v>89.795918367346928</v>
      </c>
      <c r="AY201" s="111">
        <v>107</v>
      </c>
      <c r="AZ201" s="967">
        <f>AY201-DataUK1!FI48</f>
        <v>-1</v>
      </c>
      <c r="BA201" s="111">
        <f t="shared" si="137"/>
        <v>13</v>
      </c>
      <c r="BB201" s="111">
        <v>94</v>
      </c>
      <c r="BE201" s="967">
        <f t="shared" si="139"/>
        <v>1913.5</v>
      </c>
      <c r="BF201" s="2133">
        <f t="shared" si="138"/>
        <v>1.3465869106263195</v>
      </c>
      <c r="BG201" s="385">
        <f>DataUK3!BS48</f>
        <v>1.449683321604504</v>
      </c>
    </row>
    <row r="202" spans="1:59" s="87" customFormat="1">
      <c r="A202" s="79">
        <v>1891</v>
      </c>
      <c r="B202" s="1540">
        <f>DataUK1!B49</f>
        <v>1393</v>
      </c>
      <c r="C202" s="1160">
        <v>23.7</v>
      </c>
      <c r="D202" s="111">
        <v>16.100000000000001</v>
      </c>
      <c r="E202" s="111">
        <v>6.6</v>
      </c>
      <c r="F202" s="111">
        <f t="shared" si="95"/>
        <v>0.99999999999999822</v>
      </c>
      <c r="G202" s="1540">
        <f t="shared" si="106"/>
        <v>17.100000000000001</v>
      </c>
      <c r="H202" s="1551">
        <v>683.5</v>
      </c>
      <c r="I202" s="29">
        <f t="shared" si="122"/>
        <v>1.1102988953866146</v>
      </c>
      <c r="J202" s="959">
        <v>615.6</v>
      </c>
      <c r="K202" s="1427">
        <v>579.5</v>
      </c>
      <c r="L202" s="959">
        <f t="shared" si="107"/>
        <v>36.100000000000023</v>
      </c>
      <c r="M202" s="29">
        <f t="shared" si="98"/>
        <v>0.49066762383345297</v>
      </c>
      <c r="N202" s="29">
        <v>0.42630000000000001</v>
      </c>
      <c r="O202" s="111">
        <v>645.29999999999995</v>
      </c>
      <c r="P202" s="29">
        <f t="shared" si="115"/>
        <v>0.9441111923920994</v>
      </c>
      <c r="Q202" s="1558">
        <f t="shared" si="129"/>
        <v>2.5018288222384787E-2</v>
      </c>
      <c r="R202" s="961">
        <f t="shared" si="130"/>
        <v>2.7782571182053496E-2</v>
      </c>
      <c r="S202" s="961">
        <f t="shared" si="131"/>
        <v>9.6153846153845986E-3</v>
      </c>
      <c r="T202" s="1535">
        <f t="shared" si="132"/>
        <v>2.6499302649930268E-2</v>
      </c>
      <c r="U202" s="1162">
        <v>98.6</v>
      </c>
      <c r="V202" s="111">
        <v>96</v>
      </c>
      <c r="W202" s="175">
        <f t="shared" si="99"/>
        <v>89.4</v>
      </c>
      <c r="X202" s="964">
        <f t="shared" si="134"/>
        <v>9.1999999999999886</v>
      </c>
      <c r="Y202" s="1536">
        <f t="shared" si="136"/>
        <v>2.786</v>
      </c>
      <c r="Z202" s="111">
        <f t="shared" si="100"/>
        <v>6.413999999999989</v>
      </c>
      <c r="AA202" s="1536">
        <f t="shared" si="101"/>
        <v>0</v>
      </c>
      <c r="AB202" s="111">
        <f t="shared" si="102"/>
        <v>6.3999999999999773</v>
      </c>
      <c r="AC202" s="111">
        <f t="shared" si="108"/>
        <v>9.1999999999999886</v>
      </c>
      <c r="AD202" s="111">
        <f t="shared" si="109"/>
        <v>6.413999999999989</v>
      </c>
      <c r="AE202" s="111">
        <f t="shared" si="110"/>
        <v>688.96110663196839</v>
      </c>
      <c r="AF202" s="29">
        <f t="shared" si="103"/>
        <v>3.9203924134733606E-3</v>
      </c>
      <c r="AG202" s="587">
        <f t="shared" si="133"/>
        <v>23.513999999999989</v>
      </c>
      <c r="AH202" s="964">
        <f t="shared" si="111"/>
        <v>0</v>
      </c>
      <c r="AI202" s="964">
        <v>0</v>
      </c>
      <c r="AJ202" s="964">
        <f t="shared" si="112"/>
        <v>0</v>
      </c>
      <c r="AK202" s="964">
        <f t="shared" si="113"/>
        <v>9.1999999999999886</v>
      </c>
      <c r="AL202" s="964">
        <f>DataUK1!DK49</f>
        <v>5</v>
      </c>
      <c r="AM202" s="961">
        <f t="shared" si="140"/>
        <v>3.5893754486719309E-3</v>
      </c>
      <c r="AN202" s="964">
        <f t="shared" si="114"/>
        <v>4.1999999999999886</v>
      </c>
      <c r="AP202" s="1784"/>
      <c r="AQ202" s="1778"/>
      <c r="AR202" s="1778"/>
      <c r="AS202" s="175"/>
      <c r="AT202" s="175">
        <v>86</v>
      </c>
      <c r="AU202" s="111"/>
      <c r="AV202" s="111">
        <v>8.9</v>
      </c>
      <c r="AW202" s="175">
        <f t="shared" si="135"/>
        <v>90.81632653061223</v>
      </c>
      <c r="AY202" s="111">
        <v>72</v>
      </c>
      <c r="AZ202" s="967">
        <f>AY202-DataUK1!FI49</f>
        <v>-1</v>
      </c>
      <c r="BA202" s="111">
        <f t="shared" si="137"/>
        <v>-22.299999999999997</v>
      </c>
      <c r="BB202" s="111">
        <v>94.3</v>
      </c>
      <c r="BE202" s="967">
        <f t="shared" si="139"/>
        <v>2020.5</v>
      </c>
      <c r="BF202" s="2133">
        <f t="shared" si="138"/>
        <v>1.4504666188083273</v>
      </c>
      <c r="BG202" s="385">
        <f>DataUK3!BS49</f>
        <v>1.5563531945441493</v>
      </c>
    </row>
    <row r="203" spans="1:59" s="87" customFormat="1">
      <c r="A203" s="79">
        <v>1892</v>
      </c>
      <c r="B203" s="1540">
        <f>DataUK1!B50</f>
        <v>1365</v>
      </c>
      <c r="C203" s="1160">
        <v>23.5</v>
      </c>
      <c r="D203" s="111">
        <v>16.2</v>
      </c>
      <c r="E203" s="111">
        <v>6.4</v>
      </c>
      <c r="F203" s="111">
        <f t="shared" ref="F203:F266" si="141">C203-D203-E203</f>
        <v>0.90000000000000036</v>
      </c>
      <c r="G203" s="1540">
        <f t="shared" si="106"/>
        <v>17.100000000000001</v>
      </c>
      <c r="H203" s="1551">
        <v>677.1</v>
      </c>
      <c r="I203" s="29">
        <f t="shared" si="122"/>
        <v>1.1040273927930866</v>
      </c>
      <c r="J203" s="959">
        <v>613.29999999999995</v>
      </c>
      <c r="K203" s="1427">
        <v>577.9</v>
      </c>
      <c r="L203" s="959">
        <f t="shared" si="107"/>
        <v>35.399999999999977</v>
      </c>
      <c r="M203" s="29">
        <f t="shared" ref="M203:M250" si="142">H203/B203</f>
        <v>0.49604395604395607</v>
      </c>
      <c r="N203" s="29">
        <v>0.4365</v>
      </c>
      <c r="O203" s="111">
        <v>651.9</v>
      </c>
      <c r="P203" s="29">
        <f t="shared" si="115"/>
        <v>0.96278245458573319</v>
      </c>
      <c r="Q203" s="1558">
        <f t="shared" si="129"/>
        <v>2.5254762959680994E-2</v>
      </c>
      <c r="R203" s="961">
        <f t="shared" si="130"/>
        <v>2.8032531579858105E-2</v>
      </c>
      <c r="S203" s="961">
        <f t="shared" si="131"/>
        <v>9.0725806451612892E-3</v>
      </c>
      <c r="T203" s="1535">
        <f t="shared" si="132"/>
        <v>2.6231017027151405E-2</v>
      </c>
      <c r="U203" s="1162">
        <v>97.7</v>
      </c>
      <c r="V203" s="111">
        <v>95.8</v>
      </c>
      <c r="W203" s="175">
        <f t="shared" ref="W203:W266" si="143">V203-E203</f>
        <v>89.399999999999991</v>
      </c>
      <c r="X203" s="964">
        <f t="shared" si="134"/>
        <v>8.3000000000000114</v>
      </c>
      <c r="Y203" s="1536">
        <f t="shared" si="136"/>
        <v>2.73</v>
      </c>
      <c r="Z203" s="111">
        <f t="shared" ref="Z203:Z224" si="144">(X203-Y203)</f>
        <v>5.5700000000000109</v>
      </c>
      <c r="AA203" s="1536">
        <f t="shared" ref="AA203:AA224" si="145">IF(((Z203-AB203)/B203&gt;0.06),(Z203-AB203),0)</f>
        <v>0</v>
      </c>
      <c r="AB203" s="111">
        <f t="shared" ref="AB203:AB266" si="146">H203-H204</f>
        <v>6</v>
      </c>
      <c r="AC203" s="111">
        <f t="shared" si="108"/>
        <v>8.3000000000000114</v>
      </c>
      <c r="AD203" s="111">
        <f t="shared" si="109"/>
        <v>5.5700000000000109</v>
      </c>
      <c r="AE203" s="111">
        <f t="shared" si="110"/>
        <v>682.5471066319684</v>
      </c>
      <c r="AF203" s="29">
        <f t="shared" ref="AF203:AF224" si="147">(AE203-H203)/B203</f>
        <v>3.9905543091343452E-3</v>
      </c>
      <c r="AG203" s="587">
        <f t="shared" si="133"/>
        <v>22.670000000000012</v>
      </c>
      <c r="AH203" s="964">
        <f t="shared" si="111"/>
        <v>0</v>
      </c>
      <c r="AI203" s="964">
        <v>0</v>
      </c>
      <c r="AJ203" s="964">
        <f t="shared" si="112"/>
        <v>0</v>
      </c>
      <c r="AK203" s="964">
        <f t="shared" si="113"/>
        <v>8.3000000000000114</v>
      </c>
      <c r="AL203" s="964">
        <f>DataUK1!DK50</f>
        <v>5</v>
      </c>
      <c r="AM203" s="961">
        <f t="shared" si="140"/>
        <v>3.663003663003663E-3</v>
      </c>
      <c r="AN203" s="964">
        <f t="shared" si="114"/>
        <v>3.3000000000000114</v>
      </c>
      <c r="AP203" s="1784"/>
      <c r="AQ203" s="1778"/>
      <c r="AR203" s="1778"/>
      <c r="AS203" s="175"/>
      <c r="AT203" s="175">
        <v>82</v>
      </c>
      <c r="AU203" s="111"/>
      <c r="AV203" s="111">
        <v>8.9</v>
      </c>
      <c r="AW203" s="175">
        <f t="shared" si="135"/>
        <v>90.81632653061223</v>
      </c>
      <c r="AY203" s="111">
        <v>63</v>
      </c>
      <c r="AZ203" s="967">
        <f>AY203-DataUK1!FI50</f>
        <v>-1</v>
      </c>
      <c r="BA203" s="111">
        <f t="shared" si="137"/>
        <v>-31.700000000000003</v>
      </c>
      <c r="BB203" s="111">
        <v>94.7</v>
      </c>
      <c r="BE203" s="967">
        <f t="shared" si="139"/>
        <v>2092.5</v>
      </c>
      <c r="BF203" s="2133">
        <f t="shared" si="138"/>
        <v>1.5329670329670331</v>
      </c>
      <c r="BG203" s="385">
        <f>DataUK3!BS50</f>
        <v>1.6417582417582417</v>
      </c>
    </row>
    <row r="204" spans="1:59" s="87" customFormat="1">
      <c r="A204" s="79">
        <v>1893</v>
      </c>
      <c r="B204" s="1540">
        <f>DataUK1!B51</f>
        <v>1372</v>
      </c>
      <c r="C204" s="1160">
        <v>23.4</v>
      </c>
      <c r="D204" s="111">
        <v>16.3</v>
      </c>
      <c r="E204" s="111">
        <v>6.4</v>
      </c>
      <c r="F204" s="111">
        <f t="shared" si="141"/>
        <v>0.69999999999999751</v>
      </c>
      <c r="G204" s="1540">
        <f t="shared" ref="G204:G267" si="148">C204-E204</f>
        <v>17</v>
      </c>
      <c r="H204" s="1551">
        <v>671.1</v>
      </c>
      <c r="I204" s="29">
        <f t="shared" ref="I204:I250" si="149">H204/J204</f>
        <v>1.099623136162543</v>
      </c>
      <c r="J204" s="959">
        <v>610.29999999999995</v>
      </c>
      <c r="K204" s="1427">
        <v>589.5</v>
      </c>
      <c r="L204" s="959">
        <f t="shared" ref="L204:L250" si="150">J204-K204</f>
        <v>20.799999999999955</v>
      </c>
      <c r="M204" s="29">
        <f t="shared" si="142"/>
        <v>0.48913994169096214</v>
      </c>
      <c r="N204" s="29">
        <v>0.43409999999999999</v>
      </c>
      <c r="O204" s="111">
        <v>657.8</v>
      </c>
      <c r="P204" s="29">
        <f t="shared" si="115"/>
        <v>0.98018179108925629</v>
      </c>
      <c r="Q204" s="1558">
        <f t="shared" si="129"/>
        <v>2.5331545224258678E-2</v>
      </c>
      <c r="R204" s="961">
        <f t="shared" si="130"/>
        <v>2.7650551314673453E-2</v>
      </c>
      <c r="S204" s="961">
        <f t="shared" si="131"/>
        <v>8.5784313725489874E-3</v>
      </c>
      <c r="T204" s="1535">
        <f t="shared" si="132"/>
        <v>2.5843721495895412E-2</v>
      </c>
      <c r="U204" s="1162">
        <v>98.4</v>
      </c>
      <c r="V204" s="111">
        <v>98.5</v>
      </c>
      <c r="W204" s="175">
        <f t="shared" si="143"/>
        <v>92.1</v>
      </c>
      <c r="X204" s="964">
        <f t="shared" si="134"/>
        <v>6.3000000000000114</v>
      </c>
      <c r="Y204" s="1536">
        <f t="shared" si="136"/>
        <v>2.7440000000000002</v>
      </c>
      <c r="Z204" s="111">
        <f t="shared" si="144"/>
        <v>3.5560000000000112</v>
      </c>
      <c r="AA204" s="1536">
        <f t="shared" si="145"/>
        <v>0</v>
      </c>
      <c r="AB204" s="111">
        <f t="shared" si="146"/>
        <v>3.8000000000000682</v>
      </c>
      <c r="AC204" s="111">
        <f t="shared" ref="AC204:AC267" si="151">X204-AA204</f>
        <v>6.3000000000000114</v>
      </c>
      <c r="AD204" s="111">
        <f t="shared" ref="AD204:AD224" si="152">Z204-AA204</f>
        <v>3.5560000000000112</v>
      </c>
      <c r="AE204" s="111">
        <f t="shared" ref="AE204:AE224" si="153">AE203-AD203</f>
        <v>676.97710663196835</v>
      </c>
      <c r="AF204" s="29">
        <f t="shared" si="147"/>
        <v>4.2836054168865385E-3</v>
      </c>
      <c r="AG204" s="587">
        <f t="shared" si="133"/>
        <v>20.556000000000012</v>
      </c>
      <c r="AH204" s="964">
        <f t="shared" ref="AH204:AH267" si="154">AI204</f>
        <v>0</v>
      </c>
      <c r="AI204" s="964">
        <v>0</v>
      </c>
      <c r="AJ204" s="964">
        <f t="shared" ref="AJ204:AJ267" si="155">AH204-AI204</f>
        <v>0</v>
      </c>
      <c r="AK204" s="964">
        <f t="shared" ref="AK204:AK267" si="156">AH204+AC204</f>
        <v>6.3000000000000114</v>
      </c>
      <c r="AL204" s="964">
        <f>DataUK1!DK51</f>
        <v>6</v>
      </c>
      <c r="AM204" s="961">
        <f t="shared" si="140"/>
        <v>4.3731778425655978E-3</v>
      </c>
      <c r="AN204" s="964">
        <f t="shared" ref="AN204:AN267" si="157">AK204-AL204</f>
        <v>0.30000000000001137</v>
      </c>
      <c r="AP204" s="1784"/>
      <c r="AQ204" s="1778"/>
      <c r="AR204" s="1778"/>
      <c r="AS204" s="175"/>
      <c r="AT204" s="175">
        <v>82</v>
      </c>
      <c r="AU204" s="111"/>
      <c r="AV204" s="111">
        <v>8.8000000000000007</v>
      </c>
      <c r="AW204" s="175">
        <f t="shared" si="135"/>
        <v>89.795918367346928</v>
      </c>
      <c r="AY204" s="111">
        <v>57</v>
      </c>
      <c r="AZ204" s="967">
        <f>AY204-DataUK1!FI51</f>
        <v>-1</v>
      </c>
      <c r="BA204" s="111">
        <f t="shared" si="137"/>
        <v>-37.700000000000003</v>
      </c>
      <c r="BB204" s="111">
        <v>94.7</v>
      </c>
      <c r="BE204" s="967">
        <f t="shared" si="139"/>
        <v>2155.5</v>
      </c>
      <c r="BF204" s="2133">
        <f t="shared" si="138"/>
        <v>1.5710641399416909</v>
      </c>
      <c r="BG204" s="385">
        <f>DataUK3!BS51</f>
        <v>1.6800291545189505</v>
      </c>
    </row>
    <row r="205" spans="1:59" s="87" customFormat="1">
      <c r="A205" s="79">
        <v>1894</v>
      </c>
      <c r="B205" s="1540">
        <f>DataUK1!B52</f>
        <v>1464</v>
      </c>
      <c r="C205" s="1160">
        <v>23.3</v>
      </c>
      <c r="D205" s="111">
        <v>16.399999999999999</v>
      </c>
      <c r="E205" s="111">
        <v>6.4</v>
      </c>
      <c r="F205" s="111">
        <f t="shared" si="141"/>
        <v>0.50000000000000178</v>
      </c>
      <c r="G205" s="1540">
        <f t="shared" si="148"/>
        <v>16.899999999999999</v>
      </c>
      <c r="H205" s="1551">
        <v>667.3</v>
      </c>
      <c r="I205" s="29">
        <f t="shared" si="149"/>
        <v>1.0991599407016965</v>
      </c>
      <c r="J205" s="959">
        <v>607.1</v>
      </c>
      <c r="K205" s="1427">
        <v>587.6</v>
      </c>
      <c r="L205" s="959">
        <f t="shared" si="150"/>
        <v>19.5</v>
      </c>
      <c r="M205" s="29">
        <f t="shared" si="142"/>
        <v>0.45580601092896172</v>
      </c>
      <c r="N205" s="29">
        <v>0.41039999999999999</v>
      </c>
      <c r="O205" s="111">
        <v>727.1</v>
      </c>
      <c r="P205" s="29">
        <f t="shared" ref="P205:P249" si="158">O205/H205</f>
        <v>1.0896148658774165</v>
      </c>
      <c r="Q205" s="1558">
        <f t="shared" si="129"/>
        <v>2.5325940356661171E-2</v>
      </c>
      <c r="R205" s="961">
        <f t="shared" si="130"/>
        <v>2.7910142954390739E-2</v>
      </c>
      <c r="S205" s="961">
        <f t="shared" si="131"/>
        <v>6.2735257214554859E-3</v>
      </c>
      <c r="T205" s="1535">
        <f t="shared" si="132"/>
        <v>2.3243020217301607E-2</v>
      </c>
      <c r="U205" s="1162">
        <v>101.8</v>
      </c>
      <c r="V205" s="111">
        <v>100.9</v>
      </c>
      <c r="W205" s="175">
        <f t="shared" si="143"/>
        <v>94.5</v>
      </c>
      <c r="X205" s="964">
        <f t="shared" si="134"/>
        <v>7.2999999999999972</v>
      </c>
      <c r="Y205" s="1536">
        <f t="shared" si="136"/>
        <v>2.9279999999999999</v>
      </c>
      <c r="Z205" s="111">
        <f t="shared" si="144"/>
        <v>4.3719999999999972</v>
      </c>
      <c r="AA205" s="1536">
        <f t="shared" si="145"/>
        <v>0</v>
      </c>
      <c r="AB205" s="111">
        <f t="shared" si="146"/>
        <v>8.2999999999999545</v>
      </c>
      <c r="AC205" s="111">
        <f t="shared" si="151"/>
        <v>7.2999999999999972</v>
      </c>
      <c r="AD205" s="111">
        <f t="shared" si="152"/>
        <v>4.3719999999999972</v>
      </c>
      <c r="AE205" s="111">
        <f t="shared" si="153"/>
        <v>673.42110663196831</v>
      </c>
      <c r="AF205" s="29">
        <f t="shared" si="147"/>
        <v>4.1810837650057102E-3</v>
      </c>
      <c r="AG205" s="587">
        <f t="shared" si="133"/>
        <v>21.271999999999995</v>
      </c>
      <c r="AH205" s="964">
        <f t="shared" si="154"/>
        <v>0</v>
      </c>
      <c r="AI205" s="964">
        <v>0</v>
      </c>
      <c r="AJ205" s="964">
        <f t="shared" si="155"/>
        <v>0</v>
      </c>
      <c r="AK205" s="964">
        <f t="shared" si="156"/>
        <v>7.2999999999999972</v>
      </c>
      <c r="AL205" s="964">
        <f>DataUK1!DK52</f>
        <v>6</v>
      </c>
      <c r="AM205" s="961">
        <f t="shared" si="140"/>
        <v>4.0983606557377051E-3</v>
      </c>
      <c r="AN205" s="964">
        <f t="shared" si="157"/>
        <v>1.2999999999999972</v>
      </c>
      <c r="AP205" s="1784"/>
      <c r="AQ205" s="1778"/>
      <c r="AR205" s="1778"/>
      <c r="AS205" s="175"/>
      <c r="AT205" s="175">
        <v>74</v>
      </c>
      <c r="AU205" s="111"/>
      <c r="AV205" s="111">
        <v>8.6999999999999993</v>
      </c>
      <c r="AW205" s="175">
        <f t="shared" si="135"/>
        <v>88.775510204081613</v>
      </c>
      <c r="AY205" s="111">
        <v>50</v>
      </c>
      <c r="AZ205" s="967">
        <f>AY205-DataUK1!FI52</f>
        <v>0</v>
      </c>
      <c r="BA205" s="111">
        <f t="shared" si="137"/>
        <v>-42.599999999999994</v>
      </c>
      <c r="BB205" s="111">
        <v>92.6</v>
      </c>
      <c r="BE205" s="967">
        <f t="shared" si="139"/>
        <v>2212.5</v>
      </c>
      <c r="BF205" s="2133">
        <f t="shared" si="138"/>
        <v>1.5112704918032787</v>
      </c>
      <c r="BG205" s="385">
        <f>DataUK3!BS52</f>
        <v>1.6140710382513661</v>
      </c>
    </row>
    <row r="206" spans="1:59" s="87" customFormat="1">
      <c r="A206" s="79">
        <v>1895</v>
      </c>
      <c r="B206" s="1540">
        <f>DataUK1!B53</f>
        <v>1501.9999999999998</v>
      </c>
      <c r="C206" s="1162">
        <v>22.8</v>
      </c>
      <c r="D206" s="959">
        <v>16.3</v>
      </c>
      <c r="E206" s="959">
        <v>6.4</v>
      </c>
      <c r="F206" s="111">
        <f t="shared" si="141"/>
        <v>9.9999999999999645E-2</v>
      </c>
      <c r="G206" s="1540">
        <f t="shared" si="148"/>
        <v>16.399999999999999</v>
      </c>
      <c r="H206" s="1551">
        <v>659</v>
      </c>
      <c r="I206" s="29">
        <f t="shared" si="149"/>
        <v>1.0921445144182964</v>
      </c>
      <c r="J206" s="959">
        <v>603.4</v>
      </c>
      <c r="K206" s="1427">
        <v>586</v>
      </c>
      <c r="L206" s="959">
        <f t="shared" si="150"/>
        <v>17.399999999999977</v>
      </c>
      <c r="M206" s="29">
        <f t="shared" si="142"/>
        <v>0.43874833555259662</v>
      </c>
      <c r="N206" s="29">
        <v>0.3967</v>
      </c>
      <c r="O206" s="111">
        <v>797.3</v>
      </c>
      <c r="P206" s="29">
        <f t="shared" si="158"/>
        <v>1.2098634294385431</v>
      </c>
      <c r="Q206" s="1558">
        <f t="shared" si="129"/>
        <v>2.4886191198786038E-2</v>
      </c>
      <c r="R206" s="961">
        <f t="shared" si="130"/>
        <v>2.7815699658703074E-2</v>
      </c>
      <c r="S206" s="961">
        <f t="shared" si="131"/>
        <v>1.3698630136986254E-3</v>
      </c>
      <c r="T206" s="1535">
        <f t="shared" si="132"/>
        <v>2.0569421798570173E-2</v>
      </c>
      <c r="U206" s="1162">
        <v>109.4</v>
      </c>
      <c r="V206" s="111">
        <v>105.1</v>
      </c>
      <c r="W206" s="175">
        <f t="shared" si="143"/>
        <v>98.699999999999989</v>
      </c>
      <c r="X206" s="964">
        <f t="shared" si="134"/>
        <v>10.700000000000017</v>
      </c>
      <c r="Y206" s="1536">
        <f t="shared" si="136"/>
        <v>3.0039999999999996</v>
      </c>
      <c r="Z206" s="111">
        <f t="shared" si="144"/>
        <v>7.6960000000000175</v>
      </c>
      <c r="AA206" s="1536">
        <f t="shared" si="145"/>
        <v>0</v>
      </c>
      <c r="AB206" s="111">
        <f t="shared" si="146"/>
        <v>6.7000000000000455</v>
      </c>
      <c r="AC206" s="111">
        <f t="shared" si="151"/>
        <v>10.700000000000017</v>
      </c>
      <c r="AD206" s="111">
        <f t="shared" si="152"/>
        <v>7.6960000000000175</v>
      </c>
      <c r="AE206" s="111">
        <f t="shared" si="153"/>
        <v>669.04910663196836</v>
      </c>
      <c r="AF206" s="29">
        <f t="shared" si="147"/>
        <v>6.6904837762772028E-3</v>
      </c>
      <c r="AG206" s="587">
        <f t="shared" si="133"/>
        <v>24.096000000000018</v>
      </c>
      <c r="AH206" s="964">
        <f t="shared" si="154"/>
        <v>0</v>
      </c>
      <c r="AI206" s="964">
        <v>0</v>
      </c>
      <c r="AJ206" s="964">
        <f t="shared" si="155"/>
        <v>0</v>
      </c>
      <c r="AK206" s="964">
        <f t="shared" si="156"/>
        <v>10.700000000000017</v>
      </c>
      <c r="AL206" s="964">
        <f>DataUK1!DK53</f>
        <v>6</v>
      </c>
      <c r="AM206" s="961">
        <f t="shared" si="140"/>
        <v>3.9946737683089224E-3</v>
      </c>
      <c r="AN206" s="964">
        <f t="shared" si="157"/>
        <v>4.7000000000000171</v>
      </c>
      <c r="AP206" s="1784"/>
      <c r="AQ206" s="1778"/>
      <c r="AR206" s="1778"/>
      <c r="AS206" s="175"/>
      <c r="AT206" s="175">
        <v>72</v>
      </c>
      <c r="AU206" s="111"/>
      <c r="AV206" s="111">
        <v>8.6</v>
      </c>
      <c r="AW206" s="175">
        <f t="shared" si="135"/>
        <v>87.755102040816311</v>
      </c>
      <c r="AY206" s="111">
        <v>55</v>
      </c>
      <c r="AZ206" s="967">
        <f>AY206-DataUK1!FI53</f>
        <v>-1</v>
      </c>
      <c r="BA206" s="111">
        <f t="shared" si="137"/>
        <v>-38.599999999999994</v>
      </c>
      <c r="BB206" s="111">
        <v>93.6</v>
      </c>
      <c r="BE206" s="967">
        <f t="shared" si="139"/>
        <v>2262.5</v>
      </c>
      <c r="BF206" s="2133">
        <f t="shared" si="138"/>
        <v>1.506324900133156</v>
      </c>
      <c r="BG206" s="385">
        <f>DataUK3!BS53</f>
        <v>1.6065246338215715</v>
      </c>
    </row>
    <row r="207" spans="1:59" s="87" customFormat="1">
      <c r="A207" s="79">
        <v>1896</v>
      </c>
      <c r="B207" s="1540">
        <f>DataUK1!B54</f>
        <v>1542</v>
      </c>
      <c r="C207" s="1162">
        <v>23.6</v>
      </c>
      <c r="D207" s="959">
        <v>16.3</v>
      </c>
      <c r="E207" s="959">
        <v>7.2</v>
      </c>
      <c r="F207" s="111">
        <f t="shared" si="141"/>
        <v>0.10000000000000053</v>
      </c>
      <c r="G207" s="1540">
        <f t="shared" si="148"/>
        <v>16.400000000000002</v>
      </c>
      <c r="H207" s="1551">
        <v>652.29999999999995</v>
      </c>
      <c r="I207" s="29">
        <f t="shared" si="149"/>
        <v>1.0887998664663661</v>
      </c>
      <c r="J207" s="959">
        <v>599.1</v>
      </c>
      <c r="K207" s="1427">
        <v>589.1</v>
      </c>
      <c r="L207" s="959">
        <f t="shared" si="150"/>
        <v>10</v>
      </c>
      <c r="M207" s="29">
        <f t="shared" si="142"/>
        <v>0.42302204928664072</v>
      </c>
      <c r="N207" s="29">
        <v>0.38159999999999994</v>
      </c>
      <c r="O207" s="111">
        <v>826.5</v>
      </c>
      <c r="P207" s="29">
        <f t="shared" si="158"/>
        <v>1.2670550360263684</v>
      </c>
      <c r="Q207" s="1558">
        <f t="shared" si="129"/>
        <v>2.5141805917522617E-2</v>
      </c>
      <c r="R207" s="961">
        <f t="shared" si="130"/>
        <v>2.7669326090646748E-2</v>
      </c>
      <c r="S207" s="961">
        <f t="shared" si="131"/>
        <v>1.5822784810126684E-3</v>
      </c>
      <c r="T207" s="1535">
        <f t="shared" si="132"/>
        <v>1.9842710223835453E-2</v>
      </c>
      <c r="U207" s="1162">
        <v>112.3</v>
      </c>
      <c r="V207" s="111">
        <v>109.7</v>
      </c>
      <c r="W207" s="175">
        <f t="shared" si="143"/>
        <v>102.5</v>
      </c>
      <c r="X207" s="964">
        <f t="shared" si="134"/>
        <v>9.7999999999999972</v>
      </c>
      <c r="Y207" s="1536">
        <f t="shared" si="136"/>
        <v>3.0840000000000001</v>
      </c>
      <c r="Z207" s="111">
        <f t="shared" si="144"/>
        <v>6.7159999999999975</v>
      </c>
      <c r="AA207" s="1536">
        <f t="shared" si="145"/>
        <v>0</v>
      </c>
      <c r="AB207" s="111">
        <f t="shared" si="146"/>
        <v>7.0999999999999091</v>
      </c>
      <c r="AC207" s="111">
        <f t="shared" si="151"/>
        <v>9.7999999999999972</v>
      </c>
      <c r="AD207" s="111">
        <f t="shared" si="152"/>
        <v>6.7159999999999975</v>
      </c>
      <c r="AE207" s="111">
        <f t="shared" si="153"/>
        <v>661.35310663196833</v>
      </c>
      <c r="AF207" s="29">
        <f t="shared" si="147"/>
        <v>5.8710159740391543E-3</v>
      </c>
      <c r="AG207" s="587">
        <f t="shared" si="133"/>
        <v>23.116</v>
      </c>
      <c r="AH207" s="964">
        <f t="shared" si="154"/>
        <v>0</v>
      </c>
      <c r="AI207" s="964">
        <v>0</v>
      </c>
      <c r="AJ207" s="964">
        <f t="shared" si="155"/>
        <v>0</v>
      </c>
      <c r="AK207" s="964">
        <f t="shared" si="156"/>
        <v>9.7999999999999972</v>
      </c>
      <c r="AL207" s="964">
        <f>DataUK1!DK54</f>
        <v>6</v>
      </c>
      <c r="AM207" s="961">
        <f t="shared" si="140"/>
        <v>3.8910505836575876E-3</v>
      </c>
      <c r="AN207" s="964">
        <f t="shared" si="157"/>
        <v>3.7999999999999972</v>
      </c>
      <c r="AP207" s="1784"/>
      <c r="AQ207" s="1778"/>
      <c r="AR207" s="1778"/>
      <c r="AS207" s="175"/>
      <c r="AT207" s="175">
        <v>73</v>
      </c>
      <c r="AU207" s="111"/>
      <c r="AV207" s="111">
        <v>8.5</v>
      </c>
      <c r="AW207" s="175">
        <f t="shared" si="135"/>
        <v>86.73469387755101</v>
      </c>
      <c r="AY207" s="111">
        <v>50</v>
      </c>
      <c r="AZ207" s="967">
        <f>AY207-DataUK1!FI54</f>
        <v>-1</v>
      </c>
      <c r="BA207" s="111">
        <f t="shared" si="137"/>
        <v>-46</v>
      </c>
      <c r="BB207" s="111">
        <v>96</v>
      </c>
      <c r="BE207" s="967">
        <f t="shared" si="139"/>
        <v>2317.5</v>
      </c>
      <c r="BF207" s="2133">
        <f t="shared" si="138"/>
        <v>1.5029182879377432</v>
      </c>
      <c r="BG207" s="385">
        <f>DataUK3!BS54</f>
        <v>1.6011673151750974</v>
      </c>
    </row>
    <row r="208" spans="1:59" s="87" customFormat="1">
      <c r="A208" s="79">
        <v>1897</v>
      </c>
      <c r="B208" s="1540">
        <f>DataUK1!B55</f>
        <v>1594</v>
      </c>
      <c r="C208" s="1162">
        <v>23.6</v>
      </c>
      <c r="D208" s="959">
        <v>16.2</v>
      </c>
      <c r="E208" s="959">
        <v>7.3</v>
      </c>
      <c r="F208" s="111">
        <f t="shared" si="141"/>
        <v>0.10000000000000231</v>
      </c>
      <c r="G208" s="1540">
        <f t="shared" si="148"/>
        <v>16.3</v>
      </c>
      <c r="H208" s="1551">
        <v>645.20000000000005</v>
      </c>
      <c r="I208" s="29">
        <f t="shared" si="149"/>
        <v>1.0829137294394093</v>
      </c>
      <c r="J208" s="959">
        <v>595.79999999999995</v>
      </c>
      <c r="K208" s="1427">
        <v>587.70000000000005</v>
      </c>
      <c r="L208" s="959">
        <f t="shared" si="150"/>
        <v>8.0999999999999091</v>
      </c>
      <c r="M208" s="29">
        <f t="shared" si="142"/>
        <v>0.40476787954830618</v>
      </c>
      <c r="N208" s="29">
        <v>0.36249999999999999</v>
      </c>
      <c r="O208" s="111">
        <v>801.3</v>
      </c>
      <c r="P208" s="29">
        <f t="shared" si="158"/>
        <v>1.2419404835709855</v>
      </c>
      <c r="Q208" s="1558">
        <f t="shared" ref="Q208:Q239" si="159">(C208-E208)/H208</f>
        <v>2.5263484190948541E-2</v>
      </c>
      <c r="R208" s="961">
        <f t="shared" ref="R208:R239" si="160">D208/K208</f>
        <v>2.7565084226646244E-2</v>
      </c>
      <c r="S208" s="961">
        <f t="shared" ref="S208:S239" si="161">F208/(H208-K208)</f>
        <v>1.7391304347826489E-3</v>
      </c>
      <c r="T208" s="1535">
        <f t="shared" ref="T208:T239" si="162">(G208)/O208</f>
        <v>2.0341944340446776E-2</v>
      </c>
      <c r="U208" s="1162">
        <v>116.1</v>
      </c>
      <c r="V208" s="111">
        <v>112.3</v>
      </c>
      <c r="W208" s="175">
        <f t="shared" si="143"/>
        <v>105</v>
      </c>
      <c r="X208" s="964">
        <f t="shared" si="134"/>
        <v>11.099999999999994</v>
      </c>
      <c r="Y208" s="1536">
        <f t="shared" si="136"/>
        <v>3.1880000000000002</v>
      </c>
      <c r="Z208" s="111">
        <f t="shared" si="144"/>
        <v>7.9119999999999937</v>
      </c>
      <c r="AA208" s="1536">
        <f t="shared" si="145"/>
        <v>0</v>
      </c>
      <c r="AB208" s="111">
        <f t="shared" si="146"/>
        <v>6.4000000000000909</v>
      </c>
      <c r="AC208" s="111">
        <f t="shared" si="151"/>
        <v>11.099999999999994</v>
      </c>
      <c r="AD208" s="111">
        <f t="shared" si="152"/>
        <v>7.9119999999999937</v>
      </c>
      <c r="AE208" s="111">
        <f t="shared" si="153"/>
        <v>654.63710663196832</v>
      </c>
      <c r="AF208" s="29">
        <f t="shared" si="147"/>
        <v>5.920393119177087E-3</v>
      </c>
      <c r="AG208" s="587">
        <f t="shared" ref="AG208:AG224" si="163">AD208+G208</f>
        <v>24.211999999999996</v>
      </c>
      <c r="AH208" s="964">
        <f t="shared" si="154"/>
        <v>0</v>
      </c>
      <c r="AI208" s="964">
        <v>0</v>
      </c>
      <c r="AJ208" s="964">
        <f t="shared" si="155"/>
        <v>0</v>
      </c>
      <c r="AK208" s="964">
        <f t="shared" si="156"/>
        <v>11.099999999999994</v>
      </c>
      <c r="AL208" s="964">
        <f>DataUK1!DK55</f>
        <v>6</v>
      </c>
      <c r="AM208" s="961">
        <f t="shared" si="140"/>
        <v>3.7641154328732747E-3</v>
      </c>
      <c r="AN208" s="964">
        <f t="shared" si="157"/>
        <v>5.0999999999999943</v>
      </c>
      <c r="AP208" s="1784"/>
      <c r="AQ208" s="1778"/>
      <c r="AR208" s="1778"/>
      <c r="AS208" s="175"/>
      <c r="AT208" s="175">
        <v>74</v>
      </c>
      <c r="AU208" s="111"/>
      <c r="AV208" s="111">
        <v>8.6999999999999993</v>
      </c>
      <c r="AW208" s="175">
        <f t="shared" si="135"/>
        <v>88.775510204081613</v>
      </c>
      <c r="AY208" s="111">
        <v>41</v>
      </c>
      <c r="AZ208" s="967">
        <f>AY208-DataUK1!FI55</f>
        <v>-1</v>
      </c>
      <c r="BA208" s="111">
        <f t="shared" si="137"/>
        <v>-56</v>
      </c>
      <c r="BB208" s="111">
        <v>97</v>
      </c>
      <c r="BE208" s="967">
        <f t="shared" si="139"/>
        <v>2367.5</v>
      </c>
      <c r="BF208" s="2133">
        <f t="shared" si="138"/>
        <v>1.4852572145545797</v>
      </c>
      <c r="BG208" s="385">
        <f>DataUK3!BS55</f>
        <v>1.5809284818067755</v>
      </c>
    </row>
    <row r="209" spans="1:59" s="87" customFormat="1">
      <c r="A209" s="79">
        <v>1898</v>
      </c>
      <c r="B209" s="1540">
        <f>DataUK1!B56</f>
        <v>1677.9999999999998</v>
      </c>
      <c r="C209" s="1162">
        <v>23.6</v>
      </c>
      <c r="D209" s="959">
        <v>16.2</v>
      </c>
      <c r="E209" s="959">
        <v>7.3</v>
      </c>
      <c r="F209" s="111">
        <f t="shared" si="141"/>
        <v>0.10000000000000231</v>
      </c>
      <c r="G209" s="1540">
        <f t="shared" si="148"/>
        <v>16.3</v>
      </c>
      <c r="H209" s="1551">
        <v>638.79999999999995</v>
      </c>
      <c r="I209" s="29">
        <f t="shared" si="149"/>
        <v>1.0756019531907728</v>
      </c>
      <c r="J209" s="959">
        <v>593.9</v>
      </c>
      <c r="K209" s="1427">
        <v>585.79999999999995</v>
      </c>
      <c r="L209" s="959">
        <f t="shared" si="150"/>
        <v>8.1000000000000227</v>
      </c>
      <c r="M209" s="29">
        <f t="shared" si="142"/>
        <v>0.38069129916567346</v>
      </c>
      <c r="N209" s="29">
        <v>0.3483</v>
      </c>
      <c r="O209" s="111">
        <v>727.1</v>
      </c>
      <c r="P209" s="29">
        <f t="shared" si="158"/>
        <v>1.1382279273638072</v>
      </c>
      <c r="Q209" s="1558">
        <f t="shared" si="159"/>
        <v>2.5516593613024423E-2</v>
      </c>
      <c r="R209" s="961">
        <f t="shared" si="160"/>
        <v>2.7654489586889725E-2</v>
      </c>
      <c r="S209" s="961">
        <f t="shared" si="161"/>
        <v>1.8867924528302323E-3</v>
      </c>
      <c r="T209" s="1535">
        <f t="shared" si="162"/>
        <v>2.2417824233255397E-2</v>
      </c>
      <c r="U209" s="1162">
        <v>117.9</v>
      </c>
      <c r="V209" s="111">
        <v>117.7</v>
      </c>
      <c r="W209" s="175">
        <f t="shared" si="143"/>
        <v>110.4</v>
      </c>
      <c r="X209" s="964">
        <f t="shared" si="134"/>
        <v>7.5</v>
      </c>
      <c r="Y209" s="1536">
        <f t="shared" si="136"/>
        <v>3.3559999999999994</v>
      </c>
      <c r="Z209" s="111">
        <f t="shared" si="144"/>
        <v>4.1440000000000001</v>
      </c>
      <c r="AA209" s="1536">
        <f t="shared" si="145"/>
        <v>0</v>
      </c>
      <c r="AB209" s="111">
        <f t="shared" si="146"/>
        <v>3.3999999999999773</v>
      </c>
      <c r="AC209" s="111">
        <f t="shared" si="151"/>
        <v>7.5</v>
      </c>
      <c r="AD209" s="111">
        <f t="shared" si="152"/>
        <v>4.1440000000000001</v>
      </c>
      <c r="AE209" s="111">
        <f t="shared" si="153"/>
        <v>646.72510663196829</v>
      </c>
      <c r="AF209" s="29">
        <f t="shared" si="147"/>
        <v>4.7229479332350022E-3</v>
      </c>
      <c r="AG209" s="587">
        <f t="shared" si="163"/>
        <v>20.444000000000003</v>
      </c>
      <c r="AH209" s="964">
        <f t="shared" si="154"/>
        <v>0</v>
      </c>
      <c r="AI209" s="964">
        <v>0</v>
      </c>
      <c r="AJ209" s="964">
        <f t="shared" si="155"/>
        <v>0</v>
      </c>
      <c r="AK209" s="964">
        <f t="shared" si="156"/>
        <v>7.5</v>
      </c>
      <c r="AL209" s="964">
        <f>DataUK1!DK56</f>
        <v>7</v>
      </c>
      <c r="AM209" s="961">
        <f t="shared" si="140"/>
        <v>4.1716328963051254E-3</v>
      </c>
      <c r="AN209" s="964">
        <f t="shared" si="157"/>
        <v>0.5</v>
      </c>
      <c r="AP209" s="1158"/>
      <c r="AQ209" s="1779"/>
      <c r="AR209" s="1779"/>
      <c r="AS209" s="175"/>
      <c r="AT209" s="175">
        <v>78</v>
      </c>
      <c r="AU209" s="111"/>
      <c r="AV209" s="111">
        <v>8.6999999999999993</v>
      </c>
      <c r="AW209" s="175">
        <f t="shared" si="135"/>
        <v>88.775510204081613</v>
      </c>
      <c r="AY209" s="111">
        <v>29</v>
      </c>
      <c r="AZ209" s="967">
        <f>AY209-DataUK1!FI56</f>
        <v>-1</v>
      </c>
      <c r="BA209" s="111">
        <f t="shared" si="137"/>
        <v>-72.2</v>
      </c>
      <c r="BB209" s="111">
        <v>101.2</v>
      </c>
      <c r="BE209" s="967">
        <f t="shared" si="139"/>
        <v>2408.5</v>
      </c>
      <c r="BF209" s="2133">
        <f t="shared" si="138"/>
        <v>1.4353396901072708</v>
      </c>
      <c r="BG209" s="385">
        <f>DataUK3!BS56</f>
        <v>1.5268176400476761</v>
      </c>
    </row>
    <row r="210" spans="1:59" s="87" customFormat="1">
      <c r="A210" s="79">
        <v>1899</v>
      </c>
      <c r="B210" s="1540">
        <f>DataUK1!B57</f>
        <v>1770</v>
      </c>
      <c r="C210" s="1162">
        <v>23.2</v>
      </c>
      <c r="D210" s="959">
        <v>15.4</v>
      </c>
      <c r="E210" s="959">
        <v>7.3</v>
      </c>
      <c r="F210" s="111">
        <f t="shared" si="141"/>
        <v>0.49999999999999911</v>
      </c>
      <c r="G210" s="1540">
        <f t="shared" si="148"/>
        <v>15.899999999999999</v>
      </c>
      <c r="H210" s="1551">
        <v>635.4</v>
      </c>
      <c r="I210" s="29">
        <f t="shared" si="149"/>
        <v>1.0745814307458144</v>
      </c>
      <c r="J210" s="959">
        <v>591.29999999999995</v>
      </c>
      <c r="K210" s="1427">
        <v>583.20000000000005</v>
      </c>
      <c r="L210" s="959">
        <f t="shared" si="150"/>
        <v>8.0999999999999091</v>
      </c>
      <c r="M210" s="29">
        <f t="shared" si="142"/>
        <v>0.35898305084745763</v>
      </c>
      <c r="N210" s="29">
        <v>0.32689999999999997</v>
      </c>
      <c r="O210" s="111">
        <v>620.6</v>
      </c>
      <c r="P210" s="29">
        <f t="shared" si="158"/>
        <v>0.97670758577274164</v>
      </c>
      <c r="Q210" s="1558">
        <f t="shared" si="159"/>
        <v>2.502360717658168E-2</v>
      </c>
      <c r="R210" s="961">
        <f t="shared" si="160"/>
        <v>2.6406035665294925E-2</v>
      </c>
      <c r="S210" s="961">
        <f t="shared" si="161"/>
        <v>9.5785440613026778E-3</v>
      </c>
      <c r="T210" s="1535">
        <f t="shared" si="162"/>
        <v>2.5620367386400254E-2</v>
      </c>
      <c r="U210" s="1162">
        <v>129.9</v>
      </c>
      <c r="V210" s="111">
        <v>143.69999999999999</v>
      </c>
      <c r="W210" s="175">
        <f t="shared" si="143"/>
        <v>136.39999999999998</v>
      </c>
      <c r="X210" s="964">
        <f t="shared" si="134"/>
        <v>-6.4999999999999716</v>
      </c>
      <c r="Y210" s="1536">
        <f t="shared" si="136"/>
        <v>3.54</v>
      </c>
      <c r="Z210" s="111">
        <f t="shared" si="144"/>
        <v>-10.039999999999971</v>
      </c>
      <c r="AA210" s="1536">
        <f t="shared" si="145"/>
        <v>0</v>
      </c>
      <c r="AB210" s="111">
        <f t="shared" si="146"/>
        <v>-3.5</v>
      </c>
      <c r="AC210" s="111">
        <f t="shared" si="151"/>
        <v>-6.4999999999999716</v>
      </c>
      <c r="AD210" s="111">
        <f t="shared" si="152"/>
        <v>-10.039999999999971</v>
      </c>
      <c r="AE210" s="111">
        <f t="shared" si="153"/>
        <v>642.58110663196828</v>
      </c>
      <c r="AF210" s="29">
        <f t="shared" si="147"/>
        <v>4.0571223909425455E-3</v>
      </c>
      <c r="AG210" s="587">
        <f t="shared" si="163"/>
        <v>5.8600000000000279</v>
      </c>
      <c r="AH210" s="964">
        <f t="shared" si="154"/>
        <v>0</v>
      </c>
      <c r="AI210" s="964">
        <v>0</v>
      </c>
      <c r="AJ210" s="964">
        <f t="shared" si="155"/>
        <v>0</v>
      </c>
      <c r="AK210" s="964">
        <f t="shared" si="156"/>
        <v>-6.4999999999999716</v>
      </c>
      <c r="AL210" s="964">
        <f>DataUK1!DK57</f>
        <v>7</v>
      </c>
      <c r="AM210" s="961">
        <f t="shared" si="140"/>
        <v>3.9548022598870055E-3</v>
      </c>
      <c r="AN210" s="964">
        <f t="shared" si="157"/>
        <v>-13.499999999999972</v>
      </c>
      <c r="AP210" s="1158"/>
      <c r="AQ210" s="1779"/>
      <c r="AR210" s="1779"/>
      <c r="AS210" s="175"/>
      <c r="AT210" s="175">
        <v>84</v>
      </c>
      <c r="AU210" s="111"/>
      <c r="AV210" s="111">
        <v>8.8000000000000007</v>
      </c>
      <c r="AW210" s="175">
        <f t="shared" si="135"/>
        <v>89.795918367346943</v>
      </c>
      <c r="AY210" s="111">
        <v>47</v>
      </c>
      <c r="AZ210" s="967">
        <f>AY210-DataUK1!FI57</f>
        <v>-1</v>
      </c>
      <c r="BA210" s="111">
        <f t="shared" si="137"/>
        <v>-56.2</v>
      </c>
      <c r="BB210" s="111">
        <v>103.2</v>
      </c>
      <c r="BE210" s="967">
        <f t="shared" si="139"/>
        <v>2437.5</v>
      </c>
      <c r="BF210" s="2133">
        <f t="shared" si="138"/>
        <v>1.3771186440677967</v>
      </c>
      <c r="BG210" s="385">
        <f>DataUK3!BS57</f>
        <v>1.464406779661017</v>
      </c>
    </row>
    <row r="211" spans="1:59" s="87" customFormat="1">
      <c r="A211" s="79">
        <v>1900</v>
      </c>
      <c r="B211" s="1540">
        <f>DataUK1!B58</f>
        <v>1822.9999999999998</v>
      </c>
      <c r="C211" s="1162">
        <v>19.8</v>
      </c>
      <c r="D211" s="959">
        <v>15.3</v>
      </c>
      <c r="E211" s="959">
        <v>2.8</v>
      </c>
      <c r="F211" s="111">
        <f t="shared" si="141"/>
        <v>1.7000000000000002</v>
      </c>
      <c r="G211" s="1540">
        <f t="shared" si="148"/>
        <v>17</v>
      </c>
      <c r="H211" s="1551">
        <v>638.9</v>
      </c>
      <c r="I211" s="29">
        <f t="shared" si="149"/>
        <v>1.1234394232459994</v>
      </c>
      <c r="J211" s="959">
        <v>568.70000000000005</v>
      </c>
      <c r="K211" s="1427">
        <v>552.6</v>
      </c>
      <c r="L211" s="959">
        <f t="shared" si="150"/>
        <v>16.100000000000023</v>
      </c>
      <c r="M211" s="29">
        <f t="shared" si="142"/>
        <v>0.35046626439934175</v>
      </c>
      <c r="N211" s="29">
        <v>0.30170000000000002</v>
      </c>
      <c r="O211" s="111">
        <v>667</v>
      </c>
      <c r="P211" s="29">
        <f t="shared" si="158"/>
        <v>1.0439818437940209</v>
      </c>
      <c r="Q211" s="1558">
        <f t="shared" si="159"/>
        <v>2.6608232900297388E-2</v>
      </c>
      <c r="R211" s="961">
        <f t="shared" si="160"/>
        <v>2.7687296416938109E-2</v>
      </c>
      <c r="S211" s="961">
        <f t="shared" si="161"/>
        <v>1.9698725376593292E-2</v>
      </c>
      <c r="T211" s="1535">
        <f t="shared" si="162"/>
        <v>2.5487256371814093E-2</v>
      </c>
      <c r="U211" s="1162">
        <v>140.19999999999999</v>
      </c>
      <c r="V211" s="111">
        <v>193.3</v>
      </c>
      <c r="W211" s="175">
        <f t="shared" si="143"/>
        <v>190.5</v>
      </c>
      <c r="X211" s="964">
        <f t="shared" si="134"/>
        <v>-50.300000000000011</v>
      </c>
      <c r="Y211" s="1536">
        <f t="shared" si="136"/>
        <v>3.6459999999999995</v>
      </c>
      <c r="Z211" s="111">
        <f t="shared" si="144"/>
        <v>-53.946000000000012</v>
      </c>
      <c r="AA211" s="1536">
        <f t="shared" si="145"/>
        <v>0</v>
      </c>
      <c r="AB211" s="111">
        <f t="shared" si="146"/>
        <v>-65</v>
      </c>
      <c r="AC211" s="111">
        <f t="shared" si="151"/>
        <v>-50.300000000000011</v>
      </c>
      <c r="AD211" s="111">
        <f t="shared" si="152"/>
        <v>-53.946000000000012</v>
      </c>
      <c r="AE211" s="111">
        <f t="shared" si="153"/>
        <v>652.62110663196825</v>
      </c>
      <c r="AF211" s="29">
        <f t="shared" si="147"/>
        <v>7.526662990657307E-3</v>
      </c>
      <c r="AG211" s="587">
        <f t="shared" si="163"/>
        <v>-36.946000000000012</v>
      </c>
      <c r="AH211" s="964">
        <f t="shared" si="154"/>
        <v>0</v>
      </c>
      <c r="AI211" s="964">
        <v>0</v>
      </c>
      <c r="AJ211" s="964">
        <f t="shared" si="155"/>
        <v>0</v>
      </c>
      <c r="AK211" s="964">
        <f t="shared" si="156"/>
        <v>-50.300000000000011</v>
      </c>
      <c r="AL211" s="964">
        <f>DataUK1!DK58</f>
        <v>8</v>
      </c>
      <c r="AM211" s="961">
        <f t="shared" si="140"/>
        <v>4.388370817334065E-3</v>
      </c>
      <c r="AN211" s="964">
        <f t="shared" si="157"/>
        <v>-58.300000000000011</v>
      </c>
      <c r="AP211" s="1158"/>
      <c r="AQ211" s="1779"/>
      <c r="AR211" s="1779"/>
      <c r="AS211" s="175"/>
      <c r="AT211" s="175">
        <v>91</v>
      </c>
      <c r="AU211" s="111"/>
      <c r="AV211" s="111">
        <v>9.1999999999999993</v>
      </c>
      <c r="AW211" s="175">
        <f t="shared" si="135"/>
        <v>93.877551020408148</v>
      </c>
      <c r="AY211" s="111">
        <v>34</v>
      </c>
      <c r="AZ211" s="967">
        <f>AY211-DataUK1!FI58</f>
        <v>-2</v>
      </c>
      <c r="BA211" s="111">
        <f t="shared" si="137"/>
        <v>-69.599999999999994</v>
      </c>
      <c r="BB211" s="111">
        <v>103.6</v>
      </c>
      <c r="BE211" s="967">
        <f t="shared" si="139"/>
        <v>2484.5</v>
      </c>
      <c r="BF211" s="2133">
        <f t="shared" si="138"/>
        <v>1.3628634119583107</v>
      </c>
      <c r="BG211" s="385">
        <f>DataUK3!BS58</f>
        <v>1.404278661546901</v>
      </c>
    </row>
    <row r="212" spans="1:59" s="87" customFormat="1">
      <c r="A212" s="79">
        <v>1901</v>
      </c>
      <c r="B212" s="1540">
        <f>DataUK1!B59</f>
        <v>1804.0000000000002</v>
      </c>
      <c r="C212" s="1162">
        <v>21.7</v>
      </c>
      <c r="D212" s="959">
        <v>15.3</v>
      </c>
      <c r="E212" s="959">
        <v>2.8</v>
      </c>
      <c r="F212" s="111">
        <f t="shared" si="141"/>
        <v>3.5999999999999988</v>
      </c>
      <c r="G212" s="1540">
        <f t="shared" si="148"/>
        <v>18.899999999999999</v>
      </c>
      <c r="H212" s="1551">
        <v>703.9</v>
      </c>
      <c r="I212" s="29">
        <f t="shared" si="149"/>
        <v>1.1185444144287304</v>
      </c>
      <c r="J212" s="959">
        <v>629.29999999999995</v>
      </c>
      <c r="K212" s="1427">
        <v>551.20000000000005</v>
      </c>
      <c r="L212" s="959">
        <f t="shared" si="150"/>
        <v>78.099999999999909</v>
      </c>
      <c r="M212" s="29">
        <f t="shared" si="142"/>
        <v>0.3901884700665188</v>
      </c>
      <c r="N212" s="29">
        <v>0.33240000000000003</v>
      </c>
      <c r="O212" s="111">
        <v>719.7</v>
      </c>
      <c r="P212" s="29">
        <f t="shared" si="158"/>
        <v>1.0224463702230431</v>
      </c>
      <c r="Q212" s="1558">
        <f t="shared" si="159"/>
        <v>2.6850404887057821E-2</v>
      </c>
      <c r="R212" s="961">
        <f t="shared" si="160"/>
        <v>2.7757619738751814E-2</v>
      </c>
      <c r="S212" s="961">
        <f t="shared" si="161"/>
        <v>2.3575638506876231E-2</v>
      </c>
      <c r="T212" s="1535">
        <f t="shared" si="162"/>
        <v>2.6260942059191324E-2</v>
      </c>
      <c r="U212" s="1162">
        <v>152.69999999999999</v>
      </c>
      <c r="V212" s="111">
        <v>205.2</v>
      </c>
      <c r="W212" s="175">
        <f t="shared" si="143"/>
        <v>202.39999999999998</v>
      </c>
      <c r="X212" s="964">
        <f t="shared" si="134"/>
        <v>-49.699999999999989</v>
      </c>
      <c r="Y212" s="1536">
        <f t="shared" si="136"/>
        <v>3.6080000000000005</v>
      </c>
      <c r="Z212" s="111">
        <f t="shared" si="144"/>
        <v>-53.307999999999993</v>
      </c>
      <c r="AA212" s="1536">
        <f t="shared" si="145"/>
        <v>0</v>
      </c>
      <c r="AB212" s="111">
        <f t="shared" si="146"/>
        <v>-61.300000000000068</v>
      </c>
      <c r="AC212" s="111">
        <f t="shared" si="151"/>
        <v>-49.699999999999989</v>
      </c>
      <c r="AD212" s="111">
        <f t="shared" si="152"/>
        <v>-53.307999999999993</v>
      </c>
      <c r="AE212" s="111">
        <f t="shared" si="153"/>
        <v>706.56710663196827</v>
      </c>
      <c r="AF212" s="29">
        <f t="shared" si="147"/>
        <v>1.4784404833527132E-3</v>
      </c>
      <c r="AG212" s="587">
        <f t="shared" si="163"/>
        <v>-34.407999999999994</v>
      </c>
      <c r="AH212" s="964">
        <f t="shared" si="154"/>
        <v>0</v>
      </c>
      <c r="AI212" s="964">
        <v>0</v>
      </c>
      <c r="AJ212" s="964">
        <f t="shared" si="155"/>
        <v>0</v>
      </c>
      <c r="AK212" s="964">
        <f t="shared" si="156"/>
        <v>-49.699999999999989</v>
      </c>
      <c r="AL212" s="964">
        <f>DataUK1!DK59</f>
        <v>8</v>
      </c>
      <c r="AM212" s="961">
        <f t="shared" si="140"/>
        <v>4.4345898004434581E-3</v>
      </c>
      <c r="AN212" s="964">
        <f t="shared" si="157"/>
        <v>-57.699999999999989</v>
      </c>
      <c r="AP212" s="1158"/>
      <c r="AQ212" s="1779"/>
      <c r="AR212" s="1779"/>
      <c r="AS212" s="175"/>
      <c r="AT212" s="175">
        <v>86</v>
      </c>
      <c r="AU212" s="111"/>
      <c r="AV212" s="111">
        <v>9.1999999999999993</v>
      </c>
      <c r="AW212" s="175">
        <f t="shared" si="135"/>
        <v>93.877551020408148</v>
      </c>
      <c r="AY212" s="111">
        <v>19</v>
      </c>
      <c r="AZ212" s="967">
        <f>AY212-DataUK1!FI59</f>
        <v>-5</v>
      </c>
      <c r="BA212" s="111">
        <f t="shared" si="137"/>
        <v>-87.5</v>
      </c>
      <c r="BB212" s="111">
        <v>106.5</v>
      </c>
      <c r="BE212" s="967">
        <f t="shared" si="139"/>
        <v>2518.5</v>
      </c>
      <c r="BF212" s="2133">
        <f t="shared" si="138"/>
        <v>1.3960643015521061</v>
      </c>
      <c r="BG212" s="385">
        <f>DataUK3!BS59</f>
        <v>1.4390243902439022</v>
      </c>
    </row>
    <row r="213" spans="1:59" s="87" customFormat="1">
      <c r="A213" s="79">
        <v>1902</v>
      </c>
      <c r="B213" s="1540">
        <f>DataUK1!B60</f>
        <v>1833</v>
      </c>
      <c r="C213" s="1162">
        <v>27.2</v>
      </c>
      <c r="D213" s="959">
        <v>15.2</v>
      </c>
      <c r="E213" s="959">
        <v>7.3</v>
      </c>
      <c r="F213" s="111">
        <f t="shared" si="141"/>
        <v>4.7</v>
      </c>
      <c r="G213" s="1540">
        <f t="shared" si="148"/>
        <v>19.899999999999999</v>
      </c>
      <c r="H213" s="1551">
        <v>765.2</v>
      </c>
      <c r="I213" s="29">
        <f t="shared" si="149"/>
        <v>1.1175697385716372</v>
      </c>
      <c r="J213" s="959">
        <v>684.7</v>
      </c>
      <c r="K213" s="1427">
        <v>609.6</v>
      </c>
      <c r="L213" s="959">
        <f t="shared" si="150"/>
        <v>75.100000000000023</v>
      </c>
      <c r="M213" s="29">
        <f t="shared" si="142"/>
        <v>0.41745771958537919</v>
      </c>
      <c r="N213" s="29">
        <v>0.35920000000000002</v>
      </c>
      <c r="O213" s="111">
        <v>778.6</v>
      </c>
      <c r="P213" s="29">
        <f t="shared" si="158"/>
        <v>1.0175117616309461</v>
      </c>
      <c r="Q213" s="1558">
        <f t="shared" si="159"/>
        <v>2.6006272869837949E-2</v>
      </c>
      <c r="R213" s="961">
        <f t="shared" si="160"/>
        <v>2.4934383202099734E-2</v>
      </c>
      <c r="S213" s="961">
        <f t="shared" si="161"/>
        <v>3.0205655526992285E-2</v>
      </c>
      <c r="T213" s="1535">
        <f t="shared" si="162"/>
        <v>2.5558695093758025E-2</v>
      </c>
      <c r="U213" s="1162">
        <v>161.30000000000001</v>
      </c>
      <c r="V213" s="111">
        <v>194.2</v>
      </c>
      <c r="W213" s="175">
        <f t="shared" si="143"/>
        <v>186.89999999999998</v>
      </c>
      <c r="X213" s="964">
        <f t="shared" si="134"/>
        <v>-25.599999999999966</v>
      </c>
      <c r="Y213" s="1536">
        <f t="shared" si="136"/>
        <v>3.6659999999999999</v>
      </c>
      <c r="Z213" s="111">
        <f t="shared" si="144"/>
        <v>-29.265999999999966</v>
      </c>
      <c r="AA213" s="1536">
        <f t="shared" si="145"/>
        <v>0</v>
      </c>
      <c r="AB213" s="111">
        <f t="shared" si="146"/>
        <v>-33.099999999999909</v>
      </c>
      <c r="AC213" s="111">
        <f t="shared" si="151"/>
        <v>-25.599999999999966</v>
      </c>
      <c r="AD213" s="111">
        <f t="shared" si="152"/>
        <v>-29.265999999999966</v>
      </c>
      <c r="AE213" s="111">
        <f t="shared" si="153"/>
        <v>759.87510663196826</v>
      </c>
      <c r="AF213" s="29">
        <f t="shared" si="147"/>
        <v>-2.9050154762857504E-3</v>
      </c>
      <c r="AG213" s="587">
        <f t="shared" si="163"/>
        <v>-9.3659999999999677</v>
      </c>
      <c r="AH213" s="964">
        <f t="shared" si="154"/>
        <v>0</v>
      </c>
      <c r="AI213" s="964">
        <v>0</v>
      </c>
      <c r="AJ213" s="964">
        <f t="shared" si="155"/>
        <v>0</v>
      </c>
      <c r="AK213" s="964">
        <f t="shared" si="156"/>
        <v>-25.599999999999966</v>
      </c>
      <c r="AL213" s="964">
        <f>DataUK1!DK60</f>
        <v>10</v>
      </c>
      <c r="AM213" s="961">
        <f t="shared" si="140"/>
        <v>5.4555373704309879E-3</v>
      </c>
      <c r="AN213" s="964">
        <f t="shared" si="157"/>
        <v>-35.599999999999966</v>
      </c>
      <c r="AP213" s="1158"/>
      <c r="AQ213" s="1779"/>
      <c r="AR213" s="1779"/>
      <c r="AS213" s="175"/>
      <c r="AT213" s="175">
        <v>86</v>
      </c>
      <c r="AU213" s="111"/>
      <c r="AV213" s="111">
        <v>9.1999999999999993</v>
      </c>
      <c r="AW213" s="175">
        <f t="shared" si="135"/>
        <v>93.877551020408148</v>
      </c>
      <c r="AY213" s="111">
        <v>24</v>
      </c>
      <c r="AZ213" s="967">
        <f>AY213-DataUK1!FI60</f>
        <v>-8</v>
      </c>
      <c r="BA213" s="111">
        <f t="shared" si="137"/>
        <v>-85.1</v>
      </c>
      <c r="BB213" s="111">
        <v>109.1</v>
      </c>
      <c r="BE213" s="967">
        <f t="shared" si="139"/>
        <v>2537.5</v>
      </c>
      <c r="BF213" s="2133">
        <f t="shared" si="138"/>
        <v>1.384342607746863</v>
      </c>
      <c r="BG213" s="385">
        <f>DataUK3!BS60</f>
        <v>1.4293507910529186</v>
      </c>
    </row>
    <row r="214" spans="1:59" s="87" customFormat="1">
      <c r="A214" s="79">
        <v>1903</v>
      </c>
      <c r="B214" s="1540">
        <f>DataUK1!B61</f>
        <v>1807</v>
      </c>
      <c r="C214" s="1162">
        <v>25.5</v>
      </c>
      <c r="D214" s="959">
        <v>16.600000000000001</v>
      </c>
      <c r="E214" s="959">
        <v>6.5</v>
      </c>
      <c r="F214" s="111">
        <f t="shared" si="141"/>
        <v>2.3999999999999986</v>
      </c>
      <c r="G214" s="1540">
        <f t="shared" si="148"/>
        <v>19</v>
      </c>
      <c r="H214" s="1551">
        <v>798.3</v>
      </c>
      <c r="I214" s="29">
        <f t="shared" si="149"/>
        <v>1.1161912751677852</v>
      </c>
      <c r="J214" s="959">
        <v>715.2</v>
      </c>
      <c r="K214" s="1427">
        <v>640.1</v>
      </c>
      <c r="L214" s="959">
        <f t="shared" si="150"/>
        <v>75.100000000000023</v>
      </c>
      <c r="M214" s="29">
        <f t="shared" si="142"/>
        <v>0.4417819590481461</v>
      </c>
      <c r="N214" s="29">
        <v>0.38020000000000004</v>
      </c>
      <c r="O214" s="111">
        <v>777.3</v>
      </c>
      <c r="P214" s="29">
        <f t="shared" si="158"/>
        <v>0.97369409996242018</v>
      </c>
      <c r="Q214" s="1558">
        <f t="shared" si="159"/>
        <v>2.3800576224477014E-2</v>
      </c>
      <c r="R214" s="961">
        <f t="shared" si="160"/>
        <v>2.5933447898765821E-2</v>
      </c>
      <c r="S214" s="961">
        <f t="shared" si="161"/>
        <v>1.5170670037926673E-2</v>
      </c>
      <c r="T214" s="1535">
        <f t="shared" si="162"/>
        <v>2.4443586774733052E-2</v>
      </c>
      <c r="U214" s="1162">
        <v>151.30000000000001</v>
      </c>
      <c r="V214" s="111">
        <v>155.30000000000001</v>
      </c>
      <c r="W214" s="175">
        <f t="shared" si="143"/>
        <v>148.80000000000001</v>
      </c>
      <c r="X214" s="964">
        <f t="shared" si="134"/>
        <v>2.5</v>
      </c>
      <c r="Y214" s="1536">
        <f t="shared" si="136"/>
        <v>3.6139999999999999</v>
      </c>
      <c r="Z214" s="111">
        <f t="shared" si="144"/>
        <v>-1.1139999999999999</v>
      </c>
      <c r="AA214" s="1536">
        <f t="shared" si="145"/>
        <v>0</v>
      </c>
      <c r="AB214" s="111">
        <f t="shared" si="146"/>
        <v>3.7999999999999545</v>
      </c>
      <c r="AC214" s="111">
        <f t="shared" si="151"/>
        <v>2.5</v>
      </c>
      <c r="AD214" s="111">
        <f t="shared" si="152"/>
        <v>-1.1139999999999999</v>
      </c>
      <c r="AE214" s="111">
        <f t="shared" si="153"/>
        <v>789.14110663196823</v>
      </c>
      <c r="AF214" s="29">
        <f t="shared" si="147"/>
        <v>-5.0685630149594502E-3</v>
      </c>
      <c r="AG214" s="587">
        <f t="shared" si="163"/>
        <v>17.885999999999999</v>
      </c>
      <c r="AH214" s="964">
        <f t="shared" si="154"/>
        <v>0</v>
      </c>
      <c r="AI214" s="964">
        <v>0</v>
      </c>
      <c r="AJ214" s="964">
        <f t="shared" si="155"/>
        <v>0</v>
      </c>
      <c r="AK214" s="964">
        <f t="shared" si="156"/>
        <v>2.5</v>
      </c>
      <c r="AL214" s="964">
        <f>DataUK1!DK61</f>
        <v>11</v>
      </c>
      <c r="AM214" s="961">
        <f t="shared" si="140"/>
        <v>6.0874377421140007E-3</v>
      </c>
      <c r="AN214" s="964">
        <f t="shared" si="157"/>
        <v>-8.5</v>
      </c>
      <c r="AP214" s="1158"/>
      <c r="AQ214" s="1779"/>
      <c r="AR214" s="1779"/>
      <c r="AS214" s="175"/>
      <c r="AT214" s="175">
        <v>86</v>
      </c>
      <c r="AU214" s="111"/>
      <c r="AV214" s="111">
        <v>9.3000000000000007</v>
      </c>
      <c r="AW214" s="175">
        <f t="shared" si="135"/>
        <v>94.897959183673478</v>
      </c>
      <c r="AY214" s="111">
        <v>43</v>
      </c>
      <c r="AZ214" s="967">
        <f>AY214-DataUK1!FI61</f>
        <v>-5</v>
      </c>
      <c r="BA214" s="111">
        <f t="shared" si="137"/>
        <v>-69.2</v>
      </c>
      <c r="BB214" s="111">
        <v>112.2</v>
      </c>
      <c r="BE214" s="967">
        <f t="shared" si="139"/>
        <v>2561.5</v>
      </c>
      <c r="BF214" s="2133">
        <f t="shared" si="138"/>
        <v>1.4175428887659103</v>
      </c>
      <c r="BG214" s="385">
        <f>DataUK3!BS61</f>
        <v>1.4833858665575901</v>
      </c>
    </row>
    <row r="215" spans="1:59" s="87" customFormat="1">
      <c r="A215" s="79">
        <v>1904</v>
      </c>
      <c r="B215" s="1540">
        <f>DataUK1!B62</f>
        <v>1797.9999999999998</v>
      </c>
      <c r="C215" s="1162">
        <v>24.8</v>
      </c>
      <c r="D215" s="959">
        <v>16.100000000000001</v>
      </c>
      <c r="E215" s="959">
        <v>6.5</v>
      </c>
      <c r="F215" s="111">
        <f t="shared" si="141"/>
        <v>2.1999999999999993</v>
      </c>
      <c r="G215" s="1540">
        <f t="shared" si="148"/>
        <v>18.3</v>
      </c>
      <c r="H215" s="1551">
        <v>794.5</v>
      </c>
      <c r="I215" s="29">
        <f t="shared" si="149"/>
        <v>1.1169689301279349</v>
      </c>
      <c r="J215" s="959">
        <v>711.3</v>
      </c>
      <c r="K215" s="1427">
        <v>637.6</v>
      </c>
      <c r="L215" s="959">
        <f t="shared" si="150"/>
        <v>73.699999999999932</v>
      </c>
      <c r="M215" s="29">
        <f t="shared" si="142"/>
        <v>0.44187986651835376</v>
      </c>
      <c r="N215" s="29">
        <v>0.37810000000000005</v>
      </c>
      <c r="O215" s="111">
        <v>787.3</v>
      </c>
      <c r="P215" s="29">
        <f t="shared" si="158"/>
        <v>0.99093769666456888</v>
      </c>
      <c r="Q215" s="1558">
        <f t="shared" si="159"/>
        <v>2.3033354310887353E-2</v>
      </c>
      <c r="R215" s="961">
        <f t="shared" si="160"/>
        <v>2.525094102885822E-2</v>
      </c>
      <c r="S215" s="961">
        <f t="shared" si="161"/>
        <v>1.4021669853409812E-2</v>
      </c>
      <c r="T215" s="1535">
        <f t="shared" si="162"/>
        <v>2.3243998475803381E-2</v>
      </c>
      <c r="U215" s="1162">
        <v>153.19999999999999</v>
      </c>
      <c r="V215" s="111">
        <v>149.5</v>
      </c>
      <c r="W215" s="175">
        <f t="shared" si="143"/>
        <v>143</v>
      </c>
      <c r="X215" s="964">
        <f t="shared" si="134"/>
        <v>10.199999999999989</v>
      </c>
      <c r="Y215" s="1536">
        <f t="shared" si="136"/>
        <v>3.5959999999999996</v>
      </c>
      <c r="Z215" s="111">
        <f t="shared" si="144"/>
        <v>6.6039999999999885</v>
      </c>
      <c r="AA215" s="1536">
        <f t="shared" si="145"/>
        <v>0</v>
      </c>
      <c r="AB215" s="111">
        <f t="shared" si="146"/>
        <v>-2.2000000000000455</v>
      </c>
      <c r="AC215" s="111">
        <f t="shared" si="151"/>
        <v>10.199999999999989</v>
      </c>
      <c r="AD215" s="111">
        <f t="shared" si="152"/>
        <v>6.6039999999999885</v>
      </c>
      <c r="AE215" s="111">
        <f t="shared" si="153"/>
        <v>790.25510663196826</v>
      </c>
      <c r="AF215" s="29">
        <f t="shared" si="147"/>
        <v>-2.3608973125871747E-3</v>
      </c>
      <c r="AG215" s="587">
        <f t="shared" si="163"/>
        <v>24.903999999999989</v>
      </c>
      <c r="AH215" s="964">
        <f t="shared" si="154"/>
        <v>0</v>
      </c>
      <c r="AI215" s="964">
        <v>0</v>
      </c>
      <c r="AJ215" s="964">
        <f t="shared" si="155"/>
        <v>0</v>
      </c>
      <c r="AK215" s="964">
        <f t="shared" si="156"/>
        <v>10.199999999999989</v>
      </c>
      <c r="AL215" s="964">
        <f>DataUK1!DK62</f>
        <v>14</v>
      </c>
      <c r="AM215" s="961">
        <f t="shared" si="140"/>
        <v>7.7864293659621808E-3</v>
      </c>
      <c r="AN215" s="964">
        <f t="shared" si="157"/>
        <v>-3.8000000000000114</v>
      </c>
      <c r="AP215" s="1158"/>
      <c r="AQ215" s="1779"/>
      <c r="AR215" s="1779"/>
      <c r="AS215" s="175"/>
      <c r="AT215" s="175">
        <v>83</v>
      </c>
      <c r="AU215" s="111"/>
      <c r="AV215" s="111">
        <v>9.3000000000000007</v>
      </c>
      <c r="AW215" s="175">
        <f t="shared" si="135"/>
        <v>94.897959183673478</v>
      </c>
      <c r="AY215" s="111">
        <v>52</v>
      </c>
      <c r="AZ215" s="967">
        <f>AY215-DataUK1!FI62</f>
        <v>-2</v>
      </c>
      <c r="BA215" s="111">
        <f t="shared" si="137"/>
        <v>-61.400000000000006</v>
      </c>
      <c r="BB215" s="111">
        <v>113.4</v>
      </c>
      <c r="BE215" s="967">
        <f t="shared" si="139"/>
        <v>2604.5</v>
      </c>
      <c r="BF215" s="2133">
        <f t="shared" si="138"/>
        <v>1.4485539488320358</v>
      </c>
      <c r="BG215" s="385">
        <f>DataUK3!BS62</f>
        <v>1.517507375344586</v>
      </c>
    </row>
    <row r="216" spans="1:59" s="87" customFormat="1">
      <c r="A216" s="79">
        <v>1905</v>
      </c>
      <c r="B216" s="1540">
        <f>DataUK1!B63</f>
        <v>1877</v>
      </c>
      <c r="C216" s="1162">
        <v>24.6</v>
      </c>
      <c r="D216" s="959">
        <v>16.100000000000001</v>
      </c>
      <c r="E216" s="959">
        <v>6.5</v>
      </c>
      <c r="F216" s="111">
        <f t="shared" si="141"/>
        <v>2</v>
      </c>
      <c r="G216" s="1540">
        <f t="shared" si="148"/>
        <v>18.100000000000001</v>
      </c>
      <c r="H216" s="1551">
        <v>796.7</v>
      </c>
      <c r="I216" s="29">
        <f t="shared" si="149"/>
        <v>1.1263961543899337</v>
      </c>
      <c r="J216" s="959">
        <v>707.3</v>
      </c>
      <c r="K216" s="1427">
        <v>635.70000000000005</v>
      </c>
      <c r="L216" s="959">
        <f t="shared" si="150"/>
        <v>71.599999999999909</v>
      </c>
      <c r="M216" s="29">
        <f t="shared" si="142"/>
        <v>0.42445391582312203</v>
      </c>
      <c r="N216" s="29">
        <v>0.3629</v>
      </c>
      <c r="O216" s="111">
        <v>810.2</v>
      </c>
      <c r="P216" s="29">
        <f t="shared" si="158"/>
        <v>1.0169448977030249</v>
      </c>
      <c r="Q216" s="1558">
        <f t="shared" si="159"/>
        <v>2.2718714698129788E-2</v>
      </c>
      <c r="R216" s="961">
        <f t="shared" si="160"/>
        <v>2.5326411829479315E-2</v>
      </c>
      <c r="S216" s="961">
        <f t="shared" si="161"/>
        <v>1.2422360248447204E-2</v>
      </c>
      <c r="T216" s="1535">
        <f t="shared" si="162"/>
        <v>2.2340162922735128E-2</v>
      </c>
      <c r="U216" s="1162">
        <v>153.9</v>
      </c>
      <c r="V216" s="111">
        <v>147</v>
      </c>
      <c r="W216" s="175">
        <f t="shared" si="143"/>
        <v>140.5</v>
      </c>
      <c r="X216" s="964">
        <f t="shared" si="134"/>
        <v>13.400000000000006</v>
      </c>
      <c r="Y216" s="1536">
        <f t="shared" si="136"/>
        <v>3.754</v>
      </c>
      <c r="Z216" s="111">
        <f t="shared" si="144"/>
        <v>9.6460000000000061</v>
      </c>
      <c r="AA216" s="1536">
        <f t="shared" si="145"/>
        <v>0</v>
      </c>
      <c r="AB216" s="111">
        <f t="shared" si="146"/>
        <v>7.7000000000000455</v>
      </c>
      <c r="AC216" s="111">
        <f t="shared" si="151"/>
        <v>13.400000000000006</v>
      </c>
      <c r="AD216" s="111">
        <f t="shared" si="152"/>
        <v>9.6460000000000061</v>
      </c>
      <c r="AE216" s="111">
        <f t="shared" si="153"/>
        <v>783.65110663196822</v>
      </c>
      <c r="AF216" s="29">
        <f t="shared" si="147"/>
        <v>-6.9519943356589385E-3</v>
      </c>
      <c r="AG216" s="587">
        <f t="shared" si="163"/>
        <v>27.746000000000009</v>
      </c>
      <c r="AH216" s="964">
        <f t="shared" si="154"/>
        <v>0</v>
      </c>
      <c r="AI216" s="964">
        <v>0</v>
      </c>
      <c r="AJ216" s="964">
        <f t="shared" si="155"/>
        <v>0</v>
      </c>
      <c r="AK216" s="964">
        <f t="shared" si="156"/>
        <v>13.400000000000006</v>
      </c>
      <c r="AL216" s="964">
        <f>DataUK1!DK63</f>
        <v>13</v>
      </c>
      <c r="AM216" s="961">
        <f t="shared" si="140"/>
        <v>6.9259456579648373E-3</v>
      </c>
      <c r="AN216" s="964">
        <f t="shared" si="157"/>
        <v>0.40000000000000568</v>
      </c>
      <c r="AP216" s="1158"/>
      <c r="AQ216" s="1779"/>
      <c r="AR216" s="1779"/>
      <c r="AS216" s="175"/>
      <c r="AT216" s="175">
        <v>86</v>
      </c>
      <c r="AU216" s="111"/>
      <c r="AV216" s="111">
        <v>9.3000000000000007</v>
      </c>
      <c r="AW216" s="175">
        <f t="shared" si="135"/>
        <v>94.897959183673478</v>
      </c>
      <c r="AY216" s="111">
        <v>88</v>
      </c>
      <c r="AZ216" s="967">
        <f>AY216-DataUK1!FI63</f>
        <v>-3</v>
      </c>
      <c r="BA216" s="111">
        <f t="shared" si="137"/>
        <v>-35.5</v>
      </c>
      <c r="BB216" s="111">
        <v>123.5</v>
      </c>
      <c r="BE216" s="967">
        <f t="shared" si="139"/>
        <v>2656.5</v>
      </c>
      <c r="BF216" s="2133">
        <f t="shared" si="138"/>
        <v>1.4152903569525839</v>
      </c>
      <c r="BG216" s="385">
        <f>DataUK3!BS63</f>
        <v>1.4824071714808553</v>
      </c>
    </row>
    <row r="217" spans="1:59" s="87" customFormat="1">
      <c r="A217" s="79">
        <v>1906</v>
      </c>
      <c r="B217" s="1540">
        <f>DataUK1!B64</f>
        <v>1979.9999999999998</v>
      </c>
      <c r="C217" s="1162">
        <v>22.5</v>
      </c>
      <c r="D217" s="959">
        <v>16</v>
      </c>
      <c r="E217" s="959">
        <v>4.7</v>
      </c>
      <c r="F217" s="111">
        <f t="shared" si="141"/>
        <v>1.7999999999999998</v>
      </c>
      <c r="G217" s="1540">
        <f t="shared" si="148"/>
        <v>17.8</v>
      </c>
      <c r="H217" s="1551">
        <v>789</v>
      </c>
      <c r="I217" s="29">
        <f t="shared" si="149"/>
        <v>1.1274649899971421</v>
      </c>
      <c r="J217" s="959">
        <v>699.8</v>
      </c>
      <c r="K217" s="1427">
        <v>634</v>
      </c>
      <c r="L217" s="959">
        <f t="shared" si="150"/>
        <v>65.799999999999955</v>
      </c>
      <c r="M217" s="29">
        <f t="shared" si="142"/>
        <v>0.39848484848484855</v>
      </c>
      <c r="N217" s="29">
        <v>0.34420000000000001</v>
      </c>
      <c r="O217" s="111">
        <v>781.2</v>
      </c>
      <c r="P217" s="29">
        <f t="shared" si="158"/>
        <v>0.99011406844106464</v>
      </c>
      <c r="Q217" s="1558">
        <f t="shared" si="159"/>
        <v>2.2560202788339673E-2</v>
      </c>
      <c r="R217" s="961">
        <f t="shared" si="160"/>
        <v>2.5236593059936908E-2</v>
      </c>
      <c r="S217" s="961">
        <f t="shared" si="161"/>
        <v>1.1612903225806451E-2</v>
      </c>
      <c r="T217" s="1535">
        <f t="shared" si="162"/>
        <v>2.2785458269329237E-2</v>
      </c>
      <c r="U217" s="1162">
        <v>155</v>
      </c>
      <c r="V217" s="111">
        <v>143.69999999999999</v>
      </c>
      <c r="W217" s="175">
        <f t="shared" si="143"/>
        <v>139</v>
      </c>
      <c r="X217" s="964">
        <f t="shared" si="134"/>
        <v>16</v>
      </c>
      <c r="Y217" s="1536">
        <f t="shared" si="136"/>
        <v>3.9599999999999995</v>
      </c>
      <c r="Z217" s="111">
        <f t="shared" si="144"/>
        <v>12.040000000000001</v>
      </c>
      <c r="AA217" s="1536">
        <f t="shared" si="145"/>
        <v>0</v>
      </c>
      <c r="AB217" s="111">
        <f t="shared" si="146"/>
        <v>9.7999999999999545</v>
      </c>
      <c r="AC217" s="111">
        <f t="shared" si="151"/>
        <v>16</v>
      </c>
      <c r="AD217" s="111">
        <f t="shared" si="152"/>
        <v>12.040000000000001</v>
      </c>
      <c r="AE217" s="111">
        <f t="shared" si="153"/>
        <v>774.00510663196826</v>
      </c>
      <c r="AF217" s="29">
        <f t="shared" si="147"/>
        <v>-7.5731784687028993E-3</v>
      </c>
      <c r="AG217" s="587">
        <f t="shared" si="163"/>
        <v>29.840000000000003</v>
      </c>
      <c r="AH217" s="964">
        <f t="shared" si="154"/>
        <v>0</v>
      </c>
      <c r="AI217" s="964">
        <v>0</v>
      </c>
      <c r="AJ217" s="964">
        <f t="shared" si="155"/>
        <v>0</v>
      </c>
      <c r="AK217" s="964">
        <f t="shared" si="156"/>
        <v>16</v>
      </c>
      <c r="AL217" s="964">
        <f>DataUK1!DK64</f>
        <v>14</v>
      </c>
      <c r="AM217" s="961">
        <f t="shared" si="140"/>
        <v>7.0707070707070711E-3</v>
      </c>
      <c r="AN217" s="964">
        <f t="shared" si="157"/>
        <v>2</v>
      </c>
      <c r="AP217" s="1158"/>
      <c r="AQ217" s="1779"/>
      <c r="AR217" s="1779"/>
      <c r="AS217" s="175"/>
      <c r="AT217" s="175">
        <v>93</v>
      </c>
      <c r="AU217" s="111"/>
      <c r="AV217" s="111">
        <v>9.3000000000000007</v>
      </c>
      <c r="AW217" s="175">
        <f t="shared" ref="AW217:AW223" si="164">AW218*AV217/AV218</f>
        <v>94.897959183673478</v>
      </c>
      <c r="AY217" s="111">
        <v>121</v>
      </c>
      <c r="AZ217" s="967">
        <f>AY217-DataUK1!FI64</f>
        <v>-3</v>
      </c>
      <c r="BA217" s="111">
        <f t="shared" si="137"/>
        <v>-13.300000000000011</v>
      </c>
      <c r="BB217" s="111">
        <v>134.30000000000001</v>
      </c>
      <c r="BE217" s="967">
        <f t="shared" si="139"/>
        <v>2744.5</v>
      </c>
      <c r="BF217" s="2133">
        <f t="shared" si="138"/>
        <v>1.3861111111111113</v>
      </c>
      <c r="BG217" s="385">
        <f>DataUK3!BS64</f>
        <v>1.451251646903821</v>
      </c>
    </row>
    <row r="218" spans="1:59" s="87" customFormat="1">
      <c r="A218" s="79">
        <v>1907</v>
      </c>
      <c r="B218" s="1540">
        <f>DataUK1!B65</f>
        <v>2076</v>
      </c>
      <c r="C218" s="1162">
        <v>21.1</v>
      </c>
      <c r="D218" s="959">
        <v>16</v>
      </c>
      <c r="E218" s="959">
        <v>3.6</v>
      </c>
      <c r="F218" s="111">
        <f t="shared" si="141"/>
        <v>1.5000000000000013</v>
      </c>
      <c r="G218" s="1540">
        <f t="shared" si="148"/>
        <v>17.5</v>
      </c>
      <c r="H218" s="1551">
        <v>779.2</v>
      </c>
      <c r="I218" s="29">
        <f t="shared" si="149"/>
        <v>1.1398478642480983</v>
      </c>
      <c r="J218" s="959">
        <v>683.6</v>
      </c>
      <c r="K218" s="1427">
        <v>631.9</v>
      </c>
      <c r="L218" s="959">
        <f t="shared" si="150"/>
        <v>51.700000000000045</v>
      </c>
      <c r="M218" s="29">
        <f t="shared" si="142"/>
        <v>0.37533718689788054</v>
      </c>
      <c r="N218" s="29">
        <v>0.32350000000000001</v>
      </c>
      <c r="O218" s="111">
        <v>741.3</v>
      </c>
      <c r="P218" s="29">
        <f t="shared" si="158"/>
        <v>0.95136036960985615</v>
      </c>
      <c r="Q218" s="1558">
        <f t="shared" si="159"/>
        <v>2.2458932238193018E-2</v>
      </c>
      <c r="R218" s="961">
        <f t="shared" si="160"/>
        <v>2.5320462098433298E-2</v>
      </c>
      <c r="S218" s="961">
        <f t="shared" si="161"/>
        <v>1.018329938900204E-2</v>
      </c>
      <c r="T218" s="1535">
        <f t="shared" si="162"/>
        <v>2.3607176581680833E-2</v>
      </c>
      <c r="U218" s="1162">
        <v>156.5</v>
      </c>
      <c r="V218" s="111">
        <v>143.4</v>
      </c>
      <c r="W218" s="175">
        <f t="shared" si="143"/>
        <v>139.80000000000001</v>
      </c>
      <c r="X218" s="964">
        <f t="shared" si="134"/>
        <v>16.699999999999989</v>
      </c>
      <c r="Y218" s="1536">
        <f t="shared" si="136"/>
        <v>4.1520000000000001</v>
      </c>
      <c r="Z218" s="111">
        <f t="shared" si="144"/>
        <v>12.547999999999988</v>
      </c>
      <c r="AA218" s="1536">
        <f t="shared" si="145"/>
        <v>0</v>
      </c>
      <c r="AB218" s="111">
        <f t="shared" si="146"/>
        <v>16.900000000000091</v>
      </c>
      <c r="AC218" s="111">
        <f t="shared" si="151"/>
        <v>16.699999999999989</v>
      </c>
      <c r="AD218" s="111">
        <f t="shared" si="152"/>
        <v>12.547999999999988</v>
      </c>
      <c r="AE218" s="111">
        <f t="shared" si="153"/>
        <v>761.9651066319683</v>
      </c>
      <c r="AF218" s="29">
        <f t="shared" si="147"/>
        <v>-8.3019717572407267E-3</v>
      </c>
      <c r="AG218" s="587">
        <f t="shared" si="163"/>
        <v>30.047999999999988</v>
      </c>
      <c r="AH218" s="964">
        <f t="shared" si="154"/>
        <v>0</v>
      </c>
      <c r="AI218" s="964">
        <v>0</v>
      </c>
      <c r="AJ218" s="964">
        <f t="shared" si="155"/>
        <v>0</v>
      </c>
      <c r="AK218" s="964">
        <f t="shared" si="156"/>
        <v>16.699999999999989</v>
      </c>
      <c r="AL218" s="964">
        <f>DataUK1!DK65</f>
        <v>15</v>
      </c>
      <c r="AM218" s="961">
        <f t="shared" si="140"/>
        <v>7.2254335260115606E-3</v>
      </c>
      <c r="AN218" s="964">
        <f t="shared" si="157"/>
        <v>1.6999999999999886</v>
      </c>
      <c r="AP218" s="1158"/>
      <c r="AQ218" s="1779"/>
      <c r="AR218" s="1779"/>
      <c r="AS218" s="175"/>
      <c r="AT218" s="175">
        <v>97</v>
      </c>
      <c r="AU218" s="111"/>
      <c r="AV218" s="111">
        <v>9.4</v>
      </c>
      <c r="AW218" s="175">
        <f t="shared" si="164"/>
        <v>95.91836734693878</v>
      </c>
      <c r="AY218" s="111">
        <v>162</v>
      </c>
      <c r="AZ218" s="967">
        <f>AY218-DataUK1!FI65</f>
        <v>-4</v>
      </c>
      <c r="BA218" s="111">
        <f t="shared" si="137"/>
        <v>18.199999999999989</v>
      </c>
      <c r="BB218" s="111">
        <v>143.80000000000001</v>
      </c>
      <c r="BE218" s="967">
        <f t="shared" si="139"/>
        <v>2865.5</v>
      </c>
      <c r="BF218" s="2133">
        <f t="shared" si="138"/>
        <v>1.3802986512524085</v>
      </c>
      <c r="BG218" s="385">
        <f>DataUK3!BS65</f>
        <v>1.458755239199345</v>
      </c>
    </row>
    <row r="219" spans="1:59" s="87" customFormat="1">
      <c r="A219" s="79">
        <v>1908</v>
      </c>
      <c r="B219" s="1540">
        <f>DataUK1!B66</f>
        <v>1981</v>
      </c>
      <c r="C219" s="1162">
        <v>21.5</v>
      </c>
      <c r="D219" s="959">
        <v>15.8</v>
      </c>
      <c r="E219" s="959">
        <v>3.6</v>
      </c>
      <c r="F219" s="111">
        <f t="shared" si="141"/>
        <v>2.0999999999999992</v>
      </c>
      <c r="G219" s="1540">
        <f t="shared" si="148"/>
        <v>17.899999999999999</v>
      </c>
      <c r="H219" s="1551">
        <v>762.3</v>
      </c>
      <c r="I219" s="29">
        <f t="shared" si="149"/>
        <v>1.1384408602150538</v>
      </c>
      <c r="J219" s="959">
        <v>669.6</v>
      </c>
      <c r="K219" s="1427">
        <v>625.6</v>
      </c>
      <c r="L219" s="959">
        <f t="shared" si="150"/>
        <v>44</v>
      </c>
      <c r="M219" s="29">
        <f t="shared" si="142"/>
        <v>0.38480565371024733</v>
      </c>
      <c r="N219" s="29">
        <v>0.33299999999999996</v>
      </c>
      <c r="O219" s="111">
        <v>754.4</v>
      </c>
      <c r="P219" s="29">
        <f t="shared" si="158"/>
        <v>0.98963662600026236</v>
      </c>
      <c r="Q219" s="1558">
        <f t="shared" si="159"/>
        <v>2.3481568936114389E-2</v>
      </c>
      <c r="R219" s="961">
        <f t="shared" si="160"/>
        <v>2.5255754475703326E-2</v>
      </c>
      <c r="S219" s="961">
        <f t="shared" si="161"/>
        <v>1.536210680321873E-2</v>
      </c>
      <c r="T219" s="1535">
        <f t="shared" si="162"/>
        <v>2.3727465535524919E-2</v>
      </c>
      <c r="U219" s="1162">
        <v>151.6</v>
      </c>
      <c r="V219" s="111">
        <v>144.80000000000001</v>
      </c>
      <c r="W219" s="175">
        <f t="shared" si="143"/>
        <v>141.20000000000002</v>
      </c>
      <c r="X219" s="964">
        <f t="shared" si="134"/>
        <v>10.399999999999977</v>
      </c>
      <c r="Y219" s="1536">
        <f t="shared" si="136"/>
        <v>3.9620000000000002</v>
      </c>
      <c r="Z219" s="111">
        <f t="shared" si="144"/>
        <v>6.4379999999999775</v>
      </c>
      <c r="AA219" s="1536">
        <f t="shared" si="145"/>
        <v>0</v>
      </c>
      <c r="AB219" s="111">
        <f t="shared" si="146"/>
        <v>8.1999999999999318</v>
      </c>
      <c r="AC219" s="111">
        <f t="shared" si="151"/>
        <v>10.399999999999977</v>
      </c>
      <c r="AD219" s="111">
        <f t="shared" si="152"/>
        <v>6.4379999999999775</v>
      </c>
      <c r="AE219" s="111">
        <f t="shared" si="153"/>
        <v>749.4171066319683</v>
      </c>
      <c r="AF219" s="29">
        <f t="shared" si="147"/>
        <v>-6.5032273437817568E-3</v>
      </c>
      <c r="AG219" s="587">
        <f t="shared" si="163"/>
        <v>24.337999999999976</v>
      </c>
      <c r="AH219" s="964">
        <f t="shared" si="154"/>
        <v>0</v>
      </c>
      <c r="AI219" s="964">
        <v>0</v>
      </c>
      <c r="AJ219" s="964">
        <f t="shared" si="155"/>
        <v>0</v>
      </c>
      <c r="AK219" s="964">
        <f t="shared" si="156"/>
        <v>10.399999999999977</v>
      </c>
      <c r="AL219" s="964">
        <f>DataUK1!DK66</f>
        <v>15</v>
      </c>
      <c r="AM219" s="961">
        <f t="shared" si="140"/>
        <v>7.5719333669863704E-3</v>
      </c>
      <c r="AN219" s="964">
        <f t="shared" si="157"/>
        <v>-4.6000000000000227</v>
      </c>
      <c r="AP219" s="1158"/>
      <c r="AQ219" s="1779"/>
      <c r="AR219" s="1779"/>
      <c r="AS219" s="175"/>
      <c r="AT219" s="175">
        <v>87</v>
      </c>
      <c r="AU219" s="111"/>
      <c r="AV219" s="111">
        <v>9.4</v>
      </c>
      <c r="AW219" s="175">
        <f t="shared" si="164"/>
        <v>95.91836734693878</v>
      </c>
      <c r="AY219" s="111">
        <v>150</v>
      </c>
      <c r="AZ219" s="967">
        <f>AY219-DataUK1!FI66</f>
        <v>-2</v>
      </c>
      <c r="BA219" s="111">
        <f t="shared" si="137"/>
        <v>-1</v>
      </c>
      <c r="BB219" s="111">
        <v>151</v>
      </c>
      <c r="BE219" s="967">
        <f t="shared" si="139"/>
        <v>3027.5</v>
      </c>
      <c r="BF219" s="2133">
        <f t="shared" si="138"/>
        <v>1.5282685512367491</v>
      </c>
      <c r="BG219" s="385">
        <f>DataUK3!BS66</f>
        <v>1.6125067524370722</v>
      </c>
    </row>
    <row r="220" spans="1:59" s="87" customFormat="1">
      <c r="A220" s="79">
        <v>1909</v>
      </c>
      <c r="B220" s="1540">
        <f>DataUK1!B67</f>
        <v>2012</v>
      </c>
      <c r="C220" s="1162">
        <v>20.8</v>
      </c>
      <c r="D220" s="959">
        <v>15.7</v>
      </c>
      <c r="E220" s="959">
        <v>3.5</v>
      </c>
      <c r="F220" s="111">
        <f t="shared" si="141"/>
        <v>1.6000000000000014</v>
      </c>
      <c r="G220" s="1540">
        <f t="shared" si="148"/>
        <v>17.3</v>
      </c>
      <c r="H220" s="1551">
        <v>754.1</v>
      </c>
      <c r="I220" s="29">
        <f t="shared" si="149"/>
        <v>1.1344967654581013</v>
      </c>
      <c r="J220" s="959">
        <v>664.7</v>
      </c>
      <c r="K220" s="1427">
        <v>621.79999999999995</v>
      </c>
      <c r="L220" s="959">
        <f t="shared" si="150"/>
        <v>42.900000000000091</v>
      </c>
      <c r="M220" s="29">
        <f t="shared" si="142"/>
        <v>0.37480119284294233</v>
      </c>
      <c r="N220" s="29">
        <v>0.32390000000000002</v>
      </c>
      <c r="O220" s="111">
        <v>745.8</v>
      </c>
      <c r="P220" s="29">
        <f t="shared" si="158"/>
        <v>0.98899350218803861</v>
      </c>
      <c r="Q220" s="1558">
        <f t="shared" si="159"/>
        <v>2.2941254475533749E-2</v>
      </c>
      <c r="R220" s="961">
        <f t="shared" si="160"/>
        <v>2.52492762946285E-2</v>
      </c>
      <c r="S220" s="961">
        <f t="shared" si="161"/>
        <v>1.2093726379440669E-2</v>
      </c>
      <c r="T220" s="1535">
        <f t="shared" si="162"/>
        <v>2.3196567444355057E-2</v>
      </c>
      <c r="U220" s="1162">
        <v>131.69999999999999</v>
      </c>
      <c r="V220" s="111">
        <v>156.9</v>
      </c>
      <c r="W220" s="175">
        <f t="shared" si="143"/>
        <v>153.4</v>
      </c>
      <c r="X220" s="964">
        <f t="shared" si="134"/>
        <v>-21.700000000000017</v>
      </c>
      <c r="Y220" s="1536">
        <f t="shared" si="136"/>
        <v>4.024</v>
      </c>
      <c r="Z220" s="111">
        <f t="shared" si="144"/>
        <v>-25.724000000000018</v>
      </c>
      <c r="AA220" s="1536">
        <f t="shared" si="145"/>
        <v>0</v>
      </c>
      <c r="AB220" s="111">
        <f t="shared" si="146"/>
        <v>-8.3999999999999773</v>
      </c>
      <c r="AC220" s="111">
        <f t="shared" si="151"/>
        <v>-21.700000000000017</v>
      </c>
      <c r="AD220" s="111">
        <f t="shared" si="152"/>
        <v>-25.724000000000018</v>
      </c>
      <c r="AE220" s="111">
        <f t="shared" si="153"/>
        <v>742.97910663196831</v>
      </c>
      <c r="AF220" s="29">
        <f t="shared" si="147"/>
        <v>-5.5272829860992627E-3</v>
      </c>
      <c r="AG220" s="587">
        <f t="shared" si="163"/>
        <v>-8.4240000000000173</v>
      </c>
      <c r="AH220" s="964">
        <f t="shared" si="154"/>
        <v>0</v>
      </c>
      <c r="AI220" s="964">
        <v>0</v>
      </c>
      <c r="AJ220" s="964">
        <f t="shared" si="155"/>
        <v>0</v>
      </c>
      <c r="AK220" s="964">
        <f t="shared" si="156"/>
        <v>-21.700000000000017</v>
      </c>
      <c r="AL220" s="964">
        <f>DataUK1!DK67</f>
        <v>17</v>
      </c>
      <c r="AM220" s="961">
        <f t="shared" si="140"/>
        <v>8.4493041749502985E-3</v>
      </c>
      <c r="AN220" s="964">
        <f t="shared" si="157"/>
        <v>-38.700000000000017</v>
      </c>
      <c r="AP220" s="1158"/>
      <c r="AQ220" s="1779"/>
      <c r="AR220" s="1779"/>
      <c r="AS220" s="175"/>
      <c r="AT220" s="175">
        <v>91</v>
      </c>
      <c r="AU220" s="111"/>
      <c r="AV220" s="111">
        <v>9.5</v>
      </c>
      <c r="AW220" s="175">
        <f t="shared" si="164"/>
        <v>96.938775510204081</v>
      </c>
      <c r="AY220" s="111">
        <v>142</v>
      </c>
      <c r="AZ220" s="967">
        <f>AY220-DataUK1!FI67</f>
        <v>-3</v>
      </c>
      <c r="BA220" s="111">
        <f t="shared" si="137"/>
        <v>-16</v>
      </c>
      <c r="BB220" s="111">
        <v>158</v>
      </c>
      <c r="BE220" s="967">
        <f t="shared" si="139"/>
        <v>3177.5</v>
      </c>
      <c r="BF220" s="2133">
        <f t="shared" si="138"/>
        <v>1.5792743538767395</v>
      </c>
      <c r="BG220" s="385">
        <f>DataUK3!BS67</f>
        <v>1.680098707091995</v>
      </c>
    </row>
    <row r="221" spans="1:59" s="87" customFormat="1">
      <c r="A221" s="79">
        <v>1910</v>
      </c>
      <c r="B221" s="1540">
        <f>DataUK1!B68</f>
        <v>2107</v>
      </c>
      <c r="C221" s="1162">
        <v>20.399999999999999</v>
      </c>
      <c r="D221" s="959">
        <v>15.6</v>
      </c>
      <c r="E221" s="959">
        <v>3.5</v>
      </c>
      <c r="F221" s="111">
        <f t="shared" si="141"/>
        <v>1.2999999999999989</v>
      </c>
      <c r="G221" s="1540">
        <f t="shared" si="148"/>
        <v>16.899999999999999</v>
      </c>
      <c r="H221" s="1551">
        <v>762.5</v>
      </c>
      <c r="I221" s="29">
        <f t="shared" si="149"/>
        <v>1.1256273988780632</v>
      </c>
      <c r="J221" s="959">
        <v>677.4</v>
      </c>
      <c r="K221" s="1427">
        <v>614.9</v>
      </c>
      <c r="L221" s="959">
        <f t="shared" si="150"/>
        <v>62.5</v>
      </c>
      <c r="M221" s="29">
        <f t="shared" si="142"/>
        <v>0.36188894162316088</v>
      </c>
      <c r="N221" s="29">
        <v>0.3165</v>
      </c>
      <c r="O221" s="111">
        <v>740</v>
      </c>
      <c r="P221" s="29">
        <f t="shared" si="158"/>
        <v>0.97049180327868856</v>
      </c>
      <c r="Q221" s="1558">
        <f t="shared" si="159"/>
        <v>2.2163934426229506E-2</v>
      </c>
      <c r="R221" s="961">
        <f t="shared" si="160"/>
        <v>2.5369978858350951E-2</v>
      </c>
      <c r="S221" s="961">
        <f t="shared" si="161"/>
        <v>8.8075880758807495E-3</v>
      </c>
      <c r="T221" s="1535">
        <f t="shared" si="162"/>
        <v>2.2837837837837837E-2</v>
      </c>
      <c r="U221" s="1162">
        <v>203.9</v>
      </c>
      <c r="V221" s="111">
        <v>167.9</v>
      </c>
      <c r="W221" s="175">
        <f t="shared" si="143"/>
        <v>164.4</v>
      </c>
      <c r="X221" s="964">
        <f t="shared" si="134"/>
        <v>39.5</v>
      </c>
      <c r="Y221" s="1536">
        <f t="shared" si="136"/>
        <v>4.2140000000000004</v>
      </c>
      <c r="Z221" s="111">
        <f t="shared" si="144"/>
        <v>35.286000000000001</v>
      </c>
      <c r="AA221" s="1536">
        <f t="shared" si="145"/>
        <v>0</v>
      </c>
      <c r="AB221" s="111">
        <f t="shared" si="146"/>
        <v>29.399999999999977</v>
      </c>
      <c r="AC221" s="111">
        <f t="shared" si="151"/>
        <v>39.5</v>
      </c>
      <c r="AD221" s="111">
        <f t="shared" si="152"/>
        <v>35.286000000000001</v>
      </c>
      <c r="AE221" s="111">
        <f t="shared" si="153"/>
        <v>768.70310663196835</v>
      </c>
      <c r="AF221" s="29">
        <f t="shared" si="147"/>
        <v>2.9440468115654265E-3</v>
      </c>
      <c r="AG221" s="587">
        <f t="shared" si="163"/>
        <v>52.186</v>
      </c>
      <c r="AH221" s="964">
        <f t="shared" si="154"/>
        <v>0</v>
      </c>
      <c r="AI221" s="964">
        <v>0</v>
      </c>
      <c r="AJ221" s="964">
        <f t="shared" si="155"/>
        <v>0</v>
      </c>
      <c r="AK221" s="964">
        <f t="shared" si="156"/>
        <v>39.5</v>
      </c>
      <c r="AL221" s="964">
        <f>DataUK1!DK68</f>
        <v>17</v>
      </c>
      <c r="AM221" s="961">
        <f t="shared" si="140"/>
        <v>8.0683436165163748E-3</v>
      </c>
      <c r="AN221" s="964">
        <f t="shared" si="157"/>
        <v>22.5</v>
      </c>
      <c r="AP221" s="1158"/>
      <c r="AQ221" s="1779"/>
      <c r="AR221" s="1779"/>
      <c r="AS221" s="175"/>
      <c r="AT221" s="175">
        <v>97</v>
      </c>
      <c r="AU221" s="111"/>
      <c r="AV221" s="111">
        <v>9.6</v>
      </c>
      <c r="AW221" s="175">
        <f t="shared" si="164"/>
        <v>97.959183673469383</v>
      </c>
      <c r="AY221" s="111">
        <v>174</v>
      </c>
      <c r="AZ221" s="967">
        <f>AY221-DataUK1!FI68</f>
        <v>-4</v>
      </c>
      <c r="BA221" s="111">
        <f t="shared" si="137"/>
        <v>4</v>
      </c>
      <c r="BB221" s="111">
        <v>170</v>
      </c>
      <c r="BE221" s="967">
        <f t="shared" si="139"/>
        <v>3319.5</v>
      </c>
      <c r="BF221" s="2133">
        <f t="shared" si="138"/>
        <v>1.5754627432368296</v>
      </c>
      <c r="BG221" s="385">
        <f>DataUK3!BS68</f>
        <v>1.6900528337733023</v>
      </c>
    </row>
    <row r="222" spans="1:59" s="87" customFormat="1">
      <c r="A222" s="79">
        <v>1911</v>
      </c>
      <c r="B222" s="1540">
        <f>DataUK1!B69</f>
        <v>2192</v>
      </c>
      <c r="C222" s="1162">
        <v>20.100000000000001</v>
      </c>
      <c r="D222" s="959">
        <v>15.4</v>
      </c>
      <c r="E222" s="959">
        <v>3.5</v>
      </c>
      <c r="F222" s="111">
        <f t="shared" si="141"/>
        <v>1.2000000000000011</v>
      </c>
      <c r="G222" s="1540">
        <f t="shared" si="148"/>
        <v>16.600000000000001</v>
      </c>
      <c r="H222" s="1551">
        <v>733.1</v>
      </c>
      <c r="I222" s="29">
        <f t="shared" si="149"/>
        <v>1.126459741856177</v>
      </c>
      <c r="J222" s="959">
        <v>650.79999999999995</v>
      </c>
      <c r="K222" s="1427">
        <v>610.29999999999995</v>
      </c>
      <c r="L222" s="959">
        <f t="shared" si="150"/>
        <v>40.5</v>
      </c>
      <c r="M222" s="29">
        <f t="shared" si="142"/>
        <v>0.33444343065693433</v>
      </c>
      <c r="N222" s="29">
        <v>0.29220000000000002</v>
      </c>
      <c r="O222" s="111">
        <v>702.7</v>
      </c>
      <c r="P222" s="29">
        <f t="shared" si="158"/>
        <v>0.95853226026462968</v>
      </c>
      <c r="Q222" s="1558">
        <f t="shared" si="159"/>
        <v>2.2643568408129859E-2</v>
      </c>
      <c r="R222" s="961">
        <f t="shared" si="160"/>
        <v>2.5233491725380964E-2</v>
      </c>
      <c r="S222" s="961">
        <f t="shared" si="161"/>
        <v>9.7719869706840417E-3</v>
      </c>
      <c r="T222" s="1535">
        <f t="shared" si="162"/>
        <v>2.3623167781414545E-2</v>
      </c>
      <c r="U222" s="1162">
        <v>185.1</v>
      </c>
      <c r="V222" s="111">
        <v>174.1</v>
      </c>
      <c r="W222" s="175">
        <f t="shared" si="143"/>
        <v>170.6</v>
      </c>
      <c r="X222" s="964">
        <f t="shared" si="134"/>
        <v>14.5</v>
      </c>
      <c r="Y222" s="1536">
        <f t="shared" si="136"/>
        <v>4.3840000000000003</v>
      </c>
      <c r="Z222" s="111">
        <f t="shared" si="144"/>
        <v>10.116</v>
      </c>
      <c r="AA222" s="1536">
        <f t="shared" si="145"/>
        <v>0</v>
      </c>
      <c r="AB222" s="111">
        <f t="shared" si="146"/>
        <v>14.700000000000045</v>
      </c>
      <c r="AC222" s="111">
        <f t="shared" si="151"/>
        <v>14.5</v>
      </c>
      <c r="AD222" s="111">
        <f t="shared" si="152"/>
        <v>10.116</v>
      </c>
      <c r="AE222" s="111">
        <f t="shared" si="153"/>
        <v>733.41710663196841</v>
      </c>
      <c r="AF222" s="29">
        <f t="shared" si="147"/>
        <v>1.4466543429214688E-4</v>
      </c>
      <c r="AG222" s="587">
        <f t="shared" si="163"/>
        <v>26.716000000000001</v>
      </c>
      <c r="AH222" s="964">
        <f t="shared" si="154"/>
        <v>0</v>
      </c>
      <c r="AI222" s="964">
        <v>0</v>
      </c>
      <c r="AJ222" s="964">
        <f t="shared" si="155"/>
        <v>0</v>
      </c>
      <c r="AK222" s="964">
        <f t="shared" si="156"/>
        <v>14.5</v>
      </c>
      <c r="AL222" s="964">
        <f>DataUK1!DK69</f>
        <v>18</v>
      </c>
      <c r="AM222" s="961">
        <f t="shared" si="140"/>
        <v>8.2116788321167887E-3</v>
      </c>
      <c r="AN222" s="964">
        <f t="shared" si="157"/>
        <v>-3.5</v>
      </c>
      <c r="AP222" s="1158"/>
      <c r="AQ222" s="1779"/>
      <c r="AR222" s="1779"/>
      <c r="AS222" s="175"/>
      <c r="AT222" s="175">
        <v>102</v>
      </c>
      <c r="AU222" s="111"/>
      <c r="AV222" s="111">
        <v>9.6</v>
      </c>
      <c r="AW222" s="175">
        <f t="shared" si="164"/>
        <v>97.959183673469383</v>
      </c>
      <c r="AY222" s="111">
        <v>204</v>
      </c>
      <c r="AZ222" s="967">
        <f>AY222-DataUK1!FI69</f>
        <v>-3</v>
      </c>
      <c r="BA222" s="111">
        <f t="shared" si="137"/>
        <v>26.699999999999989</v>
      </c>
      <c r="BB222" s="111">
        <v>177.3</v>
      </c>
      <c r="BE222" s="967">
        <f t="shared" si="139"/>
        <v>3493.5</v>
      </c>
      <c r="BF222" s="2133">
        <f t="shared" si="138"/>
        <v>1.59375</v>
      </c>
      <c r="BG222" s="385">
        <f>DataUK3!BS69</f>
        <v>1.7057214054563632</v>
      </c>
    </row>
    <row r="223" spans="1:59" s="87" customFormat="1">
      <c r="A223" s="79">
        <v>1912</v>
      </c>
      <c r="B223" s="1540">
        <f>DataUK1!B70</f>
        <v>2303.9999999999995</v>
      </c>
      <c r="C223" s="1162">
        <v>19.899999999999999</v>
      </c>
      <c r="D223" s="959">
        <v>15.2</v>
      </c>
      <c r="E223" s="959">
        <v>3.5</v>
      </c>
      <c r="F223" s="111">
        <f t="shared" si="141"/>
        <v>1.1999999999999993</v>
      </c>
      <c r="G223" s="1540">
        <f t="shared" si="148"/>
        <v>16.399999999999999</v>
      </c>
      <c r="H223" s="1551">
        <v>718.4</v>
      </c>
      <c r="I223" s="29">
        <f t="shared" si="149"/>
        <v>1.1308043444042186</v>
      </c>
      <c r="J223" s="959">
        <v>635.29999999999995</v>
      </c>
      <c r="K223" s="1427">
        <v>602.20000000000005</v>
      </c>
      <c r="L223" s="959">
        <f t="shared" si="150"/>
        <v>33.099999999999909</v>
      </c>
      <c r="M223" s="29">
        <f t="shared" si="142"/>
        <v>0.31180555555555561</v>
      </c>
      <c r="N223" s="29">
        <v>0.27300000000000002</v>
      </c>
      <c r="O223" s="111">
        <v>683.9</v>
      </c>
      <c r="P223" s="29">
        <f t="shared" si="158"/>
        <v>0.95197661469933181</v>
      </c>
      <c r="Q223" s="1558">
        <f t="shared" si="159"/>
        <v>2.2828507795100223E-2</v>
      </c>
      <c r="R223" s="961">
        <f t="shared" si="160"/>
        <v>2.5240783792759878E-2</v>
      </c>
      <c r="S223" s="961">
        <f t="shared" si="161"/>
        <v>1.0327022375215147E-2</v>
      </c>
      <c r="T223" s="1535">
        <f t="shared" si="162"/>
        <v>2.3980114051761953E-2</v>
      </c>
      <c r="U223" s="1162">
        <v>188.8</v>
      </c>
      <c r="V223" s="111">
        <v>184</v>
      </c>
      <c r="W223" s="175">
        <f t="shared" si="143"/>
        <v>180.5</v>
      </c>
      <c r="X223" s="964">
        <f t="shared" si="134"/>
        <v>8.3000000000000114</v>
      </c>
      <c r="Y223" s="1536">
        <f t="shared" si="136"/>
        <v>4.6079999999999988</v>
      </c>
      <c r="Z223" s="111">
        <f t="shared" si="144"/>
        <v>3.6920000000000126</v>
      </c>
      <c r="AA223" s="1536">
        <f t="shared" si="145"/>
        <v>0</v>
      </c>
      <c r="AB223" s="111">
        <f t="shared" si="146"/>
        <v>7.1000000000000227</v>
      </c>
      <c r="AC223" s="111">
        <f t="shared" si="151"/>
        <v>8.3000000000000114</v>
      </c>
      <c r="AD223" s="111">
        <f t="shared" si="152"/>
        <v>3.6920000000000126</v>
      </c>
      <c r="AE223" s="111">
        <f t="shared" si="153"/>
        <v>723.30110663196842</v>
      </c>
      <c r="AF223" s="29">
        <f t="shared" si="147"/>
        <v>2.1272164201251941E-3</v>
      </c>
      <c r="AG223" s="587">
        <f t="shared" si="163"/>
        <v>20.092000000000013</v>
      </c>
      <c r="AH223" s="964">
        <f t="shared" si="154"/>
        <v>0</v>
      </c>
      <c r="AI223" s="964">
        <v>0</v>
      </c>
      <c r="AJ223" s="964">
        <f t="shared" si="155"/>
        <v>0</v>
      </c>
      <c r="AK223" s="964">
        <f t="shared" si="156"/>
        <v>8.3000000000000114</v>
      </c>
      <c r="AL223" s="964">
        <f>DataUK1!DK70</f>
        <v>21</v>
      </c>
      <c r="AM223" s="961">
        <f t="shared" si="140"/>
        <v>9.1145833333333356E-3</v>
      </c>
      <c r="AN223" s="964">
        <f t="shared" si="157"/>
        <v>-12.699999999999989</v>
      </c>
      <c r="AP223" s="1158"/>
      <c r="AQ223" s="1779"/>
      <c r="AR223" s="1779"/>
      <c r="AS223" s="175"/>
      <c r="AT223" s="175">
        <v>104</v>
      </c>
      <c r="AU223" s="111"/>
      <c r="AV223" s="111">
        <v>9.9</v>
      </c>
      <c r="AW223" s="175">
        <f t="shared" si="164"/>
        <v>101.0204081632653</v>
      </c>
      <c r="AY223" s="111">
        <v>203</v>
      </c>
      <c r="AZ223" s="967">
        <f>AY223-DataUK1!FI70</f>
        <v>-4</v>
      </c>
      <c r="BA223" s="111">
        <f t="shared" si="137"/>
        <v>16.099999999999994</v>
      </c>
      <c r="BB223" s="111">
        <v>186.9</v>
      </c>
      <c r="BE223" s="967">
        <f t="shared" si="139"/>
        <v>3697.5</v>
      </c>
      <c r="BF223" s="2133">
        <f t="shared" si="138"/>
        <v>1.6048177083333337</v>
      </c>
      <c r="BG223" s="385">
        <f>DataUK3!BS70</f>
        <v>1.7633607799627211</v>
      </c>
    </row>
    <row r="224" spans="1:59" s="87" customFormat="1">
      <c r="A224" s="79">
        <v>1913</v>
      </c>
      <c r="B224" s="1540">
        <f>DataUK1!B71</f>
        <v>2381.0000000000005</v>
      </c>
      <c r="C224" s="1162">
        <v>19.3</v>
      </c>
      <c r="D224" s="959">
        <v>15</v>
      </c>
      <c r="E224" s="959">
        <v>3.2</v>
      </c>
      <c r="F224" s="111">
        <f t="shared" si="141"/>
        <v>1.1000000000000005</v>
      </c>
      <c r="G224" s="1540">
        <f t="shared" si="148"/>
        <v>16.100000000000001</v>
      </c>
      <c r="H224" s="1551">
        <v>711.3</v>
      </c>
      <c r="I224" s="29">
        <f t="shared" si="149"/>
        <v>1.13808</v>
      </c>
      <c r="J224" s="959">
        <v>625</v>
      </c>
      <c r="K224" s="1427">
        <v>593.5</v>
      </c>
      <c r="L224" s="959">
        <f t="shared" si="150"/>
        <v>31.5</v>
      </c>
      <c r="M224" s="29">
        <f t="shared" si="142"/>
        <v>0.29874002519949594</v>
      </c>
      <c r="N224" s="29">
        <v>0.25829999999999997</v>
      </c>
      <c r="O224" s="111">
        <v>659.1</v>
      </c>
      <c r="P224" s="29">
        <f t="shared" si="158"/>
        <v>0.92661324335723327</v>
      </c>
      <c r="Q224" s="1558">
        <f t="shared" si="159"/>
        <v>2.2634612681006611E-2</v>
      </c>
      <c r="R224" s="961">
        <f t="shared" si="160"/>
        <v>2.5273799494524012E-2</v>
      </c>
      <c r="S224" s="961">
        <f t="shared" si="161"/>
        <v>9.3378607809847282E-3</v>
      </c>
      <c r="T224" s="1535">
        <f t="shared" si="162"/>
        <v>2.4427249279320287E-2</v>
      </c>
      <c r="U224" s="1162">
        <v>198.2</v>
      </c>
      <c r="V224" s="111">
        <v>192.3</v>
      </c>
      <c r="W224" s="175">
        <f t="shared" si="143"/>
        <v>189.10000000000002</v>
      </c>
      <c r="X224" s="964">
        <f t="shared" si="134"/>
        <v>9.0999999999999659</v>
      </c>
      <c r="Y224" s="1536">
        <f t="shared" si="136"/>
        <v>4.7620000000000013</v>
      </c>
      <c r="Z224" s="111">
        <f t="shared" si="144"/>
        <v>4.3379999999999646</v>
      </c>
      <c r="AA224" s="1536">
        <f t="shared" si="145"/>
        <v>0</v>
      </c>
      <c r="AB224" s="111">
        <f t="shared" si="146"/>
        <v>5.0999999999999091</v>
      </c>
      <c r="AC224" s="111">
        <f t="shared" si="151"/>
        <v>9.0999999999999659</v>
      </c>
      <c r="AD224" s="111">
        <f t="shared" si="152"/>
        <v>4.3379999999999646</v>
      </c>
      <c r="AE224" s="111">
        <f t="shared" si="153"/>
        <v>719.60910663196842</v>
      </c>
      <c r="AF224" s="29">
        <f t="shared" si="147"/>
        <v>3.4897549903269466E-3</v>
      </c>
      <c r="AG224" s="587">
        <f t="shared" si="163"/>
        <v>20.437999999999967</v>
      </c>
      <c r="AH224" s="964">
        <f t="shared" si="154"/>
        <v>0</v>
      </c>
      <c r="AI224" s="964">
        <v>0</v>
      </c>
      <c r="AJ224" s="964">
        <f t="shared" si="155"/>
        <v>0</v>
      </c>
      <c r="AK224" s="964">
        <f t="shared" si="156"/>
        <v>9.0999999999999659</v>
      </c>
      <c r="AL224" s="964">
        <f>DataUK1!DK71</f>
        <v>20</v>
      </c>
      <c r="AM224" s="961">
        <f t="shared" si="140"/>
        <v>8.3998320033599316E-3</v>
      </c>
      <c r="AN224" s="964">
        <f t="shared" si="157"/>
        <v>-10.900000000000034</v>
      </c>
      <c r="AP224" s="1158"/>
      <c r="AQ224" s="1779"/>
      <c r="AR224" s="1779"/>
      <c r="AS224" s="175"/>
      <c r="AT224" s="175">
        <v>106</v>
      </c>
      <c r="AU224" s="111"/>
      <c r="AV224" s="111">
        <v>9.8000000000000007</v>
      </c>
      <c r="AW224" s="175">
        <v>100</v>
      </c>
      <c r="AY224" s="111">
        <v>235</v>
      </c>
      <c r="AZ224" s="967">
        <f>AY224-DataUK1!FI71</f>
        <v>-4</v>
      </c>
      <c r="BA224" s="111">
        <f t="shared" si="137"/>
        <v>35.400000000000006</v>
      </c>
      <c r="BB224" s="111">
        <v>199.6</v>
      </c>
      <c r="BE224" s="967">
        <f t="shared" si="139"/>
        <v>3900.5</v>
      </c>
      <c r="BF224" s="2133">
        <f t="shared" si="138"/>
        <v>1.6381772364552707</v>
      </c>
      <c r="BG224" s="385">
        <f>DataUK3!BS71</f>
        <v>1.7639647207055855</v>
      </c>
    </row>
    <row r="225" spans="1:59" s="87" customFormat="1">
      <c r="A225" s="79">
        <v>1914</v>
      </c>
      <c r="B225" s="1540">
        <f>DataUK1!B72</f>
        <v>2452</v>
      </c>
      <c r="C225" s="1162">
        <v>21.7</v>
      </c>
      <c r="D225" s="959">
        <v>14.8</v>
      </c>
      <c r="E225" s="959">
        <v>2.9</v>
      </c>
      <c r="F225" s="111">
        <f t="shared" si="141"/>
        <v>3.9999999999999987</v>
      </c>
      <c r="G225" s="1540">
        <f t="shared" si="148"/>
        <v>18.8</v>
      </c>
      <c r="H225" s="1551">
        <v>706.2</v>
      </c>
      <c r="I225" s="29">
        <f t="shared" si="149"/>
        <v>1.1386649467913577</v>
      </c>
      <c r="J225" s="959">
        <v>620.20000000000005</v>
      </c>
      <c r="K225" s="1427">
        <v>586.70000000000005</v>
      </c>
      <c r="L225" s="959">
        <f t="shared" si="150"/>
        <v>33.5</v>
      </c>
      <c r="M225" s="29">
        <f t="shared" si="142"/>
        <v>0.28800978792822191</v>
      </c>
      <c r="N225" s="29">
        <v>0.253</v>
      </c>
      <c r="O225" s="111">
        <v>641.5</v>
      </c>
      <c r="P225" s="29">
        <f t="shared" si="158"/>
        <v>0.90838289436420272</v>
      </c>
      <c r="Q225" s="1558">
        <f t="shared" si="159"/>
        <v>2.662135372415746E-2</v>
      </c>
      <c r="R225" s="961">
        <f t="shared" si="160"/>
        <v>2.5225839440940853E-2</v>
      </c>
      <c r="S225" s="961">
        <f t="shared" si="161"/>
        <v>3.3472803347280325E-2</v>
      </c>
      <c r="T225" s="1535">
        <f t="shared" si="162"/>
        <v>2.9306313328137181E-2</v>
      </c>
      <c r="U225" s="1162">
        <v>226.7</v>
      </c>
      <c r="V225" s="111">
        <v>559.5</v>
      </c>
      <c r="W225" s="175">
        <f t="shared" si="143"/>
        <v>556.6</v>
      </c>
      <c r="X225" s="964">
        <f t="shared" si="134"/>
        <v>-329.90000000000003</v>
      </c>
      <c r="Y225" s="964"/>
      <c r="Z225" s="1428"/>
      <c r="AA225" s="1536"/>
      <c r="AB225" s="111">
        <f t="shared" si="146"/>
        <v>-455.79999999999995</v>
      </c>
      <c r="AC225" s="111">
        <f t="shared" si="151"/>
        <v>-329.90000000000003</v>
      </c>
      <c r="AD225" s="111"/>
      <c r="AE225" s="111"/>
      <c r="AF225" s="598"/>
      <c r="AG225" s="979"/>
      <c r="AH225" s="964">
        <f t="shared" si="154"/>
        <v>0</v>
      </c>
      <c r="AI225" s="964">
        <v>0</v>
      </c>
      <c r="AJ225" s="964">
        <f t="shared" si="155"/>
        <v>0</v>
      </c>
      <c r="AK225" s="964">
        <f t="shared" si="156"/>
        <v>-329.90000000000003</v>
      </c>
      <c r="AL225" s="964">
        <f>DataUK1!DK72</f>
        <v>21</v>
      </c>
      <c r="AM225" s="961">
        <f t="shared" si="140"/>
        <v>8.5644371941272432E-3</v>
      </c>
      <c r="AN225" s="964">
        <f t="shared" si="157"/>
        <v>-350.90000000000003</v>
      </c>
      <c r="AP225" s="1785"/>
      <c r="AQ225" s="832"/>
      <c r="AR225" s="832"/>
      <c r="AS225" s="111"/>
      <c r="AT225" s="111"/>
      <c r="AU225" s="111"/>
      <c r="AV225" s="111">
        <v>9.8000000000000007</v>
      </c>
      <c r="AW225" s="111"/>
      <c r="AY225" s="111">
        <v>134</v>
      </c>
      <c r="AZ225" s="967">
        <f>AY225-DataUK1!FI72</f>
        <v>-1</v>
      </c>
      <c r="BA225" s="111">
        <f t="shared" si="137"/>
        <v>134</v>
      </c>
      <c r="BB225" s="111"/>
      <c r="BE225" s="967">
        <f t="shared" si="139"/>
        <v>4135.5</v>
      </c>
      <c r="BF225" s="2133">
        <f t="shared" si="138"/>
        <v>1.6865823817292007</v>
      </c>
      <c r="BG225" s="385">
        <f>DataUK3!BS72</f>
        <v>1.8103588907014683</v>
      </c>
    </row>
    <row r="226" spans="1:59" s="87" customFormat="1">
      <c r="A226" s="79">
        <v>1915</v>
      </c>
      <c r="B226" s="1540">
        <f>DataUK1!B73</f>
        <v>2925</v>
      </c>
      <c r="C226" s="1162">
        <v>60.2</v>
      </c>
      <c r="D226" s="959">
        <v>13.1</v>
      </c>
      <c r="E226" s="959">
        <v>2.9</v>
      </c>
      <c r="F226" s="111">
        <f t="shared" si="141"/>
        <v>44.2</v>
      </c>
      <c r="G226" s="1540">
        <f t="shared" si="148"/>
        <v>57.300000000000004</v>
      </c>
      <c r="H226" s="1145">
        <v>1162</v>
      </c>
      <c r="I226" s="29">
        <f t="shared" si="149"/>
        <v>1.0790231219240412</v>
      </c>
      <c r="J226" s="519">
        <v>1076.9000000000001</v>
      </c>
      <c r="K226" s="1427">
        <v>583.29999999999995</v>
      </c>
      <c r="L226" s="959">
        <f t="shared" si="150"/>
        <v>493.60000000000014</v>
      </c>
      <c r="M226" s="29">
        <f t="shared" si="142"/>
        <v>0.39726495726495725</v>
      </c>
      <c r="N226" s="29">
        <v>0.36590000000000006</v>
      </c>
      <c r="O226" s="111">
        <v>1001.5</v>
      </c>
      <c r="P226" s="29">
        <f t="shared" si="158"/>
        <v>0.86187607573149738</v>
      </c>
      <c r="Q226" s="1558">
        <f t="shared" si="159"/>
        <v>4.931153184165233E-2</v>
      </c>
      <c r="R226" s="961">
        <f t="shared" si="160"/>
        <v>2.2458426195782616E-2</v>
      </c>
      <c r="S226" s="961">
        <f t="shared" si="161"/>
        <v>7.6378088819768444E-2</v>
      </c>
      <c r="T226" s="1535">
        <f t="shared" si="162"/>
        <v>5.7214178731902154E-2</v>
      </c>
      <c r="U226" s="1162">
        <v>336.8</v>
      </c>
      <c r="V226" s="111">
        <v>1559</v>
      </c>
      <c r="W226" s="175">
        <f t="shared" si="143"/>
        <v>1556.1</v>
      </c>
      <c r="X226" s="964">
        <f t="shared" si="134"/>
        <v>-1219.3</v>
      </c>
      <c r="Y226" s="964"/>
      <c r="Z226" s="1428"/>
      <c r="AA226" s="1536"/>
      <c r="AB226" s="111">
        <f t="shared" si="146"/>
        <v>-1027.8000000000002</v>
      </c>
      <c r="AC226" s="111">
        <f t="shared" si="151"/>
        <v>-1219.3</v>
      </c>
      <c r="AD226" s="111"/>
      <c r="AE226" s="111"/>
      <c r="AF226" s="598"/>
      <c r="AG226" s="979"/>
      <c r="AH226" s="964">
        <f t="shared" si="154"/>
        <v>0</v>
      </c>
      <c r="AI226" s="964">
        <v>0</v>
      </c>
      <c r="AJ226" s="964">
        <f t="shared" si="155"/>
        <v>0</v>
      </c>
      <c r="AK226" s="964">
        <f t="shared" si="156"/>
        <v>-1219.3</v>
      </c>
      <c r="AL226" s="964">
        <f>DataUK1!DK73</f>
        <v>26</v>
      </c>
      <c r="AM226" s="961">
        <f t="shared" si="140"/>
        <v>8.8888888888888889E-3</v>
      </c>
      <c r="AN226" s="964">
        <f t="shared" si="157"/>
        <v>-1245.3</v>
      </c>
      <c r="AP226" s="1785"/>
      <c r="AQ226" s="832"/>
      <c r="AR226" s="832"/>
      <c r="AS226" s="111"/>
      <c r="AT226" s="111"/>
      <c r="AU226" s="111"/>
      <c r="AV226" s="111">
        <v>11</v>
      </c>
      <c r="AW226" s="111"/>
      <c r="AY226" s="111">
        <v>-55</v>
      </c>
      <c r="AZ226" s="967">
        <f>AY226-DataUK1!FI73</f>
        <v>0</v>
      </c>
      <c r="BA226" s="111">
        <f t="shared" si="137"/>
        <v>-55</v>
      </c>
      <c r="BB226" s="111"/>
      <c r="BE226" s="967">
        <f t="shared" si="139"/>
        <v>4269.5</v>
      </c>
      <c r="BF226" s="2133">
        <f t="shared" si="138"/>
        <v>1.4596581196581198</v>
      </c>
      <c r="BG226" s="385">
        <f>DataUK3!BS73</f>
        <v>1.5637606837606837</v>
      </c>
    </row>
    <row r="227" spans="1:59" s="87" customFormat="1">
      <c r="A227" s="79">
        <v>1916</v>
      </c>
      <c r="B227" s="1540">
        <f>DataUK1!B74</f>
        <v>3557</v>
      </c>
      <c r="C227" s="1162">
        <v>127.3</v>
      </c>
      <c r="D227" s="959">
        <v>8.3000000000000007</v>
      </c>
      <c r="E227" s="959">
        <v>2.9</v>
      </c>
      <c r="F227" s="111">
        <f t="shared" si="141"/>
        <v>116.1</v>
      </c>
      <c r="G227" s="1540">
        <f t="shared" si="148"/>
        <v>124.39999999999999</v>
      </c>
      <c r="H227" s="1145">
        <v>2189.8000000000002</v>
      </c>
      <c r="I227" s="29">
        <f t="shared" si="149"/>
        <v>1.039297579496915</v>
      </c>
      <c r="J227" s="519">
        <v>2107</v>
      </c>
      <c r="K227" s="1427">
        <v>318.5</v>
      </c>
      <c r="L227" s="959">
        <f t="shared" si="150"/>
        <v>1788.5</v>
      </c>
      <c r="M227" s="29">
        <f t="shared" si="142"/>
        <v>0.61563114984537537</v>
      </c>
      <c r="N227" s="29">
        <v>0.61360000000000003</v>
      </c>
      <c r="O227" s="111">
        <v>2102.8000000000002</v>
      </c>
      <c r="P227" s="29">
        <f t="shared" si="158"/>
        <v>0.96027034432368252</v>
      </c>
      <c r="Q227" s="1558">
        <f t="shared" si="159"/>
        <v>5.6808840990044747E-2</v>
      </c>
      <c r="R227" s="961">
        <f t="shared" si="160"/>
        <v>2.6059654631083205E-2</v>
      </c>
      <c r="S227" s="961">
        <f t="shared" si="161"/>
        <v>6.2042430395981396E-2</v>
      </c>
      <c r="T227" s="1535">
        <f t="shared" si="162"/>
        <v>5.9159216283051159E-2</v>
      </c>
      <c r="U227" s="1162">
        <v>573.4</v>
      </c>
      <c r="V227" s="111">
        <v>2198</v>
      </c>
      <c r="W227" s="175">
        <f t="shared" si="143"/>
        <v>2195.1</v>
      </c>
      <c r="X227" s="964">
        <f t="shared" si="134"/>
        <v>-1621.6999999999998</v>
      </c>
      <c r="Y227" s="964"/>
      <c r="Z227" s="1428"/>
      <c r="AA227" s="1536"/>
      <c r="AB227" s="111">
        <f t="shared" si="146"/>
        <v>-1873.7999999999997</v>
      </c>
      <c r="AC227" s="111">
        <f t="shared" si="151"/>
        <v>-1621.6999999999998</v>
      </c>
      <c r="AD227" s="111"/>
      <c r="AE227" s="111"/>
      <c r="AF227" s="598"/>
      <c r="AG227" s="979"/>
      <c r="AH227" s="964">
        <f t="shared" si="154"/>
        <v>0</v>
      </c>
      <c r="AI227" s="964">
        <v>0</v>
      </c>
      <c r="AJ227" s="964">
        <f t="shared" si="155"/>
        <v>0</v>
      </c>
      <c r="AK227" s="964">
        <f t="shared" si="156"/>
        <v>-1621.6999999999998</v>
      </c>
      <c r="AL227" s="964">
        <f>DataUK1!DK74</f>
        <v>31</v>
      </c>
      <c r="AM227" s="961">
        <f t="shared" si="140"/>
        <v>8.7152094461624956E-3</v>
      </c>
      <c r="AN227" s="964">
        <f t="shared" si="157"/>
        <v>-1652.6999999999998</v>
      </c>
      <c r="AP227" s="1785"/>
      <c r="AQ227" s="832"/>
      <c r="AR227" s="832"/>
      <c r="AS227" s="111"/>
      <c r="AT227" s="111"/>
      <c r="AU227" s="111"/>
      <c r="AV227" s="111">
        <v>13</v>
      </c>
      <c r="AW227" s="111"/>
      <c r="AY227" s="111">
        <v>90</v>
      </c>
      <c r="AZ227" s="967">
        <f>AY227-DataUK1!FI74</f>
        <v>30</v>
      </c>
      <c r="BA227" s="111">
        <f t="shared" si="137"/>
        <v>90</v>
      </c>
      <c r="BB227" s="111"/>
      <c r="BE227" s="967">
        <f t="shared" si="139"/>
        <v>4214.5</v>
      </c>
      <c r="BF227" s="2133">
        <f t="shared" ref="BF227:BF258" si="165">BE227/B227</f>
        <v>1.1848467809952208</v>
      </c>
      <c r="BG227" s="385">
        <f>DataUK3!BS74</f>
        <v>1.2704526286196234</v>
      </c>
    </row>
    <row r="228" spans="1:59" s="87" customFormat="1">
      <c r="A228" s="79">
        <v>1917</v>
      </c>
      <c r="B228" s="1540">
        <f>DataUK1!B75</f>
        <v>4171</v>
      </c>
      <c r="C228" s="1162">
        <v>189.9</v>
      </c>
      <c r="D228" s="959">
        <v>8.5</v>
      </c>
      <c r="E228" s="959">
        <v>2.8</v>
      </c>
      <c r="F228" s="111">
        <f t="shared" si="141"/>
        <v>178.6</v>
      </c>
      <c r="G228" s="1540">
        <f t="shared" si="148"/>
        <v>187.1</v>
      </c>
      <c r="H228" s="1145">
        <v>4063.6</v>
      </c>
      <c r="I228" s="29">
        <f t="shared" si="149"/>
        <v>1.019212440431402</v>
      </c>
      <c r="J228" s="519">
        <v>3987</v>
      </c>
      <c r="K228" s="1427">
        <v>317.8</v>
      </c>
      <c r="L228" s="959">
        <f t="shared" si="150"/>
        <v>3669.2</v>
      </c>
      <c r="M228" s="29">
        <f t="shared" si="142"/>
        <v>0.97425077918964276</v>
      </c>
      <c r="N228" s="29">
        <v>0.9325</v>
      </c>
      <c r="O228" s="111">
        <v>3884.3</v>
      </c>
      <c r="P228" s="29">
        <f t="shared" si="158"/>
        <v>0.95587656265380461</v>
      </c>
      <c r="Q228" s="1558">
        <f t="shared" si="159"/>
        <v>4.6042917610000983E-2</v>
      </c>
      <c r="R228" s="961">
        <f t="shared" si="160"/>
        <v>2.6746381371932033E-2</v>
      </c>
      <c r="S228" s="961">
        <f t="shared" si="161"/>
        <v>4.7680068343211063E-2</v>
      </c>
      <c r="T228" s="1535">
        <f t="shared" si="162"/>
        <v>4.8168267126637999E-2</v>
      </c>
      <c r="U228" s="1162">
        <v>707.2</v>
      </c>
      <c r="V228" s="111">
        <v>2696</v>
      </c>
      <c r="W228" s="175">
        <f t="shared" si="143"/>
        <v>2693.2</v>
      </c>
      <c r="X228" s="964">
        <f t="shared" si="134"/>
        <v>-1985.9999999999998</v>
      </c>
      <c r="Y228" s="964"/>
      <c r="Z228" s="1428"/>
      <c r="AA228" s="1536"/>
      <c r="AB228" s="111">
        <f t="shared" si="146"/>
        <v>-1857.5000000000005</v>
      </c>
      <c r="AC228" s="111">
        <f t="shared" si="151"/>
        <v>-1985.9999999999998</v>
      </c>
      <c r="AD228" s="111"/>
      <c r="AE228" s="111"/>
      <c r="AF228" s="598"/>
      <c r="AG228" s="979"/>
      <c r="AH228" s="964">
        <f t="shared" si="154"/>
        <v>0</v>
      </c>
      <c r="AI228" s="964">
        <v>0</v>
      </c>
      <c r="AJ228" s="964">
        <f t="shared" si="155"/>
        <v>0</v>
      </c>
      <c r="AK228" s="964">
        <f t="shared" si="156"/>
        <v>-1985.9999999999998</v>
      </c>
      <c r="AL228" s="964">
        <f>DataUK1!DK75</f>
        <v>49</v>
      </c>
      <c r="AM228" s="961">
        <f t="shared" si="140"/>
        <v>1.1747782306401342E-2</v>
      </c>
      <c r="AN228" s="964">
        <f t="shared" si="157"/>
        <v>-2034.9999999999998</v>
      </c>
      <c r="AP228" s="1785"/>
      <c r="AQ228" s="832"/>
      <c r="AR228" s="832"/>
      <c r="AS228" s="111"/>
      <c r="AT228" s="111"/>
      <c r="AU228" s="111"/>
      <c r="AV228" s="111">
        <v>16.3</v>
      </c>
      <c r="AW228" s="111"/>
      <c r="AY228" s="111">
        <v>50</v>
      </c>
      <c r="AZ228" s="967">
        <f>AY228-DataUK1!FI75</f>
        <v>30</v>
      </c>
      <c r="BA228" s="111">
        <f t="shared" si="137"/>
        <v>50</v>
      </c>
      <c r="BB228" s="111"/>
      <c r="BE228" s="967">
        <f t="shared" ref="BE228:BE259" si="166">BE227+AY227</f>
        <v>4304.5</v>
      </c>
      <c r="BF228" s="2133">
        <f t="shared" si="165"/>
        <v>1.0320067130184607</v>
      </c>
      <c r="BG228" s="385">
        <f>DataUK3!BS75</f>
        <v>1.0978182690002398</v>
      </c>
    </row>
    <row r="229" spans="1:59" s="87" customFormat="1">
      <c r="A229" s="79">
        <v>1918</v>
      </c>
      <c r="B229" s="1540">
        <f>DataUK1!B76</f>
        <v>4787</v>
      </c>
      <c r="C229" s="1162">
        <v>270</v>
      </c>
      <c r="D229" s="959">
        <v>8.6999999999999993</v>
      </c>
      <c r="E229" s="959">
        <v>2.6</v>
      </c>
      <c r="F229" s="111">
        <f t="shared" si="141"/>
        <v>258.7</v>
      </c>
      <c r="G229" s="1540">
        <f t="shared" si="148"/>
        <v>267.39999999999998</v>
      </c>
      <c r="H229" s="1145">
        <v>5921.1</v>
      </c>
      <c r="I229" s="29">
        <f t="shared" si="149"/>
        <v>1.0121538461538462</v>
      </c>
      <c r="J229" s="519">
        <v>5850</v>
      </c>
      <c r="K229" s="1427">
        <v>317.7</v>
      </c>
      <c r="L229" s="959">
        <f t="shared" si="150"/>
        <v>5532.3</v>
      </c>
      <c r="M229" s="29">
        <f t="shared" si="142"/>
        <v>1.2369124712763735</v>
      </c>
      <c r="N229" s="29">
        <v>1.1452</v>
      </c>
      <c r="O229" s="111">
        <v>5784.1</v>
      </c>
      <c r="P229" s="29">
        <f t="shared" si="158"/>
        <v>0.97686240732296359</v>
      </c>
      <c r="Q229" s="1558">
        <f t="shared" si="159"/>
        <v>4.5160527604668044E-2</v>
      </c>
      <c r="R229" s="961">
        <f t="shared" si="160"/>
        <v>2.7384324834749764E-2</v>
      </c>
      <c r="S229" s="961">
        <f t="shared" si="161"/>
        <v>4.616839775850376E-2</v>
      </c>
      <c r="T229" s="1535">
        <f t="shared" si="162"/>
        <v>4.6230182742345388E-2</v>
      </c>
      <c r="U229" s="1162">
        <v>889</v>
      </c>
      <c r="V229" s="111">
        <v>2579</v>
      </c>
      <c r="W229" s="175">
        <f t="shared" si="143"/>
        <v>2576.4</v>
      </c>
      <c r="X229" s="964">
        <f t="shared" si="134"/>
        <v>-1687.4</v>
      </c>
      <c r="Y229" s="964"/>
      <c r="Z229" s="1428"/>
      <c r="AA229" s="1536"/>
      <c r="AB229" s="111">
        <f t="shared" si="146"/>
        <v>-1560</v>
      </c>
      <c r="AC229" s="111">
        <f t="shared" si="151"/>
        <v>-1687.4</v>
      </c>
      <c r="AD229" s="111"/>
      <c r="AE229" s="111"/>
      <c r="AF229" s="598"/>
      <c r="AG229" s="979"/>
      <c r="AH229" s="964">
        <f t="shared" si="154"/>
        <v>0</v>
      </c>
      <c r="AI229" s="964">
        <v>0</v>
      </c>
      <c r="AJ229" s="964">
        <f t="shared" si="155"/>
        <v>0</v>
      </c>
      <c r="AK229" s="964">
        <f t="shared" si="156"/>
        <v>-1687.4</v>
      </c>
      <c r="AL229" s="964">
        <f>DataUK1!DK76</f>
        <v>71</v>
      </c>
      <c r="AM229" s="961">
        <f t="shared" si="140"/>
        <v>1.4831836223104241E-2</v>
      </c>
      <c r="AN229" s="964">
        <f t="shared" si="157"/>
        <v>-1758.4</v>
      </c>
      <c r="AP229" s="1785"/>
      <c r="AQ229" s="832"/>
      <c r="AR229" s="832"/>
      <c r="AS229" s="111"/>
      <c r="AT229" s="111"/>
      <c r="AU229" s="111"/>
      <c r="AV229" s="111">
        <v>19.899999999999999</v>
      </c>
      <c r="AW229" s="111"/>
      <c r="AY229" s="111">
        <v>-275</v>
      </c>
      <c r="AZ229" s="967">
        <f>AY229-DataUK1!FI76</f>
        <v>10</v>
      </c>
      <c r="BA229" s="111">
        <f t="shared" si="137"/>
        <v>-275</v>
      </c>
      <c r="BB229" s="111"/>
      <c r="BE229" s="967">
        <f t="shared" si="166"/>
        <v>4354.5</v>
      </c>
      <c r="BF229" s="2133">
        <f t="shared" si="165"/>
        <v>0.90965113850010448</v>
      </c>
      <c r="BG229" s="385">
        <f>DataUK3!BS76</f>
        <v>0.96072696887403386</v>
      </c>
    </row>
    <row r="230" spans="1:59" s="87" customFormat="1">
      <c r="A230" s="79">
        <v>1919</v>
      </c>
      <c r="B230" s="1540">
        <f>DataUK1!B77</f>
        <v>5154</v>
      </c>
      <c r="C230" s="1162">
        <v>332</v>
      </c>
      <c r="D230" s="959">
        <v>8.8000000000000007</v>
      </c>
      <c r="E230" s="959">
        <v>2.6</v>
      </c>
      <c r="F230" s="111">
        <f t="shared" si="141"/>
        <v>320.59999999999997</v>
      </c>
      <c r="G230" s="1540">
        <f t="shared" si="148"/>
        <v>329.4</v>
      </c>
      <c r="H230" s="1145">
        <v>7481.1</v>
      </c>
      <c r="I230" s="29">
        <f t="shared" si="149"/>
        <v>1.0104132901134522</v>
      </c>
      <c r="J230" s="519">
        <v>7404</v>
      </c>
      <c r="K230" s="1427">
        <v>317.60000000000002</v>
      </c>
      <c r="L230" s="959">
        <f t="shared" si="150"/>
        <v>7086.4</v>
      </c>
      <c r="M230" s="29">
        <f t="shared" si="142"/>
        <v>1.4515133876600699</v>
      </c>
      <c r="N230" s="29">
        <v>1.3519999999999999</v>
      </c>
      <c r="O230" s="111">
        <v>7223.7</v>
      </c>
      <c r="P230" s="29">
        <f t="shared" si="158"/>
        <v>0.96559329510366121</v>
      </c>
      <c r="Q230" s="1558">
        <f t="shared" si="159"/>
        <v>4.4030958014195772E-2</v>
      </c>
      <c r="R230" s="961">
        <f t="shared" si="160"/>
        <v>2.7707808564231738E-2</v>
      </c>
      <c r="S230" s="961">
        <f t="shared" si="161"/>
        <v>4.4754659035387723E-2</v>
      </c>
      <c r="T230" s="1535">
        <f t="shared" si="162"/>
        <v>4.5599900328086709E-2</v>
      </c>
      <c r="U230" s="1162">
        <v>1339.6</v>
      </c>
      <c r="V230" s="111">
        <v>1666</v>
      </c>
      <c r="W230" s="175">
        <f t="shared" si="143"/>
        <v>1663.4</v>
      </c>
      <c r="X230" s="964">
        <f t="shared" si="134"/>
        <v>-323.80000000000018</v>
      </c>
      <c r="Y230" s="964"/>
      <c r="Z230" s="1428"/>
      <c r="AA230" s="1536"/>
      <c r="AB230" s="111">
        <f t="shared" si="146"/>
        <v>-394.5</v>
      </c>
      <c r="AC230" s="111">
        <f t="shared" si="151"/>
        <v>-323.80000000000018</v>
      </c>
      <c r="AD230" s="111"/>
      <c r="AE230" s="111"/>
      <c r="AF230" s="598"/>
      <c r="AG230" s="979"/>
      <c r="AH230" s="964">
        <f t="shared" si="154"/>
        <v>0</v>
      </c>
      <c r="AI230" s="964">
        <v>0</v>
      </c>
      <c r="AJ230" s="964">
        <f t="shared" si="155"/>
        <v>0</v>
      </c>
      <c r="AK230" s="964">
        <f t="shared" si="156"/>
        <v>-323.80000000000018</v>
      </c>
      <c r="AL230" s="964">
        <f>DataUK1!DK77</f>
        <v>36</v>
      </c>
      <c r="AM230" s="961">
        <f t="shared" ref="AM230:AM261" si="167">AL230/B230</f>
        <v>6.9848661233993014E-3</v>
      </c>
      <c r="AN230" s="964">
        <f t="shared" si="157"/>
        <v>-359.80000000000018</v>
      </c>
      <c r="AP230" s="1785"/>
      <c r="AQ230" s="832"/>
      <c r="AR230" s="832"/>
      <c r="AS230" s="111"/>
      <c r="AT230" s="111"/>
      <c r="AU230" s="111"/>
      <c r="AV230" s="111">
        <v>21.9</v>
      </c>
      <c r="AW230" s="111"/>
      <c r="AY230" s="111">
        <v>-45</v>
      </c>
      <c r="AZ230" s="967">
        <f>AY230-DataUK1!FI77</f>
        <v>0</v>
      </c>
      <c r="BA230" s="111">
        <f t="shared" si="137"/>
        <v>-45</v>
      </c>
      <c r="BB230" s="111"/>
      <c r="BE230" s="967">
        <f t="shared" si="166"/>
        <v>4079.5</v>
      </c>
      <c r="BF230" s="2133">
        <f t="shared" si="165"/>
        <v>0.79152114862242917</v>
      </c>
      <c r="BG230" s="385">
        <f>DataUK3!BS77</f>
        <v>0.83701979045401631</v>
      </c>
    </row>
    <row r="231" spans="1:59" s="87" customFormat="1">
      <c r="A231" s="79" t="s">
        <v>652</v>
      </c>
      <c r="B231" s="1540">
        <f>DataUK1!B79</f>
        <v>5247</v>
      </c>
      <c r="C231" s="1162">
        <v>342.3</v>
      </c>
      <c r="D231" s="959">
        <v>8.6</v>
      </c>
      <c r="E231" s="959">
        <v>2.6</v>
      </c>
      <c r="F231" s="111">
        <f t="shared" si="141"/>
        <v>331.09999999999997</v>
      </c>
      <c r="G231" s="1540">
        <f t="shared" si="148"/>
        <v>339.7</v>
      </c>
      <c r="H231" s="1145">
        <v>7875.6</v>
      </c>
      <c r="I231" s="29">
        <f t="shared" si="149"/>
        <v>1.0084640501952751</v>
      </c>
      <c r="J231" s="519">
        <v>7809.5</v>
      </c>
      <c r="K231" s="1427">
        <v>315</v>
      </c>
      <c r="L231" s="959">
        <f t="shared" si="150"/>
        <v>7494.5</v>
      </c>
      <c r="M231" s="29">
        <f t="shared" si="142"/>
        <v>1.500971983990852</v>
      </c>
      <c r="N231" s="29">
        <v>1.3069999999999999</v>
      </c>
      <c r="O231" s="111">
        <v>7145.8</v>
      </c>
      <c r="P231" s="29">
        <f t="shared" si="158"/>
        <v>0.90733404439026866</v>
      </c>
      <c r="Q231" s="1558">
        <f t="shared" si="159"/>
        <v>4.3133221595814918E-2</v>
      </c>
      <c r="R231" s="961">
        <f t="shared" si="160"/>
        <v>2.7301587301587299E-2</v>
      </c>
      <c r="S231" s="961">
        <f t="shared" si="161"/>
        <v>4.3792820675607746E-2</v>
      </c>
      <c r="T231" s="1535">
        <f t="shared" si="162"/>
        <v>4.753841417336057E-2</v>
      </c>
      <c r="U231" s="1162">
        <v>1426</v>
      </c>
      <c r="V231" s="111">
        <v>1188</v>
      </c>
      <c r="W231" s="175">
        <f t="shared" si="143"/>
        <v>1185.4000000000001</v>
      </c>
      <c r="X231" s="964">
        <f t="shared" si="134"/>
        <v>240.59999999999991</v>
      </c>
      <c r="Y231" s="964"/>
      <c r="Z231" s="1428"/>
      <c r="AA231" s="1536"/>
      <c r="AB231" s="111">
        <f t="shared" si="146"/>
        <v>252.5</v>
      </c>
      <c r="AC231" s="111">
        <f t="shared" si="151"/>
        <v>240.59999999999991</v>
      </c>
      <c r="AD231" s="111"/>
      <c r="AE231" s="111"/>
      <c r="AF231" s="598"/>
      <c r="AG231" s="979"/>
      <c r="AH231" s="964">
        <f t="shared" si="154"/>
        <v>0</v>
      </c>
      <c r="AI231" s="964">
        <v>0</v>
      </c>
      <c r="AJ231" s="964">
        <f t="shared" si="155"/>
        <v>0</v>
      </c>
      <c r="AK231" s="964">
        <f t="shared" si="156"/>
        <v>240.59999999999991</v>
      </c>
      <c r="AL231" s="964">
        <f>DataUK1!DK79</f>
        <v>20</v>
      </c>
      <c r="AM231" s="961">
        <f t="shared" si="167"/>
        <v>3.8117019249094722E-3</v>
      </c>
      <c r="AN231" s="964">
        <f t="shared" si="157"/>
        <v>220.59999999999991</v>
      </c>
      <c r="AP231" s="1785"/>
      <c r="AQ231" s="832"/>
      <c r="AR231" s="832"/>
      <c r="AS231" s="111"/>
      <c r="AT231" s="111"/>
      <c r="AU231" s="111"/>
      <c r="AV231" s="111">
        <v>25.3</v>
      </c>
      <c r="AW231" s="111"/>
      <c r="AY231" s="111">
        <v>324</v>
      </c>
      <c r="AZ231" s="967">
        <f>AY231-DataUK1!FI79</f>
        <v>-14</v>
      </c>
      <c r="BA231" s="111">
        <f t="shared" si="137"/>
        <v>324</v>
      </c>
      <c r="BB231" s="111"/>
      <c r="BE231" s="967">
        <f t="shared" si="166"/>
        <v>4034.5</v>
      </c>
      <c r="BF231" s="2133">
        <f t="shared" si="165"/>
        <v>0.76891557080236328</v>
      </c>
      <c r="BG231" s="385">
        <f>DataUK3!BS78</f>
        <v>0.78778372393430518</v>
      </c>
    </row>
    <row r="232" spans="1:59" s="87" customFormat="1">
      <c r="A232" s="79">
        <v>1921</v>
      </c>
      <c r="B232" s="1540">
        <f>DataUK1!B80</f>
        <v>4301</v>
      </c>
      <c r="C232" s="1162">
        <v>323.2</v>
      </c>
      <c r="D232" s="959">
        <v>8.6999999999999993</v>
      </c>
      <c r="E232" s="959">
        <v>2.6</v>
      </c>
      <c r="F232" s="111">
        <f t="shared" si="141"/>
        <v>311.89999999999998</v>
      </c>
      <c r="G232" s="1540">
        <f t="shared" si="148"/>
        <v>320.59999999999997</v>
      </c>
      <c r="H232" s="1145">
        <v>7623.1</v>
      </c>
      <c r="I232" s="29">
        <f t="shared" si="149"/>
        <v>1.0087869043365492</v>
      </c>
      <c r="J232" s="519">
        <v>7556.7</v>
      </c>
      <c r="K232" s="1427">
        <v>314.8</v>
      </c>
      <c r="L232" s="959">
        <f t="shared" si="150"/>
        <v>7241.9</v>
      </c>
      <c r="M232" s="29">
        <f t="shared" si="142"/>
        <v>1.7724017670309231</v>
      </c>
      <c r="N232" s="29">
        <v>1.54</v>
      </c>
      <c r="O232" s="111">
        <v>7309.8</v>
      </c>
      <c r="P232" s="29">
        <f t="shared" si="158"/>
        <v>0.95890123440595032</v>
      </c>
      <c r="Q232" s="1558">
        <f t="shared" si="159"/>
        <v>4.2056381262216155E-2</v>
      </c>
      <c r="R232" s="961">
        <f t="shared" si="160"/>
        <v>2.763659466327827E-2</v>
      </c>
      <c r="S232" s="961">
        <f t="shared" si="161"/>
        <v>4.2677503660221938E-2</v>
      </c>
      <c r="T232" s="1535">
        <f t="shared" si="162"/>
        <v>4.3858929108867545E-2</v>
      </c>
      <c r="U232" s="1162">
        <v>1124.9000000000001</v>
      </c>
      <c r="V232" s="111">
        <v>1070</v>
      </c>
      <c r="W232" s="175">
        <f t="shared" si="143"/>
        <v>1067.4000000000001</v>
      </c>
      <c r="X232" s="964">
        <f t="shared" si="134"/>
        <v>57.5</v>
      </c>
      <c r="Y232" s="964"/>
      <c r="Z232" s="1428"/>
      <c r="AA232" s="1536"/>
      <c r="AB232" s="111">
        <f t="shared" si="146"/>
        <v>-97.399999999999636</v>
      </c>
      <c r="AC232" s="111">
        <f t="shared" si="151"/>
        <v>57.5</v>
      </c>
      <c r="AD232" s="111"/>
      <c r="AE232" s="111"/>
      <c r="AF232" s="598"/>
      <c r="AG232" s="979"/>
      <c r="AH232" s="964">
        <f t="shared" si="154"/>
        <v>0</v>
      </c>
      <c r="AI232" s="964">
        <v>0</v>
      </c>
      <c r="AJ232" s="964">
        <f t="shared" si="155"/>
        <v>0</v>
      </c>
      <c r="AK232" s="964">
        <f t="shared" si="156"/>
        <v>57.5</v>
      </c>
      <c r="AL232" s="964">
        <f>DataUK1!DK80</f>
        <v>25</v>
      </c>
      <c r="AM232" s="961">
        <f t="shared" si="167"/>
        <v>5.8126017205301092E-3</v>
      </c>
      <c r="AN232" s="964">
        <f t="shared" si="157"/>
        <v>32.5</v>
      </c>
      <c r="AP232" s="1785"/>
      <c r="AQ232" s="832"/>
      <c r="AR232" s="832"/>
      <c r="AS232" s="111"/>
      <c r="AT232" s="111"/>
      <c r="AU232" s="111"/>
      <c r="AV232" s="111">
        <v>23.1</v>
      </c>
      <c r="AW232" s="111"/>
      <c r="AY232" s="111">
        <v>178</v>
      </c>
      <c r="AZ232" s="967">
        <f>AY232-DataUK1!FI80</f>
        <v>28</v>
      </c>
      <c r="BA232" s="111">
        <f t="shared" si="137"/>
        <v>178</v>
      </c>
      <c r="BB232" s="111"/>
      <c r="BE232" s="967">
        <f t="shared" si="166"/>
        <v>4358.5</v>
      </c>
      <c r="BF232" s="2133">
        <f t="shared" si="165"/>
        <v>1.0133689839572193</v>
      </c>
      <c r="BG232" s="385">
        <f>DataUK3!BS79</f>
        <v>0.84048027444253859</v>
      </c>
    </row>
    <row r="233" spans="1:59" s="87" customFormat="1">
      <c r="A233" s="79">
        <v>1922</v>
      </c>
      <c r="B233" s="1540">
        <f>DataUK1!B81</f>
        <v>4090</v>
      </c>
      <c r="C233" s="1162">
        <v>324</v>
      </c>
      <c r="D233" s="959">
        <v>8.8000000000000007</v>
      </c>
      <c r="E233" s="959">
        <v>3.4</v>
      </c>
      <c r="F233" s="111">
        <f t="shared" si="141"/>
        <v>311.8</v>
      </c>
      <c r="G233" s="1540">
        <f t="shared" si="148"/>
        <v>320.60000000000002</v>
      </c>
      <c r="H233" s="1145">
        <v>7720.5</v>
      </c>
      <c r="I233" s="29">
        <f t="shared" si="149"/>
        <v>1.0108012568735272</v>
      </c>
      <c r="J233" s="519">
        <v>7638</v>
      </c>
      <c r="K233" s="1427">
        <f>K232</f>
        <v>314.8</v>
      </c>
      <c r="L233" s="959">
        <f t="shared" si="150"/>
        <v>7323.2</v>
      </c>
      <c r="M233" s="29">
        <f t="shared" si="142"/>
        <v>1.8876528117359412</v>
      </c>
      <c r="N233" s="29">
        <v>1.7133</v>
      </c>
      <c r="O233" s="111">
        <v>7734.3</v>
      </c>
      <c r="P233" s="29">
        <f t="shared" si="158"/>
        <v>1.0017874489994172</v>
      </c>
      <c r="Q233" s="1558">
        <f t="shared" si="159"/>
        <v>4.1525807913995211E-2</v>
      </c>
      <c r="R233" s="961">
        <f t="shared" si="160"/>
        <v>2.795425667090216E-2</v>
      </c>
      <c r="S233" s="961">
        <f t="shared" si="161"/>
        <v>4.2102704673427228E-2</v>
      </c>
      <c r="T233" s="1535">
        <f t="shared" si="162"/>
        <v>4.145171508733822E-2</v>
      </c>
      <c r="U233" s="1162">
        <v>914</v>
      </c>
      <c r="V233" s="111">
        <v>812.5</v>
      </c>
      <c r="W233" s="175">
        <f t="shared" si="143"/>
        <v>809.1</v>
      </c>
      <c r="X233" s="964">
        <f t="shared" si="134"/>
        <v>104.89999999999998</v>
      </c>
      <c r="Y233" s="964"/>
      <c r="Z233" s="1428"/>
      <c r="AA233" s="1536"/>
      <c r="AB233" s="111">
        <f t="shared" si="146"/>
        <v>-92.100000000000364</v>
      </c>
      <c r="AC233" s="111">
        <f t="shared" si="151"/>
        <v>104.89999999999998</v>
      </c>
      <c r="AD233" s="111"/>
      <c r="AE233" s="111"/>
      <c r="AF233" s="598"/>
      <c r="AG233" s="979"/>
      <c r="AH233" s="964">
        <f t="shared" si="154"/>
        <v>0</v>
      </c>
      <c r="AI233" s="964">
        <v>0</v>
      </c>
      <c r="AJ233" s="964">
        <f t="shared" si="155"/>
        <v>0</v>
      </c>
      <c r="AK233" s="964">
        <f t="shared" si="156"/>
        <v>104.89999999999998</v>
      </c>
      <c r="AL233" s="964">
        <f>DataUK1!DK81</f>
        <v>44</v>
      </c>
      <c r="AM233" s="961">
        <f t="shared" si="167"/>
        <v>1.0757946210268949E-2</v>
      </c>
      <c r="AN233" s="964">
        <f t="shared" si="157"/>
        <v>60.899999999999977</v>
      </c>
      <c r="AP233" s="1785"/>
      <c r="AQ233" s="832"/>
      <c r="AR233" s="832"/>
      <c r="AS233" s="111"/>
      <c r="AT233" s="111"/>
      <c r="AU233" s="111"/>
      <c r="AV233" s="111">
        <v>19.899999999999999</v>
      </c>
      <c r="AW233" s="111"/>
      <c r="AY233" s="111">
        <v>191</v>
      </c>
      <c r="AZ233" s="967">
        <f>AY233-DataUK1!FI81</f>
        <v>2</v>
      </c>
      <c r="BA233" s="111">
        <f t="shared" si="137"/>
        <v>191</v>
      </c>
      <c r="BB233" s="111"/>
      <c r="BE233" s="967">
        <f t="shared" si="166"/>
        <v>4536.5</v>
      </c>
      <c r="BF233" s="2133">
        <f t="shared" si="165"/>
        <v>1.1091687041564793</v>
      </c>
      <c r="BG233" s="385">
        <f>DataUK3!BS80</f>
        <v>1.1039293187630783</v>
      </c>
    </row>
    <row r="234" spans="1:59" s="87" customFormat="1">
      <c r="A234" s="79">
        <v>1923</v>
      </c>
      <c r="B234" s="1540">
        <f>DataUK1!B82</f>
        <v>4040.9999999999995</v>
      </c>
      <c r="C234" s="1162">
        <v>307.3</v>
      </c>
      <c r="D234" s="959">
        <v>33.5</v>
      </c>
      <c r="E234" s="959">
        <v>0.4</v>
      </c>
      <c r="F234" s="111">
        <f t="shared" si="141"/>
        <v>273.40000000000003</v>
      </c>
      <c r="G234" s="1540">
        <f t="shared" si="148"/>
        <v>306.90000000000003</v>
      </c>
      <c r="H234" s="1145">
        <v>7812.6</v>
      </c>
      <c r="I234" s="29">
        <f t="shared" si="149"/>
        <v>1.0108164057445983</v>
      </c>
      <c r="J234" s="519">
        <v>7729</v>
      </c>
      <c r="K234" s="1427">
        <v>997.8</v>
      </c>
      <c r="L234" s="959">
        <f t="shared" si="150"/>
        <v>6731.2</v>
      </c>
      <c r="M234" s="29">
        <f t="shared" si="142"/>
        <v>1.9333333333333336</v>
      </c>
      <c r="N234" s="29">
        <v>1.8168</v>
      </c>
      <c r="O234" s="111">
        <v>7729.8</v>
      </c>
      <c r="P234" s="29">
        <f t="shared" si="158"/>
        <v>0.98940173565778355</v>
      </c>
      <c r="Q234" s="1558">
        <f t="shared" si="159"/>
        <v>3.9282697181476083E-2</v>
      </c>
      <c r="R234" s="961">
        <f t="shared" si="160"/>
        <v>3.3573862497494486E-2</v>
      </c>
      <c r="S234" s="961">
        <f t="shared" si="161"/>
        <v>4.0118565475142344E-2</v>
      </c>
      <c r="T234" s="1535">
        <f t="shared" si="162"/>
        <v>3.9703485213071495E-2</v>
      </c>
      <c r="U234" s="1162">
        <v>837</v>
      </c>
      <c r="V234" s="111">
        <v>748.8</v>
      </c>
      <c r="W234" s="175">
        <f t="shared" si="143"/>
        <v>748.4</v>
      </c>
      <c r="X234" s="964">
        <f t="shared" si="134"/>
        <v>88.600000000000023</v>
      </c>
      <c r="Y234" s="964"/>
      <c r="Z234" s="1428"/>
      <c r="AA234" s="1536"/>
      <c r="AB234" s="111">
        <f t="shared" si="146"/>
        <v>105.10000000000036</v>
      </c>
      <c r="AC234" s="111">
        <f t="shared" si="151"/>
        <v>88.600000000000023</v>
      </c>
      <c r="AD234" s="111"/>
      <c r="AE234" s="111"/>
      <c r="AF234" s="598"/>
      <c r="AG234" s="979"/>
      <c r="AH234" s="964">
        <f t="shared" si="154"/>
        <v>0</v>
      </c>
      <c r="AI234" s="964">
        <v>0</v>
      </c>
      <c r="AJ234" s="964">
        <f t="shared" si="155"/>
        <v>0</v>
      </c>
      <c r="AK234" s="964">
        <f t="shared" si="156"/>
        <v>88.600000000000023</v>
      </c>
      <c r="AL234" s="964">
        <f>DataUK1!DK82</f>
        <v>44</v>
      </c>
      <c r="AM234" s="961">
        <f t="shared" si="167"/>
        <v>1.0888393961890622E-2</v>
      </c>
      <c r="AN234" s="964">
        <f t="shared" si="157"/>
        <v>44.600000000000023</v>
      </c>
      <c r="AP234" s="1785"/>
      <c r="AQ234" s="832"/>
      <c r="AR234" s="832"/>
      <c r="AS234" s="111"/>
      <c r="AT234" s="111"/>
      <c r="AU234" s="111"/>
      <c r="AV234" s="111">
        <v>18.7</v>
      </c>
      <c r="AW234" s="111"/>
      <c r="AY234" s="111">
        <v>171</v>
      </c>
      <c r="AZ234" s="967">
        <f>AY234-DataUK1!FI82</f>
        <v>-9</v>
      </c>
      <c r="BA234" s="111">
        <f t="shared" si="137"/>
        <v>171</v>
      </c>
      <c r="BB234" s="111"/>
      <c r="BE234" s="967">
        <f t="shared" si="166"/>
        <v>4727.5</v>
      </c>
      <c r="BF234" s="2133">
        <f t="shared" si="165"/>
        <v>1.1698836921554072</v>
      </c>
      <c r="BG234" s="385">
        <f>DataUK3!BS81</f>
        <v>1.197555012224939</v>
      </c>
    </row>
    <row r="235" spans="1:59" s="87" customFormat="1">
      <c r="A235" s="79">
        <v>1924</v>
      </c>
      <c r="B235" s="1540">
        <f>DataUK1!B83</f>
        <v>4147</v>
      </c>
      <c r="C235" s="1162">
        <v>312.2</v>
      </c>
      <c r="D235" s="959">
        <v>34</v>
      </c>
      <c r="E235" s="959">
        <v>0.4</v>
      </c>
      <c r="F235" s="111">
        <f t="shared" si="141"/>
        <v>277.8</v>
      </c>
      <c r="G235" s="1540">
        <f t="shared" si="148"/>
        <v>311.8</v>
      </c>
      <c r="H235" s="1145">
        <v>7707.5</v>
      </c>
      <c r="I235" s="29">
        <f t="shared" si="149"/>
        <v>1.0105546086272452</v>
      </c>
      <c r="J235" s="519">
        <v>7627</v>
      </c>
      <c r="K235" s="1427">
        <v>980.3</v>
      </c>
      <c r="L235" s="959">
        <f t="shared" si="150"/>
        <v>6646.7</v>
      </c>
      <c r="M235" s="29">
        <f t="shared" si="142"/>
        <v>1.8585724620207378</v>
      </c>
      <c r="N235" s="29">
        <v>1.7469999999999999</v>
      </c>
      <c r="O235" s="111">
        <v>7695.8</v>
      </c>
      <c r="P235" s="29">
        <f t="shared" si="158"/>
        <v>0.99848199805384363</v>
      </c>
      <c r="Q235" s="1558">
        <f t="shared" si="159"/>
        <v>4.0454103146286086E-2</v>
      </c>
      <c r="R235" s="961">
        <f t="shared" si="160"/>
        <v>3.4683260226461288E-2</v>
      </c>
      <c r="S235" s="961">
        <f t="shared" si="161"/>
        <v>4.1295041027470572E-2</v>
      </c>
      <c r="T235" s="1535">
        <f t="shared" si="162"/>
        <v>4.0515605914914626E-2</v>
      </c>
      <c r="U235" s="1162">
        <v>799</v>
      </c>
      <c r="V235" s="111">
        <v>750.8</v>
      </c>
      <c r="W235" s="175">
        <f t="shared" si="143"/>
        <v>750.4</v>
      </c>
      <c r="X235" s="964">
        <f t="shared" si="134"/>
        <v>48.600000000000023</v>
      </c>
      <c r="Y235" s="964"/>
      <c r="Z235" s="1428"/>
      <c r="AA235" s="1536"/>
      <c r="AB235" s="111">
        <f t="shared" si="146"/>
        <v>41.600000000000364</v>
      </c>
      <c r="AC235" s="111">
        <f t="shared" si="151"/>
        <v>48.600000000000023</v>
      </c>
      <c r="AD235" s="111"/>
      <c r="AE235" s="111"/>
      <c r="AF235" s="598"/>
      <c r="AG235" s="979"/>
      <c r="AH235" s="964">
        <f t="shared" si="154"/>
        <v>0</v>
      </c>
      <c r="AI235" s="964">
        <v>0</v>
      </c>
      <c r="AJ235" s="964">
        <f t="shared" si="155"/>
        <v>0</v>
      </c>
      <c r="AK235" s="964">
        <f t="shared" si="156"/>
        <v>48.600000000000023</v>
      </c>
      <c r="AL235" s="964">
        <f>DataUK1!DK83</f>
        <v>40</v>
      </c>
      <c r="AM235" s="961">
        <f t="shared" si="167"/>
        <v>9.6455268869061975E-3</v>
      </c>
      <c r="AN235" s="964">
        <f t="shared" si="157"/>
        <v>8.6000000000000227</v>
      </c>
      <c r="AP235" s="1785"/>
      <c r="AQ235" s="832"/>
      <c r="AR235" s="832"/>
      <c r="AS235" s="111"/>
      <c r="AT235" s="111"/>
      <c r="AU235" s="111"/>
      <c r="AV235" s="111">
        <v>18.600000000000001</v>
      </c>
      <c r="AW235" s="111"/>
      <c r="AY235" s="111">
        <v>71</v>
      </c>
      <c r="AZ235" s="967">
        <f>AY235-DataUK1!FI83</f>
        <v>-1</v>
      </c>
      <c r="BA235" s="111">
        <f t="shared" si="137"/>
        <v>71</v>
      </c>
      <c r="BB235" s="111"/>
      <c r="BE235" s="967">
        <f t="shared" si="166"/>
        <v>4898.5</v>
      </c>
      <c r="BF235" s="2133">
        <f t="shared" si="165"/>
        <v>1.1812153363877502</v>
      </c>
      <c r="BG235" s="385">
        <f>DataUK3!BS82</f>
        <v>1.2588468200940364</v>
      </c>
    </row>
    <row r="236" spans="1:59" s="87" customFormat="1">
      <c r="A236" s="79">
        <v>1925</v>
      </c>
      <c r="B236" s="1540">
        <f>DataUK1!B84</f>
        <v>4249</v>
      </c>
      <c r="C236" s="1162">
        <v>308.2</v>
      </c>
      <c r="D236" s="959">
        <v>34.4</v>
      </c>
      <c r="E236" s="959">
        <v>0.4</v>
      </c>
      <c r="F236" s="111">
        <f t="shared" si="141"/>
        <v>273.40000000000003</v>
      </c>
      <c r="G236" s="1540">
        <f t="shared" si="148"/>
        <v>307.8</v>
      </c>
      <c r="H236" s="1145">
        <v>7665.9</v>
      </c>
      <c r="I236" s="29">
        <f t="shared" si="149"/>
        <v>1.0106657877389584</v>
      </c>
      <c r="J236" s="519">
        <v>7585</v>
      </c>
      <c r="K236" s="1427">
        <v>1022.7</v>
      </c>
      <c r="L236" s="959">
        <f t="shared" si="150"/>
        <v>6562.3</v>
      </c>
      <c r="M236" s="29">
        <f t="shared" si="142"/>
        <v>1.8041656860437749</v>
      </c>
      <c r="N236" s="29">
        <v>1.6825000000000001</v>
      </c>
      <c r="O236" s="111">
        <v>7566.2</v>
      </c>
      <c r="P236" s="29">
        <f t="shared" si="158"/>
        <v>0.98699435160907401</v>
      </c>
      <c r="Q236" s="1558">
        <f t="shared" si="159"/>
        <v>4.0151841271083635E-2</v>
      </c>
      <c r="R236" s="961">
        <f t="shared" si="160"/>
        <v>3.3636452527622956E-2</v>
      </c>
      <c r="S236" s="961">
        <f t="shared" si="161"/>
        <v>4.1154865125240851E-2</v>
      </c>
      <c r="T236" s="1535">
        <f t="shared" si="162"/>
        <v>4.0680923052523063E-2</v>
      </c>
      <c r="U236" s="1162">
        <v>812</v>
      </c>
      <c r="V236" s="111">
        <v>776</v>
      </c>
      <c r="W236" s="175">
        <f t="shared" si="143"/>
        <v>775.6</v>
      </c>
      <c r="X236" s="964">
        <f t="shared" si="134"/>
        <v>36.399999999999977</v>
      </c>
      <c r="Y236" s="964"/>
      <c r="Z236" s="1428"/>
      <c r="AA236" s="1536"/>
      <c r="AB236" s="111">
        <f t="shared" si="146"/>
        <v>32.199999999999818</v>
      </c>
      <c r="AC236" s="111">
        <f t="shared" si="151"/>
        <v>36.399999999999977</v>
      </c>
      <c r="AD236" s="111"/>
      <c r="AE236" s="111"/>
      <c r="AF236" s="598"/>
      <c r="AG236" s="979"/>
      <c r="AH236" s="964">
        <f t="shared" si="154"/>
        <v>0</v>
      </c>
      <c r="AI236" s="964">
        <v>0</v>
      </c>
      <c r="AJ236" s="964">
        <f t="shared" si="155"/>
        <v>0</v>
      </c>
      <c r="AK236" s="964">
        <f t="shared" si="156"/>
        <v>36.399999999999977</v>
      </c>
      <c r="AL236" s="964">
        <f>DataUK1!DK84</f>
        <v>42</v>
      </c>
      <c r="AM236" s="961">
        <f t="shared" si="167"/>
        <v>9.8846787479406912E-3</v>
      </c>
      <c r="AN236" s="964">
        <f t="shared" si="157"/>
        <v>-5.6000000000000227</v>
      </c>
      <c r="AP236" s="1785"/>
      <c r="AQ236" s="832"/>
      <c r="AR236" s="832"/>
      <c r="AS236" s="111"/>
      <c r="AT236" s="111"/>
      <c r="AU236" s="111"/>
      <c r="AV236" s="111">
        <v>18.600000000000001</v>
      </c>
      <c r="AW236" s="111"/>
      <c r="AY236" s="111">
        <v>41</v>
      </c>
      <c r="AZ236" s="967">
        <f>AY236-DataUK1!FI84</f>
        <v>8</v>
      </c>
      <c r="BA236" s="111">
        <f t="shared" si="137"/>
        <v>41</v>
      </c>
      <c r="BB236" s="111"/>
      <c r="BE236" s="967">
        <f t="shared" si="166"/>
        <v>4969.5</v>
      </c>
      <c r="BF236" s="2133">
        <f t="shared" si="165"/>
        <v>1.1695693104259826</v>
      </c>
      <c r="BG236" s="385">
        <f>DataUK3!BS83</f>
        <v>1.2539184952978057</v>
      </c>
    </row>
    <row r="237" spans="1:59" s="87" customFormat="1">
      <c r="A237" s="79">
        <v>1926</v>
      </c>
      <c r="B237" s="1540">
        <f>DataUK1!B85</f>
        <v>4140</v>
      </c>
      <c r="C237" s="1162">
        <v>318.60000000000002</v>
      </c>
      <c r="D237" s="959">
        <v>36.4</v>
      </c>
      <c r="E237" s="959">
        <v>0.4</v>
      </c>
      <c r="F237" s="111">
        <f t="shared" si="141"/>
        <v>281.80000000000007</v>
      </c>
      <c r="G237" s="1540">
        <f t="shared" si="148"/>
        <v>318.20000000000005</v>
      </c>
      <c r="H237" s="1145">
        <v>7633.7</v>
      </c>
      <c r="I237" s="29">
        <f t="shared" si="149"/>
        <v>1.0116220514179697</v>
      </c>
      <c r="J237" s="519">
        <v>7546</v>
      </c>
      <c r="K237" s="1427">
        <v>1073.5</v>
      </c>
      <c r="L237" s="959">
        <f t="shared" si="150"/>
        <v>6472.5</v>
      </c>
      <c r="M237" s="29">
        <f t="shared" si="142"/>
        <v>1.8438888888888889</v>
      </c>
      <c r="N237" s="29">
        <v>1.7350999999999999</v>
      </c>
      <c r="O237" s="111">
        <v>7555.5</v>
      </c>
      <c r="P237" s="29">
        <f t="shared" si="158"/>
        <v>0.98975595058752641</v>
      </c>
      <c r="Q237" s="1558">
        <f t="shared" si="159"/>
        <v>4.1683587251267411E-2</v>
      </c>
      <c r="R237" s="961">
        <f t="shared" si="160"/>
        <v>3.390777829529576E-2</v>
      </c>
      <c r="S237" s="961">
        <f t="shared" si="161"/>
        <v>4.2956007438797607E-2</v>
      </c>
      <c r="T237" s="1535">
        <f t="shared" si="162"/>
        <v>4.2115015551584943E-2</v>
      </c>
      <c r="U237" s="1162">
        <v>805.7</v>
      </c>
      <c r="V237" s="111">
        <v>782.4</v>
      </c>
      <c r="W237" s="175">
        <f t="shared" si="143"/>
        <v>782</v>
      </c>
      <c r="X237" s="964">
        <f t="shared" si="134"/>
        <v>23.700000000000045</v>
      </c>
      <c r="Y237" s="964"/>
      <c r="Z237" s="1428"/>
      <c r="AA237" s="1536"/>
      <c r="AB237" s="111">
        <f t="shared" si="146"/>
        <v>-19</v>
      </c>
      <c r="AC237" s="111">
        <f t="shared" si="151"/>
        <v>23.700000000000045</v>
      </c>
      <c r="AD237" s="111"/>
      <c r="AE237" s="111"/>
      <c r="AF237" s="598"/>
      <c r="AG237" s="979"/>
      <c r="AH237" s="964">
        <f t="shared" si="154"/>
        <v>0</v>
      </c>
      <c r="AI237" s="964">
        <v>0</v>
      </c>
      <c r="AJ237" s="964">
        <f t="shared" si="155"/>
        <v>0</v>
      </c>
      <c r="AK237" s="964">
        <f t="shared" si="156"/>
        <v>23.700000000000045</v>
      </c>
      <c r="AL237" s="964">
        <f>DataUK1!DK85</f>
        <v>40</v>
      </c>
      <c r="AM237" s="961">
        <f t="shared" si="167"/>
        <v>9.6618357487922701E-3</v>
      </c>
      <c r="AN237" s="964">
        <f t="shared" si="157"/>
        <v>-16.299999999999955</v>
      </c>
      <c r="AP237" s="1785"/>
      <c r="AQ237" s="832"/>
      <c r="AR237" s="832"/>
      <c r="AS237" s="111"/>
      <c r="AT237" s="111"/>
      <c r="AU237" s="111"/>
      <c r="AV237" s="111">
        <v>18.5</v>
      </c>
      <c r="AW237" s="111"/>
      <c r="AY237" s="111">
        <v>-24</v>
      </c>
      <c r="AZ237" s="967">
        <f>AY237-DataUK1!FI85</f>
        <v>14</v>
      </c>
      <c r="BA237" s="111">
        <f t="shared" si="137"/>
        <v>-24</v>
      </c>
      <c r="BB237" s="111"/>
      <c r="BE237" s="967">
        <f t="shared" si="166"/>
        <v>5010.5</v>
      </c>
      <c r="BF237" s="2133">
        <f t="shared" si="165"/>
        <v>1.2102657004830917</v>
      </c>
      <c r="BG237" s="385">
        <f>DataUK3!BS84</f>
        <v>1.2407625323605553</v>
      </c>
    </row>
    <row r="238" spans="1:59" s="87" customFormat="1">
      <c r="A238" s="79">
        <v>1927</v>
      </c>
      <c r="B238" s="1540">
        <f>DataUK1!B86</f>
        <v>4434</v>
      </c>
      <c r="C238" s="1162">
        <v>313.8</v>
      </c>
      <c r="D238" s="959">
        <v>43.3</v>
      </c>
      <c r="E238" s="959">
        <v>0.4</v>
      </c>
      <c r="F238" s="111">
        <f t="shared" si="141"/>
        <v>270.10000000000002</v>
      </c>
      <c r="G238" s="1540">
        <f t="shared" si="148"/>
        <v>313.40000000000003</v>
      </c>
      <c r="H238" s="1145">
        <v>7652.7</v>
      </c>
      <c r="I238" s="29">
        <f t="shared" si="149"/>
        <v>1.0146778042959428</v>
      </c>
      <c r="J238" s="519">
        <v>7542</v>
      </c>
      <c r="K238" s="1427">
        <v>1219.8</v>
      </c>
      <c r="L238" s="959">
        <f t="shared" si="150"/>
        <v>6322.2</v>
      </c>
      <c r="M238" s="29">
        <f t="shared" si="142"/>
        <v>1.7259133964817319</v>
      </c>
      <c r="N238" s="29">
        <v>1.64</v>
      </c>
      <c r="O238" s="111">
        <v>7645.8</v>
      </c>
      <c r="P238" s="29">
        <f t="shared" si="158"/>
        <v>0.99909835744247133</v>
      </c>
      <c r="Q238" s="1558">
        <f t="shared" si="159"/>
        <v>4.0952866308623104E-2</v>
      </c>
      <c r="R238" s="961">
        <f t="shared" si="160"/>
        <v>3.5497622561075588E-2</v>
      </c>
      <c r="S238" s="961">
        <f t="shared" si="161"/>
        <v>4.1987284117583054E-2</v>
      </c>
      <c r="T238" s="1535">
        <f t="shared" si="162"/>
        <v>4.0989824478798821E-2</v>
      </c>
      <c r="U238" s="1162">
        <v>842.8</v>
      </c>
      <c r="V238" s="111">
        <v>773.6</v>
      </c>
      <c r="W238" s="175">
        <f t="shared" si="143"/>
        <v>773.2</v>
      </c>
      <c r="X238" s="964">
        <f t="shared" si="134"/>
        <v>69.599999999999909</v>
      </c>
      <c r="Y238" s="964"/>
      <c r="Z238" s="1428"/>
      <c r="AA238" s="1536"/>
      <c r="AB238" s="111">
        <f t="shared" si="146"/>
        <v>21.699999999999818</v>
      </c>
      <c r="AC238" s="111">
        <f t="shared" si="151"/>
        <v>69.599999999999909</v>
      </c>
      <c r="AD238" s="111"/>
      <c r="AE238" s="111"/>
      <c r="AF238" s="598"/>
      <c r="AG238" s="979"/>
      <c r="AH238" s="964">
        <f t="shared" si="154"/>
        <v>0</v>
      </c>
      <c r="AI238" s="964">
        <v>0</v>
      </c>
      <c r="AJ238" s="964">
        <f t="shared" si="155"/>
        <v>0</v>
      </c>
      <c r="AK238" s="964">
        <f t="shared" si="156"/>
        <v>69.599999999999909</v>
      </c>
      <c r="AL238" s="964">
        <f>DataUK1!DK86</f>
        <v>48</v>
      </c>
      <c r="AM238" s="961">
        <f t="shared" si="167"/>
        <v>1.0825439783491205E-2</v>
      </c>
      <c r="AN238" s="964">
        <f t="shared" si="157"/>
        <v>21.599999999999909</v>
      </c>
      <c r="AP238" s="1785"/>
      <c r="AQ238" s="832"/>
      <c r="AR238" s="832"/>
      <c r="AS238" s="111"/>
      <c r="AT238" s="111"/>
      <c r="AU238" s="111"/>
      <c r="AV238" s="111">
        <v>18</v>
      </c>
      <c r="AW238" s="111"/>
      <c r="AY238" s="111">
        <v>94</v>
      </c>
      <c r="AZ238" s="967">
        <f>AY238-DataUK1!FI86</f>
        <v>22</v>
      </c>
      <c r="BA238" s="111">
        <f t="shared" si="137"/>
        <v>94</v>
      </c>
      <c r="BB238" s="111"/>
      <c r="BE238" s="967">
        <f t="shared" si="166"/>
        <v>4986.5</v>
      </c>
      <c r="BF238" s="2133">
        <f t="shared" si="165"/>
        <v>1.1246053225078936</v>
      </c>
      <c r="BG238" s="385">
        <f>DataUK3!BS85</f>
        <v>1.2814009661835748</v>
      </c>
    </row>
    <row r="239" spans="1:59" s="87" customFormat="1">
      <c r="A239" s="79">
        <v>1928</v>
      </c>
      <c r="B239" s="1540">
        <f>DataUK1!B87</f>
        <v>4471</v>
      </c>
      <c r="C239" s="1162">
        <v>311.5</v>
      </c>
      <c r="D239" s="959">
        <v>49.4</v>
      </c>
      <c r="E239" s="959">
        <v>0.4</v>
      </c>
      <c r="F239" s="111">
        <f t="shared" si="141"/>
        <v>261.70000000000005</v>
      </c>
      <c r="G239" s="1540">
        <f t="shared" si="148"/>
        <v>311.10000000000002</v>
      </c>
      <c r="H239" s="1145">
        <v>7631</v>
      </c>
      <c r="I239" s="29">
        <f t="shared" si="149"/>
        <v>1.0154357950765136</v>
      </c>
      <c r="J239" s="519">
        <v>7515</v>
      </c>
      <c r="K239" s="1427">
        <v>1350</v>
      </c>
      <c r="L239" s="959">
        <f t="shared" si="150"/>
        <v>6165</v>
      </c>
      <c r="M239" s="29">
        <f t="shared" si="142"/>
        <v>1.7067770073808992</v>
      </c>
      <c r="N239" s="29">
        <v>1.6340999999999999</v>
      </c>
      <c r="O239" s="111">
        <v>7704.5</v>
      </c>
      <c r="P239" s="29">
        <f t="shared" si="158"/>
        <v>1.0096317651683921</v>
      </c>
      <c r="Q239" s="1558">
        <f t="shared" si="159"/>
        <v>4.0767920324990173E-2</v>
      </c>
      <c r="R239" s="961">
        <f t="shared" si="160"/>
        <v>3.6592592592592593E-2</v>
      </c>
      <c r="S239" s="961">
        <f t="shared" si="161"/>
        <v>4.1665339914026434E-2</v>
      </c>
      <c r="T239" s="1535">
        <f t="shared" si="162"/>
        <v>4.0378999286131485E-2</v>
      </c>
      <c r="U239" s="1162">
        <v>836.4</v>
      </c>
      <c r="V239" s="111">
        <v>760.5</v>
      </c>
      <c r="W239" s="175">
        <f t="shared" si="143"/>
        <v>760.1</v>
      </c>
      <c r="X239" s="964">
        <f t="shared" si="134"/>
        <v>76.299999999999955</v>
      </c>
      <c r="Y239" s="964"/>
      <c r="Z239" s="1428"/>
      <c r="AA239" s="1536"/>
      <c r="AB239" s="111">
        <f t="shared" si="146"/>
        <v>10.100000000000364</v>
      </c>
      <c r="AC239" s="111">
        <f t="shared" si="151"/>
        <v>76.299999999999955</v>
      </c>
      <c r="AD239" s="111"/>
      <c r="AE239" s="111"/>
      <c r="AF239" s="598"/>
      <c r="AG239" s="979"/>
      <c r="AH239" s="964">
        <f t="shared" si="154"/>
        <v>0</v>
      </c>
      <c r="AI239" s="964">
        <v>0</v>
      </c>
      <c r="AJ239" s="964">
        <f t="shared" si="155"/>
        <v>0</v>
      </c>
      <c r="AK239" s="964">
        <f t="shared" si="156"/>
        <v>76.299999999999955</v>
      </c>
      <c r="AL239" s="964">
        <f>DataUK1!DK87</f>
        <v>51</v>
      </c>
      <c r="AM239" s="961">
        <f t="shared" si="167"/>
        <v>1.1406844106463879E-2</v>
      </c>
      <c r="AN239" s="964">
        <f t="shared" si="157"/>
        <v>25.299999999999955</v>
      </c>
      <c r="AP239" s="1785"/>
      <c r="AQ239" s="832"/>
      <c r="AR239" s="832"/>
      <c r="AS239" s="111"/>
      <c r="AT239" s="111"/>
      <c r="AU239" s="111"/>
      <c r="AV239" s="111">
        <v>18</v>
      </c>
      <c r="AW239" s="111"/>
      <c r="AY239" s="111">
        <v>119</v>
      </c>
      <c r="AZ239" s="967">
        <f>AY239-DataUK1!FI87</f>
        <v>22</v>
      </c>
      <c r="BA239" s="111">
        <f t="shared" si="137"/>
        <v>119</v>
      </c>
      <c r="BB239" s="111"/>
      <c r="BE239" s="967">
        <f t="shared" si="166"/>
        <v>5080.5</v>
      </c>
      <c r="BF239" s="2133">
        <f t="shared" si="165"/>
        <v>1.13632297025274</v>
      </c>
      <c r="BG239" s="385">
        <f>DataUK3!BS86</f>
        <v>1.1878664862426702</v>
      </c>
    </row>
    <row r="240" spans="1:59" s="87" customFormat="1">
      <c r="A240" s="79">
        <v>1929</v>
      </c>
      <c r="B240" s="1540">
        <f>DataUK1!B88</f>
        <v>4523</v>
      </c>
      <c r="C240" s="1162">
        <v>307.3</v>
      </c>
      <c r="D240" s="959">
        <v>52.5</v>
      </c>
      <c r="E240" s="959">
        <v>0.4</v>
      </c>
      <c r="F240" s="111">
        <f t="shared" si="141"/>
        <v>254.4</v>
      </c>
      <c r="G240" s="1540">
        <f t="shared" si="148"/>
        <v>306.90000000000003</v>
      </c>
      <c r="H240" s="1145">
        <v>7620.9</v>
      </c>
      <c r="I240" s="29">
        <f t="shared" si="149"/>
        <v>1.0178843328435956</v>
      </c>
      <c r="J240" s="519">
        <v>7487</v>
      </c>
      <c r="K240" s="1427">
        <v>1478</v>
      </c>
      <c r="L240" s="959">
        <f t="shared" si="150"/>
        <v>6009</v>
      </c>
      <c r="M240" s="29">
        <f t="shared" si="142"/>
        <v>1.6849215122706167</v>
      </c>
      <c r="N240" s="29">
        <v>1.5959000000000001</v>
      </c>
      <c r="O240" s="111">
        <v>7519.9</v>
      </c>
      <c r="P240" s="29">
        <f t="shared" si="158"/>
        <v>0.98674697214239793</v>
      </c>
      <c r="Q240" s="1558">
        <f t="shared" ref="Q240:Q250" si="168">(C240-E240)/H240</f>
        <v>4.0270834153446448E-2</v>
      </c>
      <c r="R240" s="961">
        <f t="shared" ref="R240:R250" si="169">D240/K240</f>
        <v>3.5520974289580516E-2</v>
      </c>
      <c r="S240" s="961">
        <f t="shared" ref="S240:S250" si="170">F240/(H240-K240)</f>
        <v>4.1413664555828684E-2</v>
      </c>
      <c r="T240" s="1535">
        <f t="shared" ref="T240:T250" si="171">(G240)/O240</f>
        <v>4.0811712921714392E-2</v>
      </c>
      <c r="U240" s="1162">
        <v>815</v>
      </c>
      <c r="V240" s="111">
        <v>781.7</v>
      </c>
      <c r="W240" s="175">
        <f t="shared" si="143"/>
        <v>781.30000000000007</v>
      </c>
      <c r="X240" s="964">
        <f t="shared" si="134"/>
        <v>33.699999999999932</v>
      </c>
      <c r="Y240" s="964"/>
      <c r="Z240" s="1428"/>
      <c r="AA240" s="1536"/>
      <c r="AB240" s="111">
        <f t="shared" si="146"/>
        <v>24.699999999999818</v>
      </c>
      <c r="AC240" s="111">
        <f t="shared" si="151"/>
        <v>33.699999999999932</v>
      </c>
      <c r="AD240" s="111"/>
      <c r="AE240" s="111"/>
      <c r="AF240" s="598"/>
      <c r="AG240" s="979"/>
      <c r="AH240" s="964">
        <f t="shared" si="154"/>
        <v>0</v>
      </c>
      <c r="AI240" s="964">
        <v>0</v>
      </c>
      <c r="AJ240" s="964">
        <f t="shared" si="155"/>
        <v>0</v>
      </c>
      <c r="AK240" s="964">
        <f t="shared" si="156"/>
        <v>33.699999999999932</v>
      </c>
      <c r="AL240" s="964">
        <f>DataUK1!DK88</f>
        <v>52</v>
      </c>
      <c r="AM240" s="961">
        <f t="shared" si="167"/>
        <v>1.1496794163166041E-2</v>
      </c>
      <c r="AN240" s="964">
        <f t="shared" si="157"/>
        <v>-18.300000000000068</v>
      </c>
      <c r="AP240" s="1785"/>
      <c r="AQ240" s="832"/>
      <c r="AR240" s="832"/>
      <c r="AS240" s="111"/>
      <c r="AT240" s="111"/>
      <c r="AU240" s="111"/>
      <c r="AV240" s="111">
        <v>17.8</v>
      </c>
      <c r="AW240" s="111"/>
      <c r="AY240" s="111">
        <v>92</v>
      </c>
      <c r="AZ240" s="967">
        <f>AY240-DataUK1!FI88</f>
        <v>22</v>
      </c>
      <c r="BA240" s="111">
        <f t="shared" si="137"/>
        <v>92</v>
      </c>
      <c r="BB240" s="111"/>
      <c r="BE240" s="967">
        <f t="shared" si="166"/>
        <v>5199.5</v>
      </c>
      <c r="BF240" s="2133">
        <f t="shared" si="165"/>
        <v>1.1495688702188813</v>
      </c>
      <c r="BG240" s="385">
        <f>DataUK3!BS87</f>
        <v>1.1941400134198166</v>
      </c>
    </row>
    <row r="241" spans="1:59" s="87" customFormat="1">
      <c r="A241" s="79">
        <v>1930</v>
      </c>
      <c r="B241" s="1540">
        <f>DataUK1!B89</f>
        <v>4309</v>
      </c>
      <c r="C241" s="1162">
        <v>293.2</v>
      </c>
      <c r="D241" s="959">
        <v>50.6</v>
      </c>
      <c r="E241" s="959">
        <v>0.4</v>
      </c>
      <c r="F241" s="111">
        <f t="shared" si="141"/>
        <v>242.2</v>
      </c>
      <c r="G241" s="1540">
        <f t="shared" si="148"/>
        <v>292.8</v>
      </c>
      <c r="H241" s="1145">
        <v>7596.2</v>
      </c>
      <c r="I241" s="29">
        <f t="shared" si="149"/>
        <v>1.0186670242724956</v>
      </c>
      <c r="J241" s="519">
        <v>7457</v>
      </c>
      <c r="K241" s="1427">
        <v>1456</v>
      </c>
      <c r="L241" s="959">
        <f t="shared" si="150"/>
        <v>6001</v>
      </c>
      <c r="M241" s="29">
        <f t="shared" si="142"/>
        <v>1.762868414945463</v>
      </c>
      <c r="N241" s="29">
        <v>1.6158000000000001</v>
      </c>
      <c r="O241" s="111">
        <v>7821.6</v>
      </c>
      <c r="P241" s="29">
        <f t="shared" si="158"/>
        <v>1.0296727311023934</v>
      </c>
      <c r="Q241" s="1558">
        <f t="shared" si="168"/>
        <v>3.8545588583765569E-2</v>
      </c>
      <c r="R241" s="961">
        <f t="shared" si="169"/>
        <v>3.4752747252747254E-2</v>
      </c>
      <c r="S241" s="961">
        <f t="shared" si="170"/>
        <v>3.9444969219243675E-2</v>
      </c>
      <c r="T241" s="1535">
        <f t="shared" si="171"/>
        <v>3.7434795949677815E-2</v>
      </c>
      <c r="U241" s="1162">
        <v>858</v>
      </c>
      <c r="V241" s="111">
        <v>814.2</v>
      </c>
      <c r="W241" s="175">
        <f t="shared" si="143"/>
        <v>813.80000000000007</v>
      </c>
      <c r="X241" s="964">
        <f t="shared" ref="X241:X278" si="172">(U241-W241)</f>
        <v>44.199999999999932</v>
      </c>
      <c r="Y241" s="964"/>
      <c r="Z241" s="1428"/>
      <c r="AA241" s="1536"/>
      <c r="AB241" s="111">
        <f t="shared" si="146"/>
        <v>13.300000000000182</v>
      </c>
      <c r="AC241" s="111">
        <f t="shared" si="151"/>
        <v>44.199999999999932</v>
      </c>
      <c r="AD241" s="111"/>
      <c r="AE241" s="111"/>
      <c r="AF241" s="598"/>
      <c r="AG241" s="979"/>
      <c r="AH241" s="964">
        <f t="shared" si="154"/>
        <v>0</v>
      </c>
      <c r="AI241" s="964">
        <v>0</v>
      </c>
      <c r="AJ241" s="964">
        <f t="shared" si="155"/>
        <v>0</v>
      </c>
      <c r="AK241" s="964">
        <f t="shared" si="156"/>
        <v>44.199999999999932</v>
      </c>
      <c r="AL241" s="964">
        <f>DataUK1!DK89</f>
        <v>54</v>
      </c>
      <c r="AM241" s="961">
        <f t="shared" si="167"/>
        <v>1.2531909955906242E-2</v>
      </c>
      <c r="AN241" s="964">
        <f t="shared" si="157"/>
        <v>-9.8000000000000682</v>
      </c>
      <c r="AP241" s="1785"/>
      <c r="AQ241" s="832"/>
      <c r="AR241" s="832"/>
      <c r="AS241" s="111"/>
      <c r="AT241" s="111"/>
      <c r="AU241" s="111"/>
      <c r="AV241" s="111">
        <v>17.3</v>
      </c>
      <c r="AW241" s="111"/>
      <c r="AY241" s="111">
        <v>31</v>
      </c>
      <c r="AZ241" s="967">
        <f>AY241-DataUK1!FI89</f>
        <v>32</v>
      </c>
      <c r="BA241" s="111">
        <f t="shared" si="137"/>
        <v>31</v>
      </c>
      <c r="BB241" s="111"/>
      <c r="BE241" s="967">
        <f t="shared" si="166"/>
        <v>5291.5</v>
      </c>
      <c r="BF241" s="2133">
        <f t="shared" si="165"/>
        <v>1.2280111394755164</v>
      </c>
      <c r="BG241" s="385">
        <f>DataUK3!BS88</f>
        <v>1.2018571744417421</v>
      </c>
    </row>
    <row r="242" spans="1:59" s="87" customFormat="1">
      <c r="A242" s="79">
        <v>1931</v>
      </c>
      <c r="B242" s="1540">
        <f>DataUK1!B90</f>
        <v>4053.9999999999995</v>
      </c>
      <c r="C242" s="1162">
        <v>289.5</v>
      </c>
      <c r="D242" s="959">
        <v>50</v>
      </c>
      <c r="E242" s="959">
        <v>0.4</v>
      </c>
      <c r="F242" s="111">
        <f t="shared" si="141"/>
        <v>239.1</v>
      </c>
      <c r="G242" s="1540">
        <f t="shared" si="148"/>
        <v>289.10000000000002</v>
      </c>
      <c r="H242" s="1145">
        <v>7582.9</v>
      </c>
      <c r="I242" s="29">
        <f t="shared" si="149"/>
        <v>1.0245777597621943</v>
      </c>
      <c r="J242" s="519">
        <v>7401</v>
      </c>
      <c r="K242" s="1427">
        <v>1425</v>
      </c>
      <c r="L242" s="959">
        <f t="shared" si="150"/>
        <v>5976</v>
      </c>
      <c r="M242" s="29">
        <f t="shared" si="142"/>
        <v>1.8704736063147509</v>
      </c>
      <c r="N242" s="29">
        <v>1.7149000000000001</v>
      </c>
      <c r="O242" s="111">
        <v>7383.1</v>
      </c>
      <c r="P242" s="29">
        <f t="shared" si="158"/>
        <v>0.97365124160941074</v>
      </c>
      <c r="Q242" s="1558">
        <f t="shared" si="168"/>
        <v>3.8125255509106018E-2</v>
      </c>
      <c r="R242" s="961">
        <f t="shared" si="169"/>
        <v>3.5087719298245612E-2</v>
      </c>
      <c r="S242" s="961">
        <f t="shared" si="170"/>
        <v>3.8828171941733387E-2</v>
      </c>
      <c r="T242" s="1535">
        <f t="shared" si="171"/>
        <v>3.9156993674743672E-2</v>
      </c>
      <c r="U242" s="1162">
        <v>852</v>
      </c>
      <c r="V242" s="111">
        <v>818.6</v>
      </c>
      <c r="W242" s="175">
        <f t="shared" si="143"/>
        <v>818.2</v>
      </c>
      <c r="X242" s="964">
        <f t="shared" si="172"/>
        <v>33.799999999999955</v>
      </c>
      <c r="Y242" s="964"/>
      <c r="Z242" s="1428"/>
      <c r="AA242" s="1536"/>
      <c r="AB242" s="111">
        <f t="shared" si="146"/>
        <v>-65.100000000000364</v>
      </c>
      <c r="AC242" s="111">
        <f t="shared" si="151"/>
        <v>33.799999999999955</v>
      </c>
      <c r="AD242" s="111"/>
      <c r="AE242" s="111"/>
      <c r="AF242" s="598"/>
      <c r="AG242" s="979"/>
      <c r="AH242" s="964">
        <f t="shared" si="154"/>
        <v>0</v>
      </c>
      <c r="AI242" s="964">
        <v>0</v>
      </c>
      <c r="AJ242" s="964">
        <f t="shared" si="155"/>
        <v>0</v>
      </c>
      <c r="AK242" s="964">
        <f t="shared" si="156"/>
        <v>33.799999999999955</v>
      </c>
      <c r="AL242" s="964">
        <f>DataUK1!DK90</f>
        <v>55</v>
      </c>
      <c r="AM242" s="961">
        <f t="shared" si="167"/>
        <v>1.3566847557967441E-2</v>
      </c>
      <c r="AN242" s="964">
        <f t="shared" si="157"/>
        <v>-21.200000000000045</v>
      </c>
      <c r="AP242" s="1785"/>
      <c r="AQ242" s="832"/>
      <c r="AR242" s="832"/>
      <c r="AS242" s="111"/>
      <c r="AT242" s="111"/>
      <c r="AU242" s="111"/>
      <c r="AV242" s="111">
        <v>16.600000000000001</v>
      </c>
      <c r="AW242" s="111"/>
      <c r="AY242" s="111">
        <v>-105</v>
      </c>
      <c r="AZ242" s="967">
        <f>AY242-DataUK1!FI90</f>
        <v>26</v>
      </c>
      <c r="BA242" s="111">
        <f t="shared" si="137"/>
        <v>-105</v>
      </c>
      <c r="BB242" s="111"/>
      <c r="BE242" s="967">
        <f t="shared" si="166"/>
        <v>5322.5</v>
      </c>
      <c r="BF242" s="2133">
        <f t="shared" si="165"/>
        <v>1.3129008386778491</v>
      </c>
      <c r="BG242" s="385">
        <f>DataUK3!BS89</f>
        <v>1.2647946159201671</v>
      </c>
    </row>
    <row r="243" spans="1:59" s="87" customFormat="1">
      <c r="A243" s="79">
        <v>1932</v>
      </c>
      <c r="B243" s="1540">
        <f>DataUK1!B91</f>
        <v>4005.9999999999995</v>
      </c>
      <c r="C243" s="1162">
        <v>282.2</v>
      </c>
      <c r="D243" s="959">
        <v>52</v>
      </c>
      <c r="E243" s="959">
        <v>0.4</v>
      </c>
      <c r="F243" s="111">
        <f t="shared" si="141"/>
        <v>229.79999999999998</v>
      </c>
      <c r="G243" s="1540">
        <f t="shared" si="148"/>
        <v>281.8</v>
      </c>
      <c r="H243" s="1145">
        <v>7648</v>
      </c>
      <c r="I243" s="29">
        <f t="shared" si="149"/>
        <v>1.0304500134734573</v>
      </c>
      <c r="J243" s="519">
        <v>7422</v>
      </c>
      <c r="K243" s="1427">
        <v>1467</v>
      </c>
      <c r="L243" s="959">
        <f t="shared" si="150"/>
        <v>5955</v>
      </c>
      <c r="M243" s="29">
        <f t="shared" si="142"/>
        <v>1.9091362955566653</v>
      </c>
      <c r="N243" s="29">
        <v>1.7575999999999998</v>
      </c>
      <c r="O243" s="111">
        <v>8338.9</v>
      </c>
      <c r="P243" s="29">
        <f t="shared" si="158"/>
        <v>1.0903373430962342</v>
      </c>
      <c r="Q243" s="1558">
        <f t="shared" si="168"/>
        <v>3.684623430962343E-2</v>
      </c>
      <c r="R243" s="961">
        <f t="shared" si="169"/>
        <v>3.5446489434219498E-2</v>
      </c>
      <c r="S243" s="961">
        <f t="shared" si="170"/>
        <v>3.7178450088982365E-2</v>
      </c>
      <c r="T243" s="1535">
        <f t="shared" si="171"/>
        <v>3.3793425991437726E-2</v>
      </c>
      <c r="U243" s="1162">
        <v>827</v>
      </c>
      <c r="V243" s="111">
        <v>833</v>
      </c>
      <c r="W243" s="175">
        <f t="shared" si="143"/>
        <v>832.6</v>
      </c>
      <c r="X243" s="964">
        <f t="shared" si="172"/>
        <v>-5.6000000000000227</v>
      </c>
      <c r="Y243" s="964"/>
      <c r="Z243" s="1428"/>
      <c r="AA243" s="1536"/>
      <c r="AB243" s="111">
        <f t="shared" si="146"/>
        <v>-211.69999999999982</v>
      </c>
      <c r="AC243" s="111">
        <f t="shared" si="151"/>
        <v>-5.6000000000000227</v>
      </c>
      <c r="AD243" s="111"/>
      <c r="AE243" s="111"/>
      <c r="AF243" s="598"/>
      <c r="AG243" s="979"/>
      <c r="AH243" s="964">
        <f t="shared" si="154"/>
        <v>0</v>
      </c>
      <c r="AI243" s="964">
        <v>0</v>
      </c>
      <c r="AJ243" s="964">
        <f t="shared" si="155"/>
        <v>0</v>
      </c>
      <c r="AK243" s="964">
        <f t="shared" si="156"/>
        <v>-5.6000000000000227</v>
      </c>
      <c r="AL243" s="964">
        <f>DataUK1!DK91</f>
        <v>58</v>
      </c>
      <c r="AM243" s="961">
        <f t="shared" si="167"/>
        <v>1.4478282576135797E-2</v>
      </c>
      <c r="AN243" s="964">
        <f t="shared" si="157"/>
        <v>-63.600000000000023</v>
      </c>
      <c r="AP243" s="1785"/>
      <c r="AQ243" s="832"/>
      <c r="AR243" s="832"/>
      <c r="AS243" s="111"/>
      <c r="AT243" s="111"/>
      <c r="AU243" s="111"/>
      <c r="AV243" s="111">
        <v>16.2</v>
      </c>
      <c r="AW243" s="111"/>
      <c r="AY243" s="111">
        <v>-54</v>
      </c>
      <c r="AZ243" s="967">
        <f>AY243-DataUK1!FI91</f>
        <v>5</v>
      </c>
      <c r="BA243" s="111">
        <f t="shared" si="137"/>
        <v>-54</v>
      </c>
      <c r="BB243" s="111"/>
      <c r="BE243" s="967">
        <f t="shared" si="166"/>
        <v>5217.5</v>
      </c>
      <c r="BF243" s="2133">
        <f t="shared" si="165"/>
        <v>1.3024213679480781</v>
      </c>
      <c r="BG243" s="385">
        <f>DataUK3!BS90</f>
        <v>1.3037740503206712</v>
      </c>
    </row>
    <row r="244" spans="1:59" s="87" customFormat="1">
      <c r="A244" s="79">
        <v>1933</v>
      </c>
      <c r="B244" s="1540">
        <f>DataUK1!B92</f>
        <v>4181</v>
      </c>
      <c r="C244" s="1162">
        <v>216.3</v>
      </c>
      <c r="D244" s="959">
        <v>118.1</v>
      </c>
      <c r="E244" s="959">
        <v>0.4</v>
      </c>
      <c r="F244" s="111">
        <f t="shared" si="141"/>
        <v>97.800000000000011</v>
      </c>
      <c r="G244" s="1540">
        <f t="shared" si="148"/>
        <v>215.9</v>
      </c>
      <c r="H244" s="1145">
        <v>7859.7</v>
      </c>
      <c r="I244" s="29">
        <f t="shared" si="149"/>
        <v>1.0298349056603773</v>
      </c>
      <c r="J244" s="519">
        <v>7632</v>
      </c>
      <c r="K244" s="1427">
        <v>3376</v>
      </c>
      <c r="L244" s="959">
        <f t="shared" si="150"/>
        <v>4256</v>
      </c>
      <c r="M244" s="29">
        <f t="shared" si="142"/>
        <v>1.8798612772064098</v>
      </c>
      <c r="N244" s="29">
        <v>1.7756999999999998</v>
      </c>
      <c r="O244" s="111">
        <v>8618.9</v>
      </c>
      <c r="P244" s="29">
        <f t="shared" si="158"/>
        <v>1.0965940175833684</v>
      </c>
      <c r="Q244" s="1558">
        <f t="shared" si="168"/>
        <v>2.7469241828568521E-2</v>
      </c>
      <c r="R244" s="961">
        <f t="shared" si="169"/>
        <v>3.4982227488151656E-2</v>
      </c>
      <c r="S244" s="961">
        <f t="shared" si="170"/>
        <v>2.1812342485001229E-2</v>
      </c>
      <c r="T244" s="1535">
        <f t="shared" si="171"/>
        <v>2.5049600297021662E-2</v>
      </c>
      <c r="U244" s="1162">
        <v>809</v>
      </c>
      <c r="V244" s="111">
        <v>770.5</v>
      </c>
      <c r="W244" s="175">
        <f t="shared" si="143"/>
        <v>770.1</v>
      </c>
      <c r="X244" s="964">
        <f t="shared" si="172"/>
        <v>38.899999999999977</v>
      </c>
      <c r="Y244" s="964"/>
      <c r="Z244" s="1428"/>
      <c r="AA244" s="1536"/>
      <c r="AB244" s="111">
        <f t="shared" si="146"/>
        <v>-170.69999999999982</v>
      </c>
      <c r="AC244" s="111">
        <f t="shared" si="151"/>
        <v>38.899999999999977</v>
      </c>
      <c r="AD244" s="111"/>
      <c r="AE244" s="111"/>
      <c r="AF244" s="598"/>
      <c r="AG244" s="979"/>
      <c r="AH244" s="964">
        <f t="shared" si="154"/>
        <v>0</v>
      </c>
      <c r="AI244" s="964">
        <v>0</v>
      </c>
      <c r="AJ244" s="964">
        <f t="shared" si="155"/>
        <v>0</v>
      </c>
      <c r="AK244" s="964">
        <f t="shared" si="156"/>
        <v>38.899999999999977</v>
      </c>
      <c r="AL244" s="964">
        <f>DataUK1!DK92</f>
        <v>59</v>
      </c>
      <c r="AM244" s="961">
        <f t="shared" si="167"/>
        <v>1.4111456589332695E-2</v>
      </c>
      <c r="AN244" s="964">
        <f t="shared" si="157"/>
        <v>-20.100000000000023</v>
      </c>
      <c r="AP244" s="1785"/>
      <c r="AQ244" s="832"/>
      <c r="AR244" s="832"/>
      <c r="AS244" s="111"/>
      <c r="AT244" s="111"/>
      <c r="AU244" s="111"/>
      <c r="AV244" s="111">
        <v>15.8</v>
      </c>
      <c r="AW244" s="111"/>
      <c r="AY244" s="111">
        <v>-8</v>
      </c>
      <c r="AZ244" s="967">
        <f>AY244-DataUK1!FI92</f>
        <v>4</v>
      </c>
      <c r="BA244" s="111">
        <f t="shared" si="137"/>
        <v>-8</v>
      </c>
      <c r="BB244" s="111"/>
      <c r="BE244" s="967">
        <f t="shared" si="166"/>
        <v>5163.5</v>
      </c>
      <c r="BF244" s="2133">
        <f t="shared" si="165"/>
        <v>1.2349916287969385</v>
      </c>
      <c r="BG244" s="385">
        <f>DataUK3!BS91</f>
        <v>1.2471130803794308</v>
      </c>
    </row>
    <row r="245" spans="1:59" s="87" customFormat="1">
      <c r="A245" s="79">
        <v>1934</v>
      </c>
      <c r="B245" s="1540">
        <f>DataUK1!B93</f>
        <v>4422</v>
      </c>
      <c r="C245" s="1162">
        <v>211.7</v>
      </c>
      <c r="D245" s="959">
        <v>118</v>
      </c>
      <c r="E245" s="959">
        <v>0.4</v>
      </c>
      <c r="F245" s="111">
        <f t="shared" si="141"/>
        <v>93.299999999999983</v>
      </c>
      <c r="G245" s="1540">
        <f t="shared" si="148"/>
        <v>211.29999999999998</v>
      </c>
      <c r="H245" s="1145">
        <v>8030.4</v>
      </c>
      <c r="I245" s="29">
        <f t="shared" si="149"/>
        <v>1.0282202304737516</v>
      </c>
      <c r="J245" s="519">
        <v>7810</v>
      </c>
      <c r="K245" s="1427">
        <v>3374</v>
      </c>
      <c r="L245" s="959">
        <f t="shared" si="150"/>
        <v>4436</v>
      </c>
      <c r="M245" s="29">
        <f t="shared" si="142"/>
        <v>1.8160108548168248</v>
      </c>
      <c r="N245" s="29">
        <v>1.7290999999999999</v>
      </c>
      <c r="O245" s="111">
        <v>9260.2000000000007</v>
      </c>
      <c r="P245" s="29">
        <f t="shared" si="158"/>
        <v>1.1531430563857343</v>
      </c>
      <c r="Q245" s="1558">
        <f t="shared" si="168"/>
        <v>2.6312512452679817E-2</v>
      </c>
      <c r="R245" s="961">
        <f t="shared" si="169"/>
        <v>3.4973325429756966E-2</v>
      </c>
      <c r="S245" s="961">
        <f t="shared" si="170"/>
        <v>2.0036938407353318E-2</v>
      </c>
      <c r="T245" s="1535">
        <f t="shared" si="171"/>
        <v>2.2818081682901014E-2</v>
      </c>
      <c r="U245" s="1162">
        <v>805</v>
      </c>
      <c r="V245" s="111">
        <v>784.7</v>
      </c>
      <c r="W245" s="175">
        <f t="shared" si="143"/>
        <v>784.30000000000007</v>
      </c>
      <c r="X245" s="964">
        <f t="shared" si="172"/>
        <v>20.699999999999932</v>
      </c>
      <c r="Y245" s="964"/>
      <c r="Z245" s="1428"/>
      <c r="AA245" s="1536"/>
      <c r="AB245" s="111">
        <f t="shared" si="146"/>
        <v>128</v>
      </c>
      <c r="AC245" s="111">
        <f t="shared" si="151"/>
        <v>20.699999999999932</v>
      </c>
      <c r="AD245" s="111"/>
      <c r="AE245" s="111"/>
      <c r="AF245" s="598"/>
      <c r="AG245" s="979"/>
      <c r="AH245" s="964">
        <f t="shared" si="154"/>
        <v>0</v>
      </c>
      <c r="AI245" s="964">
        <v>0</v>
      </c>
      <c r="AJ245" s="964">
        <f t="shared" si="155"/>
        <v>0</v>
      </c>
      <c r="AK245" s="964">
        <f t="shared" si="156"/>
        <v>20.699999999999932</v>
      </c>
      <c r="AL245" s="964">
        <f>DataUK1!DK93</f>
        <v>60</v>
      </c>
      <c r="AM245" s="961">
        <f t="shared" si="167"/>
        <v>1.3568521031207599E-2</v>
      </c>
      <c r="AN245" s="964">
        <f t="shared" si="157"/>
        <v>-39.300000000000068</v>
      </c>
      <c r="AP245" s="1785"/>
      <c r="AQ245" s="832"/>
      <c r="AR245" s="832"/>
      <c r="AS245" s="111"/>
      <c r="AT245" s="111"/>
      <c r="AU245" s="111"/>
      <c r="AV245" s="111">
        <v>15.8</v>
      </c>
      <c r="AW245" s="111"/>
      <c r="AY245" s="111">
        <v>-23</v>
      </c>
      <c r="AZ245" s="967">
        <f>AY245-DataUK1!FI93</f>
        <v>1</v>
      </c>
      <c r="BA245" s="111">
        <f t="shared" si="137"/>
        <v>-23</v>
      </c>
      <c r="BB245" s="111"/>
      <c r="BE245" s="967">
        <f t="shared" si="166"/>
        <v>5155.5</v>
      </c>
      <c r="BF245" s="2133">
        <f t="shared" si="165"/>
        <v>1.1658751696065128</v>
      </c>
      <c r="BG245" s="385">
        <f>DataUK3!BS92</f>
        <v>1.1449550227218368</v>
      </c>
    </row>
    <row r="246" spans="1:59" s="87" customFormat="1">
      <c r="A246" s="79">
        <v>1935</v>
      </c>
      <c r="B246" s="1540">
        <f>DataUK1!B94</f>
        <v>4626.0000000000009</v>
      </c>
      <c r="C246" s="1162">
        <v>211.5</v>
      </c>
      <c r="D246" s="959">
        <v>117.8</v>
      </c>
      <c r="E246" s="959">
        <v>0.4</v>
      </c>
      <c r="F246" s="111">
        <f t="shared" si="141"/>
        <v>93.3</v>
      </c>
      <c r="G246" s="1540">
        <f t="shared" si="148"/>
        <v>211.1</v>
      </c>
      <c r="H246" s="1145">
        <v>7902.4</v>
      </c>
      <c r="I246" s="29">
        <f t="shared" si="149"/>
        <v>1.014689265536723</v>
      </c>
      <c r="J246" s="519">
        <v>7788</v>
      </c>
      <c r="K246" s="1427">
        <v>3368</v>
      </c>
      <c r="L246" s="959">
        <f t="shared" si="150"/>
        <v>4420</v>
      </c>
      <c r="M246" s="29">
        <f t="shared" si="142"/>
        <v>1.7082576740164284</v>
      </c>
      <c r="N246" s="29">
        <v>1.6500999999999999</v>
      </c>
      <c r="O246" s="111">
        <v>8983.2999999999993</v>
      </c>
      <c r="P246" s="29">
        <f t="shared" si="158"/>
        <v>1.1367812310184247</v>
      </c>
      <c r="Q246" s="1558">
        <f t="shared" si="168"/>
        <v>2.6713403522980361E-2</v>
      </c>
      <c r="R246" s="961">
        <f t="shared" si="169"/>
        <v>3.4976247030878857E-2</v>
      </c>
      <c r="S246" s="961">
        <f t="shared" si="170"/>
        <v>2.0576040931545518E-2</v>
      </c>
      <c r="T246" s="1535">
        <f t="shared" si="171"/>
        <v>2.3499159551612438E-2</v>
      </c>
      <c r="U246" s="1162">
        <v>845</v>
      </c>
      <c r="V246" s="111">
        <v>829.4</v>
      </c>
      <c r="W246" s="175">
        <f t="shared" si="143"/>
        <v>829</v>
      </c>
      <c r="X246" s="964">
        <f t="shared" si="172"/>
        <v>16</v>
      </c>
      <c r="Y246" s="964"/>
      <c r="Z246" s="1428"/>
      <c r="AA246" s="1536"/>
      <c r="AB246" s="111">
        <f t="shared" si="146"/>
        <v>0.7999999999992724</v>
      </c>
      <c r="AC246" s="111">
        <f t="shared" si="151"/>
        <v>16</v>
      </c>
      <c r="AD246" s="111"/>
      <c r="AE246" s="111"/>
      <c r="AF246" s="598"/>
      <c r="AG246" s="979"/>
      <c r="AH246" s="964">
        <f t="shared" si="154"/>
        <v>0</v>
      </c>
      <c r="AI246" s="964">
        <v>0</v>
      </c>
      <c r="AJ246" s="964">
        <f t="shared" si="155"/>
        <v>0</v>
      </c>
      <c r="AK246" s="964">
        <f t="shared" si="156"/>
        <v>16</v>
      </c>
      <c r="AL246" s="964">
        <f>DataUK1!DK94</f>
        <v>60</v>
      </c>
      <c r="AM246" s="961">
        <f t="shared" si="167"/>
        <v>1.2970168612191956E-2</v>
      </c>
      <c r="AN246" s="964">
        <f t="shared" si="157"/>
        <v>-44</v>
      </c>
      <c r="AP246" s="1785"/>
      <c r="AQ246" s="832"/>
      <c r="AR246" s="832"/>
      <c r="AS246" s="111"/>
      <c r="AT246" s="111"/>
      <c r="AU246" s="111"/>
      <c r="AV246" s="111">
        <v>15.9</v>
      </c>
      <c r="AW246" s="111"/>
      <c r="AY246" s="111">
        <v>23</v>
      </c>
      <c r="AZ246" s="967">
        <f>AY246-DataUK1!FI94</f>
        <v>0</v>
      </c>
      <c r="BA246" s="111">
        <f t="shared" si="137"/>
        <v>23</v>
      </c>
      <c r="BB246" s="111"/>
      <c r="BE246" s="967">
        <f t="shared" si="166"/>
        <v>5132.5</v>
      </c>
      <c r="BF246" s="2133">
        <f t="shared" si="165"/>
        <v>1.1094898400345869</v>
      </c>
      <c r="BG246" s="385">
        <f>DataUK3!BS93</f>
        <v>1.0473643694029848</v>
      </c>
    </row>
    <row r="247" spans="1:59" s="87" customFormat="1">
      <c r="A247" s="79">
        <v>1936</v>
      </c>
      <c r="B247" s="1540">
        <f>DataUK1!B95</f>
        <v>4963</v>
      </c>
      <c r="C247" s="1162">
        <v>210.9</v>
      </c>
      <c r="D247" s="959">
        <v>117.8</v>
      </c>
      <c r="E247" s="959">
        <v>0.4</v>
      </c>
      <c r="F247" s="111">
        <f t="shared" si="141"/>
        <v>92.7</v>
      </c>
      <c r="G247" s="1540">
        <f t="shared" si="148"/>
        <v>210.5</v>
      </c>
      <c r="H247" s="1145">
        <v>7901.6</v>
      </c>
      <c r="I247" s="29">
        <f t="shared" si="149"/>
        <v>1.0151079136690648</v>
      </c>
      <c r="J247" s="519">
        <v>7784</v>
      </c>
      <c r="K247" s="1427">
        <v>3366.5</v>
      </c>
      <c r="L247" s="959">
        <f t="shared" si="150"/>
        <v>4417.5</v>
      </c>
      <c r="M247" s="29">
        <f t="shared" si="142"/>
        <v>1.5921015514809591</v>
      </c>
      <c r="N247" s="29">
        <v>1.5608000000000002</v>
      </c>
      <c r="O247" s="111">
        <v>9050.7999999999993</v>
      </c>
      <c r="P247" s="29">
        <f t="shared" si="158"/>
        <v>1.1454388984509465</v>
      </c>
      <c r="Q247" s="1558">
        <f t="shared" si="168"/>
        <v>2.6640174141945933E-2</v>
      </c>
      <c r="R247" s="961">
        <f t="shared" si="169"/>
        <v>3.4991831278776177E-2</v>
      </c>
      <c r="S247" s="961">
        <f t="shared" si="170"/>
        <v>2.0440563603889659E-2</v>
      </c>
      <c r="T247" s="1535">
        <f t="shared" si="171"/>
        <v>2.3257612586732666E-2</v>
      </c>
      <c r="U247" s="1162">
        <v>897</v>
      </c>
      <c r="V247" s="111">
        <v>889.1</v>
      </c>
      <c r="W247" s="175">
        <f t="shared" si="143"/>
        <v>888.7</v>
      </c>
      <c r="X247" s="964">
        <f t="shared" si="172"/>
        <v>8.2999999999999545</v>
      </c>
      <c r="Y247" s="964"/>
      <c r="Z247" s="1428"/>
      <c r="AA247" s="1536"/>
      <c r="AB247" s="111">
        <f t="shared" si="146"/>
        <v>-8.2999999999992724</v>
      </c>
      <c r="AC247" s="111">
        <f t="shared" si="151"/>
        <v>8.2999999999999545</v>
      </c>
      <c r="AD247" s="111"/>
      <c r="AE247" s="111"/>
      <c r="AF247" s="598"/>
      <c r="AG247" s="979"/>
      <c r="AH247" s="964">
        <f t="shared" si="154"/>
        <v>0</v>
      </c>
      <c r="AI247" s="964">
        <v>0</v>
      </c>
      <c r="AJ247" s="964">
        <f t="shared" si="155"/>
        <v>0</v>
      </c>
      <c r="AK247" s="964">
        <f t="shared" si="156"/>
        <v>8.2999999999999545</v>
      </c>
      <c r="AL247" s="964">
        <f>DataUK1!DK95</f>
        <v>60</v>
      </c>
      <c r="AM247" s="961">
        <f t="shared" si="167"/>
        <v>1.2089462018940157E-2</v>
      </c>
      <c r="AN247" s="964">
        <f t="shared" si="157"/>
        <v>-51.700000000000045</v>
      </c>
      <c r="AP247" s="1785"/>
      <c r="AQ247" s="832"/>
      <c r="AR247" s="832"/>
      <c r="AS247" s="111"/>
      <c r="AT247" s="111"/>
      <c r="AU247" s="111"/>
      <c r="AV247" s="111">
        <v>16</v>
      </c>
      <c r="AW247" s="111"/>
      <c r="AY247" s="111">
        <v>-24</v>
      </c>
      <c r="AZ247" s="967">
        <f>AY247-DataUK1!FI95</f>
        <v>3</v>
      </c>
      <c r="BA247" s="111">
        <f t="shared" si="137"/>
        <v>-24</v>
      </c>
      <c r="BB247" s="111"/>
      <c r="BE247" s="967">
        <f t="shared" si="166"/>
        <v>5155.5</v>
      </c>
      <c r="BF247" s="2133">
        <f t="shared" si="165"/>
        <v>1.0387870239774331</v>
      </c>
      <c r="BG247" s="385">
        <f>DataUK3!BS94</f>
        <v>0.96595371471141334</v>
      </c>
    </row>
    <row r="248" spans="1:59" s="87" customFormat="1">
      <c r="A248" s="79">
        <v>1937</v>
      </c>
      <c r="B248" s="1540">
        <f>DataUK1!B96</f>
        <v>5205</v>
      </c>
      <c r="C248" s="1162">
        <v>216.2</v>
      </c>
      <c r="D248" s="959">
        <v>117.6</v>
      </c>
      <c r="E248" s="959">
        <v>0.4</v>
      </c>
      <c r="F248" s="111">
        <f t="shared" si="141"/>
        <v>98.199999999999989</v>
      </c>
      <c r="G248" s="1540">
        <f t="shared" si="148"/>
        <v>215.79999999999998</v>
      </c>
      <c r="H248" s="1145">
        <v>7909.9</v>
      </c>
      <c r="I248" s="29">
        <f t="shared" si="149"/>
        <v>1.016043673731535</v>
      </c>
      <c r="J248" s="519">
        <v>7785</v>
      </c>
      <c r="K248" s="1427">
        <v>3364.9</v>
      </c>
      <c r="L248" s="959">
        <f t="shared" si="150"/>
        <v>4420.1000000000004</v>
      </c>
      <c r="M248" s="29">
        <f t="shared" si="142"/>
        <v>1.5196733909702209</v>
      </c>
      <c r="N248" s="29">
        <v>1.4594999999999998</v>
      </c>
      <c r="O248" s="111">
        <v>8634.4</v>
      </c>
      <c r="P248" s="29">
        <f t="shared" si="158"/>
        <v>1.0915940783069318</v>
      </c>
      <c r="Q248" s="1558">
        <f t="shared" si="168"/>
        <v>2.7282266526757606E-2</v>
      </c>
      <c r="R248" s="961">
        <f t="shared" si="169"/>
        <v>3.4949032660703136E-2</v>
      </c>
      <c r="S248" s="961">
        <f t="shared" si="170"/>
        <v>2.1606160616061604E-2</v>
      </c>
      <c r="T248" s="1535">
        <f t="shared" si="171"/>
        <v>2.4993051051607523E-2</v>
      </c>
      <c r="U248" s="1162">
        <v>949</v>
      </c>
      <c r="V248" s="111">
        <v>909.4</v>
      </c>
      <c r="W248" s="175">
        <f t="shared" si="143"/>
        <v>909</v>
      </c>
      <c r="X248" s="964">
        <f t="shared" si="172"/>
        <v>40</v>
      </c>
      <c r="Y248" s="964"/>
      <c r="Z248" s="1428"/>
      <c r="AA248" s="1536"/>
      <c r="AB248" s="111">
        <f t="shared" si="146"/>
        <v>-239.10000000000036</v>
      </c>
      <c r="AC248" s="111">
        <f t="shared" si="151"/>
        <v>40</v>
      </c>
      <c r="AD248" s="111"/>
      <c r="AE248" s="111"/>
      <c r="AF248" s="598"/>
      <c r="AG248" s="979"/>
      <c r="AH248" s="964">
        <f t="shared" si="154"/>
        <v>0</v>
      </c>
      <c r="AI248" s="964">
        <v>0</v>
      </c>
      <c r="AJ248" s="964">
        <f t="shared" si="155"/>
        <v>0</v>
      </c>
      <c r="AK248" s="964">
        <f t="shared" si="156"/>
        <v>40</v>
      </c>
      <c r="AL248" s="964">
        <f>DataUK1!DK96</f>
        <v>62</v>
      </c>
      <c r="AM248" s="961">
        <f t="shared" si="167"/>
        <v>1.191162343900096E-2</v>
      </c>
      <c r="AN248" s="964">
        <f t="shared" si="157"/>
        <v>-22</v>
      </c>
      <c r="AP248" s="1785"/>
      <c r="AQ248" s="832"/>
      <c r="AR248" s="832"/>
      <c r="AS248" s="111"/>
      <c r="AT248" s="111"/>
      <c r="AU248" s="111"/>
      <c r="AV248" s="111">
        <v>16.600000000000001</v>
      </c>
      <c r="AW248" s="111"/>
      <c r="AY248" s="111">
        <v>-45</v>
      </c>
      <c r="AZ248" s="967">
        <f>AY248-DataUK1!FI96</f>
        <v>1</v>
      </c>
      <c r="BA248" s="111">
        <f t="shared" si="137"/>
        <v>-45</v>
      </c>
      <c r="BB248" s="111"/>
      <c r="BE248" s="967">
        <f t="shared" si="166"/>
        <v>5131.5</v>
      </c>
      <c r="BF248" s="2133">
        <f t="shared" si="165"/>
        <v>0.98587896253602303</v>
      </c>
      <c r="BG248" s="385">
        <f>DataUK3!BS95</f>
        <v>0.87798646538935099</v>
      </c>
    </row>
    <row r="249" spans="1:59" s="87" customFormat="1">
      <c r="A249" s="79">
        <v>1938</v>
      </c>
      <c r="B249" s="1540">
        <f>DataUK1!B97</f>
        <v>5232</v>
      </c>
      <c r="C249" s="1162">
        <v>218.7</v>
      </c>
      <c r="D249" s="959">
        <v>116.6</v>
      </c>
      <c r="E249" s="1386"/>
      <c r="F249" s="111">
        <f t="shared" si="141"/>
        <v>102.1</v>
      </c>
      <c r="G249" s="1540">
        <f t="shared" si="148"/>
        <v>218.7</v>
      </c>
      <c r="H249" s="1145">
        <v>8149</v>
      </c>
      <c r="I249" s="29">
        <f t="shared" si="149"/>
        <v>1.016845520339406</v>
      </c>
      <c r="J249" s="519">
        <v>8014</v>
      </c>
      <c r="K249" s="1427">
        <v>3364.8</v>
      </c>
      <c r="L249" s="959">
        <f t="shared" si="150"/>
        <v>4649.2</v>
      </c>
      <c r="M249" s="29">
        <f t="shared" si="142"/>
        <v>1.5575305810397553</v>
      </c>
      <c r="N249" s="29">
        <v>1.4565000000000001</v>
      </c>
      <c r="O249" s="111">
        <v>8678.7000000000007</v>
      </c>
      <c r="P249" s="29">
        <f t="shared" si="158"/>
        <v>1.0650018407166524</v>
      </c>
      <c r="Q249" s="1558">
        <f t="shared" si="168"/>
        <v>2.6837648791262731E-2</v>
      </c>
      <c r="R249" s="961">
        <f t="shared" si="169"/>
        <v>3.4652876842605797E-2</v>
      </c>
      <c r="S249" s="961">
        <f t="shared" si="170"/>
        <v>2.1341081058484177E-2</v>
      </c>
      <c r="T249" s="1535">
        <f t="shared" si="171"/>
        <v>2.5199626672197446E-2</v>
      </c>
      <c r="U249" s="1162">
        <v>1006</v>
      </c>
      <c r="V249" s="111">
        <v>1005.7</v>
      </c>
      <c r="W249" s="175">
        <f t="shared" si="143"/>
        <v>1005.7</v>
      </c>
      <c r="X249" s="964">
        <f t="shared" si="172"/>
        <v>0.29999999999995453</v>
      </c>
      <c r="Y249" s="964"/>
      <c r="Z249" s="1428"/>
      <c r="AA249" s="1536"/>
      <c r="AB249" s="111">
        <f t="shared" si="146"/>
        <v>-152.10000000000036</v>
      </c>
      <c r="AC249" s="111">
        <f t="shared" si="151"/>
        <v>0.29999999999995453</v>
      </c>
      <c r="AD249" s="111"/>
      <c r="AE249" s="111"/>
      <c r="AF249" s="598"/>
      <c r="AG249" s="979"/>
      <c r="AH249" s="964">
        <f t="shared" si="154"/>
        <v>0</v>
      </c>
      <c r="AI249" s="964">
        <v>0</v>
      </c>
      <c r="AJ249" s="964">
        <f t="shared" si="155"/>
        <v>0</v>
      </c>
      <c r="AK249" s="964">
        <f t="shared" si="156"/>
        <v>0.29999999999995453</v>
      </c>
      <c r="AL249" s="964">
        <f>DataUK1!DK97</f>
        <v>62</v>
      </c>
      <c r="AM249" s="961">
        <f t="shared" si="167"/>
        <v>1.1850152905198776E-2</v>
      </c>
      <c r="AN249" s="964">
        <f t="shared" si="157"/>
        <v>-61.700000000000045</v>
      </c>
      <c r="AP249" s="1785"/>
      <c r="AQ249" s="832"/>
      <c r="AR249" s="832"/>
      <c r="AS249" s="111"/>
      <c r="AT249" s="111"/>
      <c r="AU249" s="111"/>
      <c r="AV249" s="111">
        <v>16.8</v>
      </c>
      <c r="AW249" s="111"/>
      <c r="AY249" s="111">
        <v>-57</v>
      </c>
      <c r="AZ249" s="967">
        <f>AY249-DataUK1!FI97</f>
        <v>-5</v>
      </c>
      <c r="BA249" s="111">
        <f t="shared" si="137"/>
        <v>-57</v>
      </c>
      <c r="BB249" s="111"/>
      <c r="BE249" s="967">
        <f t="shared" si="166"/>
        <v>5086.5</v>
      </c>
      <c r="BF249" s="2133">
        <f t="shared" si="165"/>
        <v>0.97219036697247707</v>
      </c>
      <c r="BG249" s="385">
        <f>DataUK3!BS96</f>
        <v>0.80686328970135035</v>
      </c>
    </row>
    <row r="250" spans="1:59" s="87" customFormat="1">
      <c r="A250" s="79">
        <v>1939</v>
      </c>
      <c r="B250" s="1540">
        <f>DataUK1!B98</f>
        <v>5741.9999999999991</v>
      </c>
      <c r="C250" s="1162">
        <v>228.6</v>
      </c>
      <c r="D250" s="959">
        <v>116.6</v>
      </c>
      <c r="E250" s="959"/>
      <c r="F250" s="111">
        <f t="shared" si="141"/>
        <v>112</v>
      </c>
      <c r="G250" s="1540">
        <f t="shared" si="148"/>
        <v>228.6</v>
      </c>
      <c r="H250" s="1145">
        <v>8301.1</v>
      </c>
      <c r="I250" s="29">
        <f t="shared" si="149"/>
        <v>1.018589869441445</v>
      </c>
      <c r="J250" s="519">
        <v>8149.6</v>
      </c>
      <c r="K250" s="1427">
        <v>3364.6</v>
      </c>
      <c r="L250" s="959">
        <f t="shared" si="150"/>
        <v>4785</v>
      </c>
      <c r="M250" s="29">
        <f t="shared" si="142"/>
        <v>1.4456809474050856</v>
      </c>
      <c r="N250" s="29">
        <v>1.3771</v>
      </c>
      <c r="O250" s="111">
        <v>8655.2000000000007</v>
      </c>
      <c r="P250" s="29">
        <f>O250/H250</f>
        <v>1.0426569972654227</v>
      </c>
      <c r="Q250" s="1558">
        <f t="shared" si="168"/>
        <v>2.7538518991458961E-2</v>
      </c>
      <c r="R250" s="961">
        <f t="shared" si="169"/>
        <v>3.465493669381204E-2</v>
      </c>
      <c r="S250" s="961">
        <f t="shared" si="170"/>
        <v>2.2688139369998986E-2</v>
      </c>
      <c r="T250" s="1535">
        <f t="shared" si="171"/>
        <v>2.6411868009982437E-2</v>
      </c>
      <c r="U250" s="1162">
        <v>1132</v>
      </c>
      <c r="V250" s="111">
        <v>1401</v>
      </c>
      <c r="W250" s="175">
        <f t="shared" si="143"/>
        <v>1401</v>
      </c>
      <c r="X250" s="964">
        <f t="shared" si="172"/>
        <v>-269</v>
      </c>
      <c r="Y250" s="964"/>
      <c r="Z250" s="1428"/>
      <c r="AA250" s="1536"/>
      <c r="AB250" s="111">
        <f t="shared" si="146"/>
        <v>-782.10000000000036</v>
      </c>
      <c r="AC250" s="111">
        <f t="shared" si="151"/>
        <v>-269</v>
      </c>
      <c r="AD250" s="111"/>
      <c r="AE250" s="111"/>
      <c r="AF250" s="598"/>
      <c r="AG250" s="979"/>
      <c r="AH250" s="964">
        <f t="shared" si="154"/>
        <v>0</v>
      </c>
      <c r="AI250" s="964">
        <v>0</v>
      </c>
      <c r="AJ250" s="964">
        <f t="shared" si="155"/>
        <v>0</v>
      </c>
      <c r="AK250" s="964">
        <f t="shared" si="156"/>
        <v>-269</v>
      </c>
      <c r="AL250" s="964">
        <f>DataUK1!DK98</f>
        <v>76</v>
      </c>
      <c r="AM250" s="961">
        <f t="shared" si="167"/>
        <v>1.3235806339254617E-2</v>
      </c>
      <c r="AN250" s="964">
        <f t="shared" si="157"/>
        <v>-345</v>
      </c>
      <c r="AP250" s="1785"/>
      <c r="AQ250" s="832"/>
      <c r="AR250" s="832"/>
      <c r="AS250" s="111"/>
      <c r="AT250" s="111"/>
      <c r="AU250" s="111"/>
      <c r="AV250" s="111">
        <v>17.3</v>
      </c>
      <c r="AW250" s="111"/>
      <c r="AY250" s="111">
        <v>-243</v>
      </c>
      <c r="AZ250" s="967">
        <f>AY250-DataUK1!FI98</f>
        <v>-3</v>
      </c>
      <c r="BA250" s="111">
        <f t="shared" si="137"/>
        <v>-243</v>
      </c>
      <c r="BB250" s="111"/>
      <c r="BE250" s="967">
        <f t="shared" si="166"/>
        <v>5029.5</v>
      </c>
      <c r="BF250" s="2133">
        <f t="shared" si="165"/>
        <v>0.87591431556948807</v>
      </c>
      <c r="BG250" s="385">
        <f>DataUK3!BS97</f>
        <v>0.76452599388379205</v>
      </c>
    </row>
    <row r="251" spans="1:59" s="87" customFormat="1">
      <c r="A251" s="79">
        <v>1940</v>
      </c>
      <c r="B251" s="1540">
        <f>DataUK1!B99</f>
        <v>6828</v>
      </c>
      <c r="C251" s="1162">
        <v>233.6</v>
      </c>
      <c r="D251" s="959">
        <v>116.6</v>
      </c>
      <c r="E251" s="959"/>
      <c r="F251" s="111">
        <f t="shared" si="141"/>
        <v>117</v>
      </c>
      <c r="G251" s="1540">
        <f t="shared" si="148"/>
        <v>233.6</v>
      </c>
      <c r="H251" s="1145">
        <v>9083.2000000000007</v>
      </c>
      <c r="I251" s="29"/>
      <c r="J251" s="519"/>
      <c r="K251" s="1427"/>
      <c r="L251" s="981"/>
      <c r="M251" s="981"/>
      <c r="N251" s="29">
        <v>1.0996999999999999</v>
      </c>
      <c r="O251" s="111">
        <v>10040</v>
      </c>
      <c r="P251" s="29">
        <f t="shared" ref="P251:P314" si="173">O251/H251</f>
        <v>1.1053373260524924</v>
      </c>
      <c r="Q251" s="1031"/>
      <c r="R251" s="519"/>
      <c r="S251" s="519"/>
      <c r="T251" s="1559"/>
      <c r="U251" s="1162">
        <v>1495</v>
      </c>
      <c r="V251" s="111">
        <v>3954</v>
      </c>
      <c r="W251" s="175">
        <f t="shared" si="143"/>
        <v>3954</v>
      </c>
      <c r="X251" s="964">
        <f t="shared" si="172"/>
        <v>-2459</v>
      </c>
      <c r="Y251" s="964"/>
      <c r="Z251" s="1428"/>
      <c r="AA251" s="1536"/>
      <c r="AB251" s="111">
        <f t="shared" si="146"/>
        <v>-2469.5</v>
      </c>
      <c r="AC251" s="111">
        <f t="shared" si="151"/>
        <v>-2459</v>
      </c>
      <c r="AD251" s="111"/>
      <c r="AE251" s="111"/>
      <c r="AF251" s="598"/>
      <c r="AG251" s="979"/>
      <c r="AH251" s="964">
        <f t="shared" si="154"/>
        <v>0</v>
      </c>
      <c r="AI251" s="964">
        <v>0</v>
      </c>
      <c r="AJ251" s="964">
        <f t="shared" si="155"/>
        <v>0</v>
      </c>
      <c r="AK251" s="964">
        <f t="shared" si="156"/>
        <v>-2459</v>
      </c>
      <c r="AL251" s="964">
        <f>DataUK1!DK99</f>
        <v>77</v>
      </c>
      <c r="AM251" s="961">
        <f t="shared" si="167"/>
        <v>1.127709431751611E-2</v>
      </c>
      <c r="AN251" s="964">
        <f t="shared" si="157"/>
        <v>-2536</v>
      </c>
      <c r="AP251" s="1785"/>
      <c r="AQ251" s="832"/>
      <c r="AR251" s="832"/>
      <c r="AS251" s="111"/>
      <c r="AT251" s="111"/>
      <c r="AU251" s="111"/>
      <c r="AV251" s="111">
        <v>20.2</v>
      </c>
      <c r="AW251" s="111"/>
      <c r="AY251" s="111">
        <v>-841</v>
      </c>
      <c r="AZ251" s="967">
        <f>AY251-DataUK1!FI99</f>
        <v>-51</v>
      </c>
      <c r="BA251" s="111">
        <f t="shared" si="137"/>
        <v>-841</v>
      </c>
      <c r="BB251" s="111"/>
      <c r="BE251" s="967">
        <f t="shared" si="166"/>
        <v>4786.5</v>
      </c>
      <c r="BF251" s="2133">
        <f t="shared" si="165"/>
        <v>0.70101054481546576</v>
      </c>
      <c r="BG251" s="385">
        <f>DataUK3!BS98</f>
        <v>0.68756530825496354</v>
      </c>
    </row>
    <row r="252" spans="1:59" s="87" customFormat="1">
      <c r="A252" s="79">
        <v>1941</v>
      </c>
      <c r="B252" s="1540">
        <f>DataUK1!B100</f>
        <v>7920</v>
      </c>
      <c r="C252" s="1162">
        <v>278</v>
      </c>
      <c r="D252" s="959">
        <v>116.6</v>
      </c>
      <c r="E252" s="959"/>
      <c r="F252" s="111">
        <f t="shared" si="141"/>
        <v>161.4</v>
      </c>
      <c r="G252" s="1540">
        <f t="shared" si="148"/>
        <v>278</v>
      </c>
      <c r="H252" s="1145">
        <v>11552.7</v>
      </c>
      <c r="I252" s="29"/>
      <c r="J252" s="519"/>
      <c r="K252" s="981"/>
      <c r="L252" s="981"/>
      <c r="M252" s="981"/>
      <c r="N252" s="29">
        <v>1.1979</v>
      </c>
      <c r="O252" s="111">
        <v>12298.1</v>
      </c>
      <c r="P252" s="29">
        <f t="shared" si="173"/>
        <v>1.0645217135388263</v>
      </c>
      <c r="Q252" s="1031"/>
      <c r="R252" s="519"/>
      <c r="S252" s="519"/>
      <c r="T252" s="1559"/>
      <c r="U252" s="1162">
        <v>2175</v>
      </c>
      <c r="V252" s="111">
        <v>4876</v>
      </c>
      <c r="W252" s="175">
        <f t="shared" si="143"/>
        <v>4876</v>
      </c>
      <c r="X252" s="964">
        <f t="shared" si="172"/>
        <v>-2701</v>
      </c>
      <c r="Y252" s="964"/>
      <c r="Z252" s="1428"/>
      <c r="AA252" s="1536"/>
      <c r="AB252" s="111">
        <f t="shared" si="146"/>
        <v>-2673.5999999999985</v>
      </c>
      <c r="AC252" s="111">
        <f t="shared" si="151"/>
        <v>-2701</v>
      </c>
      <c r="AD252" s="111"/>
      <c r="AE252" s="111"/>
      <c r="AF252" s="598"/>
      <c r="AG252" s="979"/>
      <c r="AH252" s="964">
        <f t="shared" si="154"/>
        <v>0</v>
      </c>
      <c r="AI252" s="964">
        <v>0</v>
      </c>
      <c r="AJ252" s="964">
        <f t="shared" si="155"/>
        <v>0</v>
      </c>
      <c r="AK252" s="964">
        <f t="shared" si="156"/>
        <v>-2701</v>
      </c>
      <c r="AL252" s="964">
        <f>DataUK1!DK100</f>
        <v>90</v>
      </c>
      <c r="AM252" s="961">
        <f t="shared" si="167"/>
        <v>1.1363636363636364E-2</v>
      </c>
      <c r="AN252" s="964">
        <f t="shared" si="157"/>
        <v>-2791</v>
      </c>
      <c r="AP252" s="1785"/>
      <c r="AQ252" s="832"/>
      <c r="AR252" s="832"/>
      <c r="AS252" s="111"/>
      <c r="AT252" s="111"/>
      <c r="AU252" s="111"/>
      <c r="AV252" s="111">
        <v>22.4</v>
      </c>
      <c r="AW252" s="111"/>
      <c r="AY252" s="111">
        <v>-827</v>
      </c>
      <c r="AZ252" s="967">
        <f>AY252-DataUK1!FI100</f>
        <v>-17</v>
      </c>
      <c r="BA252" s="111">
        <f t="shared" si="137"/>
        <v>-827</v>
      </c>
      <c r="BB252" s="111"/>
      <c r="BE252" s="967">
        <f t="shared" si="166"/>
        <v>3945.5</v>
      </c>
      <c r="BF252" s="2133">
        <f t="shared" si="165"/>
        <v>0.4981691919191919</v>
      </c>
      <c r="BG252" s="385">
        <f>DataUK3!BS99</f>
        <v>0.54305799648506148</v>
      </c>
    </row>
    <row r="253" spans="1:59" s="87" customFormat="1">
      <c r="A253" s="79">
        <v>1942</v>
      </c>
      <c r="B253" s="1540">
        <f>DataUK1!B101</f>
        <v>8700</v>
      </c>
      <c r="C253" s="1162">
        <v>331.6</v>
      </c>
      <c r="D253" s="959">
        <v>116.6</v>
      </c>
      <c r="E253" s="959"/>
      <c r="F253" s="111">
        <f t="shared" si="141"/>
        <v>215.00000000000003</v>
      </c>
      <c r="G253" s="1540">
        <f t="shared" si="148"/>
        <v>331.6</v>
      </c>
      <c r="H253" s="1145">
        <v>14226.3</v>
      </c>
      <c r="I253" s="29"/>
      <c r="J253" s="519"/>
      <c r="K253" s="981"/>
      <c r="L253" s="981"/>
      <c r="M253" s="981"/>
      <c r="N253" s="29">
        <v>1.3754</v>
      </c>
      <c r="O253" s="111">
        <v>15202.9</v>
      </c>
      <c r="P253" s="29">
        <f t="shared" si="173"/>
        <v>1.0686475049731834</v>
      </c>
      <c r="Q253" s="1031"/>
      <c r="R253" s="519"/>
      <c r="S253" s="519"/>
      <c r="T253" s="1559"/>
      <c r="U253" s="1162">
        <v>2922</v>
      </c>
      <c r="V253" s="111">
        <v>5726</v>
      </c>
      <c r="W253" s="175">
        <f t="shared" si="143"/>
        <v>5726</v>
      </c>
      <c r="X253" s="964">
        <f t="shared" si="172"/>
        <v>-2804</v>
      </c>
      <c r="Y253" s="964"/>
      <c r="Z253" s="1428"/>
      <c r="AA253" s="1536"/>
      <c r="AB253" s="111">
        <f t="shared" si="146"/>
        <v>-2779.7999999999993</v>
      </c>
      <c r="AC253" s="111">
        <f t="shared" si="151"/>
        <v>-2804</v>
      </c>
      <c r="AD253" s="111"/>
      <c r="AE253" s="111"/>
      <c r="AF253" s="598"/>
      <c r="AG253" s="979"/>
      <c r="AH253" s="964">
        <f t="shared" si="154"/>
        <v>0</v>
      </c>
      <c r="AI253" s="964">
        <v>0</v>
      </c>
      <c r="AJ253" s="964">
        <f t="shared" si="155"/>
        <v>0</v>
      </c>
      <c r="AK253" s="964">
        <f t="shared" si="156"/>
        <v>-2804</v>
      </c>
      <c r="AL253" s="964">
        <f>DataUK1!DK101</f>
        <v>136</v>
      </c>
      <c r="AM253" s="961">
        <f t="shared" si="167"/>
        <v>1.5632183908045976E-2</v>
      </c>
      <c r="AN253" s="964">
        <f t="shared" si="157"/>
        <v>-2940</v>
      </c>
      <c r="AP253" s="1785"/>
      <c r="AQ253" s="832"/>
      <c r="AR253" s="832"/>
      <c r="AS253" s="111"/>
      <c r="AT253" s="111"/>
      <c r="AU253" s="111"/>
      <c r="AV253" s="111">
        <v>24</v>
      </c>
      <c r="AW253" s="111"/>
      <c r="AY253" s="111">
        <v>-669</v>
      </c>
      <c r="AZ253" s="967">
        <f>AY253-DataUK1!FI101</f>
        <v>-19</v>
      </c>
      <c r="BA253" s="111">
        <f t="shared" si="137"/>
        <v>-669</v>
      </c>
      <c r="BB253" s="111"/>
      <c r="BE253" s="967">
        <f t="shared" si="166"/>
        <v>3118.5</v>
      </c>
      <c r="BF253" s="2133">
        <f t="shared" si="165"/>
        <v>0.35844827586206895</v>
      </c>
      <c r="BG253" s="385">
        <f>DataUK3!BS100</f>
        <v>0.36843434343434345</v>
      </c>
    </row>
    <row r="254" spans="1:59" s="87" customFormat="1">
      <c r="A254" s="79">
        <v>1943</v>
      </c>
      <c r="B254" s="1540">
        <f>DataUK1!B102</f>
        <v>9186</v>
      </c>
      <c r="C254" s="1162">
        <v>385.1</v>
      </c>
      <c r="D254" s="959">
        <v>116.6</v>
      </c>
      <c r="E254" s="959"/>
      <c r="F254" s="111">
        <f t="shared" si="141"/>
        <v>268.5</v>
      </c>
      <c r="G254" s="1540">
        <f t="shared" si="148"/>
        <v>385.1</v>
      </c>
      <c r="H254" s="1145">
        <v>17006.099999999999</v>
      </c>
      <c r="I254" s="29"/>
      <c r="J254" s="519"/>
      <c r="K254" s="981"/>
      <c r="L254" s="981"/>
      <c r="M254" s="981"/>
      <c r="N254" s="29">
        <v>1.5677000000000001</v>
      </c>
      <c r="O254" s="111">
        <v>17914.8</v>
      </c>
      <c r="P254" s="29">
        <f t="shared" si="173"/>
        <v>1.053433767883289</v>
      </c>
      <c r="Q254" s="1031"/>
      <c r="R254" s="519"/>
      <c r="S254" s="519"/>
      <c r="T254" s="1559"/>
      <c r="U254" s="1162">
        <v>3149</v>
      </c>
      <c r="V254" s="111">
        <v>5899</v>
      </c>
      <c r="W254" s="175">
        <f t="shared" si="143"/>
        <v>5899</v>
      </c>
      <c r="X254" s="964">
        <f t="shared" si="172"/>
        <v>-2750</v>
      </c>
      <c r="Y254" s="964"/>
      <c r="Z254" s="1428"/>
      <c r="AA254" s="1536"/>
      <c r="AB254" s="111">
        <f t="shared" si="146"/>
        <v>-2736.8000000000029</v>
      </c>
      <c r="AC254" s="111">
        <f t="shared" si="151"/>
        <v>-2750</v>
      </c>
      <c r="AD254" s="111"/>
      <c r="AE254" s="111"/>
      <c r="AF254" s="598"/>
      <c r="AG254" s="979"/>
      <c r="AH254" s="964">
        <f t="shared" si="154"/>
        <v>0</v>
      </c>
      <c r="AI254" s="964">
        <v>0</v>
      </c>
      <c r="AJ254" s="964">
        <f t="shared" si="155"/>
        <v>0</v>
      </c>
      <c r="AK254" s="964">
        <f t="shared" si="156"/>
        <v>-2750</v>
      </c>
      <c r="AL254" s="964">
        <f>DataUK1!DK102</f>
        <v>149</v>
      </c>
      <c r="AM254" s="961">
        <f t="shared" si="167"/>
        <v>1.6220335292836927E-2</v>
      </c>
      <c r="AN254" s="964">
        <f t="shared" si="157"/>
        <v>-2899</v>
      </c>
      <c r="AP254" s="1785"/>
      <c r="AQ254" s="832"/>
      <c r="AR254" s="832"/>
      <c r="AS254" s="111"/>
      <c r="AT254" s="111"/>
      <c r="AU254" s="111"/>
      <c r="AV254" s="111">
        <v>24.8</v>
      </c>
      <c r="AW254" s="111"/>
      <c r="AY254" s="111">
        <v>-698</v>
      </c>
      <c r="AZ254" s="967">
        <f>AY254-DataUK1!FI102</f>
        <v>-28</v>
      </c>
      <c r="BA254" s="111">
        <f t="shared" si="137"/>
        <v>-698</v>
      </c>
      <c r="BB254" s="111"/>
      <c r="BE254" s="967">
        <f t="shared" si="166"/>
        <v>2449.5</v>
      </c>
      <c r="BF254" s="2133">
        <f t="shared" si="165"/>
        <v>0.26665578053559763</v>
      </c>
      <c r="BG254" s="385">
        <f>DataUK3!BS101</f>
        <v>0.24229885057471265</v>
      </c>
    </row>
    <row r="255" spans="1:59" s="87" customFormat="1">
      <c r="A255" s="79">
        <v>1944</v>
      </c>
      <c r="B255" s="1540">
        <f>DataUK1!B103</f>
        <v>9376</v>
      </c>
      <c r="C255" s="1162">
        <v>434.9</v>
      </c>
      <c r="D255" s="959">
        <v>116.6</v>
      </c>
      <c r="E255" s="959"/>
      <c r="F255" s="111">
        <f t="shared" si="141"/>
        <v>318.29999999999995</v>
      </c>
      <c r="G255" s="1540">
        <f t="shared" si="148"/>
        <v>434.9</v>
      </c>
      <c r="H255" s="1145">
        <v>19742.900000000001</v>
      </c>
      <c r="I255" s="29"/>
      <c r="J255" s="519"/>
      <c r="K255" s="981"/>
      <c r="L255" s="981"/>
      <c r="M255" s="981"/>
      <c r="N255" s="29">
        <v>1.8234000000000001</v>
      </c>
      <c r="O255" s="111">
        <v>20693.900000000001</v>
      </c>
      <c r="P255" s="29">
        <f t="shared" si="173"/>
        <v>1.0481692152621955</v>
      </c>
      <c r="Q255" s="1031"/>
      <c r="R255" s="519"/>
      <c r="S255" s="519"/>
      <c r="T255" s="1559"/>
      <c r="U255" s="1162">
        <v>3355</v>
      </c>
      <c r="V255" s="111">
        <v>6174</v>
      </c>
      <c r="W255" s="175">
        <f t="shared" si="143"/>
        <v>6174</v>
      </c>
      <c r="X255" s="964">
        <f t="shared" si="172"/>
        <v>-2819</v>
      </c>
      <c r="Y255" s="964"/>
      <c r="Z255" s="1428"/>
      <c r="AA255" s="1536"/>
      <c r="AB255" s="111">
        <f t="shared" si="146"/>
        <v>-2798.3999999999978</v>
      </c>
      <c r="AC255" s="111">
        <f t="shared" si="151"/>
        <v>-2819</v>
      </c>
      <c r="AD255" s="111"/>
      <c r="AE255" s="111"/>
      <c r="AF255" s="598"/>
      <c r="AG255" s="979"/>
      <c r="AH255" s="964">
        <f t="shared" si="154"/>
        <v>0</v>
      </c>
      <c r="AI255" s="964">
        <v>0</v>
      </c>
      <c r="AJ255" s="964">
        <f t="shared" si="155"/>
        <v>0</v>
      </c>
      <c r="AK255" s="964">
        <f t="shared" si="156"/>
        <v>-2819</v>
      </c>
      <c r="AL255" s="964">
        <f>DataUK1!DK103</f>
        <v>134</v>
      </c>
      <c r="AM255" s="961">
        <f t="shared" si="167"/>
        <v>1.4291808873720136E-2</v>
      </c>
      <c r="AN255" s="964">
        <f t="shared" si="157"/>
        <v>-2953</v>
      </c>
      <c r="AP255" s="1785"/>
      <c r="AQ255" s="832"/>
      <c r="AR255" s="832"/>
      <c r="AS255" s="111"/>
      <c r="AT255" s="111"/>
      <c r="AU255" s="111"/>
      <c r="AV255" s="111">
        <v>25.5</v>
      </c>
      <c r="AW255" s="111"/>
      <c r="AY255" s="111">
        <v>-678</v>
      </c>
      <c r="AZ255" s="967">
        <f>AY255-DataUK1!FI103</f>
        <v>-28</v>
      </c>
      <c r="BA255" s="111">
        <f t="shared" si="137"/>
        <v>-678</v>
      </c>
      <c r="BB255" s="111"/>
      <c r="BE255" s="967">
        <f t="shared" si="166"/>
        <v>1751.5</v>
      </c>
      <c r="BF255" s="2133">
        <f t="shared" si="165"/>
        <v>0.18680674061433447</v>
      </c>
      <c r="BG255" s="385">
        <f>DataUK3!BS102</f>
        <v>0.15871979098628347</v>
      </c>
    </row>
    <row r="256" spans="1:59" s="87" customFormat="1">
      <c r="A256" s="79">
        <v>1945</v>
      </c>
      <c r="B256" s="1540">
        <f>DataUK1!B104</f>
        <v>9434</v>
      </c>
      <c r="C256" s="1546">
        <v>474.9</v>
      </c>
      <c r="D256" s="959">
        <v>116.6</v>
      </c>
      <c r="E256" s="959"/>
      <c r="F256" s="111">
        <f t="shared" si="141"/>
        <v>358.29999999999995</v>
      </c>
      <c r="G256" s="1540">
        <f t="shared" si="148"/>
        <v>474.9</v>
      </c>
      <c r="H256" s="1145">
        <v>22541.3</v>
      </c>
      <c r="I256" s="29"/>
      <c r="J256" s="519"/>
      <c r="K256" s="981"/>
      <c r="L256" s="981"/>
      <c r="M256" s="981"/>
      <c r="N256" s="29">
        <v>2.1563999999999997</v>
      </c>
      <c r="O256" s="111">
        <v>23514.799999999999</v>
      </c>
      <c r="P256" s="29">
        <f t="shared" si="173"/>
        <v>1.0431873938060361</v>
      </c>
      <c r="Q256" s="1031"/>
      <c r="R256" s="519"/>
      <c r="S256" s="519"/>
      <c r="T256" s="1559"/>
      <c r="U256" s="1162">
        <v>3401</v>
      </c>
      <c r="V256" s="111">
        <v>5592</v>
      </c>
      <c r="W256" s="175">
        <f t="shared" si="143"/>
        <v>5592</v>
      </c>
      <c r="X256" s="964">
        <f t="shared" si="172"/>
        <v>-2191</v>
      </c>
      <c r="Y256" s="964"/>
      <c r="Z256" s="1428"/>
      <c r="AA256" s="1536"/>
      <c r="AB256" s="111">
        <f t="shared" si="146"/>
        <v>-1232.6000000000022</v>
      </c>
      <c r="AC256" s="111">
        <f t="shared" si="151"/>
        <v>-2191</v>
      </c>
      <c r="AD256" s="111"/>
      <c r="AE256" s="111"/>
      <c r="AF256" s="598"/>
      <c r="AG256" s="979"/>
      <c r="AH256" s="964">
        <f t="shared" si="154"/>
        <v>0</v>
      </c>
      <c r="AI256" s="964">
        <v>0</v>
      </c>
      <c r="AJ256" s="964">
        <f t="shared" si="155"/>
        <v>0</v>
      </c>
      <c r="AK256" s="964">
        <f t="shared" si="156"/>
        <v>-2191</v>
      </c>
      <c r="AL256" s="964">
        <f>DataUK1!DK104</f>
        <v>119</v>
      </c>
      <c r="AM256" s="961">
        <f t="shared" si="167"/>
        <v>1.2613949544201824E-2</v>
      </c>
      <c r="AN256" s="964">
        <f t="shared" si="157"/>
        <v>-2310</v>
      </c>
      <c r="AP256" s="1785"/>
      <c r="AQ256" s="832"/>
      <c r="AR256" s="832"/>
      <c r="AS256" s="111"/>
      <c r="AT256" s="111"/>
      <c r="AU256" s="111"/>
      <c r="AV256" s="111">
        <v>26.2</v>
      </c>
      <c r="AW256" s="111"/>
      <c r="AY256" s="111">
        <v>-845</v>
      </c>
      <c r="AZ256" s="967">
        <f>AY256-DataUK1!FI104</f>
        <v>-25</v>
      </c>
      <c r="BA256" s="111">
        <f t="shared" ref="BA256:BA319" si="174">AY256-BB256</f>
        <v>-845</v>
      </c>
      <c r="BB256" s="111"/>
      <c r="BE256" s="967">
        <f t="shared" si="166"/>
        <v>1073.5</v>
      </c>
      <c r="BF256" s="2133">
        <f t="shared" si="165"/>
        <v>0.11379054483782065</v>
      </c>
      <c r="BG256" s="385">
        <f>DataUK3!BS103</f>
        <v>8.4044368600682595E-2</v>
      </c>
    </row>
    <row r="257" spans="1:59" s="87" customFormat="1">
      <c r="A257" s="79">
        <v>1946</v>
      </c>
      <c r="B257" s="1540">
        <f>DataUK1!B105</f>
        <v>9257</v>
      </c>
      <c r="C257" s="1162">
        <v>501.9</v>
      </c>
      <c r="D257" s="959">
        <v>118.4</v>
      </c>
      <c r="E257" s="959"/>
      <c r="F257" s="111">
        <f t="shared" si="141"/>
        <v>383.5</v>
      </c>
      <c r="G257" s="1540">
        <f t="shared" si="148"/>
        <v>501.9</v>
      </c>
      <c r="H257" s="1145">
        <v>23773.9</v>
      </c>
      <c r="I257" s="29"/>
      <c r="J257" s="519"/>
      <c r="K257" s="981"/>
      <c r="L257" s="981"/>
      <c r="M257" s="981"/>
      <c r="N257" s="29">
        <v>2.3712</v>
      </c>
      <c r="O257" s="111">
        <v>25450</v>
      </c>
      <c r="P257" s="29">
        <f t="shared" si="173"/>
        <v>1.0705016846205291</v>
      </c>
      <c r="Q257" s="1031"/>
      <c r="R257" s="519"/>
      <c r="S257" s="519"/>
      <c r="T257" s="1559"/>
      <c r="U257" s="1162">
        <v>3623</v>
      </c>
      <c r="V257" s="111">
        <v>4192</v>
      </c>
      <c r="W257" s="175">
        <f t="shared" si="143"/>
        <v>4192</v>
      </c>
      <c r="X257" s="964">
        <f t="shared" si="172"/>
        <v>-569</v>
      </c>
      <c r="Y257" s="964"/>
      <c r="Z257" s="1428"/>
      <c r="AA257" s="1536"/>
      <c r="AB257" s="111">
        <f t="shared" si="146"/>
        <v>-1996.6999999999971</v>
      </c>
      <c r="AC257" s="111">
        <f t="shared" si="151"/>
        <v>-569</v>
      </c>
      <c r="AD257" s="111"/>
      <c r="AE257" s="111"/>
      <c r="AF257" s="598"/>
      <c r="AG257" s="979"/>
      <c r="AH257" s="964">
        <f t="shared" si="154"/>
        <v>0</v>
      </c>
      <c r="AI257" s="964">
        <v>0</v>
      </c>
      <c r="AJ257" s="964">
        <f t="shared" si="155"/>
        <v>0</v>
      </c>
      <c r="AK257" s="964">
        <f t="shared" si="156"/>
        <v>-569</v>
      </c>
      <c r="AL257" s="964">
        <f>DataUK1!DK105</f>
        <v>86</v>
      </c>
      <c r="AM257" s="961">
        <f t="shared" si="167"/>
        <v>9.2902668251053262E-3</v>
      </c>
      <c r="AN257" s="964">
        <f t="shared" si="157"/>
        <v>-655</v>
      </c>
      <c r="AP257" s="1785"/>
      <c r="AQ257" s="832"/>
      <c r="AR257" s="832"/>
      <c r="AS257" s="111"/>
      <c r="AT257" s="111"/>
      <c r="AU257" s="111"/>
      <c r="AV257" s="111">
        <v>27</v>
      </c>
      <c r="AW257" s="111"/>
      <c r="AY257" s="111">
        <v>-153</v>
      </c>
      <c r="AZ257" s="967">
        <f>AY257-DataUK1!FI105</f>
        <v>0</v>
      </c>
      <c r="BA257" s="111">
        <f t="shared" si="174"/>
        <v>-153</v>
      </c>
      <c r="BB257" s="111"/>
      <c r="BE257" s="967">
        <f t="shared" si="166"/>
        <v>228.5</v>
      </c>
      <c r="BF257" s="2133">
        <f t="shared" si="165"/>
        <v>2.4684022901587988E-2</v>
      </c>
      <c r="BG257" s="385">
        <f>DataUK3!BS104</f>
        <v>1.4627941488234047E-2</v>
      </c>
    </row>
    <row r="258" spans="1:59" s="87" customFormat="1">
      <c r="A258" s="79">
        <v>1947</v>
      </c>
      <c r="B258" s="1540">
        <f>DataUK1!B106</f>
        <v>10236.999999999998</v>
      </c>
      <c r="C258" s="1162">
        <v>511.4</v>
      </c>
      <c r="D258" s="959">
        <v>127.7</v>
      </c>
      <c r="E258" s="959"/>
      <c r="F258" s="111">
        <f t="shared" si="141"/>
        <v>383.7</v>
      </c>
      <c r="G258" s="1540">
        <f t="shared" si="148"/>
        <v>511.4</v>
      </c>
      <c r="H258" s="1145">
        <v>25770.6</v>
      </c>
      <c r="I258" s="29"/>
      <c r="J258" s="519"/>
      <c r="K258" s="981"/>
      <c r="L258" s="981"/>
      <c r="M258" s="981"/>
      <c r="N258" s="29">
        <v>2.3794</v>
      </c>
      <c r="O258" s="111">
        <v>26172.5</v>
      </c>
      <c r="P258" s="29">
        <f t="shared" si="173"/>
        <v>1.0155952907576851</v>
      </c>
      <c r="Q258" s="1031"/>
      <c r="R258" s="519"/>
      <c r="S258" s="519"/>
      <c r="T258" s="1559"/>
      <c r="U258" s="1162">
        <v>4011</v>
      </c>
      <c r="V258" s="111">
        <v>3354</v>
      </c>
      <c r="W258" s="175">
        <f t="shared" si="143"/>
        <v>3354</v>
      </c>
      <c r="X258" s="964">
        <f t="shared" si="172"/>
        <v>657</v>
      </c>
      <c r="Y258" s="964"/>
      <c r="Z258" s="1428"/>
      <c r="AA258" s="1536"/>
      <c r="AB258" s="111">
        <f t="shared" si="146"/>
        <v>-2.1000000000021828</v>
      </c>
      <c r="AC258" s="111">
        <f t="shared" si="151"/>
        <v>657</v>
      </c>
      <c r="AD258" s="111"/>
      <c r="AE258" s="111"/>
      <c r="AF258" s="598"/>
      <c r="AG258" s="979"/>
      <c r="AH258" s="964">
        <f t="shared" si="154"/>
        <v>0</v>
      </c>
      <c r="AI258" s="964">
        <v>0</v>
      </c>
      <c r="AJ258" s="964">
        <f t="shared" si="155"/>
        <v>0</v>
      </c>
      <c r="AK258" s="964">
        <f t="shared" si="156"/>
        <v>657</v>
      </c>
      <c r="AL258" s="964">
        <f>DataUK1!DK106</f>
        <v>119</v>
      </c>
      <c r="AM258" s="961">
        <f t="shared" si="167"/>
        <v>1.1624499365048356E-2</v>
      </c>
      <c r="AN258" s="964">
        <f t="shared" si="157"/>
        <v>538</v>
      </c>
      <c r="AP258" s="1785"/>
      <c r="AQ258" s="832"/>
      <c r="AR258" s="832"/>
      <c r="AS258" s="111"/>
      <c r="AT258" s="111"/>
      <c r="AU258" s="111"/>
      <c r="AV258" s="111">
        <v>28.9</v>
      </c>
      <c r="AW258" s="111"/>
      <c r="AY258" s="111">
        <v>-311</v>
      </c>
      <c r="AZ258" s="967">
        <f>AY258-DataUK1!FI106</f>
        <v>0</v>
      </c>
      <c r="BA258" s="111">
        <f t="shared" si="174"/>
        <v>-311</v>
      </c>
      <c r="BB258" s="111"/>
      <c r="BE258" s="967">
        <f t="shared" si="166"/>
        <v>75.5</v>
      </c>
      <c r="BF258" s="2133">
        <f t="shared" si="165"/>
        <v>7.3752075803458061E-3</v>
      </c>
      <c r="BG258" s="385">
        <f>DataUK3!BS105</f>
        <v>-7.3673976450253864E-2</v>
      </c>
    </row>
    <row r="259" spans="1:59" s="87" customFormat="1">
      <c r="A259" s="79">
        <v>1948</v>
      </c>
      <c r="B259" s="1540">
        <f>DataUK1!B107</f>
        <v>11285</v>
      </c>
      <c r="C259" s="1162">
        <v>497.1</v>
      </c>
      <c r="D259" s="959">
        <v>130.30000000000001</v>
      </c>
      <c r="E259" s="959"/>
      <c r="F259" s="111">
        <f t="shared" si="141"/>
        <v>366.8</v>
      </c>
      <c r="G259" s="1540">
        <f t="shared" si="148"/>
        <v>497.1</v>
      </c>
      <c r="H259" s="1145">
        <v>25772.7</v>
      </c>
      <c r="I259" s="29"/>
      <c r="J259" s="519"/>
      <c r="K259" s="981"/>
      <c r="L259" s="981"/>
      <c r="M259" s="981"/>
      <c r="N259" s="29">
        <v>2.1372</v>
      </c>
      <c r="O259" s="111">
        <v>27406.400000000001</v>
      </c>
      <c r="P259" s="29">
        <f t="shared" si="173"/>
        <v>1.0633887796001196</v>
      </c>
      <c r="Q259" s="1031"/>
      <c r="R259" s="519"/>
      <c r="S259" s="519"/>
      <c r="T259" s="1559"/>
      <c r="U259" s="1162">
        <v>4168</v>
      </c>
      <c r="V259" s="111">
        <v>3314</v>
      </c>
      <c r="W259" s="175">
        <f t="shared" si="143"/>
        <v>3314</v>
      </c>
      <c r="X259" s="964">
        <f t="shared" si="172"/>
        <v>854</v>
      </c>
      <c r="Y259" s="964"/>
      <c r="Z259" s="1428"/>
      <c r="AA259" s="1536"/>
      <c r="AB259" s="111">
        <f t="shared" si="146"/>
        <v>440.90000000000146</v>
      </c>
      <c r="AC259" s="111">
        <f t="shared" si="151"/>
        <v>854</v>
      </c>
      <c r="AD259" s="111"/>
      <c r="AE259" s="111"/>
      <c r="AF259" s="598"/>
      <c r="AG259" s="979"/>
      <c r="AH259" s="964">
        <f t="shared" si="154"/>
        <v>0</v>
      </c>
      <c r="AI259" s="964">
        <v>0</v>
      </c>
      <c r="AJ259" s="964">
        <f t="shared" si="155"/>
        <v>0</v>
      </c>
      <c r="AK259" s="964">
        <f t="shared" si="156"/>
        <v>854</v>
      </c>
      <c r="AL259" s="964">
        <f>DataUK1!DK107</f>
        <v>235</v>
      </c>
      <c r="AM259" s="961">
        <f t="shared" si="167"/>
        <v>2.0824102791315906E-2</v>
      </c>
      <c r="AN259" s="964">
        <f t="shared" si="157"/>
        <v>619</v>
      </c>
      <c r="AP259" s="1785"/>
      <c r="AQ259" s="832"/>
      <c r="AR259" s="832"/>
      <c r="AS259" s="111"/>
      <c r="AT259" s="111"/>
      <c r="AU259" s="111"/>
      <c r="AV259" s="111">
        <v>31.1</v>
      </c>
      <c r="AW259" s="111"/>
      <c r="AY259" s="111">
        <v>83</v>
      </c>
      <c r="AZ259" s="967">
        <f>AY259-DataUK1!FI107</f>
        <v>0</v>
      </c>
      <c r="BA259" s="111">
        <f t="shared" si="174"/>
        <v>83</v>
      </c>
      <c r="BB259" s="111"/>
      <c r="BE259" s="967">
        <f t="shared" si="166"/>
        <v>-235.5</v>
      </c>
      <c r="BF259" s="2133">
        <f t="shared" ref="BF259:BF290" si="175">BE259/B259</f>
        <v>-2.0868409392999557E-2</v>
      </c>
      <c r="BG259" s="385">
        <f>DataUK3!BS106</f>
        <v>-8.1566865292566196E-2</v>
      </c>
    </row>
    <row r="260" spans="1:59" s="87" customFormat="1">
      <c r="A260" s="79">
        <v>1949</v>
      </c>
      <c r="B260" s="1540">
        <f>DataUK1!B108</f>
        <v>12003</v>
      </c>
      <c r="C260" s="1162">
        <v>499.7</v>
      </c>
      <c r="D260" s="959">
        <v>130.30000000000001</v>
      </c>
      <c r="E260" s="959"/>
      <c r="F260" s="111">
        <f t="shared" si="141"/>
        <v>369.4</v>
      </c>
      <c r="G260" s="1540">
        <f t="shared" si="148"/>
        <v>499.7</v>
      </c>
      <c r="H260" s="1145">
        <v>25331.8</v>
      </c>
      <c r="I260" s="29"/>
      <c r="J260" s="519"/>
      <c r="K260" s="981"/>
      <c r="L260" s="981"/>
      <c r="M260" s="981"/>
      <c r="N260" s="29">
        <v>1.9766999999999999</v>
      </c>
      <c r="O260" s="111">
        <v>26696.6</v>
      </c>
      <c r="P260" s="29">
        <f t="shared" si="173"/>
        <v>1.0538769451835241</v>
      </c>
      <c r="Q260" s="1031"/>
      <c r="R260" s="519"/>
      <c r="S260" s="519"/>
      <c r="T260" s="1559"/>
      <c r="U260" s="1162">
        <v>4098</v>
      </c>
      <c r="V260" s="111">
        <v>3531</v>
      </c>
      <c r="W260" s="175">
        <f t="shared" si="143"/>
        <v>3531</v>
      </c>
      <c r="X260" s="964">
        <f t="shared" si="172"/>
        <v>567</v>
      </c>
      <c r="Y260" s="964"/>
      <c r="Z260" s="1428"/>
      <c r="AA260" s="1536"/>
      <c r="AB260" s="111">
        <f t="shared" si="146"/>
        <v>-568</v>
      </c>
      <c r="AC260" s="111">
        <f t="shared" si="151"/>
        <v>567</v>
      </c>
      <c r="AD260" s="111"/>
      <c r="AE260" s="111"/>
      <c r="AF260" s="598"/>
      <c r="AG260" s="979"/>
      <c r="AH260" s="964">
        <f t="shared" si="154"/>
        <v>0</v>
      </c>
      <c r="AI260" s="964">
        <v>0</v>
      </c>
      <c r="AJ260" s="964">
        <f t="shared" si="155"/>
        <v>0</v>
      </c>
      <c r="AK260" s="964">
        <f t="shared" si="156"/>
        <v>567</v>
      </c>
      <c r="AL260" s="964">
        <f>DataUK1!DK108</f>
        <v>246</v>
      </c>
      <c r="AM260" s="961">
        <f t="shared" si="167"/>
        <v>2.0494876280929768E-2</v>
      </c>
      <c r="AN260" s="964">
        <f t="shared" si="157"/>
        <v>321</v>
      </c>
      <c r="AP260" s="1785"/>
      <c r="AQ260" s="832"/>
      <c r="AR260" s="832"/>
      <c r="AS260" s="111"/>
      <c r="AT260" s="111"/>
      <c r="AU260" s="111"/>
      <c r="AV260" s="111">
        <v>32</v>
      </c>
      <c r="AW260" s="111"/>
      <c r="AY260" s="111">
        <v>35</v>
      </c>
      <c r="AZ260" s="967">
        <f>AY260-DataUK1!FI108</f>
        <v>0</v>
      </c>
      <c r="BA260" s="111">
        <f t="shared" si="174"/>
        <v>35</v>
      </c>
      <c r="BE260" s="967">
        <f t="shared" ref="BE260:BE291" si="176">BE259+AY259</f>
        <v>-152.5</v>
      </c>
      <c r="BF260" s="2133">
        <f t="shared" si="175"/>
        <v>-1.2705157044072315E-2</v>
      </c>
      <c r="BG260" s="385">
        <f>DataUK3!BS107</f>
        <v>-0.10155073105892778</v>
      </c>
    </row>
    <row r="261" spans="1:59" s="87" customFormat="1">
      <c r="A261" s="79">
        <v>1950</v>
      </c>
      <c r="B261" s="1540">
        <f>DataUK1!B109</f>
        <v>12639</v>
      </c>
      <c r="C261" s="1162">
        <v>514.9</v>
      </c>
      <c r="D261" s="959">
        <v>130.19999999999999</v>
      </c>
      <c r="E261" s="959"/>
      <c r="F261" s="111">
        <f t="shared" si="141"/>
        <v>384.7</v>
      </c>
      <c r="G261" s="1540">
        <f t="shared" si="148"/>
        <v>514.9</v>
      </c>
      <c r="H261" s="1145">
        <v>25899.8</v>
      </c>
      <c r="I261" s="29"/>
      <c r="J261" s="519"/>
      <c r="K261" s="981"/>
      <c r="L261" s="981"/>
      <c r="M261" s="981"/>
      <c r="N261" s="29">
        <v>1.9421999999999999</v>
      </c>
      <c r="O261" s="111">
        <v>25605.599999999999</v>
      </c>
      <c r="P261" s="29">
        <f t="shared" si="173"/>
        <v>0.98864083892539711</v>
      </c>
      <c r="Q261" s="1031"/>
      <c r="R261" s="519"/>
      <c r="S261" s="519"/>
      <c r="T261" s="1559"/>
      <c r="U261" s="1162">
        <v>4157</v>
      </c>
      <c r="V261" s="111">
        <v>3417</v>
      </c>
      <c r="W261" s="175">
        <f t="shared" si="143"/>
        <v>3417</v>
      </c>
      <c r="X261" s="964">
        <f t="shared" si="172"/>
        <v>740</v>
      </c>
      <c r="Y261" s="964"/>
      <c r="Z261" s="1428"/>
      <c r="AA261" s="1536"/>
      <c r="AB261" s="111">
        <f t="shared" si="146"/>
        <v>-21.799999999999272</v>
      </c>
      <c r="AC261" s="111">
        <f t="shared" si="151"/>
        <v>740</v>
      </c>
      <c r="AD261" s="111"/>
      <c r="AE261" s="111"/>
      <c r="AF261" s="598"/>
      <c r="AG261" s="979"/>
      <c r="AH261" s="964">
        <f t="shared" si="154"/>
        <v>0</v>
      </c>
      <c r="AI261" s="964">
        <v>0</v>
      </c>
      <c r="AJ261" s="964">
        <f t="shared" si="155"/>
        <v>0</v>
      </c>
      <c r="AK261" s="964">
        <f t="shared" si="156"/>
        <v>740</v>
      </c>
      <c r="AL261" s="964">
        <f>DataUK1!DK109</f>
        <v>252</v>
      </c>
      <c r="AM261" s="961">
        <f t="shared" si="167"/>
        <v>1.9938286256824117E-2</v>
      </c>
      <c r="AN261" s="964">
        <f t="shared" si="157"/>
        <v>488</v>
      </c>
      <c r="AP261" s="1785"/>
      <c r="AQ261" s="832"/>
      <c r="AR261" s="832"/>
      <c r="AS261" s="111"/>
      <c r="AT261" s="111"/>
      <c r="AU261" s="111"/>
      <c r="AV261" s="111">
        <v>33</v>
      </c>
      <c r="AW261" s="111"/>
      <c r="AY261" s="111">
        <v>338</v>
      </c>
      <c r="AZ261" s="967">
        <f>AY261-DataUK1!FI109</f>
        <v>0</v>
      </c>
      <c r="BA261" s="111">
        <f t="shared" si="174"/>
        <v>338</v>
      </c>
      <c r="BE261" s="967">
        <f t="shared" si="176"/>
        <v>-117.5</v>
      </c>
      <c r="BF261" s="2133">
        <f t="shared" si="175"/>
        <v>-9.296621568162038E-3</v>
      </c>
      <c r="BG261" s="385">
        <f>DataUK3!BS108</f>
        <v>-8.8561193035074565E-2</v>
      </c>
    </row>
    <row r="262" spans="1:59" s="87" customFormat="1">
      <c r="A262" s="79">
        <v>1951</v>
      </c>
      <c r="B262" s="1540">
        <f>DataUK1!B110</f>
        <v>13885.000000000002</v>
      </c>
      <c r="C262" s="1162">
        <v>561.29999999999995</v>
      </c>
      <c r="D262" s="959">
        <v>130.1</v>
      </c>
      <c r="E262" s="959"/>
      <c r="F262" s="111">
        <f t="shared" si="141"/>
        <v>431.19999999999993</v>
      </c>
      <c r="G262" s="1540">
        <f t="shared" si="148"/>
        <v>561.29999999999995</v>
      </c>
      <c r="H262" s="1145">
        <v>25921.599999999999</v>
      </c>
      <c r="I262" s="29"/>
      <c r="J262" s="519"/>
      <c r="K262" s="981"/>
      <c r="L262" s="981"/>
      <c r="M262" s="981"/>
      <c r="N262" s="29">
        <v>1.7523</v>
      </c>
      <c r="O262" s="111">
        <v>24514.6</v>
      </c>
      <c r="P262" s="29">
        <f t="shared" si="173"/>
        <v>0.94572094315165733</v>
      </c>
      <c r="Q262" s="1031"/>
      <c r="R262" s="519"/>
      <c r="S262" s="519"/>
      <c r="T262" s="1559"/>
      <c r="U262" s="1162">
        <v>4629</v>
      </c>
      <c r="V262" s="111">
        <v>4222</v>
      </c>
      <c r="W262" s="175">
        <f t="shared" si="143"/>
        <v>4222</v>
      </c>
      <c r="X262" s="964">
        <f t="shared" si="172"/>
        <v>407</v>
      </c>
      <c r="Y262" s="964"/>
      <c r="Z262" s="1428"/>
      <c r="AA262" s="1536"/>
      <c r="AB262" s="111">
        <f t="shared" si="146"/>
        <v>30.599999999998545</v>
      </c>
      <c r="AC262" s="111">
        <f t="shared" si="151"/>
        <v>407</v>
      </c>
      <c r="AD262" s="111"/>
      <c r="AE262" s="111"/>
      <c r="AF262" s="598"/>
      <c r="AG262" s="979"/>
      <c r="AH262" s="964">
        <f t="shared" si="154"/>
        <v>0</v>
      </c>
      <c r="AI262" s="964">
        <v>0</v>
      </c>
      <c r="AJ262" s="964">
        <f t="shared" si="155"/>
        <v>0</v>
      </c>
      <c r="AK262" s="964">
        <f t="shared" si="156"/>
        <v>407</v>
      </c>
      <c r="AL262" s="964">
        <f>DataUK1!DK110</f>
        <v>282</v>
      </c>
      <c r="AM262" s="961">
        <f t="shared" ref="AM262:AM293" si="177">AL262/B262</f>
        <v>2.0309686712279437E-2</v>
      </c>
      <c r="AN262" s="964">
        <f t="shared" si="157"/>
        <v>125</v>
      </c>
      <c r="AP262" s="1785"/>
      <c r="AQ262" s="832"/>
      <c r="AR262" s="832"/>
      <c r="AS262" s="111"/>
      <c r="AT262" s="111"/>
      <c r="AU262" s="111"/>
      <c r="AV262" s="111">
        <v>36</v>
      </c>
      <c r="AW262" s="111"/>
      <c r="AY262" s="111">
        <v>-330</v>
      </c>
      <c r="AZ262" s="967">
        <f>AY262-DataUK1!FI110</f>
        <v>0</v>
      </c>
      <c r="BA262" s="111">
        <f t="shared" si="174"/>
        <v>-330</v>
      </c>
      <c r="BE262" s="967">
        <f t="shared" si="176"/>
        <v>220.5</v>
      </c>
      <c r="BF262" s="2133">
        <f t="shared" si="175"/>
        <v>1.5880446525027004E-2</v>
      </c>
      <c r="BG262" s="385">
        <f>DataUK3!BS109</f>
        <v>-5.5384128491178103E-2</v>
      </c>
    </row>
    <row r="263" spans="1:59" s="87" customFormat="1">
      <c r="A263" s="79">
        <v>1952</v>
      </c>
      <c r="B263" s="1540">
        <f>DataUK1!B111</f>
        <v>14894</v>
      </c>
      <c r="C263" s="1162">
        <v>640.6</v>
      </c>
      <c r="D263" s="959">
        <v>129.6</v>
      </c>
      <c r="E263" s="959"/>
      <c r="F263" s="111">
        <f t="shared" si="141"/>
        <v>511</v>
      </c>
      <c r="G263" s="1540">
        <f t="shared" si="148"/>
        <v>640.6</v>
      </c>
      <c r="H263" s="1145">
        <v>25891</v>
      </c>
      <c r="I263" s="29"/>
      <c r="J263" s="519"/>
      <c r="K263" s="981"/>
      <c r="L263" s="981"/>
      <c r="M263" s="981"/>
      <c r="N263" s="29">
        <v>1.6158000000000001</v>
      </c>
      <c r="O263" s="111">
        <v>23423</v>
      </c>
      <c r="P263" s="29">
        <f t="shared" si="173"/>
        <v>0.90467730099262289</v>
      </c>
      <c r="Q263" s="1031"/>
      <c r="R263" s="519"/>
      <c r="S263" s="519"/>
      <c r="T263" s="1559"/>
      <c r="U263" s="1162">
        <v>4654</v>
      </c>
      <c r="V263" s="111">
        <v>4531</v>
      </c>
      <c r="W263" s="175">
        <f t="shared" si="143"/>
        <v>4531</v>
      </c>
      <c r="X263" s="964">
        <f t="shared" si="172"/>
        <v>123</v>
      </c>
      <c r="Y263" s="964"/>
      <c r="Z263" s="1428"/>
      <c r="AA263" s="1536"/>
      <c r="AB263" s="111">
        <f t="shared" si="146"/>
        <v>-160</v>
      </c>
      <c r="AC263" s="111">
        <f t="shared" si="151"/>
        <v>123</v>
      </c>
      <c r="AD263" s="111"/>
      <c r="AE263" s="111"/>
      <c r="AF263" s="598"/>
      <c r="AG263" s="979"/>
      <c r="AH263" s="964">
        <f t="shared" si="154"/>
        <v>0</v>
      </c>
      <c r="AI263" s="964">
        <v>0</v>
      </c>
      <c r="AJ263" s="964">
        <f t="shared" si="155"/>
        <v>0</v>
      </c>
      <c r="AK263" s="964">
        <f t="shared" si="156"/>
        <v>123</v>
      </c>
      <c r="AL263" s="964">
        <f>DataUK1!DK111</f>
        <v>311</v>
      </c>
      <c r="AM263" s="961">
        <f t="shared" si="177"/>
        <v>2.088089163421512E-2</v>
      </c>
      <c r="AN263" s="964">
        <f t="shared" si="157"/>
        <v>-188</v>
      </c>
      <c r="AP263" s="1785"/>
      <c r="AQ263" s="832"/>
      <c r="AR263" s="832"/>
      <c r="AS263" s="111"/>
      <c r="AT263" s="111"/>
      <c r="AU263" s="111"/>
      <c r="AV263" s="111">
        <v>39.299999999999997</v>
      </c>
      <c r="AW263" s="111"/>
      <c r="AY263" s="111">
        <v>229</v>
      </c>
      <c r="AZ263" s="967">
        <f>AY263-DataUK1!FI111</f>
        <v>0</v>
      </c>
      <c r="BA263" s="111">
        <f t="shared" si="174"/>
        <v>229</v>
      </c>
      <c r="BE263" s="967">
        <f t="shared" si="176"/>
        <v>-109.5</v>
      </c>
      <c r="BF263" s="2133">
        <f t="shared" si="175"/>
        <v>-7.3519538069021081E-3</v>
      </c>
      <c r="BG263" s="385">
        <f>DataUK3!BS110</f>
        <v>-3.0654401414214157E-2</v>
      </c>
    </row>
    <row r="264" spans="1:59" s="87" customFormat="1">
      <c r="A264" s="79">
        <v>1953</v>
      </c>
      <c r="B264" s="1540">
        <f>DataUK1!B112</f>
        <v>15848</v>
      </c>
      <c r="C264" s="1162">
        <v>667.1</v>
      </c>
      <c r="D264" s="959">
        <v>128.9</v>
      </c>
      <c r="E264" s="959"/>
      <c r="F264" s="111">
        <f t="shared" si="141"/>
        <v>538.20000000000005</v>
      </c>
      <c r="G264" s="1540">
        <f t="shared" si="148"/>
        <v>667.1</v>
      </c>
      <c r="H264" s="1145">
        <v>26051</v>
      </c>
      <c r="I264" s="29"/>
      <c r="J264" s="519"/>
      <c r="K264" s="981"/>
      <c r="L264" s="981"/>
      <c r="M264" s="981"/>
      <c r="N264" s="29">
        <v>1.5193000000000001</v>
      </c>
      <c r="O264" s="111">
        <v>24035</v>
      </c>
      <c r="P264" s="29">
        <f t="shared" si="173"/>
        <v>0.92261333538059964</v>
      </c>
      <c r="Q264" s="1031"/>
      <c r="R264" s="519"/>
      <c r="S264" s="519"/>
      <c r="T264" s="1559"/>
      <c r="U264" s="1162">
        <v>4606</v>
      </c>
      <c r="V264" s="111">
        <v>4477</v>
      </c>
      <c r="W264" s="175">
        <f t="shared" si="143"/>
        <v>4477</v>
      </c>
      <c r="X264" s="964">
        <f t="shared" si="172"/>
        <v>129</v>
      </c>
      <c r="Y264" s="964"/>
      <c r="Z264" s="1428"/>
      <c r="AA264" s="1536"/>
      <c r="AB264" s="111">
        <f t="shared" si="146"/>
        <v>-532</v>
      </c>
      <c r="AC264" s="111">
        <f t="shared" si="151"/>
        <v>129</v>
      </c>
      <c r="AD264" s="111"/>
      <c r="AE264" s="111"/>
      <c r="AF264" s="598"/>
      <c r="AG264" s="979"/>
      <c r="AH264" s="964">
        <f t="shared" si="154"/>
        <v>0</v>
      </c>
      <c r="AI264" s="964">
        <v>0</v>
      </c>
      <c r="AJ264" s="964">
        <f t="shared" si="155"/>
        <v>0</v>
      </c>
      <c r="AK264" s="964">
        <f t="shared" si="156"/>
        <v>129</v>
      </c>
      <c r="AL264" s="964">
        <f>DataUK1!DK112</f>
        <v>307</v>
      </c>
      <c r="AM264" s="961">
        <f t="shared" si="177"/>
        <v>1.9371529530540131E-2</v>
      </c>
      <c r="AN264" s="964">
        <f t="shared" si="157"/>
        <v>-178</v>
      </c>
      <c r="AP264" s="1785"/>
      <c r="AQ264" s="832"/>
      <c r="AR264" s="832"/>
      <c r="AS264" s="111"/>
      <c r="AT264" s="111"/>
      <c r="AU264" s="111"/>
      <c r="AV264" s="111">
        <v>40.5</v>
      </c>
      <c r="AW264" s="111"/>
      <c r="AY264" s="111">
        <v>204</v>
      </c>
      <c r="AZ264" s="967">
        <f>AY264-DataUK1!FI112</f>
        <v>0</v>
      </c>
      <c r="BA264" s="111">
        <f t="shared" si="174"/>
        <v>204</v>
      </c>
      <c r="BE264" s="967">
        <f t="shared" si="176"/>
        <v>119.5</v>
      </c>
      <c r="BF264" s="2133">
        <f t="shared" si="175"/>
        <v>7.5403836446239275E-3</v>
      </c>
      <c r="BG264" s="385">
        <f>DataUK3!BS111</f>
        <v>-5.3353902934270857E-2</v>
      </c>
    </row>
    <row r="265" spans="1:59" s="87" customFormat="1">
      <c r="A265" s="79">
        <v>1954</v>
      </c>
      <c r="B265" s="1540">
        <f>DataUK1!B113</f>
        <v>16845</v>
      </c>
      <c r="C265" s="1162">
        <v>673.7</v>
      </c>
      <c r="D265" s="959">
        <v>128.19999999999999</v>
      </c>
      <c r="E265" s="959"/>
      <c r="F265" s="111">
        <f t="shared" si="141"/>
        <v>545.5</v>
      </c>
      <c r="G265" s="1540">
        <f t="shared" si="148"/>
        <v>673.7</v>
      </c>
      <c r="H265" s="1145">
        <v>26583</v>
      </c>
      <c r="I265" s="29"/>
      <c r="J265" s="519"/>
      <c r="K265" s="981"/>
      <c r="L265" s="981"/>
      <c r="M265" s="981"/>
      <c r="N265" s="29">
        <v>1.4647999999999999</v>
      </c>
      <c r="O265" s="111">
        <v>25200</v>
      </c>
      <c r="P265" s="29">
        <f t="shared" si="173"/>
        <v>0.94797426926983408</v>
      </c>
      <c r="Q265" s="1031"/>
      <c r="R265" s="519"/>
      <c r="S265" s="519"/>
      <c r="T265" s="1559"/>
      <c r="U265" s="1162">
        <v>4987</v>
      </c>
      <c r="V265" s="111">
        <v>4517</v>
      </c>
      <c r="W265" s="175">
        <f t="shared" si="143"/>
        <v>4517</v>
      </c>
      <c r="X265" s="964">
        <f t="shared" si="172"/>
        <v>470</v>
      </c>
      <c r="Y265" s="964"/>
      <c r="Z265" s="1428"/>
      <c r="AA265" s="1536"/>
      <c r="AB265" s="111">
        <f t="shared" si="146"/>
        <v>-351</v>
      </c>
      <c r="AC265" s="111">
        <f t="shared" si="151"/>
        <v>470</v>
      </c>
      <c r="AD265" s="111"/>
      <c r="AE265" s="111"/>
      <c r="AF265" s="598"/>
      <c r="AG265" s="979"/>
      <c r="AH265" s="964">
        <f t="shared" si="154"/>
        <v>0</v>
      </c>
      <c r="AI265" s="964">
        <v>0</v>
      </c>
      <c r="AJ265" s="964">
        <f t="shared" si="155"/>
        <v>0</v>
      </c>
      <c r="AK265" s="964">
        <f t="shared" si="156"/>
        <v>470</v>
      </c>
      <c r="AL265" s="964">
        <f>DataUK1!DK113</f>
        <v>316</v>
      </c>
      <c r="AM265" s="961">
        <f t="shared" si="177"/>
        <v>1.8759275749480556E-2</v>
      </c>
      <c r="AN265" s="964">
        <f t="shared" si="157"/>
        <v>154</v>
      </c>
      <c r="AP265" s="1785"/>
      <c r="AQ265" s="832"/>
      <c r="AR265" s="832"/>
      <c r="AS265" s="111"/>
      <c r="AT265" s="111"/>
      <c r="AU265" s="111"/>
      <c r="AV265" s="111">
        <v>41.3</v>
      </c>
      <c r="AW265" s="111"/>
      <c r="AY265" s="111">
        <v>160</v>
      </c>
      <c r="AZ265" s="967">
        <f>AY265-DataUK1!FI113</f>
        <v>0</v>
      </c>
      <c r="BA265" s="111">
        <f t="shared" si="174"/>
        <v>160</v>
      </c>
      <c r="BE265" s="967">
        <f t="shared" si="176"/>
        <v>323.5</v>
      </c>
      <c r="BF265" s="2133">
        <f t="shared" si="175"/>
        <v>1.9204511724547343E-2</v>
      </c>
      <c r="BG265" s="385">
        <f>DataUK3!BS112</f>
        <v>-3.7223450591164282E-2</v>
      </c>
    </row>
    <row r="266" spans="1:59" s="87" customFormat="1">
      <c r="A266" s="79">
        <v>1955</v>
      </c>
      <c r="B266" s="1540">
        <f>DataUK1!B114</f>
        <v>17945</v>
      </c>
      <c r="C266" s="1162">
        <v>757.1</v>
      </c>
      <c r="D266" s="959">
        <v>127.6</v>
      </c>
      <c r="E266" s="959"/>
      <c r="F266" s="111">
        <f t="shared" si="141"/>
        <v>629.5</v>
      </c>
      <c r="G266" s="1540">
        <f t="shared" si="148"/>
        <v>757.1</v>
      </c>
      <c r="H266" s="1145">
        <v>26934</v>
      </c>
      <c r="I266" s="29"/>
      <c r="J266" s="519"/>
      <c r="K266" s="981"/>
      <c r="L266" s="981"/>
      <c r="M266" s="981"/>
      <c r="N266" s="29">
        <v>1.3809</v>
      </c>
      <c r="O266" s="111">
        <v>24885</v>
      </c>
      <c r="P266" s="29">
        <f t="shared" si="173"/>
        <v>0.92392515036756517</v>
      </c>
      <c r="Q266" s="1031"/>
      <c r="R266" s="519"/>
      <c r="S266" s="519"/>
      <c r="T266" s="1559"/>
      <c r="U266" s="1162">
        <v>5160</v>
      </c>
      <c r="V266" s="111">
        <v>4727</v>
      </c>
      <c r="W266" s="175">
        <f t="shared" si="143"/>
        <v>4727</v>
      </c>
      <c r="X266" s="964">
        <f t="shared" si="172"/>
        <v>433</v>
      </c>
      <c r="Y266" s="964"/>
      <c r="Z266" s="1428"/>
      <c r="AA266" s="1536"/>
      <c r="AB266" s="111">
        <f t="shared" si="146"/>
        <v>-105</v>
      </c>
      <c r="AC266" s="111">
        <f t="shared" si="151"/>
        <v>433</v>
      </c>
      <c r="AD266" s="111"/>
      <c r="AE266" s="111"/>
      <c r="AF266" s="598"/>
      <c r="AG266" s="979"/>
      <c r="AH266" s="964">
        <f t="shared" si="154"/>
        <v>0</v>
      </c>
      <c r="AI266" s="964">
        <v>0</v>
      </c>
      <c r="AJ266" s="964">
        <f t="shared" si="155"/>
        <v>0</v>
      </c>
      <c r="AK266" s="964">
        <f t="shared" si="156"/>
        <v>433</v>
      </c>
      <c r="AL266" s="964">
        <f>DataUK1!DK114</f>
        <v>347</v>
      </c>
      <c r="AM266" s="961">
        <f t="shared" si="177"/>
        <v>1.9336862635831707E-2</v>
      </c>
      <c r="AN266" s="964">
        <f t="shared" si="157"/>
        <v>86</v>
      </c>
      <c r="AP266" s="1785"/>
      <c r="AQ266" s="832"/>
      <c r="AR266" s="832"/>
      <c r="AS266" s="111"/>
      <c r="AT266" s="111"/>
      <c r="AU266" s="111"/>
      <c r="AV266" s="111">
        <v>43.1</v>
      </c>
      <c r="AW266" s="111"/>
      <c r="AY266" s="111">
        <v>-108</v>
      </c>
      <c r="AZ266" s="967">
        <f>AY266-DataUK1!FI114</f>
        <v>0</v>
      </c>
      <c r="BA266" s="111">
        <f t="shared" si="174"/>
        <v>-108</v>
      </c>
      <c r="BE266" s="967">
        <f t="shared" si="176"/>
        <v>483.5</v>
      </c>
      <c r="BF266" s="2133">
        <f t="shared" si="175"/>
        <v>2.6943438283644469E-2</v>
      </c>
      <c r="BG266" s="385">
        <f>DataUK3!BS113</f>
        <v>-2.3601658135300824E-2</v>
      </c>
    </row>
    <row r="267" spans="1:59" s="87" customFormat="1">
      <c r="A267" s="79">
        <v>1956</v>
      </c>
      <c r="B267" s="1540">
        <f>DataUK1!B115</f>
        <v>19235.000000000004</v>
      </c>
      <c r="C267" s="1162">
        <v>857.4</v>
      </c>
      <c r="D267" s="959">
        <v>126.9</v>
      </c>
      <c r="E267" s="959"/>
      <c r="F267" s="111">
        <f t="shared" ref="F267:F275" si="178">C267-D267-E267</f>
        <v>730.5</v>
      </c>
      <c r="G267" s="1540">
        <f t="shared" si="148"/>
        <v>857.4</v>
      </c>
      <c r="H267" s="1145">
        <v>27039</v>
      </c>
      <c r="I267" s="29"/>
      <c r="J267" s="519"/>
      <c r="K267" s="981"/>
      <c r="L267" s="981"/>
      <c r="M267" s="981"/>
      <c r="N267" s="29">
        <v>1.2897000000000001</v>
      </c>
      <c r="O267" s="111">
        <v>23379</v>
      </c>
      <c r="P267" s="29">
        <f t="shared" si="173"/>
        <v>0.86463996449572844</v>
      </c>
      <c r="Q267" s="1031"/>
      <c r="R267" s="519"/>
      <c r="S267" s="519"/>
      <c r="T267" s="1559"/>
      <c r="U267" s="1162">
        <v>5462</v>
      </c>
      <c r="V267" s="111">
        <v>5136</v>
      </c>
      <c r="W267" s="175">
        <f t="shared" ref="W267:W278" si="179">V267-E267</f>
        <v>5136</v>
      </c>
      <c r="X267" s="964">
        <f t="shared" si="172"/>
        <v>326</v>
      </c>
      <c r="Y267" s="964"/>
      <c r="Z267" s="1428"/>
      <c r="AA267" s="1536"/>
      <c r="AB267" s="111">
        <f t="shared" ref="AB267:AB323" si="180">H267-H268</f>
        <v>-49</v>
      </c>
      <c r="AC267" s="111">
        <f t="shared" si="151"/>
        <v>326</v>
      </c>
      <c r="AD267" s="111"/>
      <c r="AE267" s="111"/>
      <c r="AF267" s="598"/>
      <c r="AG267" s="979"/>
      <c r="AH267" s="964">
        <f t="shared" si="154"/>
        <v>0</v>
      </c>
      <c r="AI267" s="964">
        <v>0</v>
      </c>
      <c r="AJ267" s="964">
        <f t="shared" si="155"/>
        <v>0</v>
      </c>
      <c r="AK267" s="964">
        <f t="shared" si="156"/>
        <v>326</v>
      </c>
      <c r="AL267" s="964">
        <f>DataUK1!DK115</f>
        <v>379</v>
      </c>
      <c r="AM267" s="961">
        <f t="shared" si="177"/>
        <v>1.9703665193657391E-2</v>
      </c>
      <c r="AN267" s="964">
        <f t="shared" si="157"/>
        <v>-53</v>
      </c>
      <c r="AP267" s="1785"/>
      <c r="AQ267" s="832"/>
      <c r="AR267" s="832"/>
      <c r="AS267" s="111"/>
      <c r="AT267" s="111"/>
      <c r="AU267" s="111"/>
      <c r="AV267" s="111">
        <v>45.3</v>
      </c>
      <c r="AW267" s="111"/>
      <c r="AY267" s="111">
        <v>251</v>
      </c>
      <c r="AZ267" s="967">
        <f>AY267-DataUK1!FI115</f>
        <v>0</v>
      </c>
      <c r="BA267" s="111">
        <f t="shared" si="174"/>
        <v>251</v>
      </c>
      <c r="BE267" s="967">
        <f t="shared" si="176"/>
        <v>375.5</v>
      </c>
      <c r="BF267" s="2133">
        <f t="shared" si="175"/>
        <v>1.9521705224850531E-2</v>
      </c>
      <c r="BG267" s="385">
        <f>DataUK3!BS114</f>
        <v>2.8977431039286711E-2</v>
      </c>
    </row>
    <row r="268" spans="1:59" s="87" customFormat="1">
      <c r="A268" s="79">
        <v>1957</v>
      </c>
      <c r="B268" s="1540">
        <f>DataUK1!B116</f>
        <v>20195</v>
      </c>
      <c r="C268" s="1162">
        <v>832.4</v>
      </c>
      <c r="D268" s="959">
        <v>126.22</v>
      </c>
      <c r="E268" s="959"/>
      <c r="F268" s="111">
        <f t="shared" si="178"/>
        <v>706.18</v>
      </c>
      <c r="G268" s="1540">
        <f t="shared" ref="G268:G275" si="181">C268-E268</f>
        <v>832.4</v>
      </c>
      <c r="H268" s="1145">
        <v>27088</v>
      </c>
      <c r="I268" s="29"/>
      <c r="J268" s="519"/>
      <c r="K268" s="981"/>
      <c r="L268" s="981"/>
      <c r="M268" s="981"/>
      <c r="N268" s="29">
        <v>1.2215</v>
      </c>
      <c r="O268" s="111">
        <v>23489</v>
      </c>
      <c r="P268" s="29">
        <f t="shared" si="173"/>
        <v>0.86713673951565273</v>
      </c>
      <c r="Q268" s="1031"/>
      <c r="R268" s="519"/>
      <c r="S268" s="519"/>
      <c r="T268" s="1559"/>
      <c r="U268" s="1162">
        <v>5678</v>
      </c>
      <c r="V268" s="111">
        <v>5218</v>
      </c>
      <c r="W268" s="175">
        <f t="shared" si="179"/>
        <v>5218</v>
      </c>
      <c r="X268" s="964">
        <f t="shared" si="172"/>
        <v>460</v>
      </c>
      <c r="Y268" s="964"/>
      <c r="Z268" s="1428"/>
      <c r="AA268" s="1536"/>
      <c r="AB268" s="111">
        <f t="shared" si="180"/>
        <v>-144</v>
      </c>
      <c r="AC268" s="111">
        <f t="shared" ref="AC268:AC323" si="182">X268-AA268</f>
        <v>460</v>
      </c>
      <c r="AD268" s="111"/>
      <c r="AE268" s="111"/>
      <c r="AF268" s="598"/>
      <c r="AG268" s="979"/>
      <c r="AH268" s="964">
        <f t="shared" ref="AH268:AH278" si="183">AI268</f>
        <v>0</v>
      </c>
      <c r="AI268" s="964">
        <v>0</v>
      </c>
      <c r="AJ268" s="964">
        <f t="shared" ref="AJ268:AJ278" si="184">AH268-AI268</f>
        <v>0</v>
      </c>
      <c r="AK268" s="964">
        <f t="shared" ref="AK268:AK278" si="185">AH268+AC268</f>
        <v>460</v>
      </c>
      <c r="AL268" s="964">
        <f>DataUK1!DK116</f>
        <v>395</v>
      </c>
      <c r="AM268" s="961">
        <f t="shared" si="177"/>
        <v>1.955929685565734E-2</v>
      </c>
      <c r="AN268" s="964">
        <f t="shared" ref="AN268:AN278" si="186">AK268-AL268</f>
        <v>65</v>
      </c>
      <c r="AP268" s="1785"/>
      <c r="AQ268" s="832"/>
      <c r="AR268" s="832"/>
      <c r="AS268" s="111"/>
      <c r="AT268" s="111"/>
      <c r="AU268" s="111"/>
      <c r="AV268" s="111">
        <v>46.9</v>
      </c>
      <c r="AW268" s="111"/>
      <c r="AY268" s="111">
        <v>278</v>
      </c>
      <c r="AZ268" s="967">
        <f>AY268-DataUK1!FI116</f>
        <v>0</v>
      </c>
      <c r="BA268" s="111">
        <f t="shared" si="174"/>
        <v>278</v>
      </c>
      <c r="BE268" s="967">
        <f t="shared" si="176"/>
        <v>626.5</v>
      </c>
      <c r="BF268" s="2133">
        <f t="shared" si="175"/>
        <v>3.1022530329289429E-2</v>
      </c>
      <c r="BG268" s="385">
        <f>DataUK3!BS115</f>
        <v>2.2799216190999456E-2</v>
      </c>
    </row>
    <row r="269" spans="1:59" s="87" customFormat="1">
      <c r="A269" s="79">
        <v>1958</v>
      </c>
      <c r="B269" s="1540">
        <f>DataUK1!B117</f>
        <v>21062</v>
      </c>
      <c r="C269" s="1162">
        <v>868.8</v>
      </c>
      <c r="D269" s="959">
        <v>125.4</v>
      </c>
      <c r="E269" s="959"/>
      <c r="F269" s="111">
        <f t="shared" si="178"/>
        <v>743.4</v>
      </c>
      <c r="G269" s="1540">
        <f t="shared" si="181"/>
        <v>868.8</v>
      </c>
      <c r="H269" s="1145">
        <v>27232</v>
      </c>
      <c r="I269" s="29"/>
      <c r="J269" s="519"/>
      <c r="K269" s="981"/>
      <c r="L269" s="981"/>
      <c r="M269" s="981"/>
      <c r="N269" s="29">
        <v>1.1814</v>
      </c>
      <c r="O269" s="111">
        <v>23094</v>
      </c>
      <c r="P269" s="29">
        <f t="shared" si="173"/>
        <v>0.84804641598119856</v>
      </c>
      <c r="Q269" s="1031"/>
      <c r="R269" s="519"/>
      <c r="S269" s="519"/>
      <c r="T269" s="1559"/>
      <c r="U269" s="1162">
        <v>5850</v>
      </c>
      <c r="V269" s="111">
        <v>5435</v>
      </c>
      <c r="W269" s="175">
        <f t="shared" si="179"/>
        <v>5435</v>
      </c>
      <c r="X269" s="964">
        <f t="shared" si="172"/>
        <v>415</v>
      </c>
      <c r="Y269" s="964"/>
      <c r="Z269" s="1428"/>
      <c r="AA269" s="1536"/>
      <c r="AB269" s="111">
        <f t="shared" si="180"/>
        <v>-144</v>
      </c>
      <c r="AC269" s="111">
        <f t="shared" si="182"/>
        <v>415</v>
      </c>
      <c r="AD269" s="111"/>
      <c r="AE269" s="111"/>
      <c r="AF269" s="598"/>
      <c r="AG269" s="979"/>
      <c r="AH269" s="964">
        <f t="shared" si="183"/>
        <v>0</v>
      </c>
      <c r="AI269" s="964">
        <v>0</v>
      </c>
      <c r="AJ269" s="964">
        <f t="shared" si="184"/>
        <v>0</v>
      </c>
      <c r="AK269" s="964">
        <f t="shared" si="185"/>
        <v>415</v>
      </c>
      <c r="AL269" s="964">
        <f>DataUK1!DK117</f>
        <v>408</v>
      </c>
      <c r="AM269" s="961">
        <f t="shared" si="177"/>
        <v>1.9371379736017474E-2</v>
      </c>
      <c r="AN269" s="964">
        <f t="shared" si="186"/>
        <v>7</v>
      </c>
      <c r="AP269" s="1785"/>
      <c r="AQ269" s="832"/>
      <c r="AR269" s="832"/>
      <c r="AS269" s="111"/>
      <c r="AT269" s="111"/>
      <c r="AU269" s="111"/>
      <c r="AV269" s="111">
        <v>48.4</v>
      </c>
      <c r="AW269" s="111"/>
      <c r="AY269" s="111">
        <v>384</v>
      </c>
      <c r="AZ269" s="967">
        <f>AY269-DataUK1!FI117</f>
        <v>0</v>
      </c>
      <c r="BA269" s="111">
        <f t="shared" si="174"/>
        <v>384</v>
      </c>
      <c r="BE269" s="967">
        <f t="shared" si="176"/>
        <v>904.5</v>
      </c>
      <c r="BF269" s="2133">
        <f t="shared" si="175"/>
        <v>4.2944639635362263E-2</v>
      </c>
      <c r="BG269" s="385">
        <f>DataUK3!BS116</f>
        <v>3.4911230414112204E-2</v>
      </c>
    </row>
    <row r="270" spans="1:59" s="87" customFormat="1">
      <c r="A270" s="79">
        <v>1959</v>
      </c>
      <c r="B270" s="1540">
        <f>DataUK1!B118</f>
        <v>22290</v>
      </c>
      <c r="C270" s="1162">
        <v>858.3</v>
      </c>
      <c r="D270" s="959">
        <v>124.7</v>
      </c>
      <c r="E270" s="959"/>
      <c r="F270" s="111">
        <f t="shared" si="178"/>
        <v>733.59999999999991</v>
      </c>
      <c r="G270" s="1540">
        <f t="shared" si="181"/>
        <v>858.3</v>
      </c>
      <c r="H270" s="1145">
        <v>27376</v>
      </c>
      <c r="I270" s="29"/>
      <c r="J270" s="519"/>
      <c r="K270" s="981"/>
      <c r="L270" s="981"/>
      <c r="M270" s="981"/>
      <c r="N270" s="29">
        <v>1.1244000000000001</v>
      </c>
      <c r="O270" s="111">
        <v>23951</v>
      </c>
      <c r="P270" s="29">
        <f t="shared" si="173"/>
        <v>0.87489041496201048</v>
      </c>
      <c r="Q270" s="1031"/>
      <c r="R270" s="519"/>
      <c r="S270" s="519"/>
      <c r="T270" s="1559"/>
      <c r="U270" s="1162">
        <v>6016</v>
      </c>
      <c r="V270" s="111">
        <v>5590</v>
      </c>
      <c r="W270" s="175">
        <f t="shared" si="179"/>
        <v>5590</v>
      </c>
      <c r="X270" s="964">
        <f t="shared" si="172"/>
        <v>426</v>
      </c>
      <c r="Y270" s="964"/>
      <c r="Z270" s="1428"/>
      <c r="AA270" s="1536"/>
      <c r="AB270" s="111">
        <f t="shared" si="180"/>
        <v>-357</v>
      </c>
      <c r="AC270" s="111">
        <f t="shared" si="182"/>
        <v>426</v>
      </c>
      <c r="AD270" s="111"/>
      <c r="AE270" s="111"/>
      <c r="AF270" s="598"/>
      <c r="AG270" s="979"/>
      <c r="AH270" s="964">
        <f t="shared" si="183"/>
        <v>0</v>
      </c>
      <c r="AI270" s="964">
        <v>0</v>
      </c>
      <c r="AJ270" s="964">
        <f t="shared" si="184"/>
        <v>0</v>
      </c>
      <c r="AK270" s="964">
        <f t="shared" si="185"/>
        <v>426</v>
      </c>
      <c r="AL270" s="964">
        <f>DataUK1!DK118</f>
        <v>412</v>
      </c>
      <c r="AM270" s="961">
        <f t="shared" si="177"/>
        <v>1.8483624943921039E-2</v>
      </c>
      <c r="AN270" s="964">
        <f t="shared" si="186"/>
        <v>14</v>
      </c>
      <c r="AP270" s="1785"/>
      <c r="AQ270" s="832"/>
      <c r="AR270" s="832"/>
      <c r="AS270" s="111"/>
      <c r="AT270" s="111"/>
      <c r="AU270" s="111"/>
      <c r="AV270" s="111">
        <v>48.6</v>
      </c>
      <c r="AW270" s="111"/>
      <c r="AY270" s="111">
        <v>198</v>
      </c>
      <c r="AZ270" s="967">
        <f>AY270-DataUK1!FI118</f>
        <v>0</v>
      </c>
      <c r="BA270" s="111">
        <f t="shared" si="174"/>
        <v>198</v>
      </c>
      <c r="BE270" s="967">
        <f t="shared" si="176"/>
        <v>1288.5</v>
      </c>
      <c r="BF270" s="2133">
        <f t="shared" si="175"/>
        <v>5.780619111709287E-2</v>
      </c>
      <c r="BG270" s="385">
        <f>DataUK3!BS117</f>
        <v>4.7743865996511675E-2</v>
      </c>
    </row>
    <row r="271" spans="1:59" s="87" customFormat="1">
      <c r="A271" s="79">
        <v>1960</v>
      </c>
      <c r="B271" s="1540">
        <f>DataUK1!B119</f>
        <v>24104</v>
      </c>
      <c r="C271" s="1162">
        <v>934.6</v>
      </c>
      <c r="D271" s="959">
        <v>124</v>
      </c>
      <c r="E271" s="959"/>
      <c r="F271" s="111">
        <f t="shared" si="178"/>
        <v>810.6</v>
      </c>
      <c r="G271" s="1540">
        <f t="shared" si="181"/>
        <v>934.6</v>
      </c>
      <c r="H271" s="1145">
        <v>27733</v>
      </c>
      <c r="I271" s="29"/>
      <c r="J271" s="519"/>
      <c r="K271" s="981"/>
      <c r="L271" s="981"/>
      <c r="M271" s="981"/>
      <c r="N271" s="29">
        <v>1.0676999999999999</v>
      </c>
      <c r="O271" s="111">
        <v>23845</v>
      </c>
      <c r="P271" s="29">
        <f t="shared" si="173"/>
        <v>0.85980600728374135</v>
      </c>
      <c r="Q271" s="1031"/>
      <c r="R271" s="519"/>
      <c r="S271" s="519"/>
      <c r="T271" s="1559"/>
      <c r="U271" s="1162">
        <v>6344</v>
      </c>
      <c r="V271" s="111">
        <v>6157</v>
      </c>
      <c r="W271" s="175">
        <f t="shared" si="179"/>
        <v>6157</v>
      </c>
      <c r="X271" s="964">
        <f t="shared" si="172"/>
        <v>187</v>
      </c>
      <c r="Y271" s="964"/>
      <c r="Z271" s="1428"/>
      <c r="AA271" s="1536"/>
      <c r="AB271" s="111">
        <f t="shared" si="180"/>
        <v>-519</v>
      </c>
      <c r="AC271" s="111">
        <f t="shared" si="182"/>
        <v>187</v>
      </c>
      <c r="AD271" s="111"/>
      <c r="AE271" s="111"/>
      <c r="AF271" s="598"/>
      <c r="AG271" s="979"/>
      <c r="AH271" s="964">
        <f t="shared" si="183"/>
        <v>0</v>
      </c>
      <c r="AI271" s="964">
        <v>0</v>
      </c>
      <c r="AJ271" s="964">
        <f t="shared" si="184"/>
        <v>0</v>
      </c>
      <c r="AK271" s="964">
        <f t="shared" si="185"/>
        <v>187</v>
      </c>
      <c r="AL271" s="964">
        <f>DataUK1!DK119</f>
        <v>423</v>
      </c>
      <c r="AM271" s="961">
        <f t="shared" si="177"/>
        <v>1.7548954530368404E-2</v>
      </c>
      <c r="AN271" s="964">
        <f t="shared" si="186"/>
        <v>-236</v>
      </c>
      <c r="AP271" s="1785"/>
      <c r="AQ271" s="832"/>
      <c r="AR271" s="832"/>
      <c r="AS271" s="111"/>
      <c r="AT271" s="111"/>
      <c r="AU271" s="111"/>
      <c r="AV271" s="111">
        <v>49.1</v>
      </c>
      <c r="AW271" s="111"/>
      <c r="AY271" s="111">
        <v>-205</v>
      </c>
      <c r="AZ271" s="967">
        <f>AY271-DataUK1!FI119</f>
        <v>0</v>
      </c>
      <c r="BA271" s="111">
        <f t="shared" si="174"/>
        <v>-205</v>
      </c>
      <c r="BE271" s="967">
        <f t="shared" si="176"/>
        <v>1486.5</v>
      </c>
      <c r="BF271" s="2133">
        <f t="shared" si="175"/>
        <v>6.1670262197145699E-2</v>
      </c>
      <c r="BG271" s="385">
        <f>DataUK3!BS118</f>
        <v>6.2527438325251025E-2</v>
      </c>
    </row>
    <row r="272" spans="1:59" s="87" customFormat="1">
      <c r="A272" s="79">
        <v>1961</v>
      </c>
      <c r="B272" s="1540">
        <f>DataUK1!B120</f>
        <v>25447.999999999996</v>
      </c>
      <c r="C272" s="1162">
        <v>1035.8</v>
      </c>
      <c r="D272" s="959">
        <v>123.2</v>
      </c>
      <c r="E272" s="959"/>
      <c r="F272" s="111">
        <f t="shared" si="178"/>
        <v>912.59999999999991</v>
      </c>
      <c r="G272" s="1540">
        <f t="shared" si="181"/>
        <v>1035.8</v>
      </c>
      <c r="H272" s="1145">
        <v>28252</v>
      </c>
      <c r="I272" s="29"/>
      <c r="J272" s="519"/>
      <c r="K272" s="981"/>
      <c r="L272" s="981"/>
      <c r="M272" s="981"/>
      <c r="N272" s="29">
        <v>1.0308999999999999</v>
      </c>
      <c r="O272" s="111">
        <v>23938</v>
      </c>
      <c r="P272" s="29">
        <f t="shared" si="173"/>
        <v>0.84730284581622539</v>
      </c>
      <c r="Q272" s="1031"/>
      <c r="R272" s="519"/>
      <c r="S272" s="519"/>
      <c r="T272" s="1559"/>
      <c r="U272" s="1162">
        <v>6645</v>
      </c>
      <c r="V272" s="111">
        <v>6195</v>
      </c>
      <c r="W272" s="175">
        <f t="shared" si="179"/>
        <v>6195</v>
      </c>
      <c r="X272" s="964">
        <f t="shared" si="172"/>
        <v>450</v>
      </c>
      <c r="Y272" s="964"/>
      <c r="Z272" s="1428"/>
      <c r="AA272" s="1536"/>
      <c r="AB272" s="111">
        <f t="shared" si="180"/>
        <v>-422</v>
      </c>
      <c r="AC272" s="111">
        <f t="shared" si="182"/>
        <v>450</v>
      </c>
      <c r="AD272" s="111"/>
      <c r="AE272" s="111"/>
      <c r="AF272" s="598"/>
      <c r="AG272" s="979"/>
      <c r="AH272" s="964">
        <f t="shared" si="183"/>
        <v>0</v>
      </c>
      <c r="AI272" s="964">
        <v>0</v>
      </c>
      <c r="AJ272" s="964">
        <f t="shared" si="184"/>
        <v>0</v>
      </c>
      <c r="AK272" s="964">
        <f t="shared" si="185"/>
        <v>450</v>
      </c>
      <c r="AL272" s="964">
        <f>DataUK1!DK120</f>
        <v>379</v>
      </c>
      <c r="AM272" s="961">
        <f t="shared" si="177"/>
        <v>1.4893115372524366E-2</v>
      </c>
      <c r="AN272" s="964">
        <f t="shared" si="186"/>
        <v>71</v>
      </c>
      <c r="AP272" s="1785"/>
      <c r="AQ272" s="832"/>
      <c r="AR272" s="832"/>
      <c r="AS272" s="111"/>
      <c r="AT272" s="111"/>
      <c r="AU272" s="111"/>
      <c r="AV272" s="111">
        <v>50.8</v>
      </c>
      <c r="AW272" s="111"/>
      <c r="AY272" s="111">
        <v>86</v>
      </c>
      <c r="AZ272" s="967">
        <f>AY272-DataUK1!FI120</f>
        <v>0</v>
      </c>
      <c r="BA272" s="111">
        <f t="shared" si="174"/>
        <v>86</v>
      </c>
      <c r="BE272" s="967">
        <f t="shared" si="176"/>
        <v>1281.5</v>
      </c>
      <c r="BF272" s="2133">
        <f t="shared" si="175"/>
        <v>5.0357591952216292E-2</v>
      </c>
      <c r="BG272" s="385">
        <f>DataUK3!BS119</f>
        <v>4.9369399269830735E-2</v>
      </c>
    </row>
    <row r="273" spans="1:59" s="87" customFormat="1">
      <c r="A273" s="79">
        <v>1962</v>
      </c>
      <c r="B273" s="1540">
        <f>DataUK1!B121</f>
        <v>26854</v>
      </c>
      <c r="C273" s="1162">
        <v>981.7</v>
      </c>
      <c r="D273" s="959">
        <v>122.5</v>
      </c>
      <c r="E273" s="959"/>
      <c r="F273" s="111">
        <f t="shared" si="178"/>
        <v>859.2</v>
      </c>
      <c r="G273" s="1540">
        <f t="shared" si="181"/>
        <v>981.7</v>
      </c>
      <c r="H273" s="1145">
        <v>28674</v>
      </c>
      <c r="I273" s="29"/>
      <c r="J273" s="519"/>
      <c r="K273" s="981"/>
      <c r="L273" s="981"/>
      <c r="M273" s="981"/>
      <c r="N273" s="29">
        <v>0.99939999999999996</v>
      </c>
      <c r="O273" s="111">
        <v>24337</v>
      </c>
      <c r="P273" s="29">
        <f t="shared" si="173"/>
        <v>0.84874799469903051</v>
      </c>
      <c r="Q273" s="1031"/>
      <c r="R273" s="519"/>
      <c r="S273" s="519"/>
      <c r="T273" s="1559"/>
      <c r="U273" s="1162">
        <v>6794</v>
      </c>
      <c r="V273" s="111">
        <v>6400.5</v>
      </c>
      <c r="W273" s="175">
        <f t="shared" si="179"/>
        <v>6400.5</v>
      </c>
      <c r="X273" s="964">
        <f t="shared" si="172"/>
        <v>393.5</v>
      </c>
      <c r="Y273" s="964"/>
      <c r="Z273" s="1428"/>
      <c r="AA273" s="1536"/>
      <c r="AB273" s="111">
        <f t="shared" si="180"/>
        <v>-1174</v>
      </c>
      <c r="AC273" s="111">
        <f t="shared" si="182"/>
        <v>393.5</v>
      </c>
      <c r="AD273" s="111"/>
      <c r="AE273" s="111"/>
      <c r="AF273" s="598"/>
      <c r="AG273" s="979"/>
      <c r="AH273" s="964">
        <f t="shared" si="183"/>
        <v>0</v>
      </c>
      <c r="AI273" s="964">
        <v>0</v>
      </c>
      <c r="AJ273" s="964">
        <f t="shared" si="184"/>
        <v>0</v>
      </c>
      <c r="AK273" s="964">
        <f t="shared" si="185"/>
        <v>393.5</v>
      </c>
      <c r="AL273" s="964">
        <f>DataUK1!DK121</f>
        <v>375</v>
      </c>
      <c r="AM273" s="961">
        <f t="shared" si="177"/>
        <v>1.3964400089372161E-2</v>
      </c>
      <c r="AN273" s="964">
        <f t="shared" si="186"/>
        <v>18.5</v>
      </c>
      <c r="AP273" s="1785"/>
      <c r="AQ273" s="832"/>
      <c r="AR273" s="832"/>
      <c r="AS273" s="111"/>
      <c r="AT273" s="111"/>
      <c r="AU273" s="111"/>
      <c r="AV273" s="111">
        <v>53</v>
      </c>
      <c r="AW273" s="111"/>
      <c r="AY273" s="111">
        <v>196</v>
      </c>
      <c r="AZ273" s="967">
        <f>AY273-DataUK1!FI121</f>
        <v>0</v>
      </c>
      <c r="BA273" s="111">
        <f t="shared" si="174"/>
        <v>196</v>
      </c>
      <c r="BE273" s="967">
        <f t="shared" si="176"/>
        <v>1367.5</v>
      </c>
      <c r="BF273" s="2133">
        <f t="shared" si="175"/>
        <v>5.0923512325910476E-2</v>
      </c>
      <c r="BG273" s="385">
        <f>DataUK3!BS120</f>
        <v>4.0325433406472121E-2</v>
      </c>
    </row>
    <row r="274" spans="1:59" s="87" customFormat="1">
      <c r="A274" s="79">
        <v>1963</v>
      </c>
      <c r="B274" s="1540">
        <f>DataUK1!B122</f>
        <v>28002</v>
      </c>
      <c r="C274" s="1162">
        <v>1045.0999999999999</v>
      </c>
      <c r="D274" s="959">
        <v>121.8</v>
      </c>
      <c r="E274" s="959"/>
      <c r="F274" s="111">
        <f t="shared" si="178"/>
        <v>923.3</v>
      </c>
      <c r="G274" s="1540">
        <f t="shared" si="181"/>
        <v>1045.0999999999999</v>
      </c>
      <c r="H274" s="1145">
        <v>29848</v>
      </c>
      <c r="I274" s="29"/>
      <c r="J274" s="519"/>
      <c r="K274" s="981"/>
      <c r="L274" s="981"/>
      <c r="M274" s="981"/>
      <c r="N274" s="29">
        <v>0.98290000000000011</v>
      </c>
      <c r="O274" s="111">
        <v>26326</v>
      </c>
      <c r="P274" s="29">
        <f t="shared" si="173"/>
        <v>0.88200214419726619</v>
      </c>
      <c r="Q274" s="1031"/>
      <c r="R274" s="519"/>
      <c r="S274" s="519"/>
      <c r="T274" s="1559"/>
      <c r="U274" s="1162">
        <v>6890</v>
      </c>
      <c r="V274" s="111">
        <v>6775.7</v>
      </c>
      <c r="W274" s="175">
        <f t="shared" si="179"/>
        <v>6775.7</v>
      </c>
      <c r="X274" s="964">
        <f t="shared" si="172"/>
        <v>114.30000000000018</v>
      </c>
      <c r="Y274" s="964"/>
      <c r="Z274" s="1428"/>
      <c r="AA274" s="1536"/>
      <c r="AB274" s="111">
        <f t="shared" si="180"/>
        <v>-378</v>
      </c>
      <c r="AC274" s="111">
        <f t="shared" si="182"/>
        <v>114.30000000000018</v>
      </c>
      <c r="AD274" s="111"/>
      <c r="AE274" s="111"/>
      <c r="AF274" s="598"/>
      <c r="AG274" s="979"/>
      <c r="AH274" s="964">
        <f t="shared" si="183"/>
        <v>0</v>
      </c>
      <c r="AI274" s="964">
        <v>0</v>
      </c>
      <c r="AJ274" s="964">
        <f t="shared" si="184"/>
        <v>0</v>
      </c>
      <c r="AK274" s="964">
        <f t="shared" si="185"/>
        <v>114.30000000000018</v>
      </c>
      <c r="AL274" s="964">
        <f>DataUK1!DK122</f>
        <v>394</v>
      </c>
      <c r="AM274" s="961">
        <f t="shared" si="177"/>
        <v>1.4070423541175631E-2</v>
      </c>
      <c r="AN274" s="964">
        <f t="shared" si="186"/>
        <v>-279.69999999999982</v>
      </c>
      <c r="AP274" s="1785"/>
      <c r="AQ274" s="832"/>
      <c r="AR274" s="832"/>
      <c r="AS274" s="111"/>
      <c r="AT274" s="111"/>
      <c r="AU274" s="111"/>
      <c r="AV274" s="111">
        <v>54</v>
      </c>
      <c r="AW274" s="111"/>
      <c r="AY274" s="111">
        <v>170</v>
      </c>
      <c r="AZ274" s="967">
        <f>AY274-DataUK1!FI122</f>
        <v>0</v>
      </c>
      <c r="BA274" s="111">
        <f t="shared" si="174"/>
        <v>170</v>
      </c>
      <c r="BE274" s="967">
        <f t="shared" si="176"/>
        <v>1563.5</v>
      </c>
      <c r="BF274" s="2133">
        <f t="shared" si="175"/>
        <v>5.5835297478751517E-2</v>
      </c>
      <c r="BG274" s="385">
        <f>DataUK3!BS121</f>
        <v>4.3071551060281953E-2</v>
      </c>
    </row>
    <row r="275" spans="1:59" s="87" customFormat="1">
      <c r="A275" s="79">
        <v>1964</v>
      </c>
      <c r="B275" s="1540">
        <f>DataUK1!B123</f>
        <v>30527</v>
      </c>
      <c r="C275" s="1162">
        <v>1065.5</v>
      </c>
      <c r="D275" s="959">
        <v>121.1</v>
      </c>
      <c r="E275" s="959"/>
      <c r="F275" s="111">
        <f t="shared" si="178"/>
        <v>944.4</v>
      </c>
      <c r="G275" s="1540">
        <f t="shared" si="181"/>
        <v>1065.5</v>
      </c>
      <c r="H275" s="1145">
        <v>30226</v>
      </c>
      <c r="I275" s="29"/>
      <c r="J275" s="519"/>
      <c r="K275" s="981"/>
      <c r="L275" s="981"/>
      <c r="M275" s="981"/>
      <c r="N275" s="29">
        <v>0.91150000000000009</v>
      </c>
      <c r="O275" s="111">
        <v>26456</v>
      </c>
      <c r="P275" s="29">
        <f t="shared" si="173"/>
        <v>0.87527294382319853</v>
      </c>
      <c r="Q275" s="1031"/>
      <c r="R275" s="519"/>
      <c r="S275" s="519"/>
      <c r="T275" s="1559"/>
      <c r="U275" s="1162">
        <v>7727</v>
      </c>
      <c r="V275" s="111">
        <v>7264.6</v>
      </c>
      <c r="W275" s="175">
        <f t="shared" si="179"/>
        <v>7264.6</v>
      </c>
      <c r="X275" s="964">
        <f t="shared" si="172"/>
        <v>462.39999999999964</v>
      </c>
      <c r="Y275" s="964"/>
      <c r="Z275" s="1428"/>
      <c r="AA275" s="1536"/>
      <c r="AB275" s="111">
        <f t="shared" si="180"/>
        <v>-215</v>
      </c>
      <c r="AC275" s="111">
        <f t="shared" si="182"/>
        <v>462.39999999999964</v>
      </c>
      <c r="AD275" s="111"/>
      <c r="AE275" s="111"/>
      <c r="AF275" s="598"/>
      <c r="AG275" s="979"/>
      <c r="AH275" s="964">
        <f t="shared" si="183"/>
        <v>0</v>
      </c>
      <c r="AI275" s="964">
        <v>0</v>
      </c>
      <c r="AJ275" s="964">
        <f t="shared" si="184"/>
        <v>0</v>
      </c>
      <c r="AK275" s="964">
        <f t="shared" si="185"/>
        <v>462.39999999999964</v>
      </c>
      <c r="AL275" s="964">
        <f>DataUK1!DK123</f>
        <v>416</v>
      </c>
      <c r="AM275" s="961">
        <f t="shared" si="177"/>
        <v>1.3627280767844859E-2</v>
      </c>
      <c r="AN275" s="964">
        <f t="shared" si="186"/>
        <v>46.399999999999636</v>
      </c>
      <c r="AP275" s="1785"/>
      <c r="AQ275" s="832"/>
      <c r="AR275" s="832"/>
      <c r="AS275" s="111"/>
      <c r="AT275" s="111"/>
      <c r="AU275" s="111"/>
      <c r="AV275" s="111">
        <v>55.8</v>
      </c>
      <c r="AW275" s="111"/>
      <c r="AY275" s="111">
        <v>-327</v>
      </c>
      <c r="AZ275" s="967">
        <f>AY275-DataUK1!FI123</f>
        <v>0</v>
      </c>
      <c r="BA275" s="111">
        <f t="shared" si="174"/>
        <v>-327</v>
      </c>
      <c r="BE275" s="967">
        <f t="shared" si="176"/>
        <v>1733.5</v>
      </c>
      <c r="BF275" s="2133">
        <f t="shared" si="175"/>
        <v>5.6785796180430441E-2</v>
      </c>
      <c r="BG275" s="385">
        <f>DataUK3!BS122</f>
        <v>4.9084597284379833E-2</v>
      </c>
    </row>
    <row r="276" spans="1:59" s="87" customFormat="1">
      <c r="A276" s="79">
        <v>1965</v>
      </c>
      <c r="B276" s="1540">
        <f>DataUK1!B124</f>
        <v>33006</v>
      </c>
      <c r="C276" s="1162">
        <v>1136.3</v>
      </c>
      <c r="D276" s="959"/>
      <c r="E276" s="959"/>
      <c r="F276" s="959"/>
      <c r="G276" s="1547"/>
      <c r="H276" s="1145">
        <v>30441</v>
      </c>
      <c r="I276" s="29"/>
      <c r="J276" s="519"/>
      <c r="K276" s="981"/>
      <c r="L276" s="981"/>
      <c r="M276" s="981"/>
      <c r="N276" s="29">
        <v>0.85019999999999996</v>
      </c>
      <c r="O276" s="111">
        <v>25995</v>
      </c>
      <c r="P276" s="29">
        <f t="shared" si="173"/>
        <v>0.85394697940277919</v>
      </c>
      <c r="Q276" s="1031"/>
      <c r="R276" s="519"/>
      <c r="S276" s="519"/>
      <c r="T276" s="1559"/>
      <c r="U276" s="1162">
        <v>8674</v>
      </c>
      <c r="V276" s="111">
        <v>7974.2</v>
      </c>
      <c r="W276" s="175">
        <f t="shared" si="179"/>
        <v>7974.2</v>
      </c>
      <c r="X276" s="964">
        <f t="shared" si="172"/>
        <v>699.80000000000018</v>
      </c>
      <c r="Y276" s="964"/>
      <c r="Z276" s="1428"/>
      <c r="AA276" s="1536"/>
      <c r="AB276" s="111">
        <f t="shared" si="180"/>
        <v>-900</v>
      </c>
      <c r="AC276" s="111">
        <f t="shared" si="182"/>
        <v>699.80000000000018</v>
      </c>
      <c r="AD276" s="111"/>
      <c r="AE276" s="111"/>
      <c r="AF276" s="598"/>
      <c r="AG276" s="979"/>
      <c r="AH276" s="964">
        <f t="shared" si="183"/>
        <v>0</v>
      </c>
      <c r="AI276" s="964">
        <v>0</v>
      </c>
      <c r="AJ276" s="964">
        <f t="shared" si="184"/>
        <v>0</v>
      </c>
      <c r="AK276" s="964">
        <f t="shared" si="185"/>
        <v>699.80000000000018</v>
      </c>
      <c r="AL276" s="964">
        <f>DataUK1!DK124</f>
        <v>438</v>
      </c>
      <c r="AM276" s="961">
        <f t="shared" si="177"/>
        <v>1.327031448827486E-2</v>
      </c>
      <c r="AN276" s="964">
        <f t="shared" si="186"/>
        <v>261.80000000000018</v>
      </c>
      <c r="AP276" s="1785"/>
      <c r="AQ276" s="832"/>
      <c r="AR276" s="832"/>
      <c r="AS276" s="111"/>
      <c r="AT276" s="111"/>
      <c r="AU276" s="111"/>
      <c r="AV276" s="111">
        <v>58.4</v>
      </c>
      <c r="AW276" s="111"/>
      <c r="AY276" s="111">
        <v>-33</v>
      </c>
      <c r="AZ276" s="967">
        <f>AY276-DataUK1!FI124</f>
        <v>0</v>
      </c>
      <c r="BA276" s="111">
        <f t="shared" si="174"/>
        <v>-33</v>
      </c>
      <c r="BE276" s="967">
        <f t="shared" si="176"/>
        <v>1406.5</v>
      </c>
      <c r="BF276" s="2133">
        <f t="shared" si="175"/>
        <v>4.2613464218626919E-2</v>
      </c>
      <c r="BG276" s="385">
        <f>DataUK3!BS123</f>
        <v>5.2094292143428575E-2</v>
      </c>
    </row>
    <row r="277" spans="1:59" s="87" customFormat="1">
      <c r="A277" s="79">
        <v>1966</v>
      </c>
      <c r="B277" s="1540">
        <f>DataUK1!B125</f>
        <v>34913</v>
      </c>
      <c r="C277" s="1162">
        <v>1238</v>
      </c>
      <c r="D277" s="959"/>
      <c r="E277" s="959"/>
      <c r="F277" s="959"/>
      <c r="G277" s="1547"/>
      <c r="H277" s="1145">
        <v>31341</v>
      </c>
      <c r="I277" s="29"/>
      <c r="J277" s="519"/>
      <c r="K277" s="981"/>
      <c r="L277" s="981"/>
      <c r="M277" s="981"/>
      <c r="N277" s="29">
        <v>0.8226</v>
      </c>
      <c r="O277" s="1797">
        <v>26790</v>
      </c>
      <c r="P277" s="29">
        <f t="shared" si="173"/>
        <v>0.85479084904757352</v>
      </c>
      <c r="Q277" s="1031"/>
      <c r="R277" s="519"/>
      <c r="S277" s="519"/>
      <c r="T277" s="1559"/>
      <c r="U277" s="1162">
        <v>10279</v>
      </c>
      <c r="V277" s="111">
        <v>9541.4</v>
      </c>
      <c r="W277" s="175">
        <f t="shared" si="179"/>
        <v>9541.4</v>
      </c>
      <c r="X277" s="964">
        <f t="shared" si="172"/>
        <v>737.60000000000036</v>
      </c>
      <c r="Y277" s="964"/>
      <c r="Z277" s="1428"/>
      <c r="AA277" s="1536"/>
      <c r="AB277" s="111">
        <f t="shared" si="180"/>
        <v>-645</v>
      </c>
      <c r="AC277" s="111">
        <f t="shared" si="182"/>
        <v>737.60000000000036</v>
      </c>
      <c r="AD277" s="111"/>
      <c r="AE277" s="111"/>
      <c r="AF277" s="598"/>
      <c r="AG277" s="979"/>
      <c r="AH277" s="964">
        <f t="shared" si="183"/>
        <v>0</v>
      </c>
      <c r="AI277" s="964">
        <v>0</v>
      </c>
      <c r="AJ277" s="964">
        <f t="shared" si="184"/>
        <v>0</v>
      </c>
      <c r="AK277" s="964">
        <f t="shared" si="185"/>
        <v>737.60000000000036</v>
      </c>
      <c r="AL277" s="964">
        <f>DataUK1!DK125</f>
        <v>463</v>
      </c>
      <c r="AM277" s="961">
        <f t="shared" si="177"/>
        <v>1.3261535817603759E-2</v>
      </c>
      <c r="AN277" s="964">
        <f t="shared" si="186"/>
        <v>274.60000000000036</v>
      </c>
      <c r="AP277" s="1785"/>
      <c r="AQ277" s="832"/>
      <c r="AR277" s="832"/>
      <c r="AS277" s="111"/>
      <c r="AT277" s="111"/>
      <c r="AU277" s="111"/>
      <c r="AV277" s="111">
        <v>60.7</v>
      </c>
      <c r="AW277" s="111"/>
      <c r="AY277" s="111">
        <v>161</v>
      </c>
      <c r="AZ277" s="967">
        <f>AY277-DataUK1!FI125</f>
        <v>0</v>
      </c>
      <c r="BA277" s="111">
        <f t="shared" si="174"/>
        <v>161</v>
      </c>
      <c r="BE277" s="967">
        <f t="shared" si="176"/>
        <v>1373.5</v>
      </c>
      <c r="BF277" s="2133">
        <f t="shared" si="175"/>
        <v>3.9340646750494083E-2</v>
      </c>
      <c r="BG277" s="385">
        <f>DataUK3!BS124</f>
        <v>5.453553899291038E-2</v>
      </c>
    </row>
    <row r="278" spans="1:59" s="87" customFormat="1">
      <c r="A278" s="79">
        <v>1967</v>
      </c>
      <c r="B278" s="1540">
        <f>DataUK1!B126</f>
        <v>36659</v>
      </c>
      <c r="C278" s="1162">
        <v>1371.1</v>
      </c>
      <c r="D278" s="959"/>
      <c r="E278" s="959"/>
      <c r="F278" s="959"/>
      <c r="G278" s="1547"/>
      <c r="H278" s="1145">
        <v>31986</v>
      </c>
      <c r="I278" s="29"/>
      <c r="J278" s="519"/>
      <c r="K278" s="981"/>
      <c r="L278" s="981"/>
      <c r="M278" s="981"/>
      <c r="N278" s="29">
        <v>0.79579999999999995</v>
      </c>
      <c r="O278" s="111">
        <v>27340</v>
      </c>
      <c r="P278" s="29">
        <f t="shared" si="173"/>
        <v>0.85474895266679174</v>
      </c>
      <c r="Q278" s="1031"/>
      <c r="R278" s="519"/>
      <c r="S278" s="519"/>
      <c r="T278" s="1559"/>
      <c r="U278" s="1162">
        <v>11855</v>
      </c>
      <c r="V278" s="111">
        <v>11525.1</v>
      </c>
      <c r="W278" s="175">
        <f t="shared" si="179"/>
        <v>11525.1</v>
      </c>
      <c r="X278" s="964">
        <f t="shared" si="172"/>
        <v>329.89999999999964</v>
      </c>
      <c r="Y278" s="964"/>
      <c r="Z278" s="1428"/>
      <c r="AA278" s="1536"/>
      <c r="AB278" s="111">
        <f t="shared" si="180"/>
        <v>-2208</v>
      </c>
      <c r="AC278" s="111">
        <f t="shared" si="182"/>
        <v>329.89999999999964</v>
      </c>
      <c r="AD278" s="111"/>
      <c r="AE278" s="111"/>
      <c r="AF278" s="598"/>
      <c r="AG278" s="979"/>
      <c r="AH278" s="964">
        <f t="shared" si="183"/>
        <v>0</v>
      </c>
      <c r="AI278" s="964">
        <v>0</v>
      </c>
      <c r="AJ278" s="964">
        <f t="shared" si="184"/>
        <v>0</v>
      </c>
      <c r="AK278" s="964">
        <f t="shared" si="185"/>
        <v>329.89999999999964</v>
      </c>
      <c r="AL278" s="964">
        <f>DataUK1!DK126</f>
        <v>485</v>
      </c>
      <c r="AM278" s="961">
        <f t="shared" si="177"/>
        <v>1.3230039008156251E-2</v>
      </c>
      <c r="AN278" s="964">
        <f t="shared" si="186"/>
        <v>-155.10000000000036</v>
      </c>
      <c r="AP278" s="1785"/>
      <c r="AQ278" s="832"/>
      <c r="AR278" s="832"/>
      <c r="AS278" s="111"/>
      <c r="AT278" s="111"/>
      <c r="AU278" s="111"/>
      <c r="AV278" s="111">
        <v>62.3</v>
      </c>
      <c r="AW278" s="111"/>
      <c r="AY278" s="111">
        <v>-247</v>
      </c>
      <c r="AZ278" s="967">
        <f>AY278-DataUK1!FI126</f>
        <v>0</v>
      </c>
      <c r="BA278" s="111">
        <f t="shared" si="174"/>
        <v>-247</v>
      </c>
      <c r="BE278" s="967">
        <f t="shared" si="176"/>
        <v>1534.5</v>
      </c>
      <c r="BF278" s="2133">
        <f t="shared" si="175"/>
        <v>4.185875228456859E-2</v>
      </c>
      <c r="BG278" s="385">
        <f>DataUK3!BS125</f>
        <v>5.2642007589118786E-2</v>
      </c>
    </row>
    <row r="279" spans="1:59" s="87" customFormat="1">
      <c r="A279" s="79">
        <v>1968</v>
      </c>
      <c r="B279" s="1540">
        <f>DataUK1!B127</f>
        <v>39596</v>
      </c>
      <c r="C279" s="1162">
        <v>1354</v>
      </c>
      <c r="D279" s="959"/>
      <c r="E279" s="959"/>
      <c r="F279" s="959"/>
      <c r="G279" s="1547"/>
      <c r="H279" s="1145">
        <v>34194</v>
      </c>
      <c r="I279" s="29"/>
      <c r="J279" s="519"/>
      <c r="K279" s="981"/>
      <c r="L279" s="981"/>
      <c r="M279" s="981"/>
      <c r="N279" s="29">
        <v>0.78549999999999998</v>
      </c>
      <c r="O279" s="111">
        <v>29002</v>
      </c>
      <c r="P279" s="29">
        <f t="shared" si="173"/>
        <v>0.84816049599344912</v>
      </c>
      <c r="Q279" s="1031"/>
      <c r="R279" s="519"/>
      <c r="S279" s="519"/>
      <c r="T279" s="1559"/>
      <c r="U279" s="1162">
        <v>13363</v>
      </c>
      <c r="V279" s="111"/>
      <c r="W279" s="111"/>
      <c r="X279" s="598"/>
      <c r="Y279" s="598"/>
      <c r="Z279" s="1428"/>
      <c r="AA279" s="977"/>
      <c r="AB279" s="111">
        <f t="shared" si="180"/>
        <v>210</v>
      </c>
      <c r="AC279" s="111">
        <f t="shared" si="182"/>
        <v>0</v>
      </c>
      <c r="AD279" s="111"/>
      <c r="AE279" s="111"/>
      <c r="AF279" s="598"/>
      <c r="AG279" s="979"/>
      <c r="AK279" s="964"/>
      <c r="AL279" s="964">
        <f>DataUK1!DK127</f>
        <v>525</v>
      </c>
      <c r="AM279" s="961">
        <f t="shared" si="177"/>
        <v>1.3258915041923426E-2</v>
      </c>
      <c r="AN279" s="964"/>
      <c r="AP279" s="1785"/>
      <c r="AQ279" s="832"/>
      <c r="AR279" s="832"/>
      <c r="AS279" s="111"/>
      <c r="AT279" s="111"/>
      <c r="AU279" s="111"/>
      <c r="AV279" s="111">
        <v>65.2</v>
      </c>
      <c r="AW279" s="111"/>
      <c r="AY279" s="111">
        <v>-231</v>
      </c>
      <c r="AZ279" s="967">
        <f>AY279-DataUK1!FI127</f>
        <v>0</v>
      </c>
      <c r="BA279" s="111">
        <f t="shared" si="174"/>
        <v>-231</v>
      </c>
      <c r="BE279" s="967">
        <f t="shared" si="176"/>
        <v>1287.5</v>
      </c>
      <c r="BF279" s="2133">
        <f t="shared" si="175"/>
        <v>3.2515910698050307E-2</v>
      </c>
      <c r="BG279" s="385">
        <f>DataUK3!BS126</f>
        <v>5.5848103541346901E-2</v>
      </c>
    </row>
    <row r="280" spans="1:59" s="87" customFormat="1">
      <c r="A280" s="79">
        <v>1969</v>
      </c>
      <c r="B280" s="1540">
        <f>DataUK1!B128</f>
        <v>43217</v>
      </c>
      <c r="C280" s="1162">
        <v>1458</v>
      </c>
      <c r="D280" s="959"/>
      <c r="E280" s="959"/>
      <c r="F280" s="959"/>
      <c r="G280" s="1547"/>
      <c r="H280" s="1145">
        <v>33984</v>
      </c>
      <c r="I280" s="29"/>
      <c r="J280" s="519"/>
      <c r="K280" s="981"/>
      <c r="L280" s="981"/>
      <c r="M280" s="981"/>
      <c r="N280" s="29">
        <v>0.72489999999999999</v>
      </c>
      <c r="O280" s="111">
        <v>29472</v>
      </c>
      <c r="P280" s="29">
        <f t="shared" si="173"/>
        <v>0.86723163841807904</v>
      </c>
      <c r="Q280" s="1031"/>
      <c r="R280" s="519"/>
      <c r="S280" s="519"/>
      <c r="T280" s="1559"/>
      <c r="U280" s="1162">
        <v>15267</v>
      </c>
      <c r="V280" s="111"/>
      <c r="W280" s="111"/>
      <c r="X280" s="598"/>
      <c r="Y280" s="598"/>
      <c r="Z280" s="1428"/>
      <c r="AA280" s="977"/>
      <c r="AB280" s="111">
        <f t="shared" si="180"/>
        <v>905</v>
      </c>
      <c r="AC280" s="111">
        <f t="shared" si="182"/>
        <v>0</v>
      </c>
      <c r="AD280" s="111"/>
      <c r="AE280" s="111"/>
      <c r="AF280" s="598"/>
      <c r="AG280" s="979"/>
      <c r="AK280" s="964"/>
      <c r="AL280" s="964">
        <f>DataUK1!DK128</f>
        <v>572</v>
      </c>
      <c r="AM280" s="961">
        <f t="shared" si="177"/>
        <v>1.323553231367286E-2</v>
      </c>
      <c r="AN280" s="964"/>
      <c r="AP280" s="1785"/>
      <c r="AQ280" s="832"/>
      <c r="AR280" s="832"/>
      <c r="AS280" s="111"/>
      <c r="AT280" s="111"/>
      <c r="AU280" s="111"/>
      <c r="AV280" s="111">
        <v>68.7</v>
      </c>
      <c r="AW280" s="111"/>
      <c r="AY280" s="111">
        <v>490</v>
      </c>
      <c r="AZ280" s="967">
        <f>AY280-DataUK1!FI128</f>
        <v>0</v>
      </c>
      <c r="BA280" s="111">
        <f t="shared" si="174"/>
        <v>490</v>
      </c>
      <c r="BE280" s="967">
        <f t="shared" si="176"/>
        <v>1056.5</v>
      </c>
      <c r="BF280" s="2133">
        <f t="shared" si="175"/>
        <v>2.4446398408033875E-2</v>
      </c>
      <c r="BG280" s="385">
        <f>DataUK3!BS127</f>
        <v>4.7874456135171412E-2</v>
      </c>
    </row>
    <row r="281" spans="1:59" s="87" customFormat="1">
      <c r="A281" s="79">
        <v>1970</v>
      </c>
      <c r="B281" s="1540">
        <f>DataUK1!B129</f>
        <v>47384</v>
      </c>
      <c r="C281" s="1162">
        <v>1457</v>
      </c>
      <c r="D281" s="959"/>
      <c r="E281" s="959"/>
      <c r="F281" s="959"/>
      <c r="G281" s="1547"/>
      <c r="H281" s="1145">
        <v>33079</v>
      </c>
      <c r="I281" s="29"/>
      <c r="J281" s="519"/>
      <c r="K281" s="981"/>
      <c r="L281" s="981"/>
      <c r="M281" s="981"/>
      <c r="N281" s="29">
        <v>0.64200000000000002</v>
      </c>
      <c r="O281" s="111">
        <v>28509</v>
      </c>
      <c r="P281" s="29">
        <f t="shared" si="173"/>
        <v>0.86184588409564977</v>
      </c>
      <c r="Q281" s="1031"/>
      <c r="R281" s="519"/>
      <c r="S281" s="519"/>
      <c r="T281" s="1559"/>
      <c r="U281" s="1162">
        <v>15842</v>
      </c>
      <c r="V281" s="111"/>
      <c r="W281" s="111"/>
      <c r="X281" s="598"/>
      <c r="Y281" s="598"/>
      <c r="Z281" s="1428"/>
      <c r="AA281" s="977"/>
      <c r="AB281" s="111">
        <f t="shared" si="180"/>
        <v>-363</v>
      </c>
      <c r="AC281" s="111">
        <f t="shared" si="182"/>
        <v>0</v>
      </c>
      <c r="AD281" s="111"/>
      <c r="AE281" s="111"/>
      <c r="AF281" s="598"/>
      <c r="AG281" s="979"/>
      <c r="AK281" s="964"/>
      <c r="AL281" s="964">
        <f>DataUK1!DK129</f>
        <v>635</v>
      </c>
      <c r="AM281" s="961">
        <f t="shared" si="177"/>
        <v>1.340114806685801E-2</v>
      </c>
      <c r="AN281" s="964"/>
      <c r="AP281" s="1785"/>
      <c r="AQ281" s="832"/>
      <c r="AR281" s="832"/>
      <c r="AS281" s="111"/>
      <c r="AT281" s="111"/>
      <c r="AU281" s="111"/>
      <c r="AV281" s="111">
        <v>73.099999999999994</v>
      </c>
      <c r="AW281" s="111"/>
      <c r="AY281" s="111">
        <v>819</v>
      </c>
      <c r="AZ281" s="967">
        <f>AY281-DataUK1!FI129</f>
        <v>0</v>
      </c>
      <c r="BA281" s="111">
        <f t="shared" si="174"/>
        <v>819</v>
      </c>
      <c r="BE281" s="967">
        <f t="shared" si="176"/>
        <v>1546.5</v>
      </c>
      <c r="BF281" s="2133">
        <f t="shared" si="175"/>
        <v>3.2637599189599867E-2</v>
      </c>
      <c r="BG281" s="385">
        <f>DataUK3!BS128</f>
        <v>4.0872726430901563E-2</v>
      </c>
    </row>
    <row r="282" spans="1:59" s="87" customFormat="1">
      <c r="A282" s="79">
        <v>1971</v>
      </c>
      <c r="B282" s="1540">
        <f>DataUK1!B130</f>
        <v>51948</v>
      </c>
      <c r="C282" s="1162">
        <v>1643</v>
      </c>
      <c r="D282" s="959"/>
      <c r="E282" s="959"/>
      <c r="F282" s="959"/>
      <c r="G282" s="1547"/>
      <c r="H282" s="1145">
        <v>33442</v>
      </c>
      <c r="I282" s="29"/>
      <c r="J282" s="519"/>
      <c r="K282" s="981"/>
      <c r="L282" s="981"/>
      <c r="M282" s="981"/>
      <c r="N282" s="29">
        <v>0.58189999999999997</v>
      </c>
      <c r="O282" s="111">
        <v>27745</v>
      </c>
      <c r="P282" s="29">
        <f t="shared" si="173"/>
        <v>0.82964535613898693</v>
      </c>
      <c r="Q282" s="1031"/>
      <c r="R282" s="519"/>
      <c r="S282" s="519"/>
      <c r="T282" s="1559"/>
      <c r="U282" s="1162">
        <v>16932</v>
      </c>
      <c r="V282" s="111"/>
      <c r="W282" s="111"/>
      <c r="X282" s="598"/>
      <c r="Y282" s="598"/>
      <c r="Z282" s="1428"/>
      <c r="AA282" s="977"/>
      <c r="AB282" s="111">
        <f t="shared" si="180"/>
        <v>-2398</v>
      </c>
      <c r="AC282" s="111">
        <f t="shared" si="182"/>
        <v>0</v>
      </c>
      <c r="AD282" s="111"/>
      <c r="AE282" s="111"/>
      <c r="AF282" s="598"/>
      <c r="AG282" s="979"/>
      <c r="AK282" s="964"/>
      <c r="AL282" s="964">
        <f>DataUK1!DK130</f>
        <v>732</v>
      </c>
      <c r="AM282" s="961">
        <f t="shared" si="177"/>
        <v>1.4091014091014091E-2</v>
      </c>
      <c r="AN282" s="964"/>
      <c r="AP282" s="1785"/>
      <c r="AQ282" s="832"/>
      <c r="AR282" s="832"/>
      <c r="AS282" s="111"/>
      <c r="AT282" s="111"/>
      <c r="AU282" s="111"/>
      <c r="AV282" s="111">
        <v>80</v>
      </c>
      <c r="AW282" s="111"/>
      <c r="AY282" s="111">
        <v>1123</v>
      </c>
      <c r="AZ282" s="967">
        <f>AY282-DataUK1!FI130</f>
        <v>0</v>
      </c>
      <c r="BA282" s="111">
        <f t="shared" si="174"/>
        <v>1123</v>
      </c>
      <c r="BE282" s="967">
        <f t="shared" si="176"/>
        <v>2365.5</v>
      </c>
      <c r="BF282" s="2133">
        <f t="shared" si="175"/>
        <v>4.5535920535920538E-2</v>
      </c>
      <c r="BG282" s="385">
        <f>DataUK3!BS129</f>
        <v>5.0006928062183854E-2</v>
      </c>
    </row>
    <row r="283" spans="1:59" s="87" customFormat="1">
      <c r="A283" s="79">
        <v>1972</v>
      </c>
      <c r="B283" s="1540">
        <f>DataUK1!B131</f>
        <v>58063</v>
      </c>
      <c r="C283" s="1162">
        <v>1879</v>
      </c>
      <c r="D283" s="959"/>
      <c r="E283" s="959"/>
      <c r="F283" s="959"/>
      <c r="G283" s="1547"/>
      <c r="H283" s="1145">
        <v>35840</v>
      </c>
      <c r="I283" s="29"/>
      <c r="J283" s="519"/>
      <c r="K283" s="981"/>
      <c r="L283" s="981"/>
      <c r="M283" s="981"/>
      <c r="N283" s="29">
        <v>0.55700000000000005</v>
      </c>
      <c r="O283" s="111">
        <v>32545</v>
      </c>
      <c r="P283" s="29">
        <f t="shared" si="173"/>
        <v>0.9080636160714286</v>
      </c>
      <c r="Q283" s="1031"/>
      <c r="R283" s="519"/>
      <c r="S283" s="519"/>
      <c r="T283" s="1559"/>
      <c r="U283" s="1162">
        <v>17178</v>
      </c>
      <c r="V283" s="111"/>
      <c r="W283" s="111"/>
      <c r="X283" s="598"/>
      <c r="Y283" s="598"/>
      <c r="Z283" s="1428"/>
      <c r="AA283" s="977"/>
      <c r="AB283" s="111">
        <f t="shared" si="180"/>
        <v>-1045</v>
      </c>
      <c r="AC283" s="111">
        <f t="shared" si="182"/>
        <v>0</v>
      </c>
      <c r="AD283" s="111"/>
      <c r="AE283" s="111"/>
      <c r="AF283" s="598"/>
      <c r="AG283" s="979"/>
      <c r="AK283" s="964"/>
      <c r="AL283" s="964">
        <f>DataUK1!DK131</f>
        <v>854</v>
      </c>
      <c r="AM283" s="961">
        <f t="shared" si="177"/>
        <v>1.4708161824225411E-2</v>
      </c>
      <c r="AN283" s="964"/>
      <c r="AP283" s="1785"/>
      <c r="AQ283" s="832"/>
      <c r="AR283" s="832"/>
      <c r="AS283" s="111"/>
      <c r="AT283" s="111"/>
      <c r="AU283" s="111"/>
      <c r="AV283" s="111">
        <v>85.7</v>
      </c>
      <c r="AW283" s="111"/>
      <c r="AY283" s="111">
        <v>142</v>
      </c>
      <c r="AZ283" s="967">
        <f>AY283-DataUK1!FI131</f>
        <v>0</v>
      </c>
      <c r="BA283" s="111">
        <f t="shared" si="174"/>
        <v>142</v>
      </c>
      <c r="BE283" s="967">
        <f t="shared" si="176"/>
        <v>3488.5</v>
      </c>
      <c r="BF283" s="2133">
        <f t="shared" si="175"/>
        <v>6.0081291011487521E-2</v>
      </c>
      <c r="BG283" s="385">
        <f>DataUK3!BS130</f>
        <v>6.5684742498965762E-2</v>
      </c>
    </row>
    <row r="284" spans="1:59" s="87" customFormat="1">
      <c r="A284" s="79">
        <v>1973</v>
      </c>
      <c r="B284" s="1540">
        <f>DataUK1!B132</f>
        <v>67056</v>
      </c>
      <c r="C284" s="1162">
        <v>2340</v>
      </c>
      <c r="D284" s="959"/>
      <c r="E284" s="959"/>
      <c r="F284" s="959"/>
      <c r="G284" s="1547"/>
      <c r="H284" s="1145">
        <v>36885</v>
      </c>
      <c r="I284" s="29"/>
      <c r="J284" s="519"/>
      <c r="K284" s="981"/>
      <c r="L284" s="981"/>
      <c r="M284" s="981"/>
      <c r="N284" s="29">
        <v>0.49829999999999997</v>
      </c>
      <c r="O284" s="111">
        <v>31606</v>
      </c>
      <c r="P284" s="29">
        <f t="shared" si="173"/>
        <v>0.85687949030771315</v>
      </c>
      <c r="Q284" s="1031"/>
      <c r="R284" s="519"/>
      <c r="S284" s="519"/>
      <c r="T284" s="1559"/>
      <c r="U284" s="1162">
        <v>18226</v>
      </c>
      <c r="V284" s="111"/>
      <c r="W284" s="111"/>
      <c r="X284" s="598"/>
      <c r="Y284" s="598"/>
      <c r="Z284" s="1428"/>
      <c r="AA284" s="977"/>
      <c r="AB284" s="111">
        <f t="shared" si="180"/>
        <v>-3572</v>
      </c>
      <c r="AC284" s="111">
        <f t="shared" si="182"/>
        <v>0</v>
      </c>
      <c r="AD284" s="111"/>
      <c r="AE284" s="111"/>
      <c r="AF284" s="598"/>
      <c r="AG284" s="979"/>
      <c r="AK284" s="964"/>
      <c r="AL284" s="964">
        <f>DataUK1!DK132</f>
        <v>1027</v>
      </c>
      <c r="AM284" s="961">
        <f t="shared" si="177"/>
        <v>1.5315557146265807E-2</v>
      </c>
      <c r="AN284" s="964"/>
      <c r="AP284" s="1785"/>
      <c r="AQ284" s="832"/>
      <c r="AR284" s="832"/>
      <c r="AS284" s="111"/>
      <c r="AT284" s="111"/>
      <c r="AU284" s="111"/>
      <c r="AV284" s="111">
        <v>93.5</v>
      </c>
      <c r="AW284" s="111"/>
      <c r="AY284" s="111">
        <v>-1100</v>
      </c>
      <c r="AZ284" s="967">
        <f>AY284-DataUK1!FI132</f>
        <v>0</v>
      </c>
      <c r="BA284" s="111">
        <f t="shared" si="174"/>
        <v>-1100</v>
      </c>
      <c r="BE284" s="967">
        <f t="shared" si="176"/>
        <v>3630.5</v>
      </c>
      <c r="BF284" s="2133">
        <f t="shared" si="175"/>
        <v>5.4141314722023381E-2</v>
      </c>
      <c r="BG284" s="385">
        <f>DataUK3!BS131</f>
        <v>8.2295258810670874E-2</v>
      </c>
    </row>
    <row r="285" spans="1:59" s="87" customFormat="1">
      <c r="A285" s="79">
        <v>1974</v>
      </c>
      <c r="B285" s="1540">
        <f>DataUK1!B133</f>
        <v>74314</v>
      </c>
      <c r="C285" s="1162">
        <v>2858</v>
      </c>
      <c r="D285" s="959"/>
      <c r="E285" s="959"/>
      <c r="F285" s="959"/>
      <c r="G285" s="1547"/>
      <c r="H285" s="1145">
        <v>40457</v>
      </c>
      <c r="I285" s="29"/>
      <c r="J285" s="519"/>
      <c r="K285" s="981"/>
      <c r="L285" s="981"/>
      <c r="M285" s="981"/>
      <c r="N285" s="29">
        <v>0.48280000000000001</v>
      </c>
      <c r="O285" s="111">
        <v>33044</v>
      </c>
      <c r="P285" s="29">
        <f t="shared" si="173"/>
        <v>0.81676842079244627</v>
      </c>
      <c r="Q285" s="1031"/>
      <c r="R285" s="519"/>
      <c r="S285" s="519"/>
      <c r="T285" s="1559"/>
      <c r="U285" s="1162">
        <v>23570</v>
      </c>
      <c r="V285" s="111"/>
      <c r="W285" s="111"/>
      <c r="X285" s="598"/>
      <c r="Y285" s="598"/>
      <c r="Z285" s="1428"/>
      <c r="AA285" s="977"/>
      <c r="AB285" s="111">
        <f t="shared" si="180"/>
        <v>-5947</v>
      </c>
      <c r="AC285" s="111">
        <f t="shared" si="182"/>
        <v>0</v>
      </c>
      <c r="AD285" s="111"/>
      <c r="AE285" s="111"/>
      <c r="AF285" s="598"/>
      <c r="AG285" s="979"/>
      <c r="AK285" s="964"/>
      <c r="AL285" s="964">
        <f>DataUK1!DK133</f>
        <v>1227</v>
      </c>
      <c r="AM285" s="961">
        <f t="shared" si="177"/>
        <v>1.6511020803617084E-2</v>
      </c>
      <c r="AN285" s="964"/>
      <c r="AP285" s="1785"/>
      <c r="AQ285" s="832"/>
      <c r="AR285" s="832"/>
      <c r="AS285" s="111"/>
      <c r="AT285" s="111"/>
      <c r="AU285" s="111"/>
      <c r="AV285" s="111">
        <v>108.5</v>
      </c>
      <c r="AW285" s="111"/>
      <c r="AY285" s="111">
        <v>-3333</v>
      </c>
      <c r="AZ285" s="967">
        <f>AY285-DataUK1!FI133</f>
        <v>0</v>
      </c>
      <c r="BA285" s="111">
        <f t="shared" si="174"/>
        <v>-3333</v>
      </c>
      <c r="BE285" s="967">
        <f t="shared" si="176"/>
        <v>2530.5</v>
      </c>
      <c r="BF285" s="2133">
        <f t="shared" si="175"/>
        <v>3.4051457329709073E-2</v>
      </c>
      <c r="BG285" s="385">
        <f>DataUK3!BS132</f>
        <v>0.11035552374135052</v>
      </c>
    </row>
    <row r="286" spans="1:59" s="87" customFormat="1">
      <c r="A286" s="79">
        <v>1975</v>
      </c>
      <c r="B286" s="1540">
        <f>DataUK1!B134</f>
        <v>93095</v>
      </c>
      <c r="C286" s="1162">
        <v>3560</v>
      </c>
      <c r="D286" s="959"/>
      <c r="E286" s="959"/>
      <c r="F286" s="959"/>
      <c r="G286" s="1547"/>
      <c r="H286" s="1145">
        <v>46404</v>
      </c>
      <c r="I286" s="29"/>
      <c r="J286" s="519"/>
      <c r="K286" s="981"/>
      <c r="L286" s="981"/>
      <c r="M286" s="981"/>
      <c r="N286" s="29">
        <v>0.43829999999999997</v>
      </c>
      <c r="O286" s="111">
        <v>33997</v>
      </c>
      <c r="P286" s="29">
        <f t="shared" si="173"/>
        <v>0.73263080768899236</v>
      </c>
      <c r="Q286" s="1031"/>
      <c r="R286" s="519"/>
      <c r="S286" s="519"/>
      <c r="T286" s="1559"/>
      <c r="U286" s="1162">
        <v>29417</v>
      </c>
      <c r="V286" s="111"/>
      <c r="W286" s="111"/>
      <c r="X286" s="598"/>
      <c r="Y286" s="598"/>
      <c r="Z286" s="1428"/>
      <c r="AA286" s="977"/>
      <c r="AB286" s="111">
        <f t="shared" si="180"/>
        <v>-10181</v>
      </c>
      <c r="AC286" s="111">
        <f t="shared" si="182"/>
        <v>0</v>
      </c>
      <c r="AD286" s="111"/>
      <c r="AE286" s="111"/>
      <c r="AF286" s="598"/>
      <c r="AG286" s="979"/>
      <c r="AK286" s="964"/>
      <c r="AL286" s="964">
        <f>DataUK1!DK134</f>
        <v>1540</v>
      </c>
      <c r="AM286" s="961">
        <f t="shared" si="177"/>
        <v>1.6542241796014823E-2</v>
      </c>
      <c r="AN286" s="964"/>
      <c r="AP286" s="1785"/>
      <c r="AQ286" s="832"/>
      <c r="AR286" s="832"/>
      <c r="AS286" s="111"/>
      <c r="AT286" s="111"/>
      <c r="AU286" s="111"/>
      <c r="AV286" s="111">
        <v>134.80000000000001</v>
      </c>
      <c r="AW286" s="111"/>
      <c r="AY286" s="111">
        <v>-1695</v>
      </c>
      <c r="AZ286" s="967">
        <f>AY286-DataUK1!FI134</f>
        <v>0</v>
      </c>
      <c r="BA286" s="111">
        <f t="shared" si="174"/>
        <v>-1695</v>
      </c>
      <c r="BE286" s="967">
        <f t="shared" si="176"/>
        <v>-802.5</v>
      </c>
      <c r="BF286" s="2133">
        <f t="shared" si="175"/>
        <v>-8.6202266501960358E-3</v>
      </c>
      <c r="BG286" s="385">
        <f>DataUK3!BS133</f>
        <v>0.10075040739835117</v>
      </c>
    </row>
    <row r="287" spans="1:59" s="87" customFormat="1">
      <c r="A287" s="79">
        <v>1976</v>
      </c>
      <c r="B287" s="1540">
        <f>DataUK1!B135</f>
        <v>109462</v>
      </c>
      <c r="C287" s="1162">
        <v>4534</v>
      </c>
      <c r="D287" s="959"/>
      <c r="E287" s="959"/>
      <c r="F287" s="959"/>
      <c r="G287" s="1547"/>
      <c r="H287" s="1145">
        <v>56585</v>
      </c>
      <c r="I287" s="29"/>
      <c r="J287" s="519"/>
      <c r="K287" s="981"/>
      <c r="L287" s="981"/>
      <c r="M287" s="981"/>
      <c r="N287" s="29">
        <v>0.45189999999999997</v>
      </c>
      <c r="O287" s="111">
        <v>43440</v>
      </c>
      <c r="P287" s="29">
        <f t="shared" si="173"/>
        <v>0.76769461871520717</v>
      </c>
      <c r="Q287" s="1031"/>
      <c r="R287" s="519"/>
      <c r="S287" s="519"/>
      <c r="T287" s="1559"/>
      <c r="U287" s="1162">
        <v>33778</v>
      </c>
      <c r="V287" s="111"/>
      <c r="W287" s="111"/>
      <c r="X287" s="598"/>
      <c r="Y287" s="598"/>
      <c r="Z287" s="1428"/>
      <c r="AA287" s="977"/>
      <c r="AB287" s="111">
        <f t="shared" si="180"/>
        <v>-10581</v>
      </c>
      <c r="AC287" s="111">
        <f t="shared" si="182"/>
        <v>0</v>
      </c>
      <c r="AD287" s="111"/>
      <c r="AE287" s="111"/>
      <c r="AF287" s="598"/>
      <c r="AG287" s="979"/>
      <c r="AK287" s="964"/>
      <c r="AL287" s="964">
        <f>DataUK1!DK135</f>
        <v>1823</v>
      </c>
      <c r="AM287" s="961">
        <f t="shared" si="177"/>
        <v>1.6654181359741279E-2</v>
      </c>
      <c r="AN287" s="964"/>
      <c r="AP287" s="1785"/>
      <c r="AQ287" s="832"/>
      <c r="AR287" s="832"/>
      <c r="AS287" s="111"/>
      <c r="AT287" s="111"/>
      <c r="AU287" s="111"/>
      <c r="AV287" s="111">
        <v>157.1</v>
      </c>
      <c r="AW287" s="111"/>
      <c r="AY287" s="111">
        <v>-972</v>
      </c>
      <c r="AZ287" s="967">
        <f>AY287-DataUK1!FI135</f>
        <v>0</v>
      </c>
      <c r="BA287" s="111">
        <f t="shared" si="174"/>
        <v>-972</v>
      </c>
      <c r="BE287" s="967">
        <f t="shared" si="176"/>
        <v>-2497.5</v>
      </c>
      <c r="BF287" s="2133">
        <f t="shared" si="175"/>
        <v>-2.281613710694122E-2</v>
      </c>
      <c r="BG287" s="385">
        <f>DataUK3!BS134</f>
        <v>6.4117591244468725E-2</v>
      </c>
    </row>
    <row r="288" spans="1:59" s="87" customFormat="1">
      <c r="A288" s="79">
        <v>1977</v>
      </c>
      <c r="B288" s="1540">
        <f>DataUK1!B136</f>
        <v>126637</v>
      </c>
      <c r="C288" s="1162">
        <v>5192</v>
      </c>
      <c r="D288" s="959"/>
      <c r="E288" s="959"/>
      <c r="F288" s="959"/>
      <c r="G288" s="1547"/>
      <c r="H288" s="1145">
        <v>67166</v>
      </c>
      <c r="I288" s="29"/>
      <c r="J288" s="519"/>
      <c r="K288" s="981"/>
      <c r="L288" s="981"/>
      <c r="M288" s="981"/>
      <c r="N288" s="29">
        <v>0.46110000000000001</v>
      </c>
      <c r="O288" s="111">
        <v>50555</v>
      </c>
      <c r="P288" s="29">
        <f t="shared" si="173"/>
        <v>0.75268737158681476</v>
      </c>
      <c r="Q288" s="1031"/>
      <c r="R288" s="519"/>
      <c r="S288" s="519"/>
      <c r="T288" s="1559"/>
      <c r="U288" s="1162">
        <v>38773</v>
      </c>
      <c r="V288" s="111"/>
      <c r="W288" s="111"/>
      <c r="X288" s="598"/>
      <c r="Y288" s="598"/>
      <c r="Z288" s="1428"/>
      <c r="AA288" s="977"/>
      <c r="AB288" s="111">
        <f t="shared" si="180"/>
        <v>-12014</v>
      </c>
      <c r="AC288" s="111">
        <f t="shared" si="182"/>
        <v>0</v>
      </c>
      <c r="AD288" s="111"/>
      <c r="AE288" s="111"/>
      <c r="AF288" s="598"/>
      <c r="AG288" s="979"/>
      <c r="AK288" s="964"/>
      <c r="AL288" s="964">
        <f>DataUK1!DK136</f>
        <v>2059</v>
      </c>
      <c r="AM288" s="961">
        <f t="shared" si="177"/>
        <v>1.6259071203518719E-2</v>
      </c>
      <c r="AN288" s="964"/>
      <c r="AP288" s="1785"/>
      <c r="AQ288" s="832"/>
      <c r="AR288" s="832"/>
      <c r="AS288" s="111"/>
      <c r="AT288" s="111"/>
      <c r="AU288" s="111"/>
      <c r="AV288" s="111">
        <v>182</v>
      </c>
      <c r="AW288" s="111"/>
      <c r="AY288" s="111">
        <v>-286</v>
      </c>
      <c r="AZ288" s="967">
        <f>AY288-DataUK1!FI136</f>
        <v>0</v>
      </c>
      <c r="BA288" s="111">
        <f t="shared" si="174"/>
        <v>-286</v>
      </c>
      <c r="BE288" s="967">
        <f t="shared" si="176"/>
        <v>-3469.5</v>
      </c>
      <c r="BF288" s="2133">
        <f t="shared" si="175"/>
        <v>-2.739720618776503E-2</v>
      </c>
      <c r="BG288" s="385">
        <f>DataUK3!BS135</f>
        <v>4.8066771240911202E-2</v>
      </c>
    </row>
    <row r="289" spans="1:59" s="87" customFormat="1">
      <c r="A289" s="79">
        <v>1978</v>
      </c>
      <c r="B289" s="1540">
        <f>DataUK1!B137</f>
        <v>144741</v>
      </c>
      <c r="C289" s="1162">
        <v>6458</v>
      </c>
      <c r="D289" s="959"/>
      <c r="E289" s="959"/>
      <c r="F289" s="959"/>
      <c r="G289" s="1547"/>
      <c r="H289" s="1145">
        <v>79180</v>
      </c>
      <c r="I289" s="29"/>
      <c r="J289" s="519"/>
      <c r="K289" s="981"/>
      <c r="L289" s="981"/>
      <c r="M289" s="981"/>
      <c r="N289" s="29">
        <v>0.47159999999999996</v>
      </c>
      <c r="O289" s="111">
        <v>71454</v>
      </c>
      <c r="P289" s="29">
        <f t="shared" si="173"/>
        <v>0.90242485476130341</v>
      </c>
      <c r="Q289" s="1031"/>
      <c r="R289" s="519"/>
      <c r="S289" s="519"/>
      <c r="T289" s="1559"/>
      <c r="U289" s="1162">
        <v>43088</v>
      </c>
      <c r="V289" s="111"/>
      <c r="W289" s="111"/>
      <c r="X289" s="598"/>
      <c r="Y289" s="598"/>
      <c r="Z289" s="1428"/>
      <c r="AA289" s="977"/>
      <c r="AB289" s="111">
        <f t="shared" si="180"/>
        <v>-7705</v>
      </c>
      <c r="AC289" s="111">
        <f t="shared" si="182"/>
        <v>0</v>
      </c>
      <c r="AD289" s="111"/>
      <c r="AE289" s="111"/>
      <c r="AF289" s="598"/>
      <c r="AG289" s="979"/>
      <c r="AK289" s="964"/>
      <c r="AL289" s="964">
        <f>DataUK1!DK137</f>
        <v>2342</v>
      </c>
      <c r="AM289" s="961">
        <f t="shared" si="177"/>
        <v>1.61806260838325E-2</v>
      </c>
      <c r="AN289" s="964"/>
      <c r="AP289" s="1785"/>
      <c r="AQ289" s="832"/>
      <c r="AR289" s="832"/>
      <c r="AS289" s="111"/>
      <c r="AT289" s="111"/>
      <c r="AU289" s="111"/>
      <c r="AV289" s="111">
        <v>197.1</v>
      </c>
      <c r="AW289" s="111"/>
      <c r="AY289" s="111">
        <v>821</v>
      </c>
      <c r="AZ289" s="967">
        <f>AY289-DataUK1!FI137</f>
        <v>0</v>
      </c>
      <c r="BA289" s="111">
        <f t="shared" si="174"/>
        <v>821</v>
      </c>
      <c r="BE289" s="967">
        <f t="shared" si="176"/>
        <v>-3755.5</v>
      </c>
      <c r="BF289" s="2133">
        <f t="shared" si="175"/>
        <v>-2.5946345541346266E-2</v>
      </c>
      <c r="BG289" s="385">
        <f>DataUK3!BS136</f>
        <v>4.0457516763782557E-2</v>
      </c>
    </row>
    <row r="290" spans="1:59" s="87" customFormat="1">
      <c r="A290" s="79">
        <v>1979</v>
      </c>
      <c r="B290" s="1540">
        <f>DataUK1!B138</f>
        <v>168817</v>
      </c>
      <c r="C290" s="1548">
        <v>8400</v>
      </c>
      <c r="D290" s="959"/>
      <c r="E290" s="959"/>
      <c r="F290" s="959"/>
      <c r="G290" s="1547"/>
      <c r="H290" s="1145">
        <v>86885</v>
      </c>
      <c r="I290" s="29"/>
      <c r="J290" s="519"/>
      <c r="K290" s="981"/>
      <c r="L290" s="981"/>
      <c r="M290" s="981"/>
      <c r="N290" s="29">
        <v>0.44009999999999999</v>
      </c>
      <c r="O290" s="111">
        <v>72819</v>
      </c>
      <c r="P290" s="29">
        <f t="shared" si="173"/>
        <v>0.83810784370144442</v>
      </c>
      <c r="Q290" s="1031"/>
      <c r="R290" s="519"/>
      <c r="S290" s="519"/>
      <c r="T290" s="1559"/>
      <c r="U290" s="1162">
        <v>54332</v>
      </c>
      <c r="V290" s="111"/>
      <c r="W290" s="111"/>
      <c r="X290" s="598"/>
      <c r="Y290" s="598"/>
      <c r="Z290" s="1428"/>
      <c r="AA290" s="977"/>
      <c r="AB290" s="111">
        <f t="shared" si="180"/>
        <v>-8429</v>
      </c>
      <c r="AC290" s="111">
        <f t="shared" si="182"/>
        <v>0</v>
      </c>
      <c r="AD290" s="111"/>
      <c r="AE290" s="111"/>
      <c r="AF290" s="598"/>
      <c r="AG290" s="979"/>
      <c r="AK290" s="964"/>
      <c r="AL290" s="964">
        <f>DataUK1!DK138</f>
        <v>2785</v>
      </c>
      <c r="AM290" s="961">
        <f t="shared" si="177"/>
        <v>1.6497153722670112E-2</v>
      </c>
      <c r="AN290" s="964"/>
      <c r="AP290" s="1785"/>
      <c r="AQ290" s="832"/>
      <c r="AR290" s="832"/>
      <c r="AS290" s="111"/>
      <c r="AT290" s="111"/>
      <c r="AU290" s="111"/>
      <c r="AV290" s="111">
        <v>223.5</v>
      </c>
      <c r="AW290" s="111"/>
      <c r="AY290" s="111">
        <v>-1002</v>
      </c>
      <c r="AZ290" s="967">
        <f>AY290-DataUK1!FI138</f>
        <v>0</v>
      </c>
      <c r="BA290" s="111">
        <f t="shared" si="174"/>
        <v>-1002</v>
      </c>
      <c r="BE290" s="967">
        <f t="shared" si="176"/>
        <v>-2934.5</v>
      </c>
      <c r="BF290" s="2133">
        <f t="shared" si="175"/>
        <v>-1.7382728042791899E-2</v>
      </c>
      <c r="BG290" s="385">
        <f>DataUK3!BS137</f>
        <v>3.6358000747482279E-2</v>
      </c>
    </row>
    <row r="291" spans="1:59" s="87" customFormat="1">
      <c r="A291" s="79">
        <v>1980</v>
      </c>
      <c r="B291" s="1540">
        <f>DataUK1!B139</f>
        <v>197198.00000000003</v>
      </c>
      <c r="C291" s="1162"/>
      <c r="D291" s="959"/>
      <c r="E291" s="959"/>
      <c r="F291" s="959"/>
      <c r="G291" s="1547"/>
      <c r="H291" s="1553">
        <v>95314</v>
      </c>
      <c r="I291" s="29"/>
      <c r="J291" s="519"/>
      <c r="K291" s="981"/>
      <c r="L291" s="981"/>
      <c r="M291" s="981"/>
      <c r="N291" s="29">
        <v>0.41299999999999998</v>
      </c>
      <c r="O291" s="111">
        <v>81830</v>
      </c>
      <c r="P291" s="29">
        <f t="shared" si="173"/>
        <v>0.85853075099145981</v>
      </c>
      <c r="Q291" s="1031"/>
      <c r="R291" s="519"/>
      <c r="S291" s="519"/>
      <c r="T291" s="1559"/>
      <c r="U291" s="1126"/>
      <c r="V291" s="598"/>
      <c r="W291" s="598"/>
      <c r="X291" s="598"/>
      <c r="Y291" s="598"/>
      <c r="Z291" s="1428"/>
      <c r="AA291" s="977"/>
      <c r="AB291" s="111">
        <f t="shared" si="180"/>
        <v>-10471</v>
      </c>
      <c r="AC291" s="111">
        <f t="shared" si="182"/>
        <v>0</v>
      </c>
      <c r="AD291" s="111"/>
      <c r="AE291" s="111"/>
      <c r="AF291" s="598"/>
      <c r="AG291" s="979"/>
      <c r="AK291" s="964"/>
      <c r="AL291" s="964">
        <f>DataUK1!DK139</f>
        <v>3433</v>
      </c>
      <c r="AM291" s="961">
        <f t="shared" si="177"/>
        <v>1.7408898670371906E-2</v>
      </c>
      <c r="AN291" s="964"/>
      <c r="AP291" s="1785"/>
      <c r="AQ291" s="832"/>
      <c r="AR291" s="832"/>
      <c r="AS291" s="111"/>
      <c r="AT291" s="111"/>
      <c r="AU291" s="111"/>
      <c r="AV291" s="111">
        <v>263.7</v>
      </c>
      <c r="AW291" s="111"/>
      <c r="AY291" s="111">
        <v>1740</v>
      </c>
      <c r="AZ291" s="967">
        <f>AY291-DataUK1!FI139</f>
        <v>0</v>
      </c>
      <c r="BA291" s="111">
        <f t="shared" si="174"/>
        <v>1740</v>
      </c>
      <c r="BE291" s="967">
        <f t="shared" si="176"/>
        <v>-3936.5</v>
      </c>
      <c r="BF291" s="2133">
        <f t="shared" ref="BF291:BF321" si="187">BE291/B291</f>
        <v>-1.9962170001724153E-2</v>
      </c>
      <c r="BG291" s="385">
        <f>DataUK3!BS138</f>
        <v>4.0211371629469847E-2</v>
      </c>
    </row>
    <row r="292" spans="1:59" s="87" customFormat="1">
      <c r="A292" s="79">
        <v>1981</v>
      </c>
      <c r="B292" s="1540">
        <f>DataUK1!B140</f>
        <v>215914.99999999997</v>
      </c>
      <c r="C292" s="1162"/>
      <c r="D292" s="959"/>
      <c r="E292" s="959"/>
      <c r="F292" s="959"/>
      <c r="G292" s="1547"/>
      <c r="H292" s="1145">
        <v>105785</v>
      </c>
      <c r="I292" s="29"/>
      <c r="J292" s="981"/>
      <c r="K292" s="981"/>
      <c r="L292" s="981"/>
      <c r="M292" s="981"/>
      <c r="N292" s="29">
        <v>0.38789999999999997</v>
      </c>
      <c r="O292" s="111">
        <v>95824</v>
      </c>
      <c r="P292" s="29">
        <f t="shared" si="173"/>
        <v>0.90583731152809943</v>
      </c>
      <c r="Q292" s="1031"/>
      <c r="R292" s="519"/>
      <c r="S292" s="519"/>
      <c r="T292" s="1559"/>
      <c r="U292" s="1564"/>
      <c r="V292" s="111"/>
      <c r="W292" s="111"/>
      <c r="X292" s="598"/>
      <c r="Y292" s="598"/>
      <c r="Z292" s="1428"/>
      <c r="AA292" s="977"/>
      <c r="AB292" s="111">
        <f t="shared" si="180"/>
        <v>-6140</v>
      </c>
      <c r="AC292" s="111">
        <f t="shared" si="182"/>
        <v>0</v>
      </c>
      <c r="AD292" s="111"/>
      <c r="AE292" s="111"/>
      <c r="AF292" s="598"/>
      <c r="AG292" s="979"/>
      <c r="AK292" s="964"/>
      <c r="AL292" s="964">
        <f>DataUK1!DK140</f>
        <v>3848</v>
      </c>
      <c r="AM292" s="961">
        <f t="shared" si="177"/>
        <v>1.7821828034180118E-2</v>
      </c>
      <c r="AN292" s="964"/>
      <c r="AP292" s="1785"/>
      <c r="AQ292" s="832"/>
      <c r="AR292" s="832"/>
      <c r="AS292" s="832"/>
      <c r="AT292" s="832"/>
      <c r="AU292" s="832"/>
      <c r="AV292" s="111">
        <v>295</v>
      </c>
      <c r="AW292" s="832"/>
      <c r="AY292" s="111">
        <v>4846</v>
      </c>
      <c r="AZ292" s="967">
        <f>AY292-DataUK1!FI140</f>
        <v>0</v>
      </c>
      <c r="BA292" s="111">
        <f t="shared" si="174"/>
        <v>4846</v>
      </c>
      <c r="BE292" s="967">
        <f t="shared" ref="BE292:BE321" si="188">BE291+AY291</f>
        <v>-2196.5</v>
      </c>
      <c r="BF292" s="2133">
        <f t="shared" si="187"/>
        <v>-1.0172984739365029E-2</v>
      </c>
      <c r="BG292" s="385">
        <f>DataUK3!BS139</f>
        <v>3.5534626604114057E-2</v>
      </c>
    </row>
    <row r="293" spans="1:59" s="87" customFormat="1">
      <c r="A293" s="79">
        <v>1982</v>
      </c>
      <c r="B293" s="1540">
        <f>DataUK1!B141</f>
        <v>238444</v>
      </c>
      <c r="C293" s="1162"/>
      <c r="D293" s="959"/>
      <c r="E293" s="959"/>
      <c r="F293" s="959"/>
      <c r="G293" s="1547"/>
      <c r="H293" s="1145">
        <v>111925</v>
      </c>
      <c r="I293" s="29"/>
      <c r="J293" s="981"/>
      <c r="K293" s="981"/>
      <c r="L293" s="981"/>
      <c r="M293" s="981"/>
      <c r="N293" s="29">
        <v>0.41049999999999998</v>
      </c>
      <c r="O293" s="111">
        <v>99119</v>
      </c>
      <c r="P293" s="29">
        <f t="shared" si="173"/>
        <v>0.88558409649318737</v>
      </c>
      <c r="Q293" s="1145"/>
      <c r="R293" s="981"/>
      <c r="S293" s="981"/>
      <c r="T293" s="1552"/>
      <c r="U293" s="1564"/>
      <c r="V293" s="111"/>
      <c r="W293" s="111"/>
      <c r="X293" s="598"/>
      <c r="Y293" s="598"/>
      <c r="Z293" s="1428"/>
      <c r="AA293" s="977"/>
      <c r="AB293" s="111">
        <f t="shared" si="180"/>
        <v>-12098</v>
      </c>
      <c r="AC293" s="111">
        <f t="shared" si="182"/>
        <v>0</v>
      </c>
      <c r="AD293" s="111"/>
      <c r="AE293" s="111"/>
      <c r="AF293" s="598"/>
      <c r="AG293" s="979"/>
      <c r="AK293" s="964"/>
      <c r="AL293" s="964">
        <f>DataUK1!DK141</f>
        <v>4024</v>
      </c>
      <c r="AM293" s="961">
        <f t="shared" si="177"/>
        <v>1.6876079918135913E-2</v>
      </c>
      <c r="AN293" s="964"/>
      <c r="AP293" s="1785"/>
      <c r="AQ293" s="832"/>
      <c r="AR293" s="832"/>
      <c r="AS293" s="832"/>
      <c r="AT293" s="832"/>
      <c r="AU293" s="832"/>
      <c r="AV293" s="111">
        <v>320.39999999999998</v>
      </c>
      <c r="AW293" s="832"/>
      <c r="AY293" s="111">
        <v>2233</v>
      </c>
      <c r="AZ293" s="967">
        <f>AY293-DataUK1!FI141</f>
        <v>0</v>
      </c>
      <c r="BA293" s="111">
        <f t="shared" si="174"/>
        <v>2233</v>
      </c>
      <c r="BE293" s="967">
        <f t="shared" si="188"/>
        <v>2649.5</v>
      </c>
      <c r="BF293" s="2133">
        <f t="shared" si="187"/>
        <v>1.1111623693613595E-2</v>
      </c>
      <c r="BG293" s="385">
        <f>DataUK3!BS140</f>
        <v>4.4365138995035747E-2</v>
      </c>
    </row>
    <row r="294" spans="1:59" s="87" customFormat="1">
      <c r="A294" s="79">
        <v>1983</v>
      </c>
      <c r="B294" s="1540">
        <f>DataUK1!B142</f>
        <v>263571</v>
      </c>
      <c r="C294" s="1162"/>
      <c r="D294" s="959"/>
      <c r="E294" s="959"/>
      <c r="F294" s="959"/>
      <c r="G294" s="1547"/>
      <c r="H294" s="1145">
        <v>124023</v>
      </c>
      <c r="I294" s="29"/>
      <c r="J294" s="981"/>
      <c r="K294" s="981"/>
      <c r="L294" s="981"/>
      <c r="M294" s="981"/>
      <c r="N294" s="29">
        <v>0.41320000000000001</v>
      </c>
      <c r="O294" s="111">
        <v>125626</v>
      </c>
      <c r="P294" s="29">
        <f t="shared" si="173"/>
        <v>1.012925021971731</v>
      </c>
      <c r="Q294" s="1145"/>
      <c r="R294" s="981"/>
      <c r="S294" s="981"/>
      <c r="T294" s="1552"/>
      <c r="U294" s="1564"/>
      <c r="V294" s="111"/>
      <c r="W294" s="111"/>
      <c r="X294" s="598"/>
      <c r="Y294" s="598"/>
      <c r="Z294" s="1428"/>
      <c r="AA294" s="977"/>
      <c r="AB294" s="111">
        <f t="shared" si="180"/>
        <v>-13644</v>
      </c>
      <c r="AC294" s="111">
        <f t="shared" si="182"/>
        <v>0</v>
      </c>
      <c r="AD294" s="111"/>
      <c r="AE294" s="111"/>
      <c r="AF294" s="598"/>
      <c r="AG294" s="979"/>
      <c r="AK294" s="964"/>
      <c r="AL294" s="964">
        <f>DataUK1!DK142</f>
        <v>4199</v>
      </c>
      <c r="AM294" s="961">
        <f t="shared" ref="AM294:AM321" si="189">AL294/B294</f>
        <v>1.5931191216029077E-2</v>
      </c>
      <c r="AN294" s="964"/>
      <c r="AP294" s="1785"/>
      <c r="AQ294" s="832"/>
      <c r="AR294" s="832"/>
      <c r="AS294" s="832"/>
      <c r="AT294" s="832"/>
      <c r="AU294" s="832"/>
      <c r="AV294" s="111">
        <v>335.1</v>
      </c>
      <c r="AW294" s="832"/>
      <c r="AY294" s="111">
        <v>1258</v>
      </c>
      <c r="AZ294" s="967">
        <f>AY294-DataUK1!FI142</f>
        <v>0</v>
      </c>
      <c r="BA294" s="111">
        <f t="shared" si="174"/>
        <v>1258</v>
      </c>
      <c r="BE294" s="967">
        <f t="shared" si="188"/>
        <v>4882.5</v>
      </c>
      <c r="BF294" s="2133">
        <f t="shared" si="187"/>
        <v>1.8524420364911164E-2</v>
      </c>
      <c r="BG294" s="385">
        <f>DataUK3!BS141</f>
        <v>6.3955795258335196E-2</v>
      </c>
    </row>
    <row r="295" spans="1:59" s="87" customFormat="1">
      <c r="A295" s="79">
        <v>1984</v>
      </c>
      <c r="B295" s="1540">
        <f>DataUK1!B143</f>
        <v>284327</v>
      </c>
      <c r="C295" s="1162"/>
      <c r="D295" s="959"/>
      <c r="E295" s="959"/>
      <c r="F295" s="959"/>
      <c r="G295" s="1547"/>
      <c r="H295" s="1145">
        <v>137667</v>
      </c>
      <c r="I295" s="29"/>
      <c r="J295" s="981"/>
      <c r="K295" s="981"/>
      <c r="L295" s="981"/>
      <c r="M295" s="981"/>
      <c r="N295" s="29">
        <v>0.40820000000000001</v>
      </c>
      <c r="O295" s="111">
        <v>141171</v>
      </c>
      <c r="P295" s="29">
        <f t="shared" si="173"/>
        <v>1.025452722874763</v>
      </c>
      <c r="Q295" s="1145"/>
      <c r="R295" s="981"/>
      <c r="S295" s="981"/>
      <c r="T295" s="1552"/>
      <c r="U295" s="1564"/>
      <c r="V295" s="111"/>
      <c r="W295" s="111"/>
      <c r="X295" s="598"/>
      <c r="Y295" s="598"/>
      <c r="Z295" s="1428"/>
      <c r="AA295" s="977"/>
      <c r="AB295" s="111">
        <f t="shared" si="180"/>
        <v>-11677</v>
      </c>
      <c r="AC295" s="111">
        <f t="shared" si="182"/>
        <v>0</v>
      </c>
      <c r="AD295" s="111"/>
      <c r="AE295" s="111"/>
      <c r="AF295" s="598"/>
      <c r="AG295" s="979"/>
      <c r="AK295" s="964"/>
      <c r="AL295" s="964">
        <f>DataUK1!DK143</f>
        <v>4397</v>
      </c>
      <c r="AM295" s="961">
        <f t="shared" si="189"/>
        <v>1.5464588308532078E-2</v>
      </c>
      <c r="AN295" s="964"/>
      <c r="AP295" s="1785"/>
      <c r="AQ295" s="832"/>
      <c r="AR295" s="832"/>
      <c r="AS295" s="832"/>
      <c r="AT295" s="832"/>
      <c r="AU295" s="832"/>
      <c r="AV295" s="111">
        <v>351.8</v>
      </c>
      <c r="AW295" s="832"/>
      <c r="AY295" s="111">
        <v>-1294</v>
      </c>
      <c r="AZ295" s="967">
        <f>AY295-DataUK1!FI143</f>
        <v>0</v>
      </c>
      <c r="BA295" s="111">
        <f t="shared" si="174"/>
        <v>-1294</v>
      </c>
      <c r="BE295" s="967">
        <f t="shared" si="188"/>
        <v>6140.5</v>
      </c>
      <c r="BF295" s="2133">
        <f t="shared" si="187"/>
        <v>2.15966123512716E-2</v>
      </c>
      <c r="BG295" s="385">
        <f>DataUK3!BS142</f>
        <v>6.8985367220890395E-2</v>
      </c>
    </row>
    <row r="296" spans="1:59" s="87" customFormat="1">
      <c r="A296" s="79">
        <v>1985</v>
      </c>
      <c r="B296" s="1540">
        <f>DataUK1!B144</f>
        <v>310561</v>
      </c>
      <c r="C296" s="1162"/>
      <c r="D296" s="959"/>
      <c r="E296" s="959"/>
      <c r="F296" s="959"/>
      <c r="G296" s="1547"/>
      <c r="H296" s="1145">
        <v>149344</v>
      </c>
      <c r="I296" s="29"/>
      <c r="J296" s="981"/>
      <c r="K296" s="981"/>
      <c r="L296" s="981"/>
      <c r="M296" s="981"/>
      <c r="N296" s="29">
        <v>0.4042</v>
      </c>
      <c r="O296" s="111">
        <v>153238</v>
      </c>
      <c r="P296" s="29">
        <f t="shared" si="173"/>
        <v>1.0260740304263982</v>
      </c>
      <c r="Q296" s="1145"/>
      <c r="R296" s="981"/>
      <c r="S296" s="981"/>
      <c r="T296" s="1552"/>
      <c r="U296" s="1564"/>
      <c r="V296" s="111"/>
      <c r="W296" s="111"/>
      <c r="X296" s="598"/>
      <c r="Y296" s="598"/>
      <c r="Z296" s="1428"/>
      <c r="AA296" s="977"/>
      <c r="AB296" s="111">
        <f t="shared" si="180"/>
        <v>-16057</v>
      </c>
      <c r="AC296" s="111">
        <f t="shared" si="182"/>
        <v>0</v>
      </c>
      <c r="AD296" s="111"/>
      <c r="AE296" s="111"/>
      <c r="AF296" s="598"/>
      <c r="AG296" s="979"/>
      <c r="AK296" s="964"/>
      <c r="AL296" s="964">
        <f>DataUK1!DK144</f>
        <v>4740</v>
      </c>
      <c r="AM296" s="961">
        <f t="shared" si="189"/>
        <v>1.5262702013453073E-2</v>
      </c>
      <c r="AN296" s="964"/>
      <c r="AP296" s="1785"/>
      <c r="AQ296" s="832"/>
      <c r="AR296" s="832"/>
      <c r="AS296" s="832"/>
      <c r="AT296" s="832"/>
      <c r="AU296" s="832"/>
      <c r="AV296" s="111">
        <v>373.2</v>
      </c>
      <c r="AW296" s="832"/>
      <c r="AY296" s="111">
        <v>-570</v>
      </c>
      <c r="AZ296" s="967">
        <f>AY296-DataUK1!FI144</f>
        <v>0</v>
      </c>
      <c r="BA296" s="111">
        <f t="shared" si="174"/>
        <v>-570</v>
      </c>
      <c r="BE296" s="967">
        <f t="shared" si="188"/>
        <v>4846.5</v>
      </c>
      <c r="BF296" s="2133">
        <f t="shared" si="187"/>
        <v>1.5605629811856607E-2</v>
      </c>
      <c r="BG296" s="385">
        <f>DataUK3!BS143</f>
        <v>7.1560861375470339E-2</v>
      </c>
    </row>
    <row r="297" spans="1:59" s="87" customFormat="1">
      <c r="A297" s="79">
        <v>1986</v>
      </c>
      <c r="B297" s="1540">
        <f>DataUK1!B145</f>
        <v>336109.40399999998</v>
      </c>
      <c r="C297" s="1162"/>
      <c r="D297" s="959"/>
      <c r="E297" s="959"/>
      <c r="F297" s="959"/>
      <c r="G297" s="1547"/>
      <c r="H297" s="1145">
        <v>165401</v>
      </c>
      <c r="I297" s="29"/>
      <c r="J297" s="981"/>
      <c r="K297" s="981"/>
      <c r="L297" s="981"/>
      <c r="M297" s="981"/>
      <c r="N297" s="29">
        <v>0.41119999999999995</v>
      </c>
      <c r="O297" s="111">
        <v>166956</v>
      </c>
      <c r="P297" s="29">
        <f t="shared" si="173"/>
        <v>1.0094013941874596</v>
      </c>
      <c r="Q297" s="1145"/>
      <c r="R297" s="981"/>
      <c r="S297" s="981"/>
      <c r="T297" s="1552"/>
      <c r="U297" s="1564"/>
      <c r="V297" s="111"/>
      <c r="W297" s="111"/>
      <c r="X297" s="598"/>
      <c r="Y297" s="598"/>
      <c r="Z297" s="1428"/>
      <c r="AA297" s="977"/>
      <c r="AB297" s="111">
        <f t="shared" si="180"/>
        <v>-14069</v>
      </c>
      <c r="AC297" s="111">
        <f t="shared" si="182"/>
        <v>0</v>
      </c>
      <c r="AD297" s="111"/>
      <c r="AE297" s="111"/>
      <c r="AF297" s="598"/>
      <c r="AG297" s="979"/>
      <c r="AK297" s="964"/>
      <c r="AL297" s="964">
        <f>DataUK1!DK145</f>
        <v>5120</v>
      </c>
      <c r="AM297" s="961">
        <f t="shared" si="189"/>
        <v>1.5233135220459349E-2</v>
      </c>
      <c r="AN297" s="964"/>
      <c r="AP297" s="1785"/>
      <c r="AQ297" s="832"/>
      <c r="AR297" s="832"/>
      <c r="AS297" s="832"/>
      <c r="AT297" s="832"/>
      <c r="AU297" s="832"/>
      <c r="AV297" s="111">
        <v>385.9</v>
      </c>
      <c r="AW297" s="832"/>
      <c r="AY297" s="111">
        <v>-3614</v>
      </c>
      <c r="AZ297" s="967">
        <f>AY297-DataUK1!FI145</f>
        <v>0</v>
      </c>
      <c r="BA297" s="111">
        <f t="shared" si="174"/>
        <v>-3614</v>
      </c>
      <c r="BE297" s="967">
        <f t="shared" si="188"/>
        <v>4276.5</v>
      </c>
      <c r="BF297" s="2133">
        <f t="shared" si="187"/>
        <v>1.2723535697323126E-2</v>
      </c>
      <c r="BG297" s="385">
        <f>DataUK3!BS144</f>
        <v>6.5334585572026205E-2</v>
      </c>
    </row>
    <row r="298" spans="1:59" s="87" customFormat="1">
      <c r="A298" s="79">
        <v>1987</v>
      </c>
      <c r="B298" s="1540">
        <f>DataUK1!B146</f>
        <v>367609</v>
      </c>
      <c r="C298" s="1162"/>
      <c r="D298" s="959"/>
      <c r="E298" s="959"/>
      <c r="F298" s="959"/>
      <c r="G298" s="1547"/>
      <c r="H298" s="1145">
        <v>179470</v>
      </c>
      <c r="I298" s="29"/>
      <c r="J298" s="981"/>
      <c r="K298" s="981"/>
      <c r="L298" s="981"/>
      <c r="M298" s="981"/>
      <c r="N298" s="29">
        <v>0.38549999999999995</v>
      </c>
      <c r="O298" s="111">
        <v>180113</v>
      </c>
      <c r="P298" s="29">
        <f t="shared" si="173"/>
        <v>1.003582771493843</v>
      </c>
      <c r="Q298" s="1145"/>
      <c r="R298" s="981"/>
      <c r="S298" s="981"/>
      <c r="T298" s="1552"/>
      <c r="U298" s="1564"/>
      <c r="V298" s="111"/>
      <c r="W298" s="111"/>
      <c r="X298" s="598"/>
      <c r="Y298" s="598"/>
      <c r="Z298" s="1428"/>
      <c r="AA298" s="977"/>
      <c r="AB298" s="111">
        <f t="shared" si="180"/>
        <v>-11950</v>
      </c>
      <c r="AC298" s="111">
        <f t="shared" si="182"/>
        <v>0</v>
      </c>
      <c r="AD298" s="111"/>
      <c r="AE298" s="111"/>
      <c r="AF298" s="598"/>
      <c r="AG298" s="979"/>
      <c r="AK298" s="964"/>
      <c r="AL298" s="964">
        <f>DataUK1!DK146</f>
        <v>5448</v>
      </c>
      <c r="AM298" s="961">
        <f t="shared" si="189"/>
        <v>1.4820094176149115E-2</v>
      </c>
      <c r="AN298" s="964"/>
      <c r="AP298" s="1785"/>
      <c r="AQ298" s="832"/>
      <c r="AR298" s="832"/>
      <c r="AS298" s="832"/>
      <c r="AT298" s="832"/>
      <c r="AU298" s="832"/>
      <c r="AV298" s="111">
        <v>402</v>
      </c>
      <c r="AW298" s="832"/>
      <c r="AY298" s="111">
        <v>-7435</v>
      </c>
      <c r="AZ298" s="967">
        <f>AY298-DataUK1!FI146</f>
        <v>0</v>
      </c>
      <c r="BA298" s="111">
        <f t="shared" si="174"/>
        <v>-7435</v>
      </c>
      <c r="BE298" s="967">
        <f t="shared" si="188"/>
        <v>662.5</v>
      </c>
      <c r="BF298" s="2133">
        <f t="shared" si="187"/>
        <v>1.8021865623529347E-3</v>
      </c>
      <c r="BG298" s="385">
        <f>DataUK3!BS145</f>
        <v>6.0726821801004464E-2</v>
      </c>
    </row>
    <row r="299" spans="1:59" s="87" customFormat="1">
      <c r="A299" s="79">
        <v>1988</v>
      </c>
      <c r="B299" s="1540">
        <f>DataUK1!B147</f>
        <v>412472</v>
      </c>
      <c r="C299" s="1162"/>
      <c r="D299" s="959"/>
      <c r="E299" s="959"/>
      <c r="F299" s="959"/>
      <c r="G299" s="1547"/>
      <c r="H299" s="1145">
        <v>191420</v>
      </c>
      <c r="I299" s="29"/>
      <c r="J299" s="981"/>
      <c r="K299" s="981"/>
      <c r="L299" s="981"/>
      <c r="M299" s="981"/>
      <c r="N299" s="29">
        <v>0.35649999999999998</v>
      </c>
      <c r="O299" s="111">
        <v>193378</v>
      </c>
      <c r="P299" s="29">
        <f t="shared" si="173"/>
        <v>1.0102288162156514</v>
      </c>
      <c r="Q299" s="1145"/>
      <c r="R299" s="981"/>
      <c r="S299" s="981"/>
      <c r="T299" s="1552"/>
      <c r="U299" s="1564"/>
      <c r="V299" s="111"/>
      <c r="W299" s="111"/>
      <c r="X299" s="598"/>
      <c r="Y299" s="598"/>
      <c r="Z299" s="1428"/>
      <c r="AA299" s="977"/>
      <c r="AB299" s="111">
        <f t="shared" si="180"/>
        <v>4223</v>
      </c>
      <c r="AC299" s="111">
        <f t="shared" si="182"/>
        <v>0</v>
      </c>
      <c r="AD299" s="111"/>
      <c r="AE299" s="111"/>
      <c r="AF299" s="598"/>
      <c r="AG299" s="979"/>
      <c r="AK299" s="964"/>
      <c r="AL299" s="964">
        <f>DataUK1!DK147</f>
        <v>6038</v>
      </c>
      <c r="AM299" s="961">
        <f t="shared" si="189"/>
        <v>1.4638569405923311E-2</v>
      </c>
      <c r="AN299" s="964"/>
      <c r="AP299" s="1785"/>
      <c r="AQ299" s="832"/>
      <c r="AR299" s="832"/>
      <c r="AS299" s="832"/>
      <c r="AT299" s="832"/>
      <c r="AU299" s="832"/>
      <c r="AV299" s="111">
        <v>421.7</v>
      </c>
      <c r="AW299" s="832"/>
      <c r="AY299" s="111">
        <v>-19710</v>
      </c>
      <c r="AZ299" s="967">
        <f>AY299-DataUK1!FI147</f>
        <v>0</v>
      </c>
      <c r="BA299" s="111">
        <f t="shared" si="174"/>
        <v>-19710</v>
      </c>
      <c r="BE299" s="967">
        <f t="shared" si="188"/>
        <v>-6772.5</v>
      </c>
      <c r="BF299" s="2133">
        <f t="shared" si="187"/>
        <v>-1.6419296340115207E-2</v>
      </c>
      <c r="BG299" s="385">
        <f>DataUK3!BS146</f>
        <v>4.8008645377116591E-2</v>
      </c>
    </row>
    <row r="300" spans="1:59" s="87" customFormat="1">
      <c r="A300" s="79">
        <v>1989</v>
      </c>
      <c r="B300" s="1540">
        <f>DataUK1!B148</f>
        <v>451490</v>
      </c>
      <c r="C300" s="1162"/>
      <c r="D300" s="959"/>
      <c r="E300" s="959"/>
      <c r="F300" s="959"/>
      <c r="G300" s="1547"/>
      <c r="H300" s="1145">
        <v>187197</v>
      </c>
      <c r="I300" s="29"/>
      <c r="J300" s="981"/>
      <c r="K300" s="981"/>
      <c r="L300" s="981"/>
      <c r="M300" s="981"/>
      <c r="N300" s="29">
        <v>0.32369999999999999</v>
      </c>
      <c r="O300" s="111">
        <v>189901</v>
      </c>
      <c r="P300" s="29">
        <f t="shared" si="173"/>
        <v>1.0144446759296357</v>
      </c>
      <c r="Q300" s="1145"/>
      <c r="R300" s="981"/>
      <c r="S300" s="981"/>
      <c r="T300" s="1552"/>
      <c r="U300" s="1564"/>
      <c r="V300" s="111"/>
      <c r="W300" s="111"/>
      <c r="X300" s="598"/>
      <c r="Y300" s="598"/>
      <c r="Z300" s="1428"/>
      <c r="AA300" s="977"/>
      <c r="AB300" s="111">
        <f t="shared" si="180"/>
        <v>6794</v>
      </c>
      <c r="AC300" s="111">
        <f t="shared" si="182"/>
        <v>0</v>
      </c>
      <c r="AD300" s="111"/>
      <c r="AE300" s="111"/>
      <c r="AF300" s="598"/>
      <c r="AG300" s="979"/>
      <c r="AK300" s="964"/>
      <c r="AL300" s="964">
        <f>DataUK1!DK148</f>
        <v>6789</v>
      </c>
      <c r="AM300" s="961">
        <f t="shared" si="189"/>
        <v>1.5036877893198077E-2</v>
      </c>
      <c r="AN300" s="964"/>
      <c r="AP300" s="1785"/>
      <c r="AQ300" s="832"/>
      <c r="AR300" s="832"/>
      <c r="AS300" s="832"/>
      <c r="AT300" s="832"/>
      <c r="AU300" s="832"/>
      <c r="AV300" s="111">
        <v>454.5</v>
      </c>
      <c r="AW300" s="832"/>
      <c r="AY300" s="111">
        <v>-25533</v>
      </c>
      <c r="AZ300" s="967">
        <f>AY300-DataUK1!FI148</f>
        <v>0</v>
      </c>
      <c r="BA300" s="111">
        <f t="shared" si="174"/>
        <v>-25533</v>
      </c>
      <c r="BE300" s="967">
        <f t="shared" si="188"/>
        <v>-26482.5</v>
      </c>
      <c r="BF300" s="2133">
        <f t="shared" si="187"/>
        <v>-5.8655784181266477E-2</v>
      </c>
      <c r="BG300" s="385">
        <f>DataUK3!BS147</f>
        <v>0.11326829457514692</v>
      </c>
    </row>
    <row r="301" spans="1:59" s="87" customFormat="1">
      <c r="A301" s="79">
        <v>1990</v>
      </c>
      <c r="B301" s="1540">
        <f>DataUK1!B149</f>
        <v>485815</v>
      </c>
      <c r="C301" s="1162"/>
      <c r="D301" s="959"/>
      <c r="E301" s="959"/>
      <c r="F301" s="959"/>
      <c r="G301" s="1547"/>
      <c r="H301" s="1145">
        <v>180403</v>
      </c>
      <c r="I301" s="29"/>
      <c r="J301" s="981"/>
      <c r="K301" s="981"/>
      <c r="L301" s="981"/>
      <c r="M301" s="981"/>
      <c r="N301" s="29">
        <v>0.27399999999999997</v>
      </c>
      <c r="O301" s="111">
        <v>180661</v>
      </c>
      <c r="P301" s="29">
        <f t="shared" si="173"/>
        <v>1.0014301314279697</v>
      </c>
      <c r="Q301" s="1145"/>
      <c r="R301" s="981"/>
      <c r="S301" s="981"/>
      <c r="T301" s="1552"/>
      <c r="U301" s="1564"/>
      <c r="V301" s="111"/>
      <c r="W301" s="111"/>
      <c r="X301" s="598"/>
      <c r="Y301" s="598"/>
      <c r="Z301" s="1428"/>
      <c r="AA301" s="977"/>
      <c r="AB301" s="111">
        <f t="shared" si="180"/>
        <v>-1146</v>
      </c>
      <c r="AC301" s="111">
        <f t="shared" si="182"/>
        <v>0</v>
      </c>
      <c r="AD301" s="111"/>
      <c r="AE301" s="111"/>
      <c r="AF301" s="598"/>
      <c r="AG301" s="979"/>
      <c r="AK301" s="964"/>
      <c r="AL301" s="964">
        <f>DataUK1!DK149</f>
        <v>7392</v>
      </c>
      <c r="AM301" s="961">
        <f t="shared" si="189"/>
        <v>1.5215668515793049E-2</v>
      </c>
      <c r="AN301" s="964"/>
      <c r="AP301" s="1785"/>
      <c r="AQ301" s="832"/>
      <c r="AR301" s="832"/>
      <c r="AS301" s="832"/>
      <c r="AT301" s="832"/>
      <c r="AU301" s="832"/>
      <c r="AV301" s="111">
        <v>497.5</v>
      </c>
      <c r="AW301" s="832"/>
      <c r="AY301" s="111">
        <v>-21562</v>
      </c>
      <c r="AZ301" s="967">
        <f>AY301-DataUK1!FI149</f>
        <v>0</v>
      </c>
      <c r="BA301" s="111">
        <f t="shared" si="174"/>
        <v>-21562</v>
      </c>
      <c r="BE301" s="967">
        <f t="shared" si="188"/>
        <v>-52015.5</v>
      </c>
      <c r="BF301" s="2133">
        <f t="shared" si="187"/>
        <v>-0.10706853431861922</v>
      </c>
      <c r="BG301" s="385">
        <f>DataUK3!BS148</f>
        <v>0.10282176792398502</v>
      </c>
    </row>
    <row r="302" spans="1:59" s="87" customFormat="1">
      <c r="A302" s="79">
        <v>1991</v>
      </c>
      <c r="B302" s="1540">
        <f>DataUK1!B150</f>
        <v>508980</v>
      </c>
      <c r="C302" s="1162"/>
      <c r="D302" s="959"/>
      <c r="E302" s="959"/>
      <c r="F302" s="959"/>
      <c r="G302" s="1547"/>
      <c r="H302" s="1145">
        <v>181549</v>
      </c>
      <c r="I302" s="29"/>
      <c r="J302" s="981"/>
      <c r="K302" s="981"/>
      <c r="L302" s="981"/>
      <c r="M302" s="981"/>
      <c r="N302" s="29">
        <v>0.2576</v>
      </c>
      <c r="O302" s="111">
        <v>176185</v>
      </c>
      <c r="P302" s="29">
        <f t="shared" si="173"/>
        <v>0.97045425752827064</v>
      </c>
      <c r="Q302" s="1145"/>
      <c r="R302" s="981"/>
      <c r="S302" s="981"/>
      <c r="T302" s="1552"/>
      <c r="U302" s="1564"/>
      <c r="V302" s="111"/>
      <c r="W302" s="111"/>
      <c r="X302" s="598"/>
      <c r="Y302" s="598"/>
      <c r="Z302" s="1428"/>
      <c r="AA302" s="977"/>
      <c r="AB302" s="111">
        <f t="shared" si="180"/>
        <v>-16448</v>
      </c>
      <c r="AC302" s="111">
        <f t="shared" si="182"/>
        <v>0</v>
      </c>
      <c r="AD302" s="111"/>
      <c r="AE302" s="111"/>
      <c r="AF302" s="598"/>
      <c r="AG302" s="979"/>
      <c r="AK302" s="964"/>
      <c r="AL302" s="964">
        <f>DataUK1!DK150</f>
        <v>7575</v>
      </c>
      <c r="AM302" s="961">
        <f t="shared" si="189"/>
        <v>1.4882706589649889E-2</v>
      </c>
      <c r="AN302" s="964"/>
      <c r="AP302" s="1785"/>
      <c r="AQ302" s="832"/>
      <c r="AR302" s="832"/>
      <c r="AS302" s="832"/>
      <c r="AT302" s="832"/>
      <c r="AU302" s="832"/>
      <c r="AV302" s="111">
        <v>526.70000000000005</v>
      </c>
      <c r="AW302" s="832"/>
      <c r="AY302" s="111">
        <v>-10615</v>
      </c>
      <c r="AZ302" s="967">
        <f>AY302-DataUK1!FI150</f>
        <v>0</v>
      </c>
      <c r="BA302" s="111">
        <f t="shared" si="174"/>
        <v>-10615</v>
      </c>
      <c r="BE302" s="967">
        <f t="shared" si="188"/>
        <v>-73577.5</v>
      </c>
      <c r="BF302" s="2133">
        <f t="shared" si="187"/>
        <v>-0.14455872529372471</v>
      </c>
      <c r="BG302" s="385">
        <f>DataUK3!BS149</f>
        <v>0.11590214382017847</v>
      </c>
    </row>
    <row r="303" spans="1:59" s="87" customFormat="1">
      <c r="A303" s="79">
        <v>1992</v>
      </c>
      <c r="B303" s="1540">
        <f>DataUK1!B151</f>
        <v>534653</v>
      </c>
      <c r="C303" s="1162"/>
      <c r="D303" s="959"/>
      <c r="E303" s="959"/>
      <c r="F303" s="959"/>
      <c r="G303" s="1547"/>
      <c r="H303" s="1145">
        <v>197997</v>
      </c>
      <c r="I303" s="29"/>
      <c r="J303" s="981"/>
      <c r="K303" s="981"/>
      <c r="L303" s="981"/>
      <c r="M303" s="981"/>
      <c r="N303" s="29">
        <v>0.24559999999999998</v>
      </c>
      <c r="O303" s="111">
        <v>190039</v>
      </c>
      <c r="P303" s="29">
        <f t="shared" si="173"/>
        <v>0.95980747183038129</v>
      </c>
      <c r="Q303" s="1145"/>
      <c r="R303" s="981"/>
      <c r="S303" s="981"/>
      <c r="T303" s="1552"/>
      <c r="U303" s="1564"/>
      <c r="V303" s="111"/>
      <c r="W303" s="111"/>
      <c r="X303" s="598"/>
      <c r="Y303" s="598"/>
      <c r="Z303" s="1428"/>
      <c r="AA303" s="977"/>
      <c r="AB303" s="111">
        <f t="shared" si="180"/>
        <v>-41953</v>
      </c>
      <c r="AC303" s="111">
        <f t="shared" si="182"/>
        <v>0</v>
      </c>
      <c r="AD303" s="111"/>
      <c r="AE303" s="111"/>
      <c r="AF303" s="598"/>
      <c r="AG303" s="979"/>
      <c r="AK303" s="964"/>
      <c r="AL303" s="964">
        <f>DataUK1!DK151</f>
        <v>7373</v>
      </c>
      <c r="AM303" s="961">
        <f t="shared" si="189"/>
        <v>1.3790252743368129E-2</v>
      </c>
      <c r="AN303" s="964"/>
      <c r="AP303" s="1785"/>
      <c r="AQ303" s="832"/>
      <c r="AR303" s="832"/>
      <c r="AS303" s="832"/>
      <c r="AT303" s="832"/>
      <c r="AU303" s="832"/>
      <c r="AV303" s="111">
        <v>546.4</v>
      </c>
      <c r="AW303" s="832"/>
      <c r="AY303" s="111">
        <v>-13011</v>
      </c>
      <c r="AZ303" s="967">
        <f>AY303-DataUK1!FI151</f>
        <v>0</v>
      </c>
      <c r="BA303" s="111">
        <f t="shared" si="174"/>
        <v>-13011</v>
      </c>
      <c r="BE303" s="967">
        <f t="shared" si="188"/>
        <v>-84192.5</v>
      </c>
      <c r="BF303" s="2133">
        <f t="shared" si="187"/>
        <v>-0.15747129446575631</v>
      </c>
      <c r="BG303" s="385">
        <f>DataUK3!BS150</f>
        <v>-2.1922275924397817E-2</v>
      </c>
    </row>
    <row r="304" spans="1:59" s="87" customFormat="1">
      <c r="A304" s="79">
        <v>1993</v>
      </c>
      <c r="B304" s="1540">
        <f>DataUK1!B152</f>
        <v>562908</v>
      </c>
      <c r="C304" s="1162"/>
      <c r="D304" s="959"/>
      <c r="E304" s="959"/>
      <c r="F304" s="959"/>
      <c r="G304" s="1547"/>
      <c r="H304" s="1145">
        <v>239950</v>
      </c>
      <c r="I304" s="29"/>
      <c r="J304" s="981"/>
      <c r="K304" s="981"/>
      <c r="L304" s="981"/>
      <c r="M304" s="981"/>
      <c r="N304" s="29">
        <v>0.25690000000000002</v>
      </c>
      <c r="O304" s="111">
        <v>236405</v>
      </c>
      <c r="P304" s="29">
        <f t="shared" si="173"/>
        <v>0.98522608876849349</v>
      </c>
      <c r="Q304" s="1145"/>
      <c r="R304" s="981"/>
      <c r="S304" s="981"/>
      <c r="T304" s="1552"/>
      <c r="U304" s="1564"/>
      <c r="V304" s="111"/>
      <c r="W304" s="111"/>
      <c r="X304" s="598"/>
      <c r="Y304" s="598"/>
      <c r="Z304" s="1428"/>
      <c r="AA304" s="977"/>
      <c r="AB304" s="111">
        <f t="shared" si="180"/>
        <v>-49169</v>
      </c>
      <c r="AC304" s="111">
        <f t="shared" si="182"/>
        <v>0</v>
      </c>
      <c r="AD304" s="111"/>
      <c r="AE304" s="111"/>
      <c r="AF304" s="598"/>
      <c r="AG304" s="979"/>
      <c r="AK304" s="964"/>
      <c r="AL304" s="964">
        <f>DataUK1!DK152</f>
        <v>7520</v>
      </c>
      <c r="AM304" s="961">
        <f t="shared" si="189"/>
        <v>1.3359199016535562E-2</v>
      </c>
      <c r="AN304" s="964"/>
      <c r="AP304" s="1785"/>
      <c r="AQ304" s="832"/>
      <c r="AR304" s="832"/>
      <c r="AS304" s="832"/>
      <c r="AT304" s="832"/>
      <c r="AU304" s="832"/>
      <c r="AV304" s="111">
        <v>555.1</v>
      </c>
      <c r="AW304" s="832"/>
      <c r="AY304" s="111">
        <v>-12460</v>
      </c>
      <c r="AZ304" s="967">
        <f>AY304-DataUK1!FI152</f>
        <v>0</v>
      </c>
      <c r="BA304" s="111">
        <f t="shared" si="174"/>
        <v>-12460</v>
      </c>
      <c r="BE304" s="967">
        <f t="shared" si="188"/>
        <v>-97203.5</v>
      </c>
      <c r="BF304" s="2133">
        <f t="shared" si="187"/>
        <v>-0.17268097095795407</v>
      </c>
      <c r="BG304" s="385">
        <f>DataUK3!BS151</f>
        <v>-3.9221700804072919E-3</v>
      </c>
    </row>
    <row r="305" spans="1:59" s="87" customFormat="1">
      <c r="A305" s="79">
        <v>1994</v>
      </c>
      <c r="B305" s="1540">
        <f>DataUK1!B153</f>
        <v>604632</v>
      </c>
      <c r="C305" s="1162"/>
      <c r="D305" s="959"/>
      <c r="E305" s="959"/>
      <c r="F305" s="959"/>
      <c r="G305" s="1547"/>
      <c r="H305" s="1145">
        <v>289119</v>
      </c>
      <c r="I305" s="29"/>
      <c r="J305" s="981"/>
      <c r="K305" s="981"/>
      <c r="L305" s="981"/>
      <c r="M305" s="981"/>
      <c r="N305" s="29">
        <v>0.40679999999999999</v>
      </c>
      <c r="O305" s="111">
        <v>312502</v>
      </c>
      <c r="P305" s="29">
        <f t="shared" si="173"/>
        <v>1.0808767324181392</v>
      </c>
      <c r="Q305" s="1145"/>
      <c r="R305" s="981"/>
      <c r="S305" s="981"/>
      <c r="T305" s="1552"/>
      <c r="U305" s="1564"/>
      <c r="V305" s="111"/>
      <c r="W305" s="111"/>
      <c r="X305" s="598"/>
      <c r="Y305" s="598"/>
      <c r="Z305" s="1428"/>
      <c r="AA305" s="977"/>
      <c r="AB305" s="111">
        <f t="shared" si="180"/>
        <v>-40944</v>
      </c>
      <c r="AC305" s="111">
        <f t="shared" si="182"/>
        <v>0</v>
      </c>
      <c r="AD305" s="111"/>
      <c r="AE305" s="111"/>
      <c r="AF305" s="598"/>
      <c r="AG305" s="979"/>
      <c r="AK305" s="964"/>
      <c r="AL305" s="964">
        <f>DataUK1!DK153</f>
        <v>7926</v>
      </c>
      <c r="AM305" s="961">
        <f t="shared" si="189"/>
        <v>1.3108800063509705E-2</v>
      </c>
      <c r="AN305" s="964"/>
      <c r="AP305" s="1785"/>
      <c r="AQ305" s="832"/>
      <c r="AR305" s="832"/>
      <c r="AS305" s="832"/>
      <c r="AT305" s="832"/>
      <c r="AU305" s="832"/>
      <c r="AV305" s="111">
        <v>568.5</v>
      </c>
      <c r="AW305" s="832"/>
      <c r="AY305" s="111">
        <v>-6801</v>
      </c>
      <c r="AZ305" s="967">
        <f>AY305-DataUK1!FI153</f>
        <v>0</v>
      </c>
      <c r="BA305" s="111">
        <f t="shared" si="174"/>
        <v>-6801</v>
      </c>
      <c r="BE305" s="967">
        <f t="shared" si="188"/>
        <v>-109663.5</v>
      </c>
      <c r="BF305" s="2133">
        <f t="shared" si="187"/>
        <v>-0.18137230579922994</v>
      </c>
      <c r="BG305" s="385">
        <f>DataUK3!BS152</f>
        <v>1.0751312825541651E-2</v>
      </c>
    </row>
    <row r="306" spans="1:59" s="87" customFormat="1">
      <c r="A306" s="79">
        <v>1995</v>
      </c>
      <c r="B306" s="1540">
        <f>DataUK1!B154</f>
        <v>638369</v>
      </c>
      <c r="C306" s="1162"/>
      <c r="D306" s="959"/>
      <c r="E306" s="959"/>
      <c r="F306" s="959"/>
      <c r="G306" s="1547"/>
      <c r="H306" s="1145">
        <v>330063</v>
      </c>
      <c r="I306" s="29"/>
      <c r="J306" s="981"/>
      <c r="K306" s="981"/>
      <c r="L306" s="981"/>
      <c r="M306" s="981"/>
      <c r="N306" s="29">
        <v>0.43359999999999999</v>
      </c>
      <c r="O306" s="111">
        <v>318409</v>
      </c>
      <c r="P306" s="29">
        <f t="shared" si="173"/>
        <v>0.96469158918145925</v>
      </c>
      <c r="Q306" s="1145"/>
      <c r="R306" s="981"/>
      <c r="S306" s="981"/>
      <c r="T306" s="1552"/>
      <c r="U306" s="1564"/>
      <c r="V306" s="111"/>
      <c r="W306" s="111"/>
      <c r="X306" s="598"/>
      <c r="Y306" s="598"/>
      <c r="Z306" s="1428"/>
      <c r="AA306" s="977"/>
      <c r="AB306" s="111">
        <f t="shared" si="180"/>
        <v>-37514</v>
      </c>
      <c r="AC306" s="111">
        <f t="shared" si="182"/>
        <v>0</v>
      </c>
      <c r="AD306" s="111"/>
      <c r="AE306" s="111"/>
      <c r="AF306" s="598"/>
      <c r="AG306" s="979"/>
      <c r="AK306" s="964"/>
      <c r="AL306" s="964">
        <f>DataUK1!DK154</f>
        <v>8500</v>
      </c>
      <c r="AM306" s="961">
        <f t="shared" si="189"/>
        <v>1.3315182911450901E-2</v>
      </c>
      <c r="AN306" s="964"/>
      <c r="AP306" s="1785"/>
      <c r="AQ306" s="832"/>
      <c r="AR306" s="832"/>
      <c r="AS306" s="832"/>
      <c r="AT306" s="832"/>
      <c r="AU306" s="832"/>
      <c r="AV306" s="111">
        <v>588.20000000000005</v>
      </c>
      <c r="AW306" s="832"/>
      <c r="AY306" s="111">
        <v>-9063</v>
      </c>
      <c r="AZ306" s="967">
        <f>AY306-DataUK1!FI154</f>
        <v>0</v>
      </c>
      <c r="BA306" s="111">
        <f t="shared" si="174"/>
        <v>-9063</v>
      </c>
      <c r="BE306" s="967">
        <f t="shared" si="188"/>
        <v>-116464.5</v>
      </c>
      <c r="BF306" s="2133">
        <f t="shared" si="187"/>
        <v>-0.18244072002243217</v>
      </c>
      <c r="BG306" s="385">
        <f>DataUK3!BS153</f>
        <v>3.8737612299712884E-2</v>
      </c>
    </row>
    <row r="307" spans="1:59" s="87" customFormat="1">
      <c r="A307" s="79">
        <v>1996</v>
      </c>
      <c r="B307" s="1540">
        <f>DataUK1!B155</f>
        <v>683142</v>
      </c>
      <c r="C307" s="1162"/>
      <c r="D307" s="959"/>
      <c r="E307" s="959"/>
      <c r="F307" s="959"/>
      <c r="G307" s="1547"/>
      <c r="H307" s="1145">
        <v>367577</v>
      </c>
      <c r="I307" s="29"/>
      <c r="J307" s="981"/>
      <c r="K307" s="981"/>
      <c r="L307" s="981"/>
      <c r="M307" s="981"/>
      <c r="N307" s="29">
        <v>0.44579999999999997</v>
      </c>
      <c r="O307" s="111">
        <v>373197</v>
      </c>
      <c r="P307" s="29">
        <f t="shared" si="173"/>
        <v>1.0152893135315866</v>
      </c>
      <c r="Q307" s="1145"/>
      <c r="R307" s="981"/>
      <c r="S307" s="981"/>
      <c r="T307" s="1552"/>
      <c r="U307" s="1564"/>
      <c r="V307" s="111"/>
      <c r="W307" s="111"/>
      <c r="X307" s="598"/>
      <c r="Y307" s="598"/>
      <c r="Z307" s="1428"/>
      <c r="AA307" s="977"/>
      <c r="AB307" s="111">
        <f t="shared" si="180"/>
        <v>-24352</v>
      </c>
      <c r="AC307" s="111">
        <f t="shared" si="182"/>
        <v>0</v>
      </c>
      <c r="AD307" s="111"/>
      <c r="AE307" s="111"/>
      <c r="AF307" s="598"/>
      <c r="AG307" s="979"/>
      <c r="AK307" s="964"/>
      <c r="AL307" s="964">
        <f>DataUK1!DK155</f>
        <v>8813</v>
      </c>
      <c r="AM307" s="961">
        <f t="shared" si="189"/>
        <v>1.2900685362633245E-2</v>
      </c>
      <c r="AN307" s="964"/>
      <c r="AP307" s="1785"/>
      <c r="AQ307" s="832"/>
      <c r="AR307" s="832"/>
      <c r="AS307" s="832"/>
      <c r="AT307" s="832"/>
      <c r="AU307" s="832"/>
      <c r="AV307" s="111">
        <v>602.4</v>
      </c>
      <c r="AW307" s="832"/>
      <c r="AY307" s="111">
        <v>-6316</v>
      </c>
      <c r="AZ307" s="967">
        <f>AY307-DataUK1!FI155</f>
        <v>0</v>
      </c>
      <c r="BA307" s="111">
        <f t="shared" si="174"/>
        <v>-6316</v>
      </c>
      <c r="BE307" s="967">
        <f t="shared" si="188"/>
        <v>-125527.5</v>
      </c>
      <c r="BF307" s="2133">
        <f t="shared" si="187"/>
        <v>-0.18375023055235953</v>
      </c>
      <c r="BG307" s="385">
        <f>DataUK3!BS154</f>
        <v>1.9562353435082218E-2</v>
      </c>
    </row>
    <row r="308" spans="1:59" s="87" customFormat="1" ht="12" customHeight="1">
      <c r="A308" s="79">
        <v>1997</v>
      </c>
      <c r="B308" s="1540">
        <f>DataUK1!B156</f>
        <v>732454</v>
      </c>
      <c r="C308" s="1162"/>
      <c r="D308" s="959"/>
      <c r="E308" s="959"/>
      <c r="F308" s="959"/>
      <c r="G308" s="1547"/>
      <c r="H308" s="1145">
        <v>391929</v>
      </c>
      <c r="I308" s="29"/>
      <c r="J308" s="981"/>
      <c r="K308" s="981"/>
      <c r="L308" s="981"/>
      <c r="M308" s="981"/>
      <c r="N308" s="29">
        <v>0.43759999999999999</v>
      </c>
      <c r="O308" s="111">
        <v>395679</v>
      </c>
      <c r="P308" s="29">
        <f t="shared" si="173"/>
        <v>1.0095680595209846</v>
      </c>
      <c r="Q308" s="1145"/>
      <c r="R308" s="981"/>
      <c r="S308" s="981"/>
      <c r="T308" s="1552"/>
      <c r="U308" s="1564"/>
      <c r="V308" s="111"/>
      <c r="W308" s="111"/>
      <c r="X308" s="598"/>
      <c r="Y308" s="598"/>
      <c r="Z308" s="1428"/>
      <c r="AA308" s="977"/>
      <c r="AB308" s="111">
        <f t="shared" si="180"/>
        <v>-1997</v>
      </c>
      <c r="AC308" s="111">
        <f t="shared" si="182"/>
        <v>0</v>
      </c>
      <c r="AD308" s="111"/>
      <c r="AE308" s="111"/>
      <c r="AF308" s="598"/>
      <c r="AG308" s="979"/>
      <c r="AK308" s="964"/>
      <c r="AL308" s="964">
        <f>DataUK1!DK156</f>
        <v>9003</v>
      </c>
      <c r="AM308" s="961">
        <f t="shared" si="189"/>
        <v>1.2291556875926679E-2</v>
      </c>
      <c r="AN308" s="964"/>
      <c r="AP308" s="1785"/>
      <c r="AQ308" s="832"/>
      <c r="AR308" s="832"/>
      <c r="AS308" s="832"/>
      <c r="AT308" s="832"/>
      <c r="AU308" s="832"/>
      <c r="AV308" s="111">
        <v>621.29999999999995</v>
      </c>
      <c r="AW308" s="832"/>
      <c r="AY308" s="111">
        <v>-962</v>
      </c>
      <c r="AZ308" s="967">
        <f>AY308-DataUK1!FI156</f>
        <v>-150</v>
      </c>
      <c r="BA308" s="111">
        <f t="shared" si="174"/>
        <v>-962</v>
      </c>
      <c r="BE308" s="967">
        <f t="shared" si="188"/>
        <v>-131843.5</v>
      </c>
      <c r="BF308" s="2133">
        <f t="shared" si="187"/>
        <v>-0.18000243018674211</v>
      </c>
      <c r="BG308" s="385">
        <f>DataUK3!BS155</f>
        <v>-3.0368503180890648E-2</v>
      </c>
    </row>
    <row r="309" spans="1:59" s="87" customFormat="1" ht="12" customHeight="1">
      <c r="A309" s="79">
        <v>1998</v>
      </c>
      <c r="B309" s="1540">
        <f>DataUK1!B157</f>
        <v>788584</v>
      </c>
      <c r="C309" s="1162"/>
      <c r="D309" s="959"/>
      <c r="E309" s="959"/>
      <c r="F309" s="959"/>
      <c r="G309" s="1547"/>
      <c r="H309" s="1145">
        <v>393926</v>
      </c>
      <c r="I309" s="29"/>
      <c r="J309" s="981"/>
      <c r="K309" s="981"/>
      <c r="L309" s="981"/>
      <c r="M309" s="981"/>
      <c r="N309" s="29">
        <v>0.40869999999999995</v>
      </c>
      <c r="O309" s="111">
        <v>433743</v>
      </c>
      <c r="P309" s="29">
        <f t="shared" si="173"/>
        <v>1.101077359707153</v>
      </c>
      <c r="Q309" s="1145"/>
      <c r="R309" s="981"/>
      <c r="S309" s="981"/>
      <c r="T309" s="1552"/>
      <c r="U309" s="1564"/>
      <c r="V309" s="111"/>
      <c r="W309" s="111"/>
      <c r="X309" s="598"/>
      <c r="Y309" s="598"/>
      <c r="Z309" s="1428"/>
      <c r="AA309" s="977"/>
      <c r="AB309" s="111">
        <f t="shared" si="180"/>
        <v>1546</v>
      </c>
      <c r="AC309" s="111">
        <f t="shared" si="182"/>
        <v>0</v>
      </c>
      <c r="AD309" s="111"/>
      <c r="AE309" s="111"/>
      <c r="AF309" s="598"/>
      <c r="AG309" s="979"/>
      <c r="AK309" s="964"/>
      <c r="AL309" s="964">
        <f>DataUK1!DK157</f>
        <v>8999</v>
      </c>
      <c r="AM309" s="961">
        <f t="shared" si="189"/>
        <v>1.1411593438365475E-2</v>
      </c>
      <c r="AN309" s="964"/>
      <c r="AP309" s="1785"/>
      <c r="AQ309" s="832"/>
      <c r="AR309" s="832"/>
      <c r="AS309" s="832"/>
      <c r="AT309" s="832"/>
      <c r="AU309" s="832"/>
      <c r="AV309" s="111">
        <v>642.6</v>
      </c>
      <c r="AW309" s="832"/>
      <c r="AY309" s="111">
        <v>-3179</v>
      </c>
      <c r="AZ309" s="967">
        <f>AY309-DataUK1!FI157</f>
        <v>66</v>
      </c>
      <c r="BA309" s="111">
        <f t="shared" si="174"/>
        <v>-3179</v>
      </c>
      <c r="BE309" s="967">
        <f t="shared" si="188"/>
        <v>-132805.5</v>
      </c>
      <c r="BF309" s="2133">
        <f t="shared" si="187"/>
        <v>-0.16841008694064297</v>
      </c>
      <c r="BG309" s="385">
        <f>DataUK3!BS156</f>
        <v>-8.657062423032709E-2</v>
      </c>
    </row>
    <row r="310" spans="1:59" s="87" customFormat="1" ht="12" customHeight="1">
      <c r="A310" s="79">
        <v>1999</v>
      </c>
      <c r="B310" s="1540">
        <f>DataUK1!B158</f>
        <v>819229</v>
      </c>
      <c r="C310" s="1162"/>
      <c r="D310" s="959"/>
      <c r="E310" s="959"/>
      <c r="F310" s="959"/>
      <c r="G310" s="1547"/>
      <c r="H310" s="1145">
        <v>392380</v>
      </c>
      <c r="I310" s="29"/>
      <c r="J310" s="981"/>
      <c r="K310" s="981"/>
      <c r="L310" s="981"/>
      <c r="M310" s="981"/>
      <c r="N310" s="29">
        <v>0.38840000000000002</v>
      </c>
      <c r="O310" s="111">
        <v>465684</v>
      </c>
      <c r="P310" s="29">
        <f t="shared" si="173"/>
        <v>1.186818900045874</v>
      </c>
      <c r="Q310" s="1145"/>
      <c r="R310" s="981"/>
      <c r="S310" s="981"/>
      <c r="T310" s="1552"/>
      <c r="U310" s="1564"/>
      <c r="V310" s="111"/>
      <c r="W310" s="111"/>
      <c r="X310" s="598"/>
      <c r="Y310" s="598"/>
      <c r="Z310" s="1428"/>
      <c r="AA310" s="977"/>
      <c r="AB310" s="111">
        <f t="shared" si="180"/>
        <v>4691</v>
      </c>
      <c r="AC310" s="111">
        <f t="shared" si="182"/>
        <v>0</v>
      </c>
      <c r="AD310" s="111"/>
      <c r="AE310" s="111"/>
      <c r="AF310" s="598"/>
      <c r="AG310" s="979"/>
      <c r="AK310" s="964"/>
      <c r="AL310" s="964">
        <f>DataUK1!DK158</f>
        <v>9262</v>
      </c>
      <c r="AM310" s="961">
        <f t="shared" si="189"/>
        <v>1.1305752115708794E-2</v>
      </c>
      <c r="AN310" s="964"/>
      <c r="AP310" s="1785"/>
      <c r="AQ310" s="832"/>
      <c r="AR310" s="832"/>
      <c r="AS310" s="832"/>
      <c r="AT310" s="832"/>
      <c r="AU310" s="832"/>
      <c r="AV310" s="111">
        <v>652.5</v>
      </c>
      <c r="AW310" s="832"/>
      <c r="AY310" s="111">
        <v>-21854</v>
      </c>
      <c r="AZ310" s="967">
        <f>AY310-DataUK1!FI158</f>
        <v>-95</v>
      </c>
      <c r="BA310" s="111">
        <f t="shared" si="174"/>
        <v>-21854</v>
      </c>
      <c r="BE310" s="967">
        <f t="shared" si="188"/>
        <v>-135984.5</v>
      </c>
      <c r="BF310" s="2133">
        <f t="shared" si="187"/>
        <v>-0.16599082796141251</v>
      </c>
      <c r="BG310" s="385">
        <f>DataUK3!BS157</f>
        <v>-7.1778022379353379E-2</v>
      </c>
    </row>
    <row r="311" spans="1:59" s="87" customFormat="1" ht="12" customHeight="1">
      <c r="A311" s="79">
        <v>2000</v>
      </c>
      <c r="B311" s="1540">
        <f>DataUK1!B159</f>
        <v>863239</v>
      </c>
      <c r="C311" s="1162"/>
      <c r="D311" s="959"/>
      <c r="E311" s="959"/>
      <c r="F311" s="959"/>
      <c r="G311" s="1547"/>
      <c r="H311" s="1145">
        <v>387689</v>
      </c>
      <c r="I311" s="29"/>
      <c r="J311" s="981"/>
      <c r="K311" s="981"/>
      <c r="L311" s="981"/>
      <c r="M311" s="981"/>
      <c r="N311" s="29">
        <v>0.3332</v>
      </c>
      <c r="O311" s="111">
        <v>444441</v>
      </c>
      <c r="P311" s="29">
        <f t="shared" si="173"/>
        <v>1.1463853759069771</v>
      </c>
      <c r="Q311" s="1145"/>
      <c r="R311" s="981"/>
      <c r="S311" s="981"/>
      <c r="T311" s="1552"/>
      <c r="U311" s="1564"/>
      <c r="V311" s="111"/>
      <c r="W311" s="111"/>
      <c r="X311" s="598"/>
      <c r="Y311" s="598"/>
      <c r="Z311" s="1428"/>
      <c r="AA311" s="977"/>
      <c r="AB311" s="111">
        <f t="shared" si="180"/>
        <v>10897</v>
      </c>
      <c r="AC311" s="111">
        <f t="shared" si="182"/>
        <v>0</v>
      </c>
      <c r="AD311" s="111"/>
      <c r="AE311" s="111"/>
      <c r="AF311" s="598"/>
      <c r="AG311" s="979"/>
      <c r="AK311" s="964"/>
      <c r="AL311" s="964">
        <f>DataUK1!DK159</f>
        <v>9542</v>
      </c>
      <c r="AM311" s="961">
        <f t="shared" si="189"/>
        <v>1.1053717452524736E-2</v>
      </c>
      <c r="AN311" s="964"/>
      <c r="AP311" s="1785"/>
      <c r="AQ311" s="832"/>
      <c r="AR311" s="832"/>
      <c r="AS311" s="832"/>
      <c r="AT311" s="832"/>
      <c r="AU311" s="832"/>
      <c r="AV311" s="111">
        <v>671.8</v>
      </c>
      <c r="AW311" s="832"/>
      <c r="AY311" s="111">
        <v>-25787</v>
      </c>
      <c r="AZ311" s="967">
        <f>AY311-DataUK1!FI159</f>
        <v>42</v>
      </c>
      <c r="BA311" s="111">
        <f t="shared" si="174"/>
        <v>-25787</v>
      </c>
      <c r="BE311" s="967">
        <f t="shared" si="188"/>
        <v>-157838.5</v>
      </c>
      <c r="BF311" s="2133">
        <f t="shared" si="187"/>
        <v>-0.18284449613606429</v>
      </c>
      <c r="BG311" s="385">
        <f>DataUK3!BS158</f>
        <v>-0.21074815466737629</v>
      </c>
    </row>
    <row r="312" spans="1:59" s="87" customFormat="1" ht="12" customHeight="1">
      <c r="A312" s="79">
        <v>2001</v>
      </c>
      <c r="B312" s="1540">
        <f>DataUK1!B160</f>
        <v>911923</v>
      </c>
      <c r="C312" s="1162"/>
      <c r="D312" s="959"/>
      <c r="E312" s="959"/>
      <c r="F312" s="959"/>
      <c r="G312" s="1547"/>
      <c r="H312" s="1145">
        <v>376792</v>
      </c>
      <c r="I312" s="29"/>
      <c r="J312" s="981"/>
      <c r="K312" s="981"/>
      <c r="L312" s="981"/>
      <c r="M312" s="981"/>
      <c r="N312" s="29">
        <v>0.3206</v>
      </c>
      <c r="O312" s="111">
        <v>469393</v>
      </c>
      <c r="P312" s="29">
        <f t="shared" si="173"/>
        <v>1.2457615872948471</v>
      </c>
      <c r="Q312" s="1145"/>
      <c r="R312" s="981"/>
      <c r="S312" s="981"/>
      <c r="T312" s="1552"/>
      <c r="U312" s="1564"/>
      <c r="V312" s="111"/>
      <c r="W312" s="111"/>
      <c r="X312" s="598"/>
      <c r="Y312" s="598"/>
      <c r="Z312" s="1428"/>
      <c r="AA312" s="977"/>
      <c r="AB312" s="111">
        <f t="shared" si="180"/>
        <v>3936</v>
      </c>
      <c r="AC312" s="111">
        <f t="shared" si="182"/>
        <v>0</v>
      </c>
      <c r="AD312" s="111"/>
      <c r="AE312" s="111"/>
      <c r="AF312" s="598"/>
      <c r="AG312" s="979"/>
      <c r="AK312" s="964"/>
      <c r="AL312" s="964">
        <f>DataUK1!DK160</f>
        <v>9796</v>
      </c>
      <c r="AM312" s="961">
        <f t="shared" si="189"/>
        <v>1.0742135026751162E-2</v>
      </c>
      <c r="AN312" s="964"/>
      <c r="AP312" s="1785"/>
      <c r="AQ312" s="832"/>
      <c r="AR312" s="832"/>
      <c r="AS312" s="832"/>
      <c r="AT312" s="832"/>
      <c r="AU312" s="832"/>
      <c r="AV312" s="111">
        <v>683.7</v>
      </c>
      <c r="AW312" s="832"/>
      <c r="AY312" s="111">
        <v>-21102</v>
      </c>
      <c r="AZ312" s="967">
        <f>AY312-DataUK1!FI160</f>
        <v>-40</v>
      </c>
      <c r="BA312" s="111">
        <f t="shared" si="174"/>
        <v>-21102</v>
      </c>
      <c r="BE312" s="967">
        <f t="shared" si="188"/>
        <v>-183625.5</v>
      </c>
      <c r="BF312" s="2133">
        <f t="shared" si="187"/>
        <v>-0.20136075085286806</v>
      </c>
      <c r="BG312" s="385">
        <f>DataUK3!BS159</f>
        <v>-0.22264401863215169</v>
      </c>
    </row>
    <row r="313" spans="1:59" s="87" customFormat="1" ht="12" customHeight="1">
      <c r="A313" s="79">
        <v>2002</v>
      </c>
      <c r="B313" s="1540">
        <f>DataUK1!B161</f>
        <v>969583</v>
      </c>
      <c r="C313" s="1162"/>
      <c r="D313" s="959"/>
      <c r="E313" s="959"/>
      <c r="F313" s="959"/>
      <c r="G313" s="1547"/>
      <c r="H313" s="1553">
        <v>372856</v>
      </c>
      <c r="I313" s="29"/>
      <c r="J313" s="981"/>
      <c r="K313" s="981"/>
      <c r="L313" s="981"/>
      <c r="M313" s="981"/>
      <c r="N313" s="29">
        <v>0.3306</v>
      </c>
      <c r="O313" s="111">
        <v>439823</v>
      </c>
      <c r="P313" s="29">
        <f t="shared" si="173"/>
        <v>1.1796055313579505</v>
      </c>
      <c r="Q313" s="1145"/>
      <c r="R313" s="981"/>
      <c r="S313" s="981"/>
      <c r="T313" s="1552"/>
      <c r="U313" s="1564"/>
      <c r="V313" s="111"/>
      <c r="W313" s="111"/>
      <c r="X313" s="598"/>
      <c r="Y313" s="598"/>
      <c r="Z313" s="1428"/>
      <c r="AA313" s="977"/>
      <c r="AB313" s="111">
        <f t="shared" si="180"/>
        <v>-21841</v>
      </c>
      <c r="AC313" s="111">
        <f t="shared" si="182"/>
        <v>0</v>
      </c>
      <c r="AD313" s="111"/>
      <c r="AE313" s="111"/>
      <c r="AF313" s="598"/>
      <c r="AG313" s="979"/>
      <c r="AK313" s="964"/>
      <c r="AL313" s="964">
        <f>DataUK1!DK161</f>
        <v>10289</v>
      </c>
      <c r="AM313" s="961">
        <f t="shared" si="189"/>
        <v>1.0611778465587784E-2</v>
      </c>
      <c r="AN313" s="964"/>
      <c r="AP313" s="1785"/>
      <c r="AQ313" s="832"/>
      <c r="AR313" s="832"/>
      <c r="AS313" s="832"/>
      <c r="AT313" s="832"/>
      <c r="AU313" s="832"/>
      <c r="AV313" s="111">
        <v>695.1</v>
      </c>
      <c r="AW313" s="832"/>
      <c r="AY313" s="111">
        <v>-18657</v>
      </c>
      <c r="AZ313" s="967">
        <f>AY313-DataUK1!FI161</f>
        <v>-256</v>
      </c>
      <c r="BA313" s="111">
        <f t="shared" si="174"/>
        <v>-18657</v>
      </c>
      <c r="BE313" s="967">
        <f t="shared" si="188"/>
        <v>-204727.5</v>
      </c>
      <c r="BF313" s="2133">
        <f t="shared" si="187"/>
        <v>-0.21115005110444388</v>
      </c>
      <c r="BG313" s="385">
        <f>DataUK3!BS160</f>
        <v>-0.10882717071507134</v>
      </c>
    </row>
    <row r="314" spans="1:59" s="87" customFormat="1" ht="12" customHeight="1">
      <c r="A314" s="79">
        <v>2003</v>
      </c>
      <c r="B314" s="1540">
        <f>DataUK1!B162</f>
        <v>1029608</v>
      </c>
      <c r="C314" s="1162"/>
      <c r="D314" s="959"/>
      <c r="E314" s="959"/>
      <c r="F314" s="959"/>
      <c r="G314" s="1547"/>
      <c r="H314" s="1145">
        <v>394697</v>
      </c>
      <c r="I314" s="29"/>
      <c r="J314" s="981"/>
      <c r="K314" s="981"/>
      <c r="L314" s="981"/>
      <c r="M314" s="981"/>
      <c r="N314" s="29">
        <v>0.34</v>
      </c>
      <c r="O314" s="111">
        <v>462902</v>
      </c>
      <c r="P314" s="29">
        <f t="shared" si="173"/>
        <v>1.1728034416273749</v>
      </c>
      <c r="Q314" s="1145"/>
      <c r="R314" s="981"/>
      <c r="S314" s="981"/>
      <c r="T314" s="1552"/>
      <c r="U314" s="1564"/>
      <c r="V314" s="111"/>
      <c r="W314" s="111"/>
      <c r="X314" s="598"/>
      <c r="Y314" s="598"/>
      <c r="Z314" s="1428"/>
      <c r="AA314" s="977"/>
      <c r="AB314" s="111">
        <f t="shared" si="180"/>
        <v>-36800</v>
      </c>
      <c r="AC314" s="111">
        <f t="shared" si="182"/>
        <v>0</v>
      </c>
      <c r="AD314" s="111"/>
      <c r="AE314" s="111"/>
      <c r="AF314" s="598"/>
      <c r="AG314" s="979"/>
      <c r="AK314" s="964"/>
      <c r="AL314" s="964">
        <f>DataUK1!DK162</f>
        <v>10807</v>
      </c>
      <c r="AM314" s="961">
        <f t="shared" si="189"/>
        <v>1.0496227690538535E-2</v>
      </c>
      <c r="AN314" s="964"/>
      <c r="AP314" s="1785"/>
      <c r="AQ314" s="832"/>
      <c r="AR314" s="832"/>
      <c r="AS314" s="832"/>
      <c r="AT314" s="832"/>
      <c r="AU314" s="832"/>
      <c r="AV314" s="1741">
        <v>715.2</v>
      </c>
      <c r="AW314" s="832"/>
      <c r="AY314" s="111">
        <v>-18307</v>
      </c>
      <c r="AZ314" s="967">
        <f>AY314-DataUK1!FI162</f>
        <v>73</v>
      </c>
      <c r="BA314" s="111">
        <f t="shared" si="174"/>
        <v>-18307</v>
      </c>
      <c r="BE314" s="967">
        <f t="shared" si="188"/>
        <v>-223384.5</v>
      </c>
      <c r="BF314" s="2133">
        <f t="shared" si="187"/>
        <v>-0.21696072680087955</v>
      </c>
      <c r="BG314" s="385">
        <f>DataUK3!BS161</f>
        <v>-0.1432667445695727</v>
      </c>
    </row>
    <row r="315" spans="1:59" s="87" customFormat="1" ht="12" customHeight="1">
      <c r="A315" s="79">
        <v>2004</v>
      </c>
      <c r="B315" s="1540">
        <f>DataUK1!B163</f>
        <v>1084702</v>
      </c>
      <c r="C315" s="1162"/>
      <c r="D315" s="959"/>
      <c r="E315" s="959"/>
      <c r="F315" s="959"/>
      <c r="G315" s="1547"/>
      <c r="H315" s="1145">
        <v>431497</v>
      </c>
      <c r="I315" s="29"/>
      <c r="J315" s="981"/>
      <c r="K315" s="981"/>
      <c r="L315" s="981"/>
      <c r="M315" s="981"/>
      <c r="N315" s="29">
        <v>0.35619999999999996</v>
      </c>
      <c r="O315" s="111">
        <v>492802</v>
      </c>
      <c r="P315" s="29">
        <f t="shared" ref="P315:P323" si="190">O315/H315</f>
        <v>1.1420751476835296</v>
      </c>
      <c r="Q315" s="1145"/>
      <c r="R315" s="981"/>
      <c r="S315" s="981"/>
      <c r="T315" s="1552"/>
      <c r="U315" s="1564"/>
      <c r="V315" s="111"/>
      <c r="W315" s="111"/>
      <c r="X315" s="598"/>
      <c r="Y315" s="598"/>
      <c r="Z315" s="1428"/>
      <c r="AA315" s="977"/>
      <c r="AB315" s="111">
        <f t="shared" si="180"/>
        <v>-42265</v>
      </c>
      <c r="AC315" s="111">
        <f t="shared" si="182"/>
        <v>0</v>
      </c>
      <c r="AD315" s="111"/>
      <c r="AE315" s="111"/>
      <c r="AF315" s="598"/>
      <c r="AG315" s="979"/>
      <c r="AK315" s="964"/>
      <c r="AL315" s="964">
        <f>DataUK1!DK163</f>
        <v>11312</v>
      </c>
      <c r="AM315" s="961">
        <f t="shared" si="189"/>
        <v>1.0428670731684832E-2</v>
      </c>
      <c r="AN315" s="964"/>
      <c r="AP315" s="1785"/>
      <c r="AQ315" s="832"/>
      <c r="AR315" s="832"/>
      <c r="AS315" s="832"/>
      <c r="AT315" s="832"/>
      <c r="AU315" s="832"/>
      <c r="AV315" s="111">
        <f>AV314*DataUK1!HT163/DataUK1!HT162</f>
        <v>736.5</v>
      </c>
      <c r="AW315" s="832"/>
      <c r="AY315" s="111">
        <v>-24917</v>
      </c>
      <c r="AZ315" s="967">
        <f>AY315-DataUK1!FI163</f>
        <v>-27</v>
      </c>
      <c r="BA315" s="111">
        <f t="shared" si="174"/>
        <v>-24917</v>
      </c>
      <c r="BE315" s="967">
        <f t="shared" si="188"/>
        <v>-241691.5</v>
      </c>
      <c r="BF315" s="2133">
        <f t="shared" si="187"/>
        <v>-0.22281834088994029</v>
      </c>
      <c r="BG315" s="385">
        <f>DataUK3!BS162</f>
        <v>-0.11108111048088204</v>
      </c>
    </row>
    <row r="316" spans="1:59" s="87" customFormat="1" ht="12" customHeight="1">
      <c r="A316" s="79">
        <v>2005</v>
      </c>
      <c r="B316" s="1540">
        <f>DataUK1!B164</f>
        <v>1137111</v>
      </c>
      <c r="C316" s="1162"/>
      <c r="D316" s="959"/>
      <c r="E316" s="959"/>
      <c r="F316" s="959"/>
      <c r="G316" s="1547"/>
      <c r="H316" s="1145">
        <v>473762</v>
      </c>
      <c r="I316" s="29"/>
      <c r="J316" s="981"/>
      <c r="K316" s="981"/>
      <c r="L316" s="981"/>
      <c r="M316" s="981"/>
      <c r="N316" s="29">
        <v>0.374</v>
      </c>
      <c r="O316" s="111">
        <v>545224</v>
      </c>
      <c r="P316" s="29">
        <f t="shared" si="190"/>
        <v>1.1508394510323749</v>
      </c>
      <c r="Q316" s="1145"/>
      <c r="R316" s="981"/>
      <c r="S316" s="981"/>
      <c r="T316" s="1552"/>
      <c r="U316" s="1564"/>
      <c r="V316" s="111"/>
      <c r="W316" s="111"/>
      <c r="X316" s="598"/>
      <c r="Y316" s="598"/>
      <c r="Z316" s="1428"/>
      <c r="AA316" s="977"/>
      <c r="AB316" s="111">
        <f t="shared" si="180"/>
        <v>-41898</v>
      </c>
      <c r="AC316" s="111">
        <f t="shared" si="182"/>
        <v>0</v>
      </c>
      <c r="AD316" s="111"/>
      <c r="AE316" s="111"/>
      <c r="AF316" s="598"/>
      <c r="AG316" s="979"/>
      <c r="AK316" s="964"/>
      <c r="AL316" s="964">
        <f>DataUK1!DK164</f>
        <v>11927</v>
      </c>
      <c r="AM316" s="961">
        <f t="shared" si="189"/>
        <v>1.0488861685446715E-2</v>
      </c>
      <c r="AN316" s="964"/>
      <c r="AP316" s="1785"/>
      <c r="AQ316" s="832"/>
      <c r="AR316" s="832"/>
      <c r="AS316" s="832"/>
      <c r="AT316" s="832"/>
      <c r="AU316" s="832"/>
      <c r="AV316" s="111">
        <f>AV315*DataUK1!HT164/DataUK1!HT163</f>
        <v>757.3</v>
      </c>
      <c r="AW316" s="832"/>
      <c r="AY316" s="111">
        <v>-32841</v>
      </c>
      <c r="AZ316" s="967">
        <f>AY316-DataUK1!FI164</f>
        <v>-174</v>
      </c>
      <c r="BA316" s="111">
        <f t="shared" si="174"/>
        <v>-32841</v>
      </c>
      <c r="BE316" s="967">
        <f t="shared" si="188"/>
        <v>-266608.5</v>
      </c>
      <c r="BF316" s="2133">
        <f t="shared" si="187"/>
        <v>-0.2344612795056947</v>
      </c>
      <c r="BG316" s="385">
        <f>DataUK3!BS163</f>
        <v>-0.1029858892119679</v>
      </c>
    </row>
    <row r="317" spans="1:59" s="87" customFormat="1" ht="12" customHeight="1">
      <c r="A317" s="79">
        <v>2006</v>
      </c>
      <c r="B317" s="1540">
        <f>DataUK1!B165</f>
        <v>1189520</v>
      </c>
      <c r="C317" s="1162"/>
      <c r="D317" s="959"/>
      <c r="E317" s="959"/>
      <c r="F317" s="959"/>
      <c r="G317" s="1547"/>
      <c r="H317" s="1145">
        <v>515660</v>
      </c>
      <c r="I317" s="29"/>
      <c r="J317" s="981"/>
      <c r="K317" s="981"/>
      <c r="L317" s="981"/>
      <c r="M317" s="981"/>
      <c r="N317" s="29">
        <v>0.38409999999999994</v>
      </c>
      <c r="O317" s="111">
        <v>600061</v>
      </c>
      <c r="P317" s="29">
        <f t="shared" si="190"/>
        <v>1.1636756777721755</v>
      </c>
      <c r="Q317" s="1145"/>
      <c r="R317" s="981"/>
      <c r="S317" s="981"/>
      <c r="T317" s="1552"/>
      <c r="U317" s="1564"/>
      <c r="V317" s="111"/>
      <c r="W317" s="111"/>
      <c r="X317" s="598"/>
      <c r="Y317" s="598"/>
      <c r="Z317" s="1428"/>
      <c r="AA317" s="977"/>
      <c r="AB317" s="111">
        <f t="shared" si="180"/>
        <v>-42265</v>
      </c>
      <c r="AC317" s="111">
        <f t="shared" si="182"/>
        <v>0</v>
      </c>
      <c r="AD317" s="111"/>
      <c r="AE317" s="111"/>
      <c r="AF317" s="598"/>
      <c r="AG317" s="979"/>
      <c r="AK317" s="964"/>
      <c r="AL317" s="964">
        <f>DataUK1!DK165</f>
        <v>12634</v>
      </c>
      <c r="AM317" s="961">
        <f t="shared" si="189"/>
        <v>1.0621090860178895E-2</v>
      </c>
      <c r="AN317" s="964"/>
      <c r="AP317" s="1785"/>
      <c r="AQ317" s="832"/>
      <c r="AR317" s="832"/>
      <c r="AS317" s="832"/>
      <c r="AT317" s="832"/>
      <c r="AU317" s="832"/>
      <c r="AV317" s="111">
        <f>AV316*DataUK1!HT165/DataUK1!HT164</f>
        <v>781.5</v>
      </c>
      <c r="AW317" s="832"/>
      <c r="AY317" s="111">
        <v>-44934</v>
      </c>
      <c r="AZ317" s="967">
        <f>AY317-DataUK1!FI165</f>
        <v>-1839</v>
      </c>
      <c r="BA317" s="111">
        <f t="shared" si="174"/>
        <v>-44934</v>
      </c>
      <c r="BE317" s="967">
        <f t="shared" si="188"/>
        <v>-299449.5</v>
      </c>
      <c r="BF317" s="2133">
        <f t="shared" si="187"/>
        <v>-0.251739777389199</v>
      </c>
      <c r="BG317" s="385">
        <f>DataUK3!BS164</f>
        <v>-0.19328983713990983</v>
      </c>
    </row>
    <row r="318" spans="1:59" s="87" customFormat="1" ht="12" customHeight="1">
      <c r="A318" s="79">
        <v>2007</v>
      </c>
      <c r="B318" s="1540">
        <f>DataUK1!B166</f>
        <v>1271127</v>
      </c>
      <c r="C318" s="1162"/>
      <c r="D318" s="959"/>
      <c r="E318" s="959"/>
      <c r="F318" s="959"/>
      <c r="G318" s="1547"/>
      <c r="H318" s="1145">
        <v>557925</v>
      </c>
      <c r="I318" s="29"/>
      <c r="J318" s="981"/>
      <c r="K318" s="981"/>
      <c r="L318" s="981"/>
      <c r="M318" s="981"/>
      <c r="N318" s="29">
        <v>0.44799999999999995</v>
      </c>
      <c r="O318" s="111">
        <v>630691</v>
      </c>
      <c r="P318" s="29">
        <f t="shared" si="190"/>
        <v>1.1304225478334902</v>
      </c>
      <c r="Q318" s="1145"/>
      <c r="R318" s="981"/>
      <c r="S318" s="981"/>
      <c r="T318" s="1552"/>
      <c r="U318" s="1564"/>
      <c r="V318" s="111"/>
      <c r="W318" s="111"/>
      <c r="X318" s="598"/>
      <c r="Y318" s="598"/>
      <c r="Z318" s="1428"/>
      <c r="AA318" s="977"/>
      <c r="AB318" s="111">
        <f t="shared" si="180"/>
        <v>-43967</v>
      </c>
      <c r="AC318" s="111">
        <f t="shared" si="182"/>
        <v>0</v>
      </c>
      <c r="AD318" s="111"/>
      <c r="AE318" s="111"/>
      <c r="AF318" s="598"/>
      <c r="AG318" s="979"/>
      <c r="AK318" s="964"/>
      <c r="AL318" s="964">
        <f>DataUK1!DK166</f>
        <v>13231</v>
      </c>
      <c r="AM318" s="961">
        <f t="shared" si="189"/>
        <v>1.0408873385586177E-2</v>
      </c>
      <c r="AN318" s="964"/>
      <c r="AP318" s="1785"/>
      <c r="AQ318" s="832"/>
      <c r="AR318" s="832"/>
      <c r="AS318" s="832"/>
      <c r="AT318" s="832"/>
      <c r="AU318" s="832"/>
      <c r="AV318" s="111">
        <f>AV317*DataUK1!HT166/DataUK1!HT165</f>
        <v>815</v>
      </c>
      <c r="AW318" s="832"/>
      <c r="AY318" s="111">
        <v>-36482</v>
      </c>
      <c r="AZ318" s="967">
        <f>AY318-DataUK1!FI166</f>
        <v>-1656</v>
      </c>
      <c r="BA318" s="111">
        <f t="shared" si="174"/>
        <v>-36482</v>
      </c>
      <c r="BE318" s="967">
        <f t="shared" si="188"/>
        <v>-344383.5</v>
      </c>
      <c r="BF318" s="2133">
        <f t="shared" si="187"/>
        <v>-0.27092768857871796</v>
      </c>
      <c r="BG318" s="385">
        <f>DataUK3!BS165</f>
        <v>-0.22930846055551818</v>
      </c>
    </row>
    <row r="319" spans="1:59" s="87" customFormat="1" ht="12" customHeight="1">
      <c r="A319" s="79">
        <v>2008</v>
      </c>
      <c r="B319" s="1540">
        <f>DataUK1!B167</f>
        <v>1313792</v>
      </c>
      <c r="C319" s="1162"/>
      <c r="D319" s="959"/>
      <c r="E319" s="959"/>
      <c r="F319" s="959"/>
      <c r="G319" s="1547"/>
      <c r="H319" s="1145">
        <v>601892</v>
      </c>
      <c r="I319" s="29"/>
      <c r="J319" s="981"/>
      <c r="K319" s="981"/>
      <c r="L319" s="981"/>
      <c r="M319" s="981"/>
      <c r="N319" s="29">
        <v>0.43240000000000001</v>
      </c>
      <c r="O319" s="111">
        <v>678566</v>
      </c>
      <c r="P319" s="29">
        <f t="shared" si="190"/>
        <v>1.1273883022203319</v>
      </c>
      <c r="Q319" s="1145"/>
      <c r="R319" s="981"/>
      <c r="S319" s="981"/>
      <c r="T319" s="1552"/>
      <c r="U319" s="1564"/>
      <c r="V319" s="111"/>
      <c r="W319" s="111"/>
      <c r="X319" s="598"/>
      <c r="Y319" s="598"/>
      <c r="Z319" s="1428"/>
      <c r="AA319" s="977"/>
      <c r="AB319" s="111">
        <f t="shared" si="180"/>
        <v>-136158</v>
      </c>
      <c r="AC319" s="111">
        <f t="shared" si="182"/>
        <v>0</v>
      </c>
      <c r="AD319" s="111"/>
      <c r="AE319" s="111"/>
      <c r="AF319" s="598"/>
      <c r="AG319" s="979"/>
      <c r="AK319" s="964"/>
      <c r="AL319" s="964">
        <f>DataUK1!DK167</f>
        <v>13963</v>
      </c>
      <c r="AM319" s="961">
        <f t="shared" si="189"/>
        <v>1.0628014175759938E-2</v>
      </c>
      <c r="AN319" s="964"/>
      <c r="AP319" s="1785"/>
      <c r="AQ319" s="832"/>
      <c r="AR319" s="832"/>
      <c r="AS319" s="832"/>
      <c r="AT319" s="832"/>
      <c r="AU319" s="832"/>
      <c r="AV319" s="111">
        <f>AV318*DataUK1!HT167/DataUK1!HT166</f>
        <v>847.5</v>
      </c>
      <c r="AW319" s="832"/>
      <c r="AY319" s="111">
        <v>-23776</v>
      </c>
      <c r="AZ319" s="967">
        <f>AY319-DataUK1!FI167</f>
        <v>-4023</v>
      </c>
      <c r="BA319" s="111">
        <f t="shared" si="174"/>
        <v>-23776</v>
      </c>
      <c r="BE319" s="967">
        <f t="shared" si="188"/>
        <v>-380865.5</v>
      </c>
      <c r="BF319" s="2133">
        <f t="shared" si="187"/>
        <v>-0.2898978681556898</v>
      </c>
      <c r="BG319" s="385">
        <f>DataUK3!BS166</f>
        <v>-0.30465091214331846</v>
      </c>
    </row>
    <row r="320" spans="1:59" s="87" customFormat="1" ht="12" customHeight="1">
      <c r="A320" s="79">
        <v>2009</v>
      </c>
      <c r="B320" s="1540">
        <f>DataUK1!B168</f>
        <v>1254053</v>
      </c>
      <c r="C320" s="1162"/>
      <c r="D320" s="959"/>
      <c r="E320" s="959"/>
      <c r="F320" s="959"/>
      <c r="G320" s="1547"/>
      <c r="H320" s="1145">
        <v>738050</v>
      </c>
      <c r="I320" s="29"/>
      <c r="J320" s="981"/>
      <c r="K320" s="981"/>
      <c r="L320" s="981"/>
      <c r="M320" s="981"/>
      <c r="N320" s="29">
        <v>0.55200000000000005</v>
      </c>
      <c r="O320" s="111">
        <v>839232</v>
      </c>
      <c r="P320" s="29">
        <f t="shared" si="190"/>
        <v>1.1370936928392386</v>
      </c>
      <c r="Q320" s="1145"/>
      <c r="R320" s="981"/>
      <c r="S320" s="981"/>
      <c r="T320" s="1552"/>
      <c r="U320" s="1564"/>
      <c r="V320" s="111"/>
      <c r="W320" s="111"/>
      <c r="X320" s="598"/>
      <c r="Y320" s="598"/>
      <c r="Z320" s="1428"/>
      <c r="AA320" s="977"/>
      <c r="AB320" s="111">
        <f t="shared" si="180"/>
        <v>-202578</v>
      </c>
      <c r="AC320" s="111">
        <f t="shared" si="182"/>
        <v>0</v>
      </c>
      <c r="AD320" s="111"/>
      <c r="AE320" s="111"/>
      <c r="AF320" s="598"/>
      <c r="AG320" s="979"/>
      <c r="AK320" s="964"/>
      <c r="AL320" s="964">
        <f>DataUK1!DK168</f>
        <v>14675</v>
      </c>
      <c r="AM320" s="961">
        <f t="shared" si="189"/>
        <v>1.1702057249573981E-2</v>
      </c>
      <c r="AN320" s="964"/>
      <c r="AP320" s="1785"/>
      <c r="AQ320" s="832"/>
      <c r="AR320" s="832"/>
      <c r="AS320" s="832"/>
      <c r="AT320" s="832"/>
      <c r="AU320" s="832"/>
      <c r="AV320" s="111">
        <f>AV319*DataUK1!HT168/DataUK1!HT167</f>
        <v>843</v>
      </c>
      <c r="AW320" s="832"/>
      <c r="AY320" s="111">
        <v>-17610</v>
      </c>
      <c r="AZ320" s="967">
        <f>AY320-DataUK1!FI168</f>
        <v>2706</v>
      </c>
      <c r="BA320" s="111">
        <f>AY320-BB320</f>
        <v>-17610</v>
      </c>
      <c r="BE320" s="967">
        <f t="shared" si="188"/>
        <v>-404641.5</v>
      </c>
      <c r="BF320" s="2133">
        <f t="shared" si="187"/>
        <v>-0.32266698456923271</v>
      </c>
      <c r="BG320" s="385">
        <f>DataUK3!BS167</f>
        <v>-0.25329732560405299</v>
      </c>
    </row>
    <row r="321" spans="1:59" s="87" customFormat="1" ht="12" customHeight="1">
      <c r="A321" s="79">
        <v>2010</v>
      </c>
      <c r="B321" s="1540">
        <f>DataUK1!B169</f>
        <v>1312300</v>
      </c>
      <c r="C321" s="1162"/>
      <c r="D321" s="959"/>
      <c r="E321" s="959"/>
      <c r="F321" s="959"/>
      <c r="G321" s="1547"/>
      <c r="H321" s="1145">
        <v>940628</v>
      </c>
      <c r="I321" s="29"/>
      <c r="J321" s="981"/>
      <c r="K321" s="981"/>
      <c r="L321" s="981"/>
      <c r="M321" s="981"/>
      <c r="N321" s="29">
        <v>0.71950000000000003</v>
      </c>
      <c r="O321" s="111">
        <v>1032319</v>
      </c>
      <c r="P321" s="29">
        <f t="shared" si="190"/>
        <v>1.0974784930918493</v>
      </c>
      <c r="Q321" s="1145"/>
      <c r="R321" s="981"/>
      <c r="S321" s="981"/>
      <c r="T321" s="1552"/>
      <c r="U321" s="1564"/>
      <c r="V321" s="111"/>
      <c r="W321" s="111"/>
      <c r="X321" s="598"/>
      <c r="Y321" s="598"/>
      <c r="Z321" s="1428"/>
      <c r="AA321" s="977"/>
      <c r="AB321" s="111">
        <f t="shared" si="180"/>
        <v>-209631</v>
      </c>
      <c r="AC321" s="111">
        <f t="shared" si="182"/>
        <v>0</v>
      </c>
      <c r="AD321" s="111"/>
      <c r="AE321" s="111"/>
      <c r="AF321" s="598"/>
      <c r="AG321" s="979"/>
      <c r="AK321" s="964"/>
      <c r="AL321" s="964">
        <f>DataUK1!DK169</f>
        <v>15500</v>
      </c>
      <c r="AM321" s="961">
        <f t="shared" si="189"/>
        <v>1.1811323630267469E-2</v>
      </c>
      <c r="AN321" s="964"/>
      <c r="AP321" s="1785"/>
      <c r="AQ321" s="832"/>
      <c r="AR321" s="832"/>
      <c r="AS321" s="832"/>
      <c r="AT321" s="832"/>
      <c r="AU321" s="832"/>
      <c r="AV321" s="111">
        <f>AV320*DataUK1!HT169/DataUK1!HT168</f>
        <v>881.9</v>
      </c>
      <c r="AW321" s="832"/>
      <c r="AY321" s="111"/>
      <c r="BE321" s="967">
        <f t="shared" si="188"/>
        <v>-422251.5</v>
      </c>
      <c r="BF321" s="2133">
        <f t="shared" si="187"/>
        <v>-0.32176445934618608</v>
      </c>
      <c r="BG321" s="385">
        <f>DataUK3!BS168</f>
        <v>-7.182790520017894E-2</v>
      </c>
    </row>
    <row r="322" spans="1:59" ht="12" customHeight="1">
      <c r="A322" s="110">
        <v>2011</v>
      </c>
      <c r="B322" s="1540"/>
      <c r="C322" s="1162"/>
      <c r="D322" s="959"/>
      <c r="E322" s="959"/>
      <c r="F322" s="959"/>
      <c r="G322" s="1547"/>
      <c r="H322" s="1145">
        <v>1150259</v>
      </c>
      <c r="I322" s="29"/>
      <c r="J322" s="981"/>
      <c r="K322" s="981"/>
      <c r="L322" s="981"/>
      <c r="M322" s="981"/>
      <c r="N322" s="29"/>
      <c r="O322" s="111">
        <v>1221762</v>
      </c>
      <c r="P322" s="29">
        <f t="shared" si="190"/>
        <v>1.0621625216581656</v>
      </c>
      <c r="Q322" s="1145"/>
      <c r="R322" s="981"/>
      <c r="S322" s="981"/>
      <c r="T322" s="1552"/>
      <c r="U322" s="108"/>
      <c r="V322" s="175"/>
      <c r="W322" s="175"/>
      <c r="X322" s="83"/>
      <c r="Y322" s="83"/>
      <c r="Z322" s="1428"/>
      <c r="AA322" s="1133"/>
      <c r="AB322" s="111">
        <f t="shared" si="180"/>
        <v>-130401</v>
      </c>
      <c r="AC322" s="111">
        <f t="shared" si="182"/>
        <v>0</v>
      </c>
      <c r="AD322" s="111"/>
      <c r="AE322" s="111"/>
      <c r="AF322" s="1567"/>
      <c r="AG322" s="1561"/>
      <c r="AL322" s="964"/>
      <c r="AM322" s="1428"/>
      <c r="AN322" s="1428"/>
      <c r="AP322" s="108"/>
      <c r="AV322" s="175">
        <f>AV321*DataUK1!HT170/DataUK1!HT169</f>
        <v>927.8</v>
      </c>
      <c r="AY322" s="111"/>
      <c r="BE322" s="87"/>
      <c r="BF322" s="68"/>
    </row>
    <row r="323" spans="1:59" ht="12" customHeight="1">
      <c r="A323" s="110">
        <v>2012</v>
      </c>
      <c r="B323" s="1540"/>
      <c r="C323" s="1162"/>
      <c r="D323" s="959"/>
      <c r="E323" s="959"/>
      <c r="F323" s="959"/>
      <c r="G323" s="1547"/>
      <c r="H323" s="1145">
        <v>1280660</v>
      </c>
      <c r="I323" s="29"/>
      <c r="J323" s="981"/>
      <c r="K323" s="981"/>
      <c r="L323" s="981"/>
      <c r="M323" s="981"/>
      <c r="N323" s="29"/>
      <c r="O323" s="111">
        <v>1498414</v>
      </c>
      <c r="P323" s="29">
        <f t="shared" si="190"/>
        <v>1.1700326394202989</v>
      </c>
      <c r="Q323" s="1145"/>
      <c r="R323" s="981"/>
      <c r="S323" s="981"/>
      <c r="T323" s="1552"/>
      <c r="U323" s="108"/>
      <c r="V323" s="83"/>
      <c r="W323" s="83"/>
      <c r="X323" s="83"/>
      <c r="Y323" s="83"/>
      <c r="Z323" s="1428"/>
      <c r="AA323" s="1133"/>
      <c r="AB323" s="111">
        <f t="shared" si="180"/>
        <v>-93540</v>
      </c>
      <c r="AC323" s="111">
        <f t="shared" si="182"/>
        <v>0</v>
      </c>
      <c r="AD323" s="111"/>
      <c r="AE323" s="111"/>
      <c r="AF323" s="1567"/>
      <c r="AG323" s="1561"/>
      <c r="AV323" s="175"/>
      <c r="BE323" s="87"/>
      <c r="BF323" s="68"/>
    </row>
    <row r="324" spans="1:59" ht="12" customHeight="1">
      <c r="A324" s="110">
        <v>2013</v>
      </c>
      <c r="B324" s="1540"/>
      <c r="C324" s="1162"/>
      <c r="D324" s="959"/>
      <c r="E324" s="959"/>
      <c r="F324" s="959"/>
      <c r="G324" s="1547"/>
      <c r="H324" s="1145">
        <v>1374200</v>
      </c>
      <c r="I324" s="29"/>
      <c r="J324" s="83"/>
      <c r="K324" s="981"/>
      <c r="L324" s="981"/>
      <c r="M324" s="981"/>
      <c r="N324" s="29"/>
      <c r="O324" s="981"/>
      <c r="P324" s="981"/>
      <c r="Q324" s="1145"/>
      <c r="R324" s="981"/>
      <c r="S324" s="981"/>
      <c r="T324" s="1552"/>
      <c r="U324" s="108"/>
      <c r="V324" s="83"/>
      <c r="W324" s="83"/>
      <c r="X324" s="83"/>
      <c r="Y324" s="83"/>
      <c r="Z324" s="1428"/>
      <c r="AA324" s="1133"/>
      <c r="AB324" s="111"/>
      <c r="AC324" s="111"/>
      <c r="AD324" s="111"/>
      <c r="AE324" s="111"/>
      <c r="AF324" s="1567"/>
      <c r="AG324" s="1561"/>
      <c r="AV324" s="175"/>
    </row>
    <row r="325" spans="1:59" ht="12" customHeight="1">
      <c r="H325" s="966"/>
      <c r="I325" s="966"/>
      <c r="K325" s="966"/>
      <c r="L325" s="966"/>
      <c r="M325" s="966"/>
      <c r="N325" s="29"/>
      <c r="O325" s="966"/>
      <c r="P325" s="966"/>
    </row>
    <row r="326" spans="1:59" ht="12" customHeight="1">
      <c r="H326" s="966"/>
      <c r="I326" s="966"/>
      <c r="K326" s="966"/>
      <c r="L326" s="966"/>
      <c r="M326" s="966"/>
      <c r="N326" s="29"/>
      <c r="O326" s="966"/>
      <c r="P326" s="966"/>
    </row>
    <row r="327" spans="1:59" ht="12" customHeight="1">
      <c r="H327" s="966"/>
      <c r="I327" s="966"/>
      <c r="K327" s="966"/>
      <c r="L327" s="966"/>
      <c r="M327" s="966"/>
      <c r="N327" s="29"/>
      <c r="O327" s="966"/>
      <c r="P327" s="966"/>
    </row>
    <row r="328" spans="1:59" ht="12" customHeight="1">
      <c r="H328" s="966"/>
      <c r="I328" s="966"/>
      <c r="K328" s="966"/>
      <c r="L328" s="966"/>
      <c r="M328" s="966"/>
      <c r="N328" s="966"/>
      <c r="O328" s="966"/>
      <c r="P328" s="966"/>
    </row>
  </sheetData>
  <mergeCells count="5">
    <mergeCell ref="C6:G6"/>
    <mergeCell ref="H6:N6"/>
    <mergeCell ref="Q6:S6"/>
    <mergeCell ref="AE10:AF10"/>
    <mergeCell ref="BF10:BG10"/>
  </mergeCells>
  <phoneticPr fontId="24" type="noConversion"/>
  <pageMargins left="0.75" right="0.75" top="1" bottom="1" header="0.4921259845" footer="0.4921259845"/>
  <pageSetup paperSize="9" orientation="portrait"/>
  <ignoredErrors>
    <ignoredError sqref="F249:F275" emptyCellReference="1"/>
  </ignoredError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enableFormatConditionsCalculation="0">
    <tabColor theme="3" tint="0.59999389629810485"/>
    <pageSetUpPr fitToPage="1"/>
  </sheetPr>
  <dimension ref="A1:Y224"/>
  <sheetViews>
    <sheetView workbookViewId="0">
      <pane xSplit="1" ySplit="7" topLeftCell="B8" activePane="bottomRight" state="frozen"/>
      <selection activeCell="B1" sqref="B1:C1"/>
      <selection pane="topRight" activeCell="B1" sqref="B1:C1"/>
      <selection pane="bottomLeft" activeCell="B1" sqref="B1:C1"/>
      <selection pane="bottomRight" activeCell="A4" sqref="A4:L4"/>
    </sheetView>
  </sheetViews>
  <sheetFormatPr baseColWidth="10" defaultRowHeight="12" x14ac:dyDescent="0"/>
  <cols>
    <col min="1" max="1" width="13.6640625" style="444" customWidth="1"/>
    <col min="2" max="11" width="9.5" style="444" customWidth="1"/>
    <col min="12" max="12" width="10.5" style="444" customWidth="1"/>
    <col min="13" max="16384" width="10.83203125" style="444"/>
  </cols>
  <sheetData>
    <row r="1" spans="1:16">
      <c r="B1" s="2252" t="s">
        <v>1416</v>
      </c>
      <c r="C1" s="2252"/>
    </row>
    <row r="2" spans="1:16">
      <c r="A2" s="442"/>
      <c r="B2" s="443"/>
      <c r="C2" s="443"/>
      <c r="D2" s="443"/>
      <c r="E2" s="443"/>
      <c r="F2" s="443"/>
      <c r="G2" s="443"/>
      <c r="H2" s="443"/>
      <c r="I2" s="443"/>
      <c r="J2" s="443"/>
      <c r="K2" s="443"/>
      <c r="L2" s="443"/>
    </row>
    <row r="3" spans="1:16" ht="13" thickBot="1"/>
    <row r="4" spans="1:16" ht="19.75" customHeight="1" thickTop="1">
      <c r="A4" s="2315" t="s">
        <v>884</v>
      </c>
      <c r="B4" s="2316"/>
      <c r="C4" s="2316"/>
      <c r="D4" s="2316"/>
      <c r="E4" s="2316"/>
      <c r="F4" s="2316"/>
      <c r="G4" s="2316"/>
      <c r="H4" s="2316"/>
      <c r="I4" s="2316"/>
      <c r="J4" s="2316"/>
      <c r="K4" s="2316"/>
      <c r="L4" s="2317"/>
    </row>
    <row r="5" spans="1:16">
      <c r="A5" s="445"/>
      <c r="B5" s="446"/>
      <c r="C5" s="446"/>
      <c r="D5" s="446"/>
      <c r="E5" s="446"/>
      <c r="F5" s="446"/>
      <c r="G5" s="446"/>
      <c r="H5" s="446"/>
      <c r="I5" s="446"/>
      <c r="J5" s="446"/>
      <c r="K5" s="446"/>
      <c r="L5" s="617"/>
    </row>
    <row r="6" spans="1:16">
      <c r="A6" s="445"/>
      <c r="B6" s="447" t="s">
        <v>952</v>
      </c>
      <c r="C6" s="447" t="s">
        <v>953</v>
      </c>
      <c r="D6" s="798" t="s">
        <v>954</v>
      </c>
      <c r="E6" s="798" t="s">
        <v>955</v>
      </c>
      <c r="F6" s="798" t="s">
        <v>956</v>
      </c>
      <c r="G6" s="798" t="s">
        <v>957</v>
      </c>
      <c r="H6" s="798" t="s">
        <v>958</v>
      </c>
      <c r="I6" s="798" t="s">
        <v>959</v>
      </c>
      <c r="J6" s="798" t="s">
        <v>960</v>
      </c>
      <c r="K6" s="798" t="s">
        <v>961</v>
      </c>
      <c r="L6" s="659" t="s">
        <v>962</v>
      </c>
    </row>
    <row r="7" spans="1:16" ht="156" customHeight="1">
      <c r="A7" s="451"/>
      <c r="B7" s="2158" t="s">
        <v>1084</v>
      </c>
      <c r="C7" s="2159" t="s">
        <v>1085</v>
      </c>
      <c r="D7" s="2160" t="s">
        <v>1086</v>
      </c>
      <c r="E7" s="2160" t="s">
        <v>1087</v>
      </c>
      <c r="F7" s="2160" t="s">
        <v>1088</v>
      </c>
      <c r="G7" s="2161" t="s">
        <v>1089</v>
      </c>
      <c r="H7" s="2160" t="s">
        <v>1090</v>
      </c>
      <c r="I7" s="2159" t="s">
        <v>1091</v>
      </c>
      <c r="J7" s="2162" t="s">
        <v>1092</v>
      </c>
      <c r="K7" s="2160" t="s">
        <v>1093</v>
      </c>
      <c r="L7" s="2163" t="s">
        <v>1094</v>
      </c>
      <c r="N7" s="442"/>
      <c r="O7" s="672"/>
      <c r="P7" s="442"/>
    </row>
    <row r="8" spans="1:16" ht="15" customHeight="1">
      <c r="A8" s="463" t="s">
        <v>444</v>
      </c>
      <c r="B8" s="464">
        <f>(((1+B11)^210)*((1+B35)^100))^(1/310)-1</f>
        <v>1.6473704149230661E-2</v>
      </c>
      <c r="C8" s="468">
        <f>(((1+C11)^210)*((1+C35)^100))^(1/310)-1</f>
        <v>1.5587164431262179E-2</v>
      </c>
      <c r="D8" s="466">
        <f>(1+B8)/(1+G8)-1</f>
        <v>9.9943712196197687E-3</v>
      </c>
      <c r="E8" s="466">
        <f>(1+D8)*(1+J8)/(1+K8)-1</f>
        <v>9.8944035131156571E-3</v>
      </c>
      <c r="F8" s="466">
        <f>(1+D8)*(1+G8)/(1+I8)-1</f>
        <v>9.6918065888664806E-3</v>
      </c>
      <c r="G8" s="805">
        <f>(((1+G11)^210)*((1+G35)^100))^(1/310)-1</f>
        <v>6.4152168707503066E-3</v>
      </c>
      <c r="H8" s="466">
        <f>(((1+H11)^210)*((1+H35)^100))^(1/310)-1</f>
        <v>7.566129908076924E-3</v>
      </c>
      <c r="I8" s="806">
        <f>(((1+I11)^210)*((1+I35)^100))^(1/310)-1</f>
        <v>6.7167996373824757E-3</v>
      </c>
      <c r="J8" s="469">
        <f>(((1+J11)^210)*((1+J35)^100))^(1/310)-1</f>
        <v>1.5571385665085646E-2</v>
      </c>
      <c r="K8" s="469">
        <f>(((1+K11)^210)*((1+K35)^100))^(1/310)-1</f>
        <v>1.5671915326268993E-2</v>
      </c>
      <c r="L8" s="470"/>
    </row>
    <row r="9" spans="1:16" ht="15" customHeight="1">
      <c r="A9" s="448"/>
      <c r="B9" s="471"/>
      <c r="C9" s="493"/>
      <c r="D9" s="477"/>
      <c r="E9" s="477"/>
      <c r="F9" s="477"/>
      <c r="G9" s="807"/>
      <c r="H9" s="478"/>
      <c r="I9" s="806"/>
      <c r="J9" s="476"/>
      <c r="K9" s="476"/>
      <c r="L9" s="657"/>
      <c r="N9" s="442"/>
      <c r="O9" s="442"/>
      <c r="P9" s="442"/>
    </row>
    <row r="10" spans="1:16" ht="4.75" customHeight="1">
      <c r="A10" s="451"/>
      <c r="B10" s="457"/>
      <c r="C10" s="460"/>
      <c r="D10" s="461"/>
      <c r="E10" s="461"/>
      <c r="F10" s="461"/>
      <c r="G10" s="459"/>
      <c r="H10" s="458"/>
      <c r="I10" s="806"/>
      <c r="J10" s="654"/>
      <c r="K10" s="654"/>
      <c r="L10" s="658"/>
      <c r="N10" s="442"/>
      <c r="O10" s="442"/>
      <c r="P10" s="442"/>
    </row>
    <row r="11" spans="1:16" ht="15" customHeight="1">
      <c r="A11" s="463" t="s">
        <v>443</v>
      </c>
      <c r="B11" s="464">
        <f>(((1+B14)^110)*((1+B20)^100))^(1/210)-1</f>
        <v>1.4970956450995665E-2</v>
      </c>
      <c r="C11" s="468">
        <f>(((1+C14)^110)*((1+C20)^100))^(1/210)-1</f>
        <v>1.510128263820798E-2</v>
      </c>
      <c r="D11" s="466">
        <f>(1+B11)/(1+G11)-1</f>
        <v>6.9933379785309668E-3</v>
      </c>
      <c r="E11" s="466">
        <f>(1+D11)*(1+J11)/(1+K11)-1</f>
        <v>6.9933379785309668E-3</v>
      </c>
      <c r="F11" s="466">
        <f>(1+D11)*(1+G11)/(1+I11)-1</f>
        <v>7.0509233331181864E-3</v>
      </c>
      <c r="G11" s="805">
        <f>(((1+G14)^110)*((1+G20)^100))^(1/210)-1</f>
        <v>7.9222157402543125E-3</v>
      </c>
      <c r="H11" s="466">
        <f>(((1+H14)^110)*((1+H20)^100))^(1/210)-1</f>
        <v>8.3857353526328726E-3</v>
      </c>
      <c r="I11" s="806">
        <f>(((1+I14)^110)*((1+I20)^100))^(1/210)-1</f>
        <v>7.8645805632786558E-3</v>
      </c>
      <c r="J11" s="469">
        <f>(((1+J14)^110)*((1+J20)^100))^(1/210)-1</f>
        <v>1.4310321131254522E-3</v>
      </c>
      <c r="K11" s="469">
        <f>(((1+K14)^110)*((1+K20)^100))^(1/210)-1</f>
        <v>1.4310321131254522E-3</v>
      </c>
      <c r="L11" s="470"/>
    </row>
    <row r="12" spans="1:16" ht="15" customHeight="1">
      <c r="A12" s="448"/>
      <c r="B12" s="471"/>
      <c r="C12" s="493"/>
      <c r="D12" s="477"/>
      <c r="E12" s="477"/>
      <c r="F12" s="477"/>
      <c r="G12" s="807"/>
      <c r="H12" s="478"/>
      <c r="I12" s="806"/>
      <c r="J12" s="476"/>
      <c r="K12" s="476"/>
      <c r="L12" s="657"/>
      <c r="N12" s="442"/>
      <c r="O12" s="824"/>
      <c r="P12" s="824"/>
    </row>
    <row r="13" spans="1:16" ht="4.75" customHeight="1">
      <c r="A13" s="451"/>
      <c r="B13" s="457"/>
      <c r="C13" s="460"/>
      <c r="D13" s="461"/>
      <c r="E13" s="461"/>
      <c r="F13" s="461"/>
      <c r="G13" s="459"/>
      <c r="H13" s="458"/>
      <c r="I13" s="806"/>
      <c r="J13" s="654"/>
      <c r="K13" s="654"/>
      <c r="L13" s="658"/>
      <c r="N13" s="442"/>
      <c r="O13" s="824"/>
      <c r="P13" s="824"/>
    </row>
    <row r="14" spans="1:16" ht="15" customHeight="1">
      <c r="A14" s="463" t="s">
        <v>676</v>
      </c>
      <c r="B14" s="464">
        <f>(TableUK2!D21/TableUK2!D10)^(1/110)-1</f>
        <v>9.7858877662369004E-3</v>
      </c>
      <c r="C14" s="468">
        <f>(TableUK2!E21/TableUK2!E10)^(1/110)-1</f>
        <v>1.0274612187340937E-2</v>
      </c>
      <c r="D14" s="466">
        <f>(1+B14)/(1+G14)-1</f>
        <v>2.1727148128682927E-3</v>
      </c>
      <c r="E14" s="466">
        <f>(1+D14)*(1+J14)/(1+K14)-1</f>
        <v>2.1727148128682927E-3</v>
      </c>
      <c r="F14" s="466">
        <f>(1+D14)*(1+G14)/(1+I14)-1</f>
        <v>2.1727148128682927E-3</v>
      </c>
      <c r="G14" s="465">
        <f>(TableUK2!R21/TableUK2!R10)^(1/110)-1</f>
        <v>7.5966675612297863E-3</v>
      </c>
      <c r="H14" s="467">
        <f>(TableUK2!S21/TableUK2!S10)^(1/110)-1</f>
        <v>7.5966675612297863E-3</v>
      </c>
      <c r="I14" s="806">
        <f>(TableUK2!T21/TableUK2!T10)^(1/110)-1</f>
        <v>7.5966675612297863E-3</v>
      </c>
      <c r="J14" s="469">
        <f>(TableUK5d!$P21/TableUK5d!$P10)^(1/110)-1</f>
        <v>5.5611914348021596E-3</v>
      </c>
      <c r="K14" s="469">
        <f>(TableUK5d!$P21/TableUK5d!$P10)^(1/110)-1</f>
        <v>5.5611914348021596E-3</v>
      </c>
      <c r="L14" s="470"/>
      <c r="N14" s="827"/>
      <c r="O14" s="823"/>
      <c r="P14" s="823"/>
    </row>
    <row r="15" spans="1:16" ht="15" customHeight="1">
      <c r="A15" s="448"/>
      <c r="B15" s="471"/>
      <c r="C15" s="493"/>
      <c r="D15" s="477"/>
      <c r="E15" s="477"/>
      <c r="F15" s="477"/>
      <c r="G15" s="807"/>
      <c r="H15" s="478"/>
      <c r="I15" s="460"/>
      <c r="J15" s="476"/>
      <c r="K15" s="476"/>
      <c r="L15" s="657"/>
      <c r="N15" s="442"/>
      <c r="O15" s="824"/>
      <c r="P15" s="824"/>
    </row>
    <row r="16" spans="1:16" ht="4.75" customHeight="1">
      <c r="A16" s="451"/>
      <c r="B16" s="457"/>
      <c r="C16" s="460"/>
      <c r="D16" s="461"/>
      <c r="E16" s="461"/>
      <c r="F16" s="461"/>
      <c r="G16" s="459"/>
      <c r="H16" s="458"/>
      <c r="I16" s="460"/>
      <c r="J16" s="461"/>
      <c r="K16" s="461"/>
      <c r="L16" s="658"/>
      <c r="N16" s="442"/>
      <c r="O16" s="824"/>
      <c r="P16" s="824"/>
    </row>
    <row r="17" spans="1:25" ht="15" customHeight="1">
      <c r="A17" s="463" t="s">
        <v>387</v>
      </c>
      <c r="B17" s="464">
        <f>(((1+B20)^100)*((1+B35)^100))^(1/200)-1</f>
        <v>2.0170864526014354E-2</v>
      </c>
      <c r="C17" s="468">
        <f>(((1+C20)^100)*((1+C35)^100))^(1/200)-1</f>
        <v>1.8520966586515586E-2</v>
      </c>
      <c r="D17" s="466">
        <f>(1+B17)/(1+G17)-1</f>
        <v>1.432227258519525E-2</v>
      </c>
      <c r="E17" s="466">
        <f>(1+D17)*(1+J17)/(1+K17)-1</f>
        <v>1.4166662903749128E-2</v>
      </c>
      <c r="F17" s="466">
        <f>(1+D17)*(1+G17)/(1+I17)-1</f>
        <v>1.3851326616213688E-2</v>
      </c>
      <c r="G17" s="808">
        <f>(((1+G20)^100)*((1+G35)^100))^(1/200)-1</f>
        <v>5.7660095798870437E-3</v>
      </c>
      <c r="H17" s="469">
        <f>(((1+H20)^100)*((1+H35)^100))^(1/200)-1</f>
        <v>7.5493345933466127E-3</v>
      </c>
      <c r="I17" s="809">
        <f>(((1+I20)^100)*((1+I35)^100))^(1/200)-1</f>
        <v>6.2331998231854868E-3</v>
      </c>
      <c r="J17" s="469">
        <f>(((1+J20)^100)*((1+J35)^100))^(1/200)-1</f>
        <v>2.1119405028101612E-2</v>
      </c>
      <c r="K17" s="469">
        <f>(((1+K20)^100)*((1+K35)^100))^(1/200)-1</f>
        <v>2.1276081510525069E-2</v>
      </c>
      <c r="L17" s="470"/>
      <c r="N17" s="827"/>
      <c r="O17" s="832"/>
      <c r="P17" s="832"/>
    </row>
    <row r="18" spans="1:25" ht="15" customHeight="1">
      <c r="A18" s="448"/>
      <c r="B18" s="471"/>
      <c r="C18" s="493"/>
      <c r="D18" s="477"/>
      <c r="E18" s="477"/>
      <c r="F18" s="477"/>
      <c r="G18" s="807"/>
      <c r="H18" s="478"/>
      <c r="I18" s="810"/>
      <c r="J18" s="476"/>
      <c r="K18" s="476"/>
      <c r="L18" s="657"/>
      <c r="N18" s="428"/>
      <c r="O18" s="826"/>
      <c r="P18" s="826"/>
    </row>
    <row r="19" spans="1:25" ht="4.75" customHeight="1">
      <c r="A19" s="451"/>
      <c r="B19" s="457"/>
      <c r="C19" s="460"/>
      <c r="D19" s="461"/>
      <c r="E19" s="461"/>
      <c r="F19" s="461"/>
      <c r="G19" s="459"/>
      <c r="H19" s="458"/>
      <c r="I19" s="460"/>
      <c r="J19" s="461"/>
      <c r="K19" s="461"/>
      <c r="L19" s="658"/>
      <c r="N19" s="428"/>
      <c r="O19" s="826"/>
      <c r="P19" s="826"/>
    </row>
    <row r="20" spans="1:25" ht="15" customHeight="1">
      <c r="A20" s="463" t="s">
        <v>665</v>
      </c>
      <c r="B20" s="464">
        <f>(TableUK1!D65/TableUK2!D21)^(1/100)-1</f>
        <v>2.0705288436547287E-2</v>
      </c>
      <c r="C20" s="468">
        <f>(TableUK1!E65/TableUK2!E21)^(1/100)-1</f>
        <v>2.0437258459756746E-2</v>
      </c>
      <c r="D20" s="466">
        <f>(1+B20)/(1+G20)-1</f>
        <v>1.2322809921229139E-2</v>
      </c>
      <c r="E20" s="466">
        <f>(1+D20)*(1+J20)/(1+K20)-1</f>
        <v>1.2322809921229139E-2</v>
      </c>
      <c r="F20" s="466">
        <f>(1+D20)*(1+G20)/(1+I20)-1</f>
        <v>1.2444383002652826E-2</v>
      </c>
      <c r="G20" s="808">
        <f>(TableUK1!$R65/TableUK2!$R21)^(1/100)-1</f>
        <v>8.2804402243692454E-3</v>
      </c>
      <c r="H20" s="466">
        <f>(((1+H23)^45)*((1+H26)^55))^(1/100)-1</f>
        <v>9.2544236552760673E-3</v>
      </c>
      <c r="I20" s="809">
        <f>(((1+I23)^45)*((1+I26)^55))^(1/100)-1</f>
        <v>8.159367144094043E-3</v>
      </c>
      <c r="J20" s="469">
        <f>(TableUK5d!$P27/TableUK5d!$P21)^(1/100)-1</f>
        <v>-3.0925525481902971E-3</v>
      </c>
      <c r="K20" s="469">
        <f>(TableUK5d!$P27/TableUK5d!$P21)^(1/100)-1</f>
        <v>-3.0925525481902971E-3</v>
      </c>
      <c r="L20" s="470"/>
      <c r="N20" s="827"/>
      <c r="O20" s="829"/>
      <c r="P20" s="830"/>
    </row>
    <row r="21" spans="1:25" ht="15" customHeight="1">
      <c r="A21" s="448"/>
      <c r="B21" s="471"/>
      <c r="C21" s="493"/>
      <c r="D21" s="477"/>
      <c r="E21" s="477"/>
      <c r="F21" s="477"/>
      <c r="G21" s="807"/>
      <c r="H21" s="478"/>
      <c r="I21" s="810"/>
      <c r="J21" s="476"/>
      <c r="K21" s="476"/>
      <c r="L21" s="657"/>
    </row>
    <row r="22" spans="1:25" ht="4.75" customHeight="1">
      <c r="A22" s="448"/>
      <c r="B22" s="471"/>
      <c r="C22" s="493"/>
      <c r="D22" s="477"/>
      <c r="E22" s="477"/>
      <c r="F22" s="461"/>
      <c r="G22" s="807"/>
      <c r="H22" s="478"/>
      <c r="I22" s="810"/>
      <c r="J22" s="476"/>
      <c r="K22" s="476"/>
      <c r="L22" s="657"/>
    </row>
    <row r="23" spans="1:25" ht="15" customHeight="1">
      <c r="A23" s="463" t="s">
        <v>437</v>
      </c>
      <c r="B23" s="464">
        <f>(TableUK2!D25/TableUK2!D21)^(1/45)-1</f>
        <v>1.8000000000000016E-2</v>
      </c>
      <c r="C23" s="468">
        <f>(TableUK2!E25/TableUK2!E21)^(1/45)-1</f>
        <v>1.9064518690149246E-2</v>
      </c>
      <c r="D23" s="466">
        <f>(1+B23)/(1+G23)-1</f>
        <v>1.0210189068128761E-2</v>
      </c>
      <c r="E23" s="466">
        <f>(1+D23)*(1+J23)/(1+K23)-1</f>
        <v>1.0210189068128761E-2</v>
      </c>
      <c r="F23" s="466">
        <f>(1+D23)*(1+G23)/(1+I23)-1</f>
        <v>1.0927209014935269E-2</v>
      </c>
      <c r="G23" s="808">
        <f>(TableUK2!$R25/TableUK2!$R21)^(1/45)-1</f>
        <v>7.7110793537500388E-3</v>
      </c>
      <c r="H23" s="469">
        <f>(TableUK2!$S25/TableUK2!$S21)^(1/45)-1</f>
        <v>6.996340509972665E-3</v>
      </c>
      <c r="I23" s="811">
        <f>(TableUK2!$S25/TableUK2!$S21)^(1/45)-1</f>
        <v>6.996340509972665E-3</v>
      </c>
      <c r="J23" s="469">
        <f>(TableUK5d!$P25/TableUK5d!$P21)^(1/45)-1</f>
        <v>-5.3355278061634204E-3</v>
      </c>
      <c r="K23" s="469">
        <f>(TableUK5d!$P25/TableUK5d!$P21)^(1/45)-1</f>
        <v>-5.3355278061634204E-3</v>
      </c>
      <c r="L23" s="470"/>
    </row>
    <row r="24" spans="1:25" ht="15" customHeight="1">
      <c r="A24" s="448"/>
      <c r="B24" s="471"/>
      <c r="C24" s="493"/>
      <c r="D24" s="477"/>
      <c r="E24" s="477"/>
      <c r="F24" s="477"/>
      <c r="G24" s="807"/>
      <c r="H24" s="478"/>
      <c r="I24" s="810"/>
      <c r="J24" s="476"/>
      <c r="K24" s="476"/>
      <c r="L24" s="657"/>
    </row>
    <row r="25" spans="1:25" ht="4.75" customHeight="1">
      <c r="A25" s="448"/>
      <c r="B25" s="471"/>
      <c r="C25" s="493"/>
      <c r="D25" s="461"/>
      <c r="E25" s="461"/>
      <c r="F25" s="461"/>
      <c r="G25" s="807"/>
      <c r="H25" s="478"/>
      <c r="I25" s="810"/>
      <c r="J25" s="476"/>
      <c r="K25" s="476"/>
      <c r="L25" s="657"/>
    </row>
    <row r="26" spans="1:25" ht="15" customHeight="1">
      <c r="A26" s="463" t="s">
        <v>442</v>
      </c>
      <c r="B26" s="464">
        <f>TableUK5a!B192</f>
        <v>2.2924052711889908E-2</v>
      </c>
      <c r="C26" s="468">
        <f>TableUK5a!C192</f>
        <v>2.156178447719026E-2</v>
      </c>
      <c r="D26" s="466">
        <f>(1+B26)/(1+G26)-1</f>
        <v>1.3837458356321664E-2</v>
      </c>
      <c r="E26" s="466">
        <f>(1+D26)*(1+J26)/(1+K26)-1</f>
        <v>1.3837458356321664E-2</v>
      </c>
      <c r="F26" s="466">
        <f>(1+D26)*(1+G26)/(1+I26)-1</f>
        <v>1.3687400609468492E-2</v>
      </c>
      <c r="G26" s="808">
        <f>(TableUK1!R$66/TableUK1!R$16)^(1/50)-1</f>
        <v>8.96257509591325E-3</v>
      </c>
      <c r="H26" s="469">
        <f>(TableUK1!S$66/TableUK1!S$16)^(1/50)-1</f>
        <v>1.1105711966857612E-2</v>
      </c>
      <c r="I26" s="809">
        <f>(TableUK1!T$66/TableUK1!T$16)^(1/50)-1</f>
        <v>9.1119334193834334E-3</v>
      </c>
      <c r="J26" s="469">
        <f>(DataUK1!HU$69/DataUK1!HU$19)^(1/50)-1</f>
        <v>2.0944792850108307E-4</v>
      </c>
      <c r="K26" s="469">
        <f>(DataUK1!HT$69/DataUK1!HT$19)^(1/50)-1</f>
        <v>2.0944792850108307E-4</v>
      </c>
      <c r="L26" s="470"/>
      <c r="N26" s="682"/>
    </row>
    <row r="27" spans="1:25" ht="15" customHeight="1">
      <c r="A27" s="448"/>
      <c r="B27" s="471"/>
      <c r="C27" s="493"/>
      <c r="D27" s="477"/>
      <c r="E27" s="477"/>
      <c r="F27" s="477"/>
      <c r="G27" s="807"/>
      <c r="H27" s="478"/>
      <c r="I27" s="810"/>
      <c r="J27" s="476"/>
      <c r="K27" s="476"/>
      <c r="L27" s="657"/>
    </row>
    <row r="28" spans="1:25" ht="4.75" customHeight="1">
      <c r="A28" s="451"/>
      <c r="B28" s="457"/>
      <c r="C28" s="460"/>
      <c r="D28" s="461"/>
      <c r="E28" s="461"/>
      <c r="F28" s="461"/>
      <c r="G28" s="459"/>
      <c r="H28" s="458"/>
      <c r="I28" s="460"/>
      <c r="J28" s="654"/>
      <c r="K28" s="654"/>
      <c r="L28" s="658"/>
    </row>
    <row r="29" spans="1:25" s="426" customFormat="1" ht="15" customHeight="1">
      <c r="A29" s="463" t="s">
        <v>1041</v>
      </c>
      <c r="B29" s="464">
        <f>TableUK5a!B195</f>
        <v>1.941209533472299E-2</v>
      </c>
      <c r="C29" s="468">
        <f>TableUK5a!C195</f>
        <v>1.7330959813528501E-2</v>
      </c>
      <c r="D29" s="686">
        <f>(1+B29)/(1+G29)-1</f>
        <v>1.4416107109665122E-2</v>
      </c>
      <c r="E29" s="686">
        <f>(1+D29)*(1+J29)/(1+K29)-1</f>
        <v>1.4193794308692276E-2</v>
      </c>
      <c r="F29" s="686">
        <f>(1+D29)*(1+G29)/(1+I29)-1</f>
        <v>1.3686319652592926E-2</v>
      </c>
      <c r="G29" s="808">
        <f>(TableUK1!R166/TableUK1!R25)^(1/140)-1</f>
        <v>4.9249890553224596E-3</v>
      </c>
      <c r="H29" s="469">
        <f>(TableUK1!S166/TableUK1!S25)^(1/140)-1</f>
        <v>7.5811834525900679E-3</v>
      </c>
      <c r="I29" s="809">
        <f>(TableUK1!T166/TableUK1!T25)^(1/140)-1</f>
        <v>5.6484689307954028E-3</v>
      </c>
      <c r="J29" s="469">
        <f>(DataUK1!HU$169/DataUK1!HU$29)^(1/140)-1</f>
        <v>3.2588535552119602E-2</v>
      </c>
      <c r="K29" s="469">
        <f>(DataUK1!HT$169/DataUK1!HT$29)^(1/140)-1</f>
        <v>3.2814880507964661E-2</v>
      </c>
      <c r="L29" s="470"/>
      <c r="N29" s="828"/>
      <c r="O29" s="823"/>
      <c r="P29" s="824"/>
      <c r="R29" s="444"/>
      <c r="S29" s="444"/>
      <c r="T29" s="444"/>
      <c r="U29" s="444"/>
      <c r="W29" s="444"/>
      <c r="X29" s="444"/>
      <c r="Y29" s="444"/>
    </row>
    <row r="30" spans="1:25" s="426" customFormat="1" ht="15" customHeight="1">
      <c r="A30" s="448"/>
      <c r="B30" s="471"/>
      <c r="C30" s="493"/>
      <c r="D30" s="477"/>
      <c r="E30" s="477"/>
      <c r="F30" s="477"/>
      <c r="G30" s="812"/>
      <c r="H30" s="687"/>
      <c r="I30" s="813"/>
      <c r="J30" s="476"/>
      <c r="K30" s="476"/>
      <c r="L30" s="657"/>
      <c r="T30" s="444"/>
    </row>
    <row r="31" spans="1:25" s="426" customFormat="1" ht="4.75" customHeight="1">
      <c r="A31" s="448"/>
      <c r="B31" s="471"/>
      <c r="C31" s="493"/>
      <c r="D31" s="461"/>
      <c r="E31" s="461"/>
      <c r="F31" s="461"/>
      <c r="G31" s="812"/>
      <c r="H31" s="687"/>
      <c r="I31" s="813"/>
      <c r="J31" s="476"/>
      <c r="K31" s="476"/>
      <c r="L31" s="657"/>
      <c r="T31" s="444"/>
    </row>
    <row r="32" spans="1:25" s="426" customFormat="1" ht="15" customHeight="1">
      <c r="A32" s="463" t="s">
        <v>1042</v>
      </c>
      <c r="B32" s="464">
        <f>TableUK5a!B198</f>
        <v>1.8850749066462447E-2</v>
      </c>
      <c r="C32" s="468">
        <f>TableUK5a!C198</f>
        <v>1.9139924419163679E-2</v>
      </c>
      <c r="D32" s="686">
        <f>(1+B32)/(1+G32)-1</f>
        <v>9.6578461613168187E-3</v>
      </c>
      <c r="E32" s="686">
        <f>(1+D32)*(1+J32)/(1+K32)-1</f>
        <v>9.6578461613168187E-3</v>
      </c>
      <c r="F32" s="686">
        <f>(1+D32)*(1+G32)/(1+I32)-1</f>
        <v>9.7622217980866122E-3</v>
      </c>
      <c r="G32" s="808">
        <f>(TableUK1!R65/TableUK1!R25)^(1/40)-1</f>
        <v>9.1049685198769659E-3</v>
      </c>
      <c r="H32" s="469">
        <f>(TableUK1!S65/TableUK1!S25)^(1/40)-1</f>
        <v>1.1929416809310256E-2</v>
      </c>
      <c r="I32" s="809">
        <f>(TableUK1!T65/TableUK1!T25)^(1/40)-1</f>
        <v>9.0006608211108396E-3</v>
      </c>
      <c r="J32" s="469">
        <f>(DataUK1!HU$69/DataUK1!HU$29)^(1/40)-1</f>
        <v>0</v>
      </c>
      <c r="K32" s="469">
        <f>(DataUK1!HT$69/DataUK1!HT$29)^(1/40)-1</f>
        <v>0</v>
      </c>
      <c r="L32" s="470"/>
      <c r="N32" s="688"/>
      <c r="R32" s="444"/>
      <c r="S32" s="444"/>
      <c r="T32" s="444"/>
      <c r="U32" s="444"/>
      <c r="W32" s="444"/>
      <c r="X32" s="444"/>
      <c r="Y32" s="444"/>
    </row>
    <row r="33" spans="1:25" s="426" customFormat="1" ht="15" customHeight="1">
      <c r="A33" s="448"/>
      <c r="B33" s="471"/>
      <c r="C33" s="493"/>
      <c r="D33" s="477"/>
      <c r="E33" s="477"/>
      <c r="F33" s="477"/>
      <c r="G33" s="812"/>
      <c r="H33" s="687"/>
      <c r="I33" s="813"/>
      <c r="J33" s="476"/>
      <c r="K33" s="476"/>
      <c r="L33" s="657"/>
      <c r="T33" s="444"/>
    </row>
    <row r="34" spans="1:25" s="426" customFormat="1" ht="4.75" customHeight="1">
      <c r="A34" s="448"/>
      <c r="B34" s="471"/>
      <c r="C34" s="493"/>
      <c r="D34" s="461"/>
      <c r="E34" s="461"/>
      <c r="F34" s="461"/>
      <c r="G34" s="812"/>
      <c r="H34" s="687"/>
      <c r="I34" s="813"/>
      <c r="J34" s="476"/>
      <c r="K34" s="476"/>
      <c r="L34" s="657"/>
      <c r="T34" s="444"/>
    </row>
    <row r="35" spans="1:25" s="426" customFormat="1" ht="15" customHeight="1">
      <c r="A35" s="463" t="s">
        <v>666</v>
      </c>
      <c r="B35" s="464">
        <f>(((1+B38)^40)*((1+B41)^60))^(1/100)-1</f>
        <v>1.9636720430742161E-2</v>
      </c>
      <c r="C35" s="468">
        <f>(((1+C38)^40)*((1+C41)^60))^(1/100)-1</f>
        <v>1.6608273341718105E-2</v>
      </c>
      <c r="D35" s="686">
        <f>(1+B35)/(1+G35)-1</f>
        <v>1.6325684435039456E-2</v>
      </c>
      <c r="E35" s="686">
        <f>(1+D35)*(1+J35)/(1+K35)-1</f>
        <v>1.6013874295057517E-2</v>
      </c>
      <c r="F35" s="686">
        <f>(1+D35)*(1+G35)/(1+I35)-1</f>
        <v>1.5260225389352344E-2</v>
      </c>
      <c r="G35" s="808">
        <f>(TableUK1!R$166/TableUK1!R$65)^(1/100)-1</f>
        <v>3.2578493748716131E-3</v>
      </c>
      <c r="H35" s="469">
        <f>(TableUK1!S$166/TableUK1!S$65)^(1/100)-1</f>
        <v>5.8471262011876579E-3</v>
      </c>
      <c r="I35" s="809">
        <f>(TableUK1!T$166/TableUK1!T$65)^(1/100)-1</f>
        <v>4.3107125955923475E-3</v>
      </c>
      <c r="J35" s="469">
        <f>(DataUK1!HU$169/DataUK1!HU$69)^(1/100)-1</f>
        <v>4.5919400030710822E-2</v>
      </c>
      <c r="K35" s="469">
        <f>(DataUK1!HT$169/DataUK1!HT$69)^(1/100)-1</f>
        <v>4.6240388043556235E-2</v>
      </c>
      <c r="L35" s="470"/>
      <c r="N35" s="688"/>
      <c r="O35" s="831"/>
      <c r="P35" s="822"/>
      <c r="R35" s="444"/>
      <c r="S35" s="444"/>
      <c r="T35" s="444"/>
      <c r="U35" s="444"/>
      <c r="W35" s="444"/>
      <c r="X35" s="444"/>
      <c r="Y35" s="444"/>
    </row>
    <row r="36" spans="1:25" ht="15" customHeight="1">
      <c r="A36" s="448"/>
      <c r="B36" s="471"/>
      <c r="C36" s="493"/>
      <c r="D36" s="477"/>
      <c r="E36" s="477"/>
      <c r="F36" s="477"/>
      <c r="G36" s="807"/>
      <c r="H36" s="478"/>
      <c r="I36" s="810"/>
      <c r="J36" s="476"/>
      <c r="K36" s="476"/>
      <c r="L36" s="657"/>
      <c r="N36" s="428"/>
      <c r="O36" s="825"/>
      <c r="P36" s="825"/>
    </row>
    <row r="37" spans="1:25" ht="4.75" customHeight="1">
      <c r="A37" s="448"/>
      <c r="B37" s="471"/>
      <c r="C37" s="493"/>
      <c r="D37" s="461"/>
      <c r="E37" s="461"/>
      <c r="F37" s="461"/>
      <c r="G37" s="807"/>
      <c r="H37" s="478"/>
      <c r="I37" s="810"/>
      <c r="J37" s="469"/>
      <c r="K37" s="469"/>
      <c r="L37" s="470"/>
    </row>
    <row r="38" spans="1:25" ht="15" customHeight="1">
      <c r="A38" s="463" t="s">
        <v>667</v>
      </c>
      <c r="B38" s="464">
        <f>TableUK5a!B204</f>
        <v>1.4219755454262906E-2</v>
      </c>
      <c r="C38" s="468">
        <f>TableUK5a!C204</f>
        <v>-2.9766695452202452E-3</v>
      </c>
      <c r="D38" s="466">
        <f>(1+B38)/(1+G38)-1</f>
        <v>1.1363348291281383E-2</v>
      </c>
      <c r="E38" s="466">
        <f>(1+D38)*(1+J38)/(1+K38)-1</f>
        <v>1.1160932851072003E-2</v>
      </c>
      <c r="F38" s="466">
        <f>(1+D38)*(1+G38)/(1+I38)-1</f>
        <v>9.7033671878463679E-3</v>
      </c>
      <c r="G38" s="808">
        <f>(TableUK1!R$106/TableUK1!R$65)^(1/40)-1</f>
        <v>2.8243135049410562E-3</v>
      </c>
      <c r="H38" s="469">
        <f>(TableUK1!S$106/TableUK1!S$65)^(1/40)-1</f>
        <v>7.5607789633638234E-3</v>
      </c>
      <c r="I38" s="809">
        <f>(TableUK1!T$106/TableUK1!T$65)^(1/40)-1</f>
        <v>4.4729852481282251E-3</v>
      </c>
      <c r="J38" s="469">
        <f>(DataUK1!HU$109/DataUK1!HU$69)^(1/40)-1</f>
        <v>3.114357194390327E-2</v>
      </c>
      <c r="K38" s="469">
        <f>(DataUK1!HT$109/DataUK1!HT$69)^(1/40)-1</f>
        <v>3.1349987533403345E-2</v>
      </c>
      <c r="L38" s="470"/>
      <c r="N38" s="682"/>
    </row>
    <row r="39" spans="1:25" ht="15" customHeight="1">
      <c r="A39" s="448"/>
      <c r="B39" s="471"/>
      <c r="C39" s="493"/>
      <c r="D39" s="477"/>
      <c r="E39" s="477"/>
      <c r="F39" s="477"/>
      <c r="G39" s="807"/>
      <c r="H39" s="478"/>
      <c r="I39" s="810"/>
      <c r="J39" s="476"/>
      <c r="K39" s="476"/>
      <c r="L39" s="657"/>
    </row>
    <row r="40" spans="1:25" ht="4" customHeight="1">
      <c r="A40" s="448"/>
      <c r="B40" s="471"/>
      <c r="C40" s="493"/>
      <c r="D40" s="477"/>
      <c r="E40" s="477"/>
      <c r="F40" s="461"/>
      <c r="G40" s="807"/>
      <c r="H40" s="478"/>
      <c r="I40" s="810"/>
      <c r="J40" s="469"/>
      <c r="K40" s="469"/>
      <c r="L40" s="470"/>
    </row>
    <row r="41" spans="1:25" ht="15" customHeight="1">
      <c r="A41" s="463" t="s">
        <v>374</v>
      </c>
      <c r="B41" s="464">
        <f>TableUK5a!B210</f>
        <v>2.3264094283384606E-2</v>
      </c>
      <c r="C41" s="468">
        <f>TableUK5a!C210</f>
        <v>2.9878169114145869E-2</v>
      </c>
      <c r="D41" s="466">
        <f>(1+B41)/(1+G41)-1</f>
        <v>1.9647427892925062E-2</v>
      </c>
      <c r="E41" s="466">
        <f>(1+D41)*(1+J41)/(1+K41)-1</f>
        <v>1.9262101196541703E-2</v>
      </c>
      <c r="F41" s="466">
        <f>(1+D41)*(1+G41)/(1+I41)-1</f>
        <v>1.8981777111989784E-2</v>
      </c>
      <c r="G41" s="808">
        <f>(TableUK1!R$166/TableUK1!R$106)^(1/60)-1</f>
        <v>3.5469774076057892E-3</v>
      </c>
      <c r="H41" s="469">
        <f>(TableUK1!S$166/TableUK1!S$106)^(1/60)-1</f>
        <v>4.7063105377778136E-3</v>
      </c>
      <c r="I41" s="809">
        <f>(TableUK1!T$166/TableUK1!T$106)^(1/60)-1</f>
        <v>4.2025453914709132E-3</v>
      </c>
      <c r="J41" s="469">
        <f>(DataUK1!HU$169/DataUK1!HU$109)^(1/60)-1</f>
        <v>5.5887394045300409E-2</v>
      </c>
      <c r="K41" s="469">
        <f>(DataUK1!HT$169/DataUK1!HT$109)^(1/60)-1</f>
        <v>5.6286566741727384E-2</v>
      </c>
      <c r="L41" s="470">
        <f>(DataUK1!HV$169/DataUK1!HV$109)^(1/60)-1</f>
        <v>5.3187045579645709E-2</v>
      </c>
      <c r="N41" s="682"/>
    </row>
    <row r="42" spans="1:25" ht="15" customHeight="1">
      <c r="A42" s="448"/>
      <c r="B42" s="471"/>
      <c r="C42" s="493"/>
      <c r="D42" s="477"/>
      <c r="E42" s="477"/>
      <c r="F42" s="477"/>
      <c r="G42" s="807"/>
      <c r="H42" s="478"/>
      <c r="I42" s="810"/>
      <c r="J42" s="476"/>
      <c r="K42" s="476"/>
      <c r="L42" s="657"/>
    </row>
    <row r="43" spans="1:25" ht="4.75" customHeight="1">
      <c r="A43" s="448"/>
      <c r="B43" s="471"/>
      <c r="C43" s="493"/>
      <c r="D43" s="461"/>
      <c r="E43" s="461"/>
      <c r="F43" s="461"/>
      <c r="G43" s="807"/>
      <c r="H43" s="478"/>
      <c r="I43" s="810"/>
      <c r="J43" s="469"/>
      <c r="K43" s="469"/>
      <c r="L43" s="470"/>
    </row>
    <row r="44" spans="1:25" ht="15">
      <c r="A44" s="479" t="s">
        <v>288</v>
      </c>
      <c r="B44" s="464">
        <f>TableUK5a!B213</f>
        <v>2.1057290398024175E-2</v>
      </c>
      <c r="C44" s="468">
        <f>TableUK5a!C213</f>
        <v>1.6402858544086074E-2</v>
      </c>
      <c r="D44" s="466">
        <f>(1+B44)/(1+G44)-1</f>
        <v>1.7197524254923824E-2</v>
      </c>
      <c r="E44" s="466">
        <f>(1+D44)*(1+J44)/(1+K44)-1</f>
        <v>1.8689048659338736E-2</v>
      </c>
      <c r="F44" s="466">
        <f>(1+D44)*(1+G44)/(1+I44)-1</f>
        <v>1.7606995719379626E-2</v>
      </c>
      <c r="G44" s="808">
        <f>(TableUK1!R$136/TableUK1!R$106)^(1/30)-1</f>
        <v>3.7945099659257853E-3</v>
      </c>
      <c r="H44" s="469">
        <f>(TableUK1!S$136/TableUK1!S$106)^(1/30)-1</f>
        <v>3.5109905449153267E-3</v>
      </c>
      <c r="I44" s="809">
        <f>(TableUK1!T$136/TableUK1!T$106)^(1/30)-1</f>
        <v>3.3905964612648276E-3</v>
      </c>
      <c r="J44" s="469">
        <f>(DataUK1!HU$139/DataUK1!HU$109)^(1/30)-1</f>
        <v>7.330433269554204E-2</v>
      </c>
      <c r="K44" s="469">
        <f>(DataUK1!HT$139/DataUK1!HT$109)^(1/30)-1</f>
        <v>7.1732842742168623E-2</v>
      </c>
      <c r="L44" s="470">
        <f>(DataUK1!HV$139/DataUK1!HV$109)^(1/30)-1</f>
        <v>6.8496757896111538E-2</v>
      </c>
    </row>
    <row r="45" spans="1:25" ht="15">
      <c r="A45" s="633"/>
      <c r="B45" s="471"/>
      <c r="C45" s="493"/>
      <c r="D45" s="477"/>
      <c r="E45" s="477"/>
      <c r="F45" s="477"/>
      <c r="G45" s="807"/>
      <c r="H45" s="478"/>
      <c r="I45" s="810"/>
      <c r="J45" s="476"/>
      <c r="K45" s="476"/>
      <c r="L45" s="657"/>
    </row>
    <row r="46" spans="1:25" ht="4" customHeight="1">
      <c r="A46" s="633"/>
      <c r="B46" s="481"/>
      <c r="C46" s="800"/>
      <c r="D46" s="461"/>
      <c r="E46" s="461"/>
      <c r="F46" s="461"/>
      <c r="G46" s="807"/>
      <c r="H46" s="478"/>
      <c r="I46" s="810"/>
      <c r="J46" s="476"/>
      <c r="K46" s="476"/>
      <c r="L46" s="657"/>
    </row>
    <row r="47" spans="1:25" ht="15">
      <c r="A47" s="479" t="s">
        <v>289</v>
      </c>
      <c r="B47" s="464">
        <f>TableUK5a!B216</f>
        <v>2.5475667718342532E-2</v>
      </c>
      <c r="C47" s="468">
        <f>TableUK5a!C216</f>
        <v>4.3532133249997162E-2</v>
      </c>
      <c r="D47" s="466">
        <f>(1+B47)/(1+G47)-1</f>
        <v>2.210323208385967E-2</v>
      </c>
      <c r="E47" s="466">
        <f>(1+D47)*(1+J47)/(1+K47)-1</f>
        <v>1.9835476098268856E-2</v>
      </c>
      <c r="F47" s="466">
        <f>(1+D47)*(1+G47)/(1+I47)-1</f>
        <v>2.0358415826616794E-2</v>
      </c>
      <c r="G47" s="808">
        <f>(TableUK1!R$166/TableUK1!R$136)^(1/30)-1</f>
        <v>3.2995058900333607E-3</v>
      </c>
      <c r="H47" s="469">
        <f>(TableUK1!S$166/TableUK1!S$136)^(1/30)-1</f>
        <v>5.9030543216089804E-3</v>
      </c>
      <c r="I47" s="809">
        <f>(TableUK1!T$166/TableUK1!T$136)^(1/30)-1</f>
        <v>5.0151513550071858E-3</v>
      </c>
      <c r="J47" s="469">
        <f>(DataUK1!HU$169/DataUK1!HU$139)^(1/30)-1</f>
        <v>3.8753087024043786E-2</v>
      </c>
      <c r="K47" s="469">
        <f>(DataUK1!HT$169/DataUK1!HT$139)^(1/30)-1</f>
        <v>4.106290913345112E-2</v>
      </c>
      <c r="L47" s="470">
        <f>(DataUK1!HV$169/DataUK1!HV$139)^(1/30)-1</f>
        <v>3.8096694987472368E-2</v>
      </c>
    </row>
    <row r="48" spans="1:25" ht="15">
      <c r="A48" s="633"/>
      <c r="B48" s="471"/>
      <c r="C48" s="493"/>
      <c r="D48" s="477"/>
      <c r="E48" s="477"/>
      <c r="F48" s="477"/>
      <c r="G48" s="807"/>
      <c r="H48" s="478"/>
      <c r="I48" s="810"/>
      <c r="J48" s="476"/>
      <c r="K48" s="476"/>
      <c r="L48" s="657"/>
    </row>
    <row r="49" spans="1:21" ht="4" customHeight="1">
      <c r="A49" s="633"/>
      <c r="B49" s="481"/>
      <c r="C49" s="800"/>
      <c r="D49" s="461"/>
      <c r="E49" s="461"/>
      <c r="F49" s="461"/>
      <c r="G49" s="807"/>
      <c r="H49" s="478"/>
      <c r="I49" s="810"/>
      <c r="J49" s="476"/>
      <c r="K49" s="476"/>
      <c r="L49" s="657"/>
    </row>
    <row r="50" spans="1:21" ht="15">
      <c r="A50" s="479" t="s">
        <v>375</v>
      </c>
      <c r="B50" s="464">
        <f>TableUK5a!B219</f>
        <v>2.5856995627983048E-2</v>
      </c>
      <c r="C50" s="468">
        <f>TableUK5a!C219</f>
        <v>1.8265212179265689E-2</v>
      </c>
      <c r="D50" s="466">
        <f>(1+B50)/(1+G50)-1</f>
        <v>2.0681760815530081E-2</v>
      </c>
      <c r="E50" s="466">
        <f>(1+D50)*(1+J50)/(1+K50)-1</f>
        <v>2.1478683814058375E-2</v>
      </c>
      <c r="F50" s="466">
        <f>(1+D50)*(1+G50)/(1+I50)-1</f>
        <v>2.1416511540923722E-2</v>
      </c>
      <c r="G50" s="808">
        <f>(TableUK1!R$126/TableUK1!R$106)^(1/20)-1</f>
        <v>5.0703706200432297E-3</v>
      </c>
      <c r="H50" s="469">
        <f>(TableUK1!S$126/TableUK1!S$106)^(1/20)-1</f>
        <v>3.5648570086033171E-3</v>
      </c>
      <c r="I50" s="809">
        <f>(TableUK1!T$166/TableUK1!T$126)^(1/40)-1</f>
        <v>4.3473784072280974E-3</v>
      </c>
      <c r="J50" s="469">
        <f>(DataUK1!HU$129/DataUK1!HU$109)^(1/20)-1</f>
        <v>4.1379743992410623E-2</v>
      </c>
      <c r="K50" s="469">
        <f>(DataUK1!HT$129/DataUK1!HT$109)^(1/20)-1</f>
        <v>4.0567294862204228E-2</v>
      </c>
      <c r="L50" s="470">
        <f>(DataUK1!HV$129/DataUK1!HV$109)^(1/20)-1</f>
        <v>3.7424286765290526E-2</v>
      </c>
    </row>
    <row r="51" spans="1:21" ht="15">
      <c r="A51" s="633"/>
      <c r="B51" s="471"/>
      <c r="C51" s="493"/>
      <c r="D51" s="477"/>
      <c r="E51" s="477"/>
      <c r="F51" s="477"/>
      <c r="G51" s="807"/>
      <c r="H51" s="478"/>
      <c r="I51" s="810"/>
      <c r="J51" s="476"/>
      <c r="K51" s="476"/>
      <c r="L51" s="657"/>
    </row>
    <row r="52" spans="1:21" ht="4" customHeight="1">
      <c r="A52" s="633"/>
      <c r="B52" s="481"/>
      <c r="C52" s="800"/>
      <c r="D52" s="482"/>
      <c r="E52" s="482"/>
      <c r="F52" s="482"/>
      <c r="G52" s="807"/>
      <c r="H52" s="478"/>
      <c r="I52" s="810"/>
      <c r="J52" s="476"/>
      <c r="K52" s="476"/>
      <c r="L52" s="657"/>
    </row>
    <row r="53" spans="1:21" ht="15">
      <c r="A53" s="479" t="s">
        <v>348</v>
      </c>
      <c r="B53" s="464">
        <f>TableUK5a!B222</f>
        <v>2.1970102276964276E-2</v>
      </c>
      <c r="C53" s="468">
        <f>TableUK5a!C222</f>
        <v>3.5734219214780705E-2</v>
      </c>
      <c r="D53" s="466">
        <f>(1+B53)/(1+G53)-1</f>
        <v>1.9130654560532978E-2</v>
      </c>
      <c r="E53" s="466">
        <f>(1+D53)*(1+J53)/(1+K53)-1</f>
        <v>1.8155614263498432E-2</v>
      </c>
      <c r="F53" s="466">
        <f>(1+D53)*(1+G53)/(1+I53)-1</f>
        <v>1.7546442842996779E-2</v>
      </c>
      <c r="G53" s="808">
        <f>(TableUK1!R$166/TableUK1!R$126)^(1/40)-1</f>
        <v>2.7861469024850205E-3</v>
      </c>
      <c r="H53" s="469">
        <f>(TableUK1!S$166/TableUK1!S$126)^(1/40)-1</f>
        <v>5.2775240680931201E-3</v>
      </c>
      <c r="I53" s="809">
        <f>(TableUK1!T$166/TableUK1!T$126)^(1/40)-1</f>
        <v>4.3473784072280974E-3</v>
      </c>
      <c r="J53" s="469">
        <f>(DataUK1!HU$169/DataUK1!HU$129)^(1/40)-1</f>
        <v>6.3216834772778174E-2</v>
      </c>
      <c r="K53" s="469">
        <f>(DataUK1!HT$169/DataUK1!HT$129)^(1/40)-1</f>
        <v>6.4235028105767755E-2</v>
      </c>
      <c r="L53" s="470">
        <f>(DataUK1!HV$169/DataUK1!HV$129)^(1/40)-1</f>
        <v>6.1158011858199135E-2</v>
      </c>
      <c r="N53" s="651"/>
    </row>
    <row r="54" spans="1:21" ht="15">
      <c r="A54" s="633"/>
      <c r="B54" s="471"/>
      <c r="C54" s="493"/>
      <c r="D54" s="477"/>
      <c r="E54" s="477"/>
      <c r="F54" s="477"/>
      <c r="G54" s="807"/>
      <c r="H54" s="478"/>
      <c r="I54" s="810"/>
      <c r="J54" s="476"/>
      <c r="K54" s="476"/>
      <c r="L54" s="657"/>
    </row>
    <row r="55" spans="1:21" ht="4" customHeight="1">
      <c r="A55" s="633"/>
      <c r="B55" s="481"/>
      <c r="C55" s="800"/>
      <c r="D55" s="461"/>
      <c r="E55" s="461"/>
      <c r="F55" s="461"/>
      <c r="G55" s="807"/>
      <c r="H55" s="478"/>
      <c r="I55" s="810"/>
      <c r="J55" s="476"/>
      <c r="K55" s="476"/>
      <c r="L55" s="657"/>
    </row>
    <row r="56" spans="1:21" ht="15">
      <c r="A56" s="479" t="s">
        <v>376</v>
      </c>
      <c r="B56" s="464">
        <f>TableUK5a!B225</f>
        <v>1.9752681521352011E-2</v>
      </c>
      <c r="C56" s="468">
        <f>TableUK5a!C225</f>
        <v>3.7202167904150318E-2</v>
      </c>
      <c r="D56" s="466">
        <f>(1+B56)/(1+G56)-1</f>
        <v>1.8303523574812131E-2</v>
      </c>
      <c r="E56" s="466">
        <f>(1+D56)*(1+J56)/(1+K56)-1</f>
        <v>1.9249636264679459E-2</v>
      </c>
      <c r="F56" s="466">
        <f>(1+D56)*(1+G56)/(1+I56)-1</f>
        <v>1.497235584071932E-2</v>
      </c>
      <c r="G56" s="808">
        <f>(TableUK1!R$146/TableUK1!R$126)^(1/20)-1</f>
        <v>1.4231100187618306E-3</v>
      </c>
      <c r="H56" s="469">
        <f>(TableUK1!S$146/TableUK1!S$126)^(1/20)-1</f>
        <v>5.0000082727468254E-3</v>
      </c>
      <c r="I56" s="809">
        <f>(TableUK1!T$146/TableUK1!T$126)^(1/20)-1</f>
        <v>4.7098087481141082E-3</v>
      </c>
      <c r="J56" s="469">
        <f>(DataUK1!HU$149/DataUK1!HU$129)^(1/20)-1</f>
        <v>0.1016587900716619</v>
      </c>
      <c r="K56" s="469">
        <f>(DataUK1!HT$149/DataUK1!HT$129)^(1/20)-1</f>
        <v>0.10063618155250609</v>
      </c>
      <c r="L56" s="470">
        <f>(DataUK1!HV$149/DataUK1!HV$129)^(1/20)-1</f>
        <v>9.7503019301898863E-2</v>
      </c>
    </row>
    <row r="57" spans="1:21" ht="15">
      <c r="A57" s="633"/>
      <c r="B57" s="471"/>
      <c r="C57" s="493"/>
      <c r="D57" s="477"/>
      <c r="E57" s="477"/>
      <c r="F57" s="477"/>
      <c r="G57" s="807"/>
      <c r="H57" s="478"/>
      <c r="I57" s="810"/>
      <c r="J57" s="476"/>
      <c r="K57" s="476"/>
      <c r="L57" s="657"/>
    </row>
    <row r="58" spans="1:21" ht="4" customHeight="1">
      <c r="A58" s="633"/>
      <c r="B58" s="481"/>
      <c r="C58" s="800"/>
      <c r="D58" s="461"/>
      <c r="E58" s="461"/>
      <c r="F58" s="461"/>
      <c r="G58" s="807"/>
      <c r="H58" s="478"/>
      <c r="I58" s="810"/>
      <c r="J58" s="476"/>
      <c r="K58" s="476"/>
      <c r="L58" s="657"/>
    </row>
    <row r="59" spans="1:21" ht="15">
      <c r="A59" s="479" t="s">
        <v>377</v>
      </c>
      <c r="B59" s="464">
        <f>TableUK5a!B228</f>
        <v>2.4192344745621597E-2</v>
      </c>
      <c r="C59" s="468">
        <f>TableUK5a!C228</f>
        <v>3.4268348108182689E-2</v>
      </c>
      <c r="D59" s="466">
        <f>(1+B59)/(1+G59)-1</f>
        <v>1.9958457394726681E-2</v>
      </c>
      <c r="E59" s="466">
        <f>(1+D59)*(1+J59)/(1+K59)-1</f>
        <v>1.7062766541999563E-2</v>
      </c>
      <c r="F59" s="466">
        <f>(1+D59)*(1+G59)/(1+I59)-1</f>
        <v>2.0127058026910838E-2</v>
      </c>
      <c r="G59" s="808">
        <f>(TableUK1!R$166/TableUK1!R$146)^(1/20)-1</f>
        <v>4.1510390155590215E-3</v>
      </c>
      <c r="H59" s="469">
        <f>(TableUK1!S$166/TableUK1!S$146)^(1/20)-1</f>
        <v>5.555116495295831E-3</v>
      </c>
      <c r="I59" s="809">
        <f>(TableUK1!T$166/TableUK1!T$146)^(1/20)-1</f>
        <v>3.9850788063338083E-3</v>
      </c>
      <c r="J59" s="469">
        <f>(DataUK1!HU$169/DataUK1!HU$149)^(1/20)-1</f>
        <v>2.6116296562850971E-2</v>
      </c>
      <c r="K59" s="469">
        <f>(DataUK1!HT$169/DataUK1!HT$149)^(1/20)-1</f>
        <v>2.9037763822825191E-2</v>
      </c>
      <c r="L59" s="470">
        <f>(DataUK1!HV$169/DataUK1!HV$149)^(1/20)-1</f>
        <v>2.6016608908383088E-2</v>
      </c>
    </row>
    <row r="60" spans="1:21" ht="15">
      <c r="A60" s="633"/>
      <c r="B60" s="471"/>
      <c r="C60" s="493"/>
      <c r="D60" s="477"/>
      <c r="E60" s="477"/>
      <c r="F60" s="477"/>
      <c r="G60" s="807"/>
      <c r="H60" s="478"/>
      <c r="I60" s="810"/>
      <c r="J60" s="476"/>
      <c r="K60" s="476"/>
      <c r="L60" s="657"/>
      <c r="U60" s="426"/>
    </row>
    <row r="61" spans="1:21" ht="4.75" customHeight="1">
      <c r="A61" s="407"/>
      <c r="B61" s="471"/>
      <c r="C61" s="493"/>
      <c r="D61" s="461"/>
      <c r="E61" s="461"/>
      <c r="F61" s="461"/>
      <c r="G61" s="807"/>
      <c r="H61" s="478"/>
      <c r="I61" s="810"/>
      <c r="J61" s="476"/>
      <c r="K61" s="476"/>
      <c r="L61" s="657"/>
      <c r="U61" s="426"/>
    </row>
    <row r="62" spans="1:21" ht="15">
      <c r="A62" s="485" t="s">
        <v>378</v>
      </c>
      <c r="B62" s="486">
        <f>TableUK5a!B231</f>
        <v>2.4303164830828727E-2</v>
      </c>
      <c r="C62" s="489">
        <f>TableUK5a!C231</f>
        <v>8.442990860357158E-3</v>
      </c>
      <c r="D62" s="655">
        <f>(1+B62)/(1+G62)-1</f>
        <v>2.0136121497923876E-2</v>
      </c>
      <c r="E62" s="655">
        <f>(1+D62)*(1+J62)/(1+K62)-1</f>
        <v>2.096415856299183E-2</v>
      </c>
      <c r="F62" s="655">
        <f>(1+D62)*(1+G62)/(1+I62)-1</f>
        <v>2.1254570826057861E-2</v>
      </c>
      <c r="G62" s="814">
        <f>(TableUK1!R$116/TableUK1!R$106)^(1/10)-1</f>
        <v>4.084791475461369E-3</v>
      </c>
      <c r="H62" s="490">
        <f>(TableUK1!S$116/TableUK1!S$106)^(1/10)-1</f>
        <v>2.6635580719307494E-3</v>
      </c>
      <c r="I62" s="815">
        <f>(TableUK1!T$126/TableUK1!T$116)^(1/10)-1</f>
        <v>2.9851460075276393E-3</v>
      </c>
      <c r="J62" s="490">
        <f>(DataUK1!HU$119/DataUK1!HU$109)^(1/10)-1</f>
        <v>4.1379743992410623E-2</v>
      </c>
      <c r="K62" s="490">
        <f>(DataUK1!HT$119/DataUK1!HT$109)^(1/10)-1</f>
        <v>4.05351491850372E-2</v>
      </c>
      <c r="L62" s="491">
        <f>(DataUK1!HV$119/DataUK1!HV$109)^(1/10)-1</f>
        <v>3.4533617480459133E-2</v>
      </c>
    </row>
    <row r="63" spans="1:21" ht="15">
      <c r="A63" s="492"/>
      <c r="B63" s="471"/>
      <c r="C63" s="493"/>
      <c r="D63" s="799"/>
      <c r="E63" s="477"/>
      <c r="F63" s="802"/>
      <c r="G63" s="807"/>
      <c r="H63" s="478"/>
      <c r="I63" s="810"/>
      <c r="J63" s="476"/>
      <c r="K63" s="476"/>
      <c r="L63" s="657"/>
      <c r="U63" s="426"/>
    </row>
    <row r="64" spans="1:21" ht="4.75" customHeight="1">
      <c r="A64" s="448"/>
      <c r="B64" s="471"/>
      <c r="C64" s="493"/>
      <c r="D64" s="490"/>
      <c r="E64" s="482"/>
      <c r="F64" s="803"/>
      <c r="G64" s="807"/>
      <c r="H64" s="478"/>
      <c r="I64" s="810"/>
      <c r="J64" s="476"/>
      <c r="K64" s="476"/>
      <c r="L64" s="657"/>
      <c r="U64" s="426"/>
    </row>
    <row r="65" spans="1:12" ht="15">
      <c r="A65" s="485" t="s">
        <v>379</v>
      </c>
      <c r="B65" s="486">
        <f>TableUK5a!B234</f>
        <v>2.7413183530171192E-2</v>
      </c>
      <c r="C65" s="489">
        <f>TableUK5a!C234</f>
        <v>2.8183101803187061E-2</v>
      </c>
      <c r="D65" s="655">
        <f>(1+B65)/(1+G65)-1</f>
        <v>2.1227691978762397E-2</v>
      </c>
      <c r="E65" s="655">
        <f>(1+D65)*(1+J65)/(1+K65)-1</f>
        <v>2.199346836534799E-2</v>
      </c>
      <c r="F65" s="655">
        <f>(1+D65)*(1+G65)/(1+I65)-1</f>
        <v>2.435533329669104E-2</v>
      </c>
      <c r="G65" s="814">
        <f>(TableUK1!R$126/TableUK1!R$116)^(1/10)-1</f>
        <v>6.0569171791882148E-3</v>
      </c>
      <c r="H65" s="490">
        <f>(TableUK1!S$126/TableUK1!S$116)^(1/10)-1</f>
        <v>4.4669661270830829E-3</v>
      </c>
      <c r="I65" s="815">
        <f>(TableUK1!T$126/TableUK1!T$116)^(1/10)-1</f>
        <v>2.9851460075276393E-3</v>
      </c>
      <c r="J65" s="490">
        <f>(DataUK1!HU$129/DataUK1!HU$119)^(1/10)-1</f>
        <v>4.1379743992410623E-2</v>
      </c>
      <c r="K65" s="490">
        <f>(DataUK1!HT$129/DataUK1!HT$119)^(1/10)-1</f>
        <v>4.0599441532460867E-2</v>
      </c>
      <c r="L65" s="491">
        <f>(DataUK1!HV$129/DataUK1!HV$119)^(1/10)-1</f>
        <v>4.0323033089643134E-2</v>
      </c>
    </row>
    <row r="66" spans="1:12" ht="15">
      <c r="A66" s="492"/>
      <c r="B66" s="471"/>
      <c r="C66" s="493"/>
      <c r="D66" s="799"/>
      <c r="E66" s="477"/>
      <c r="F66" s="802"/>
      <c r="G66" s="807"/>
      <c r="H66" s="478"/>
      <c r="I66" s="810"/>
      <c r="J66" s="476"/>
      <c r="K66" s="476"/>
      <c r="L66" s="657"/>
    </row>
    <row r="67" spans="1:12" ht="4.75" customHeight="1">
      <c r="A67" s="448"/>
      <c r="B67" s="494"/>
      <c r="C67" s="493"/>
      <c r="D67" s="495"/>
      <c r="E67" s="495"/>
      <c r="F67" s="803"/>
      <c r="G67" s="807"/>
      <c r="H67" s="478"/>
      <c r="I67" s="810"/>
      <c r="J67" s="490"/>
      <c r="K67" s="490"/>
      <c r="L67" s="491"/>
    </row>
    <row r="68" spans="1:12" ht="15">
      <c r="A68" s="485" t="s">
        <v>380</v>
      </c>
      <c r="B68" s="486">
        <f>TableUK5a!B237</f>
        <v>1.1525144407265264E-2</v>
      </c>
      <c r="C68" s="489">
        <f>TableUK5a!C237</f>
        <v>1.2688363485253706E-2</v>
      </c>
      <c r="D68" s="655">
        <f>(1+B68)/(1+G68)-1</f>
        <v>1.0264692283975529E-2</v>
      </c>
      <c r="E68" s="655">
        <f>(1+D68)*(1+J68)/(1+K68)-1</f>
        <v>1.3132612835451418E-2</v>
      </c>
      <c r="F68" s="655">
        <f>(1+D68)*(1+G68)/(1+I68)-1</f>
        <v>9.1569350815550177E-3</v>
      </c>
      <c r="G68" s="814">
        <f>(TableUK1!R$136/TableUK1!R$126)^(1/10)-1</f>
        <v>1.2476454269030324E-3</v>
      </c>
      <c r="H68" s="490">
        <f>(TableUK1!S$136/TableUK1!S$126)^(1/10)-1</f>
        <v>3.4032662912506506E-3</v>
      </c>
      <c r="I68" s="815">
        <f>(TableUK1!T$136/TableUK1!T$126)^(1/10)-1</f>
        <v>2.3467205579068562E-3</v>
      </c>
      <c r="J68" s="490">
        <f>(DataUK1!HU$139/DataUK1!HU$129)^(1/10)-1</f>
        <v>0.1401195579072938</v>
      </c>
      <c r="K68" s="490">
        <f>(DataUK1!HT$139/DataUK1!HT$129)^(1/10)-1</f>
        <v>0.13689216963665962</v>
      </c>
      <c r="L68" s="491">
        <f>(DataUK1!HV$139/DataUK1!HV$129)^(1/10)-1</f>
        <v>0.13346158167069744</v>
      </c>
    </row>
    <row r="69" spans="1:12" ht="15">
      <c r="A69" s="492"/>
      <c r="B69" s="471"/>
      <c r="C69" s="493"/>
      <c r="D69" s="799"/>
      <c r="E69" s="477"/>
      <c r="F69" s="802"/>
      <c r="G69" s="807"/>
      <c r="H69" s="478"/>
      <c r="I69" s="810"/>
      <c r="J69" s="476"/>
      <c r="K69" s="476"/>
      <c r="L69" s="657"/>
    </row>
    <row r="70" spans="1:12" ht="4.75" customHeight="1">
      <c r="A70" s="448"/>
      <c r="B70" s="471"/>
      <c r="C70" s="493"/>
      <c r="D70" s="490"/>
      <c r="E70" s="482"/>
      <c r="F70" s="804"/>
      <c r="G70" s="807"/>
      <c r="H70" s="478"/>
      <c r="I70" s="810"/>
      <c r="J70" s="476"/>
      <c r="K70" s="476"/>
      <c r="L70" s="657"/>
    </row>
    <row r="71" spans="1:12" ht="15">
      <c r="A71" s="485" t="s">
        <v>381</v>
      </c>
      <c r="B71" s="486">
        <f>TableUK5a!B240</f>
        <v>2.8047139727156445E-2</v>
      </c>
      <c r="C71" s="489">
        <f>TableUK5a!C240</f>
        <v>6.2309369688668514E-2</v>
      </c>
      <c r="D71" s="655">
        <f>(1+B71)/(1+G71)-1</f>
        <v>2.6406321080657769E-2</v>
      </c>
      <c r="E71" s="655">
        <f>(1+D71)*(1+J71)/(1+K71)-1</f>
        <v>2.5403592643414408E-2</v>
      </c>
      <c r="F71" s="655">
        <f>(1+D71)*(1+G71)/(1+I71)-1</f>
        <v>2.0821288849000474E-2</v>
      </c>
      <c r="G71" s="814">
        <f>(TableUK1!R$146/TableUK1!R$136)^(1/10)-1</f>
        <v>1.5986053600791639E-3</v>
      </c>
      <c r="H71" s="490">
        <f>(TableUK1!S$146/TableUK1!S$136)^(1/10)-1</f>
        <v>6.5992911917118757E-3</v>
      </c>
      <c r="I71" s="815">
        <f>(TableUK1!T$146/TableUK1!T$136)^(1/10)-1</f>
        <v>7.0784680502729014E-3</v>
      </c>
      <c r="J71" s="490">
        <f>(DataUK1!HU$149/DataUK1!HU$139)^(1/10)-1</f>
        <v>6.4495456923688188E-2</v>
      </c>
      <c r="K71" s="490">
        <f>(DataUK1!HT$149/DataUK1!HT$139)^(1/10)-1</f>
        <v>6.5536412771348251E-2</v>
      </c>
      <c r="L71" s="491">
        <f>(DataUK1!HV$149/DataUK1!HV$139)^(1/10)-1</f>
        <v>6.2685226261800953E-2</v>
      </c>
    </row>
    <row r="72" spans="1:12" ht="15">
      <c r="A72" s="492"/>
      <c r="B72" s="471"/>
      <c r="C72" s="493"/>
      <c r="D72" s="799"/>
      <c r="E72" s="477"/>
      <c r="F72" s="802"/>
      <c r="G72" s="807"/>
      <c r="H72" s="478"/>
      <c r="I72" s="810"/>
      <c r="J72" s="476"/>
      <c r="K72" s="476"/>
      <c r="L72" s="657"/>
    </row>
    <row r="73" spans="1:12" ht="4.75" customHeight="1">
      <c r="A73" s="448"/>
      <c r="B73" s="471"/>
      <c r="C73" s="493"/>
      <c r="D73" s="477"/>
      <c r="E73" s="477"/>
      <c r="F73" s="803"/>
      <c r="G73" s="807"/>
      <c r="H73" s="478"/>
      <c r="I73" s="810"/>
      <c r="J73" s="490"/>
      <c r="K73" s="490"/>
      <c r="L73" s="491"/>
    </row>
    <row r="74" spans="1:12" ht="15">
      <c r="A74" s="485" t="s">
        <v>382</v>
      </c>
      <c r="B74" s="486">
        <f>TableUK5a!B243</f>
        <v>3.0129326338009133E-2</v>
      </c>
      <c r="C74" s="489">
        <f>TableUK5a!C243</f>
        <v>4.901479952854837E-2</v>
      </c>
      <c r="D74" s="655">
        <f>(1+B74)/(1+G74)-1</f>
        <v>2.7207618830798808E-2</v>
      </c>
      <c r="E74" s="655">
        <f>(1+D74)*(1+J74)/(1+K74)-1</f>
        <v>2.4914890114438704E-2</v>
      </c>
      <c r="F74" s="655">
        <f>(1+D74)*(1+G74)/(1+I74)-1</f>
        <v>2.7621986925489006E-2</v>
      </c>
      <c r="G74" s="814">
        <f>(TableUK1!R$156/TableUK1!R$146)^(1/10)-1</f>
        <v>2.8443203240022807E-3</v>
      </c>
      <c r="H74" s="490">
        <f>(TableUK1!S$156/TableUK1!S$146)^(1/10)-1</f>
        <v>3.6533963250611201E-3</v>
      </c>
      <c r="I74" s="815">
        <f>(TableUK1!T$156/TableUK1!T$146)^(1/10)-1</f>
        <v>2.4399433297663808E-3</v>
      </c>
      <c r="J74" s="490">
        <f>(DataUK1!HU$159/DataUK1!HU$149)^(1/10)-1</f>
        <v>2.819209884261098E-2</v>
      </c>
      <c r="K74" s="490">
        <f>(DataUK1!HT$159/DataUK1!HT$149)^(1/10)-1</f>
        <v>3.0492158656053592E-2</v>
      </c>
      <c r="L74" s="491">
        <f>(DataUK1!HV$159/DataUK1!HV$149)^(1/10)-1</f>
        <v>3.028342747310675E-2</v>
      </c>
    </row>
    <row r="75" spans="1:12" ht="15">
      <c r="A75" s="492"/>
      <c r="B75" s="471"/>
      <c r="C75" s="493"/>
      <c r="D75" s="799"/>
      <c r="E75" s="477"/>
      <c r="F75" s="802"/>
      <c r="G75" s="807"/>
      <c r="H75" s="478"/>
      <c r="I75" s="810"/>
      <c r="J75" s="476"/>
      <c r="K75" s="476"/>
      <c r="L75" s="657"/>
    </row>
    <row r="76" spans="1:12" ht="4.75" customHeight="1">
      <c r="A76" s="448"/>
      <c r="B76" s="494"/>
      <c r="C76" s="493"/>
      <c r="D76" s="490"/>
      <c r="E76" s="482"/>
      <c r="F76" s="803"/>
      <c r="G76" s="807"/>
      <c r="H76" s="478"/>
      <c r="I76" s="810"/>
      <c r="J76" s="490"/>
      <c r="K76" s="490"/>
      <c r="L76" s="491"/>
    </row>
    <row r="77" spans="1:12" ht="15">
      <c r="A77" s="485" t="s">
        <v>383</v>
      </c>
      <c r="B77" s="486">
        <f>TableUK5a!B246</f>
        <v>1.8289579973906456E-2</v>
      </c>
      <c r="C77" s="489">
        <f>TableUK5a!C246</f>
        <v>1.9729193886665719E-2</v>
      </c>
      <c r="D77" s="655">
        <f>(1+B77)/(1+G77)-1</f>
        <v>1.2760454400787546E-2</v>
      </c>
      <c r="E77" s="655">
        <f>(1+D77)*(1+J77)/(1+K77)-1</f>
        <v>9.2708000081513919E-3</v>
      </c>
      <c r="F77" s="655">
        <f>(1+D77)*(1+G77)/(1+I77)-1</f>
        <v>1.268679315840382E-2</v>
      </c>
      <c r="G77" s="814">
        <f>(TableUK1!R$166/TableUK1!R$156)^(1/10)-1</f>
        <v>5.4594603779136719E-3</v>
      </c>
      <c r="H77" s="490">
        <f>(TableUK1!S$166/TableUK1!S$156)^(1/10)-1</f>
        <v>7.4604400405793303E-3</v>
      </c>
      <c r="I77" s="815">
        <f>(TableUK1!T$166/TableUK1!T$156)^(1/10)-1</f>
        <v>5.5325959154937099E-3</v>
      </c>
      <c r="J77" s="490">
        <f>(DataUK1!HU$169/DataUK1!HU$159)^(1/10)-1</f>
        <v>2.404468509053781E-2</v>
      </c>
      <c r="K77" s="490">
        <f>(DataUK1!HT$169/DataUK1!HT$159)^(1/10)-1</f>
        <v>2.7585421663470555E-2</v>
      </c>
      <c r="L77" s="491">
        <f>(DataUK1!HV$169/DataUK1!HV$159)^(1/10)-1</f>
        <v>2.1767460957569318E-2</v>
      </c>
    </row>
    <row r="78" spans="1:12" ht="13" thickBot="1">
      <c r="A78" s="496"/>
      <c r="B78" s="1591"/>
      <c r="C78" s="801"/>
      <c r="D78" s="501"/>
      <c r="E78" s="501"/>
      <c r="F78" s="501"/>
      <c r="G78" s="816"/>
      <c r="H78" s="501"/>
      <c r="I78" s="817"/>
      <c r="J78" s="501"/>
      <c r="K78" s="501"/>
      <c r="L78" s="502"/>
    </row>
    <row r="79" spans="1:12" ht="13" thickTop="1">
      <c r="B79" s="503"/>
      <c r="C79" s="503"/>
      <c r="D79" s="503"/>
      <c r="E79" s="503"/>
      <c r="F79" s="503"/>
      <c r="G79" s="503"/>
      <c r="H79" s="503"/>
      <c r="I79" s="503"/>
      <c r="J79" s="503"/>
      <c r="K79" s="503"/>
      <c r="L79" s="503"/>
    </row>
    <row r="80" spans="1:12">
      <c r="B80" s="503"/>
      <c r="C80" s="503"/>
      <c r="D80" s="503"/>
      <c r="E80" s="503"/>
      <c r="F80" s="503"/>
      <c r="G80" s="503"/>
      <c r="H80" s="503"/>
      <c r="I80" s="503"/>
      <c r="J80" s="503"/>
      <c r="K80" s="503"/>
      <c r="L80" s="503"/>
    </row>
    <row r="81" spans="2:21">
      <c r="B81" s="503"/>
      <c r="C81" s="503"/>
      <c r="D81" s="503"/>
      <c r="E81" s="503"/>
      <c r="F81" s="503"/>
      <c r="G81" s="503"/>
      <c r="H81" s="503"/>
      <c r="I81" s="503"/>
      <c r="J81" s="503"/>
      <c r="K81" s="503"/>
      <c r="L81" s="503"/>
    </row>
    <row r="82" spans="2:21">
      <c r="B82" s="503"/>
      <c r="C82" s="503"/>
      <c r="D82" s="503"/>
      <c r="E82" s="503"/>
      <c r="F82" s="503"/>
      <c r="G82" s="503"/>
      <c r="H82" s="503"/>
      <c r="I82" s="503"/>
      <c r="J82" s="503"/>
      <c r="K82" s="503"/>
      <c r="L82" s="503"/>
    </row>
    <row r="83" spans="2:21">
      <c r="B83" s="503"/>
      <c r="C83" s="503"/>
      <c r="D83" s="503"/>
      <c r="E83" s="503"/>
      <c r="F83" s="503"/>
      <c r="G83" s="503"/>
      <c r="H83" s="503"/>
      <c r="I83" s="503"/>
      <c r="J83" s="503"/>
      <c r="K83" s="503"/>
      <c r="L83" s="503"/>
    </row>
    <row r="84" spans="2:21">
      <c r="B84" s="503"/>
      <c r="C84" s="503"/>
      <c r="D84" s="503"/>
      <c r="E84" s="503"/>
      <c r="F84" s="503"/>
      <c r="G84" s="503"/>
      <c r="H84" s="503"/>
      <c r="I84" s="503"/>
      <c r="J84" s="503"/>
      <c r="K84" s="503"/>
      <c r="L84" s="503"/>
    </row>
    <row r="85" spans="2:21">
      <c r="B85" s="503"/>
      <c r="C85" s="503"/>
      <c r="D85" s="503"/>
      <c r="E85" s="503"/>
      <c r="F85" s="503"/>
      <c r="G85" s="503"/>
      <c r="H85" s="503"/>
      <c r="I85" s="503"/>
      <c r="J85" s="503"/>
      <c r="K85" s="503"/>
      <c r="L85" s="503"/>
    </row>
    <row r="86" spans="2:21">
      <c r="B86" s="503"/>
      <c r="C86" s="503"/>
      <c r="D86" s="503"/>
      <c r="E86" s="503"/>
      <c r="F86" s="503"/>
      <c r="G86" s="503"/>
      <c r="H86" s="503"/>
      <c r="I86" s="503"/>
      <c r="J86" s="503"/>
      <c r="K86" s="503"/>
      <c r="L86" s="503"/>
    </row>
    <row r="87" spans="2:21">
      <c r="B87" s="503"/>
      <c r="C87" s="503"/>
      <c r="D87" s="503"/>
      <c r="E87" s="503"/>
      <c r="F87" s="503"/>
      <c r="G87" s="503"/>
      <c r="H87" s="503"/>
      <c r="I87" s="503"/>
      <c r="J87" s="503"/>
      <c r="K87" s="503"/>
      <c r="L87" s="503"/>
    </row>
    <row r="88" spans="2:21">
      <c r="B88" s="503"/>
      <c r="C88" s="503"/>
      <c r="D88" s="503"/>
      <c r="E88" s="503"/>
      <c r="F88" s="503"/>
      <c r="G88" s="503"/>
      <c r="H88" s="503"/>
      <c r="I88" s="503"/>
      <c r="J88" s="503"/>
      <c r="K88" s="503"/>
      <c r="L88" s="503"/>
    </row>
    <row r="89" spans="2:21">
      <c r="B89" s="503"/>
      <c r="C89" s="503"/>
      <c r="D89" s="503"/>
      <c r="E89" s="503"/>
      <c r="F89" s="503"/>
      <c r="G89" s="503"/>
      <c r="H89" s="503"/>
      <c r="I89" s="503"/>
      <c r="J89" s="503"/>
      <c r="K89" s="503"/>
      <c r="L89" s="503"/>
    </row>
    <row r="90" spans="2:21">
      <c r="B90" s="503"/>
      <c r="C90" s="503"/>
      <c r="D90" s="503"/>
      <c r="E90" s="503"/>
      <c r="F90" s="503"/>
      <c r="G90" s="503"/>
      <c r="H90" s="503"/>
      <c r="I90" s="503"/>
      <c r="J90" s="503"/>
      <c r="K90" s="503"/>
      <c r="L90" s="503"/>
      <c r="U90" s="426"/>
    </row>
    <row r="91" spans="2:21">
      <c r="B91" s="503"/>
      <c r="C91" s="503"/>
      <c r="D91" s="503"/>
      <c r="E91" s="503"/>
      <c r="F91" s="503"/>
      <c r="G91" s="503"/>
      <c r="H91" s="503"/>
      <c r="I91" s="503"/>
      <c r="J91" s="503"/>
      <c r="K91" s="503"/>
      <c r="L91" s="503"/>
      <c r="U91" s="426"/>
    </row>
    <row r="92" spans="2:21">
      <c r="B92" s="503"/>
      <c r="C92" s="503"/>
      <c r="D92" s="503"/>
      <c r="E92" s="503"/>
      <c r="F92" s="503"/>
      <c r="G92" s="503"/>
      <c r="H92" s="503"/>
      <c r="I92" s="503"/>
      <c r="J92" s="503"/>
      <c r="K92" s="503"/>
      <c r="L92" s="503"/>
    </row>
    <row r="93" spans="2:21">
      <c r="B93" s="503"/>
      <c r="C93" s="503"/>
      <c r="D93" s="503"/>
      <c r="E93" s="503"/>
      <c r="F93" s="503"/>
      <c r="G93" s="503"/>
      <c r="H93" s="503"/>
      <c r="I93" s="503"/>
      <c r="J93" s="503"/>
      <c r="K93" s="503"/>
      <c r="L93" s="503"/>
      <c r="U93" s="426"/>
    </row>
    <row r="94" spans="2:21">
      <c r="B94" s="503"/>
      <c r="C94" s="503"/>
      <c r="D94" s="503"/>
      <c r="E94" s="503"/>
      <c r="F94" s="503"/>
      <c r="G94" s="503"/>
      <c r="H94" s="503"/>
      <c r="I94" s="503"/>
      <c r="J94" s="503"/>
      <c r="K94" s="503"/>
      <c r="L94" s="503"/>
      <c r="U94" s="426"/>
    </row>
    <row r="95" spans="2:21">
      <c r="B95" s="503"/>
      <c r="C95" s="503"/>
      <c r="D95" s="503"/>
      <c r="E95" s="503"/>
      <c r="F95" s="503"/>
      <c r="G95" s="503"/>
      <c r="H95" s="503"/>
      <c r="I95" s="503"/>
      <c r="J95" s="503"/>
      <c r="K95" s="503"/>
      <c r="L95" s="503"/>
    </row>
    <row r="96" spans="2:21">
      <c r="B96" s="503"/>
      <c r="C96" s="503"/>
      <c r="D96" s="503"/>
      <c r="E96" s="503"/>
      <c r="F96" s="503"/>
      <c r="G96" s="503"/>
      <c r="H96" s="503"/>
      <c r="I96" s="503"/>
      <c r="J96" s="503"/>
      <c r="K96" s="503"/>
      <c r="L96" s="503"/>
    </row>
    <row r="97" spans="2:12">
      <c r="B97" s="503"/>
      <c r="C97" s="503"/>
      <c r="D97" s="503"/>
      <c r="E97" s="503"/>
      <c r="F97" s="503"/>
      <c r="G97" s="503"/>
      <c r="H97" s="503"/>
      <c r="I97" s="503"/>
      <c r="J97" s="503"/>
      <c r="K97" s="503"/>
      <c r="L97" s="503"/>
    </row>
    <row r="98" spans="2:12">
      <c r="B98" s="503"/>
      <c r="C98" s="503"/>
      <c r="D98" s="503"/>
      <c r="E98" s="503"/>
      <c r="F98" s="503"/>
      <c r="G98" s="503"/>
      <c r="H98" s="503"/>
      <c r="I98" s="503"/>
      <c r="J98" s="503"/>
      <c r="K98" s="503"/>
      <c r="L98" s="503"/>
    </row>
    <row r="99" spans="2:12">
      <c r="B99" s="503"/>
      <c r="C99" s="503"/>
      <c r="D99" s="503"/>
      <c r="E99" s="503"/>
      <c r="F99" s="503"/>
      <c r="G99" s="503"/>
      <c r="H99" s="503"/>
      <c r="I99" s="503"/>
      <c r="J99" s="503"/>
      <c r="K99" s="503"/>
      <c r="L99" s="503"/>
    </row>
    <row r="100" spans="2:12">
      <c r="B100" s="503"/>
      <c r="C100" s="503"/>
      <c r="D100" s="503"/>
      <c r="E100" s="503"/>
      <c r="F100" s="503"/>
      <c r="G100" s="503"/>
      <c r="H100" s="503"/>
      <c r="I100" s="503"/>
      <c r="J100" s="503"/>
      <c r="K100" s="503"/>
      <c r="L100" s="503"/>
    </row>
    <row r="101" spans="2:12">
      <c r="B101" s="503"/>
      <c r="C101" s="503"/>
      <c r="D101" s="503"/>
      <c r="E101" s="503"/>
      <c r="F101" s="503"/>
      <c r="G101" s="503"/>
      <c r="H101" s="503"/>
      <c r="I101" s="503"/>
      <c r="J101" s="503"/>
      <c r="K101" s="503"/>
      <c r="L101" s="503"/>
    </row>
    <row r="102" spans="2:12">
      <c r="B102" s="503"/>
      <c r="C102" s="503"/>
      <c r="D102" s="503"/>
      <c r="E102" s="503"/>
      <c r="F102" s="503"/>
      <c r="G102" s="503"/>
      <c r="H102" s="503"/>
      <c r="I102" s="503"/>
      <c r="J102" s="503"/>
      <c r="K102" s="503"/>
      <c r="L102" s="503"/>
    </row>
    <row r="103" spans="2:12">
      <c r="B103" s="503"/>
      <c r="C103" s="503"/>
      <c r="D103" s="503"/>
      <c r="E103" s="503"/>
      <c r="F103" s="503"/>
      <c r="G103" s="503"/>
      <c r="H103" s="503"/>
      <c r="I103" s="503"/>
      <c r="J103" s="503"/>
      <c r="K103" s="503"/>
      <c r="L103" s="503"/>
    </row>
    <row r="104" spans="2:12">
      <c r="B104" s="503"/>
      <c r="C104" s="503"/>
      <c r="D104" s="503"/>
      <c r="E104" s="503"/>
      <c r="F104" s="503"/>
      <c r="G104" s="503"/>
      <c r="H104" s="503"/>
      <c r="I104" s="503"/>
      <c r="J104" s="503"/>
      <c r="K104" s="503"/>
      <c r="L104" s="503"/>
    </row>
    <row r="105" spans="2:12">
      <c r="B105" s="503"/>
      <c r="C105" s="503"/>
      <c r="D105" s="503"/>
      <c r="E105" s="503"/>
      <c r="F105" s="503"/>
      <c r="G105" s="503"/>
      <c r="H105" s="503"/>
      <c r="I105" s="503"/>
      <c r="J105" s="503"/>
      <c r="K105" s="503"/>
      <c r="L105" s="503"/>
    </row>
    <row r="106" spans="2:12">
      <c r="B106" s="503"/>
      <c r="C106" s="503"/>
      <c r="D106" s="503"/>
      <c r="E106" s="503"/>
      <c r="F106" s="503"/>
      <c r="G106" s="503"/>
      <c r="H106" s="503"/>
      <c r="I106" s="503"/>
      <c r="J106" s="503"/>
      <c r="K106" s="503"/>
      <c r="L106" s="503"/>
    </row>
    <row r="107" spans="2:12">
      <c r="B107" s="503"/>
      <c r="C107" s="503"/>
      <c r="D107" s="503"/>
      <c r="E107" s="503"/>
      <c r="F107" s="503"/>
      <c r="G107" s="503"/>
      <c r="H107" s="503"/>
      <c r="I107" s="503"/>
      <c r="J107" s="503"/>
      <c r="K107" s="503"/>
      <c r="L107" s="503"/>
    </row>
    <row r="108" spans="2:12">
      <c r="B108" s="503"/>
      <c r="C108" s="503"/>
      <c r="D108" s="503"/>
      <c r="E108" s="503"/>
      <c r="F108" s="503"/>
      <c r="G108" s="503"/>
      <c r="H108" s="503"/>
      <c r="I108" s="503"/>
      <c r="J108" s="503"/>
      <c r="K108" s="503"/>
      <c r="L108" s="503"/>
    </row>
    <row r="109" spans="2:12">
      <c r="B109" s="503"/>
      <c r="C109" s="503"/>
      <c r="D109" s="503"/>
      <c r="E109" s="503"/>
      <c r="F109" s="503"/>
      <c r="G109" s="503"/>
      <c r="H109" s="503"/>
      <c r="I109" s="503"/>
      <c r="J109" s="503"/>
      <c r="K109" s="503"/>
      <c r="L109" s="503"/>
    </row>
    <row r="110" spans="2:12">
      <c r="B110" s="503"/>
      <c r="C110" s="503"/>
      <c r="D110" s="503"/>
      <c r="E110" s="503"/>
      <c r="F110" s="503"/>
      <c r="G110" s="503"/>
      <c r="H110" s="503"/>
      <c r="I110" s="503"/>
      <c r="J110" s="503"/>
      <c r="K110" s="503"/>
      <c r="L110" s="503"/>
    </row>
    <row r="111" spans="2:12">
      <c r="B111" s="503"/>
      <c r="C111" s="503"/>
      <c r="D111" s="503"/>
      <c r="E111" s="503"/>
      <c r="F111" s="503"/>
      <c r="G111" s="503"/>
      <c r="H111" s="503"/>
      <c r="I111" s="503"/>
      <c r="J111" s="503"/>
      <c r="K111" s="503"/>
      <c r="L111" s="503"/>
    </row>
    <row r="112" spans="2:12">
      <c r="B112" s="503"/>
      <c r="C112" s="503"/>
      <c r="D112" s="503"/>
      <c r="E112" s="503"/>
      <c r="F112" s="503"/>
      <c r="G112" s="503"/>
      <c r="H112" s="503"/>
      <c r="I112" s="503"/>
      <c r="J112" s="503"/>
      <c r="K112" s="503"/>
      <c r="L112" s="503"/>
    </row>
    <row r="113" spans="2:12">
      <c r="B113" s="503"/>
      <c r="C113" s="503"/>
      <c r="D113" s="503"/>
      <c r="E113" s="503"/>
      <c r="F113" s="503"/>
      <c r="G113" s="503"/>
      <c r="H113" s="503"/>
      <c r="I113" s="503"/>
      <c r="J113" s="503"/>
      <c r="K113" s="503"/>
      <c r="L113" s="503"/>
    </row>
    <row r="114" spans="2:12">
      <c r="B114" s="503"/>
      <c r="C114" s="503"/>
      <c r="D114" s="503"/>
      <c r="E114" s="503"/>
      <c r="F114" s="503"/>
      <c r="G114" s="503"/>
      <c r="H114" s="503"/>
      <c r="I114" s="503"/>
      <c r="J114" s="503"/>
      <c r="K114" s="503"/>
      <c r="L114" s="503"/>
    </row>
    <row r="115" spans="2:12">
      <c r="B115" s="503"/>
      <c r="C115" s="503"/>
      <c r="D115" s="503"/>
      <c r="E115" s="503"/>
      <c r="F115" s="503"/>
      <c r="G115" s="503"/>
      <c r="H115" s="503"/>
      <c r="I115" s="503"/>
      <c r="J115" s="503"/>
      <c r="K115" s="503"/>
      <c r="L115" s="503"/>
    </row>
    <row r="116" spans="2:12">
      <c r="B116" s="503"/>
      <c r="C116" s="503"/>
      <c r="D116" s="503"/>
      <c r="E116" s="503"/>
      <c r="F116" s="503"/>
      <c r="G116" s="503"/>
      <c r="H116" s="503"/>
      <c r="I116" s="503"/>
      <c r="J116" s="503"/>
      <c r="K116" s="503"/>
      <c r="L116" s="503"/>
    </row>
    <row r="117" spans="2:12">
      <c r="B117" s="503"/>
      <c r="C117" s="503"/>
      <c r="D117" s="503"/>
      <c r="E117" s="503"/>
      <c r="F117" s="503"/>
      <c r="G117" s="503"/>
      <c r="H117" s="503"/>
      <c r="I117" s="503"/>
      <c r="J117" s="503"/>
      <c r="K117" s="503"/>
      <c r="L117" s="503"/>
    </row>
    <row r="118" spans="2:12">
      <c r="B118" s="503"/>
      <c r="C118" s="503"/>
      <c r="D118" s="503"/>
      <c r="E118" s="503"/>
      <c r="F118" s="503"/>
      <c r="G118" s="503"/>
      <c r="H118" s="503"/>
      <c r="I118" s="503"/>
      <c r="J118" s="503"/>
      <c r="K118" s="503"/>
      <c r="L118" s="503"/>
    </row>
    <row r="119" spans="2:12">
      <c r="B119" s="503"/>
      <c r="C119" s="503"/>
      <c r="D119" s="503"/>
      <c r="E119" s="503"/>
      <c r="F119" s="503"/>
      <c r="G119" s="503"/>
      <c r="H119" s="503"/>
      <c r="I119" s="503"/>
      <c r="J119" s="503"/>
      <c r="K119" s="503"/>
      <c r="L119" s="503"/>
    </row>
    <row r="120" spans="2:12">
      <c r="B120" s="503"/>
      <c r="C120" s="503"/>
      <c r="D120" s="503"/>
      <c r="E120" s="503"/>
      <c r="F120" s="503"/>
      <c r="G120" s="503"/>
      <c r="H120" s="503"/>
      <c r="I120" s="503"/>
      <c r="J120" s="503"/>
      <c r="K120" s="503"/>
      <c r="L120" s="503"/>
    </row>
    <row r="121" spans="2:12">
      <c r="B121" s="503"/>
      <c r="C121" s="503"/>
      <c r="D121" s="503"/>
      <c r="E121" s="503"/>
      <c r="F121" s="503"/>
      <c r="G121" s="503"/>
      <c r="H121" s="503"/>
      <c r="I121" s="503"/>
      <c r="J121" s="503"/>
      <c r="K121" s="503"/>
      <c r="L121" s="503"/>
    </row>
    <row r="122" spans="2:12">
      <c r="B122" s="503"/>
      <c r="C122" s="503"/>
      <c r="D122" s="503"/>
      <c r="E122" s="503"/>
      <c r="F122" s="503"/>
      <c r="G122" s="503"/>
      <c r="H122" s="503"/>
      <c r="I122" s="503"/>
      <c r="J122" s="503"/>
      <c r="K122" s="503"/>
      <c r="L122" s="503"/>
    </row>
    <row r="123" spans="2:12">
      <c r="B123" s="503"/>
      <c r="C123" s="503"/>
      <c r="D123" s="503"/>
      <c r="E123" s="503"/>
      <c r="F123" s="503"/>
      <c r="G123" s="503"/>
      <c r="H123" s="503"/>
      <c r="I123" s="503"/>
      <c r="J123" s="503"/>
      <c r="K123" s="503"/>
      <c r="L123" s="503"/>
    </row>
    <row r="124" spans="2:12">
      <c r="B124" s="503"/>
      <c r="C124" s="503"/>
      <c r="D124" s="503"/>
      <c r="E124" s="503"/>
      <c r="F124" s="503"/>
      <c r="G124" s="503"/>
      <c r="H124" s="503"/>
      <c r="I124" s="503"/>
      <c r="J124" s="503"/>
      <c r="K124" s="503"/>
      <c r="L124" s="503"/>
    </row>
    <row r="125" spans="2:12">
      <c r="B125" s="503"/>
      <c r="C125" s="503"/>
      <c r="D125" s="503"/>
      <c r="E125" s="503"/>
      <c r="F125" s="503"/>
      <c r="G125" s="503"/>
      <c r="H125" s="503"/>
      <c r="I125" s="503"/>
      <c r="J125" s="503"/>
      <c r="K125" s="503"/>
      <c r="L125" s="503"/>
    </row>
    <row r="126" spans="2:12">
      <c r="B126" s="503"/>
      <c r="C126" s="503"/>
      <c r="D126" s="503"/>
      <c r="E126" s="503"/>
      <c r="F126" s="503"/>
      <c r="G126" s="503"/>
      <c r="H126" s="503"/>
      <c r="I126" s="503"/>
      <c r="J126" s="503"/>
      <c r="K126" s="503"/>
      <c r="L126" s="503"/>
    </row>
    <row r="127" spans="2:12">
      <c r="B127" s="503"/>
      <c r="C127" s="503"/>
      <c r="D127" s="503"/>
      <c r="E127" s="503"/>
      <c r="F127" s="503"/>
      <c r="G127" s="503"/>
      <c r="H127" s="503"/>
      <c r="I127" s="503"/>
      <c r="J127" s="503"/>
      <c r="K127" s="503"/>
      <c r="L127" s="503"/>
    </row>
    <row r="128" spans="2:12">
      <c r="B128" s="503"/>
      <c r="C128" s="503"/>
      <c r="D128" s="503"/>
      <c r="E128" s="503"/>
      <c r="F128" s="503"/>
      <c r="G128" s="503"/>
      <c r="H128" s="503"/>
      <c r="I128" s="503"/>
      <c r="J128" s="503"/>
      <c r="K128" s="503"/>
      <c r="L128" s="503"/>
    </row>
    <row r="129" spans="2:12">
      <c r="B129" s="503"/>
      <c r="C129" s="503"/>
      <c r="D129" s="503"/>
      <c r="E129" s="503"/>
      <c r="F129" s="503"/>
      <c r="G129" s="503"/>
      <c r="H129" s="503"/>
      <c r="I129" s="503"/>
      <c r="J129" s="503"/>
      <c r="K129" s="503"/>
      <c r="L129" s="503"/>
    </row>
    <row r="130" spans="2:12">
      <c r="B130" s="503"/>
      <c r="C130" s="503"/>
      <c r="D130" s="503"/>
      <c r="E130" s="503"/>
      <c r="F130" s="503"/>
      <c r="G130" s="503"/>
      <c r="H130" s="503"/>
      <c r="I130" s="503"/>
      <c r="J130" s="503"/>
      <c r="K130" s="503"/>
      <c r="L130" s="503"/>
    </row>
    <row r="131" spans="2:12">
      <c r="B131" s="503"/>
      <c r="C131" s="503"/>
      <c r="D131" s="503"/>
      <c r="E131" s="503"/>
      <c r="F131" s="503"/>
      <c r="G131" s="503"/>
      <c r="H131" s="503"/>
      <c r="I131" s="503"/>
      <c r="J131" s="503"/>
      <c r="K131" s="503"/>
      <c r="L131" s="503"/>
    </row>
    <row r="132" spans="2:12">
      <c r="B132" s="503"/>
      <c r="C132" s="503"/>
      <c r="D132" s="503"/>
      <c r="E132" s="503"/>
      <c r="F132" s="503"/>
      <c r="G132" s="503"/>
      <c r="H132" s="503"/>
      <c r="I132" s="503"/>
      <c r="J132" s="503"/>
      <c r="K132" s="503"/>
      <c r="L132" s="503"/>
    </row>
    <row r="133" spans="2:12">
      <c r="B133" s="503"/>
      <c r="C133" s="503"/>
      <c r="D133" s="503"/>
      <c r="E133" s="503"/>
      <c r="F133" s="503"/>
      <c r="G133" s="503"/>
      <c r="H133" s="503"/>
      <c r="I133" s="503"/>
      <c r="J133" s="503"/>
      <c r="K133" s="503"/>
      <c r="L133" s="503"/>
    </row>
    <row r="134" spans="2:12">
      <c r="B134" s="503"/>
      <c r="C134" s="503"/>
      <c r="D134" s="503"/>
      <c r="E134" s="503"/>
      <c r="F134" s="503"/>
      <c r="G134" s="503"/>
      <c r="H134" s="503"/>
      <c r="I134" s="503"/>
      <c r="J134" s="503"/>
      <c r="K134" s="503"/>
      <c r="L134" s="503"/>
    </row>
    <row r="135" spans="2:12">
      <c r="B135" s="503"/>
      <c r="C135" s="503"/>
      <c r="D135" s="503"/>
      <c r="E135" s="503"/>
      <c r="F135" s="503"/>
      <c r="G135" s="503"/>
      <c r="H135" s="503"/>
      <c r="I135" s="503"/>
      <c r="J135" s="503"/>
      <c r="K135" s="503"/>
      <c r="L135" s="503"/>
    </row>
    <row r="136" spans="2:12">
      <c r="B136" s="503"/>
      <c r="C136" s="503"/>
      <c r="D136" s="503"/>
      <c r="E136" s="503"/>
      <c r="F136" s="503"/>
      <c r="G136" s="503"/>
      <c r="H136" s="503"/>
      <c r="I136" s="503"/>
      <c r="J136" s="503"/>
      <c r="K136" s="503"/>
      <c r="L136" s="503"/>
    </row>
    <row r="137" spans="2:12">
      <c r="B137" s="503"/>
      <c r="C137" s="503"/>
      <c r="D137" s="503"/>
      <c r="E137" s="503"/>
      <c r="F137" s="503"/>
      <c r="G137" s="503"/>
      <c r="H137" s="503"/>
      <c r="I137" s="503"/>
      <c r="J137" s="503"/>
      <c r="K137" s="503"/>
      <c r="L137" s="503"/>
    </row>
    <row r="138" spans="2:12">
      <c r="B138" s="503"/>
      <c r="C138" s="503"/>
      <c r="D138" s="503"/>
      <c r="E138" s="503"/>
      <c r="F138" s="503"/>
      <c r="G138" s="503"/>
      <c r="H138" s="503"/>
      <c r="I138" s="503"/>
      <c r="J138" s="503"/>
      <c r="K138" s="503"/>
      <c r="L138" s="503"/>
    </row>
    <row r="139" spans="2:12">
      <c r="B139" s="503"/>
      <c r="C139" s="503"/>
      <c r="D139" s="503"/>
      <c r="E139" s="503"/>
      <c r="F139" s="503"/>
      <c r="G139" s="503"/>
      <c r="H139" s="503"/>
      <c r="I139" s="503"/>
      <c r="J139" s="503"/>
      <c r="K139" s="503"/>
      <c r="L139" s="503"/>
    </row>
    <row r="140" spans="2:12">
      <c r="B140" s="503"/>
      <c r="C140" s="503"/>
      <c r="D140" s="503"/>
      <c r="E140" s="503"/>
      <c r="F140" s="503"/>
      <c r="G140" s="503"/>
      <c r="H140" s="503"/>
      <c r="I140" s="503"/>
      <c r="J140" s="503"/>
      <c r="K140" s="503"/>
      <c r="L140" s="503"/>
    </row>
    <row r="141" spans="2:12">
      <c r="B141" s="503"/>
      <c r="C141" s="503"/>
      <c r="D141" s="503"/>
      <c r="E141" s="503"/>
      <c r="F141" s="503"/>
      <c r="G141" s="503"/>
      <c r="H141" s="503"/>
      <c r="I141" s="503"/>
      <c r="J141" s="503"/>
      <c r="K141" s="503"/>
      <c r="L141" s="503"/>
    </row>
    <row r="142" spans="2:12">
      <c r="B142" s="503"/>
      <c r="C142" s="503"/>
      <c r="D142" s="503"/>
      <c r="E142" s="503"/>
      <c r="F142" s="503"/>
      <c r="G142" s="503"/>
      <c r="H142" s="503"/>
      <c r="I142" s="503"/>
      <c r="J142" s="503"/>
      <c r="K142" s="503"/>
      <c r="L142" s="503"/>
    </row>
    <row r="143" spans="2:12">
      <c r="B143" s="503"/>
      <c r="C143" s="503"/>
      <c r="D143" s="503"/>
      <c r="E143" s="503"/>
      <c r="F143" s="503"/>
      <c r="G143" s="503"/>
      <c r="H143" s="503"/>
      <c r="I143" s="503"/>
      <c r="J143" s="503"/>
      <c r="K143" s="503"/>
      <c r="L143" s="503"/>
    </row>
    <row r="144" spans="2:12">
      <c r="B144" s="503"/>
      <c r="C144" s="503"/>
      <c r="D144" s="503"/>
      <c r="E144" s="503"/>
      <c r="F144" s="503"/>
      <c r="G144" s="503"/>
      <c r="H144" s="503"/>
      <c r="I144" s="503"/>
      <c r="J144" s="503"/>
      <c r="K144" s="503"/>
      <c r="L144" s="503"/>
    </row>
    <row r="145" spans="2:12">
      <c r="B145" s="503"/>
      <c r="C145" s="503"/>
      <c r="D145" s="503"/>
      <c r="E145" s="503"/>
      <c r="F145" s="503"/>
      <c r="G145" s="503"/>
      <c r="H145" s="503"/>
      <c r="I145" s="503"/>
      <c r="J145" s="503"/>
      <c r="K145" s="503"/>
      <c r="L145" s="503"/>
    </row>
    <row r="146" spans="2:12">
      <c r="B146" s="503"/>
      <c r="C146" s="503"/>
      <c r="D146" s="503"/>
      <c r="E146" s="503"/>
      <c r="F146" s="503"/>
      <c r="G146" s="503"/>
      <c r="H146" s="503"/>
      <c r="I146" s="503"/>
      <c r="J146" s="503"/>
      <c r="K146" s="503"/>
      <c r="L146" s="503"/>
    </row>
    <row r="147" spans="2:12">
      <c r="B147" s="503"/>
      <c r="C147" s="503"/>
      <c r="D147" s="503"/>
      <c r="E147" s="503"/>
      <c r="F147" s="503"/>
      <c r="G147" s="503"/>
      <c r="H147" s="503"/>
      <c r="I147" s="503"/>
      <c r="J147" s="503"/>
      <c r="K147" s="503"/>
      <c r="L147" s="503"/>
    </row>
    <row r="148" spans="2:12">
      <c r="B148" s="503"/>
      <c r="C148" s="503"/>
      <c r="D148" s="503"/>
      <c r="E148" s="503"/>
      <c r="F148" s="503"/>
      <c r="G148" s="503"/>
      <c r="H148" s="503"/>
      <c r="I148" s="503"/>
      <c r="J148" s="503"/>
      <c r="K148" s="503"/>
      <c r="L148" s="503"/>
    </row>
    <row r="149" spans="2:12">
      <c r="B149" s="503"/>
      <c r="C149" s="503"/>
      <c r="D149" s="503"/>
      <c r="E149" s="503"/>
      <c r="F149" s="503"/>
      <c r="G149" s="503"/>
      <c r="H149" s="503"/>
      <c r="I149" s="503"/>
      <c r="J149" s="503"/>
      <c r="K149" s="503"/>
      <c r="L149" s="503"/>
    </row>
    <row r="150" spans="2:12">
      <c r="B150" s="503"/>
      <c r="C150" s="503"/>
      <c r="D150" s="503"/>
      <c r="E150" s="503"/>
      <c r="F150" s="503"/>
      <c r="G150" s="503"/>
      <c r="H150" s="503"/>
      <c r="I150" s="503"/>
      <c r="J150" s="503"/>
      <c r="K150" s="503"/>
      <c r="L150" s="503"/>
    </row>
    <row r="151" spans="2:12">
      <c r="B151" s="503"/>
      <c r="C151" s="503"/>
      <c r="D151" s="503"/>
      <c r="E151" s="503"/>
      <c r="F151" s="503"/>
      <c r="G151" s="503"/>
      <c r="H151" s="503"/>
      <c r="I151" s="503"/>
      <c r="J151" s="503"/>
      <c r="K151" s="503"/>
      <c r="L151" s="503"/>
    </row>
    <row r="152" spans="2:12">
      <c r="B152" s="503"/>
      <c r="C152" s="503"/>
      <c r="D152" s="503"/>
      <c r="E152" s="503"/>
      <c r="F152" s="503"/>
      <c r="G152" s="503"/>
      <c r="H152" s="503"/>
      <c r="I152" s="503"/>
      <c r="J152" s="503"/>
      <c r="K152" s="503"/>
      <c r="L152" s="503"/>
    </row>
    <row r="153" spans="2:12">
      <c r="B153" s="503"/>
      <c r="C153" s="503"/>
      <c r="D153" s="503"/>
      <c r="E153" s="503"/>
      <c r="F153" s="503"/>
      <c r="G153" s="503"/>
      <c r="H153" s="503"/>
      <c r="I153" s="503"/>
      <c r="J153" s="503"/>
      <c r="K153" s="503"/>
      <c r="L153" s="503"/>
    </row>
    <row r="154" spans="2:12">
      <c r="B154" s="503"/>
      <c r="C154" s="503"/>
      <c r="D154" s="503"/>
      <c r="E154" s="503"/>
      <c r="F154" s="503"/>
      <c r="G154" s="503"/>
      <c r="H154" s="503"/>
      <c r="I154" s="503"/>
      <c r="J154" s="503"/>
      <c r="K154" s="503"/>
      <c r="L154" s="503"/>
    </row>
    <row r="155" spans="2:12">
      <c r="B155" s="503"/>
      <c r="C155" s="503"/>
      <c r="D155" s="503"/>
      <c r="E155" s="503"/>
      <c r="F155" s="503"/>
      <c r="G155" s="503"/>
      <c r="H155" s="503"/>
      <c r="I155" s="503"/>
      <c r="J155" s="503"/>
      <c r="K155" s="503"/>
      <c r="L155" s="503"/>
    </row>
    <row r="156" spans="2:12">
      <c r="B156" s="503"/>
      <c r="C156" s="503"/>
      <c r="D156" s="503"/>
      <c r="E156" s="503"/>
      <c r="F156" s="503"/>
      <c r="G156" s="503"/>
      <c r="H156" s="503"/>
      <c r="I156" s="503"/>
      <c r="J156" s="503"/>
      <c r="K156" s="503"/>
      <c r="L156" s="503"/>
    </row>
    <row r="157" spans="2:12">
      <c r="B157" s="503"/>
      <c r="C157" s="503"/>
      <c r="D157" s="503"/>
      <c r="E157" s="503"/>
      <c r="F157" s="503"/>
      <c r="G157" s="503"/>
      <c r="H157" s="503"/>
      <c r="I157" s="503"/>
      <c r="J157" s="503"/>
      <c r="K157" s="503"/>
      <c r="L157" s="503"/>
    </row>
    <row r="158" spans="2:12">
      <c r="B158" s="503"/>
      <c r="C158" s="503"/>
      <c r="D158" s="503"/>
      <c r="E158" s="503"/>
      <c r="F158" s="503"/>
      <c r="G158" s="503"/>
      <c r="H158" s="503"/>
      <c r="I158" s="503"/>
      <c r="J158" s="503"/>
      <c r="K158" s="503"/>
      <c r="L158" s="503"/>
    </row>
    <row r="159" spans="2:12">
      <c r="B159" s="503"/>
      <c r="C159" s="503"/>
      <c r="D159" s="503"/>
      <c r="E159" s="503"/>
      <c r="F159" s="503"/>
      <c r="G159" s="503"/>
      <c r="H159" s="503"/>
      <c r="I159" s="503"/>
      <c r="J159" s="503"/>
      <c r="K159" s="503"/>
      <c r="L159" s="503"/>
    </row>
    <row r="160" spans="2:12">
      <c r="B160" s="503"/>
      <c r="C160" s="503"/>
      <c r="D160" s="503"/>
      <c r="E160" s="503"/>
      <c r="F160" s="503"/>
      <c r="G160" s="503"/>
      <c r="H160" s="503"/>
      <c r="I160" s="503"/>
      <c r="J160" s="503"/>
      <c r="K160" s="503"/>
      <c r="L160" s="503"/>
    </row>
    <row r="161" spans="2:12">
      <c r="B161" s="503"/>
      <c r="C161" s="503"/>
      <c r="D161" s="503"/>
      <c r="E161" s="503"/>
      <c r="F161" s="503"/>
      <c r="G161" s="503"/>
      <c r="H161" s="503"/>
      <c r="I161" s="503"/>
      <c r="J161" s="503"/>
      <c r="K161" s="503"/>
      <c r="L161" s="503"/>
    </row>
    <row r="162" spans="2:12">
      <c r="B162" s="503"/>
      <c r="C162" s="503"/>
      <c r="D162" s="503"/>
      <c r="E162" s="503"/>
      <c r="F162" s="503"/>
      <c r="G162" s="503"/>
      <c r="H162" s="503"/>
      <c r="I162" s="503"/>
      <c r="J162" s="503"/>
      <c r="K162" s="503"/>
      <c r="L162" s="503"/>
    </row>
    <row r="163" spans="2:12">
      <c r="B163" s="503"/>
      <c r="C163" s="503"/>
      <c r="D163" s="503"/>
      <c r="E163" s="503"/>
      <c r="F163" s="503"/>
      <c r="G163" s="503"/>
      <c r="H163" s="503"/>
      <c r="I163" s="503"/>
      <c r="J163" s="503"/>
      <c r="K163" s="503"/>
      <c r="L163" s="503"/>
    </row>
    <row r="164" spans="2:12">
      <c r="B164" s="503"/>
      <c r="C164" s="503"/>
      <c r="D164" s="503"/>
      <c r="E164" s="503"/>
      <c r="F164" s="503"/>
      <c r="G164" s="503"/>
      <c r="H164" s="503"/>
      <c r="I164" s="503"/>
      <c r="J164" s="503"/>
      <c r="K164" s="503"/>
      <c r="L164" s="503"/>
    </row>
    <row r="165" spans="2:12">
      <c r="B165" s="503"/>
      <c r="C165" s="503"/>
      <c r="D165" s="503"/>
      <c r="E165" s="503"/>
      <c r="F165" s="503"/>
      <c r="G165" s="503"/>
      <c r="H165" s="503"/>
      <c r="I165" s="503"/>
      <c r="J165" s="503"/>
      <c r="K165" s="503"/>
      <c r="L165" s="503"/>
    </row>
    <row r="166" spans="2:12">
      <c r="B166" s="503"/>
      <c r="C166" s="503"/>
      <c r="D166" s="503"/>
      <c r="E166" s="503"/>
      <c r="F166" s="503"/>
      <c r="G166" s="503"/>
      <c r="H166" s="503"/>
      <c r="I166" s="503"/>
      <c r="J166" s="503"/>
      <c r="K166" s="503"/>
      <c r="L166" s="503"/>
    </row>
    <row r="167" spans="2:12">
      <c r="B167" s="503"/>
      <c r="C167" s="503"/>
      <c r="D167" s="503"/>
      <c r="E167" s="503"/>
      <c r="F167" s="503"/>
      <c r="G167" s="503"/>
      <c r="H167" s="503"/>
      <c r="I167" s="503"/>
      <c r="J167" s="503"/>
      <c r="K167" s="503"/>
      <c r="L167" s="503"/>
    </row>
    <row r="168" spans="2:12">
      <c r="B168" s="503"/>
      <c r="C168" s="503"/>
      <c r="D168" s="503"/>
      <c r="E168" s="503"/>
      <c r="F168" s="503"/>
      <c r="G168" s="503"/>
      <c r="H168" s="503"/>
      <c r="I168" s="503"/>
      <c r="J168" s="503"/>
      <c r="K168" s="503"/>
      <c r="L168" s="503"/>
    </row>
    <row r="169" spans="2:12">
      <c r="B169" s="503"/>
      <c r="C169" s="503"/>
      <c r="D169" s="503"/>
      <c r="E169" s="503"/>
      <c r="F169" s="503"/>
      <c r="G169" s="503"/>
      <c r="H169" s="503"/>
      <c r="I169" s="503"/>
      <c r="J169" s="503"/>
      <c r="K169" s="503"/>
      <c r="L169" s="503"/>
    </row>
    <row r="170" spans="2:12">
      <c r="B170" s="503"/>
      <c r="C170" s="503"/>
      <c r="D170" s="503"/>
      <c r="E170" s="503"/>
      <c r="F170" s="503"/>
      <c r="G170" s="503"/>
      <c r="H170" s="503"/>
      <c r="I170" s="503"/>
      <c r="J170" s="503"/>
      <c r="K170" s="503"/>
      <c r="L170" s="503"/>
    </row>
    <row r="171" spans="2:12">
      <c r="B171" s="503"/>
      <c r="C171" s="503"/>
      <c r="D171" s="503"/>
      <c r="E171" s="503"/>
      <c r="F171" s="503"/>
      <c r="G171" s="503"/>
      <c r="H171" s="503"/>
      <c r="I171" s="503"/>
      <c r="J171" s="503"/>
      <c r="K171" s="503"/>
      <c r="L171" s="503"/>
    </row>
    <row r="172" spans="2:12">
      <c r="B172" s="503"/>
      <c r="C172" s="503"/>
      <c r="D172" s="503"/>
      <c r="E172" s="503"/>
      <c r="F172" s="503"/>
      <c r="G172" s="503"/>
      <c r="H172" s="503"/>
      <c r="I172" s="503"/>
      <c r="J172" s="503"/>
      <c r="K172" s="503"/>
      <c r="L172" s="503"/>
    </row>
    <row r="173" spans="2:12">
      <c r="B173" s="503"/>
      <c r="C173" s="503"/>
      <c r="D173" s="503"/>
      <c r="E173" s="503"/>
      <c r="F173" s="503"/>
      <c r="G173" s="503"/>
      <c r="H173" s="503"/>
      <c r="I173" s="503"/>
      <c r="J173" s="503"/>
      <c r="K173" s="503"/>
      <c r="L173" s="503"/>
    </row>
    <row r="174" spans="2:12">
      <c r="B174" s="503"/>
      <c r="C174" s="503"/>
      <c r="D174" s="503"/>
      <c r="E174" s="503"/>
      <c r="F174" s="503"/>
      <c r="G174" s="503"/>
      <c r="H174" s="503"/>
      <c r="I174" s="503"/>
      <c r="J174" s="503"/>
      <c r="K174" s="503"/>
      <c r="L174" s="503"/>
    </row>
    <row r="175" spans="2:12">
      <c r="B175" s="503"/>
      <c r="C175" s="503"/>
      <c r="D175" s="503"/>
      <c r="E175" s="503"/>
      <c r="F175" s="503"/>
      <c r="G175" s="503"/>
      <c r="H175" s="503"/>
      <c r="I175" s="503"/>
      <c r="J175" s="503"/>
      <c r="K175" s="503"/>
      <c r="L175" s="503"/>
    </row>
    <row r="176" spans="2:12">
      <c r="B176" s="503"/>
      <c r="C176" s="503"/>
      <c r="D176" s="503"/>
      <c r="E176" s="503"/>
      <c r="F176" s="503"/>
      <c r="G176" s="503"/>
      <c r="H176" s="503"/>
      <c r="I176" s="503"/>
      <c r="J176" s="503"/>
      <c r="K176" s="503"/>
      <c r="L176" s="503"/>
    </row>
    <row r="177" spans="2:12">
      <c r="B177" s="503"/>
      <c r="C177" s="503"/>
      <c r="D177" s="503"/>
      <c r="E177" s="503"/>
      <c r="F177" s="503"/>
      <c r="G177" s="503"/>
      <c r="H177" s="503"/>
      <c r="I177" s="503"/>
      <c r="J177" s="503"/>
      <c r="K177" s="503"/>
      <c r="L177" s="503"/>
    </row>
    <row r="178" spans="2:12">
      <c r="B178" s="503"/>
      <c r="C178" s="503"/>
      <c r="D178" s="503"/>
      <c r="E178" s="503"/>
      <c r="F178" s="503"/>
      <c r="G178" s="503"/>
      <c r="H178" s="503"/>
      <c r="I178" s="503"/>
      <c r="J178" s="503"/>
      <c r="K178" s="503"/>
      <c r="L178" s="503"/>
    </row>
    <row r="179" spans="2:12">
      <c r="B179" s="503"/>
      <c r="C179" s="503"/>
      <c r="D179" s="503"/>
      <c r="E179" s="503"/>
      <c r="F179" s="503"/>
      <c r="G179" s="503"/>
      <c r="H179" s="503"/>
      <c r="I179" s="503"/>
      <c r="J179" s="503"/>
      <c r="K179" s="503"/>
      <c r="L179" s="503"/>
    </row>
    <row r="180" spans="2:12">
      <c r="B180" s="503"/>
      <c r="C180" s="503"/>
      <c r="D180" s="503"/>
      <c r="E180" s="503"/>
      <c r="F180" s="503"/>
      <c r="G180" s="503"/>
      <c r="H180" s="503"/>
      <c r="I180" s="503"/>
      <c r="J180" s="503"/>
      <c r="K180" s="503"/>
      <c r="L180" s="503"/>
    </row>
    <row r="181" spans="2:12">
      <c r="B181" s="503"/>
      <c r="C181" s="503"/>
      <c r="D181" s="503"/>
      <c r="E181" s="503"/>
      <c r="F181" s="503"/>
      <c r="G181" s="503"/>
      <c r="H181" s="503"/>
      <c r="I181" s="503"/>
      <c r="J181" s="503"/>
      <c r="K181" s="503"/>
      <c r="L181" s="503"/>
    </row>
    <row r="182" spans="2:12">
      <c r="B182" s="503"/>
      <c r="C182" s="503"/>
      <c r="D182" s="503"/>
      <c r="E182" s="503"/>
      <c r="F182" s="503"/>
      <c r="G182" s="503"/>
      <c r="H182" s="503"/>
      <c r="I182" s="503"/>
      <c r="J182" s="503"/>
      <c r="K182" s="503"/>
      <c r="L182" s="503"/>
    </row>
    <row r="183" spans="2:12">
      <c r="B183" s="503"/>
      <c r="C183" s="503"/>
      <c r="D183" s="503"/>
      <c r="E183" s="503"/>
      <c r="F183" s="503"/>
      <c r="G183" s="503"/>
      <c r="H183" s="503"/>
      <c r="I183" s="503"/>
      <c r="J183" s="503"/>
      <c r="K183" s="503"/>
      <c r="L183" s="503"/>
    </row>
    <row r="184" spans="2:12">
      <c r="B184" s="503"/>
      <c r="C184" s="503"/>
      <c r="D184" s="503"/>
      <c r="E184" s="503"/>
      <c r="F184" s="503"/>
      <c r="G184" s="503"/>
      <c r="H184" s="503"/>
      <c r="I184" s="503"/>
      <c r="J184" s="503"/>
      <c r="K184" s="503"/>
      <c r="L184" s="503"/>
    </row>
    <row r="185" spans="2:12">
      <c r="B185" s="503"/>
      <c r="C185" s="503"/>
      <c r="D185" s="503"/>
      <c r="E185" s="503"/>
      <c r="F185" s="503"/>
      <c r="G185" s="503"/>
      <c r="H185" s="503"/>
      <c r="I185" s="503"/>
      <c r="J185" s="503"/>
      <c r="K185" s="503"/>
      <c r="L185" s="503"/>
    </row>
    <row r="186" spans="2:12">
      <c r="B186" s="503"/>
      <c r="C186" s="503"/>
      <c r="D186" s="503"/>
      <c r="E186" s="503"/>
      <c r="F186" s="503"/>
      <c r="G186" s="503"/>
      <c r="H186" s="503"/>
      <c r="I186" s="503"/>
      <c r="J186" s="503"/>
      <c r="K186" s="503"/>
      <c r="L186" s="503"/>
    </row>
    <row r="187" spans="2:12">
      <c r="B187" s="503"/>
      <c r="C187" s="503"/>
      <c r="D187" s="503"/>
      <c r="E187" s="503"/>
      <c r="F187" s="503"/>
      <c r="G187" s="503"/>
      <c r="H187" s="503"/>
      <c r="I187" s="503"/>
      <c r="J187" s="503"/>
      <c r="K187" s="503"/>
      <c r="L187" s="503"/>
    </row>
    <row r="188" spans="2:12">
      <c r="B188" s="503"/>
      <c r="C188" s="503"/>
      <c r="D188" s="503"/>
      <c r="E188" s="503"/>
      <c r="F188" s="503"/>
      <c r="G188" s="503"/>
      <c r="H188" s="503"/>
      <c r="I188" s="503"/>
      <c r="J188" s="503"/>
      <c r="K188" s="503"/>
      <c r="L188" s="503"/>
    </row>
    <row r="189" spans="2:12">
      <c r="B189" s="503"/>
      <c r="C189" s="503"/>
      <c r="D189" s="503"/>
      <c r="E189" s="503"/>
      <c r="F189" s="503"/>
      <c r="G189" s="503"/>
      <c r="H189" s="503"/>
      <c r="I189" s="503"/>
      <c r="J189" s="503"/>
      <c r="K189" s="503"/>
      <c r="L189" s="503"/>
    </row>
    <row r="190" spans="2:12">
      <c r="B190" s="503"/>
      <c r="C190" s="503"/>
      <c r="D190" s="503"/>
      <c r="E190" s="503"/>
      <c r="F190" s="503"/>
      <c r="G190" s="503"/>
      <c r="H190" s="503"/>
      <c r="I190" s="503"/>
      <c r="J190" s="503"/>
      <c r="K190" s="503"/>
      <c r="L190" s="503"/>
    </row>
    <row r="191" spans="2:12">
      <c r="B191" s="503"/>
      <c r="C191" s="503"/>
      <c r="D191" s="503"/>
      <c r="E191" s="503"/>
      <c r="F191" s="503"/>
      <c r="G191" s="503"/>
      <c r="H191" s="503"/>
      <c r="I191" s="503"/>
      <c r="J191" s="503"/>
      <c r="K191" s="503"/>
      <c r="L191" s="503"/>
    </row>
    <row r="192" spans="2:12">
      <c r="B192" s="503"/>
      <c r="C192" s="503"/>
      <c r="D192" s="503"/>
      <c r="E192" s="503"/>
      <c r="F192" s="503"/>
      <c r="G192" s="503"/>
      <c r="H192" s="503"/>
      <c r="I192" s="503"/>
      <c r="J192" s="503"/>
      <c r="K192" s="503"/>
      <c r="L192" s="503"/>
    </row>
    <row r="193" spans="2:12">
      <c r="B193" s="503"/>
      <c r="C193" s="503"/>
      <c r="D193" s="503"/>
      <c r="E193" s="503"/>
      <c r="F193" s="503"/>
      <c r="G193" s="503"/>
      <c r="H193" s="503"/>
      <c r="I193" s="503"/>
      <c r="J193" s="503"/>
      <c r="K193" s="503"/>
      <c r="L193" s="503"/>
    </row>
    <row r="194" spans="2:12">
      <c r="B194" s="503"/>
      <c r="C194" s="503"/>
      <c r="D194" s="503"/>
      <c r="E194" s="503"/>
      <c r="F194" s="503"/>
      <c r="G194" s="503"/>
      <c r="H194" s="503"/>
      <c r="I194" s="503"/>
      <c r="J194" s="503"/>
      <c r="K194" s="503"/>
      <c r="L194" s="503"/>
    </row>
    <row r="195" spans="2:12">
      <c r="B195" s="503"/>
      <c r="C195" s="503"/>
      <c r="D195" s="503"/>
      <c r="E195" s="503"/>
      <c r="F195" s="503"/>
      <c r="G195" s="503"/>
      <c r="H195" s="503"/>
      <c r="I195" s="503"/>
      <c r="J195" s="503"/>
      <c r="K195" s="503"/>
      <c r="L195" s="503"/>
    </row>
    <row r="196" spans="2:12">
      <c r="B196" s="503"/>
      <c r="C196" s="503"/>
      <c r="D196" s="503"/>
      <c r="E196" s="503"/>
      <c r="F196" s="503"/>
      <c r="G196" s="503"/>
      <c r="H196" s="503"/>
      <c r="I196" s="503"/>
      <c r="J196" s="503"/>
      <c r="K196" s="503"/>
      <c r="L196" s="503"/>
    </row>
    <row r="197" spans="2:12">
      <c r="B197" s="503"/>
      <c r="C197" s="503"/>
      <c r="D197" s="503"/>
      <c r="E197" s="503"/>
      <c r="F197" s="503"/>
      <c r="G197" s="503"/>
      <c r="H197" s="503"/>
      <c r="I197" s="503"/>
      <c r="J197" s="503"/>
      <c r="K197" s="503"/>
      <c r="L197" s="503"/>
    </row>
    <row r="198" spans="2:12">
      <c r="B198" s="503"/>
      <c r="C198" s="503"/>
      <c r="D198" s="503"/>
      <c r="E198" s="503"/>
      <c r="F198" s="503"/>
      <c r="G198" s="503"/>
      <c r="H198" s="503"/>
      <c r="I198" s="503"/>
      <c r="J198" s="503"/>
      <c r="K198" s="503"/>
      <c r="L198" s="503"/>
    </row>
    <row r="199" spans="2:12">
      <c r="B199" s="503"/>
      <c r="C199" s="503"/>
      <c r="D199" s="503"/>
      <c r="E199" s="503"/>
      <c r="F199" s="503"/>
      <c r="G199" s="503"/>
      <c r="H199" s="503"/>
      <c r="I199" s="503"/>
      <c r="J199" s="503"/>
      <c r="K199" s="503"/>
      <c r="L199" s="503"/>
    </row>
    <row r="200" spans="2:12">
      <c r="B200" s="503"/>
      <c r="C200" s="503"/>
      <c r="D200" s="503"/>
      <c r="E200" s="503"/>
      <c r="F200" s="503"/>
      <c r="G200" s="503"/>
      <c r="H200" s="503"/>
      <c r="I200" s="503"/>
      <c r="J200" s="503"/>
      <c r="K200" s="503"/>
      <c r="L200" s="503"/>
    </row>
    <row r="201" spans="2:12">
      <c r="B201" s="503"/>
      <c r="C201" s="503"/>
      <c r="D201" s="503"/>
      <c r="E201" s="503"/>
      <c r="F201" s="503"/>
      <c r="G201" s="503"/>
      <c r="H201" s="503"/>
      <c r="I201" s="503"/>
      <c r="J201" s="503"/>
      <c r="K201" s="503"/>
      <c r="L201" s="503"/>
    </row>
    <row r="202" spans="2:12">
      <c r="B202" s="503"/>
      <c r="C202" s="503"/>
      <c r="D202" s="503"/>
      <c r="E202" s="503"/>
      <c r="F202" s="503"/>
      <c r="G202" s="503"/>
      <c r="H202" s="503"/>
      <c r="I202" s="503"/>
      <c r="J202" s="503"/>
      <c r="K202" s="503"/>
      <c r="L202" s="503"/>
    </row>
    <row r="203" spans="2:12">
      <c r="B203" s="503"/>
      <c r="C203" s="503"/>
      <c r="D203" s="503"/>
      <c r="E203" s="503"/>
      <c r="F203" s="503"/>
      <c r="G203" s="503"/>
      <c r="H203" s="503"/>
      <c r="I203" s="503"/>
      <c r="J203" s="503"/>
      <c r="K203" s="503"/>
      <c r="L203" s="503"/>
    </row>
    <row r="204" spans="2:12">
      <c r="B204" s="503"/>
      <c r="C204" s="503"/>
      <c r="D204" s="503"/>
      <c r="E204" s="503"/>
      <c r="F204" s="503"/>
      <c r="G204" s="503"/>
      <c r="H204" s="503"/>
      <c r="I204" s="503"/>
      <c r="J204" s="503"/>
      <c r="K204" s="503"/>
      <c r="L204" s="503"/>
    </row>
    <row r="205" spans="2:12">
      <c r="B205" s="503"/>
      <c r="C205" s="503"/>
      <c r="D205" s="503"/>
      <c r="E205" s="503"/>
      <c r="F205" s="503"/>
      <c r="G205" s="503"/>
      <c r="H205" s="503"/>
      <c r="I205" s="503"/>
      <c r="J205" s="503"/>
      <c r="K205" s="503"/>
      <c r="L205" s="503"/>
    </row>
    <row r="206" spans="2:12">
      <c r="B206" s="503"/>
      <c r="C206" s="503"/>
      <c r="D206" s="503"/>
      <c r="E206" s="503"/>
      <c r="F206" s="503"/>
      <c r="G206" s="503"/>
      <c r="H206" s="503"/>
      <c r="I206" s="503"/>
      <c r="J206" s="503"/>
      <c r="K206" s="503"/>
      <c r="L206" s="503"/>
    </row>
    <row r="207" spans="2:12">
      <c r="B207" s="503"/>
      <c r="C207" s="503"/>
      <c r="D207" s="503"/>
      <c r="E207" s="503"/>
      <c r="F207" s="503"/>
      <c r="G207" s="503"/>
      <c r="H207" s="503"/>
      <c r="I207" s="503"/>
      <c r="J207" s="503"/>
      <c r="K207" s="503"/>
      <c r="L207" s="503"/>
    </row>
    <row r="208" spans="2:12">
      <c r="B208" s="503"/>
      <c r="C208" s="503"/>
      <c r="D208" s="503"/>
      <c r="E208" s="503"/>
      <c r="F208" s="503"/>
      <c r="G208" s="503"/>
      <c r="H208" s="503"/>
      <c r="I208" s="503"/>
      <c r="J208" s="503"/>
      <c r="K208" s="503"/>
      <c r="L208" s="503"/>
    </row>
    <row r="209" spans="2:12">
      <c r="B209" s="503"/>
      <c r="C209" s="503"/>
      <c r="D209" s="503"/>
      <c r="E209" s="503"/>
      <c r="F209" s="503"/>
      <c r="G209" s="503"/>
      <c r="H209" s="503"/>
      <c r="I209" s="503"/>
      <c r="J209" s="503"/>
      <c r="K209" s="503"/>
      <c r="L209" s="503"/>
    </row>
    <row r="210" spans="2:12">
      <c r="B210" s="503"/>
      <c r="C210" s="503"/>
      <c r="D210" s="503"/>
      <c r="E210" s="503"/>
      <c r="F210" s="503"/>
      <c r="G210" s="503"/>
      <c r="H210" s="503"/>
      <c r="I210" s="503"/>
      <c r="J210" s="503"/>
      <c r="K210" s="503"/>
      <c r="L210" s="503"/>
    </row>
    <row r="211" spans="2:12">
      <c r="B211" s="503"/>
      <c r="C211" s="503"/>
      <c r="D211" s="503"/>
      <c r="E211" s="503"/>
      <c r="F211" s="503"/>
      <c r="G211" s="503"/>
      <c r="H211" s="503"/>
      <c r="I211" s="503"/>
      <c r="J211" s="503"/>
      <c r="K211" s="503"/>
      <c r="L211" s="503"/>
    </row>
    <row r="212" spans="2:12">
      <c r="B212" s="503"/>
      <c r="C212" s="503"/>
      <c r="D212" s="503"/>
      <c r="E212" s="503"/>
      <c r="F212" s="503"/>
      <c r="G212" s="503"/>
      <c r="H212" s="503"/>
      <c r="I212" s="503"/>
      <c r="J212" s="503"/>
      <c r="K212" s="503"/>
      <c r="L212" s="503"/>
    </row>
    <row r="213" spans="2:12">
      <c r="B213" s="503"/>
      <c r="C213" s="503"/>
      <c r="D213" s="503"/>
      <c r="E213" s="503"/>
      <c r="F213" s="503"/>
      <c r="G213" s="503"/>
      <c r="H213" s="503"/>
      <c r="I213" s="503"/>
      <c r="J213" s="503"/>
      <c r="K213" s="503"/>
      <c r="L213" s="503"/>
    </row>
    <row r="214" spans="2:12">
      <c r="B214" s="503"/>
      <c r="C214" s="503"/>
      <c r="D214" s="503"/>
      <c r="E214" s="503"/>
      <c r="F214" s="503"/>
      <c r="G214" s="503"/>
      <c r="H214" s="503"/>
      <c r="I214" s="503"/>
      <c r="J214" s="503"/>
      <c r="K214" s="503"/>
      <c r="L214" s="503"/>
    </row>
    <row r="215" spans="2:12">
      <c r="B215" s="503"/>
      <c r="C215" s="503"/>
      <c r="D215" s="503"/>
      <c r="E215" s="503"/>
      <c r="F215" s="503"/>
      <c r="G215" s="503"/>
      <c r="H215" s="503"/>
      <c r="I215" s="503"/>
      <c r="J215" s="503"/>
      <c r="K215" s="503"/>
      <c r="L215" s="503"/>
    </row>
    <row r="216" spans="2:12">
      <c r="B216" s="503"/>
      <c r="C216" s="503"/>
      <c r="D216" s="503"/>
      <c r="E216" s="503"/>
      <c r="F216" s="503"/>
      <c r="G216" s="503"/>
      <c r="H216" s="503"/>
      <c r="I216" s="503"/>
      <c r="J216" s="503"/>
      <c r="K216" s="503"/>
      <c r="L216" s="503"/>
    </row>
    <row r="217" spans="2:12">
      <c r="B217" s="503"/>
      <c r="C217" s="503"/>
      <c r="D217" s="503"/>
      <c r="E217" s="503"/>
      <c r="F217" s="503"/>
      <c r="G217" s="503"/>
      <c r="H217" s="503"/>
      <c r="I217" s="503"/>
      <c r="J217" s="503"/>
      <c r="K217" s="503"/>
      <c r="L217" s="503"/>
    </row>
    <row r="218" spans="2:12">
      <c r="B218" s="503"/>
      <c r="C218" s="503"/>
      <c r="D218" s="503"/>
      <c r="E218" s="503"/>
      <c r="F218" s="503"/>
      <c r="G218" s="503"/>
      <c r="H218" s="503"/>
      <c r="I218" s="503"/>
      <c r="J218" s="503"/>
      <c r="K218" s="503"/>
      <c r="L218" s="503"/>
    </row>
    <row r="219" spans="2:12">
      <c r="B219" s="503"/>
      <c r="C219" s="503"/>
      <c r="D219" s="503"/>
      <c r="E219" s="503"/>
      <c r="F219" s="503"/>
      <c r="G219" s="503"/>
      <c r="H219" s="503"/>
      <c r="I219" s="503"/>
      <c r="J219" s="503"/>
      <c r="K219" s="503"/>
      <c r="L219" s="503"/>
    </row>
    <row r="220" spans="2:12">
      <c r="B220" s="503"/>
      <c r="C220" s="503"/>
      <c r="D220" s="503"/>
      <c r="E220" s="503"/>
      <c r="F220" s="503"/>
      <c r="G220" s="503"/>
      <c r="H220" s="503"/>
      <c r="I220" s="503"/>
      <c r="J220" s="503"/>
      <c r="K220" s="503"/>
      <c r="L220" s="503"/>
    </row>
    <row r="221" spans="2:12">
      <c r="B221" s="503"/>
      <c r="C221" s="503"/>
      <c r="D221" s="503"/>
      <c r="E221" s="503"/>
      <c r="F221" s="503"/>
      <c r="G221" s="503"/>
      <c r="H221" s="503"/>
      <c r="I221" s="503"/>
      <c r="J221" s="503"/>
      <c r="K221" s="503"/>
      <c r="L221" s="503"/>
    </row>
    <row r="222" spans="2:12">
      <c r="B222" s="503"/>
      <c r="C222" s="503"/>
      <c r="D222" s="503"/>
      <c r="E222" s="503"/>
      <c r="F222" s="503"/>
      <c r="G222" s="503"/>
      <c r="H222" s="503"/>
      <c r="I222" s="503"/>
      <c r="J222" s="503"/>
      <c r="K222" s="503"/>
      <c r="L222" s="503"/>
    </row>
    <row r="223" spans="2:12">
      <c r="B223" s="503"/>
      <c r="C223" s="503"/>
      <c r="D223" s="503"/>
      <c r="E223" s="503"/>
      <c r="F223" s="503"/>
      <c r="G223" s="503"/>
      <c r="H223" s="503"/>
      <c r="I223" s="503"/>
      <c r="J223" s="503"/>
      <c r="K223" s="503"/>
      <c r="L223" s="503"/>
    </row>
    <row r="224" spans="2:12">
      <c r="B224" s="503"/>
      <c r="C224" s="503"/>
      <c r="D224" s="503"/>
      <c r="E224" s="503"/>
      <c r="F224" s="503"/>
      <c r="G224" s="503"/>
      <c r="H224" s="503"/>
      <c r="I224" s="503"/>
      <c r="J224" s="503"/>
      <c r="K224" s="503"/>
      <c r="L224" s="503"/>
    </row>
  </sheetData>
  <mergeCells count="2">
    <mergeCell ref="A4:L4"/>
    <mergeCell ref="B1:C1"/>
  </mergeCells>
  <phoneticPr fontId="24"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66"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enableFormatConditionsCalculation="0">
    <tabColor theme="5" tint="0.59999389629810485"/>
    <pageSetUpPr fitToPage="1"/>
  </sheetPr>
  <dimension ref="A1:K225"/>
  <sheetViews>
    <sheetView workbookViewId="0">
      <pane xSplit="1" ySplit="8" topLeftCell="B9" activePane="bottomRight" state="frozen"/>
      <selection activeCell="B1" sqref="B1:C1"/>
      <selection pane="topRight" activeCell="B1" sqref="B1:C1"/>
      <selection pane="bottomLeft" activeCell="B1" sqref="B1:C1"/>
      <selection pane="bottomRight" activeCell="A3" sqref="A3:K3"/>
    </sheetView>
  </sheetViews>
  <sheetFormatPr baseColWidth="10" defaultRowHeight="12" x14ac:dyDescent="0"/>
  <cols>
    <col min="1" max="1" width="11.5" style="444" customWidth="1"/>
    <col min="2" max="11" width="11.1640625" style="444" customWidth="1"/>
    <col min="12" max="16384" width="10.83203125" style="444"/>
  </cols>
  <sheetData>
    <row r="1" spans="1:11">
      <c r="B1" s="2252" t="s">
        <v>1416</v>
      </c>
      <c r="C1" s="2252"/>
      <c r="D1" s="442"/>
      <c r="E1" s="616"/>
      <c r="F1" s="616"/>
      <c r="G1" s="616"/>
      <c r="H1" s="616"/>
      <c r="I1" s="616"/>
      <c r="J1" s="616"/>
      <c r="K1" s="616"/>
    </row>
    <row r="2" spans="1:11" ht="13" thickBot="1"/>
    <row r="3" spans="1:11" ht="19.75" customHeight="1" thickTop="1">
      <c r="A3" s="2315" t="s">
        <v>459</v>
      </c>
      <c r="B3" s="2316"/>
      <c r="C3" s="2316"/>
      <c r="D3" s="2316"/>
      <c r="E3" s="2316"/>
      <c r="F3" s="2316"/>
      <c r="G3" s="2316"/>
      <c r="H3" s="2316"/>
      <c r="I3" s="2316"/>
      <c r="J3" s="2316"/>
      <c r="K3" s="2317"/>
    </row>
    <row r="4" spans="1:11">
      <c r="A4" s="445"/>
      <c r="B4" s="446"/>
      <c r="C4" s="446"/>
      <c r="D4" s="446"/>
      <c r="E4" s="446"/>
      <c r="F4" s="446"/>
      <c r="G4" s="446"/>
      <c r="H4" s="446"/>
      <c r="I4" s="446"/>
      <c r="J4" s="446"/>
      <c r="K4" s="617"/>
    </row>
    <row r="5" spans="1:11">
      <c r="A5" s="445"/>
      <c r="B5" s="447" t="s">
        <v>952</v>
      </c>
      <c r="C5" s="447" t="s">
        <v>953</v>
      </c>
      <c r="D5" s="447" t="s">
        <v>954</v>
      </c>
      <c r="E5" s="447" t="s">
        <v>955</v>
      </c>
      <c r="F5" s="447" t="s">
        <v>956</v>
      </c>
      <c r="G5" s="447" t="s">
        <v>957</v>
      </c>
      <c r="H5" s="447" t="s">
        <v>958</v>
      </c>
      <c r="I5" s="859" t="s">
        <v>959</v>
      </c>
      <c r="J5" s="447" t="s">
        <v>960</v>
      </c>
      <c r="K5" s="618" t="s">
        <v>961</v>
      </c>
    </row>
    <row r="6" spans="1:11" ht="34" customHeight="1">
      <c r="A6" s="448"/>
      <c r="B6" s="619"/>
      <c r="C6" s="2164"/>
      <c r="D6" s="2318" t="s">
        <v>410</v>
      </c>
      <c r="E6" s="2319"/>
      <c r="F6" s="2319"/>
      <c r="G6" s="2320"/>
      <c r="H6" s="2318" t="s">
        <v>340</v>
      </c>
      <c r="I6" s="2319"/>
      <c r="J6" s="2319"/>
      <c r="K6" s="2321"/>
    </row>
    <row r="7" spans="1:11" ht="49.75" customHeight="1">
      <c r="A7" s="2322"/>
      <c r="B7" s="2323" t="s">
        <v>919</v>
      </c>
      <c r="C7" s="2324"/>
      <c r="D7" s="2325" t="s">
        <v>920</v>
      </c>
      <c r="E7" s="2326"/>
      <c r="F7" s="2326"/>
      <c r="G7" s="2327"/>
      <c r="H7" s="2325" t="s">
        <v>920</v>
      </c>
      <c r="I7" s="2326"/>
      <c r="J7" s="2326"/>
      <c r="K7" s="2328"/>
    </row>
    <row r="8" spans="1:11" ht="70" customHeight="1">
      <c r="A8" s="2322"/>
      <c r="B8" s="2165" t="s">
        <v>924</v>
      </c>
      <c r="C8" s="2166" t="s">
        <v>925</v>
      </c>
      <c r="D8" s="2167" t="s">
        <v>921</v>
      </c>
      <c r="E8" s="2168" t="s">
        <v>922</v>
      </c>
      <c r="F8" s="2169" t="s">
        <v>1489</v>
      </c>
      <c r="G8" s="2168" t="s">
        <v>923</v>
      </c>
      <c r="H8" s="2167" t="s">
        <v>921</v>
      </c>
      <c r="I8" s="2168" t="s">
        <v>922</v>
      </c>
      <c r="J8" s="2169" t="s">
        <v>1489</v>
      </c>
      <c r="K8" s="2170" t="s">
        <v>923</v>
      </c>
    </row>
    <row r="9" spans="1:11" ht="15" customHeight="1">
      <c r="A9" s="463" t="s">
        <v>444</v>
      </c>
      <c r="B9" s="620">
        <f>TableUK2!N$10</f>
        <v>6.8397494481014025</v>
      </c>
      <c r="C9" s="621">
        <f>TableUK1!N166</f>
        <v>5.2187601920292614</v>
      </c>
      <c r="D9" s="622">
        <f>$B9/((1+TableUK3!$B8)^310)</f>
        <v>4.3175193694145034E-2</v>
      </c>
      <c r="E9" s="621">
        <f>E36+E12/(1+TableUK4b!B37)^100</f>
        <v>4.031794478439152</v>
      </c>
      <c r="F9" s="621">
        <f>F36+F12/(1+TableUK4b!C37)^100</f>
        <v>-4.7748729341195513E-2</v>
      </c>
      <c r="G9" s="621">
        <f>C9-D9-E9-F9</f>
        <v>1.1915392492371601</v>
      </c>
      <c r="H9" s="459"/>
      <c r="I9" s="458"/>
      <c r="J9" s="458"/>
      <c r="K9" s="462"/>
    </row>
    <row r="10" spans="1:11" ht="15" customHeight="1">
      <c r="A10" s="448"/>
      <c r="B10" s="625"/>
      <c r="C10" s="626"/>
      <c r="D10" s="627">
        <f>D9/$C9</f>
        <v>8.2730748502465295E-3</v>
      </c>
      <c r="E10" s="628">
        <f>E9/$C9</f>
        <v>0.77255791224072901</v>
      </c>
      <c r="F10" s="628">
        <f>F9/$C9</f>
        <v>-9.149439250748348E-3</v>
      </c>
      <c r="G10" s="629">
        <f>G9/$C9</f>
        <v>0.22831845215977289</v>
      </c>
      <c r="H10" s="459"/>
      <c r="I10" s="458"/>
      <c r="J10" s="458"/>
      <c r="K10" s="462"/>
    </row>
    <row r="11" spans="1:11" ht="4.75" customHeight="1">
      <c r="A11" s="451"/>
      <c r="B11" s="457"/>
      <c r="C11" s="458"/>
      <c r="D11" s="459"/>
      <c r="E11" s="458"/>
      <c r="F11" s="458"/>
      <c r="G11" s="458"/>
      <c r="H11" s="459"/>
      <c r="I11" s="458"/>
      <c r="J11" s="458"/>
      <c r="K11" s="462"/>
    </row>
    <row r="12" spans="1:11" ht="15" customHeight="1">
      <c r="A12" s="463" t="s">
        <v>443</v>
      </c>
      <c r="B12" s="620">
        <f>TableUK2!N$10</f>
        <v>6.8397494481014025</v>
      </c>
      <c r="C12" s="621">
        <f>TableUK1!N65</f>
        <v>7.0266789270370333</v>
      </c>
      <c r="D12" s="622">
        <f>$B12/((1+TableUK3!$B11)^210)</f>
        <v>0.30184295089880864</v>
      </c>
      <c r="E12" s="621">
        <f>E21+E15/(1+TableUK4b!B22)^100</f>
        <v>5.2840480630855833</v>
      </c>
      <c r="F12" s="621">
        <f>F21+F15/(1+TableUK4b!C22)^100</f>
        <v>0</v>
      </c>
      <c r="G12" s="621">
        <f>C12-D12-E12-F12</f>
        <v>1.4407879130526418</v>
      </c>
      <c r="H12" s="459"/>
      <c r="I12" s="458"/>
      <c r="J12" s="458"/>
      <c r="K12" s="462"/>
    </row>
    <row r="13" spans="1:11" ht="15" customHeight="1">
      <c r="A13" s="448"/>
      <c r="B13" s="625"/>
      <c r="C13" s="626"/>
      <c r="D13" s="627">
        <f>D12/$C12</f>
        <v>4.2956701741043962E-2</v>
      </c>
      <c r="E13" s="628">
        <f>E12/$C12</f>
        <v>0.75199793785280122</v>
      </c>
      <c r="F13" s="628">
        <f>F12/$C12</f>
        <v>0</v>
      </c>
      <c r="G13" s="629">
        <f>G12/$C12</f>
        <v>0.20504536040615481</v>
      </c>
      <c r="H13" s="459"/>
      <c r="I13" s="458"/>
      <c r="J13" s="458"/>
      <c r="K13" s="462"/>
    </row>
    <row r="14" spans="1:11" ht="4.75" customHeight="1">
      <c r="A14" s="451"/>
      <c r="B14" s="457"/>
      <c r="C14" s="458"/>
      <c r="D14" s="459"/>
      <c r="E14" s="458"/>
      <c r="F14" s="458"/>
      <c r="G14" s="458"/>
      <c r="H14" s="459"/>
      <c r="I14" s="458"/>
      <c r="J14" s="458"/>
      <c r="K14" s="462"/>
    </row>
    <row r="15" spans="1:11" ht="15" customHeight="1">
      <c r="A15" s="463" t="s">
        <v>676</v>
      </c>
      <c r="B15" s="620">
        <f>TableUK2!N$10</f>
        <v>6.8397494481014025</v>
      </c>
      <c r="C15" s="621">
        <f>TableUK5d!E21</f>
        <v>7.213663382322526</v>
      </c>
      <c r="D15" s="622">
        <f>$B15/((1+TableUK3!$B14)^110)</f>
        <v>2.3432440911237968</v>
      </c>
      <c r="E15" s="621">
        <f>(5*SUMPRODUCT(TableUK5d!B10:B20,TableUK5d!G10:G20)+5*SUMPRODUCT(TableUK5d!B11:B21,TableUK5d!G10:G20))/TableUK5d!B21</f>
        <v>6.1763704996494262</v>
      </c>
      <c r="F15" s="621">
        <v>0</v>
      </c>
      <c r="G15" s="621">
        <f>C15-D15-E15-F15</f>
        <v>-1.305951208450697</v>
      </c>
      <c r="H15" s="459"/>
      <c r="I15" s="458"/>
      <c r="J15" s="458"/>
      <c r="K15" s="462"/>
    </row>
    <row r="16" spans="1:11" ht="15" customHeight="1">
      <c r="A16" s="448"/>
      <c r="B16" s="625"/>
      <c r="C16" s="626"/>
      <c r="D16" s="627">
        <f>D15/$C15</f>
        <v>0.32483413307946191</v>
      </c>
      <c r="E16" s="628">
        <f>E15/$C15</f>
        <v>0.8562044237862495</v>
      </c>
      <c r="F16" s="628">
        <f>F15/$C15</f>
        <v>0</v>
      </c>
      <c r="G16" s="629">
        <f>G15/$C15</f>
        <v>-0.18103855686571144</v>
      </c>
      <c r="H16" s="459"/>
      <c r="I16" s="458"/>
      <c r="J16" s="458"/>
      <c r="K16" s="462"/>
    </row>
    <row r="17" spans="1:11" ht="4.75" customHeight="1">
      <c r="A17" s="451"/>
      <c r="B17" s="457"/>
      <c r="C17" s="458"/>
      <c r="D17" s="459"/>
      <c r="E17" s="458"/>
      <c r="F17" s="458"/>
      <c r="G17" s="458"/>
      <c r="H17" s="459"/>
      <c r="I17" s="458"/>
      <c r="J17" s="458"/>
      <c r="K17" s="462"/>
    </row>
    <row r="18" spans="1:11" ht="15" customHeight="1">
      <c r="A18" s="463" t="s">
        <v>387</v>
      </c>
      <c r="B18" s="620">
        <f>TableUK5d!E$21</f>
        <v>7.213663382322526</v>
      </c>
      <c r="C18" s="621">
        <f>TableUK5a!$F$165</f>
        <v>5.2187601920292614</v>
      </c>
      <c r="D18" s="622">
        <f>$B18/((1+TableUK3!$B17)^200)</f>
        <v>0.13291458408277387</v>
      </c>
      <c r="E18" s="621">
        <f>E36+E21/(1+TableUK4b!B37)^100</f>
        <v>3.9179924235617731</v>
      </c>
      <c r="F18" s="621">
        <f>F36+F21/(1+TableUK4b!C37)^100</f>
        <v>-4.7748729341195513E-2</v>
      </c>
      <c r="G18" s="621">
        <f>C18-D18-E18-F18</f>
        <v>1.2156019137259102</v>
      </c>
      <c r="H18" s="459"/>
      <c r="I18" s="458"/>
      <c r="J18" s="458"/>
      <c r="K18" s="462"/>
    </row>
    <row r="19" spans="1:11" ht="15" customHeight="1">
      <c r="A19" s="448"/>
      <c r="B19" s="625"/>
      <c r="C19" s="626"/>
      <c r="D19" s="627">
        <f>D18/$C18</f>
        <v>2.5468613078979473E-2</v>
      </c>
      <c r="E19" s="628">
        <f>E18/$C18</f>
        <v>0.75075157305480666</v>
      </c>
      <c r="F19" s="628">
        <f>F18/$C18</f>
        <v>-9.149439250748348E-3</v>
      </c>
      <c r="G19" s="629">
        <f>G18/$C18</f>
        <v>0.23292925311696222</v>
      </c>
      <c r="H19" s="459"/>
      <c r="I19" s="458"/>
      <c r="J19" s="458"/>
      <c r="K19" s="462"/>
    </row>
    <row r="20" spans="1:11" ht="4.75" customHeight="1">
      <c r="A20" s="451"/>
      <c r="B20" s="457"/>
      <c r="C20" s="458"/>
      <c r="D20" s="459"/>
      <c r="E20" s="458"/>
      <c r="F20" s="458"/>
      <c r="G20" s="458"/>
      <c r="H20" s="459"/>
      <c r="I20" s="458"/>
      <c r="J20" s="458"/>
      <c r="K20" s="462"/>
    </row>
    <row r="21" spans="1:11" ht="15" customHeight="1">
      <c r="A21" s="463" t="s">
        <v>665</v>
      </c>
      <c r="B21" s="620">
        <f>TableUK5d!E$21</f>
        <v>7.213663382322526</v>
      </c>
      <c r="C21" s="621">
        <f>TableUK5a!$F$65</f>
        <v>7.0266789270370333</v>
      </c>
      <c r="D21" s="622">
        <f>$B21/((1+TableUK3!$B20)^100)</f>
        <v>0.92922177862684774</v>
      </c>
      <c r="E21" s="621">
        <f>E27+E24/(1+TableUK4b!B28)^55</f>
        <v>4.4884442655467494</v>
      </c>
      <c r="F21" s="621">
        <f>F27+F24/(1+TableUK4b!C28)^55</f>
        <v>0</v>
      </c>
      <c r="G21" s="621">
        <f>C21-D21-E21-F21</f>
        <v>1.6090128828634365</v>
      </c>
      <c r="H21" s="459"/>
      <c r="I21" s="458"/>
      <c r="J21" s="458"/>
      <c r="K21" s="462"/>
    </row>
    <row r="22" spans="1:11" ht="15" customHeight="1">
      <c r="A22" s="448"/>
      <c r="B22" s="625"/>
      <c r="C22" s="626"/>
      <c r="D22" s="627">
        <f>D21/$C21</f>
        <v>0.13224195786880449</v>
      </c>
      <c r="E22" s="628">
        <f>E21/$C21</f>
        <v>0.63877178851537608</v>
      </c>
      <c r="F22" s="628">
        <f>F21/$C21</f>
        <v>0</v>
      </c>
      <c r="G22" s="629">
        <f>G21/$C21</f>
        <v>0.22898625361581948</v>
      </c>
      <c r="H22" s="459"/>
      <c r="I22" s="458"/>
      <c r="J22" s="458"/>
      <c r="K22" s="462"/>
    </row>
    <row r="23" spans="1:11" ht="4.75" customHeight="1">
      <c r="A23" s="451"/>
      <c r="B23" s="457"/>
      <c r="C23" s="458"/>
      <c r="D23" s="459"/>
      <c r="E23" s="458"/>
      <c r="F23" s="458"/>
      <c r="G23" s="458"/>
      <c r="H23" s="459"/>
      <c r="I23" s="458"/>
      <c r="J23" s="458"/>
      <c r="K23" s="462"/>
    </row>
    <row r="24" spans="1:11" ht="15" customHeight="1">
      <c r="A24" s="463" t="s">
        <v>437</v>
      </c>
      <c r="B24" s="620">
        <f>TableUK5d!E$21</f>
        <v>7.213663382322526</v>
      </c>
      <c r="C24" s="621">
        <f>TableUK5d!E$25</f>
        <v>7.5610393482127423</v>
      </c>
      <c r="D24" s="622">
        <f>$B24/((1+TableUK3!$B23)^45)</f>
        <v>3.2322568353793395</v>
      </c>
      <c r="E24" s="621">
        <f t="array" ref="E24">(5*SUMPRODUCT(TableUK5d!B21:B24,TableUK5d!G21:G24)+5*SUMPRODUCT(TableUK5d!B22:B25,TableUK5d!G21:G24)+5*TableUK5d!G24*AVERAGE(TableUK5d!B24,TableUK5d!B25))/TableUK5d!B25</f>
        <v>2.4271764183572175</v>
      </c>
      <c r="F24" s="621">
        <v>0</v>
      </c>
      <c r="G24" s="621">
        <f>C24-D24-E24-F24</f>
        <v>1.9016060944761852</v>
      </c>
      <c r="H24" s="622"/>
      <c r="I24" s="621"/>
      <c r="J24" s="621"/>
      <c r="K24" s="623"/>
    </row>
    <row r="25" spans="1:11" ht="15" customHeight="1">
      <c r="A25" s="448"/>
      <c r="B25" s="625"/>
      <c r="C25" s="626"/>
      <c r="D25" s="627">
        <f>D24/$C24</f>
        <v>0.42748842937093978</v>
      </c>
      <c r="E25" s="628">
        <f>E24/$C24</f>
        <v>0.32101094923291817</v>
      </c>
      <c r="F25" s="628">
        <f>F24/$C24</f>
        <v>0</v>
      </c>
      <c r="G25" s="629">
        <f>G24/$C24</f>
        <v>0.25150062139614199</v>
      </c>
      <c r="H25" s="627"/>
      <c r="I25" s="628"/>
      <c r="J25" s="628"/>
      <c r="K25" s="630"/>
    </row>
    <row r="26" spans="1:11" ht="4.75" customHeight="1">
      <c r="A26" s="451"/>
      <c r="B26" s="631"/>
      <c r="C26" s="632"/>
      <c r="D26" s="459"/>
      <c r="E26" s="458"/>
      <c r="F26" s="458"/>
      <c r="G26" s="458"/>
      <c r="H26" s="459"/>
      <c r="I26" s="458"/>
      <c r="J26" s="458"/>
      <c r="K26" s="462"/>
    </row>
    <row r="27" spans="1:11" ht="15" customHeight="1">
      <c r="A27" s="463" t="s">
        <v>442</v>
      </c>
      <c r="B27" s="620">
        <f>TableUK5a!$F$10</f>
        <v>7.5610393482127423</v>
      </c>
      <c r="C27" s="621">
        <f>TableUK5a!$F$65</f>
        <v>7.0266789270370333</v>
      </c>
      <c r="D27" s="622">
        <f>$B27/((1+TableUK4b!$B28)^55)</f>
        <v>2.1736770279238082</v>
      </c>
      <c r="E27" s="621">
        <f>SUMPRODUCT(TableUK5a!$B$10:$B$64,TableUK5a!$G$10:$G$64)/TableUK5a!$B$65</f>
        <v>3.7906701394871396</v>
      </c>
      <c r="F27" s="621">
        <v>0</v>
      </c>
      <c r="G27" s="621">
        <f>C27-D27-E27-F27</f>
        <v>1.0623317596260859</v>
      </c>
      <c r="H27" s="622"/>
      <c r="I27" s="621"/>
      <c r="J27" s="621"/>
      <c r="K27" s="623"/>
    </row>
    <row r="28" spans="1:11" ht="15" customHeight="1">
      <c r="A28" s="448"/>
      <c r="B28" s="646"/>
      <c r="C28" s="647"/>
      <c r="D28" s="627">
        <f>D27/$C27</f>
        <v>0.3093462858477854</v>
      </c>
      <c r="E28" s="628">
        <f>E27/$C27</f>
        <v>0.53946824365370083</v>
      </c>
      <c r="F28" s="628">
        <f>F27/$C27</f>
        <v>0</v>
      </c>
      <c r="G28" s="629">
        <f>G27/$C27</f>
        <v>0.1511854704985138</v>
      </c>
      <c r="H28" s="627"/>
      <c r="I28" s="628"/>
      <c r="J28" s="628"/>
      <c r="K28" s="630"/>
    </row>
    <row r="29" spans="1:11" ht="4.75" customHeight="1">
      <c r="A29" s="451"/>
      <c r="B29" s="631"/>
      <c r="C29" s="632"/>
      <c r="D29" s="459"/>
      <c r="E29" s="458"/>
      <c r="F29" s="458"/>
      <c r="G29" s="458"/>
      <c r="H29" s="459"/>
      <c r="I29" s="458"/>
      <c r="J29" s="458"/>
      <c r="K29" s="462"/>
    </row>
    <row r="30" spans="1:11" ht="15" customHeight="1">
      <c r="A30" s="463" t="s">
        <v>1041</v>
      </c>
      <c r="B30" s="620">
        <f>TableUK5a!F25</f>
        <v>6.947367349221051</v>
      </c>
      <c r="C30" s="621">
        <f>C36</f>
        <v>5.2187601920292614</v>
      </c>
      <c r="D30" s="622">
        <f>$B30/((1+TableUK4b!$B31)^140)</f>
        <v>0.47081550471036293</v>
      </c>
      <c r="E30" s="621">
        <f>SUMPRODUCT(TableUK5a!$B$25:$B$164,TableUK5a!$G$25:$G$164)/TableUK5a!$B$165</f>
        <v>3.7414063231013226</v>
      </c>
      <c r="F30" s="621">
        <f>SUMPRODUCT(TableUK5a!$B$25:$B$164,TableUK5a!$Q$25:$Q$164)/TableUK5a!$B$165</f>
        <v>-4.7748729341195513E-2</v>
      </c>
      <c r="G30" s="621">
        <f>C30-D30-E30-F30</f>
        <v>1.0542870935587711</v>
      </c>
      <c r="H30" s="622"/>
      <c r="I30" s="621"/>
      <c r="J30" s="621"/>
      <c r="K30" s="623"/>
    </row>
    <row r="31" spans="1:11" ht="15" customHeight="1">
      <c r="A31" s="448"/>
      <c r="B31" s="646"/>
      <c r="C31" s="647"/>
      <c r="D31" s="627">
        <f>D30/$C30</f>
        <v>9.0215968426648696E-2</v>
      </c>
      <c r="E31" s="628">
        <f>E30/$C30</f>
        <v>0.71691478156357191</v>
      </c>
      <c r="F31" s="628">
        <f>F30/$C30</f>
        <v>-9.149439250748348E-3</v>
      </c>
      <c r="G31" s="629">
        <f>G30/$C30</f>
        <v>0.20201868926052768</v>
      </c>
      <c r="H31" s="627"/>
      <c r="I31" s="628"/>
      <c r="J31" s="628"/>
      <c r="K31" s="630"/>
    </row>
    <row r="32" spans="1:11" ht="4.75" customHeight="1">
      <c r="A32" s="451"/>
      <c r="B32" s="631"/>
      <c r="C32" s="632"/>
      <c r="D32" s="459"/>
      <c r="E32" s="458"/>
      <c r="F32" s="458"/>
      <c r="G32" s="458"/>
      <c r="H32" s="459"/>
      <c r="I32" s="458"/>
      <c r="J32" s="458"/>
      <c r="K32" s="462"/>
    </row>
    <row r="33" spans="1:11" ht="15" customHeight="1">
      <c r="A33" s="463" t="s">
        <v>1042</v>
      </c>
      <c r="B33" s="620">
        <f>B30</f>
        <v>6.947367349221051</v>
      </c>
      <c r="C33" s="621">
        <f>C27</f>
        <v>7.0266789270370333</v>
      </c>
      <c r="D33" s="622">
        <f>$B33/((1+TableUK4b!$B34)^40)</f>
        <v>3.2915275905284598</v>
      </c>
      <c r="E33" s="621">
        <f>SUMPRODUCT(TableUK5a!$B$25:$B$64,TableUK5a!$G$25:$G$64)/TableUK5a!$B$65</f>
        <v>3.25390968468801</v>
      </c>
      <c r="F33" s="621">
        <v>0</v>
      </c>
      <c r="G33" s="621">
        <f>C33-D33-E33-F33</f>
        <v>0.48124165182056355</v>
      </c>
      <c r="H33" s="622"/>
      <c r="I33" s="621"/>
      <c r="J33" s="621"/>
      <c r="K33" s="623"/>
    </row>
    <row r="34" spans="1:11" ht="15" customHeight="1">
      <c r="A34" s="448"/>
      <c r="B34" s="646"/>
      <c r="C34" s="647"/>
      <c r="D34" s="627">
        <f>D33/$C33</f>
        <v>0.46843290047926112</v>
      </c>
      <c r="E34" s="628">
        <f>E33/$C33</f>
        <v>0.46307931790759915</v>
      </c>
      <c r="F34" s="628">
        <f>F33/$C33</f>
        <v>0</v>
      </c>
      <c r="G34" s="629">
        <f>G33/$C33</f>
        <v>6.8487781613139759E-2</v>
      </c>
      <c r="H34" s="627"/>
      <c r="I34" s="628"/>
      <c r="J34" s="628"/>
      <c r="K34" s="630"/>
    </row>
    <row r="35" spans="1:11" ht="4.75" customHeight="1">
      <c r="A35" s="451"/>
      <c r="B35" s="631"/>
      <c r="C35" s="632"/>
      <c r="D35" s="459"/>
      <c r="E35" s="458"/>
      <c r="F35" s="458"/>
      <c r="G35" s="458"/>
      <c r="H35" s="459"/>
      <c r="I35" s="458"/>
      <c r="J35" s="458"/>
      <c r="K35" s="462"/>
    </row>
    <row r="36" spans="1:11" ht="15" customHeight="1">
      <c r="A36" s="463" t="s">
        <v>666</v>
      </c>
      <c r="B36" s="620">
        <f>TableUK5a!$F$65</f>
        <v>7.0266789270370333</v>
      </c>
      <c r="C36" s="621">
        <f>TableUK5a!$F$165</f>
        <v>5.2187601920292614</v>
      </c>
      <c r="D36" s="622">
        <f>$B36/((1+TableUK4b!$B37)^100)</f>
        <v>1.0050863298215451</v>
      </c>
      <c r="E36" s="621">
        <f>SUMPRODUCT(TableUK5a!$B$65:$B$164,TableUK5a!$G$65:$G$164)/TableUK5a!$B$165</f>
        <v>3.2759716310493099</v>
      </c>
      <c r="F36" s="621">
        <f>SUMPRODUCT(TableUK5a!$B$65:$B$164,TableUK5a!$Q$65:$Q$164)/TableUK5a!$B$165</f>
        <v>-4.7748729341195513E-2</v>
      </c>
      <c r="G36" s="621">
        <f>C36-D36-E36-F36</f>
        <v>0.98545096049960246</v>
      </c>
      <c r="H36" s="622"/>
      <c r="I36" s="621"/>
      <c r="J36" s="621"/>
      <c r="K36" s="623"/>
    </row>
    <row r="37" spans="1:11" ht="15" customHeight="1">
      <c r="A37" s="448"/>
      <c r="B37" s="646"/>
      <c r="C37" s="647"/>
      <c r="D37" s="627">
        <f>D36/$C36</f>
        <v>0.1925910164173931</v>
      </c>
      <c r="E37" s="628">
        <f>E36/$C36</f>
        <v>0.62772986504587436</v>
      </c>
      <c r="F37" s="628">
        <f>F36/$C36</f>
        <v>-9.149439250748348E-3</v>
      </c>
      <c r="G37" s="629">
        <f>G36/$C36</f>
        <v>0.18882855778748092</v>
      </c>
      <c r="H37" s="627"/>
      <c r="I37" s="628"/>
      <c r="J37" s="628"/>
      <c r="K37" s="630"/>
    </row>
    <row r="38" spans="1:11" ht="4.75" customHeight="1">
      <c r="A38" s="448"/>
      <c r="B38" s="625"/>
      <c r="C38" s="626"/>
      <c r="D38" s="473"/>
      <c r="E38" s="472"/>
      <c r="F38" s="472"/>
      <c r="G38" s="472"/>
      <c r="H38" s="473"/>
      <c r="I38" s="472"/>
      <c r="J38" s="472"/>
      <c r="K38" s="613"/>
    </row>
    <row r="39" spans="1:11" ht="15" customHeight="1">
      <c r="A39" s="463" t="s">
        <v>667</v>
      </c>
      <c r="B39" s="620">
        <f>TableUK5a!$F$65</f>
        <v>7.0266789270370333</v>
      </c>
      <c r="C39" s="621">
        <f>TableUK5a!$F$105</f>
        <v>3.5455231126173246</v>
      </c>
      <c r="D39" s="622">
        <f>$B39/((1+TableUK4b!$B40)^40)</f>
        <v>3.9945465088496928</v>
      </c>
      <c r="E39" s="621">
        <f>SUMPRODUCT(TableUK5a!$B$65:$B$104,TableUK5a!$G$65:$G$104)/TableUK5a!$B$105</f>
        <v>3.7482166651410229</v>
      </c>
      <c r="F39" s="621">
        <f>SUMPRODUCT(TableUK5a!$B$65:$B$104,TableUK5a!$Q$65:$Q$104)/TableUK5a!$B$105</f>
        <v>-0.18976929088842387</v>
      </c>
      <c r="G39" s="621">
        <f>C39-D39-E39-F39</f>
        <v>-4.007470770484967</v>
      </c>
      <c r="H39" s="622"/>
      <c r="I39" s="621"/>
      <c r="J39" s="621"/>
      <c r="K39" s="623"/>
    </row>
    <row r="40" spans="1:11" ht="15" customHeight="1">
      <c r="A40" s="448"/>
      <c r="B40" s="646"/>
      <c r="C40" s="647"/>
      <c r="D40" s="627">
        <f>D39/$C39</f>
        <v>1.126645175329543</v>
      </c>
      <c r="E40" s="628">
        <f>E39/$C39</f>
        <v>1.0571688707379681</v>
      </c>
      <c r="F40" s="628">
        <f>F39/$C39</f>
        <v>-5.3523636671017255E-2</v>
      </c>
      <c r="G40" s="629">
        <f>G39/$C39</f>
        <v>-1.1302904093964938</v>
      </c>
      <c r="H40" s="627"/>
      <c r="I40" s="628"/>
      <c r="J40" s="628"/>
      <c r="K40" s="630"/>
    </row>
    <row r="41" spans="1:11" ht="4" customHeight="1">
      <c r="A41" s="448"/>
      <c r="B41" s="625"/>
      <c r="C41" s="626"/>
      <c r="D41" s="473"/>
      <c r="E41" s="472"/>
      <c r="F41" s="472"/>
      <c r="G41" s="472"/>
      <c r="H41" s="473"/>
      <c r="I41" s="472"/>
      <c r="J41" s="472"/>
      <c r="K41" s="613"/>
    </row>
    <row r="42" spans="1:11" ht="15" customHeight="1">
      <c r="A42" s="463" t="s">
        <v>374</v>
      </c>
      <c r="B42" s="620">
        <f>TableUK5a!$F$105</f>
        <v>3.5455231126173246</v>
      </c>
      <c r="C42" s="621">
        <f>TableUK5a!$F$165</f>
        <v>5.2187601920292614</v>
      </c>
      <c r="D42" s="622">
        <f>$B42/((1+TableUK4b!$B43)^60)</f>
        <v>0.89210547546839736</v>
      </c>
      <c r="E42" s="621">
        <f>SUMPRODUCT(TableUK5a!$B$105:$B$164,TableUK5a!$G$105:$G$164)/TableUK5a!$B$165</f>
        <v>2.3328654929692285</v>
      </c>
      <c r="F42" s="621">
        <v>0</v>
      </c>
      <c r="G42" s="621">
        <f>C42-D42-E42-F42</f>
        <v>1.9937892235916359</v>
      </c>
      <c r="H42" s="622">
        <f>$B42/((1+TableUK4b!$B43)^60)</f>
        <v>0.89210547546839736</v>
      </c>
      <c r="I42" s="621">
        <f>SUMPRODUCT(TableUK5a!$B$105:$B$164,TableUK5a!$M$105:$M$164)/TableUK5a!$B$165</f>
        <v>0.8048065438957106</v>
      </c>
      <c r="J42" s="621">
        <v>0</v>
      </c>
      <c r="K42" s="623">
        <f>C42-H42-I42-J42</f>
        <v>3.5218481726651536</v>
      </c>
    </row>
    <row r="43" spans="1:11" ht="15" customHeight="1">
      <c r="A43" s="448"/>
      <c r="B43" s="646"/>
      <c r="C43" s="647"/>
      <c r="D43" s="627">
        <f t="shared" ref="D43:K43" si="0">D42/$C42</f>
        <v>0.17094203271323552</v>
      </c>
      <c r="E43" s="628">
        <f t="shared" si="0"/>
        <v>0.44701526936077085</v>
      </c>
      <c r="F43" s="628">
        <f>F42/$C42</f>
        <v>0</v>
      </c>
      <c r="G43" s="629">
        <f t="shared" si="0"/>
        <v>0.38204269792599366</v>
      </c>
      <c r="H43" s="627">
        <f t="shared" si="0"/>
        <v>0.17094203271323552</v>
      </c>
      <c r="I43" s="628">
        <f t="shared" si="0"/>
        <v>0.15421412639824131</v>
      </c>
      <c r="J43" s="628">
        <f t="shared" si="0"/>
        <v>0</v>
      </c>
      <c r="K43" s="630">
        <f t="shared" si="0"/>
        <v>0.67484384088852323</v>
      </c>
    </row>
    <row r="44" spans="1:11" ht="4.75" customHeight="1">
      <c r="A44" s="448"/>
      <c r="B44" s="625"/>
      <c r="C44" s="626"/>
      <c r="D44" s="473"/>
      <c r="E44" s="472"/>
      <c r="F44" s="472"/>
      <c r="G44" s="472"/>
      <c r="H44" s="473"/>
      <c r="I44" s="472"/>
      <c r="J44" s="472"/>
      <c r="K44" s="613"/>
    </row>
    <row r="45" spans="1:11" ht="15">
      <c r="A45" s="479" t="s">
        <v>288</v>
      </c>
      <c r="B45" s="620">
        <f>TableUK5a!$F$105</f>
        <v>3.5455231126173246</v>
      </c>
      <c r="C45" s="621">
        <f>TableUK5a!$F$135</f>
        <v>3.0913867276346281</v>
      </c>
      <c r="D45" s="622">
        <f>$B45/((1+TableUK4b!$B46)^30)</f>
        <v>1.8974791137845788</v>
      </c>
      <c r="E45" s="621">
        <f>SUMPRODUCT(TableUK5a!$B$105:$B$134,TableUK5a!$G$105:$G$134)/TableUK5a!$B$135</f>
        <v>1.6581985396507879</v>
      </c>
      <c r="F45" s="621">
        <v>0</v>
      </c>
      <c r="G45" s="621">
        <f>C45-D45-E45-F45</f>
        <v>-0.46429092580073861</v>
      </c>
      <c r="H45" s="622">
        <f>$B45/((1+TableUK4b!$B46)^30)</f>
        <v>1.8974791137845788</v>
      </c>
      <c r="I45" s="621">
        <f>SUMPRODUCT(TableUK5a!$B$105:$B$134,TableUK5a!$M$105:$M$134)/TableUK5a!$B$135</f>
        <v>0.65040112586892784</v>
      </c>
      <c r="J45" s="621">
        <v>0</v>
      </c>
      <c r="K45" s="623">
        <f>C45-H45-I45-J45</f>
        <v>0.54350648798112144</v>
      </c>
    </row>
    <row r="46" spans="1:11" ht="15">
      <c r="A46" s="633"/>
      <c r="B46" s="625"/>
      <c r="C46" s="626"/>
      <c r="D46" s="627">
        <f t="shared" ref="D46:K46" si="1">D45/$C45</f>
        <v>0.61379545199653274</v>
      </c>
      <c r="E46" s="628">
        <f t="shared" si="1"/>
        <v>0.53639310954781683</v>
      </c>
      <c r="F46" s="628">
        <f>F45/$C45</f>
        <v>0</v>
      </c>
      <c r="G46" s="629">
        <f t="shared" si="1"/>
        <v>-0.15018856154434951</v>
      </c>
      <c r="H46" s="627">
        <f t="shared" si="1"/>
        <v>0.61379545199653274</v>
      </c>
      <c r="I46" s="628">
        <f t="shared" si="1"/>
        <v>0.21039138198234478</v>
      </c>
      <c r="J46" s="628">
        <f t="shared" si="1"/>
        <v>0</v>
      </c>
      <c r="K46" s="630">
        <f t="shared" si="1"/>
        <v>0.17581316602112249</v>
      </c>
    </row>
    <row r="47" spans="1:11" ht="4" customHeight="1">
      <c r="A47" s="633"/>
      <c r="B47" s="634"/>
      <c r="C47" s="474"/>
      <c r="D47" s="483"/>
      <c r="E47" s="474"/>
      <c r="F47" s="474"/>
      <c r="G47" s="474"/>
      <c r="H47" s="483"/>
      <c r="I47" s="474"/>
      <c r="J47" s="474"/>
      <c r="K47" s="635"/>
    </row>
    <row r="48" spans="1:11" ht="15">
      <c r="A48" s="479" t="s">
        <v>289</v>
      </c>
      <c r="B48" s="620">
        <f>TableUK5a!$F$135</f>
        <v>3.0913867276346281</v>
      </c>
      <c r="C48" s="621">
        <f>TableUK5a!$F$165</f>
        <v>5.2187601920292614</v>
      </c>
      <c r="D48" s="622">
        <f>$B48/((1+TableUK4b!$B49)^30)</f>
        <v>1.4534247078022227</v>
      </c>
      <c r="E48" s="621">
        <f>SUMPRODUCT(TableUK5a!$B$135:$B$164,TableUK5a!$G$135:$G$164)/TableUK5a!$B$165</f>
        <v>1.5532584944575674</v>
      </c>
      <c r="F48" s="621">
        <v>0</v>
      </c>
      <c r="G48" s="621">
        <f>C48-D48-E48-F48</f>
        <v>2.2120769897694714</v>
      </c>
      <c r="H48" s="622">
        <f>$B48/((1+TableUK4b!$B49)^30)</f>
        <v>1.4534247078022227</v>
      </c>
      <c r="I48" s="621">
        <f>SUMPRODUCT(TableUK5a!$B$135:$B$164,TableUK5a!$M$135:$M$164)/TableUK5a!$B$165</f>
        <v>0.49901851101391537</v>
      </c>
      <c r="J48" s="621">
        <v>0</v>
      </c>
      <c r="K48" s="623">
        <f>C48-H48-I48-J48</f>
        <v>3.2663169732131232</v>
      </c>
    </row>
    <row r="49" spans="1:11" ht="15">
      <c r="A49" s="633"/>
      <c r="B49" s="646"/>
      <c r="C49" s="647"/>
      <c r="D49" s="627">
        <f t="shared" ref="D49:K49" si="2">D48/$C48</f>
        <v>0.27849999891201616</v>
      </c>
      <c r="E49" s="628">
        <f t="shared" si="2"/>
        <v>0.29762978893529091</v>
      </c>
      <c r="F49" s="628">
        <f>F48/$C48</f>
        <v>0</v>
      </c>
      <c r="G49" s="629">
        <f t="shared" si="2"/>
        <v>0.42387021215269288</v>
      </c>
      <c r="H49" s="627">
        <f t="shared" si="2"/>
        <v>0.27849999891201616</v>
      </c>
      <c r="I49" s="628">
        <f t="shared" si="2"/>
        <v>9.5620126745060707E-2</v>
      </c>
      <c r="J49" s="628">
        <f t="shared" si="2"/>
        <v>0</v>
      </c>
      <c r="K49" s="630">
        <f t="shared" si="2"/>
        <v>0.62587987434292303</v>
      </c>
    </row>
    <row r="50" spans="1:11" ht="4" customHeight="1">
      <c r="A50" s="633"/>
      <c r="B50" s="625"/>
      <c r="C50" s="626"/>
      <c r="D50" s="483"/>
      <c r="E50" s="474"/>
      <c r="F50" s="474"/>
      <c r="G50" s="474"/>
      <c r="H50" s="483"/>
      <c r="I50" s="474"/>
      <c r="J50" s="474"/>
      <c r="K50" s="635"/>
    </row>
    <row r="51" spans="1:11" ht="15">
      <c r="A51" s="479" t="s">
        <v>375</v>
      </c>
      <c r="B51" s="620">
        <f>TableUK5a!$F$105</f>
        <v>3.5455231126173246</v>
      </c>
      <c r="C51" s="621">
        <f>TableUK5a!$F$125</f>
        <v>3.0560606608405609</v>
      </c>
      <c r="D51" s="622">
        <f>$B51/((1+TableUK4b!$B52)^20)</f>
        <v>2.1278638336956188</v>
      </c>
      <c r="E51" s="621">
        <f>SUMPRODUCT(TableUK5a!$B$105:$B$124,TableUK5a!$G$105:$G$124)/TableUK5a!$B$125</f>
        <v>0.96666938821175652</v>
      </c>
      <c r="F51" s="621">
        <v>0</v>
      </c>
      <c r="G51" s="621">
        <f>C51-D51-E51-F51</f>
        <v>-3.8472561066814404E-2</v>
      </c>
      <c r="H51" s="622">
        <f>$B51/((1+TableUK4b!$B52)^20)</f>
        <v>2.1278638336956188</v>
      </c>
      <c r="I51" s="621">
        <f>SUMPRODUCT(TableUK5a!$B$105:$B$124,TableUK5a!$M$105:$M$124)/TableUK5a!$B$125</f>
        <v>0.1706461825995704</v>
      </c>
      <c r="J51" s="621">
        <v>0</v>
      </c>
      <c r="K51" s="623">
        <f>C51-H51-I51-J51</f>
        <v>0.75755064454537169</v>
      </c>
    </row>
    <row r="52" spans="1:11" ht="15">
      <c r="A52" s="633"/>
      <c r="B52" s="625"/>
      <c r="C52" s="626"/>
      <c r="D52" s="627">
        <f t="shared" ref="D52:K52" si="3">D51/$C51</f>
        <v>0.69627670057778102</v>
      </c>
      <c r="E52" s="628">
        <f t="shared" si="3"/>
        <v>0.31631223836567329</v>
      </c>
      <c r="F52" s="628">
        <f>F51/$C51</f>
        <v>0</v>
      </c>
      <c r="G52" s="629">
        <f t="shared" si="3"/>
        <v>-1.2588938943454295E-2</v>
      </c>
      <c r="H52" s="627">
        <f t="shared" si="3"/>
        <v>0.69627670057778102</v>
      </c>
      <c r="I52" s="628">
        <f t="shared" si="3"/>
        <v>5.5838611054479084E-2</v>
      </c>
      <c r="J52" s="628">
        <f t="shared" si="3"/>
        <v>0</v>
      </c>
      <c r="K52" s="630">
        <f t="shared" si="3"/>
        <v>0.24788468836773989</v>
      </c>
    </row>
    <row r="53" spans="1:11" ht="4" customHeight="1">
      <c r="A53" s="633"/>
      <c r="B53" s="625"/>
      <c r="C53" s="626"/>
      <c r="D53" s="483"/>
      <c r="E53" s="474"/>
      <c r="F53" s="474"/>
      <c r="G53" s="474"/>
      <c r="H53" s="483"/>
      <c r="I53" s="474"/>
      <c r="J53" s="474"/>
      <c r="K53" s="635"/>
    </row>
    <row r="54" spans="1:11" ht="15">
      <c r="A54" s="479" t="s">
        <v>348</v>
      </c>
      <c r="B54" s="620">
        <f>TableUK5a!$F$125</f>
        <v>3.0560606608405609</v>
      </c>
      <c r="C54" s="621">
        <f>TableUK5a!$F$165</f>
        <v>5.2187601920292614</v>
      </c>
      <c r="D54" s="622">
        <f>$B54/((1+TableUK4b!$B55)^40)</f>
        <v>1.281251368497768</v>
      </c>
      <c r="E54" s="621">
        <f>SUMPRODUCT(TableUK5a!$B$125:$B$164,TableUK5a!$G$125:$G$164)/TableUK5a!$B$165</f>
        <v>1.9275900046906163</v>
      </c>
      <c r="F54" s="621">
        <v>0</v>
      </c>
      <c r="G54" s="621">
        <f>C54-D54-E54-F54</f>
        <v>2.0099188188408772</v>
      </c>
      <c r="H54" s="622">
        <f>$B54/((1+TableUK4b!$B55)^40)</f>
        <v>1.281251368497768</v>
      </c>
      <c r="I54" s="621">
        <f>SUMPRODUCT(TableUK5a!$B$125:$B$164,TableUK5a!$M$125:$M$164)/TableUK5a!$B$165</f>
        <v>0.73326324706714441</v>
      </c>
      <c r="J54" s="621">
        <v>0</v>
      </c>
      <c r="K54" s="623">
        <f>C54-H54-I54-J54</f>
        <v>3.2042455764643489</v>
      </c>
    </row>
    <row r="55" spans="1:11" ht="15">
      <c r="A55" s="633"/>
      <c r="B55" s="646"/>
      <c r="C55" s="647"/>
      <c r="D55" s="627">
        <f t="shared" ref="D55:K55" si="4">D54/$C54</f>
        <v>0.24550876479334194</v>
      </c>
      <c r="E55" s="628">
        <f t="shared" si="4"/>
        <v>0.36935784243059705</v>
      </c>
      <c r="F55" s="628">
        <f>F54/$C54</f>
        <v>0</v>
      </c>
      <c r="G55" s="629">
        <f t="shared" si="4"/>
        <v>0.38513339277606101</v>
      </c>
      <c r="H55" s="627">
        <f t="shared" si="4"/>
        <v>0.24550876479334194</v>
      </c>
      <c r="I55" s="628">
        <f t="shared" si="4"/>
        <v>0.14050525797048025</v>
      </c>
      <c r="J55" s="628">
        <f t="shared" si="4"/>
        <v>0</v>
      </c>
      <c r="K55" s="630">
        <f t="shared" si="4"/>
        <v>0.61398597723617776</v>
      </c>
    </row>
    <row r="56" spans="1:11" ht="4" customHeight="1">
      <c r="A56" s="633"/>
      <c r="B56" s="625"/>
      <c r="C56" s="626"/>
      <c r="D56" s="483"/>
      <c r="E56" s="474"/>
      <c r="F56" s="474"/>
      <c r="G56" s="474"/>
      <c r="H56" s="483"/>
      <c r="I56" s="474"/>
      <c r="J56" s="474"/>
      <c r="K56" s="635"/>
    </row>
    <row r="57" spans="1:11" ht="15">
      <c r="A57" s="479" t="s">
        <v>376</v>
      </c>
      <c r="B57" s="620">
        <f>TableUK5a!$F$125</f>
        <v>3.0560606608405609</v>
      </c>
      <c r="C57" s="621">
        <f>TableUK5a!$F$145</f>
        <v>4.2907495651636935</v>
      </c>
      <c r="D57" s="622">
        <f>$B57/((1+TableUK4b!$B58)^20)</f>
        <v>2.0666400925921695</v>
      </c>
      <c r="E57" s="621">
        <f>SUMPRODUCT(TableUK5a!$B$125:$B$144,TableUK5a!$G$125:$G$144)/TableUK5a!$B$145</f>
        <v>1.1397390493202857</v>
      </c>
      <c r="F57" s="621">
        <v>0</v>
      </c>
      <c r="G57" s="621">
        <f>C57-D57-E57-F57</f>
        <v>1.0843704232512383</v>
      </c>
      <c r="H57" s="622">
        <f>$B57/((1+TableUK4b!$B58)^20)</f>
        <v>2.0666400925921695</v>
      </c>
      <c r="I57" s="621">
        <f>SUMPRODUCT(TableUK5a!$B$125:$B$144,TableUK5a!$M$125:$M$144)/TableUK5a!$B$145</f>
        <v>0.68740653684992259</v>
      </c>
      <c r="J57" s="621">
        <v>0</v>
      </c>
      <c r="K57" s="623">
        <f>C57-H57-I57-J57</f>
        <v>1.5367029357216015</v>
      </c>
    </row>
    <row r="58" spans="1:11" ht="15">
      <c r="A58" s="633"/>
      <c r="B58" s="646"/>
      <c r="C58" s="647"/>
      <c r="D58" s="627">
        <f t="shared" ref="D58:K58" si="5">D57/$C57</f>
        <v>0.48165013156933723</v>
      </c>
      <c r="E58" s="628">
        <f t="shared" si="5"/>
        <v>0.26562702670268856</v>
      </c>
      <c r="F58" s="628">
        <f>F57/$C57</f>
        <v>0</v>
      </c>
      <c r="G58" s="629">
        <f t="shared" si="5"/>
        <v>0.25272284172797421</v>
      </c>
      <c r="H58" s="627">
        <f t="shared" si="5"/>
        <v>0.48165013156933723</v>
      </c>
      <c r="I58" s="628">
        <f t="shared" si="5"/>
        <v>0.16020663206049823</v>
      </c>
      <c r="J58" s="628">
        <f t="shared" si="5"/>
        <v>0</v>
      </c>
      <c r="K58" s="630">
        <f t="shared" si="5"/>
        <v>0.3581432363701646</v>
      </c>
    </row>
    <row r="59" spans="1:11" ht="4" customHeight="1">
      <c r="A59" s="633"/>
      <c r="B59" s="634"/>
      <c r="C59" s="474"/>
      <c r="D59" s="483"/>
      <c r="E59" s="474"/>
      <c r="F59" s="474"/>
      <c r="G59" s="474"/>
      <c r="H59" s="483"/>
      <c r="I59" s="474"/>
      <c r="J59" s="474"/>
      <c r="K59" s="635"/>
    </row>
    <row r="60" spans="1:11" ht="15">
      <c r="A60" s="479" t="s">
        <v>377</v>
      </c>
      <c r="B60" s="620">
        <f>TableUK5a!$F$145</f>
        <v>4.2907495651636935</v>
      </c>
      <c r="C60" s="621">
        <f>TableUK5a!$F$165</f>
        <v>5.2187601920292614</v>
      </c>
      <c r="D60" s="622">
        <f>$B60/((1+TableUK4b!$B61)^20)</f>
        <v>2.6601287626002175</v>
      </c>
      <c r="E60" s="621">
        <f>SUMPRODUCT(TableUK5a!$B$145:$B$164,TableUK5a!$G$145:$G$164)/TableUK5a!$B$165</f>
        <v>1.2209879108348198</v>
      </c>
      <c r="F60" s="621">
        <v>0</v>
      </c>
      <c r="G60" s="621">
        <f>C60-D60-E60-F60</f>
        <v>1.3376435185942241</v>
      </c>
      <c r="H60" s="622">
        <f>$B60/((1+TableUK4b!$B61)^20)</f>
        <v>2.6601287626002175</v>
      </c>
      <c r="I60" s="621">
        <f>SUMPRODUCT(TableUK5a!$B$145:$B$164,TableUK5a!$M$145:$M$164)/TableUK5a!$B$165</f>
        <v>0.3070929771637041</v>
      </c>
      <c r="J60" s="621">
        <v>0</v>
      </c>
      <c r="K60" s="623">
        <f>C60-H60-I60-J60</f>
        <v>2.2515384522653399</v>
      </c>
    </row>
    <row r="61" spans="1:11" ht="15">
      <c r="A61" s="633"/>
      <c r="B61" s="646"/>
      <c r="C61" s="647"/>
      <c r="D61" s="627">
        <f t="shared" ref="D61:K61" si="6">D60/$C60</f>
        <v>0.50972427640248663</v>
      </c>
      <c r="E61" s="628">
        <f t="shared" si="6"/>
        <v>0.23396129845162539</v>
      </c>
      <c r="F61" s="628">
        <f>F60/$C60</f>
        <v>0</v>
      </c>
      <c r="G61" s="629">
        <f t="shared" si="6"/>
        <v>0.25631442514588798</v>
      </c>
      <c r="H61" s="627">
        <f t="shared" si="6"/>
        <v>0.50972427640248663</v>
      </c>
      <c r="I61" s="628">
        <f t="shared" si="6"/>
        <v>5.8844048368563592E-2</v>
      </c>
      <c r="J61" s="628">
        <f t="shared" si="6"/>
        <v>0</v>
      </c>
      <c r="K61" s="630">
        <f t="shared" si="6"/>
        <v>0.43143167522894976</v>
      </c>
    </row>
    <row r="62" spans="1:11" ht="4.75" customHeight="1">
      <c r="A62" s="407"/>
      <c r="B62" s="625"/>
      <c r="C62" s="626"/>
      <c r="D62" s="473"/>
      <c r="E62" s="472"/>
      <c r="F62" s="472"/>
      <c r="G62" s="472"/>
      <c r="H62" s="473"/>
      <c r="I62" s="472"/>
      <c r="J62" s="472"/>
      <c r="K62" s="613"/>
    </row>
    <row r="63" spans="1:11" ht="15">
      <c r="A63" s="485" t="s">
        <v>378</v>
      </c>
      <c r="B63" s="636">
        <f>TableUK5a!$F$105</f>
        <v>3.5455231126173246</v>
      </c>
      <c r="C63" s="637">
        <f>TableUK5a!$F$115</f>
        <v>3.0332533980836134</v>
      </c>
      <c r="D63" s="638">
        <f>$B63/((1+TableUK4b!$B64)^10)</f>
        <v>2.7886574813539502</v>
      </c>
      <c r="E63" s="637">
        <f>SUMPRODUCT(TableUK5a!$B$105:$B$114,TableUK5a!$G$105:$G$114)/TableUK5a!$B$115</f>
        <v>0.46570027906198758</v>
      </c>
      <c r="F63" s="637">
        <v>0</v>
      </c>
      <c r="G63" s="637">
        <f>C63-D63-E63-F63</f>
        <v>-0.22110436233232439</v>
      </c>
      <c r="H63" s="638">
        <f>$B63/((1+TableUK4b!$B64)^10)</f>
        <v>2.7886574813539502</v>
      </c>
      <c r="I63" s="637">
        <f>SUMPRODUCT(TableUK5a!$B$105:$B$114,TableUK5a!$M$105:$M$114)/TableUK5a!$B$115</f>
        <v>-4.0166407067551993E-2</v>
      </c>
      <c r="J63" s="637">
        <v>0</v>
      </c>
      <c r="K63" s="639">
        <f>C63-H63-I63-J63</f>
        <v>0.28476232379721517</v>
      </c>
    </row>
    <row r="64" spans="1:11" ht="15">
      <c r="A64" s="492"/>
      <c r="B64" s="625"/>
      <c r="C64" s="626"/>
      <c r="D64" s="627">
        <f t="shared" ref="D64:K64" si="7">D63/$C63</f>
        <v>0.91936185849682162</v>
      </c>
      <c r="E64" s="628">
        <f t="shared" si="7"/>
        <v>0.15353161043393654</v>
      </c>
      <c r="F64" s="628">
        <f>F63/$C63</f>
        <v>0</v>
      </c>
      <c r="G64" s="629">
        <f t="shared" si="7"/>
        <v>-7.2893468930758126E-2</v>
      </c>
      <c r="H64" s="627">
        <f t="shared" si="7"/>
        <v>0.91936185849682162</v>
      </c>
      <c r="I64" s="628">
        <f t="shared" si="7"/>
        <v>-1.3242021617095633E-2</v>
      </c>
      <c r="J64" s="628">
        <f t="shared" si="7"/>
        <v>0</v>
      </c>
      <c r="K64" s="630">
        <f t="shared" si="7"/>
        <v>9.3880163120274043E-2</v>
      </c>
    </row>
    <row r="65" spans="1:11" ht="4.75" customHeight="1">
      <c r="A65" s="448"/>
      <c r="B65" s="625"/>
      <c r="C65" s="626"/>
      <c r="D65" s="473"/>
      <c r="E65" s="472"/>
      <c r="F65" s="472"/>
      <c r="G65" s="472"/>
      <c r="H65" s="473"/>
      <c r="I65" s="472"/>
      <c r="J65" s="472"/>
      <c r="K65" s="613"/>
    </row>
    <row r="66" spans="1:11" ht="15">
      <c r="A66" s="485" t="s">
        <v>379</v>
      </c>
      <c r="B66" s="636">
        <f>TableUK5a!$F$115</f>
        <v>3.0332533980836134</v>
      </c>
      <c r="C66" s="637">
        <f>TableUK5a!$F$125</f>
        <v>3.0560606608405609</v>
      </c>
      <c r="D66" s="638">
        <f>$B66/((1+TableUK4b!$B67)^10)</f>
        <v>2.3145008834440115</v>
      </c>
      <c r="E66" s="637">
        <f>SUMPRODUCT(TableUK5a!$B$115:$B$124,TableUK5a!$G$115:$G$124)/TableUK5a!$B$125</f>
        <v>0.61132034022582815</v>
      </c>
      <c r="F66" s="637">
        <v>0</v>
      </c>
      <c r="G66" s="637">
        <f>C66-D66-E66-F66</f>
        <v>0.13023943717072128</v>
      </c>
      <c r="H66" s="638">
        <f>$B66/((1+TableUK4b!$B67)^10)</f>
        <v>2.3145008834440115</v>
      </c>
      <c r="I66" s="637">
        <f>SUMPRODUCT(TableUK5a!$B$115:$B$124,TableUK5a!$M$115:$M$124)/TableUK5a!$B$125</f>
        <v>0.20129485333092298</v>
      </c>
      <c r="J66" s="637">
        <v>0</v>
      </c>
      <c r="K66" s="639">
        <f>C66-H66-I66-J66</f>
        <v>0.54026492406562643</v>
      </c>
    </row>
    <row r="67" spans="1:11" ht="15">
      <c r="A67" s="492"/>
      <c r="B67" s="625"/>
      <c r="C67" s="626"/>
      <c r="D67" s="627">
        <f t="shared" ref="D67:K67" si="8">D66/$C66</f>
        <v>0.75734782136406109</v>
      </c>
      <c r="E67" s="628">
        <f t="shared" si="8"/>
        <v>0.20003540769301556</v>
      </c>
      <c r="F67" s="628">
        <f>F66/$C66</f>
        <v>0</v>
      </c>
      <c r="G67" s="629">
        <f t="shared" si="8"/>
        <v>4.2616770942923397E-2</v>
      </c>
      <c r="H67" s="627">
        <f t="shared" si="8"/>
        <v>0.75734782136406109</v>
      </c>
      <c r="I67" s="628">
        <f t="shared" si="8"/>
        <v>6.5867427276642271E-2</v>
      </c>
      <c r="J67" s="628">
        <f t="shared" si="8"/>
        <v>0</v>
      </c>
      <c r="K67" s="630">
        <f t="shared" si="8"/>
        <v>0.17678475135929667</v>
      </c>
    </row>
    <row r="68" spans="1:11" ht="4.75" customHeight="1">
      <c r="A68" s="448"/>
      <c r="B68" s="625"/>
      <c r="C68" s="626"/>
      <c r="D68" s="473"/>
      <c r="E68" s="472"/>
      <c r="F68" s="472"/>
      <c r="G68" s="472"/>
      <c r="H68" s="473"/>
      <c r="I68" s="472"/>
      <c r="J68" s="472"/>
      <c r="K68" s="613"/>
    </row>
    <row r="69" spans="1:11" ht="15">
      <c r="A69" s="485" t="s">
        <v>380</v>
      </c>
      <c r="B69" s="636">
        <f>TableUK5a!$F$125</f>
        <v>3.0560606608405609</v>
      </c>
      <c r="C69" s="637">
        <f>TableUK5a!$F$135</f>
        <v>3.0913867276346281</v>
      </c>
      <c r="D69" s="638">
        <f>$B69/((1+TableUK4b!$B70)^10)</f>
        <v>2.7251796767147654</v>
      </c>
      <c r="E69" s="637">
        <f>SUMPRODUCT(TableUK5a!$B$125:$B$134,TableUK5a!$G$125:$G$134)/TableUK5a!$B$135</f>
        <v>0.79619085616049812</v>
      </c>
      <c r="F69" s="637">
        <v>0</v>
      </c>
      <c r="G69" s="637">
        <f>C69-D69-E69-F69</f>
        <v>-0.4299838052406354</v>
      </c>
      <c r="H69" s="638">
        <f>$B69/((1+TableUK4b!$B70)^10)</f>
        <v>2.7251796767147654</v>
      </c>
      <c r="I69" s="637">
        <f>SUMPRODUCT(TableUK5a!$B$125:$B$134,TableUK5a!$M$125:$M$134)/TableUK5a!$B$135</f>
        <v>0.49823087784728098</v>
      </c>
      <c r="J69" s="637">
        <v>0</v>
      </c>
      <c r="K69" s="639">
        <f>C69-H69-I69-J69</f>
        <v>-0.13202382692741826</v>
      </c>
    </row>
    <row r="70" spans="1:11" ht="15">
      <c r="A70" s="492"/>
      <c r="B70" s="625"/>
      <c r="C70" s="626"/>
      <c r="D70" s="627">
        <f t="shared" ref="D70:K70" si="9">D69/$C69</f>
        <v>0.88153955386873717</v>
      </c>
      <c r="E70" s="628">
        <f t="shared" si="9"/>
        <v>0.25755136005571938</v>
      </c>
      <c r="F70" s="628">
        <f>F69/$C69</f>
        <v>0</v>
      </c>
      <c r="G70" s="629">
        <f t="shared" si="9"/>
        <v>-0.13909091392445652</v>
      </c>
      <c r="H70" s="627">
        <f t="shared" si="9"/>
        <v>0.88153955386873717</v>
      </c>
      <c r="I70" s="628">
        <f t="shared" si="9"/>
        <v>0.16116743770472933</v>
      </c>
      <c r="J70" s="628">
        <f t="shared" si="9"/>
        <v>0</v>
      </c>
      <c r="K70" s="630">
        <f t="shared" si="9"/>
        <v>-4.270699157346651E-2</v>
      </c>
    </row>
    <row r="71" spans="1:11" ht="4.75" customHeight="1">
      <c r="A71" s="448"/>
      <c r="B71" s="625"/>
      <c r="C71" s="626"/>
      <c r="D71" s="473"/>
      <c r="E71" s="472"/>
      <c r="F71" s="472"/>
      <c r="G71" s="472"/>
      <c r="H71" s="473"/>
      <c r="I71" s="472"/>
      <c r="J71" s="472"/>
      <c r="K71" s="613"/>
    </row>
    <row r="72" spans="1:11" ht="15">
      <c r="A72" s="485" t="s">
        <v>381</v>
      </c>
      <c r="B72" s="636">
        <f>TableUK5a!$F$135</f>
        <v>3.0913867276346281</v>
      </c>
      <c r="C72" s="637">
        <f>TableUK5a!$F$145</f>
        <v>4.2907495651636935</v>
      </c>
      <c r="D72" s="638">
        <f>$B72/((1+TableUK4b!$B73)^10)</f>
        <v>2.3443532210466165</v>
      </c>
      <c r="E72" s="637">
        <f>SUMPRODUCT(TableUK5a!$B$135:$B$144,TableUK5a!$G$135:$G$144)/TableUK5a!$B$145</f>
        <v>0.53594768878872323</v>
      </c>
      <c r="F72" s="637">
        <v>0</v>
      </c>
      <c r="G72" s="637">
        <f>C72-D72-E72-F72</f>
        <v>1.410448655328354</v>
      </c>
      <c r="H72" s="638">
        <f>$B72/((1+TableUK4b!$B73)^10)</f>
        <v>2.3443532210466165</v>
      </c>
      <c r="I72" s="637">
        <f>SUMPRODUCT(TableUK5a!$B$135:$B$144,TableUK5a!$M$135:$M$144)/TableUK5a!$B$145</f>
        <v>0.30957313513901086</v>
      </c>
      <c r="J72" s="637">
        <v>0</v>
      </c>
      <c r="K72" s="639">
        <f>C72-H72-I72-J72</f>
        <v>1.6368232089780661</v>
      </c>
    </row>
    <row r="73" spans="1:11" ht="15">
      <c r="A73" s="492"/>
      <c r="B73" s="625"/>
      <c r="C73" s="626"/>
      <c r="D73" s="627">
        <f t="shared" ref="D73:K73" si="10">D72/$C72</f>
        <v>0.54637381777772864</v>
      </c>
      <c r="E73" s="628">
        <f t="shared" si="10"/>
        <v>0.12490770683519876</v>
      </c>
      <c r="F73" s="628">
        <f>F72/$C72</f>
        <v>0</v>
      </c>
      <c r="G73" s="629">
        <f t="shared" si="10"/>
        <v>0.32871847538707255</v>
      </c>
      <c r="H73" s="627">
        <f t="shared" si="10"/>
        <v>0.54637381777772864</v>
      </c>
      <c r="I73" s="628">
        <f t="shared" si="10"/>
        <v>7.2148963820311093E-2</v>
      </c>
      <c r="J73" s="628">
        <f t="shared" si="10"/>
        <v>0</v>
      </c>
      <c r="K73" s="630">
        <f t="shared" si="10"/>
        <v>0.38147721840196019</v>
      </c>
    </row>
    <row r="74" spans="1:11" ht="4.75" customHeight="1">
      <c r="A74" s="448"/>
      <c r="B74" s="625"/>
      <c r="C74" s="626"/>
      <c r="D74" s="473"/>
      <c r="E74" s="472"/>
      <c r="F74" s="472"/>
      <c r="G74" s="472"/>
      <c r="H74" s="473"/>
      <c r="I74" s="472"/>
      <c r="J74" s="472"/>
      <c r="K74" s="613"/>
    </row>
    <row r="75" spans="1:11" ht="15">
      <c r="A75" s="485" t="s">
        <v>382</v>
      </c>
      <c r="B75" s="636">
        <f>TableUK5a!$F$145</f>
        <v>4.2907495651636935</v>
      </c>
      <c r="C75" s="637">
        <f>TableUK5a!$F$155</f>
        <v>5.1455500736180824</v>
      </c>
      <c r="D75" s="638">
        <f>$B75/((1+TableUK4b!$B76)^10)</f>
        <v>3.1887146430404427</v>
      </c>
      <c r="E75" s="637">
        <f>SUMPRODUCT(TableUK5a!$B$145:$B$154,TableUK5a!$G$145:$G$154)/TableUK5a!$B$155</f>
        <v>0.63806713856888919</v>
      </c>
      <c r="F75" s="637">
        <v>0</v>
      </c>
      <c r="G75" s="637">
        <f>C75-D75-E75-F75</f>
        <v>1.3187682920087505</v>
      </c>
      <c r="H75" s="638">
        <f>$B75/((1+TableUK4b!$B76)^10)</f>
        <v>3.1887146430404427</v>
      </c>
      <c r="I75" s="637">
        <f>SUMPRODUCT(TableUK5a!$B$145:$B$154,TableUK5a!$M$145:$M$154)/TableUK5a!$B$155</f>
        <v>0.37471694809417139</v>
      </c>
      <c r="J75" s="637">
        <v>0</v>
      </c>
      <c r="K75" s="639">
        <f>C75-H75-I75-J75</f>
        <v>1.5821184824834682</v>
      </c>
    </row>
    <row r="76" spans="1:11" ht="15">
      <c r="A76" s="492"/>
      <c r="B76" s="625"/>
      <c r="C76" s="626"/>
      <c r="D76" s="627">
        <f t="shared" ref="D76:K76" si="11">D75/$C75</f>
        <v>0.61970335482486227</v>
      </c>
      <c r="E76" s="628">
        <f t="shared" si="11"/>
        <v>0.12400367879818021</v>
      </c>
      <c r="F76" s="628">
        <f>F75/$C75</f>
        <v>0</v>
      </c>
      <c r="G76" s="629">
        <f t="shared" si="11"/>
        <v>0.25629296637695753</v>
      </c>
      <c r="H76" s="627">
        <f t="shared" si="11"/>
        <v>0.61970335482486227</v>
      </c>
      <c r="I76" s="628">
        <f t="shared" si="11"/>
        <v>7.2823496561698009E-2</v>
      </c>
      <c r="J76" s="628">
        <f t="shared" si="11"/>
        <v>0</v>
      </c>
      <c r="K76" s="630">
        <f t="shared" si="11"/>
        <v>0.30747314861343972</v>
      </c>
    </row>
    <row r="77" spans="1:11" ht="4.75" customHeight="1">
      <c r="A77" s="448"/>
      <c r="B77" s="625"/>
      <c r="C77" s="626"/>
      <c r="D77" s="473"/>
      <c r="E77" s="472"/>
      <c r="F77" s="472"/>
      <c r="G77" s="472"/>
      <c r="H77" s="473"/>
      <c r="I77" s="472"/>
      <c r="J77" s="472"/>
      <c r="K77" s="613"/>
    </row>
    <row r="78" spans="1:11" ht="15">
      <c r="A78" s="485" t="s">
        <v>383</v>
      </c>
      <c r="B78" s="636">
        <f>TableUK5a!$F$155</f>
        <v>5.1455500736180824</v>
      </c>
      <c r="C78" s="637">
        <f>TableUK5a!$F$165</f>
        <v>5.2187601920292614</v>
      </c>
      <c r="D78" s="638">
        <f>$B78/((1+TableUK4b!$B79)^10)</f>
        <v>4.2925840918708618</v>
      </c>
      <c r="E78" s="637">
        <f>SUMPRODUCT(TableUK5a!$B$155:$B$164,TableUK5a!$G$155:$G$164)/TableUK5a!$B$165</f>
        <v>0.68869169189228752</v>
      </c>
      <c r="F78" s="637">
        <v>0</v>
      </c>
      <c r="G78" s="637">
        <f>C78-D78-E78-F78</f>
        <v>0.23748440826611217</v>
      </c>
      <c r="H78" s="638">
        <f>$B78/((1+TableUK4b!$B79)^10)</f>
        <v>4.2925840918708618</v>
      </c>
      <c r="I78" s="637">
        <f>SUMPRODUCT(TableUK5a!$B$155:$B$164,TableUK5a!$M$155:$M$164)/TableUK5a!$B$165</f>
        <v>-5.5080056914534768E-3</v>
      </c>
      <c r="J78" s="637">
        <v>0</v>
      </c>
      <c r="K78" s="639">
        <f>C78-H78-I78-J78</f>
        <v>0.93168410584985317</v>
      </c>
    </row>
    <row r="79" spans="1:11" ht="14" thickBot="1">
      <c r="A79" s="640"/>
      <c r="B79" s="641"/>
      <c r="C79" s="641"/>
      <c r="D79" s="642">
        <f t="shared" ref="D79:K79" si="12">D78/$C78</f>
        <v>0.82252947710205748</v>
      </c>
      <c r="E79" s="643">
        <f t="shared" si="12"/>
        <v>0.13196461737102674</v>
      </c>
      <c r="F79" s="643">
        <f>F78/$C78</f>
        <v>0</v>
      </c>
      <c r="G79" s="644">
        <f t="shared" si="12"/>
        <v>4.5505905526915733E-2</v>
      </c>
      <c r="H79" s="642">
        <f t="shared" si="12"/>
        <v>0.82252947710205748</v>
      </c>
      <c r="I79" s="643">
        <f t="shared" si="12"/>
        <v>-1.0554241790734103E-3</v>
      </c>
      <c r="J79" s="643">
        <f t="shared" si="12"/>
        <v>0</v>
      </c>
      <c r="K79" s="645">
        <f t="shared" si="12"/>
        <v>0.17852594707701588</v>
      </c>
    </row>
    <row r="80" spans="1:11" ht="13" thickTop="1">
      <c r="B80" s="503"/>
      <c r="C80" s="503"/>
      <c r="D80" s="503"/>
      <c r="E80" s="503"/>
      <c r="F80" s="503"/>
      <c r="G80" s="503"/>
      <c r="H80" s="503"/>
      <c r="I80" s="503"/>
      <c r="J80" s="503"/>
      <c r="K80" s="503"/>
    </row>
    <row r="81" spans="2:11">
      <c r="B81" s="503"/>
      <c r="C81" s="503"/>
      <c r="D81" s="503"/>
      <c r="E81" s="503"/>
      <c r="F81" s="503"/>
      <c r="G81" s="503"/>
      <c r="H81" s="503"/>
      <c r="I81" s="503"/>
      <c r="J81" s="503"/>
      <c r="K81" s="503"/>
    </row>
    <row r="82" spans="2:11">
      <c r="B82" s="503"/>
      <c r="C82" s="503"/>
      <c r="D82" s="503"/>
      <c r="E82" s="503"/>
      <c r="F82" s="503"/>
      <c r="G82" s="503"/>
      <c r="H82" s="503"/>
      <c r="I82" s="503"/>
      <c r="J82" s="503"/>
      <c r="K82" s="503"/>
    </row>
    <row r="83" spans="2:11">
      <c r="B83" s="503"/>
      <c r="C83" s="503"/>
      <c r="D83" s="503"/>
      <c r="E83" s="503"/>
      <c r="F83" s="503"/>
      <c r="G83" s="503"/>
      <c r="H83" s="503"/>
      <c r="I83" s="503"/>
      <c r="J83" s="503"/>
      <c r="K83" s="503"/>
    </row>
    <row r="84" spans="2:11">
      <c r="B84" s="503"/>
      <c r="C84" s="503"/>
      <c r="D84" s="503"/>
      <c r="E84" s="503"/>
      <c r="F84" s="503"/>
      <c r="G84" s="503"/>
      <c r="H84" s="503"/>
      <c r="I84" s="503"/>
      <c r="J84" s="503"/>
      <c r="K84" s="503"/>
    </row>
    <row r="85" spans="2:11">
      <c r="B85" s="503"/>
      <c r="C85" s="503"/>
      <c r="D85" s="503"/>
      <c r="E85" s="503"/>
      <c r="F85" s="503"/>
      <c r="G85" s="503"/>
      <c r="H85" s="503"/>
      <c r="I85" s="503"/>
      <c r="J85" s="503"/>
      <c r="K85" s="503"/>
    </row>
    <row r="86" spans="2:11">
      <c r="B86" s="503"/>
      <c r="C86" s="503"/>
      <c r="D86" s="503"/>
      <c r="E86" s="503"/>
      <c r="F86" s="503"/>
      <c r="G86" s="503"/>
      <c r="H86" s="503"/>
      <c r="I86" s="503"/>
      <c r="J86" s="503"/>
      <c r="K86" s="503"/>
    </row>
    <row r="87" spans="2:11">
      <c r="B87" s="503"/>
      <c r="C87" s="503"/>
      <c r="D87" s="503"/>
      <c r="E87" s="503"/>
      <c r="F87" s="503"/>
      <c r="G87" s="503"/>
      <c r="H87" s="503"/>
      <c r="I87" s="503"/>
      <c r="J87" s="503"/>
      <c r="K87" s="503"/>
    </row>
    <row r="88" spans="2:11">
      <c r="B88" s="503"/>
      <c r="C88" s="503"/>
      <c r="D88" s="503"/>
      <c r="E88" s="503"/>
      <c r="F88" s="503"/>
      <c r="G88" s="503"/>
      <c r="H88" s="503"/>
      <c r="I88" s="503"/>
      <c r="J88" s="503"/>
      <c r="K88" s="503"/>
    </row>
    <row r="89" spans="2:11">
      <c r="B89" s="503"/>
      <c r="C89" s="503"/>
      <c r="D89" s="503"/>
      <c r="E89" s="503"/>
      <c r="F89" s="503"/>
      <c r="G89" s="503"/>
      <c r="H89" s="503"/>
      <c r="I89" s="503"/>
      <c r="J89" s="503"/>
      <c r="K89" s="503"/>
    </row>
    <row r="90" spans="2:11">
      <c r="B90" s="503"/>
      <c r="C90" s="503"/>
      <c r="D90" s="503"/>
      <c r="E90" s="503"/>
      <c r="F90" s="503"/>
      <c r="G90" s="503"/>
      <c r="H90" s="503"/>
      <c r="I90" s="503"/>
      <c r="J90" s="503"/>
      <c r="K90" s="503"/>
    </row>
    <row r="91" spans="2:11">
      <c r="B91" s="503"/>
      <c r="C91" s="503"/>
      <c r="D91" s="503"/>
      <c r="E91" s="503"/>
      <c r="F91" s="503"/>
      <c r="G91" s="503"/>
      <c r="H91" s="503"/>
      <c r="I91" s="503"/>
      <c r="J91" s="503"/>
      <c r="K91" s="503"/>
    </row>
    <row r="92" spans="2:11">
      <c r="B92" s="503"/>
      <c r="C92" s="503"/>
      <c r="D92" s="503"/>
      <c r="E92" s="503"/>
      <c r="F92" s="503"/>
      <c r="G92" s="503"/>
      <c r="H92" s="503"/>
      <c r="I92" s="503"/>
      <c r="J92" s="503"/>
      <c r="K92" s="503"/>
    </row>
    <row r="93" spans="2:11">
      <c r="B93" s="503"/>
      <c r="C93" s="503"/>
      <c r="D93" s="503"/>
      <c r="E93" s="503"/>
      <c r="F93" s="503"/>
      <c r="G93" s="503"/>
      <c r="H93" s="503"/>
      <c r="I93" s="503"/>
      <c r="J93" s="503"/>
      <c r="K93" s="503"/>
    </row>
    <row r="94" spans="2:11">
      <c r="B94" s="503"/>
      <c r="C94" s="503"/>
      <c r="D94" s="503"/>
      <c r="E94" s="503"/>
      <c r="F94" s="503"/>
      <c r="G94" s="503"/>
      <c r="H94" s="503"/>
      <c r="I94" s="503"/>
      <c r="J94" s="503"/>
      <c r="K94" s="503"/>
    </row>
    <row r="95" spans="2:11">
      <c r="B95" s="503"/>
      <c r="C95" s="503"/>
      <c r="D95" s="503"/>
      <c r="E95" s="503"/>
      <c r="F95" s="503"/>
      <c r="G95" s="503"/>
      <c r="H95" s="503"/>
      <c r="I95" s="503"/>
      <c r="J95" s="503"/>
      <c r="K95" s="503"/>
    </row>
    <row r="96" spans="2:11">
      <c r="B96" s="503"/>
      <c r="C96" s="503"/>
      <c r="D96" s="503"/>
      <c r="E96" s="503"/>
      <c r="F96" s="503"/>
      <c r="G96" s="503"/>
      <c r="H96" s="503"/>
      <c r="I96" s="503"/>
      <c r="J96" s="503"/>
      <c r="K96" s="503"/>
    </row>
    <row r="97" spans="2:11">
      <c r="B97" s="503"/>
      <c r="C97" s="503"/>
      <c r="D97" s="503"/>
      <c r="E97" s="503"/>
      <c r="F97" s="503"/>
      <c r="G97" s="503"/>
      <c r="H97" s="503"/>
      <c r="I97" s="503"/>
      <c r="J97" s="503"/>
      <c r="K97" s="503"/>
    </row>
    <row r="98" spans="2:11">
      <c r="B98" s="503"/>
      <c r="C98" s="503"/>
      <c r="D98" s="503"/>
      <c r="E98" s="503"/>
      <c r="F98" s="503"/>
      <c r="G98" s="503"/>
      <c r="H98" s="503"/>
      <c r="I98" s="503"/>
      <c r="J98" s="503"/>
      <c r="K98" s="503"/>
    </row>
    <row r="99" spans="2:11">
      <c r="B99" s="503"/>
      <c r="C99" s="503"/>
      <c r="D99" s="503"/>
      <c r="E99" s="503"/>
      <c r="F99" s="503"/>
      <c r="G99" s="503"/>
      <c r="H99" s="503"/>
      <c r="I99" s="503"/>
      <c r="J99" s="503"/>
      <c r="K99" s="503"/>
    </row>
    <row r="100" spans="2:11">
      <c r="B100" s="503"/>
      <c r="C100" s="503"/>
      <c r="D100" s="503"/>
      <c r="E100" s="503"/>
      <c r="F100" s="503"/>
      <c r="G100" s="503"/>
      <c r="H100" s="503"/>
      <c r="I100" s="503"/>
      <c r="J100" s="503"/>
      <c r="K100" s="503"/>
    </row>
    <row r="101" spans="2:11">
      <c r="B101" s="503"/>
      <c r="C101" s="503"/>
      <c r="D101" s="503"/>
      <c r="E101" s="503"/>
      <c r="F101" s="503"/>
      <c r="G101" s="503"/>
      <c r="H101" s="503"/>
      <c r="I101" s="503"/>
      <c r="J101" s="503"/>
      <c r="K101" s="503"/>
    </row>
    <row r="102" spans="2:11">
      <c r="B102" s="503"/>
      <c r="C102" s="503"/>
      <c r="D102" s="503"/>
      <c r="E102" s="503"/>
      <c r="F102" s="503"/>
      <c r="G102" s="503"/>
      <c r="H102" s="503"/>
      <c r="I102" s="503"/>
      <c r="J102" s="503"/>
      <c r="K102" s="503"/>
    </row>
    <row r="103" spans="2:11">
      <c r="B103" s="503"/>
      <c r="C103" s="503"/>
      <c r="D103" s="503"/>
      <c r="E103" s="503"/>
      <c r="F103" s="503"/>
      <c r="G103" s="503"/>
      <c r="H103" s="503"/>
      <c r="I103" s="503"/>
      <c r="J103" s="503"/>
      <c r="K103" s="503"/>
    </row>
    <row r="104" spans="2:11">
      <c r="B104" s="503"/>
      <c r="C104" s="503"/>
      <c r="D104" s="503"/>
      <c r="E104" s="503"/>
      <c r="F104" s="503"/>
      <c r="G104" s="503"/>
      <c r="H104" s="503"/>
      <c r="I104" s="503"/>
      <c r="J104" s="503"/>
      <c r="K104" s="503"/>
    </row>
    <row r="105" spans="2:11">
      <c r="B105" s="503"/>
      <c r="C105" s="503"/>
      <c r="D105" s="503"/>
      <c r="E105" s="503"/>
      <c r="F105" s="503"/>
      <c r="G105" s="503"/>
      <c r="H105" s="503"/>
      <c r="I105" s="503"/>
      <c r="J105" s="503"/>
      <c r="K105" s="503"/>
    </row>
    <row r="106" spans="2:11">
      <c r="B106" s="503"/>
      <c r="C106" s="503"/>
      <c r="D106" s="503"/>
      <c r="E106" s="503"/>
      <c r="F106" s="503"/>
      <c r="G106" s="503"/>
      <c r="H106" s="503"/>
      <c r="I106" s="503"/>
      <c r="J106" s="503"/>
      <c r="K106" s="503"/>
    </row>
    <row r="107" spans="2:11">
      <c r="B107" s="503"/>
      <c r="C107" s="503"/>
      <c r="D107" s="503"/>
      <c r="E107" s="503"/>
      <c r="F107" s="503"/>
      <c r="G107" s="503"/>
      <c r="H107" s="503"/>
      <c r="I107" s="503"/>
      <c r="J107" s="503"/>
      <c r="K107" s="503"/>
    </row>
    <row r="108" spans="2:11">
      <c r="B108" s="503"/>
      <c r="C108" s="503"/>
      <c r="D108" s="503"/>
      <c r="E108" s="503"/>
      <c r="F108" s="503"/>
      <c r="G108" s="503"/>
      <c r="H108" s="503"/>
      <c r="I108" s="503"/>
      <c r="J108" s="503"/>
      <c r="K108" s="503"/>
    </row>
    <row r="109" spans="2:11">
      <c r="B109" s="503"/>
      <c r="C109" s="503"/>
      <c r="D109" s="503"/>
      <c r="E109" s="503"/>
      <c r="F109" s="503"/>
      <c r="G109" s="503"/>
      <c r="H109" s="503"/>
      <c r="I109" s="503"/>
      <c r="J109" s="503"/>
      <c r="K109" s="503"/>
    </row>
    <row r="110" spans="2:11">
      <c r="B110" s="503"/>
      <c r="C110" s="503"/>
      <c r="D110" s="503"/>
      <c r="E110" s="503"/>
      <c r="F110" s="503"/>
      <c r="G110" s="503"/>
      <c r="H110" s="503"/>
      <c r="I110" s="503"/>
      <c r="J110" s="503"/>
      <c r="K110" s="503"/>
    </row>
    <row r="111" spans="2:11">
      <c r="B111" s="503"/>
      <c r="C111" s="503"/>
      <c r="D111" s="503"/>
      <c r="E111" s="503"/>
      <c r="F111" s="503"/>
      <c r="G111" s="503"/>
      <c r="H111" s="503"/>
      <c r="I111" s="503"/>
      <c r="J111" s="503"/>
      <c r="K111" s="503"/>
    </row>
    <row r="112" spans="2:11">
      <c r="B112" s="503"/>
      <c r="C112" s="503"/>
      <c r="D112" s="503"/>
      <c r="E112" s="503"/>
      <c r="F112" s="503"/>
      <c r="G112" s="503"/>
      <c r="H112" s="503"/>
      <c r="I112" s="503"/>
      <c r="J112" s="503"/>
      <c r="K112" s="503"/>
    </row>
    <row r="113" spans="2:11">
      <c r="B113" s="503"/>
      <c r="C113" s="503"/>
      <c r="D113" s="503"/>
      <c r="E113" s="503"/>
      <c r="F113" s="503"/>
      <c r="G113" s="503"/>
      <c r="H113" s="503"/>
      <c r="I113" s="503"/>
      <c r="J113" s="503"/>
      <c r="K113" s="503"/>
    </row>
    <row r="114" spans="2:11">
      <c r="B114" s="503"/>
      <c r="C114" s="503"/>
      <c r="D114" s="503"/>
      <c r="E114" s="503"/>
      <c r="F114" s="503"/>
      <c r="G114" s="503"/>
      <c r="H114" s="503"/>
      <c r="I114" s="503"/>
      <c r="J114" s="503"/>
      <c r="K114" s="503"/>
    </row>
    <row r="115" spans="2:11">
      <c r="B115" s="503"/>
      <c r="C115" s="503"/>
      <c r="D115" s="503"/>
      <c r="E115" s="503"/>
      <c r="F115" s="503"/>
      <c r="G115" s="503"/>
      <c r="H115" s="503"/>
      <c r="I115" s="503"/>
      <c r="J115" s="503"/>
      <c r="K115" s="503"/>
    </row>
    <row r="116" spans="2:11">
      <c r="B116" s="503"/>
      <c r="C116" s="503"/>
      <c r="D116" s="503"/>
      <c r="E116" s="503"/>
      <c r="F116" s="503"/>
      <c r="G116" s="503"/>
      <c r="H116" s="503"/>
      <c r="I116" s="503"/>
      <c r="J116" s="503"/>
      <c r="K116" s="503"/>
    </row>
    <row r="117" spans="2:11">
      <c r="B117" s="503"/>
      <c r="C117" s="503"/>
      <c r="D117" s="503"/>
      <c r="E117" s="503"/>
      <c r="F117" s="503"/>
      <c r="G117" s="503"/>
      <c r="H117" s="503"/>
      <c r="I117" s="503"/>
      <c r="J117" s="503"/>
      <c r="K117" s="503"/>
    </row>
    <row r="118" spans="2:11">
      <c r="B118" s="503"/>
      <c r="C118" s="503"/>
      <c r="D118" s="503"/>
      <c r="E118" s="503"/>
      <c r="F118" s="503"/>
      <c r="G118" s="503"/>
      <c r="H118" s="503"/>
      <c r="I118" s="503"/>
      <c r="J118" s="503"/>
      <c r="K118" s="503"/>
    </row>
    <row r="119" spans="2:11">
      <c r="B119" s="503"/>
      <c r="C119" s="503"/>
      <c r="D119" s="503"/>
      <c r="E119" s="503"/>
      <c r="F119" s="503"/>
      <c r="G119" s="503"/>
      <c r="H119" s="503"/>
      <c r="I119" s="503"/>
      <c r="J119" s="503"/>
      <c r="K119" s="503"/>
    </row>
    <row r="120" spans="2:11">
      <c r="B120" s="503"/>
      <c r="C120" s="503"/>
      <c r="D120" s="503"/>
      <c r="E120" s="503"/>
      <c r="F120" s="503"/>
      <c r="G120" s="503"/>
      <c r="H120" s="503"/>
      <c r="I120" s="503"/>
      <c r="J120" s="503"/>
      <c r="K120" s="503"/>
    </row>
    <row r="121" spans="2:11">
      <c r="B121" s="503"/>
      <c r="C121" s="503"/>
      <c r="D121" s="503"/>
      <c r="E121" s="503"/>
      <c r="F121" s="503"/>
      <c r="G121" s="503"/>
      <c r="H121" s="503"/>
      <c r="I121" s="503"/>
      <c r="J121" s="503"/>
      <c r="K121" s="503"/>
    </row>
    <row r="122" spans="2:11">
      <c r="B122" s="503"/>
      <c r="C122" s="503"/>
      <c r="D122" s="503"/>
      <c r="E122" s="503"/>
      <c r="F122" s="503"/>
      <c r="G122" s="503"/>
      <c r="H122" s="503"/>
      <c r="I122" s="503"/>
      <c r="J122" s="503"/>
      <c r="K122" s="503"/>
    </row>
    <row r="123" spans="2:11">
      <c r="B123" s="503"/>
      <c r="C123" s="503"/>
      <c r="D123" s="503"/>
      <c r="E123" s="503"/>
      <c r="F123" s="503"/>
      <c r="G123" s="503"/>
      <c r="H123" s="503"/>
      <c r="I123" s="503"/>
      <c r="J123" s="503"/>
      <c r="K123" s="503"/>
    </row>
    <row r="124" spans="2:11">
      <c r="B124" s="503"/>
      <c r="C124" s="503"/>
      <c r="D124" s="503"/>
      <c r="E124" s="503"/>
      <c r="F124" s="503"/>
      <c r="G124" s="503"/>
      <c r="H124" s="503"/>
      <c r="I124" s="503"/>
      <c r="J124" s="503"/>
      <c r="K124" s="503"/>
    </row>
    <row r="125" spans="2:11">
      <c r="B125" s="503"/>
      <c r="C125" s="503"/>
      <c r="D125" s="503"/>
      <c r="E125" s="503"/>
      <c r="F125" s="503"/>
      <c r="G125" s="503"/>
      <c r="H125" s="503"/>
      <c r="I125" s="503"/>
      <c r="J125" s="503"/>
      <c r="K125" s="503"/>
    </row>
    <row r="126" spans="2:11">
      <c r="B126" s="503"/>
      <c r="C126" s="503"/>
      <c r="D126" s="503"/>
      <c r="E126" s="503"/>
      <c r="F126" s="503"/>
      <c r="G126" s="503"/>
      <c r="H126" s="503"/>
      <c r="I126" s="503"/>
      <c r="J126" s="503"/>
      <c r="K126" s="503"/>
    </row>
    <row r="127" spans="2:11">
      <c r="B127" s="503"/>
      <c r="C127" s="503"/>
      <c r="D127" s="503"/>
      <c r="E127" s="503"/>
      <c r="F127" s="503"/>
      <c r="G127" s="503"/>
      <c r="H127" s="503"/>
      <c r="I127" s="503"/>
      <c r="J127" s="503"/>
      <c r="K127" s="503"/>
    </row>
    <row r="128" spans="2:11">
      <c r="B128" s="503"/>
      <c r="C128" s="503"/>
      <c r="D128" s="503"/>
      <c r="E128" s="503"/>
      <c r="F128" s="503"/>
      <c r="G128" s="503"/>
      <c r="H128" s="503"/>
      <c r="I128" s="503"/>
      <c r="J128" s="503"/>
      <c r="K128" s="503"/>
    </row>
    <row r="129" spans="2:11">
      <c r="B129" s="503"/>
      <c r="C129" s="503"/>
      <c r="D129" s="503"/>
      <c r="E129" s="503"/>
      <c r="F129" s="503"/>
      <c r="G129" s="503"/>
      <c r="H129" s="503"/>
      <c r="I129" s="503"/>
      <c r="J129" s="503"/>
      <c r="K129" s="503"/>
    </row>
    <row r="130" spans="2:11">
      <c r="B130" s="503"/>
      <c r="C130" s="503"/>
      <c r="D130" s="503"/>
      <c r="E130" s="503"/>
      <c r="F130" s="503"/>
      <c r="G130" s="503"/>
      <c r="H130" s="503"/>
      <c r="I130" s="503"/>
      <c r="J130" s="503"/>
      <c r="K130" s="503"/>
    </row>
    <row r="131" spans="2:11">
      <c r="B131" s="503"/>
      <c r="C131" s="503"/>
      <c r="D131" s="503"/>
      <c r="E131" s="503"/>
      <c r="F131" s="503"/>
      <c r="G131" s="503"/>
      <c r="H131" s="503"/>
      <c r="I131" s="503"/>
      <c r="J131" s="503"/>
      <c r="K131" s="503"/>
    </row>
    <row r="132" spans="2:11">
      <c r="B132" s="503"/>
      <c r="C132" s="503"/>
      <c r="D132" s="503"/>
      <c r="E132" s="503"/>
      <c r="F132" s="503"/>
      <c r="G132" s="503"/>
      <c r="H132" s="503"/>
      <c r="I132" s="503"/>
      <c r="J132" s="503"/>
      <c r="K132" s="503"/>
    </row>
    <row r="133" spans="2:11">
      <c r="B133" s="503"/>
      <c r="C133" s="503"/>
      <c r="D133" s="503"/>
      <c r="E133" s="503"/>
      <c r="F133" s="503"/>
      <c r="G133" s="503"/>
      <c r="H133" s="503"/>
      <c r="I133" s="503"/>
      <c r="J133" s="503"/>
      <c r="K133" s="503"/>
    </row>
    <row r="134" spans="2:11">
      <c r="B134" s="503"/>
      <c r="C134" s="503"/>
      <c r="D134" s="503"/>
      <c r="E134" s="503"/>
      <c r="F134" s="503"/>
      <c r="G134" s="503"/>
      <c r="H134" s="503"/>
      <c r="I134" s="503"/>
      <c r="J134" s="503"/>
      <c r="K134" s="503"/>
    </row>
    <row r="135" spans="2:11">
      <c r="B135" s="503"/>
      <c r="C135" s="503"/>
      <c r="D135" s="503"/>
      <c r="E135" s="503"/>
      <c r="F135" s="503"/>
      <c r="G135" s="503"/>
      <c r="H135" s="503"/>
      <c r="I135" s="503"/>
      <c r="J135" s="503"/>
      <c r="K135" s="503"/>
    </row>
    <row r="136" spans="2:11">
      <c r="B136" s="503"/>
      <c r="C136" s="503"/>
      <c r="D136" s="503"/>
      <c r="E136" s="503"/>
      <c r="F136" s="503"/>
      <c r="G136" s="503"/>
      <c r="H136" s="503"/>
      <c r="I136" s="503"/>
      <c r="J136" s="503"/>
      <c r="K136" s="503"/>
    </row>
    <row r="137" spans="2:11">
      <c r="B137" s="503"/>
      <c r="C137" s="503"/>
      <c r="D137" s="503"/>
      <c r="E137" s="503"/>
      <c r="F137" s="503"/>
      <c r="G137" s="503"/>
      <c r="H137" s="503"/>
      <c r="I137" s="503"/>
      <c r="J137" s="503"/>
      <c r="K137" s="503"/>
    </row>
    <row r="138" spans="2:11">
      <c r="B138" s="503"/>
      <c r="C138" s="503"/>
      <c r="D138" s="503"/>
      <c r="E138" s="503"/>
      <c r="F138" s="503"/>
      <c r="G138" s="503"/>
      <c r="H138" s="503"/>
      <c r="I138" s="503"/>
      <c r="J138" s="503"/>
      <c r="K138" s="503"/>
    </row>
    <row r="139" spans="2:11">
      <c r="B139" s="503"/>
      <c r="C139" s="503"/>
      <c r="D139" s="503"/>
      <c r="E139" s="503"/>
      <c r="F139" s="503"/>
      <c r="G139" s="503"/>
      <c r="H139" s="503"/>
      <c r="I139" s="503"/>
      <c r="J139" s="503"/>
      <c r="K139" s="503"/>
    </row>
    <row r="140" spans="2:11">
      <c r="B140" s="503"/>
      <c r="C140" s="503"/>
      <c r="D140" s="503"/>
      <c r="E140" s="503"/>
      <c r="F140" s="503"/>
      <c r="G140" s="503"/>
      <c r="H140" s="503"/>
      <c r="I140" s="503"/>
      <c r="J140" s="503"/>
      <c r="K140" s="503"/>
    </row>
    <row r="141" spans="2:11">
      <c r="B141" s="503"/>
      <c r="C141" s="503"/>
      <c r="D141" s="503"/>
      <c r="E141" s="503"/>
      <c r="F141" s="503"/>
      <c r="G141" s="503"/>
      <c r="H141" s="503"/>
      <c r="I141" s="503"/>
      <c r="J141" s="503"/>
      <c r="K141" s="503"/>
    </row>
    <row r="142" spans="2:11">
      <c r="B142" s="503"/>
      <c r="C142" s="503"/>
      <c r="D142" s="503"/>
      <c r="E142" s="503"/>
      <c r="F142" s="503"/>
      <c r="G142" s="503"/>
      <c r="H142" s="503"/>
      <c r="I142" s="503"/>
      <c r="J142" s="503"/>
      <c r="K142" s="503"/>
    </row>
    <row r="143" spans="2:11">
      <c r="B143" s="503"/>
      <c r="C143" s="503"/>
      <c r="D143" s="503"/>
      <c r="E143" s="503"/>
      <c r="F143" s="503"/>
      <c r="G143" s="503"/>
      <c r="H143" s="503"/>
      <c r="I143" s="503"/>
      <c r="J143" s="503"/>
      <c r="K143" s="503"/>
    </row>
    <row r="144" spans="2:11">
      <c r="B144" s="503"/>
      <c r="C144" s="503"/>
      <c r="D144" s="503"/>
      <c r="E144" s="503"/>
      <c r="F144" s="503"/>
      <c r="G144" s="503"/>
      <c r="H144" s="503"/>
      <c r="I144" s="503"/>
      <c r="J144" s="503"/>
      <c r="K144" s="503"/>
    </row>
    <row r="145" spans="2:11">
      <c r="B145" s="503"/>
      <c r="C145" s="503"/>
      <c r="D145" s="503"/>
      <c r="E145" s="503"/>
      <c r="F145" s="503"/>
      <c r="G145" s="503"/>
      <c r="H145" s="503"/>
      <c r="I145" s="503"/>
      <c r="J145" s="503"/>
      <c r="K145" s="503"/>
    </row>
    <row r="146" spans="2:11">
      <c r="B146" s="503"/>
      <c r="C146" s="503"/>
      <c r="D146" s="503"/>
      <c r="E146" s="503"/>
      <c r="F146" s="503"/>
      <c r="G146" s="503"/>
      <c r="H146" s="503"/>
      <c r="I146" s="503"/>
      <c r="J146" s="503"/>
      <c r="K146" s="503"/>
    </row>
    <row r="147" spans="2:11">
      <c r="B147" s="503"/>
      <c r="C147" s="503"/>
      <c r="D147" s="503"/>
      <c r="E147" s="503"/>
      <c r="F147" s="503"/>
      <c r="G147" s="503"/>
      <c r="H147" s="503"/>
      <c r="I147" s="503"/>
      <c r="J147" s="503"/>
      <c r="K147" s="503"/>
    </row>
    <row r="148" spans="2:11">
      <c r="B148" s="503"/>
      <c r="C148" s="503"/>
      <c r="D148" s="503"/>
      <c r="E148" s="503"/>
      <c r="F148" s="503"/>
      <c r="G148" s="503"/>
      <c r="H148" s="503"/>
      <c r="I148" s="503"/>
      <c r="J148" s="503"/>
      <c r="K148" s="503"/>
    </row>
    <row r="149" spans="2:11">
      <c r="B149" s="503"/>
      <c r="C149" s="503"/>
      <c r="D149" s="503"/>
      <c r="E149" s="503"/>
      <c r="F149" s="503"/>
      <c r="G149" s="503"/>
      <c r="H149" s="503"/>
      <c r="I149" s="503"/>
      <c r="J149" s="503"/>
      <c r="K149" s="503"/>
    </row>
    <row r="150" spans="2:11">
      <c r="B150" s="503"/>
      <c r="C150" s="503"/>
      <c r="D150" s="503"/>
      <c r="E150" s="503"/>
      <c r="F150" s="503"/>
      <c r="G150" s="503"/>
      <c r="H150" s="503"/>
      <c r="I150" s="503"/>
      <c r="J150" s="503"/>
      <c r="K150" s="503"/>
    </row>
    <row r="151" spans="2:11">
      <c r="B151" s="503"/>
      <c r="C151" s="503"/>
      <c r="D151" s="503"/>
      <c r="E151" s="503"/>
      <c r="F151" s="503"/>
      <c r="G151" s="503"/>
      <c r="H151" s="503"/>
      <c r="I151" s="503"/>
      <c r="J151" s="503"/>
      <c r="K151" s="503"/>
    </row>
    <row r="152" spans="2:11">
      <c r="B152" s="503"/>
      <c r="C152" s="503"/>
      <c r="D152" s="503"/>
      <c r="E152" s="503"/>
      <c r="F152" s="503"/>
      <c r="G152" s="503"/>
      <c r="H152" s="503"/>
      <c r="I152" s="503"/>
      <c r="J152" s="503"/>
      <c r="K152" s="503"/>
    </row>
    <row r="153" spans="2:11">
      <c r="B153" s="503"/>
      <c r="C153" s="503"/>
      <c r="D153" s="503"/>
      <c r="E153" s="503"/>
      <c r="F153" s="503"/>
      <c r="G153" s="503"/>
      <c r="H153" s="503"/>
      <c r="I153" s="503"/>
      <c r="J153" s="503"/>
      <c r="K153" s="503"/>
    </row>
    <row r="154" spans="2:11">
      <c r="B154" s="503"/>
      <c r="C154" s="503"/>
      <c r="D154" s="503"/>
      <c r="E154" s="503"/>
      <c r="F154" s="503"/>
      <c r="G154" s="503"/>
      <c r="H154" s="503"/>
      <c r="I154" s="503"/>
      <c r="J154" s="503"/>
      <c r="K154" s="503"/>
    </row>
    <row r="155" spans="2:11">
      <c r="B155" s="503"/>
      <c r="C155" s="503"/>
      <c r="D155" s="503"/>
      <c r="E155" s="503"/>
      <c r="F155" s="503"/>
      <c r="G155" s="503"/>
      <c r="H155" s="503"/>
      <c r="I155" s="503"/>
      <c r="J155" s="503"/>
      <c r="K155" s="503"/>
    </row>
    <row r="156" spans="2:11">
      <c r="B156" s="503"/>
      <c r="C156" s="503"/>
      <c r="D156" s="503"/>
      <c r="E156" s="503"/>
      <c r="F156" s="503"/>
      <c r="G156" s="503"/>
      <c r="H156" s="503"/>
      <c r="I156" s="503"/>
      <c r="J156" s="503"/>
      <c r="K156" s="503"/>
    </row>
    <row r="157" spans="2:11">
      <c r="B157" s="503"/>
      <c r="C157" s="503"/>
      <c r="D157" s="503"/>
      <c r="E157" s="503"/>
      <c r="F157" s="503"/>
      <c r="G157" s="503"/>
      <c r="H157" s="503"/>
      <c r="I157" s="503"/>
      <c r="J157" s="503"/>
      <c r="K157" s="503"/>
    </row>
    <row r="158" spans="2:11">
      <c r="B158" s="503"/>
      <c r="C158" s="503"/>
      <c r="D158" s="503"/>
      <c r="E158" s="503"/>
      <c r="F158" s="503"/>
      <c r="G158" s="503"/>
      <c r="H158" s="503"/>
      <c r="I158" s="503"/>
      <c r="J158" s="503"/>
      <c r="K158" s="503"/>
    </row>
    <row r="159" spans="2:11">
      <c r="B159" s="503"/>
      <c r="C159" s="503"/>
      <c r="D159" s="503"/>
      <c r="E159" s="503"/>
      <c r="F159" s="503"/>
      <c r="G159" s="503"/>
      <c r="H159" s="503"/>
      <c r="I159" s="503"/>
      <c r="J159" s="503"/>
      <c r="K159" s="503"/>
    </row>
    <row r="160" spans="2:11">
      <c r="B160" s="503"/>
      <c r="C160" s="503"/>
      <c r="D160" s="503"/>
      <c r="E160" s="503"/>
      <c r="F160" s="503"/>
      <c r="G160" s="503"/>
      <c r="H160" s="503"/>
      <c r="I160" s="503"/>
      <c r="J160" s="503"/>
      <c r="K160" s="503"/>
    </row>
    <row r="161" spans="2:11">
      <c r="B161" s="503"/>
      <c r="C161" s="503"/>
      <c r="D161" s="503"/>
      <c r="E161" s="503"/>
      <c r="F161" s="503"/>
      <c r="G161" s="503"/>
      <c r="H161" s="503"/>
      <c r="I161" s="503"/>
      <c r="J161" s="503"/>
      <c r="K161" s="503"/>
    </row>
    <row r="162" spans="2:11">
      <c r="B162" s="503"/>
      <c r="C162" s="503"/>
      <c r="D162" s="503"/>
      <c r="E162" s="503"/>
      <c r="F162" s="503"/>
      <c r="G162" s="503"/>
      <c r="H162" s="503"/>
      <c r="I162" s="503"/>
      <c r="J162" s="503"/>
      <c r="K162" s="503"/>
    </row>
    <row r="163" spans="2:11">
      <c r="B163" s="503"/>
      <c r="C163" s="503"/>
      <c r="D163" s="503"/>
      <c r="E163" s="503"/>
      <c r="F163" s="503"/>
      <c r="G163" s="503"/>
      <c r="H163" s="503"/>
      <c r="I163" s="503"/>
      <c r="J163" s="503"/>
      <c r="K163" s="503"/>
    </row>
    <row r="164" spans="2:11">
      <c r="B164" s="503"/>
      <c r="C164" s="503"/>
      <c r="D164" s="503"/>
      <c r="E164" s="503"/>
      <c r="F164" s="503"/>
      <c r="G164" s="503"/>
      <c r="H164" s="503"/>
      <c r="I164" s="503"/>
      <c r="J164" s="503"/>
      <c r="K164" s="503"/>
    </row>
    <row r="165" spans="2:11">
      <c r="B165" s="503"/>
      <c r="C165" s="503"/>
      <c r="D165" s="503"/>
      <c r="E165" s="503"/>
      <c r="F165" s="503"/>
      <c r="G165" s="503"/>
      <c r="H165" s="503"/>
      <c r="I165" s="503"/>
      <c r="J165" s="503"/>
      <c r="K165" s="503"/>
    </row>
    <row r="166" spans="2:11">
      <c r="B166" s="503"/>
      <c r="C166" s="503"/>
      <c r="D166" s="503"/>
      <c r="E166" s="503"/>
      <c r="F166" s="503"/>
      <c r="G166" s="503"/>
      <c r="H166" s="503"/>
      <c r="I166" s="503"/>
      <c r="J166" s="503"/>
      <c r="K166" s="503"/>
    </row>
    <row r="167" spans="2:11">
      <c r="B167" s="503"/>
      <c r="C167" s="503"/>
      <c r="D167" s="503"/>
      <c r="E167" s="503"/>
      <c r="F167" s="503"/>
      <c r="G167" s="503"/>
      <c r="H167" s="503"/>
      <c r="I167" s="503"/>
      <c r="J167" s="503"/>
      <c r="K167" s="503"/>
    </row>
    <row r="168" spans="2:11">
      <c r="B168" s="503"/>
      <c r="C168" s="503"/>
      <c r="D168" s="503"/>
      <c r="E168" s="503"/>
      <c r="F168" s="503"/>
      <c r="G168" s="503"/>
      <c r="H168" s="503"/>
      <c r="I168" s="503"/>
      <c r="J168" s="503"/>
      <c r="K168" s="503"/>
    </row>
    <row r="169" spans="2:11">
      <c r="B169" s="503"/>
      <c r="C169" s="503"/>
      <c r="D169" s="503"/>
      <c r="E169" s="503"/>
      <c r="F169" s="503"/>
      <c r="G169" s="503"/>
      <c r="H169" s="503"/>
      <c r="I169" s="503"/>
      <c r="J169" s="503"/>
      <c r="K169" s="503"/>
    </row>
    <row r="170" spans="2:11">
      <c r="B170" s="503"/>
      <c r="C170" s="503"/>
      <c r="D170" s="503"/>
      <c r="E170" s="503"/>
      <c r="F170" s="503"/>
      <c r="G170" s="503"/>
      <c r="H170" s="503"/>
      <c r="I170" s="503"/>
      <c r="J170" s="503"/>
      <c r="K170" s="503"/>
    </row>
    <row r="171" spans="2:11">
      <c r="B171" s="503"/>
      <c r="C171" s="503"/>
      <c r="D171" s="503"/>
      <c r="E171" s="503"/>
      <c r="F171" s="503"/>
      <c r="G171" s="503"/>
      <c r="H171" s="503"/>
      <c r="I171" s="503"/>
      <c r="J171" s="503"/>
      <c r="K171" s="503"/>
    </row>
    <row r="172" spans="2:11">
      <c r="B172" s="503"/>
      <c r="C172" s="503"/>
      <c r="D172" s="503"/>
      <c r="E172" s="503"/>
      <c r="F172" s="503"/>
      <c r="G172" s="503"/>
      <c r="H172" s="503"/>
      <c r="I172" s="503"/>
      <c r="J172" s="503"/>
      <c r="K172" s="503"/>
    </row>
    <row r="173" spans="2:11">
      <c r="B173" s="503"/>
      <c r="C173" s="503"/>
      <c r="D173" s="503"/>
      <c r="E173" s="503"/>
      <c r="F173" s="503"/>
      <c r="G173" s="503"/>
      <c r="H173" s="503"/>
      <c r="I173" s="503"/>
      <c r="J173" s="503"/>
      <c r="K173" s="503"/>
    </row>
    <row r="174" spans="2:11">
      <c r="B174" s="503"/>
      <c r="C174" s="503"/>
      <c r="D174" s="503"/>
      <c r="E174" s="503"/>
      <c r="F174" s="503"/>
      <c r="G174" s="503"/>
      <c r="H174" s="503"/>
      <c r="I174" s="503"/>
      <c r="J174" s="503"/>
      <c r="K174" s="503"/>
    </row>
    <row r="175" spans="2:11">
      <c r="B175" s="503"/>
      <c r="C175" s="503"/>
      <c r="D175" s="503"/>
      <c r="E175" s="503"/>
      <c r="F175" s="503"/>
      <c r="G175" s="503"/>
      <c r="H175" s="503"/>
      <c r="I175" s="503"/>
      <c r="J175" s="503"/>
      <c r="K175" s="503"/>
    </row>
    <row r="176" spans="2:11">
      <c r="B176" s="503"/>
      <c r="C176" s="503"/>
      <c r="D176" s="503"/>
      <c r="E176" s="503"/>
      <c r="F176" s="503"/>
      <c r="G176" s="503"/>
      <c r="H176" s="503"/>
      <c r="I176" s="503"/>
      <c r="J176" s="503"/>
      <c r="K176" s="503"/>
    </row>
    <row r="177" spans="2:11">
      <c r="B177" s="503"/>
      <c r="C177" s="503"/>
      <c r="D177" s="503"/>
      <c r="E177" s="503"/>
      <c r="F177" s="503"/>
      <c r="G177" s="503"/>
      <c r="H177" s="503"/>
      <c r="I177" s="503"/>
      <c r="J177" s="503"/>
      <c r="K177" s="503"/>
    </row>
    <row r="178" spans="2:11">
      <c r="B178" s="503"/>
      <c r="C178" s="503"/>
      <c r="D178" s="503"/>
      <c r="E178" s="503"/>
      <c r="F178" s="503"/>
      <c r="G178" s="503"/>
      <c r="H178" s="503"/>
      <c r="I178" s="503"/>
      <c r="J178" s="503"/>
      <c r="K178" s="503"/>
    </row>
    <row r="179" spans="2:11">
      <c r="B179" s="503"/>
      <c r="C179" s="503"/>
      <c r="D179" s="503"/>
      <c r="E179" s="503"/>
      <c r="F179" s="503"/>
      <c r="G179" s="503"/>
      <c r="H179" s="503"/>
      <c r="I179" s="503"/>
      <c r="J179" s="503"/>
      <c r="K179" s="503"/>
    </row>
    <row r="180" spans="2:11">
      <c r="B180" s="503"/>
      <c r="C180" s="503"/>
      <c r="D180" s="503"/>
      <c r="E180" s="503"/>
      <c r="F180" s="503"/>
      <c r="G180" s="503"/>
      <c r="H180" s="503"/>
      <c r="I180" s="503"/>
      <c r="J180" s="503"/>
      <c r="K180" s="503"/>
    </row>
    <row r="181" spans="2:11">
      <c r="B181" s="503"/>
      <c r="C181" s="503"/>
      <c r="D181" s="503"/>
      <c r="E181" s="503"/>
      <c r="F181" s="503"/>
      <c r="G181" s="503"/>
      <c r="H181" s="503"/>
      <c r="I181" s="503"/>
      <c r="J181" s="503"/>
      <c r="K181" s="503"/>
    </row>
    <row r="182" spans="2:11">
      <c r="B182" s="503"/>
      <c r="C182" s="503"/>
      <c r="D182" s="503"/>
      <c r="E182" s="503"/>
      <c r="F182" s="503"/>
      <c r="G182" s="503"/>
      <c r="H182" s="503"/>
      <c r="I182" s="503"/>
      <c r="J182" s="503"/>
      <c r="K182" s="503"/>
    </row>
    <row r="183" spans="2:11">
      <c r="B183" s="503"/>
      <c r="C183" s="503"/>
      <c r="D183" s="503"/>
      <c r="E183" s="503"/>
      <c r="F183" s="503"/>
      <c r="G183" s="503"/>
      <c r="H183" s="503"/>
      <c r="I183" s="503"/>
      <c r="J183" s="503"/>
      <c r="K183" s="503"/>
    </row>
    <row r="184" spans="2:11">
      <c r="B184" s="503"/>
      <c r="C184" s="503"/>
      <c r="D184" s="503"/>
      <c r="E184" s="503"/>
      <c r="F184" s="503"/>
      <c r="G184" s="503"/>
      <c r="H184" s="503"/>
      <c r="I184" s="503"/>
      <c r="J184" s="503"/>
      <c r="K184" s="503"/>
    </row>
    <row r="185" spans="2:11">
      <c r="B185" s="503"/>
      <c r="C185" s="503"/>
      <c r="D185" s="503"/>
      <c r="E185" s="503"/>
      <c r="F185" s="503"/>
      <c r="G185" s="503"/>
      <c r="H185" s="503"/>
      <c r="I185" s="503"/>
      <c r="J185" s="503"/>
      <c r="K185" s="503"/>
    </row>
    <row r="186" spans="2:11">
      <c r="B186" s="503"/>
      <c r="C186" s="503"/>
      <c r="D186" s="503"/>
      <c r="E186" s="503"/>
      <c r="F186" s="503"/>
      <c r="G186" s="503"/>
      <c r="H186" s="503"/>
      <c r="I186" s="503"/>
      <c r="J186" s="503"/>
      <c r="K186" s="503"/>
    </row>
    <row r="187" spans="2:11">
      <c r="B187" s="503"/>
      <c r="C187" s="503"/>
      <c r="D187" s="503"/>
      <c r="E187" s="503"/>
      <c r="F187" s="503"/>
      <c r="G187" s="503"/>
      <c r="H187" s="503"/>
      <c r="I187" s="503"/>
      <c r="J187" s="503"/>
      <c r="K187" s="503"/>
    </row>
    <row r="188" spans="2:11">
      <c r="B188" s="503"/>
      <c r="C188" s="503"/>
      <c r="D188" s="503"/>
      <c r="E188" s="503"/>
      <c r="F188" s="503"/>
      <c r="G188" s="503"/>
      <c r="H188" s="503"/>
      <c r="I188" s="503"/>
      <c r="J188" s="503"/>
      <c r="K188" s="503"/>
    </row>
    <row r="189" spans="2:11">
      <c r="B189" s="503"/>
      <c r="C189" s="503"/>
      <c r="D189" s="503"/>
      <c r="E189" s="503"/>
      <c r="F189" s="503"/>
      <c r="G189" s="503"/>
      <c r="H189" s="503"/>
      <c r="I189" s="503"/>
      <c r="J189" s="503"/>
      <c r="K189" s="503"/>
    </row>
    <row r="190" spans="2:11">
      <c r="B190" s="503"/>
      <c r="C190" s="503"/>
      <c r="D190" s="503"/>
      <c r="E190" s="503"/>
      <c r="F190" s="503"/>
      <c r="G190" s="503"/>
      <c r="H190" s="503"/>
      <c r="I190" s="503"/>
      <c r="J190" s="503"/>
      <c r="K190" s="503"/>
    </row>
    <row r="191" spans="2:11">
      <c r="B191" s="503"/>
      <c r="C191" s="503"/>
      <c r="D191" s="503"/>
      <c r="E191" s="503"/>
      <c r="F191" s="503"/>
      <c r="G191" s="503"/>
      <c r="H191" s="503"/>
      <c r="I191" s="503"/>
      <c r="J191" s="503"/>
      <c r="K191" s="503"/>
    </row>
    <row r="192" spans="2:11">
      <c r="B192" s="503"/>
      <c r="C192" s="503"/>
      <c r="D192" s="503"/>
      <c r="E192" s="503"/>
      <c r="F192" s="503"/>
      <c r="G192" s="503"/>
      <c r="H192" s="503"/>
      <c r="I192" s="503"/>
      <c r="J192" s="503"/>
      <c r="K192" s="503"/>
    </row>
    <row r="193" spans="2:11">
      <c r="B193" s="503"/>
      <c r="C193" s="503"/>
      <c r="D193" s="503"/>
      <c r="E193" s="503"/>
      <c r="F193" s="503"/>
      <c r="G193" s="503"/>
      <c r="H193" s="503"/>
      <c r="I193" s="503"/>
      <c r="J193" s="503"/>
      <c r="K193" s="503"/>
    </row>
    <row r="194" spans="2:11">
      <c r="B194" s="503"/>
      <c r="C194" s="503"/>
      <c r="D194" s="503"/>
      <c r="E194" s="503"/>
      <c r="F194" s="503"/>
      <c r="G194" s="503"/>
      <c r="H194" s="503"/>
      <c r="I194" s="503"/>
      <c r="J194" s="503"/>
      <c r="K194" s="503"/>
    </row>
    <row r="195" spans="2:11">
      <c r="B195" s="503"/>
      <c r="C195" s="503"/>
      <c r="D195" s="503"/>
      <c r="E195" s="503"/>
      <c r="F195" s="503"/>
      <c r="G195" s="503"/>
      <c r="H195" s="503"/>
      <c r="I195" s="503"/>
      <c r="J195" s="503"/>
      <c r="K195" s="503"/>
    </row>
    <row r="196" spans="2:11">
      <c r="B196" s="503"/>
      <c r="C196" s="503"/>
      <c r="D196" s="503"/>
      <c r="E196" s="503"/>
      <c r="F196" s="503"/>
      <c r="G196" s="503"/>
      <c r="H196" s="503"/>
      <c r="I196" s="503"/>
      <c r="J196" s="503"/>
      <c r="K196" s="503"/>
    </row>
    <row r="197" spans="2:11">
      <c r="B197" s="503"/>
      <c r="C197" s="503"/>
      <c r="D197" s="503"/>
      <c r="E197" s="503"/>
      <c r="F197" s="503"/>
      <c r="G197" s="503"/>
      <c r="H197" s="503"/>
      <c r="I197" s="503"/>
      <c r="J197" s="503"/>
      <c r="K197" s="503"/>
    </row>
    <row r="198" spans="2:11">
      <c r="B198" s="503"/>
      <c r="C198" s="503"/>
      <c r="D198" s="503"/>
      <c r="E198" s="503"/>
      <c r="F198" s="503"/>
      <c r="G198" s="503"/>
      <c r="H198" s="503"/>
      <c r="I198" s="503"/>
      <c r="J198" s="503"/>
      <c r="K198" s="503"/>
    </row>
    <row r="199" spans="2:11">
      <c r="B199" s="503"/>
      <c r="C199" s="503"/>
      <c r="D199" s="503"/>
      <c r="E199" s="503"/>
      <c r="F199" s="503"/>
      <c r="G199" s="503"/>
      <c r="H199" s="503"/>
      <c r="I199" s="503"/>
      <c r="J199" s="503"/>
      <c r="K199" s="503"/>
    </row>
    <row r="200" spans="2:11">
      <c r="B200" s="503"/>
      <c r="C200" s="503"/>
      <c r="D200" s="503"/>
      <c r="E200" s="503"/>
      <c r="F200" s="503"/>
      <c r="G200" s="503"/>
      <c r="H200" s="503"/>
      <c r="I200" s="503"/>
      <c r="J200" s="503"/>
      <c r="K200" s="503"/>
    </row>
    <row r="201" spans="2:11">
      <c r="B201" s="503"/>
      <c r="C201" s="503"/>
      <c r="D201" s="503"/>
      <c r="E201" s="503"/>
      <c r="F201" s="503"/>
      <c r="G201" s="503"/>
      <c r="H201" s="503"/>
      <c r="I201" s="503"/>
      <c r="J201" s="503"/>
      <c r="K201" s="503"/>
    </row>
    <row r="202" spans="2:11">
      <c r="B202" s="503"/>
      <c r="C202" s="503"/>
      <c r="D202" s="503"/>
      <c r="E202" s="503"/>
      <c r="F202" s="503"/>
      <c r="G202" s="503"/>
      <c r="H202" s="503"/>
      <c r="I202" s="503"/>
      <c r="J202" s="503"/>
      <c r="K202" s="503"/>
    </row>
    <row r="203" spans="2:11">
      <c r="B203" s="503"/>
      <c r="C203" s="503"/>
      <c r="D203" s="503"/>
      <c r="E203" s="503"/>
      <c r="F203" s="503"/>
      <c r="G203" s="503"/>
      <c r="H203" s="503"/>
      <c r="I203" s="503"/>
      <c r="J203" s="503"/>
      <c r="K203" s="503"/>
    </row>
    <row r="204" spans="2:11">
      <c r="B204" s="503"/>
      <c r="C204" s="503"/>
      <c r="D204" s="503"/>
      <c r="E204" s="503"/>
      <c r="F204" s="503"/>
      <c r="G204" s="503"/>
      <c r="H204" s="503"/>
      <c r="I204" s="503"/>
      <c r="J204" s="503"/>
      <c r="K204" s="503"/>
    </row>
    <row r="205" spans="2:11">
      <c r="B205" s="503"/>
      <c r="C205" s="503"/>
      <c r="D205" s="503"/>
      <c r="E205" s="503"/>
      <c r="F205" s="503"/>
      <c r="G205" s="503"/>
      <c r="H205" s="503"/>
      <c r="I205" s="503"/>
      <c r="J205" s="503"/>
      <c r="K205" s="503"/>
    </row>
    <row r="206" spans="2:11">
      <c r="B206" s="503"/>
      <c r="C206" s="503"/>
      <c r="D206" s="503"/>
      <c r="E206" s="503"/>
      <c r="F206" s="503"/>
      <c r="G206" s="503"/>
      <c r="H206" s="503"/>
      <c r="I206" s="503"/>
      <c r="J206" s="503"/>
      <c r="K206" s="503"/>
    </row>
    <row r="207" spans="2:11">
      <c r="B207" s="503"/>
      <c r="C207" s="503"/>
      <c r="D207" s="503"/>
      <c r="E207" s="503"/>
      <c r="F207" s="503"/>
      <c r="G207" s="503"/>
      <c r="H207" s="503"/>
      <c r="I207" s="503"/>
      <c r="J207" s="503"/>
      <c r="K207" s="503"/>
    </row>
    <row r="208" spans="2:11">
      <c r="B208" s="503"/>
      <c r="C208" s="503"/>
      <c r="D208" s="503"/>
      <c r="E208" s="503"/>
      <c r="F208" s="503"/>
      <c r="G208" s="503"/>
      <c r="H208" s="503"/>
      <c r="I208" s="503"/>
      <c r="J208" s="503"/>
      <c r="K208" s="503"/>
    </row>
    <row r="209" spans="2:11">
      <c r="B209" s="503"/>
      <c r="C209" s="503"/>
      <c r="D209" s="503"/>
      <c r="E209" s="503"/>
      <c r="F209" s="503"/>
      <c r="G209" s="503"/>
      <c r="H209" s="503"/>
      <c r="I209" s="503"/>
      <c r="J209" s="503"/>
      <c r="K209" s="503"/>
    </row>
    <row r="210" spans="2:11">
      <c r="B210" s="503"/>
      <c r="C210" s="503"/>
      <c r="D210" s="503"/>
      <c r="E210" s="503"/>
      <c r="F210" s="503"/>
      <c r="G210" s="503"/>
      <c r="H210" s="503"/>
      <c r="I210" s="503"/>
      <c r="J210" s="503"/>
      <c r="K210" s="503"/>
    </row>
    <row r="211" spans="2:11">
      <c r="B211" s="503"/>
      <c r="C211" s="503"/>
      <c r="D211" s="503"/>
      <c r="E211" s="503"/>
      <c r="F211" s="503"/>
      <c r="G211" s="503"/>
      <c r="H211" s="503"/>
      <c r="I211" s="503"/>
      <c r="J211" s="503"/>
      <c r="K211" s="503"/>
    </row>
    <row r="212" spans="2:11">
      <c r="B212" s="503"/>
      <c r="C212" s="503"/>
      <c r="D212" s="503"/>
      <c r="E212" s="503"/>
      <c r="F212" s="503"/>
      <c r="G212" s="503"/>
      <c r="H212" s="503"/>
      <c r="I212" s="503"/>
      <c r="J212" s="503"/>
      <c r="K212" s="503"/>
    </row>
    <row r="213" spans="2:11">
      <c r="B213" s="503"/>
      <c r="C213" s="503"/>
      <c r="D213" s="503"/>
      <c r="E213" s="503"/>
      <c r="F213" s="503"/>
      <c r="G213" s="503"/>
      <c r="H213" s="503"/>
      <c r="I213" s="503"/>
      <c r="J213" s="503"/>
      <c r="K213" s="503"/>
    </row>
    <row r="214" spans="2:11">
      <c r="B214" s="503"/>
      <c r="C214" s="503"/>
      <c r="D214" s="503"/>
      <c r="E214" s="503"/>
      <c r="F214" s="503"/>
      <c r="G214" s="503"/>
      <c r="H214" s="503"/>
      <c r="I214" s="503"/>
      <c r="J214" s="503"/>
      <c r="K214" s="503"/>
    </row>
    <row r="215" spans="2:11">
      <c r="B215" s="503"/>
      <c r="C215" s="503"/>
      <c r="D215" s="503"/>
      <c r="E215" s="503"/>
      <c r="F215" s="503"/>
      <c r="G215" s="503"/>
      <c r="H215" s="503"/>
      <c r="I215" s="503"/>
      <c r="J215" s="503"/>
      <c r="K215" s="503"/>
    </row>
    <row r="216" spans="2:11">
      <c r="B216" s="503"/>
      <c r="C216" s="503"/>
      <c r="D216" s="503"/>
      <c r="E216" s="503"/>
      <c r="F216" s="503"/>
      <c r="G216" s="503"/>
      <c r="H216" s="503"/>
      <c r="I216" s="503"/>
      <c r="J216" s="503"/>
      <c r="K216" s="503"/>
    </row>
    <row r="217" spans="2:11">
      <c r="B217" s="503"/>
      <c r="C217" s="503"/>
      <c r="D217" s="503"/>
      <c r="E217" s="503"/>
      <c r="F217" s="503"/>
      <c r="G217" s="503"/>
      <c r="H217" s="503"/>
      <c r="I217" s="503"/>
      <c r="J217" s="503"/>
      <c r="K217" s="503"/>
    </row>
    <row r="218" spans="2:11">
      <c r="B218" s="503"/>
      <c r="C218" s="503"/>
      <c r="D218" s="503"/>
      <c r="E218" s="503"/>
      <c r="F218" s="503"/>
      <c r="G218" s="503"/>
      <c r="H218" s="503"/>
      <c r="I218" s="503"/>
      <c r="J218" s="503"/>
      <c r="K218" s="503"/>
    </row>
    <row r="219" spans="2:11">
      <c r="B219" s="503"/>
      <c r="C219" s="503"/>
      <c r="D219" s="503"/>
      <c r="E219" s="503"/>
      <c r="F219" s="503"/>
      <c r="G219" s="503"/>
      <c r="H219" s="503"/>
      <c r="I219" s="503"/>
      <c r="J219" s="503"/>
      <c r="K219" s="503"/>
    </row>
    <row r="220" spans="2:11">
      <c r="B220" s="503"/>
      <c r="C220" s="503"/>
      <c r="D220" s="503"/>
      <c r="E220" s="503"/>
      <c r="F220" s="503"/>
      <c r="G220" s="503"/>
      <c r="H220" s="503"/>
      <c r="I220" s="503"/>
      <c r="J220" s="503"/>
      <c r="K220" s="503"/>
    </row>
    <row r="221" spans="2:11">
      <c r="B221" s="503"/>
      <c r="C221" s="503"/>
      <c r="D221" s="503"/>
      <c r="E221" s="503"/>
      <c r="F221" s="503"/>
      <c r="G221" s="503"/>
      <c r="H221" s="503"/>
      <c r="I221" s="503"/>
      <c r="J221" s="503"/>
      <c r="K221" s="503"/>
    </row>
    <row r="222" spans="2:11">
      <c r="B222" s="503"/>
      <c r="C222" s="503"/>
      <c r="D222" s="503"/>
      <c r="E222" s="503"/>
      <c r="F222" s="503"/>
      <c r="G222" s="503"/>
      <c r="H222" s="503"/>
      <c r="I222" s="503"/>
      <c r="J222" s="503"/>
      <c r="K222" s="503"/>
    </row>
    <row r="223" spans="2:11">
      <c r="B223" s="503"/>
      <c r="C223" s="503"/>
      <c r="D223" s="503"/>
      <c r="E223" s="503"/>
      <c r="F223" s="503"/>
      <c r="G223" s="503"/>
      <c r="H223" s="503"/>
      <c r="I223" s="503"/>
      <c r="J223" s="503"/>
      <c r="K223" s="503"/>
    </row>
    <row r="224" spans="2:11">
      <c r="B224" s="503"/>
      <c r="C224" s="503"/>
      <c r="D224" s="503"/>
      <c r="E224" s="503"/>
      <c r="F224" s="503"/>
      <c r="G224" s="503"/>
      <c r="H224" s="503"/>
      <c r="I224" s="503"/>
      <c r="J224" s="503"/>
      <c r="K224" s="503"/>
    </row>
    <row r="225" spans="2:11">
      <c r="B225" s="503"/>
      <c r="C225" s="503"/>
      <c r="D225" s="503"/>
      <c r="E225" s="503"/>
      <c r="F225" s="503"/>
      <c r="G225" s="503"/>
      <c r="H225" s="503"/>
      <c r="I225" s="503"/>
      <c r="J225" s="503"/>
      <c r="K225" s="503"/>
    </row>
  </sheetData>
  <mergeCells count="8">
    <mergeCell ref="B1:C1"/>
    <mergeCell ref="A3:K3"/>
    <mergeCell ref="D6:G6"/>
    <mergeCell ref="H6:K6"/>
    <mergeCell ref="A7:A8"/>
    <mergeCell ref="B7:C7"/>
    <mergeCell ref="D7:G7"/>
    <mergeCell ref="H7:K7"/>
  </mergeCells>
  <phoneticPr fontId="43"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64"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enableFormatConditionsCalculation="0">
    <tabColor theme="5" tint="0.59999389629810485"/>
    <pageSetUpPr fitToPage="1"/>
  </sheetPr>
  <dimension ref="A1:P226"/>
  <sheetViews>
    <sheetView workbookViewId="0">
      <pane xSplit="1" ySplit="9" topLeftCell="B10" activePane="bottomRight" state="frozen"/>
      <selection activeCell="B1" sqref="B1:C1"/>
      <selection pane="topRight" activeCell="B1" sqref="B1:C1"/>
      <selection pane="bottomLeft" activeCell="B1" sqref="B1:C1"/>
      <selection pane="bottomRight" activeCell="A4" sqref="A4:K4"/>
    </sheetView>
  </sheetViews>
  <sheetFormatPr baseColWidth="10" defaultRowHeight="12" x14ac:dyDescent="0"/>
  <cols>
    <col min="1" max="1" width="13.6640625" style="444" customWidth="1"/>
    <col min="2" max="11" width="10.33203125" style="444" customWidth="1"/>
    <col min="12" max="13" width="10.83203125" style="444"/>
    <col min="14" max="14" width="17.1640625" style="444" customWidth="1"/>
    <col min="15" max="16384" width="10.83203125" style="444"/>
  </cols>
  <sheetData>
    <row r="1" spans="1:14">
      <c r="A1" s="442"/>
      <c r="B1" s="2252" t="s">
        <v>1416</v>
      </c>
      <c r="C1" s="2252"/>
      <c r="D1" s="442"/>
      <c r="E1" s="442"/>
      <c r="F1" s="443"/>
      <c r="G1" s="443"/>
      <c r="H1" s="443"/>
      <c r="I1" s="443"/>
      <c r="J1" s="443"/>
      <c r="K1" s="443"/>
    </row>
    <row r="2" spans="1:14">
      <c r="A2" s="442"/>
      <c r="B2" s="443"/>
      <c r="C2" s="443"/>
      <c r="D2" s="442"/>
      <c r="E2" s="442"/>
      <c r="F2" s="443"/>
      <c r="G2" s="443"/>
      <c r="H2" s="443"/>
      <c r="I2" s="443"/>
      <c r="J2" s="443"/>
      <c r="K2" s="443"/>
    </row>
    <row r="3" spans="1:14" ht="13" thickBot="1"/>
    <row r="4" spans="1:14" ht="19.75" customHeight="1" thickTop="1">
      <c r="A4" s="2315" t="s">
        <v>1098</v>
      </c>
      <c r="B4" s="2316"/>
      <c r="C4" s="2316"/>
      <c r="D4" s="2316"/>
      <c r="E4" s="2316"/>
      <c r="F4" s="2316"/>
      <c r="G4" s="2316"/>
      <c r="H4" s="2316"/>
      <c r="I4" s="2316"/>
      <c r="J4" s="2316"/>
      <c r="K4" s="2317"/>
    </row>
    <row r="5" spans="1:14">
      <c r="A5" s="445"/>
      <c r="B5" s="446"/>
      <c r="C5" s="446"/>
      <c r="D5" s="446"/>
      <c r="E5" s="446"/>
      <c r="F5" s="446"/>
      <c r="G5" s="446"/>
      <c r="H5" s="446"/>
      <c r="I5" s="446"/>
      <c r="J5" s="446"/>
      <c r="K5" s="617"/>
    </row>
    <row r="6" spans="1:14">
      <c r="A6" s="445"/>
      <c r="B6" s="447" t="s">
        <v>952</v>
      </c>
      <c r="C6" s="447" t="s">
        <v>953</v>
      </c>
      <c r="D6" s="447" t="s">
        <v>954</v>
      </c>
      <c r="E6" s="447" t="s">
        <v>955</v>
      </c>
      <c r="F6" s="447" t="s">
        <v>956</v>
      </c>
      <c r="G6" s="447" t="s">
        <v>957</v>
      </c>
      <c r="H6" s="447" t="s">
        <v>958</v>
      </c>
      <c r="I6" s="859" t="s">
        <v>959</v>
      </c>
      <c r="J6" s="859" t="s">
        <v>960</v>
      </c>
      <c r="K6" s="618" t="s">
        <v>961</v>
      </c>
    </row>
    <row r="7" spans="1:14" ht="34" customHeight="1">
      <c r="A7" s="448"/>
      <c r="B7" s="449"/>
      <c r="C7" s="450"/>
      <c r="D7" s="2318" t="s">
        <v>1455</v>
      </c>
      <c r="E7" s="2319"/>
      <c r="F7" s="2319"/>
      <c r="G7" s="2319"/>
      <c r="H7" s="2320"/>
      <c r="I7" s="2318" t="s">
        <v>1456</v>
      </c>
      <c r="J7" s="2319"/>
      <c r="K7" s="2321"/>
    </row>
    <row r="8" spans="1:14" ht="111" customHeight="1">
      <c r="A8" s="2329"/>
      <c r="B8" s="452" t="s">
        <v>411</v>
      </c>
      <c r="C8" s="453" t="s">
        <v>412</v>
      </c>
      <c r="D8" s="454" t="s">
        <v>660</v>
      </c>
      <c r="E8" s="2109" t="s">
        <v>1490</v>
      </c>
      <c r="F8" s="837" t="s">
        <v>1457</v>
      </c>
      <c r="G8" s="453" t="s">
        <v>1485</v>
      </c>
      <c r="H8" s="453" t="s">
        <v>343</v>
      </c>
      <c r="I8" s="456" t="s">
        <v>661</v>
      </c>
      <c r="J8" s="837" t="s">
        <v>1458</v>
      </c>
      <c r="K8" s="656" t="s">
        <v>343</v>
      </c>
      <c r="L8" s="681"/>
      <c r="M8" s="1643"/>
      <c r="N8" s="859" t="s">
        <v>1099</v>
      </c>
    </row>
    <row r="9" spans="1:14" ht="24.75" customHeight="1">
      <c r="A9" s="2329"/>
      <c r="B9" s="2165" t="s">
        <v>662</v>
      </c>
      <c r="C9" s="2168" t="s">
        <v>668</v>
      </c>
      <c r="D9" s="2167" t="s">
        <v>663</v>
      </c>
      <c r="E9" s="2171" t="s">
        <v>1491</v>
      </c>
      <c r="F9" s="2172" t="s">
        <v>669</v>
      </c>
      <c r="G9" s="2168"/>
      <c r="H9" s="2168" t="s">
        <v>386</v>
      </c>
      <c r="I9" s="2167" t="s">
        <v>663</v>
      </c>
      <c r="J9" s="2172" t="s">
        <v>669</v>
      </c>
      <c r="K9" s="2170" t="s">
        <v>386</v>
      </c>
    </row>
    <row r="10" spans="1:14" ht="15" customHeight="1">
      <c r="A10" s="463" t="s">
        <v>444</v>
      </c>
      <c r="B10" s="464">
        <f>(((1+B13)^210)*((1+B37)^100))^(1/310)-1</f>
        <v>1.6473704149230661E-2</v>
      </c>
      <c r="C10" s="468">
        <f>(((1+C13)^210)*((1+C37)^100))^(1/310)-1</f>
        <v>1.5587164431262179E-2</v>
      </c>
      <c r="D10" s="465">
        <f>TableUK4a!E9*TableUK5a!B165/(SUM(TableUK5a!B10:B164)+(10*SUM(TableUK5d!B$11:B$24)+5*TableUK5d!B10+5*TableUK5d!B25+5*AVERAGE(TableUK5d!B24:B25))*DataUK1!HU169/DataUK1!HU71)</f>
        <v>8.55191318675219E-2</v>
      </c>
      <c r="E10" s="467">
        <f>TableUK4a!F9*TableUK5a!B165/(SUM(TableUK5a!B10:B164)+(10*SUM(TableUK5d!B$11:B$24)+5*TableUK5d!B10+5*TableUK5d!B25+5*AVERAGE(TableUK5d!B24:B25))*DataUK1!HU169/DataUK1!HU71)</f>
        <v>-1.0128070522625323E-3</v>
      </c>
      <c r="F10" s="839">
        <f>(((1+F13)^210)*((1+F37)^100))^(1/310)-1</f>
        <v>1.6245721995598039E-2</v>
      </c>
      <c r="G10" s="839">
        <f>(((1+G13)^210)*((1+G37)^100))^(1/310)-1</f>
        <v>-1.6579419927043038E-4</v>
      </c>
      <c r="H10" s="467">
        <f>(((1+H13)^210)*((1+H37)^100))^(1/310)-1</f>
        <v>-4.8231667735021411E-4</v>
      </c>
      <c r="I10" s="465"/>
      <c r="J10" s="839"/>
      <c r="K10" s="660"/>
      <c r="N10" s="834">
        <f>(1+F10)*(1+H10)*(1+G10)-C10-1</f>
        <v>-1.0770071501298162E-9</v>
      </c>
    </row>
    <row r="11" spans="1:14" ht="15" customHeight="1">
      <c r="A11" s="448"/>
      <c r="B11" s="471"/>
      <c r="C11" s="493"/>
      <c r="D11" s="473"/>
      <c r="E11" s="472"/>
      <c r="F11" s="844">
        <f>F10/($F10+$H10+$G10)</f>
        <v>1.0415519320027218</v>
      </c>
      <c r="G11" s="844">
        <f>G10/($F10+$H10+$G10)</f>
        <v>-1.0629461012059142E-2</v>
      </c>
      <c r="H11" s="510">
        <f>H10/($F10+$H10+$G10)</f>
        <v>-3.0922470990662549E-2</v>
      </c>
      <c r="I11" s="473"/>
      <c r="J11" s="840"/>
      <c r="K11" s="635"/>
      <c r="N11" s="835"/>
    </row>
    <row r="12" spans="1:14" ht="4.75" customHeight="1">
      <c r="A12" s="451"/>
      <c r="B12" s="457"/>
      <c r="C12" s="460"/>
      <c r="D12" s="459"/>
      <c r="E12" s="458"/>
      <c r="F12" s="838"/>
      <c r="G12" s="838"/>
      <c r="H12" s="458"/>
      <c r="I12" s="459"/>
      <c r="J12" s="838"/>
      <c r="K12" s="462"/>
      <c r="N12" s="835"/>
    </row>
    <row r="13" spans="1:14" ht="15" customHeight="1">
      <c r="A13" s="463" t="s">
        <v>443</v>
      </c>
      <c r="B13" s="464">
        <f>(((1+B16)^110)*((1+B22)^100))^(1/210)-1</f>
        <v>1.4970956450995665E-2</v>
      </c>
      <c r="C13" s="468">
        <f>(((1+C16)^110)*((1+C22)^100))^(1/210)-1</f>
        <v>1.510128263820798E-2</v>
      </c>
      <c r="D13" s="465">
        <f>TableUK4a!E12*(TableUK5d!B27*TableUK1!D65/TableUK1!D68)/(10*SUM(TableUK5d!B$11:B$24)+5*TableUK5d!B10+5*TableUK5d!B25+5*AVERAGE(TableUK5d!B24:B25)+SUM(TableUK5a!B10:B64)*DataUK1!HU71/DataUK1!HU169)</f>
        <v>0.10375747606054134</v>
      </c>
      <c r="E13" s="467">
        <v>0</v>
      </c>
      <c r="F13" s="839">
        <f>(((1+F16)^110)*((1+F22)^100))^(1/210)-1</f>
        <v>1.2954477610904735E-2</v>
      </c>
      <c r="G13" s="839">
        <f>(((1+G16)^110)*((1+G22)^100))^(1/210)-1</f>
        <v>0</v>
      </c>
      <c r="H13" s="467">
        <f>(((1+H16)^110)*((1+H22)^100))^(1/210)-1</f>
        <v>2.1193447986891378E-3</v>
      </c>
      <c r="I13" s="465"/>
      <c r="J13" s="839"/>
      <c r="K13" s="660"/>
      <c r="N13" s="834">
        <f>(1+F13)*(1+H13)*(1+G13)-C13-1</f>
        <v>-5.2238697811901602E-9</v>
      </c>
    </row>
    <row r="14" spans="1:14" ht="15" customHeight="1">
      <c r="A14" s="448"/>
      <c r="B14" s="471"/>
      <c r="C14" s="493"/>
      <c r="D14" s="473"/>
      <c r="E14" s="472"/>
      <c r="F14" s="844">
        <f>F13/($F13+$H13+$G13)</f>
        <v>0.85940229749952068</v>
      </c>
      <c r="G14" s="844">
        <f>G13/($F13+$H13+$G13)</f>
        <v>0</v>
      </c>
      <c r="H14" s="510">
        <f>H13/($F13+$H13+$G13)</f>
        <v>0.14059770250047932</v>
      </c>
      <c r="I14" s="473"/>
      <c r="J14" s="840"/>
      <c r="K14" s="635"/>
      <c r="N14" s="835"/>
    </row>
    <row r="15" spans="1:14" ht="4.75" customHeight="1">
      <c r="A15" s="451"/>
      <c r="B15" s="457"/>
      <c r="C15" s="460"/>
      <c r="D15" s="459"/>
      <c r="E15" s="458"/>
      <c r="F15" s="838"/>
      <c r="G15" s="838"/>
      <c r="H15" s="458"/>
      <c r="I15" s="459"/>
      <c r="J15" s="838"/>
      <c r="K15" s="462"/>
      <c r="N15" s="835"/>
    </row>
    <row r="16" spans="1:14" ht="15" customHeight="1">
      <c r="A16" s="463" t="s">
        <v>676</v>
      </c>
      <c r="B16" s="464">
        <f>(TableUK2!D21/TableUK2!D10)^(1/110)-1</f>
        <v>9.7858877662369004E-3</v>
      </c>
      <c r="C16" s="468">
        <f>(TableUK5d!D21/TableUK5d!D10)^(1/110)-1</f>
        <v>9.992832200514945E-3</v>
      </c>
      <c r="D16" s="465">
        <f>TableUK4a!E15*TableUK5d!B21/(10*SUM(TableUK5d!B11:B20)+5*TableUK5d!B10+5*TableUK5d!B21)</f>
        <v>9.6809747033252888E-2</v>
      </c>
      <c r="E16" s="467">
        <v>0</v>
      </c>
      <c r="F16" s="839">
        <f>((1+TableUK5d!H11)*(1+TableUK5d!H12)*(1+TableUK5d!H13)*(1+TableUK5d!H14)*(1+TableUK5d!H15)*(1+TableUK5d!H16)*(1+TableUK5d!H17)*(1+TableUK5d!H18)*(1+TableUK5d!H19)*(1+TableUK5d!H20)*(1+TableUK5d!H21))^(1/11)-1</f>
        <v>1.2094833724762166E-2</v>
      </c>
      <c r="G16" s="839">
        <v>0</v>
      </c>
      <c r="H16" s="466">
        <f>((1+TableUK5d!I11)*(1+TableUK5d!I12)*(1+TableUK5d!I13)*(1+TableUK5d!I14)*(1+TableUK5d!I15)*(1+TableUK5d!I16)*(1+TableUK5d!I17)*(1+TableUK5d!I18)*(1+TableUK5d!I19)*(1+TableUK5d!I20)*(1+TableUK5d!I21))^(1/11)-1</f>
        <v>-2.0768232654782004E-3</v>
      </c>
      <c r="I16" s="465"/>
      <c r="J16" s="839"/>
      <c r="K16" s="660"/>
      <c r="N16" s="834">
        <f>(1+F16)*(1+H16)*(1+G16)-C16-1</f>
        <v>5.9426697340825285E-8</v>
      </c>
    </row>
    <row r="17" spans="1:16" ht="15" customHeight="1">
      <c r="A17" s="448"/>
      <c r="B17" s="471"/>
      <c r="C17" s="493"/>
      <c r="D17" s="473"/>
      <c r="E17" s="472"/>
      <c r="F17" s="844">
        <f>F16/($F16+$H16+$G16)</f>
        <v>1.2073089536010169</v>
      </c>
      <c r="G17" s="844">
        <f>G16/($F16+$H16+$G16)</f>
        <v>0</v>
      </c>
      <c r="H17" s="510">
        <f>H16/($F16+$H16+$G16)</f>
        <v>-0.20730895360101678</v>
      </c>
      <c r="I17" s="473"/>
      <c r="J17" s="840"/>
      <c r="K17" s="635"/>
      <c r="N17" s="835"/>
    </row>
    <row r="18" spans="1:16" ht="4.75" customHeight="1">
      <c r="A18" s="451"/>
      <c r="B18" s="457"/>
      <c r="C18" s="460"/>
      <c r="D18" s="459"/>
      <c r="E18" s="458"/>
      <c r="F18" s="838"/>
      <c r="G18" s="838"/>
      <c r="H18" s="458"/>
      <c r="I18" s="459"/>
      <c r="J18" s="838"/>
      <c r="K18" s="462"/>
      <c r="N18" s="835"/>
    </row>
    <row r="19" spans="1:16" ht="15" customHeight="1">
      <c r="A19" s="463" t="s">
        <v>387</v>
      </c>
      <c r="B19" s="464">
        <f>(((1+B22)^100)*((1+B37)^100))^(1/200)-1</f>
        <v>2.0170864526014354E-2</v>
      </c>
      <c r="C19" s="468">
        <f>(((1+C22)^100)*((1+C37)^100))^(1/200)-1</f>
        <v>1.8677244374924573E-2</v>
      </c>
      <c r="D19" s="465">
        <f>TableUK4a!E18*TableUK1!D166/(SUM(TableUK5b!B10:B164)+(10*SUM(TableUK5d!B$22:B$24)+5*TableUK5d!B21+5*TableUK5d!B25+5*AVERAGE(TableUK5d!B24:B25))*DataUK1!HU169/DataUK1!HU71)</f>
        <v>8.5164598971094935E-2</v>
      </c>
      <c r="E19" s="467">
        <f>TableUK4a!F18*TableUK1!D166/(SUM(TableUK5b!B10:B164)+(10*SUM(TableUK5d!B$22:B$24)+5*TableUK5d!B21+5*TableUK5d!B25+5*AVERAGE(TableUK5d!B24:B25))*DataUK1!HU169/DataUK1!HU71)</f>
        <v>-1.037904351541724E-3</v>
      </c>
      <c r="F19" s="839">
        <f>(((1+F22)^100)*((1+F37)^100))^(1/200)-1</f>
        <v>1.8535962554837582E-2</v>
      </c>
      <c r="G19" s="839">
        <f>(((1+G22)^100)*((1+G37)^100))^(1/200)-1</f>
        <v>-2.5696929193852469E-4</v>
      </c>
      <c r="H19" s="467">
        <f>(((1+H22)^100)*((1+H37)^100))^(1/200)-1</f>
        <v>3.9574766121885929E-4</v>
      </c>
      <c r="I19" s="465"/>
      <c r="J19" s="839"/>
      <c r="K19" s="660"/>
      <c r="N19" s="834">
        <f>(1+F19)*(1+H19)*(1+G19)-C19-1</f>
        <v>-3.4640161183929763E-8</v>
      </c>
    </row>
    <row r="20" spans="1:16" ht="15" customHeight="1">
      <c r="A20" s="448"/>
      <c r="B20" s="471"/>
      <c r="C20" s="493"/>
      <c r="D20" s="473"/>
      <c r="E20" s="472"/>
      <c r="F20" s="844">
        <f>F19/($F19+$H19+$G19)</f>
        <v>0.99256865892575219</v>
      </c>
      <c r="G20" s="844">
        <f>G19/($F19+$H19+$G19)</f>
        <v>-1.3760260074433263E-2</v>
      </c>
      <c r="H20" s="510">
        <f>H19/($F19+$H19+$G19)</f>
        <v>2.1191601148681107E-2</v>
      </c>
      <c r="I20" s="473"/>
      <c r="J20" s="840"/>
      <c r="K20" s="635"/>
      <c r="N20" s="835"/>
    </row>
    <row r="21" spans="1:16" ht="4.75" customHeight="1">
      <c r="A21" s="451"/>
      <c r="B21" s="457"/>
      <c r="C21" s="460"/>
      <c r="D21" s="459"/>
      <c r="E21" s="458"/>
      <c r="F21" s="838"/>
      <c r="G21" s="838"/>
      <c r="H21" s="458"/>
      <c r="I21" s="459"/>
      <c r="J21" s="838"/>
      <c r="K21" s="462"/>
      <c r="N21" s="835"/>
    </row>
    <row r="22" spans="1:16" ht="15" customHeight="1">
      <c r="A22" s="463" t="s">
        <v>665</v>
      </c>
      <c r="B22" s="464">
        <f>(TableUK1!D65/TableUK2!D21)^(1/100)-1</f>
        <v>2.0705288436547287E-2</v>
      </c>
      <c r="C22" s="468">
        <f>((TableUK5d!D27*TableUK1!E65/TableUK1!E68)/TableUK5d!D21)^(1/100)-1</f>
        <v>2.0750426116668885E-2</v>
      </c>
      <c r="D22" s="465">
        <f>TableUK4a!E21*(TableUK5d!B27*TableUK1!D65/TableUK1!D68)/(10*SUM(TableUK5d!B$22:B$24)+5*TableUK5d!B21+5*TableUK5d!B25+5*AVERAGE(TableUK5d!B24:B25)+SUM(TableUK5a!B10:B64)*DataUK1!HU71/DataUK1!HU169)</f>
        <v>0.10448681642352584</v>
      </c>
      <c r="E22" s="467">
        <v>0</v>
      </c>
      <c r="F22" s="839">
        <f>(((1+F25)^45)*((1+F28)^55))^(1/100)-1</f>
        <v>1.3900929240279414E-2</v>
      </c>
      <c r="G22" s="839">
        <f>(((1+G25)^45)*((1+G28)^55))^(1/100)-1</f>
        <v>0</v>
      </c>
      <c r="H22" s="466">
        <f>(((1+H25)^45)*((1+H28)^55))^(1/100)-1</f>
        <v>6.7555118868702912E-3</v>
      </c>
      <c r="I22" s="465"/>
      <c r="J22" s="839"/>
      <c r="K22" s="660"/>
      <c r="N22" s="834">
        <f>(1+F22)*(1+H22)*(1+G22)-C22-1</f>
        <v>-7.7096797834741437E-8</v>
      </c>
    </row>
    <row r="23" spans="1:16" ht="15" customHeight="1">
      <c r="A23" s="448"/>
      <c r="B23" s="471"/>
      <c r="C23" s="493"/>
      <c r="D23" s="473"/>
      <c r="E23" s="472"/>
      <c r="F23" s="844">
        <f>F22/($F22+$H22+$G22)</f>
        <v>0.67295857765202283</v>
      </c>
      <c r="G23" s="844">
        <f>G22/($F22+$H22+$G22)</f>
        <v>0</v>
      </c>
      <c r="H23" s="510">
        <f>H22/($F22+$H22+$G22)</f>
        <v>0.32704142234797712</v>
      </c>
      <c r="I23" s="473"/>
      <c r="J23" s="840"/>
      <c r="K23" s="635"/>
      <c r="N23" s="835"/>
    </row>
    <row r="24" spans="1:16" ht="4.75" customHeight="1">
      <c r="A24" s="448"/>
      <c r="B24" s="471"/>
      <c r="C24" s="493"/>
      <c r="D24" s="473"/>
      <c r="E24" s="472"/>
      <c r="F24" s="840"/>
      <c r="G24" s="840"/>
      <c r="H24" s="474"/>
      <c r="I24" s="473"/>
      <c r="J24" s="840"/>
      <c r="K24" s="635"/>
      <c r="N24" s="835"/>
    </row>
    <row r="25" spans="1:16" ht="15" customHeight="1">
      <c r="A25" s="463" t="s">
        <v>437</v>
      </c>
      <c r="B25" s="464">
        <f>(TableUK2!D25/TableUK2!D21)^(1/45)-1</f>
        <v>1.8000000000000016E-2</v>
      </c>
      <c r="C25" s="468">
        <f>(TableUK5d!D25/TableUK5d!D21)^(1/45)-1</f>
        <v>1.9759640968473713E-2</v>
      </c>
      <c r="D25" s="465">
        <f t="array" ref="D25">(5*SUMPRODUCT(TableUK5d!B21:B24,TableUK5d!G21:G24)+5*SUMPRODUCT(TableUK5d!B22:B25,TableUK5d!G21:G24)+5*TableUK5d!G24*AVERAGE(TableUK5d!B24,TableUK5d!B25))/(10*SUM(TableUK5d!B$22:B$24)+5*TableUK5d!B21+5*TableUK5d!B25+5*AVERAGE(TableUK5d!B24:B25))</f>
        <v>7.996971672636119E-2</v>
      </c>
      <c r="E25" s="467">
        <v>0</v>
      </c>
      <c r="F25" s="841">
        <f>(1+C25)/(1+H25)-1</f>
        <v>1.1715491098747588E-2</v>
      </c>
      <c r="G25" s="841">
        <v>0</v>
      </c>
      <c r="H25" s="686">
        <f>((((1+TableUK5d!I22)*(1+TableUK5d!I23)*(1+TableUK5d!I24))^10)*((1+TableUK5d!I25)^15))^(1/45)-1</f>
        <v>7.9510000000000414E-3</v>
      </c>
      <c r="I25" s="465"/>
      <c r="J25" s="841"/>
      <c r="K25" s="660"/>
      <c r="L25" s="426"/>
      <c r="M25" s="426"/>
      <c r="N25" s="834">
        <f>(1+F25)*(1+H25)*(1+G25)-C25-1</f>
        <v>0</v>
      </c>
      <c r="O25" s="426"/>
      <c r="P25" s="426"/>
    </row>
    <row r="26" spans="1:16" ht="15" customHeight="1">
      <c r="A26" s="448"/>
      <c r="B26" s="471"/>
      <c r="C26" s="1597"/>
      <c r="D26" s="473"/>
      <c r="E26" s="472"/>
      <c r="F26" s="844">
        <f>F25/($F25+$H25+$G25)</f>
        <v>0.59570825522065984</v>
      </c>
      <c r="G26" s="844">
        <f>G25/($F25+$H25+$G25)</f>
        <v>0</v>
      </c>
      <c r="H26" s="510">
        <f>H25/($F25+$H25+$G25)</f>
        <v>0.40429174477934016</v>
      </c>
      <c r="I26" s="473"/>
      <c r="J26" s="840"/>
      <c r="K26" s="635"/>
      <c r="L26" s="426"/>
      <c r="M26" s="426"/>
      <c r="N26" s="836"/>
      <c r="O26" s="426"/>
      <c r="P26" s="426"/>
    </row>
    <row r="27" spans="1:16" ht="4.75" customHeight="1">
      <c r="A27" s="448"/>
      <c r="B27" s="471"/>
      <c r="C27" s="1596"/>
      <c r="D27" s="473"/>
      <c r="E27" s="472"/>
      <c r="F27" s="840"/>
      <c r="G27" s="840"/>
      <c r="H27" s="474"/>
      <c r="I27" s="473"/>
      <c r="J27" s="840"/>
      <c r="K27" s="635"/>
      <c r="L27" s="426"/>
      <c r="M27" s="426"/>
      <c r="N27" s="836"/>
      <c r="O27" s="426"/>
      <c r="P27" s="426"/>
    </row>
    <row r="28" spans="1:16" ht="15" customHeight="1">
      <c r="A28" s="463" t="s">
        <v>442</v>
      </c>
      <c r="B28" s="464">
        <f>TableUK5a!B192</f>
        <v>2.2924052711889908E-2</v>
      </c>
      <c r="C28" s="468">
        <f>TableUK5a!C192</f>
        <v>2.156178447719026E-2</v>
      </c>
      <c r="D28" s="465">
        <f>TableUK5a!G192</f>
        <v>0.11073612126713067</v>
      </c>
      <c r="E28" s="467">
        <v>0</v>
      </c>
      <c r="F28" s="841">
        <f>TableUK5a!H192</f>
        <v>1.5692525896421117E-2</v>
      </c>
      <c r="G28" s="841">
        <f>TableUK5a!I192</f>
        <v>0</v>
      </c>
      <c r="H28" s="467">
        <f>TableUK5a!J192</f>
        <v>5.778439974416516E-3</v>
      </c>
      <c r="I28" s="465"/>
      <c r="J28" s="841"/>
      <c r="K28" s="660"/>
      <c r="L28" s="426"/>
      <c r="M28" s="426"/>
      <c r="N28" s="834">
        <f>(1+F28)*(1+H28)*(1+G28)-C28-1</f>
        <v>-1.4028741324167981E-7</v>
      </c>
      <c r="O28" s="426"/>
      <c r="P28" s="426"/>
    </row>
    <row r="29" spans="1:16" ht="15" customHeight="1">
      <c r="A29" s="448"/>
      <c r="B29" s="471"/>
      <c r="C29" s="493"/>
      <c r="D29" s="473"/>
      <c r="E29" s="472"/>
      <c r="F29" s="844">
        <f>F28/($F28+$H28+$G28)</f>
        <v>0.73087191283439523</v>
      </c>
      <c r="G29" s="844">
        <f>G28/($F28+$H28+$G28)</f>
        <v>0</v>
      </c>
      <c r="H29" s="510">
        <f>H28/($F28+$H28+$G28)</f>
        <v>0.26912808716560477</v>
      </c>
      <c r="I29" s="473"/>
      <c r="J29" s="840"/>
      <c r="K29" s="635"/>
      <c r="L29" s="426"/>
      <c r="M29" s="426"/>
      <c r="N29" s="836"/>
      <c r="O29" s="426"/>
      <c r="P29" s="426"/>
    </row>
    <row r="30" spans="1:16" ht="4.75" customHeight="1">
      <c r="A30" s="451"/>
      <c r="B30" s="457"/>
      <c r="C30" s="460"/>
      <c r="D30" s="459"/>
      <c r="E30" s="458"/>
      <c r="F30" s="838"/>
      <c r="G30" s="838"/>
      <c r="H30" s="458"/>
      <c r="I30" s="459"/>
      <c r="J30" s="838"/>
      <c r="K30" s="462"/>
      <c r="L30" s="426"/>
      <c r="M30" s="426"/>
      <c r="N30" s="836"/>
      <c r="O30" s="426"/>
      <c r="P30" s="426"/>
    </row>
    <row r="31" spans="1:16" ht="15" customHeight="1">
      <c r="A31" s="463" t="s">
        <v>1041</v>
      </c>
      <c r="B31" s="464">
        <f>TableUK5a!B195</f>
        <v>1.941209533472299E-2</v>
      </c>
      <c r="C31" s="468">
        <f>TableUK5a!C195</f>
        <v>1.7330959813528501E-2</v>
      </c>
      <c r="D31" s="465">
        <f>TableUK5a!$G195</f>
        <v>8.5133980491929787E-2</v>
      </c>
      <c r="E31" s="467">
        <f>TableUK5a!$Q195</f>
        <v>-1.0865003801239599E-3</v>
      </c>
      <c r="F31" s="841">
        <f>TableUK5a!$H195</f>
        <v>2.1296625544917402E-2</v>
      </c>
      <c r="G31" s="841">
        <f>TableUK5a!$I195</f>
        <v>-3.6707877324393401E-4</v>
      </c>
      <c r="H31" s="467">
        <f>TableUK5a!$J195</f>
        <v>-3.5172322585481641E-3</v>
      </c>
      <c r="I31" s="465"/>
      <c r="J31" s="841"/>
      <c r="K31" s="660"/>
      <c r="L31" s="426"/>
      <c r="M31" s="426"/>
      <c r="N31" s="834">
        <f>(1+F31)*(1+H31)*(1+G31)-C31-1</f>
        <v>-4.9420543657419103E-8</v>
      </c>
      <c r="O31" s="426"/>
      <c r="P31" s="426"/>
    </row>
    <row r="32" spans="1:16" ht="15" customHeight="1">
      <c r="A32" s="448"/>
      <c r="B32" s="471"/>
      <c r="C32" s="493"/>
      <c r="D32" s="473"/>
      <c r="E32" s="472"/>
      <c r="F32" s="844">
        <f>F31/($F31+$H31+$G31)</f>
        <v>1.2230783867856354</v>
      </c>
      <c r="G32" s="844">
        <f>G31/($F31+$H31+$G31)</f>
        <v>-2.1081561154160874E-2</v>
      </c>
      <c r="H32" s="510">
        <f>H31/($F31+$H31+$G31)</f>
        <v>-0.20199682563147445</v>
      </c>
      <c r="I32" s="473"/>
      <c r="J32" s="840"/>
      <c r="K32" s="635"/>
      <c r="L32" s="426"/>
      <c r="M32" s="426"/>
      <c r="N32" s="836"/>
      <c r="O32" s="426"/>
      <c r="P32" s="426"/>
    </row>
    <row r="33" spans="1:16" ht="4.75" customHeight="1">
      <c r="A33" s="451"/>
      <c r="B33" s="457"/>
      <c r="C33" s="460"/>
      <c r="D33" s="459"/>
      <c r="E33" s="458"/>
      <c r="F33" s="838"/>
      <c r="G33" s="838"/>
      <c r="H33" s="458"/>
      <c r="I33" s="459"/>
      <c r="J33" s="838"/>
      <c r="K33" s="462"/>
      <c r="L33" s="426"/>
      <c r="M33" s="426"/>
      <c r="N33" s="836"/>
      <c r="O33" s="426"/>
      <c r="P33" s="426"/>
    </row>
    <row r="34" spans="1:16" ht="15" customHeight="1">
      <c r="A34" s="463" t="s">
        <v>1042</v>
      </c>
      <c r="B34" s="464">
        <f>TableUK5a!B198</f>
        <v>1.8850749066462447E-2</v>
      </c>
      <c r="C34" s="468">
        <f>TableUK5a!C198</f>
        <v>1.9139924419163679E-2</v>
      </c>
      <c r="D34" s="465">
        <f>TableUK5a!$G198</f>
        <v>0.1138860237382973</v>
      </c>
      <c r="E34" s="467">
        <v>0</v>
      </c>
      <c r="F34" s="841">
        <f>TableUK5a!$H198</f>
        <v>1.6573076729881286E-2</v>
      </c>
      <c r="G34" s="841">
        <f>TableUK5a!$I198</f>
        <v>0</v>
      </c>
      <c r="H34" s="467">
        <f>TableUK5a!$J198</f>
        <v>2.5248113590174981E-3</v>
      </c>
      <c r="I34" s="465"/>
      <c r="J34" s="841"/>
      <c r="K34" s="660"/>
      <c r="L34" s="426"/>
      <c r="M34" s="426"/>
      <c r="N34" s="834">
        <f>(1+F34)*(1+H34)*(1+G34)-C34-1</f>
        <v>-1.924378834061713E-7</v>
      </c>
      <c r="O34" s="426"/>
      <c r="P34" s="426"/>
    </row>
    <row r="35" spans="1:16" ht="15" customHeight="1">
      <c r="A35" s="448"/>
      <c r="B35" s="471"/>
      <c r="C35" s="493"/>
      <c r="D35" s="473"/>
      <c r="E35" s="472"/>
      <c r="F35" s="844">
        <f>F34/($F34+$H34+$G34)</f>
        <v>0.86779630568234822</v>
      </c>
      <c r="G35" s="844">
        <f>G34/($F34+$H34+$G34)</f>
        <v>0</v>
      </c>
      <c r="H35" s="510">
        <f>H34/($F34+$H34+$G34)</f>
        <v>0.1322036943176518</v>
      </c>
      <c r="I35" s="473"/>
      <c r="J35" s="840"/>
      <c r="K35" s="635"/>
      <c r="L35" s="426"/>
      <c r="M35" s="426"/>
      <c r="N35" s="836"/>
      <c r="O35" s="426"/>
      <c r="P35" s="426"/>
    </row>
    <row r="36" spans="1:16" ht="4.75" customHeight="1">
      <c r="A36" s="451"/>
      <c r="B36" s="457"/>
      <c r="C36" s="460"/>
      <c r="D36" s="459"/>
      <c r="E36" s="458"/>
      <c r="F36" s="838"/>
      <c r="G36" s="838"/>
      <c r="H36" s="458"/>
      <c r="I36" s="459"/>
      <c r="J36" s="838"/>
      <c r="K36" s="462"/>
      <c r="L36" s="426"/>
      <c r="M36" s="426"/>
      <c r="N36" s="836"/>
      <c r="O36" s="426"/>
      <c r="P36" s="426"/>
    </row>
    <row r="37" spans="1:16" ht="15" customHeight="1">
      <c r="A37" s="463" t="s">
        <v>666</v>
      </c>
      <c r="B37" s="464">
        <f>(((1+B40)^40)*((1+B43)^60))^(1/100)-1</f>
        <v>1.9636720430742161E-2</v>
      </c>
      <c r="C37" s="468">
        <f>(((1+C40)^40)*((1+C43)^60))^(1/100)-1</f>
        <v>1.6608273341718105E-2</v>
      </c>
      <c r="D37" s="465">
        <f>TableUK5a!$G201</f>
        <v>8.2186064609127168E-2</v>
      </c>
      <c r="E37" s="467">
        <f>TableUK5a!$Q201</f>
        <v>-1.1978980884465884E-3</v>
      </c>
      <c r="F37" s="841">
        <f>TableUK5a!$H201</f>
        <v>2.3192184856610787E-2</v>
      </c>
      <c r="G37" s="841">
        <f>TableUK5a!I201</f>
        <v>-5.1387255066004389E-4</v>
      </c>
      <c r="H37" s="467">
        <f>TableUK5a!$J201</f>
        <v>-5.9238413674473911E-3</v>
      </c>
      <c r="I37" s="465"/>
      <c r="J37" s="841"/>
      <c r="K37" s="660"/>
      <c r="L37" s="426"/>
      <c r="M37" s="426"/>
      <c r="N37" s="834">
        <f>(1+F37)*(1+H37)*(1+G37)-C37-1</f>
        <v>7.6443333885123366E-9</v>
      </c>
      <c r="O37" s="426"/>
      <c r="P37" s="426"/>
    </row>
    <row r="38" spans="1:16" ht="15" customHeight="1">
      <c r="A38" s="448"/>
      <c r="B38" s="471"/>
      <c r="C38" s="493"/>
      <c r="D38" s="473"/>
      <c r="E38" s="472"/>
      <c r="F38" s="844">
        <f>F37/($F37+$H37+$G37)</f>
        <v>1.3842385678268696</v>
      </c>
      <c r="G38" s="844">
        <f>G37/($F37+$H37+$G37)</f>
        <v>-3.0670771553825457E-2</v>
      </c>
      <c r="H38" s="510">
        <f>H37/($F37+$H37+$G37)</f>
        <v>-0.35356779627304408</v>
      </c>
      <c r="I38" s="473"/>
      <c r="J38" s="840"/>
      <c r="K38" s="635"/>
      <c r="L38" s="426"/>
      <c r="M38" s="426"/>
      <c r="N38" s="836"/>
      <c r="O38" s="426"/>
      <c r="P38" s="426"/>
    </row>
    <row r="39" spans="1:16" ht="4.75" customHeight="1">
      <c r="A39" s="448"/>
      <c r="B39" s="471"/>
      <c r="C39" s="493"/>
      <c r="D39" s="473"/>
      <c r="E39" s="472"/>
      <c r="F39" s="842"/>
      <c r="G39" s="842"/>
      <c r="H39" s="472"/>
      <c r="I39" s="473"/>
      <c r="J39" s="842"/>
      <c r="K39" s="613"/>
      <c r="L39" s="426"/>
      <c r="M39" s="426"/>
      <c r="N39" s="836"/>
      <c r="O39" s="426"/>
      <c r="P39" s="426"/>
    </row>
    <row r="40" spans="1:16" ht="15" customHeight="1">
      <c r="A40" s="463" t="s">
        <v>667</v>
      </c>
      <c r="B40" s="464">
        <f>TableUK5a!B204</f>
        <v>1.4219755454262906E-2</v>
      </c>
      <c r="C40" s="468">
        <f>TableUK5a!C204</f>
        <v>-2.9766695452202452E-3</v>
      </c>
      <c r="D40" s="465">
        <f>TableUK5a!$G204</f>
        <v>0.13018751423271749</v>
      </c>
      <c r="E40" s="467">
        <f>TableUK5a!$Q204</f>
        <v>-6.5912924640229853E-3</v>
      </c>
      <c r="F40" s="841">
        <f>TableUK5a!$H204</f>
        <v>2.8547368095815262E-2</v>
      </c>
      <c r="G40" s="841">
        <f>TableUK5a!I204</f>
        <v>-1.284186297185963E-3</v>
      </c>
      <c r="H40" s="467">
        <f>TableUK5a!$J204</f>
        <v>-2.9402640824982784E-2</v>
      </c>
      <c r="I40" s="465"/>
      <c r="J40" s="841"/>
      <c r="K40" s="660"/>
      <c r="L40" s="426"/>
      <c r="M40" s="426"/>
      <c r="N40" s="834">
        <f>(1+F40)*(1+H40)*(1+G40)-C40-1</f>
        <v>1.8742663643322999E-8</v>
      </c>
      <c r="O40" s="426"/>
      <c r="P40" s="426"/>
    </row>
    <row r="41" spans="1:16" ht="15" customHeight="1">
      <c r="A41" s="448"/>
      <c r="B41" s="471"/>
      <c r="C41" s="493"/>
      <c r="D41" s="473"/>
      <c r="E41" s="472"/>
      <c r="F41" s="844">
        <f>F40/($F40+$H40+$G40)</f>
        <v>-13.343264696436686</v>
      </c>
      <c r="G41" s="844">
        <f>G40/($F40+$H40+$G40)</f>
        <v>0.60023878997801727</v>
      </c>
      <c r="H41" s="510">
        <f>H40/($F40+$H40+$G40)</f>
        <v>13.743025906458668</v>
      </c>
      <c r="I41" s="473"/>
      <c r="J41" s="840"/>
      <c r="K41" s="635"/>
      <c r="N41" s="835"/>
    </row>
    <row r="42" spans="1:16" ht="4" customHeight="1">
      <c r="A42" s="448"/>
      <c r="B42" s="471"/>
      <c r="C42" s="493"/>
      <c r="D42" s="473"/>
      <c r="E42" s="472"/>
      <c r="F42" s="842"/>
      <c r="G42" s="842"/>
      <c r="H42" s="472"/>
      <c r="I42" s="473"/>
      <c r="J42" s="842"/>
      <c r="K42" s="613"/>
      <c r="N42" s="835"/>
    </row>
    <row r="43" spans="1:16" ht="15" customHeight="1">
      <c r="A43" s="463" t="s">
        <v>374</v>
      </c>
      <c r="B43" s="464">
        <f>TableUK5a!B210</f>
        <v>2.3264094283384606E-2</v>
      </c>
      <c r="C43" s="468">
        <f>TableUK5a!C210</f>
        <v>2.9878169114145869E-2</v>
      </c>
      <c r="D43" s="465">
        <f>TableUK5a!G210</f>
        <v>7.1524718387691463E-2</v>
      </c>
      <c r="E43" s="467">
        <v>0</v>
      </c>
      <c r="F43" s="843">
        <f>TableUK5a!H210</f>
        <v>1.9637561689891836E-2</v>
      </c>
      <c r="G43" s="843">
        <f>TableUK5a!I210</f>
        <v>0</v>
      </c>
      <c r="H43" s="467">
        <f>TableUK5a!J210</f>
        <v>1.0043379931278462E-2</v>
      </c>
      <c r="I43" s="465">
        <f>TableUK5a!M210</f>
        <v>2.4675045167497463E-2</v>
      </c>
      <c r="J43" s="843">
        <f>TableUK5a!N210</f>
        <v>7.5355466354154466E-3</v>
      </c>
      <c r="K43" s="660">
        <f>TableUK5a!P210</f>
        <v>2.2175517829958302E-2</v>
      </c>
      <c r="N43" s="834">
        <f>(1+F43)*(1+H43)*(1+G43)-C43-1</f>
        <v>0</v>
      </c>
      <c r="O43" s="833">
        <f>(1+J43)*(1+K43)-1-C43</f>
        <v>0</v>
      </c>
    </row>
    <row r="44" spans="1:16" ht="15" customHeight="1">
      <c r="A44" s="448"/>
      <c r="B44" s="471"/>
      <c r="C44" s="493"/>
      <c r="D44" s="473"/>
      <c r="E44" s="472"/>
      <c r="F44" s="844">
        <f>F43/($F43+$H43+$G43)</f>
        <v>0.66162192360787853</v>
      </c>
      <c r="G44" s="844">
        <f>G43/($F43+$H43+$G43)</f>
        <v>0</v>
      </c>
      <c r="H44" s="510">
        <f>H43/($F43+$H43+$G43)</f>
        <v>0.33837807639212153</v>
      </c>
      <c r="I44" s="509"/>
      <c r="J44" s="844">
        <f>J43/(J43+K43)</f>
        <v>0.25362762226838492</v>
      </c>
      <c r="K44" s="661">
        <f>K43/(J43+K43)</f>
        <v>0.74637237773161513</v>
      </c>
      <c r="N44" s="835"/>
    </row>
    <row r="45" spans="1:16" ht="4.75" customHeight="1">
      <c r="A45" s="448"/>
      <c r="B45" s="471"/>
      <c r="C45" s="493"/>
      <c r="D45" s="473"/>
      <c r="E45" s="472"/>
      <c r="F45" s="842"/>
      <c r="G45" s="842"/>
      <c r="H45" s="472"/>
      <c r="I45" s="473"/>
      <c r="J45" s="842"/>
      <c r="K45" s="613"/>
      <c r="N45" s="835"/>
    </row>
    <row r="46" spans="1:16" ht="15">
      <c r="A46" s="479" t="s">
        <v>288</v>
      </c>
      <c r="B46" s="464">
        <f>TableUK5a!B213</f>
        <v>2.1057290398024175E-2</v>
      </c>
      <c r="C46" s="468">
        <f>TableUK5a!C213</f>
        <v>1.6402858544086074E-2</v>
      </c>
      <c r="D46" s="465">
        <f>TableUK5a!G213</f>
        <v>7.1605333745653421E-2</v>
      </c>
      <c r="E46" s="467">
        <v>0</v>
      </c>
      <c r="F46" s="843">
        <f>TableUK5a!H213</f>
        <v>2.2227305773182326E-2</v>
      </c>
      <c r="G46" s="843">
        <f>TableUK5a!I213</f>
        <v>0</v>
      </c>
      <c r="H46" s="467">
        <f>TableUK5a!J213</f>
        <v>-5.6978004756884637E-3</v>
      </c>
      <c r="I46" s="465">
        <f>TableUK5a!M213</f>
        <v>2.8086015379196562E-2</v>
      </c>
      <c r="J46" s="843">
        <f>TableUK5a!N213</f>
        <v>7.4385507651648641E-3</v>
      </c>
      <c r="K46" s="660">
        <f>TableUK5a!P213</f>
        <v>8.8981186714689464E-3</v>
      </c>
      <c r="N46" s="834">
        <f>(1+F46)*(1+H46)*(1+G46)-C46-1</f>
        <v>0</v>
      </c>
      <c r="O46" s="833">
        <f>(1+J46)*(1+K46)-1-C46</f>
        <v>0</v>
      </c>
    </row>
    <row r="47" spans="1:16" ht="15">
      <c r="A47" s="480"/>
      <c r="B47" s="471"/>
      <c r="C47" s="493"/>
      <c r="D47" s="473"/>
      <c r="E47" s="472"/>
      <c r="F47" s="844">
        <f>F46/($F46+$H46+$G46)</f>
        <v>1.3447048398086263</v>
      </c>
      <c r="G47" s="844">
        <f>G46/($F46+$H46+$G46)</f>
        <v>0</v>
      </c>
      <c r="H47" s="510">
        <f>H46/($F46+$H46+$G46)</f>
        <v>-0.34470483980862643</v>
      </c>
      <c r="I47" s="509"/>
      <c r="J47" s="844">
        <f>J46/(J46+K46)</f>
        <v>0.45532847402080912</v>
      </c>
      <c r="K47" s="661">
        <f>K46/(J46+K46)</f>
        <v>0.54467152597919088</v>
      </c>
      <c r="N47" s="835"/>
    </row>
    <row r="48" spans="1:16" ht="4" customHeight="1">
      <c r="A48" s="480"/>
      <c r="B48" s="481"/>
      <c r="C48" s="800"/>
      <c r="D48" s="483"/>
      <c r="E48" s="649"/>
      <c r="F48" s="840"/>
      <c r="G48" s="840"/>
      <c r="H48" s="474"/>
      <c r="I48" s="484"/>
      <c r="J48" s="840"/>
      <c r="K48" s="635"/>
      <c r="N48" s="835"/>
    </row>
    <row r="49" spans="1:15" ht="15">
      <c r="A49" s="479" t="s">
        <v>289</v>
      </c>
      <c r="B49" s="464">
        <f>TableUK5a!B216</f>
        <v>2.5475667718342532E-2</v>
      </c>
      <c r="C49" s="468">
        <f>TableUK5a!C216</f>
        <v>4.3532133249997162E-2</v>
      </c>
      <c r="D49" s="465">
        <f>TableUK5a!G216</f>
        <v>7.148432454004866E-2</v>
      </c>
      <c r="E49" s="467">
        <v>0</v>
      </c>
      <c r="F49" s="843">
        <f>TableUK5a!H216</f>
        <v>1.7054378548946536E-2</v>
      </c>
      <c r="G49" s="843">
        <f>TableUK5a!I216</f>
        <v>0</v>
      </c>
      <c r="H49" s="467">
        <f>TableUK5a!J216</f>
        <v>2.6033765017389632E-2</v>
      </c>
      <c r="I49" s="465">
        <f>TableUK5a!M216</f>
        <v>2.2965914121891241E-2</v>
      </c>
      <c r="J49" s="843">
        <f>TableUK5a!N216</f>
        <v>7.632551844398483E-3</v>
      </c>
      <c r="K49" s="660">
        <f>TableUK5a!P216</f>
        <v>3.5627651508366887E-2</v>
      </c>
      <c r="N49" s="834">
        <f>(1+F49)*(1+H49)*(1+G49)-C49-1</f>
        <v>0</v>
      </c>
      <c r="O49" s="833">
        <f>(1+J49)*(1+K49)-1-C49</f>
        <v>0</v>
      </c>
    </row>
    <row r="50" spans="1:15" ht="15">
      <c r="A50" s="480"/>
      <c r="B50" s="471"/>
      <c r="C50" s="493"/>
      <c r="D50" s="473"/>
      <c r="E50" s="472"/>
      <c r="F50" s="844">
        <f>F49/($F49+$H49+$G49)</f>
        <v>0.39580211950163369</v>
      </c>
      <c r="G50" s="844">
        <f>G49/($F49+$H49+$G49)</f>
        <v>0</v>
      </c>
      <c r="H50" s="510">
        <f>H49/($F49+$H49+$G49)</f>
        <v>0.60419788049836631</v>
      </c>
      <c r="I50" s="509"/>
      <c r="J50" s="844">
        <f>J49/(J49+K49)</f>
        <v>0.17643356371117425</v>
      </c>
      <c r="K50" s="661">
        <f>K49/(J49+K49)</f>
        <v>0.82356643628882575</v>
      </c>
      <c r="N50" s="835"/>
    </row>
    <row r="51" spans="1:15" ht="4" customHeight="1">
      <c r="A51" s="480"/>
      <c r="B51" s="481"/>
      <c r="C51" s="800"/>
      <c r="D51" s="483"/>
      <c r="E51" s="649"/>
      <c r="F51" s="840"/>
      <c r="G51" s="840"/>
      <c r="H51" s="474"/>
      <c r="I51" s="484"/>
      <c r="J51" s="840"/>
      <c r="K51" s="635"/>
      <c r="N51" s="835"/>
    </row>
    <row r="52" spans="1:15" ht="15">
      <c r="A52" s="479" t="s">
        <v>375</v>
      </c>
      <c r="B52" s="464">
        <f>TableUK5a!B219</f>
        <v>2.5856995627983048E-2</v>
      </c>
      <c r="C52" s="468">
        <f>TableUK5a!C219</f>
        <v>1.8265212179265689E-2</v>
      </c>
      <c r="D52" s="465">
        <f>TableUK5a!G219</f>
        <v>6.3570733976952454E-2</v>
      </c>
      <c r="E52" s="467">
        <v>0</v>
      </c>
      <c r="F52" s="843">
        <f>TableUK5a!H219</f>
        <v>2.0107353227250879E-2</v>
      </c>
      <c r="G52" s="843">
        <f>TableUK5a!I219</f>
        <v>0</v>
      </c>
      <c r="H52" s="467">
        <f>TableUK5a!J219</f>
        <v>-1.8058305747500336E-3</v>
      </c>
      <c r="I52" s="465">
        <f>TableUK5a!M219</f>
        <v>1.1222144003429829E-2</v>
      </c>
      <c r="J52" s="843">
        <f>TableUK5a!N219</f>
        <v>2.889010009808457E-3</v>
      </c>
      <c r="K52" s="660">
        <f>TableUK5a!P219</f>
        <v>1.5331908133390471E-2</v>
      </c>
      <c r="N52" s="834">
        <f>(1+F52)*(1+H52)*(1+G52)-C52-1</f>
        <v>0</v>
      </c>
      <c r="O52" s="833">
        <f>(1+J52)*(1+K52)-1-C52</f>
        <v>0</v>
      </c>
    </row>
    <row r="53" spans="1:15" ht="15">
      <c r="A53" s="480"/>
      <c r="B53" s="471"/>
      <c r="C53" s="493"/>
      <c r="D53" s="473"/>
      <c r="E53" s="472"/>
      <c r="F53" s="844">
        <f>F52/($F52+$H52+$G52)</f>
        <v>1.0986710564491351</v>
      </c>
      <c r="G53" s="844">
        <f>G52/($F52+$H52+$G52)</f>
        <v>0</v>
      </c>
      <c r="H53" s="510">
        <f>H52/($F52+$H52+$G52)</f>
        <v>-9.8671056449134986E-2</v>
      </c>
      <c r="I53" s="509"/>
      <c r="J53" s="844">
        <f>J52/(J52+K52)</f>
        <v>0.15855457925355965</v>
      </c>
      <c r="K53" s="661">
        <f>K52/(J52+K52)</f>
        <v>0.84144542074644035</v>
      </c>
      <c r="N53" s="835"/>
    </row>
    <row r="54" spans="1:15" ht="4" customHeight="1">
      <c r="A54" s="480"/>
      <c r="B54" s="481"/>
      <c r="C54" s="800"/>
      <c r="D54" s="483"/>
      <c r="E54" s="649"/>
      <c r="F54" s="840"/>
      <c r="G54" s="840"/>
      <c r="H54" s="474"/>
      <c r="I54" s="484"/>
      <c r="J54" s="840"/>
      <c r="K54" s="635"/>
      <c r="N54" s="835"/>
    </row>
    <row r="55" spans="1:15" ht="15">
      <c r="A55" s="479" t="s">
        <v>348</v>
      </c>
      <c r="B55" s="464">
        <f>TableUK5a!B222</f>
        <v>2.1970102276964276E-2</v>
      </c>
      <c r="C55" s="468">
        <f>TableUK5a!C222</f>
        <v>3.5734219214780705E-2</v>
      </c>
      <c r="D55" s="465">
        <f>TableUK5a!G222</f>
        <v>7.3457118573101374E-2</v>
      </c>
      <c r="E55" s="467">
        <v>0</v>
      </c>
      <c r="F55" s="843">
        <f>TableUK5a!H222</f>
        <v>1.9402747060110803E-2</v>
      </c>
      <c r="G55" s="843">
        <f>TableUK5a!I222</f>
        <v>0</v>
      </c>
      <c r="H55" s="467">
        <f>TableUK5a!J222</f>
        <v>1.602062796256809E-2</v>
      </c>
      <c r="I55" s="465">
        <f>TableUK5a!M222</f>
        <v>2.7943393125113132E-2</v>
      </c>
      <c r="J55" s="843">
        <f>TableUK5a!N222</f>
        <v>9.8668817654741225E-3</v>
      </c>
      <c r="K55" s="660">
        <f>TableUK5a!P222</f>
        <v>2.5614601207720078E-2</v>
      </c>
      <c r="N55" s="834">
        <f>(1+F55)*(1+H55)*(1+G55)-C55-1</f>
        <v>0</v>
      </c>
      <c r="O55" s="833">
        <f>(1+J55)*(1+K55)-1-C55</f>
        <v>-2.2204460492503131E-16</v>
      </c>
    </row>
    <row r="56" spans="1:15" ht="15">
      <c r="A56" s="480"/>
      <c r="B56" s="471"/>
      <c r="C56" s="493"/>
      <c r="D56" s="473"/>
      <c r="E56" s="472"/>
      <c r="F56" s="844">
        <f>F55/($F55+$H55+$G55)</f>
        <v>0.54773852146185109</v>
      </c>
      <c r="G56" s="844">
        <f>G55/($F55+$H55+$G55)</f>
        <v>0</v>
      </c>
      <c r="H56" s="510">
        <f>H55/($F55+$H55+$G55)</f>
        <v>0.45226147853814891</v>
      </c>
      <c r="I56" s="509"/>
      <c r="J56" s="844">
        <f>J55/(J55+K55)</f>
        <v>0.27808538253399451</v>
      </c>
      <c r="K56" s="661">
        <f>K55/(J55+K55)</f>
        <v>0.72191461746600549</v>
      </c>
      <c r="N56" s="835"/>
    </row>
    <row r="57" spans="1:15" ht="4" customHeight="1">
      <c r="A57" s="480"/>
      <c r="B57" s="481"/>
      <c r="C57" s="800"/>
      <c r="D57" s="483"/>
      <c r="E57" s="649"/>
      <c r="F57" s="840"/>
      <c r="G57" s="840"/>
      <c r="H57" s="474"/>
      <c r="I57" s="484"/>
      <c r="J57" s="840"/>
      <c r="K57" s="635"/>
      <c r="N57" s="835"/>
    </row>
    <row r="58" spans="1:15" ht="15">
      <c r="A58" s="479" t="s">
        <v>376</v>
      </c>
      <c r="B58" s="464">
        <f>TableUK5a!B225</f>
        <v>1.9752681521352011E-2</v>
      </c>
      <c r="C58" s="468">
        <f>TableUK5a!C225</f>
        <v>3.7202167904150318E-2</v>
      </c>
      <c r="D58" s="465">
        <f>TableUK5a!G225</f>
        <v>7.1934268039145849E-2</v>
      </c>
      <c r="E58" s="467">
        <v>0</v>
      </c>
      <c r="F58" s="843">
        <f>TableUK5a!H225</f>
        <v>2.2464937322337786E-2</v>
      </c>
      <c r="G58" s="843">
        <f>TableUK5a!I225</f>
        <v>0</v>
      </c>
      <c r="H58" s="467">
        <f>TableUK5a!J225</f>
        <v>1.4413433697205047E-2</v>
      </c>
      <c r="I58" s="465">
        <f>TableUK5a!M225</f>
        <v>4.3385445206175072E-2</v>
      </c>
      <c r="J58" s="843">
        <f>TableUK5a!N225</f>
        <v>1.4191803068397624E-2</v>
      </c>
      <c r="K58" s="660">
        <f>TableUK5a!P225</f>
        <v>2.2688375873415545E-2</v>
      </c>
      <c r="N58" s="834">
        <f>(1+F58)*(1+H58)*(1+G58)-C58-1</f>
        <v>0</v>
      </c>
      <c r="O58" s="833">
        <f>(1+J58)*(1+K58)-1-C58</f>
        <v>2.2204460492503131E-16</v>
      </c>
    </row>
    <row r="59" spans="1:15" ht="15">
      <c r="A59" s="480"/>
      <c r="B59" s="471"/>
      <c r="C59" s="493"/>
      <c r="D59" s="473"/>
      <c r="E59" s="472"/>
      <c r="F59" s="844">
        <f>F58/($F58+$H58+$G58)</f>
        <v>0.60916295110846996</v>
      </c>
      <c r="G59" s="844">
        <f>G58/($F58+$H58+$G58)</f>
        <v>0</v>
      </c>
      <c r="H59" s="510">
        <f>H58/($F58+$H58+$G58)</f>
        <v>0.39083704889153004</v>
      </c>
      <c r="I59" s="509"/>
      <c r="J59" s="844">
        <f>J58/(J58+K58)</f>
        <v>0.38480841133630089</v>
      </c>
      <c r="K59" s="661">
        <f>K58/(J58+K58)</f>
        <v>0.61519158866369916</v>
      </c>
      <c r="N59" s="835"/>
    </row>
    <row r="60" spans="1:15" ht="4" customHeight="1">
      <c r="A60" s="480"/>
      <c r="B60" s="481"/>
      <c r="C60" s="800"/>
      <c r="D60" s="483"/>
      <c r="E60" s="649"/>
      <c r="F60" s="840"/>
      <c r="G60" s="840"/>
      <c r="H60" s="474"/>
      <c r="I60" s="484"/>
      <c r="J60" s="840"/>
      <c r="K60" s="635"/>
      <c r="N60" s="835"/>
    </row>
    <row r="61" spans="1:15" ht="15">
      <c r="A61" s="479" t="s">
        <v>377</v>
      </c>
      <c r="B61" s="464">
        <f>TableUK5a!B228</f>
        <v>2.4192344745621597E-2</v>
      </c>
      <c r="C61" s="468">
        <f>TableUK5a!C228</f>
        <v>3.4268348108182689E-2</v>
      </c>
      <c r="D61" s="465">
        <f>TableUK5a!G228</f>
        <v>7.4368232036597703E-2</v>
      </c>
      <c r="E61" s="467">
        <v>0</v>
      </c>
      <c r="F61" s="843">
        <f>TableUK5a!H228</f>
        <v>1.6349727781513224E-2</v>
      </c>
      <c r="G61" s="843">
        <f>TableUK5a!I228</f>
        <v>0</v>
      </c>
      <c r="H61" s="467">
        <f>TableUK5a!J228</f>
        <v>1.7630368599381718E-2</v>
      </c>
      <c r="I61" s="465">
        <f>TableUK5a!M228</f>
        <v>1.870449459807105E-2</v>
      </c>
      <c r="J61" s="843">
        <f>TableUK5a!N228</f>
        <v>5.560403664536695E-3</v>
      </c>
      <c r="K61" s="660">
        <f>TableUK5a!P228</f>
        <v>2.8549199370844658E-2</v>
      </c>
      <c r="N61" s="834">
        <f>(1+F61)*(1+H61)*(1+G61)-C61-1</f>
        <v>0</v>
      </c>
      <c r="O61" s="833">
        <f>(1+J61)*(1+K61)-1-C61</f>
        <v>0</v>
      </c>
    </row>
    <row r="62" spans="1:15" ht="15">
      <c r="A62" s="480"/>
      <c r="B62" s="471"/>
      <c r="C62" s="493"/>
      <c r="D62" s="473"/>
      <c r="E62" s="472"/>
      <c r="F62" s="844">
        <f>F61/($F61+$H61+$G61)</f>
        <v>0.48115601551694648</v>
      </c>
      <c r="G62" s="844">
        <f>G61/($F61+$H61+$G61)</f>
        <v>0</v>
      </c>
      <c r="H62" s="510">
        <f>H61/($F61+$H61+$G61)</f>
        <v>0.51884398448305347</v>
      </c>
      <c r="I62" s="509"/>
      <c r="J62" s="844">
        <f>J61/(J61+K61)</f>
        <v>0.16301578352492041</v>
      </c>
      <c r="K62" s="661">
        <f>K61/(J61+K61)</f>
        <v>0.83698421647507959</v>
      </c>
      <c r="N62" s="835"/>
    </row>
    <row r="63" spans="1:15" ht="4.75" customHeight="1">
      <c r="A63" s="407"/>
      <c r="B63" s="471"/>
      <c r="C63" s="493"/>
      <c r="D63" s="473"/>
      <c r="E63" s="472"/>
      <c r="F63" s="842"/>
      <c r="G63" s="842"/>
      <c r="H63" s="472"/>
      <c r="I63" s="473"/>
      <c r="J63" s="842"/>
      <c r="K63" s="613"/>
      <c r="N63" s="835"/>
    </row>
    <row r="64" spans="1:15" ht="15">
      <c r="A64" s="485" t="s">
        <v>378</v>
      </c>
      <c r="B64" s="504">
        <f>TableUK5a!B231</f>
        <v>2.4303164830828727E-2</v>
      </c>
      <c r="C64" s="507">
        <f>TableUK5a!C231</f>
        <v>8.442990860357158E-3</v>
      </c>
      <c r="D64" s="505">
        <f>TableUK5a!G231</f>
        <v>5.4287489815100121E-2</v>
      </c>
      <c r="E64" s="506">
        <v>0</v>
      </c>
      <c r="F64" s="845">
        <f>TableUK5a!H231</f>
        <v>1.7455101460862599E-2</v>
      </c>
      <c r="G64" s="845">
        <f>TableUK5a!I231</f>
        <v>0</v>
      </c>
      <c r="H64" s="506">
        <f>TableUK5a!J231</f>
        <v>-8.8575020043302199E-3</v>
      </c>
      <c r="I64" s="505">
        <f>TableUK5a!M231</f>
        <v>-4.682267786012325E-3</v>
      </c>
      <c r="J64" s="845">
        <f>TableUK5a!N231</f>
        <v>-1.4825818870239926E-3</v>
      </c>
      <c r="K64" s="662">
        <f>TableUK5a!P231</f>
        <v>9.9403100710437897E-3</v>
      </c>
      <c r="N64" s="834">
        <f>(1+F64)*(1+H64)*(1+G64)-C64-1</f>
        <v>0</v>
      </c>
      <c r="O64" s="833">
        <f>(1+J64)*(1+K64)-1-C64</f>
        <v>0</v>
      </c>
    </row>
    <row r="65" spans="1:15" ht="15">
      <c r="A65" s="492"/>
      <c r="B65" s="508"/>
      <c r="C65" s="848"/>
      <c r="D65" s="509"/>
      <c r="E65" s="1587"/>
      <c r="F65" s="844">
        <f>F64/($F64+$H64+$G64)</f>
        <v>2.0302296645839171</v>
      </c>
      <c r="G65" s="844">
        <f>G64/($F64+$H64+$G64)</f>
        <v>0</v>
      </c>
      <c r="H65" s="510">
        <f>H64/($F64+$H64+$G64)</f>
        <v>-1.0302296645839171</v>
      </c>
      <c r="I65" s="509"/>
      <c r="J65" s="844">
        <f>J64/(J64+K64)</f>
        <v>-0.17529315848967728</v>
      </c>
      <c r="K65" s="661">
        <f>K64/(J64+K64)</f>
        <v>1.1752931584896773</v>
      </c>
      <c r="N65" s="835"/>
    </row>
    <row r="66" spans="1:15" ht="4.75" customHeight="1">
      <c r="A66" s="448"/>
      <c r="B66" s="471"/>
      <c r="C66" s="493"/>
      <c r="D66" s="473"/>
      <c r="E66" s="472"/>
      <c r="F66" s="842"/>
      <c r="G66" s="842"/>
      <c r="H66" s="472"/>
      <c r="I66" s="473"/>
      <c r="J66" s="842"/>
      <c r="K66" s="613"/>
      <c r="N66" s="835"/>
    </row>
    <row r="67" spans="1:15" ht="15">
      <c r="A67" s="485" t="s">
        <v>379</v>
      </c>
      <c r="B67" s="504">
        <f>TableUK5a!B234</f>
        <v>2.7413183530171192E-2</v>
      </c>
      <c r="C67" s="507">
        <f>TableUK5a!C234</f>
        <v>2.8183101803187061E-2</v>
      </c>
      <c r="D67" s="505">
        <f>TableUK5a!G234</f>
        <v>7.0587089689921986E-2</v>
      </c>
      <c r="E67" s="506">
        <v>0</v>
      </c>
      <c r="F67" s="845">
        <f>TableUK5a!H234</f>
        <v>2.27665187527053E-2</v>
      </c>
      <c r="G67" s="845">
        <f>TableUK5a!I234</f>
        <v>0</v>
      </c>
      <c r="H67" s="506">
        <f>TableUK5a!J234</f>
        <v>5.2960113096853778E-3</v>
      </c>
      <c r="I67" s="505">
        <f>TableUK5a!M234</f>
        <v>2.3242835108252192E-2</v>
      </c>
      <c r="J67" s="845">
        <f>TableUK5a!N234</f>
        <v>7.2797410977711863E-3</v>
      </c>
      <c r="K67" s="662">
        <f>TableUK5a!P234</f>
        <v>2.0752289411315461E-2</v>
      </c>
      <c r="N67" s="834">
        <f>(1+F67)*(1+H67)*(1+G67)-C67-1</f>
        <v>0</v>
      </c>
      <c r="O67" s="833">
        <f>(1+J67)*(1+K67)-1-C67</f>
        <v>0</v>
      </c>
    </row>
    <row r="68" spans="1:15" ht="15">
      <c r="A68" s="492"/>
      <c r="B68" s="508"/>
      <c r="C68" s="848"/>
      <c r="D68" s="509"/>
      <c r="E68" s="1587"/>
      <c r="F68" s="844">
        <f>F67/($F67+$H67+$G67)</f>
        <v>0.81127819558995939</v>
      </c>
      <c r="G68" s="844">
        <f>G67/($F67+$H67+$G67)</f>
        <v>0</v>
      </c>
      <c r="H68" s="510">
        <f>H67/($F67+$H67+$G67)</f>
        <v>0.18872180441004061</v>
      </c>
      <c r="I68" s="509"/>
      <c r="J68" s="844">
        <f>J67/(J67+K67)</f>
        <v>0.25969367775236407</v>
      </c>
      <c r="K68" s="661">
        <f>K67/(J67+K67)</f>
        <v>0.74030632224763593</v>
      </c>
      <c r="N68" s="835"/>
    </row>
    <row r="69" spans="1:15" ht="4.75" customHeight="1">
      <c r="A69" s="448"/>
      <c r="B69" s="494"/>
      <c r="C69" s="493"/>
      <c r="D69" s="473"/>
      <c r="E69" s="472"/>
      <c r="F69" s="842"/>
      <c r="G69" s="842"/>
      <c r="H69" s="472"/>
      <c r="I69" s="473"/>
      <c r="J69" s="842"/>
      <c r="K69" s="613"/>
      <c r="N69" s="835"/>
    </row>
    <row r="70" spans="1:15" ht="15">
      <c r="A70" s="485" t="s">
        <v>380</v>
      </c>
      <c r="B70" s="504">
        <f>TableUK5a!B237</f>
        <v>1.1525144407265264E-2</v>
      </c>
      <c r="C70" s="507">
        <f>TableUK5a!C237</f>
        <v>1.2688363485253706E-2</v>
      </c>
      <c r="D70" s="505">
        <f>TableUK5a!G237</f>
        <v>8.2956830346380364E-2</v>
      </c>
      <c r="E70" s="506">
        <v>0</v>
      </c>
      <c r="F70" s="845">
        <f>TableUK5a!H237</f>
        <v>2.6480436861348489E-2</v>
      </c>
      <c r="G70" s="845">
        <f>TableUK5a!I237</f>
        <v>0</v>
      </c>
      <c r="H70" s="506">
        <f>TableUK5a!J237</f>
        <v>-1.3436274945742288E-2</v>
      </c>
      <c r="I70" s="505">
        <f>TableUK5a!M237</f>
        <v>5.1911742124520592E-2</v>
      </c>
      <c r="J70" s="845">
        <f>TableUK5a!N237</f>
        <v>1.6599641989037073E-2</v>
      </c>
      <c r="K70" s="662">
        <f>TableUK5a!P237</f>
        <v>-3.8474128282504072E-3</v>
      </c>
      <c r="N70" s="834">
        <f>(1+F70)*(1+H70)*(1+G70)-C70-1</f>
        <v>0</v>
      </c>
      <c r="O70" s="833">
        <f>(1+J70)*(1+K70)-1-C70</f>
        <v>0</v>
      </c>
    </row>
    <row r="71" spans="1:15" ht="15">
      <c r="A71" s="492"/>
      <c r="B71" s="508"/>
      <c r="C71" s="848"/>
      <c r="D71" s="509"/>
      <c r="E71" s="1587"/>
      <c r="F71" s="844">
        <f>F70/($F70+$H70+$G70)</f>
        <v>2.0300604234042017</v>
      </c>
      <c r="G71" s="844">
        <f>G70/($F70+$H70+$G70)</f>
        <v>0</v>
      </c>
      <c r="H71" s="510">
        <f>H70/($F70+$H70+$G70)</f>
        <v>-1.0300604234042019</v>
      </c>
      <c r="I71" s="509"/>
      <c r="J71" s="844">
        <f>J70/(J70+K70)</f>
        <v>1.3017051199237597</v>
      </c>
      <c r="K71" s="661">
        <f>K70/(J70+K70)</f>
        <v>-0.30170511992375976</v>
      </c>
      <c r="N71" s="835"/>
    </row>
    <row r="72" spans="1:15" ht="4.75" customHeight="1">
      <c r="A72" s="448"/>
      <c r="B72" s="471"/>
      <c r="C72" s="493"/>
      <c r="D72" s="473"/>
      <c r="E72" s="472"/>
      <c r="F72" s="842"/>
      <c r="G72" s="842"/>
      <c r="H72" s="472"/>
      <c r="I72" s="473"/>
      <c r="J72" s="842"/>
      <c r="K72" s="613"/>
      <c r="N72" s="835"/>
    </row>
    <row r="73" spans="1:15" ht="15">
      <c r="A73" s="485" t="s">
        <v>381</v>
      </c>
      <c r="B73" s="504">
        <f>TableUK5a!B240</f>
        <v>2.8047139727156445E-2</v>
      </c>
      <c r="C73" s="507">
        <f>TableUK5a!C240</f>
        <v>6.2309369688668514E-2</v>
      </c>
      <c r="D73" s="505">
        <f>TableUK5a!G240</f>
        <v>6.2568363995100518E-2</v>
      </c>
      <c r="E73" s="506">
        <v>0</v>
      </c>
      <c r="F73" s="845">
        <f>TableUK5a!H240</f>
        <v>1.8465146057901949E-2</v>
      </c>
      <c r="G73" s="845">
        <f>TableUK5a!I240</f>
        <v>0</v>
      </c>
      <c r="H73" s="506">
        <f>TableUK5a!J240</f>
        <v>4.304931180067495E-2</v>
      </c>
      <c r="I73" s="505">
        <f>TableUK5a!M240</f>
        <v>3.6140625302925312E-2</v>
      </c>
      <c r="J73" s="845">
        <f>TableUK5a!N240</f>
        <v>1.1789667167932505E-2</v>
      </c>
      <c r="K73" s="662">
        <f>TableUK5a!P240</f>
        <v>4.9931032268933917E-2</v>
      </c>
      <c r="N73" s="834">
        <f>(1+F73)*(1+H73)*(1+G73)-C73-1</f>
        <v>0</v>
      </c>
      <c r="O73" s="833">
        <f>(1+J73)*(1+K73)-1-C73</f>
        <v>0</v>
      </c>
    </row>
    <row r="74" spans="1:15" ht="15">
      <c r="A74" s="492"/>
      <c r="B74" s="508"/>
      <c r="C74" s="848"/>
      <c r="D74" s="509"/>
      <c r="E74" s="1587"/>
      <c r="F74" s="844">
        <f>F73/($F73+$H73+$G73)</f>
        <v>0.3001757099177193</v>
      </c>
      <c r="G74" s="844">
        <f>G73/($F73+$H73+$G73)</f>
        <v>0</v>
      </c>
      <c r="H74" s="510">
        <f>H73/($F73+$H73+$G73)</f>
        <v>0.69982429008228064</v>
      </c>
      <c r="I74" s="509"/>
      <c r="J74" s="844">
        <f>J73/(J73+K73)</f>
        <v>0.19101642197026714</v>
      </c>
      <c r="K74" s="661">
        <f>K73/(J73+K73)</f>
        <v>0.80898357802973286</v>
      </c>
      <c r="N74" s="835"/>
    </row>
    <row r="75" spans="1:15" ht="4.75" customHeight="1">
      <c r="A75" s="448"/>
      <c r="B75" s="471"/>
      <c r="C75" s="493"/>
      <c r="D75" s="473"/>
      <c r="E75" s="472"/>
      <c r="F75" s="842"/>
      <c r="G75" s="842"/>
      <c r="H75" s="472"/>
      <c r="I75" s="473"/>
      <c r="J75" s="842"/>
      <c r="K75" s="613"/>
      <c r="N75" s="835"/>
    </row>
    <row r="76" spans="1:15" ht="15">
      <c r="A76" s="485" t="s">
        <v>382</v>
      </c>
      <c r="B76" s="504">
        <f>TableUK5a!B243</f>
        <v>3.0129326338009133E-2</v>
      </c>
      <c r="C76" s="507">
        <f>TableUK5a!C243</f>
        <v>4.901479952854837E-2</v>
      </c>
      <c r="D76" s="505">
        <f>TableUK5a!G243</f>
        <v>7.7577510799317753E-2</v>
      </c>
      <c r="E76" s="506">
        <v>0</v>
      </c>
      <c r="F76" s="845">
        <f>TableUK5a!H243</f>
        <v>1.8404120681181357E-2</v>
      </c>
      <c r="G76" s="845">
        <f>TableUK5a!I243</f>
        <v>0</v>
      </c>
      <c r="H76" s="506">
        <f>TableUK5a!J243</f>
        <v>3.0057497044387871E-2</v>
      </c>
      <c r="I76" s="505">
        <f>TableUK5a!M243</f>
        <v>4.5558854751026272E-2</v>
      </c>
      <c r="J76" s="845">
        <f>TableUK5a!N243</f>
        <v>1.116553355054517E-2</v>
      </c>
      <c r="K76" s="662">
        <f>TableUK5a!P243</f>
        <v>3.7431325259971615E-2</v>
      </c>
      <c r="N76" s="834">
        <f>(1+F76)*(1+H76)*(1+G76)-C76-1</f>
        <v>0</v>
      </c>
      <c r="O76" s="833">
        <f>(1+J76)*(1+K76)-1-C76</f>
        <v>0</v>
      </c>
    </row>
    <row r="77" spans="1:15" ht="15">
      <c r="A77" s="492"/>
      <c r="B77" s="508"/>
      <c r="C77" s="848"/>
      <c r="D77" s="509"/>
      <c r="E77" s="1587"/>
      <c r="F77" s="844">
        <f>F76/($F76+$H76+$G76)</f>
        <v>0.3797669484622056</v>
      </c>
      <c r="G77" s="844">
        <f>G76/($F76+$H76+$G76)</f>
        <v>0</v>
      </c>
      <c r="H77" s="510">
        <f>H76/($F76+$H76+$G76)</f>
        <v>0.6202330515377944</v>
      </c>
      <c r="I77" s="509"/>
      <c r="J77" s="844">
        <f>J76/(J76+K76)</f>
        <v>0.22975833878647423</v>
      </c>
      <c r="K77" s="661">
        <f>K76/(J76+K76)</f>
        <v>0.77024166121352577</v>
      </c>
      <c r="N77" s="835"/>
    </row>
    <row r="78" spans="1:15" ht="4.75" customHeight="1">
      <c r="A78" s="448"/>
      <c r="B78" s="494"/>
      <c r="C78" s="493"/>
      <c r="D78" s="473"/>
      <c r="E78" s="472"/>
      <c r="F78" s="842"/>
      <c r="G78" s="842"/>
      <c r="H78" s="472"/>
      <c r="I78" s="473"/>
      <c r="J78" s="842"/>
      <c r="K78" s="613"/>
      <c r="N78" s="835"/>
    </row>
    <row r="79" spans="1:15" ht="15">
      <c r="A79" s="485" t="s">
        <v>383</v>
      </c>
      <c r="B79" s="486">
        <f>TableUK5a!B246</f>
        <v>1.8289579973906456E-2</v>
      </c>
      <c r="C79" s="489">
        <f>TableUK5a!C246</f>
        <v>1.9729193886665719E-2</v>
      </c>
      <c r="D79" s="488">
        <f>TableUK5a!G246</f>
        <v>7.2064039622786263E-2</v>
      </c>
      <c r="E79" s="487">
        <v>0</v>
      </c>
      <c r="F79" s="846">
        <f>TableUK5a!H246</f>
        <v>1.4299479140593263E-2</v>
      </c>
      <c r="G79" s="846">
        <f>TableUK5a!I246</f>
        <v>0</v>
      </c>
      <c r="H79" s="487">
        <f>TableUK5a!J246</f>
        <v>5.353167242748702E-3</v>
      </c>
      <c r="I79" s="488">
        <f>TableUK5a!M246</f>
        <v>-5.7635244488112101E-4</v>
      </c>
      <c r="J79" s="846">
        <f>TableUK5a!N246</f>
        <v>-1.3655659830913436E-5</v>
      </c>
      <c r="K79" s="663">
        <f>TableUK5a!P246</f>
        <v>1.9743119151815813E-2</v>
      </c>
      <c r="N79" s="834">
        <f>(1+F79)*(1+H79)*(1+G79)-C79-1</f>
        <v>0</v>
      </c>
      <c r="O79" s="833">
        <f>(1+J79)*(1+K79)-1-C79</f>
        <v>0</v>
      </c>
    </row>
    <row r="80" spans="1:15" ht="16" thickBot="1">
      <c r="A80" s="496"/>
      <c r="B80" s="497"/>
      <c r="C80" s="801"/>
      <c r="D80" s="498"/>
      <c r="E80" s="497"/>
      <c r="F80" s="847">
        <f>F79/($F79+$H79+$G79)</f>
        <v>0.72761087039727279</v>
      </c>
      <c r="G80" s="847">
        <f>G79/($F79+$H79+$G79)</f>
        <v>0</v>
      </c>
      <c r="H80" s="499">
        <f>H79/($F79+$H79+$G79)</f>
        <v>0.27238912960272715</v>
      </c>
      <c r="I80" s="500"/>
      <c r="J80" s="847">
        <f>J79/(J79+K79)</f>
        <v>-6.9214552318977408E-4</v>
      </c>
      <c r="K80" s="664">
        <f>K79/(J79+K79)</f>
        <v>1.0006921455231899</v>
      </c>
    </row>
    <row r="81" spans="2:11" ht="13" thickTop="1">
      <c r="B81" s="503"/>
      <c r="C81" s="503"/>
      <c r="D81" s="503"/>
      <c r="E81" s="503"/>
      <c r="F81" s="503"/>
      <c r="G81" s="503"/>
      <c r="H81" s="503"/>
      <c r="I81" s="503"/>
      <c r="J81" s="503"/>
      <c r="K81" s="503"/>
    </row>
    <row r="82" spans="2:11">
      <c r="B82" s="503"/>
      <c r="C82" s="503"/>
      <c r="D82" s="503"/>
      <c r="E82" s="503"/>
      <c r="F82" s="503"/>
      <c r="G82" s="503"/>
      <c r="H82" s="503"/>
      <c r="I82" s="503"/>
      <c r="J82" s="503"/>
      <c r="K82" s="503"/>
    </row>
    <row r="83" spans="2:11">
      <c r="B83" s="503"/>
      <c r="C83" s="503"/>
      <c r="D83" s="503"/>
      <c r="E83" s="503"/>
      <c r="F83" s="503"/>
      <c r="G83" s="503"/>
      <c r="H83" s="503"/>
      <c r="I83" s="503"/>
      <c r="J83" s="503"/>
      <c r="K83" s="503"/>
    </row>
    <row r="84" spans="2:11">
      <c r="B84" s="503"/>
      <c r="C84" s="503"/>
      <c r="D84" s="503"/>
      <c r="E84" s="503"/>
      <c r="F84" s="503"/>
      <c r="G84" s="503"/>
      <c r="H84" s="503"/>
      <c r="I84" s="503"/>
      <c r="J84" s="503"/>
      <c r="K84" s="503"/>
    </row>
    <row r="85" spans="2:11">
      <c r="B85" s="503"/>
      <c r="C85" s="503"/>
      <c r="D85" s="503"/>
      <c r="E85" s="503"/>
      <c r="F85" s="503"/>
      <c r="G85" s="503"/>
      <c r="H85" s="503"/>
      <c r="I85" s="503"/>
      <c r="J85" s="503"/>
      <c r="K85" s="503"/>
    </row>
    <row r="86" spans="2:11">
      <c r="B86" s="503"/>
      <c r="C86" s="503"/>
      <c r="D86" s="503"/>
      <c r="E86" s="503"/>
      <c r="F86" s="503"/>
      <c r="G86" s="503"/>
      <c r="H86" s="503"/>
      <c r="I86" s="503"/>
      <c r="J86" s="503"/>
      <c r="K86" s="503"/>
    </row>
    <row r="87" spans="2:11">
      <c r="B87" s="503"/>
      <c r="C87" s="503"/>
      <c r="D87" s="503"/>
      <c r="E87" s="503"/>
      <c r="F87" s="503"/>
      <c r="G87" s="503"/>
      <c r="H87" s="503"/>
      <c r="I87" s="503"/>
      <c r="J87" s="503"/>
      <c r="K87" s="503"/>
    </row>
    <row r="88" spans="2:11">
      <c r="B88" s="503"/>
      <c r="C88" s="503"/>
      <c r="D88" s="503"/>
      <c r="E88" s="503"/>
      <c r="F88" s="503"/>
      <c r="G88" s="503"/>
      <c r="H88" s="503"/>
      <c r="I88" s="503"/>
      <c r="J88" s="503"/>
      <c r="K88" s="503"/>
    </row>
    <row r="89" spans="2:11">
      <c r="B89" s="503"/>
      <c r="C89" s="503"/>
      <c r="D89" s="503"/>
      <c r="E89" s="503"/>
      <c r="F89" s="503"/>
      <c r="G89" s="503"/>
      <c r="H89" s="503"/>
      <c r="I89" s="503"/>
      <c r="J89" s="503"/>
      <c r="K89" s="503"/>
    </row>
    <row r="90" spans="2:11">
      <c r="B90" s="503"/>
      <c r="C90" s="503"/>
      <c r="D90" s="503"/>
      <c r="E90" s="503"/>
      <c r="F90" s="503"/>
      <c r="G90" s="503"/>
      <c r="H90" s="503"/>
      <c r="I90" s="503"/>
      <c r="J90" s="503"/>
      <c r="K90" s="503"/>
    </row>
    <row r="91" spans="2:11">
      <c r="B91" s="503"/>
      <c r="C91" s="503"/>
      <c r="D91" s="503"/>
      <c r="E91" s="503"/>
      <c r="F91" s="503"/>
      <c r="G91" s="503"/>
      <c r="H91" s="503"/>
      <c r="I91" s="503"/>
      <c r="J91" s="503"/>
      <c r="K91" s="503"/>
    </row>
    <row r="92" spans="2:11">
      <c r="B92" s="503"/>
      <c r="C92" s="503"/>
      <c r="D92" s="503"/>
      <c r="E92" s="503"/>
      <c r="F92" s="503"/>
      <c r="G92" s="503"/>
      <c r="H92" s="503"/>
      <c r="I92" s="503"/>
      <c r="J92" s="503"/>
      <c r="K92" s="503"/>
    </row>
    <row r="93" spans="2:11">
      <c r="B93" s="503"/>
      <c r="C93" s="503"/>
      <c r="D93" s="503"/>
      <c r="E93" s="503"/>
      <c r="F93" s="503"/>
      <c r="G93" s="503"/>
      <c r="H93" s="503"/>
      <c r="I93" s="503"/>
      <c r="J93" s="503"/>
      <c r="K93" s="503"/>
    </row>
    <row r="94" spans="2:11">
      <c r="B94" s="503"/>
      <c r="C94" s="503"/>
      <c r="D94" s="503"/>
      <c r="E94" s="503"/>
      <c r="F94" s="503"/>
      <c r="G94" s="503"/>
      <c r="H94" s="503"/>
      <c r="I94" s="503"/>
      <c r="J94" s="503"/>
      <c r="K94" s="503"/>
    </row>
    <row r="95" spans="2:11">
      <c r="B95" s="503"/>
      <c r="C95" s="503"/>
      <c r="D95" s="503"/>
      <c r="E95" s="503"/>
      <c r="F95" s="503"/>
      <c r="G95" s="503"/>
      <c r="H95" s="503"/>
      <c r="I95" s="503"/>
      <c r="J95" s="503"/>
      <c r="K95" s="503"/>
    </row>
    <row r="96" spans="2:11">
      <c r="B96" s="503"/>
      <c r="C96" s="503"/>
      <c r="D96" s="503"/>
      <c r="E96" s="503"/>
      <c r="F96" s="503"/>
      <c r="G96" s="503"/>
      <c r="H96" s="503"/>
      <c r="I96" s="503"/>
      <c r="J96" s="503"/>
      <c r="K96" s="503"/>
    </row>
    <row r="97" spans="2:11">
      <c r="B97" s="503"/>
      <c r="C97" s="503"/>
      <c r="D97" s="503"/>
      <c r="E97" s="503"/>
      <c r="F97" s="503"/>
      <c r="G97" s="503"/>
      <c r="H97" s="503"/>
      <c r="I97" s="503"/>
      <c r="J97" s="503"/>
      <c r="K97" s="503"/>
    </row>
    <row r="98" spans="2:11">
      <c r="B98" s="503"/>
      <c r="C98" s="503"/>
      <c r="D98" s="503"/>
      <c r="E98" s="503"/>
      <c r="F98" s="503"/>
      <c r="G98" s="503"/>
      <c r="H98" s="503"/>
      <c r="I98" s="503"/>
      <c r="J98" s="503"/>
      <c r="K98" s="503"/>
    </row>
    <row r="99" spans="2:11">
      <c r="B99" s="503"/>
      <c r="C99" s="503"/>
      <c r="D99" s="503"/>
      <c r="E99" s="503"/>
      <c r="F99" s="503"/>
      <c r="G99" s="503"/>
      <c r="H99" s="503"/>
      <c r="I99" s="503"/>
      <c r="J99" s="503"/>
      <c r="K99" s="503"/>
    </row>
    <row r="100" spans="2:11">
      <c r="B100" s="503"/>
      <c r="C100" s="503"/>
      <c r="D100" s="503"/>
      <c r="E100" s="503"/>
      <c r="F100" s="503"/>
      <c r="G100" s="503"/>
      <c r="H100" s="503"/>
      <c r="I100" s="503"/>
      <c r="J100" s="503"/>
      <c r="K100" s="503"/>
    </row>
    <row r="101" spans="2:11">
      <c r="B101" s="503"/>
      <c r="C101" s="503"/>
      <c r="D101" s="503"/>
      <c r="E101" s="503"/>
      <c r="F101" s="503"/>
      <c r="G101" s="503"/>
      <c r="H101" s="503"/>
      <c r="I101" s="503"/>
      <c r="J101" s="503"/>
      <c r="K101" s="503"/>
    </row>
    <row r="102" spans="2:11">
      <c r="B102" s="503"/>
      <c r="C102" s="503"/>
      <c r="D102" s="503"/>
      <c r="E102" s="503"/>
      <c r="F102" s="503"/>
      <c r="G102" s="503"/>
      <c r="H102" s="503"/>
      <c r="I102" s="503"/>
      <c r="J102" s="503"/>
      <c r="K102" s="503"/>
    </row>
    <row r="103" spans="2:11">
      <c r="B103" s="503"/>
      <c r="C103" s="503"/>
      <c r="D103" s="503"/>
      <c r="E103" s="503"/>
      <c r="F103" s="503"/>
      <c r="G103" s="503"/>
      <c r="H103" s="503"/>
      <c r="I103" s="503"/>
      <c r="J103" s="503"/>
      <c r="K103" s="503"/>
    </row>
    <row r="104" spans="2:11">
      <c r="B104" s="503"/>
      <c r="C104" s="503"/>
      <c r="D104" s="503"/>
      <c r="E104" s="503"/>
      <c r="F104" s="503"/>
      <c r="G104" s="503"/>
      <c r="H104" s="503"/>
      <c r="I104" s="503"/>
      <c r="J104" s="503"/>
      <c r="K104" s="503"/>
    </row>
    <row r="105" spans="2:11">
      <c r="B105" s="503"/>
      <c r="C105" s="503"/>
      <c r="D105" s="503"/>
      <c r="E105" s="503"/>
      <c r="F105" s="503"/>
      <c r="G105" s="503"/>
      <c r="H105" s="503"/>
      <c r="I105" s="503"/>
      <c r="J105" s="503"/>
      <c r="K105" s="503"/>
    </row>
    <row r="106" spans="2:11">
      <c r="B106" s="503"/>
      <c r="C106" s="503"/>
      <c r="D106" s="503"/>
      <c r="E106" s="503"/>
      <c r="F106" s="503"/>
      <c r="G106" s="503"/>
      <c r="H106" s="503"/>
      <c r="I106" s="503"/>
      <c r="J106" s="503"/>
      <c r="K106" s="503"/>
    </row>
    <row r="107" spans="2:11">
      <c r="B107" s="503"/>
      <c r="C107" s="503"/>
      <c r="D107" s="503"/>
      <c r="E107" s="503"/>
      <c r="F107" s="503"/>
      <c r="G107" s="503"/>
      <c r="H107" s="503"/>
      <c r="I107" s="503"/>
      <c r="J107" s="503"/>
      <c r="K107" s="503"/>
    </row>
    <row r="108" spans="2:11">
      <c r="B108" s="503"/>
      <c r="C108" s="503"/>
      <c r="D108" s="503"/>
      <c r="E108" s="503"/>
      <c r="F108" s="503"/>
      <c r="G108" s="503"/>
      <c r="H108" s="503"/>
      <c r="I108" s="503"/>
      <c r="J108" s="503"/>
      <c r="K108" s="503"/>
    </row>
    <row r="109" spans="2:11">
      <c r="B109" s="503"/>
      <c r="C109" s="503"/>
      <c r="D109" s="503"/>
      <c r="E109" s="503"/>
      <c r="F109" s="503"/>
      <c r="G109" s="503"/>
      <c r="H109" s="503"/>
      <c r="I109" s="503"/>
      <c r="J109" s="503"/>
      <c r="K109" s="503"/>
    </row>
    <row r="110" spans="2:11">
      <c r="B110" s="503"/>
      <c r="C110" s="503"/>
      <c r="D110" s="503"/>
      <c r="E110" s="503"/>
      <c r="F110" s="503"/>
      <c r="G110" s="503"/>
      <c r="H110" s="503"/>
      <c r="I110" s="503"/>
      <c r="J110" s="503"/>
      <c r="K110" s="503"/>
    </row>
    <row r="111" spans="2:11">
      <c r="B111" s="503"/>
      <c r="C111" s="503"/>
      <c r="D111" s="503"/>
      <c r="E111" s="503"/>
      <c r="F111" s="503"/>
      <c r="G111" s="503"/>
      <c r="H111" s="503"/>
      <c r="I111" s="503"/>
      <c r="J111" s="503"/>
      <c r="K111" s="503"/>
    </row>
    <row r="112" spans="2:11">
      <c r="B112" s="503"/>
      <c r="C112" s="503"/>
      <c r="D112" s="503"/>
      <c r="E112" s="503"/>
      <c r="F112" s="503"/>
      <c r="G112" s="503"/>
      <c r="H112" s="503"/>
      <c r="I112" s="503"/>
      <c r="J112" s="503"/>
      <c r="K112" s="503"/>
    </row>
    <row r="113" spans="2:11">
      <c r="B113" s="503"/>
      <c r="C113" s="503"/>
      <c r="D113" s="503"/>
      <c r="E113" s="503"/>
      <c r="F113" s="503"/>
      <c r="G113" s="503"/>
      <c r="H113" s="503"/>
      <c r="I113" s="503"/>
      <c r="J113" s="503"/>
      <c r="K113" s="503"/>
    </row>
    <row r="114" spans="2:11">
      <c r="B114" s="503"/>
      <c r="C114" s="503"/>
      <c r="D114" s="503"/>
      <c r="E114" s="503"/>
      <c r="F114" s="503"/>
      <c r="G114" s="503"/>
      <c r="H114" s="503"/>
      <c r="I114" s="503"/>
      <c r="J114" s="503"/>
      <c r="K114" s="503"/>
    </row>
    <row r="115" spans="2:11">
      <c r="B115" s="503"/>
      <c r="C115" s="503"/>
      <c r="D115" s="503"/>
      <c r="E115" s="503"/>
      <c r="F115" s="503"/>
      <c r="G115" s="503"/>
      <c r="H115" s="503"/>
      <c r="I115" s="503"/>
      <c r="J115" s="503"/>
      <c r="K115" s="503"/>
    </row>
    <row r="116" spans="2:11">
      <c r="B116" s="503"/>
      <c r="C116" s="503"/>
      <c r="D116" s="503"/>
      <c r="E116" s="503"/>
      <c r="F116" s="503"/>
      <c r="G116" s="503"/>
      <c r="H116" s="503"/>
      <c r="I116" s="503"/>
      <c r="J116" s="503"/>
      <c r="K116" s="503"/>
    </row>
    <row r="117" spans="2:11">
      <c r="B117" s="503"/>
      <c r="C117" s="503"/>
      <c r="D117" s="503"/>
      <c r="E117" s="503"/>
      <c r="F117" s="503"/>
      <c r="G117" s="503"/>
      <c r="H117" s="503"/>
      <c r="I117" s="503"/>
      <c r="J117" s="503"/>
      <c r="K117" s="503"/>
    </row>
    <row r="118" spans="2:11">
      <c r="B118" s="503"/>
      <c r="C118" s="503"/>
      <c r="D118" s="503"/>
      <c r="E118" s="503"/>
      <c r="F118" s="503"/>
      <c r="G118" s="503"/>
      <c r="H118" s="503"/>
      <c r="I118" s="503"/>
      <c r="J118" s="503"/>
      <c r="K118" s="503"/>
    </row>
    <row r="119" spans="2:11">
      <c r="B119" s="503"/>
      <c r="C119" s="503"/>
      <c r="D119" s="503"/>
      <c r="E119" s="503"/>
      <c r="F119" s="503"/>
      <c r="G119" s="503"/>
      <c r="H119" s="503"/>
      <c r="I119" s="503"/>
      <c r="J119" s="503"/>
      <c r="K119" s="503"/>
    </row>
    <row r="120" spans="2:11">
      <c r="B120" s="503"/>
      <c r="C120" s="503"/>
      <c r="D120" s="503"/>
      <c r="E120" s="503"/>
      <c r="F120" s="503"/>
      <c r="G120" s="503"/>
      <c r="H120" s="503"/>
      <c r="I120" s="503"/>
      <c r="J120" s="503"/>
      <c r="K120" s="503"/>
    </row>
    <row r="121" spans="2:11">
      <c r="B121" s="503"/>
      <c r="C121" s="503"/>
      <c r="D121" s="503"/>
      <c r="E121" s="503"/>
      <c r="F121" s="503"/>
      <c r="G121" s="503"/>
      <c r="H121" s="503"/>
      <c r="I121" s="503"/>
      <c r="J121" s="503"/>
      <c r="K121" s="503"/>
    </row>
    <row r="122" spans="2:11">
      <c r="B122" s="503"/>
      <c r="C122" s="503"/>
      <c r="D122" s="503"/>
      <c r="E122" s="503"/>
      <c r="F122" s="503"/>
      <c r="G122" s="503"/>
      <c r="H122" s="503"/>
      <c r="I122" s="503"/>
      <c r="J122" s="503"/>
      <c r="K122" s="503"/>
    </row>
    <row r="123" spans="2:11">
      <c r="B123" s="503"/>
      <c r="C123" s="503"/>
      <c r="D123" s="503"/>
      <c r="E123" s="503"/>
      <c r="F123" s="503"/>
      <c r="G123" s="503"/>
      <c r="H123" s="503"/>
      <c r="I123" s="503"/>
      <c r="J123" s="503"/>
      <c r="K123" s="503"/>
    </row>
    <row r="124" spans="2:11">
      <c r="B124" s="503"/>
      <c r="C124" s="503"/>
      <c r="D124" s="503"/>
      <c r="E124" s="503"/>
      <c r="F124" s="503"/>
      <c r="G124" s="503"/>
      <c r="H124" s="503"/>
      <c r="I124" s="503"/>
      <c r="J124" s="503"/>
      <c r="K124" s="503"/>
    </row>
    <row r="125" spans="2:11">
      <c r="B125" s="503"/>
      <c r="C125" s="503"/>
      <c r="D125" s="503"/>
      <c r="E125" s="503"/>
      <c r="F125" s="503"/>
      <c r="G125" s="503"/>
      <c r="H125" s="503"/>
      <c r="I125" s="503"/>
      <c r="J125" s="503"/>
      <c r="K125" s="503"/>
    </row>
    <row r="126" spans="2:11">
      <c r="B126" s="503"/>
      <c r="C126" s="503"/>
      <c r="D126" s="503"/>
      <c r="E126" s="503"/>
      <c r="F126" s="503"/>
      <c r="G126" s="503"/>
      <c r="H126" s="503"/>
      <c r="I126" s="503"/>
      <c r="J126" s="503"/>
      <c r="K126" s="503"/>
    </row>
    <row r="127" spans="2:11">
      <c r="B127" s="503"/>
      <c r="C127" s="503"/>
      <c r="D127" s="503"/>
      <c r="E127" s="503"/>
      <c r="F127" s="503"/>
      <c r="G127" s="503"/>
      <c r="H127" s="503"/>
      <c r="I127" s="503"/>
      <c r="J127" s="503"/>
      <c r="K127" s="503"/>
    </row>
    <row r="128" spans="2:11">
      <c r="B128" s="503"/>
      <c r="C128" s="503"/>
      <c r="D128" s="503"/>
      <c r="E128" s="503"/>
      <c r="F128" s="503"/>
      <c r="G128" s="503"/>
      <c r="H128" s="503"/>
      <c r="I128" s="503"/>
      <c r="J128" s="503"/>
      <c r="K128" s="503"/>
    </row>
    <row r="129" spans="2:11">
      <c r="B129" s="503"/>
      <c r="C129" s="503"/>
      <c r="D129" s="503"/>
      <c r="E129" s="503"/>
      <c r="F129" s="503"/>
      <c r="G129" s="503"/>
      <c r="H129" s="503"/>
      <c r="I129" s="503"/>
      <c r="J129" s="503"/>
      <c r="K129" s="503"/>
    </row>
    <row r="130" spans="2:11">
      <c r="B130" s="503"/>
      <c r="C130" s="503"/>
      <c r="D130" s="503"/>
      <c r="E130" s="503"/>
      <c r="F130" s="503"/>
      <c r="G130" s="503"/>
      <c r="H130" s="503"/>
      <c r="I130" s="503"/>
      <c r="J130" s="503"/>
      <c r="K130" s="503"/>
    </row>
    <row r="131" spans="2:11">
      <c r="B131" s="503"/>
      <c r="C131" s="503"/>
      <c r="D131" s="503"/>
      <c r="E131" s="503"/>
      <c r="F131" s="503"/>
      <c r="G131" s="503"/>
      <c r="H131" s="503"/>
      <c r="I131" s="503"/>
      <c r="J131" s="503"/>
      <c r="K131" s="503"/>
    </row>
    <row r="132" spans="2:11">
      <c r="B132" s="503"/>
      <c r="C132" s="503"/>
      <c r="D132" s="503"/>
      <c r="E132" s="503"/>
      <c r="F132" s="503"/>
      <c r="G132" s="503"/>
      <c r="H132" s="503"/>
      <c r="I132" s="503"/>
      <c r="J132" s="503"/>
      <c r="K132" s="503"/>
    </row>
    <row r="133" spans="2:11">
      <c r="B133" s="503"/>
      <c r="C133" s="503"/>
      <c r="D133" s="503"/>
      <c r="E133" s="503"/>
      <c r="F133" s="503"/>
      <c r="G133" s="503"/>
      <c r="H133" s="503"/>
      <c r="I133" s="503"/>
      <c r="J133" s="503"/>
      <c r="K133" s="503"/>
    </row>
    <row r="134" spans="2:11">
      <c r="B134" s="503"/>
      <c r="C134" s="503"/>
      <c r="D134" s="503"/>
      <c r="E134" s="503"/>
      <c r="F134" s="503"/>
      <c r="G134" s="503"/>
      <c r="H134" s="503"/>
      <c r="I134" s="503"/>
      <c r="J134" s="503"/>
      <c r="K134" s="503"/>
    </row>
    <row r="135" spans="2:11">
      <c r="B135" s="503"/>
      <c r="C135" s="503"/>
      <c r="D135" s="503"/>
      <c r="E135" s="503"/>
      <c r="F135" s="503"/>
      <c r="G135" s="503"/>
      <c r="H135" s="503"/>
      <c r="I135" s="503"/>
      <c r="J135" s="503"/>
      <c r="K135" s="503"/>
    </row>
    <row r="136" spans="2:11">
      <c r="B136" s="503"/>
      <c r="C136" s="503"/>
      <c r="D136" s="503"/>
      <c r="E136" s="503"/>
      <c r="F136" s="503"/>
      <c r="G136" s="503"/>
      <c r="H136" s="503"/>
      <c r="I136" s="503"/>
      <c r="J136" s="503"/>
      <c r="K136" s="503"/>
    </row>
    <row r="137" spans="2:11">
      <c r="B137" s="503"/>
      <c r="C137" s="503"/>
      <c r="D137" s="503"/>
      <c r="E137" s="503"/>
      <c r="F137" s="503"/>
      <c r="G137" s="503"/>
      <c r="H137" s="503"/>
      <c r="I137" s="503"/>
      <c r="J137" s="503"/>
      <c r="K137" s="503"/>
    </row>
    <row r="138" spans="2:11">
      <c r="B138" s="503"/>
      <c r="C138" s="503"/>
      <c r="D138" s="503"/>
      <c r="E138" s="503"/>
      <c r="F138" s="503"/>
      <c r="G138" s="503"/>
      <c r="H138" s="503"/>
      <c r="I138" s="503"/>
      <c r="J138" s="503"/>
      <c r="K138" s="503"/>
    </row>
    <row r="139" spans="2:11">
      <c r="B139" s="503"/>
      <c r="C139" s="503"/>
      <c r="D139" s="503"/>
      <c r="E139" s="503"/>
      <c r="F139" s="503"/>
      <c r="G139" s="503"/>
      <c r="H139" s="503"/>
      <c r="I139" s="503"/>
      <c r="J139" s="503"/>
      <c r="K139" s="503"/>
    </row>
    <row r="140" spans="2:11">
      <c r="B140" s="503"/>
      <c r="C140" s="503"/>
      <c r="D140" s="503"/>
      <c r="E140" s="503"/>
      <c r="F140" s="503"/>
      <c r="G140" s="503"/>
      <c r="H140" s="503"/>
      <c r="I140" s="503"/>
      <c r="J140" s="503"/>
      <c r="K140" s="503"/>
    </row>
    <row r="141" spans="2:11">
      <c r="B141" s="503"/>
      <c r="C141" s="503"/>
      <c r="D141" s="503"/>
      <c r="E141" s="503"/>
      <c r="F141" s="503"/>
      <c r="G141" s="503"/>
      <c r="H141" s="503"/>
      <c r="I141" s="503"/>
      <c r="J141" s="503"/>
      <c r="K141" s="503"/>
    </row>
    <row r="142" spans="2:11">
      <c r="B142" s="503"/>
      <c r="C142" s="503"/>
      <c r="D142" s="503"/>
      <c r="E142" s="503"/>
      <c r="F142" s="503"/>
      <c r="G142" s="503"/>
      <c r="H142" s="503"/>
      <c r="I142" s="503"/>
      <c r="J142" s="503"/>
      <c r="K142" s="503"/>
    </row>
    <row r="143" spans="2:11">
      <c r="B143" s="503"/>
      <c r="C143" s="503"/>
      <c r="D143" s="503"/>
      <c r="E143" s="503"/>
      <c r="F143" s="503"/>
      <c r="G143" s="503"/>
      <c r="H143" s="503"/>
      <c r="I143" s="503"/>
      <c r="J143" s="503"/>
      <c r="K143" s="503"/>
    </row>
    <row r="144" spans="2:11">
      <c r="B144" s="503"/>
      <c r="C144" s="503"/>
      <c r="D144" s="503"/>
      <c r="E144" s="503"/>
      <c r="F144" s="503"/>
      <c r="G144" s="503"/>
      <c r="H144" s="503"/>
      <c r="I144" s="503"/>
      <c r="J144" s="503"/>
      <c r="K144" s="503"/>
    </row>
    <row r="145" spans="2:11">
      <c r="B145" s="503"/>
      <c r="C145" s="503"/>
      <c r="D145" s="503"/>
      <c r="E145" s="503"/>
      <c r="F145" s="503"/>
      <c r="G145" s="503"/>
      <c r="H145" s="503"/>
      <c r="I145" s="503"/>
      <c r="J145" s="503"/>
      <c r="K145" s="503"/>
    </row>
    <row r="146" spans="2:11">
      <c r="B146" s="503"/>
      <c r="C146" s="503"/>
      <c r="D146" s="503"/>
      <c r="E146" s="503"/>
      <c r="F146" s="503"/>
      <c r="G146" s="503"/>
      <c r="H146" s="503"/>
      <c r="I146" s="503"/>
      <c r="J146" s="503"/>
      <c r="K146" s="503"/>
    </row>
    <row r="147" spans="2:11">
      <c r="B147" s="503"/>
      <c r="C147" s="503"/>
      <c r="D147" s="503"/>
      <c r="E147" s="503"/>
      <c r="F147" s="503"/>
      <c r="G147" s="503"/>
      <c r="H147" s="503"/>
      <c r="I147" s="503"/>
      <c r="J147" s="503"/>
      <c r="K147" s="503"/>
    </row>
    <row r="148" spans="2:11">
      <c r="B148" s="503"/>
      <c r="C148" s="503"/>
      <c r="D148" s="503"/>
      <c r="E148" s="503"/>
      <c r="F148" s="503"/>
      <c r="G148" s="503"/>
      <c r="H148" s="503"/>
      <c r="I148" s="503"/>
      <c r="J148" s="503"/>
      <c r="K148" s="503"/>
    </row>
    <row r="149" spans="2:11">
      <c r="B149" s="503"/>
      <c r="C149" s="503"/>
      <c r="D149" s="503"/>
      <c r="E149" s="503"/>
      <c r="F149" s="503"/>
      <c r="G149" s="503"/>
      <c r="H149" s="503"/>
      <c r="I149" s="503"/>
      <c r="J149" s="503"/>
      <c r="K149" s="503"/>
    </row>
    <row r="150" spans="2:11">
      <c r="B150" s="503"/>
      <c r="C150" s="503"/>
      <c r="D150" s="503"/>
      <c r="E150" s="503"/>
      <c r="F150" s="503"/>
      <c r="G150" s="503"/>
      <c r="H150" s="503"/>
      <c r="I150" s="503"/>
      <c r="J150" s="503"/>
      <c r="K150" s="503"/>
    </row>
    <row r="151" spans="2:11">
      <c r="B151" s="503"/>
      <c r="C151" s="503"/>
      <c r="D151" s="503"/>
      <c r="E151" s="503"/>
      <c r="F151" s="503"/>
      <c r="G151" s="503"/>
      <c r="H151" s="503"/>
      <c r="I151" s="503"/>
      <c r="J151" s="503"/>
      <c r="K151" s="503"/>
    </row>
    <row r="152" spans="2:11">
      <c r="B152" s="503"/>
      <c r="C152" s="503"/>
      <c r="D152" s="503"/>
      <c r="E152" s="503"/>
      <c r="F152" s="503"/>
      <c r="G152" s="503"/>
      <c r="H152" s="503"/>
      <c r="I152" s="503"/>
      <c r="J152" s="503"/>
      <c r="K152" s="503"/>
    </row>
    <row r="153" spans="2:11">
      <c r="B153" s="503"/>
      <c r="C153" s="503"/>
      <c r="D153" s="503"/>
      <c r="E153" s="503"/>
      <c r="F153" s="503"/>
      <c r="G153" s="503"/>
      <c r="H153" s="503"/>
      <c r="I153" s="503"/>
      <c r="J153" s="503"/>
      <c r="K153" s="503"/>
    </row>
    <row r="154" spans="2:11">
      <c r="B154" s="503"/>
      <c r="C154" s="503"/>
      <c r="D154" s="503"/>
      <c r="E154" s="503"/>
      <c r="F154" s="503"/>
      <c r="G154" s="503"/>
      <c r="H154" s="503"/>
      <c r="I154" s="503"/>
      <c r="J154" s="503"/>
      <c r="K154" s="503"/>
    </row>
    <row r="155" spans="2:11">
      <c r="B155" s="503"/>
      <c r="C155" s="503"/>
      <c r="D155" s="503"/>
      <c r="E155" s="503"/>
      <c r="F155" s="503"/>
      <c r="G155" s="503"/>
      <c r="H155" s="503"/>
      <c r="I155" s="503"/>
      <c r="J155" s="503"/>
      <c r="K155" s="503"/>
    </row>
    <row r="156" spans="2:11">
      <c r="B156" s="503"/>
      <c r="C156" s="503"/>
      <c r="D156" s="503"/>
      <c r="E156" s="503"/>
      <c r="F156" s="503"/>
      <c r="G156" s="503"/>
      <c r="H156" s="503"/>
      <c r="I156" s="503"/>
      <c r="J156" s="503"/>
      <c r="K156" s="503"/>
    </row>
    <row r="157" spans="2:11">
      <c r="B157" s="503"/>
      <c r="C157" s="503"/>
      <c r="D157" s="503"/>
      <c r="E157" s="503"/>
      <c r="F157" s="503"/>
      <c r="G157" s="503"/>
      <c r="H157" s="503"/>
      <c r="I157" s="503"/>
      <c r="J157" s="503"/>
      <c r="K157" s="503"/>
    </row>
    <row r="158" spans="2:11">
      <c r="B158" s="503"/>
      <c r="C158" s="503"/>
      <c r="D158" s="503"/>
      <c r="E158" s="503"/>
      <c r="F158" s="503"/>
      <c r="G158" s="503"/>
      <c r="H158" s="503"/>
      <c r="I158" s="503"/>
      <c r="J158" s="503"/>
      <c r="K158" s="503"/>
    </row>
    <row r="159" spans="2:11">
      <c r="B159" s="503"/>
      <c r="C159" s="503"/>
      <c r="D159" s="503"/>
      <c r="E159" s="503"/>
      <c r="F159" s="503"/>
      <c r="G159" s="503"/>
      <c r="H159" s="503"/>
      <c r="I159" s="503"/>
      <c r="J159" s="503"/>
      <c r="K159" s="503"/>
    </row>
    <row r="160" spans="2:11">
      <c r="B160" s="503"/>
      <c r="C160" s="503"/>
      <c r="D160" s="503"/>
      <c r="E160" s="503"/>
      <c r="F160" s="503"/>
      <c r="G160" s="503"/>
      <c r="H160" s="503"/>
      <c r="I160" s="503"/>
      <c r="J160" s="503"/>
      <c r="K160" s="503"/>
    </row>
    <row r="161" spans="2:11">
      <c r="B161" s="503"/>
      <c r="C161" s="503"/>
      <c r="D161" s="503"/>
      <c r="E161" s="503"/>
      <c r="F161" s="503"/>
      <c r="G161" s="503"/>
      <c r="H161" s="503"/>
      <c r="I161" s="503"/>
      <c r="J161" s="503"/>
      <c r="K161" s="503"/>
    </row>
    <row r="162" spans="2:11">
      <c r="B162" s="503"/>
      <c r="C162" s="503"/>
      <c r="D162" s="503"/>
      <c r="E162" s="503"/>
      <c r="F162" s="503"/>
      <c r="G162" s="503"/>
      <c r="H162" s="503"/>
      <c r="I162" s="503"/>
      <c r="J162" s="503"/>
      <c r="K162" s="503"/>
    </row>
    <row r="163" spans="2:11">
      <c r="B163" s="503"/>
      <c r="C163" s="503"/>
      <c r="D163" s="503"/>
      <c r="E163" s="503"/>
      <c r="F163" s="503"/>
      <c r="G163" s="503"/>
      <c r="H163" s="503"/>
      <c r="I163" s="503"/>
      <c r="J163" s="503"/>
      <c r="K163" s="503"/>
    </row>
    <row r="164" spans="2:11">
      <c r="B164" s="503"/>
      <c r="C164" s="503"/>
      <c r="D164" s="503"/>
      <c r="E164" s="503"/>
      <c r="F164" s="503"/>
      <c r="G164" s="503"/>
      <c r="H164" s="503"/>
      <c r="I164" s="503"/>
      <c r="J164" s="503"/>
      <c r="K164" s="503"/>
    </row>
    <row r="165" spans="2:11">
      <c r="B165" s="503"/>
      <c r="C165" s="503"/>
      <c r="D165" s="503"/>
      <c r="E165" s="503"/>
      <c r="F165" s="503"/>
      <c r="G165" s="503"/>
      <c r="H165" s="503"/>
      <c r="I165" s="503"/>
      <c r="J165" s="503"/>
      <c r="K165" s="503"/>
    </row>
    <row r="166" spans="2:11">
      <c r="B166" s="503"/>
      <c r="C166" s="503"/>
      <c r="D166" s="503"/>
      <c r="E166" s="503"/>
      <c r="F166" s="503"/>
      <c r="G166" s="503"/>
      <c r="H166" s="503"/>
      <c r="I166" s="503"/>
      <c r="J166" s="503"/>
      <c r="K166" s="503"/>
    </row>
    <row r="167" spans="2:11">
      <c r="B167" s="503"/>
      <c r="C167" s="503"/>
      <c r="D167" s="503"/>
      <c r="E167" s="503"/>
      <c r="F167" s="503"/>
      <c r="G167" s="503"/>
      <c r="H167" s="503"/>
      <c r="I167" s="503"/>
      <c r="J167" s="503"/>
      <c r="K167" s="503"/>
    </row>
    <row r="168" spans="2:11">
      <c r="B168" s="503"/>
      <c r="C168" s="503"/>
      <c r="D168" s="503"/>
      <c r="E168" s="503"/>
      <c r="F168" s="503"/>
      <c r="G168" s="503"/>
      <c r="H168" s="503"/>
      <c r="I168" s="503"/>
      <c r="J168" s="503"/>
      <c r="K168" s="503"/>
    </row>
    <row r="169" spans="2:11">
      <c r="B169" s="503"/>
      <c r="C169" s="503"/>
      <c r="D169" s="503"/>
      <c r="E169" s="503"/>
      <c r="F169" s="503"/>
      <c r="G169" s="503"/>
      <c r="H169" s="503"/>
      <c r="I169" s="503"/>
      <c r="J169" s="503"/>
      <c r="K169" s="503"/>
    </row>
    <row r="170" spans="2:11">
      <c r="B170" s="503"/>
      <c r="C170" s="503"/>
      <c r="D170" s="503"/>
      <c r="E170" s="503"/>
      <c r="F170" s="503"/>
      <c r="G170" s="503"/>
      <c r="H170" s="503"/>
      <c r="I170" s="503"/>
      <c r="J170" s="503"/>
      <c r="K170" s="503"/>
    </row>
    <row r="171" spans="2:11">
      <c r="B171" s="503"/>
      <c r="C171" s="503"/>
      <c r="D171" s="503"/>
      <c r="E171" s="503"/>
      <c r="F171" s="503"/>
      <c r="G171" s="503"/>
      <c r="H171" s="503"/>
      <c r="I171" s="503"/>
      <c r="J171" s="503"/>
      <c r="K171" s="503"/>
    </row>
    <row r="172" spans="2:11">
      <c r="B172" s="503"/>
      <c r="C172" s="503"/>
      <c r="D172" s="503"/>
      <c r="E172" s="503"/>
      <c r="F172" s="503"/>
      <c r="G172" s="503"/>
      <c r="H172" s="503"/>
      <c r="I172" s="503"/>
      <c r="J172" s="503"/>
      <c r="K172" s="503"/>
    </row>
    <row r="173" spans="2:11">
      <c r="B173" s="503"/>
      <c r="C173" s="503"/>
      <c r="D173" s="503"/>
      <c r="E173" s="503"/>
      <c r="F173" s="503"/>
      <c r="G173" s="503"/>
      <c r="H173" s="503"/>
      <c r="I173" s="503"/>
      <c r="J173" s="503"/>
      <c r="K173" s="503"/>
    </row>
    <row r="174" spans="2:11">
      <c r="B174" s="503"/>
      <c r="C174" s="503"/>
      <c r="D174" s="503"/>
      <c r="E174" s="503"/>
      <c r="F174" s="503"/>
      <c r="G174" s="503"/>
      <c r="H174" s="503"/>
      <c r="I174" s="503"/>
      <c r="J174" s="503"/>
      <c r="K174" s="503"/>
    </row>
    <row r="175" spans="2:11">
      <c r="B175" s="503"/>
      <c r="C175" s="503"/>
      <c r="D175" s="503"/>
      <c r="E175" s="503"/>
      <c r="F175" s="503"/>
      <c r="G175" s="503"/>
      <c r="H175" s="503"/>
      <c r="I175" s="503"/>
      <c r="J175" s="503"/>
      <c r="K175" s="503"/>
    </row>
    <row r="176" spans="2:11">
      <c r="B176" s="503"/>
      <c r="C176" s="503"/>
      <c r="D176" s="503"/>
      <c r="E176" s="503"/>
      <c r="F176" s="503"/>
      <c r="G176" s="503"/>
      <c r="H176" s="503"/>
      <c r="I176" s="503"/>
      <c r="J176" s="503"/>
      <c r="K176" s="503"/>
    </row>
    <row r="177" spans="2:11">
      <c r="B177" s="503"/>
      <c r="C177" s="503"/>
      <c r="D177" s="503"/>
      <c r="E177" s="503"/>
      <c r="F177" s="503"/>
      <c r="G177" s="503"/>
      <c r="H177" s="503"/>
      <c r="I177" s="503"/>
      <c r="J177" s="503"/>
      <c r="K177" s="503"/>
    </row>
    <row r="178" spans="2:11">
      <c r="B178" s="503"/>
      <c r="C178" s="503"/>
      <c r="D178" s="503"/>
      <c r="E178" s="503"/>
      <c r="F178" s="503"/>
      <c r="G178" s="503"/>
      <c r="H178" s="503"/>
      <c r="I178" s="503"/>
      <c r="J178" s="503"/>
      <c r="K178" s="503"/>
    </row>
    <row r="179" spans="2:11">
      <c r="B179" s="503"/>
      <c r="C179" s="503"/>
      <c r="D179" s="503"/>
      <c r="E179" s="503"/>
      <c r="F179" s="503"/>
      <c r="G179" s="503"/>
      <c r="H179" s="503"/>
      <c r="I179" s="503"/>
      <c r="J179" s="503"/>
      <c r="K179" s="503"/>
    </row>
    <row r="180" spans="2:11">
      <c r="B180" s="503"/>
      <c r="C180" s="503"/>
      <c r="D180" s="503"/>
      <c r="E180" s="503"/>
      <c r="F180" s="503"/>
      <c r="G180" s="503"/>
      <c r="H180" s="503"/>
      <c r="I180" s="503"/>
      <c r="J180" s="503"/>
      <c r="K180" s="503"/>
    </row>
    <row r="181" spans="2:11">
      <c r="B181" s="503"/>
      <c r="C181" s="503"/>
      <c r="D181" s="503"/>
      <c r="E181" s="503"/>
      <c r="F181" s="503"/>
      <c r="G181" s="503"/>
      <c r="H181" s="503"/>
      <c r="I181" s="503"/>
      <c r="J181" s="503"/>
      <c r="K181" s="503"/>
    </row>
    <row r="182" spans="2:11">
      <c r="B182" s="503"/>
      <c r="C182" s="503"/>
      <c r="D182" s="503"/>
      <c r="E182" s="503"/>
      <c r="F182" s="503"/>
      <c r="G182" s="503"/>
      <c r="H182" s="503"/>
      <c r="I182" s="503"/>
      <c r="J182" s="503"/>
      <c r="K182" s="503"/>
    </row>
    <row r="183" spans="2:11">
      <c r="B183" s="503"/>
      <c r="C183" s="503"/>
      <c r="D183" s="503"/>
      <c r="E183" s="503"/>
      <c r="F183" s="503"/>
      <c r="G183" s="503"/>
      <c r="H183" s="503"/>
      <c r="I183" s="503"/>
      <c r="J183" s="503"/>
      <c r="K183" s="503"/>
    </row>
    <row r="184" spans="2:11">
      <c r="B184" s="503"/>
      <c r="C184" s="503"/>
      <c r="D184" s="503"/>
      <c r="E184" s="503"/>
      <c r="F184" s="503"/>
      <c r="G184" s="503"/>
      <c r="H184" s="503"/>
      <c r="I184" s="503"/>
      <c r="J184" s="503"/>
      <c r="K184" s="503"/>
    </row>
    <row r="185" spans="2:11">
      <c r="B185" s="503"/>
      <c r="C185" s="503"/>
      <c r="D185" s="503"/>
      <c r="E185" s="503"/>
      <c r="F185" s="503"/>
      <c r="G185" s="503"/>
      <c r="H185" s="503"/>
      <c r="I185" s="503"/>
      <c r="J185" s="503"/>
      <c r="K185" s="503"/>
    </row>
    <row r="186" spans="2:11">
      <c r="B186" s="503"/>
      <c r="C186" s="503"/>
      <c r="D186" s="503"/>
      <c r="E186" s="503"/>
      <c r="F186" s="503"/>
      <c r="G186" s="503"/>
      <c r="H186" s="503"/>
      <c r="I186" s="503"/>
      <c r="J186" s="503"/>
      <c r="K186" s="503"/>
    </row>
    <row r="187" spans="2:11">
      <c r="B187" s="503"/>
      <c r="C187" s="503"/>
      <c r="D187" s="503"/>
      <c r="E187" s="503"/>
      <c r="F187" s="503"/>
      <c r="G187" s="503"/>
      <c r="H187" s="503"/>
      <c r="I187" s="503"/>
      <c r="J187" s="503"/>
      <c r="K187" s="503"/>
    </row>
    <row r="188" spans="2:11">
      <c r="B188" s="503"/>
      <c r="C188" s="503"/>
      <c r="D188" s="503"/>
      <c r="E188" s="503"/>
      <c r="F188" s="503"/>
      <c r="G188" s="503"/>
      <c r="H188" s="503"/>
      <c r="I188" s="503"/>
      <c r="J188" s="503"/>
      <c r="K188" s="503"/>
    </row>
    <row r="189" spans="2:11">
      <c r="B189" s="503"/>
      <c r="C189" s="503"/>
      <c r="D189" s="503"/>
      <c r="E189" s="503"/>
      <c r="F189" s="503"/>
      <c r="G189" s="503"/>
      <c r="H189" s="503"/>
      <c r="I189" s="503"/>
      <c r="J189" s="503"/>
      <c r="K189" s="503"/>
    </row>
    <row r="190" spans="2:11">
      <c r="B190" s="503"/>
      <c r="C190" s="503"/>
      <c r="D190" s="503"/>
      <c r="E190" s="503"/>
      <c r="F190" s="503"/>
      <c r="G190" s="503"/>
      <c r="H190" s="503"/>
      <c r="I190" s="503"/>
      <c r="J190" s="503"/>
      <c r="K190" s="503"/>
    </row>
    <row r="191" spans="2:11">
      <c r="B191" s="503"/>
      <c r="C191" s="503"/>
      <c r="D191" s="503"/>
      <c r="E191" s="503"/>
      <c r="F191" s="503"/>
      <c r="G191" s="503"/>
      <c r="H191" s="503"/>
      <c r="I191" s="503"/>
      <c r="J191" s="503"/>
      <c r="K191" s="503"/>
    </row>
    <row r="192" spans="2:11">
      <c r="B192" s="503"/>
      <c r="C192" s="503"/>
      <c r="D192" s="503"/>
      <c r="E192" s="503"/>
      <c r="F192" s="503"/>
      <c r="G192" s="503"/>
      <c r="H192" s="503"/>
      <c r="I192" s="503"/>
      <c r="J192" s="503"/>
      <c r="K192" s="503"/>
    </row>
    <row r="193" spans="2:11">
      <c r="B193" s="503"/>
      <c r="C193" s="503"/>
      <c r="D193" s="503"/>
      <c r="E193" s="503"/>
      <c r="F193" s="503"/>
      <c r="G193" s="503"/>
      <c r="H193" s="503"/>
      <c r="I193" s="503"/>
      <c r="J193" s="503"/>
      <c r="K193" s="503"/>
    </row>
    <row r="194" spans="2:11">
      <c r="B194" s="503"/>
      <c r="C194" s="503"/>
      <c r="D194" s="503"/>
      <c r="E194" s="503"/>
      <c r="F194" s="503"/>
      <c r="G194" s="503"/>
      <c r="H194" s="503"/>
      <c r="I194" s="503"/>
      <c r="J194" s="503"/>
      <c r="K194" s="503"/>
    </row>
    <row r="195" spans="2:11">
      <c r="B195" s="503"/>
      <c r="C195" s="503"/>
      <c r="D195" s="503"/>
      <c r="E195" s="503"/>
      <c r="F195" s="503"/>
      <c r="G195" s="503"/>
      <c r="H195" s="503"/>
      <c r="I195" s="503"/>
      <c r="J195" s="503"/>
      <c r="K195" s="503"/>
    </row>
    <row r="196" spans="2:11">
      <c r="B196" s="503"/>
      <c r="C196" s="503"/>
      <c r="D196" s="503"/>
      <c r="E196" s="503"/>
      <c r="F196" s="503"/>
      <c r="G196" s="503"/>
      <c r="H196" s="503"/>
      <c r="I196" s="503"/>
      <c r="J196" s="503"/>
      <c r="K196" s="503"/>
    </row>
    <row r="197" spans="2:11">
      <c r="B197" s="503"/>
      <c r="C197" s="503"/>
      <c r="D197" s="503"/>
      <c r="E197" s="503"/>
      <c r="F197" s="503"/>
      <c r="G197" s="503"/>
      <c r="H197" s="503"/>
      <c r="I197" s="503"/>
      <c r="J197" s="503"/>
      <c r="K197" s="503"/>
    </row>
    <row r="198" spans="2:11">
      <c r="B198" s="503"/>
      <c r="C198" s="503"/>
      <c r="D198" s="503"/>
      <c r="E198" s="503"/>
      <c r="F198" s="503"/>
      <c r="G198" s="503"/>
      <c r="H198" s="503"/>
      <c r="I198" s="503"/>
      <c r="J198" s="503"/>
      <c r="K198" s="503"/>
    </row>
    <row r="199" spans="2:11">
      <c r="B199" s="503"/>
      <c r="C199" s="503"/>
      <c r="D199" s="503"/>
      <c r="E199" s="503"/>
      <c r="F199" s="503"/>
      <c r="G199" s="503"/>
      <c r="H199" s="503"/>
      <c r="I199" s="503"/>
      <c r="J199" s="503"/>
      <c r="K199" s="503"/>
    </row>
    <row r="200" spans="2:11">
      <c r="B200" s="503"/>
      <c r="C200" s="503"/>
      <c r="D200" s="503"/>
      <c r="E200" s="503"/>
      <c r="F200" s="503"/>
      <c r="G200" s="503"/>
      <c r="H200" s="503"/>
      <c r="I200" s="503"/>
      <c r="J200" s="503"/>
      <c r="K200" s="503"/>
    </row>
    <row r="201" spans="2:11">
      <c r="B201" s="503"/>
      <c r="C201" s="503"/>
      <c r="D201" s="503"/>
      <c r="E201" s="503"/>
      <c r="F201" s="503"/>
      <c r="G201" s="503"/>
      <c r="H201" s="503"/>
      <c r="I201" s="503"/>
      <c r="J201" s="503"/>
      <c r="K201" s="503"/>
    </row>
    <row r="202" spans="2:11">
      <c r="B202" s="503"/>
      <c r="C202" s="503"/>
      <c r="D202" s="503"/>
      <c r="E202" s="503"/>
      <c r="F202" s="503"/>
      <c r="G202" s="503"/>
      <c r="H202" s="503"/>
      <c r="I202" s="503"/>
      <c r="J202" s="503"/>
      <c r="K202" s="503"/>
    </row>
    <row r="203" spans="2:11">
      <c r="B203" s="503"/>
      <c r="C203" s="503"/>
      <c r="D203" s="503"/>
      <c r="E203" s="503"/>
      <c r="F203" s="503"/>
      <c r="G203" s="503"/>
      <c r="H203" s="503"/>
      <c r="I203" s="503"/>
      <c r="J203" s="503"/>
      <c r="K203" s="503"/>
    </row>
    <row r="204" spans="2:11">
      <c r="B204" s="503"/>
      <c r="C204" s="503"/>
      <c r="D204" s="503"/>
      <c r="E204" s="503"/>
      <c r="F204" s="503"/>
      <c r="G204" s="503"/>
      <c r="H204" s="503"/>
      <c r="I204" s="503"/>
      <c r="J204" s="503"/>
      <c r="K204" s="503"/>
    </row>
    <row r="205" spans="2:11">
      <c r="B205" s="503"/>
      <c r="C205" s="503"/>
      <c r="D205" s="503"/>
      <c r="E205" s="503"/>
      <c r="F205" s="503"/>
      <c r="G205" s="503"/>
      <c r="H205" s="503"/>
      <c r="I205" s="503"/>
      <c r="J205" s="503"/>
      <c r="K205" s="503"/>
    </row>
    <row r="206" spans="2:11">
      <c r="B206" s="503"/>
      <c r="C206" s="503"/>
      <c r="D206" s="503"/>
      <c r="E206" s="503"/>
      <c r="F206" s="503"/>
      <c r="G206" s="503"/>
      <c r="H206" s="503"/>
      <c r="I206" s="503"/>
      <c r="J206" s="503"/>
      <c r="K206" s="503"/>
    </row>
    <row r="207" spans="2:11">
      <c r="B207" s="503"/>
      <c r="C207" s="503"/>
      <c r="D207" s="503"/>
      <c r="E207" s="503"/>
      <c r="F207" s="503"/>
      <c r="G207" s="503"/>
      <c r="H207" s="503"/>
      <c r="I207" s="503"/>
      <c r="J207" s="503"/>
      <c r="K207" s="503"/>
    </row>
    <row r="208" spans="2:11">
      <c r="B208" s="503"/>
      <c r="C208" s="503"/>
      <c r="D208" s="503"/>
      <c r="E208" s="503"/>
      <c r="F208" s="503"/>
      <c r="G208" s="503"/>
      <c r="H208" s="503"/>
      <c r="I208" s="503"/>
      <c r="J208" s="503"/>
      <c r="K208" s="503"/>
    </row>
    <row r="209" spans="2:11">
      <c r="B209" s="503"/>
      <c r="C209" s="503"/>
      <c r="D209" s="503"/>
      <c r="E209" s="503"/>
      <c r="F209" s="503"/>
      <c r="G209" s="503"/>
      <c r="H209" s="503"/>
      <c r="I209" s="503"/>
      <c r="J209" s="503"/>
      <c r="K209" s="503"/>
    </row>
    <row r="210" spans="2:11">
      <c r="B210" s="503"/>
      <c r="C210" s="503"/>
      <c r="D210" s="503"/>
      <c r="E210" s="503"/>
      <c r="F210" s="503"/>
      <c r="G210" s="503"/>
      <c r="H210" s="503"/>
      <c r="I210" s="503"/>
      <c r="J210" s="503"/>
      <c r="K210" s="503"/>
    </row>
    <row r="211" spans="2:11">
      <c r="B211" s="503"/>
      <c r="C211" s="503"/>
      <c r="D211" s="503"/>
      <c r="E211" s="503"/>
      <c r="F211" s="503"/>
      <c r="G211" s="503"/>
      <c r="H211" s="503"/>
      <c r="I211" s="503"/>
      <c r="J211" s="503"/>
      <c r="K211" s="503"/>
    </row>
    <row r="212" spans="2:11">
      <c r="B212" s="503"/>
      <c r="C212" s="503"/>
      <c r="D212" s="503"/>
      <c r="E212" s="503"/>
      <c r="F212" s="503"/>
      <c r="G212" s="503"/>
      <c r="H212" s="503"/>
      <c r="I212" s="503"/>
      <c r="J212" s="503"/>
      <c r="K212" s="503"/>
    </row>
    <row r="213" spans="2:11">
      <c r="B213" s="503"/>
      <c r="C213" s="503"/>
      <c r="D213" s="503"/>
      <c r="E213" s="503"/>
      <c r="F213" s="503"/>
      <c r="G213" s="503"/>
      <c r="H213" s="503"/>
      <c r="I213" s="503"/>
      <c r="J213" s="503"/>
      <c r="K213" s="503"/>
    </row>
    <row r="214" spans="2:11">
      <c r="B214" s="503"/>
      <c r="C214" s="503"/>
      <c r="D214" s="503"/>
      <c r="E214" s="503"/>
      <c r="F214" s="503"/>
      <c r="G214" s="503"/>
      <c r="H214" s="503"/>
      <c r="I214" s="503"/>
      <c r="J214" s="503"/>
      <c r="K214" s="503"/>
    </row>
    <row r="215" spans="2:11">
      <c r="B215" s="503"/>
      <c r="C215" s="503"/>
      <c r="D215" s="503"/>
      <c r="E215" s="503"/>
      <c r="F215" s="503"/>
      <c r="G215" s="503"/>
      <c r="H215" s="503"/>
      <c r="I215" s="503"/>
      <c r="J215" s="503"/>
      <c r="K215" s="503"/>
    </row>
    <row r="216" spans="2:11">
      <c r="B216" s="503"/>
      <c r="C216" s="503"/>
      <c r="D216" s="503"/>
      <c r="E216" s="503"/>
      <c r="F216" s="503"/>
      <c r="G216" s="503"/>
      <c r="H216" s="503"/>
      <c r="I216" s="503"/>
      <c r="J216" s="503"/>
      <c r="K216" s="503"/>
    </row>
    <row r="217" spans="2:11">
      <c r="B217" s="503"/>
      <c r="C217" s="503"/>
      <c r="D217" s="503"/>
      <c r="E217" s="503"/>
      <c r="F217" s="503"/>
      <c r="G217" s="503"/>
      <c r="H217" s="503"/>
      <c r="I217" s="503"/>
      <c r="J217" s="503"/>
      <c r="K217" s="503"/>
    </row>
    <row r="218" spans="2:11">
      <c r="B218" s="503"/>
      <c r="C218" s="503"/>
      <c r="D218" s="503"/>
      <c r="E218" s="503"/>
      <c r="F218" s="503"/>
      <c r="G218" s="503"/>
      <c r="H218" s="503"/>
      <c r="I218" s="503"/>
      <c r="J218" s="503"/>
      <c r="K218" s="503"/>
    </row>
    <row r="219" spans="2:11">
      <c r="B219" s="503"/>
      <c r="C219" s="503"/>
      <c r="D219" s="503"/>
      <c r="E219" s="503"/>
      <c r="F219" s="503"/>
      <c r="G219" s="503"/>
      <c r="H219" s="503"/>
      <c r="I219" s="503"/>
      <c r="J219" s="503"/>
      <c r="K219" s="503"/>
    </row>
    <row r="220" spans="2:11">
      <c r="B220" s="503"/>
      <c r="C220" s="503"/>
      <c r="D220" s="503"/>
      <c r="E220" s="503"/>
      <c r="F220" s="503"/>
      <c r="G220" s="503"/>
      <c r="H220" s="503"/>
      <c r="I220" s="503"/>
      <c r="J220" s="503"/>
      <c r="K220" s="503"/>
    </row>
    <row r="221" spans="2:11">
      <c r="B221" s="503"/>
      <c r="C221" s="503"/>
      <c r="D221" s="503"/>
      <c r="E221" s="503"/>
      <c r="F221" s="503"/>
      <c r="G221" s="503"/>
      <c r="H221" s="503"/>
      <c r="I221" s="503"/>
      <c r="J221" s="503"/>
      <c r="K221" s="503"/>
    </row>
    <row r="222" spans="2:11">
      <c r="B222" s="503"/>
      <c r="C222" s="503"/>
      <c r="D222" s="503"/>
      <c r="E222" s="503"/>
      <c r="F222" s="503"/>
      <c r="G222" s="503"/>
      <c r="H222" s="503"/>
      <c r="I222" s="503"/>
      <c r="J222" s="503"/>
      <c r="K222" s="503"/>
    </row>
    <row r="223" spans="2:11">
      <c r="B223" s="503"/>
      <c r="C223" s="503"/>
      <c r="D223" s="503"/>
      <c r="E223" s="503"/>
      <c r="F223" s="503"/>
      <c r="G223" s="503"/>
      <c r="H223" s="503"/>
      <c r="I223" s="503"/>
      <c r="J223" s="503"/>
      <c r="K223" s="503"/>
    </row>
    <row r="224" spans="2:11">
      <c r="B224" s="503"/>
      <c r="C224" s="503"/>
      <c r="D224" s="503"/>
      <c r="E224" s="503"/>
      <c r="F224" s="503"/>
      <c r="G224" s="503"/>
      <c r="H224" s="503"/>
      <c r="I224" s="503"/>
      <c r="J224" s="503"/>
      <c r="K224" s="503"/>
    </row>
    <row r="225" spans="2:11">
      <c r="B225" s="503"/>
      <c r="C225" s="503"/>
      <c r="D225" s="503"/>
      <c r="E225" s="503"/>
      <c r="F225" s="503"/>
      <c r="G225" s="503"/>
      <c r="H225" s="503"/>
      <c r="I225" s="503"/>
      <c r="J225" s="503"/>
      <c r="K225" s="503"/>
    </row>
    <row r="226" spans="2:11">
      <c r="B226" s="503"/>
      <c r="C226" s="503"/>
      <c r="D226" s="503"/>
      <c r="E226" s="503"/>
      <c r="F226" s="503"/>
      <c r="G226" s="503"/>
      <c r="H226" s="503"/>
      <c r="I226" s="503"/>
      <c r="J226" s="503"/>
      <c r="K226" s="503"/>
    </row>
  </sheetData>
  <mergeCells count="5">
    <mergeCell ref="A8:A9"/>
    <mergeCell ref="D7:H7"/>
    <mergeCell ref="I7:K7"/>
    <mergeCell ref="A4:K4"/>
    <mergeCell ref="B1:C1"/>
  </mergeCells>
  <phoneticPr fontId="24"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48" orientation="portrait" horizontalDpi="4294967292" verticalDpi="4294967292"/>
  <ignoredErrors>
    <ignoredError sqref="D10 D13 D19" formula="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enableFormatConditionsCalculation="0">
    <tabColor theme="5" tint="0.59999389629810485"/>
    <pageSetUpPr fitToPage="1"/>
  </sheetPr>
  <dimension ref="A1:T225"/>
  <sheetViews>
    <sheetView workbookViewId="0">
      <pane xSplit="1" ySplit="8" topLeftCell="B9" activePane="bottomRight" state="frozen"/>
      <selection activeCell="B1" sqref="B1:C1"/>
      <selection pane="topRight" activeCell="B1" sqref="B1:C1"/>
      <selection pane="bottomLeft" activeCell="B1" sqref="B1:C1"/>
      <selection pane="bottomRight" activeCell="A4" sqref="A4:R4"/>
    </sheetView>
  </sheetViews>
  <sheetFormatPr baseColWidth="10" defaultRowHeight="12" x14ac:dyDescent="0"/>
  <cols>
    <col min="1" max="1" width="10.6640625" style="444" customWidth="1"/>
    <col min="2" max="3" width="10.83203125" style="444" customWidth="1"/>
    <col min="4" max="18" width="10.33203125" style="444" customWidth="1"/>
    <col min="19" max="16384" width="10.83203125" style="444"/>
  </cols>
  <sheetData>
    <row r="1" spans="1:18">
      <c r="B1" s="2252" t="s">
        <v>1416</v>
      </c>
      <c r="C1" s="2252"/>
    </row>
    <row r="2" spans="1:18">
      <c r="B2" s="616"/>
      <c r="C2" s="616"/>
      <c r="D2" s="616"/>
      <c r="E2" s="616"/>
      <c r="F2" s="616"/>
      <c r="G2" s="616"/>
      <c r="H2" s="616"/>
      <c r="I2" s="616"/>
      <c r="J2" s="616"/>
      <c r="K2" s="616"/>
      <c r="L2" s="616"/>
      <c r="M2" s="616"/>
      <c r="N2" s="616"/>
      <c r="O2" s="616"/>
      <c r="P2" s="616"/>
      <c r="Q2" s="616"/>
      <c r="R2" s="616"/>
    </row>
    <row r="3" spans="1:18" ht="13" thickBot="1"/>
    <row r="4" spans="1:18" ht="19.75" customHeight="1" thickTop="1">
      <c r="A4" s="2315" t="s">
        <v>1479</v>
      </c>
      <c r="B4" s="2316"/>
      <c r="C4" s="2316"/>
      <c r="D4" s="2316"/>
      <c r="E4" s="2316"/>
      <c r="F4" s="2316"/>
      <c r="G4" s="2316"/>
      <c r="H4" s="2316"/>
      <c r="I4" s="2316"/>
      <c r="J4" s="2316"/>
      <c r="K4" s="2316"/>
      <c r="L4" s="2316"/>
      <c r="M4" s="2316"/>
      <c r="N4" s="2316"/>
      <c r="O4" s="2316"/>
      <c r="P4" s="2316"/>
      <c r="Q4" s="2316"/>
      <c r="R4" s="2317"/>
    </row>
    <row r="5" spans="1:18">
      <c r="A5" s="445"/>
      <c r="B5" s="446"/>
      <c r="C5" s="446"/>
      <c r="D5" s="446"/>
      <c r="E5" s="446"/>
      <c r="F5" s="446"/>
      <c r="G5" s="446"/>
      <c r="H5" s="446"/>
      <c r="I5" s="446"/>
      <c r="J5" s="446"/>
      <c r="K5" s="446"/>
      <c r="L5" s="446"/>
      <c r="M5" s="446"/>
      <c r="N5" s="446"/>
      <c r="O5" s="446"/>
      <c r="P5" s="446"/>
      <c r="Q5" s="446"/>
      <c r="R5" s="617"/>
    </row>
    <row r="6" spans="1:18">
      <c r="A6" s="445"/>
      <c r="B6" s="447" t="s">
        <v>952</v>
      </c>
      <c r="C6" s="447" t="s">
        <v>953</v>
      </c>
      <c r="D6" s="447" t="s">
        <v>954</v>
      </c>
      <c r="E6" s="447" t="s">
        <v>955</v>
      </c>
      <c r="F6" s="447" t="s">
        <v>956</v>
      </c>
      <c r="G6" s="447" t="s">
        <v>957</v>
      </c>
      <c r="H6" s="447" t="s">
        <v>958</v>
      </c>
      <c r="I6" s="447" t="s">
        <v>959</v>
      </c>
      <c r="J6" s="447" t="s">
        <v>960</v>
      </c>
      <c r="K6" s="859" t="s">
        <v>961</v>
      </c>
      <c r="L6" s="447" t="s">
        <v>962</v>
      </c>
      <c r="M6" s="447" t="s">
        <v>961</v>
      </c>
      <c r="N6" s="447" t="s">
        <v>963</v>
      </c>
      <c r="O6" s="447" t="s">
        <v>964</v>
      </c>
      <c r="P6" s="859" t="s">
        <v>965</v>
      </c>
      <c r="Q6" s="859" t="s">
        <v>120</v>
      </c>
      <c r="R6" s="618" t="s">
        <v>121</v>
      </c>
    </row>
    <row r="7" spans="1:18" ht="60" customHeight="1">
      <c r="A7" s="2322"/>
      <c r="B7" s="2330" t="s">
        <v>901</v>
      </c>
      <c r="C7" s="2327"/>
      <c r="D7" s="2325" t="s">
        <v>903</v>
      </c>
      <c r="E7" s="2326"/>
      <c r="F7" s="2326"/>
      <c r="G7" s="2327"/>
      <c r="H7" s="2325" t="s">
        <v>904</v>
      </c>
      <c r="I7" s="2327"/>
      <c r="J7" s="2325" t="s">
        <v>903</v>
      </c>
      <c r="K7" s="2326"/>
      <c r="L7" s="2326"/>
      <c r="M7" s="2327"/>
      <c r="N7" s="2325" t="s">
        <v>926</v>
      </c>
      <c r="O7" s="2327"/>
      <c r="P7" s="2325" t="s">
        <v>903</v>
      </c>
      <c r="Q7" s="2326"/>
      <c r="R7" s="2328"/>
    </row>
    <row r="8" spans="1:18" ht="49.75" customHeight="1">
      <c r="A8" s="2322"/>
      <c r="B8" s="2165" t="s">
        <v>924</v>
      </c>
      <c r="C8" s="2166" t="s">
        <v>925</v>
      </c>
      <c r="D8" s="2167" t="s">
        <v>921</v>
      </c>
      <c r="E8" s="2169" t="s">
        <v>922</v>
      </c>
      <c r="F8" s="2169" t="s">
        <v>1489</v>
      </c>
      <c r="G8" s="2168" t="s">
        <v>923</v>
      </c>
      <c r="H8" s="2167" t="s">
        <v>924</v>
      </c>
      <c r="I8" s="2168" t="s">
        <v>925</v>
      </c>
      <c r="J8" s="2167" t="s">
        <v>921</v>
      </c>
      <c r="K8" s="2169" t="s">
        <v>922</v>
      </c>
      <c r="L8" s="2169" t="s">
        <v>1489</v>
      </c>
      <c r="M8" s="2166" t="s">
        <v>923</v>
      </c>
      <c r="N8" s="2168" t="s">
        <v>924</v>
      </c>
      <c r="O8" s="2168" t="s">
        <v>925</v>
      </c>
      <c r="P8" s="2167" t="s">
        <v>921</v>
      </c>
      <c r="Q8" s="2169" t="s">
        <v>922</v>
      </c>
      <c r="R8" s="2170" t="s">
        <v>923</v>
      </c>
    </row>
    <row r="9" spans="1:18" ht="15" customHeight="1">
      <c r="A9" s="463" t="s">
        <v>444</v>
      </c>
      <c r="B9" s="620">
        <f>TableUK5d!K$10</f>
        <v>7.0344827586206904</v>
      </c>
      <c r="C9" s="860">
        <f>TableUK5b!$F$165</f>
        <v>5.2255482740227084</v>
      </c>
      <c r="D9" s="622">
        <f>$B9/((1+TableUK4b!$B10)^310)</f>
        <v>4.4404427084076617E-2</v>
      </c>
      <c r="E9" s="621">
        <f>E36+E12/(1+TableUK4b!B37)^100</f>
        <v>2.9427680517637924</v>
      </c>
      <c r="F9" s="621">
        <f>F36+F12/(1+TableUK4b!C37)^100</f>
        <v>-4.7748729341195513E-2</v>
      </c>
      <c r="G9" s="621">
        <f>C9-D9-E9-F9</f>
        <v>2.2861245245160347</v>
      </c>
      <c r="H9" s="622">
        <f>B9</f>
        <v>7.0344827586206904</v>
      </c>
      <c r="I9" s="621">
        <f>I30</f>
        <v>5.2740688104854074</v>
      </c>
      <c r="J9" s="459"/>
      <c r="K9" s="458"/>
      <c r="L9" s="458"/>
      <c r="M9" s="460"/>
      <c r="N9" s="621"/>
      <c r="O9" s="621"/>
      <c r="P9" s="459"/>
      <c r="Q9" s="458"/>
      <c r="R9" s="462"/>
    </row>
    <row r="10" spans="1:18" ht="15" customHeight="1">
      <c r="A10" s="448"/>
      <c r="B10" s="625"/>
      <c r="C10" s="888"/>
      <c r="D10" s="627">
        <f>D9/$C9</f>
        <v>8.497563270981591E-3</v>
      </c>
      <c r="E10" s="628">
        <f>E9/$C9</f>
        <v>0.56315010357724693</v>
      </c>
      <c r="F10" s="628">
        <f>F9/$C9</f>
        <v>-9.1375539632012233E-3</v>
      </c>
      <c r="G10" s="628">
        <f>G9/$C9</f>
        <v>0.43748988711497261</v>
      </c>
      <c r="H10" s="627"/>
      <c r="I10" s="628"/>
      <c r="J10" s="459"/>
      <c r="K10" s="458"/>
      <c r="L10" s="458"/>
      <c r="M10" s="460"/>
      <c r="N10" s="628"/>
      <c r="O10" s="628"/>
      <c r="P10" s="459"/>
      <c r="Q10" s="458"/>
      <c r="R10" s="462"/>
    </row>
    <row r="11" spans="1:18" ht="4.75" customHeight="1">
      <c r="A11" s="451"/>
      <c r="B11" s="457"/>
      <c r="C11" s="460"/>
      <c r="D11" s="459"/>
      <c r="E11" s="458"/>
      <c r="F11" s="458"/>
      <c r="G11" s="458"/>
      <c r="H11" s="459"/>
      <c r="I11" s="458"/>
      <c r="J11" s="459"/>
      <c r="K11" s="458"/>
      <c r="L11" s="458"/>
      <c r="M11" s="460"/>
      <c r="N11" s="458"/>
      <c r="O11" s="458"/>
      <c r="P11" s="459"/>
      <c r="Q11" s="458"/>
      <c r="R11" s="462"/>
    </row>
    <row r="12" spans="1:18" ht="15" customHeight="1">
      <c r="A12" s="463" t="s">
        <v>443</v>
      </c>
      <c r="B12" s="620">
        <f>TableUK5d!K$10</f>
        <v>7.0344827586206904</v>
      </c>
      <c r="C12" s="860">
        <f>TableUK5b!$F$65</f>
        <v>7.1864424691487558</v>
      </c>
      <c r="D12" s="622">
        <f>$B12/((1+TableUK4b!$B13)^210)</f>
        <v>0.31043666877275095</v>
      </c>
      <c r="E12" s="621">
        <f>E21+E15/(1+TableUK4b!B22)^100</f>
        <v>4.9614840580288897</v>
      </c>
      <c r="F12" s="621">
        <f>F21+F15/(1+TableUK4b!C22)^100</f>
        <v>0</v>
      </c>
      <c r="G12" s="621">
        <f>C12-D12-E12-F12</f>
        <v>1.914521742347115</v>
      </c>
      <c r="H12" s="622">
        <f>B12</f>
        <v>7.0344827586206904</v>
      </c>
      <c r="I12" s="621">
        <f>C12</f>
        <v>7.1864424691487558</v>
      </c>
      <c r="J12" s="459"/>
      <c r="K12" s="458"/>
      <c r="L12" s="458"/>
      <c r="M12" s="460"/>
      <c r="N12" s="621"/>
      <c r="O12" s="621"/>
      <c r="P12" s="459"/>
      <c r="Q12" s="458"/>
      <c r="R12" s="462"/>
    </row>
    <row r="13" spans="1:18" ht="15" customHeight="1">
      <c r="A13" s="448"/>
      <c r="B13" s="625"/>
      <c r="C13" s="888"/>
      <c r="D13" s="627">
        <f>D12/$C12</f>
        <v>4.3197544557748699E-2</v>
      </c>
      <c r="E13" s="628">
        <f>E12/$C12</f>
        <v>0.69039501524272051</v>
      </c>
      <c r="F13" s="628">
        <f>F12/$C12</f>
        <v>0</v>
      </c>
      <c r="G13" s="628">
        <f>G12/$C12</f>
        <v>0.26640744019953072</v>
      </c>
      <c r="H13" s="627"/>
      <c r="I13" s="628"/>
      <c r="J13" s="459"/>
      <c r="K13" s="458"/>
      <c r="L13" s="458"/>
      <c r="M13" s="460"/>
      <c r="N13" s="628"/>
      <c r="O13" s="628"/>
      <c r="P13" s="459"/>
      <c r="Q13" s="458"/>
      <c r="R13" s="462"/>
    </row>
    <row r="14" spans="1:18" ht="4.75" customHeight="1">
      <c r="A14" s="451"/>
      <c r="B14" s="457"/>
      <c r="C14" s="460"/>
      <c r="D14" s="459"/>
      <c r="E14" s="458"/>
      <c r="F14" s="458"/>
      <c r="G14" s="458"/>
      <c r="H14" s="459"/>
      <c r="I14" s="458"/>
      <c r="J14" s="459"/>
      <c r="K14" s="458"/>
      <c r="L14" s="458"/>
      <c r="M14" s="460"/>
      <c r="N14" s="458"/>
      <c r="O14" s="458"/>
      <c r="P14" s="459"/>
      <c r="Q14" s="458"/>
      <c r="R14" s="462"/>
    </row>
    <row r="15" spans="1:18" ht="15" customHeight="1">
      <c r="A15" s="463" t="s">
        <v>676</v>
      </c>
      <c r="B15" s="620">
        <f>TableUK5d!K$10</f>
        <v>7.0344827586206904</v>
      </c>
      <c r="C15" s="860">
        <f>TableUK5d!K21</f>
        <v>6.6894975888217552</v>
      </c>
      <c r="D15" s="622">
        <f>$B15/((1+TableUK4b!$B16)^110)</f>
        <v>2.4099581838960051</v>
      </c>
      <c r="E15" s="621">
        <f>(5*SUMPRODUCT(TableUK5d!B10:B20,TableUK5d!M10:M20)+5*SUMPRODUCT(TableUK5d!B11:B21,TableUK5d!M10:M20))/TableUK5d!B21</f>
        <v>4.2016529858332357</v>
      </c>
      <c r="F15" s="621">
        <v>0</v>
      </c>
      <c r="G15" s="621">
        <f>C15-D15-E15-F15</f>
        <v>7.7886419092513925E-2</v>
      </c>
      <c r="H15" s="622">
        <f>B15</f>
        <v>7.0344827586206904</v>
      </c>
      <c r="I15" s="621">
        <f>C15</f>
        <v>6.6894975888217552</v>
      </c>
      <c r="J15" s="459"/>
      <c r="K15" s="458"/>
      <c r="L15" s="458"/>
      <c r="M15" s="460"/>
      <c r="N15" s="621"/>
      <c r="O15" s="621"/>
      <c r="P15" s="459"/>
      <c r="Q15" s="458"/>
      <c r="R15" s="462"/>
    </row>
    <row r="16" spans="1:18" ht="15" customHeight="1">
      <c r="A16" s="448"/>
      <c r="B16" s="625"/>
      <c r="C16" s="888"/>
      <c r="D16" s="627">
        <f>D15/$C15</f>
        <v>0.36025996749338535</v>
      </c>
      <c r="E16" s="628">
        <f>E15/$C15</f>
        <v>0.62809694301321772</v>
      </c>
      <c r="F16" s="628">
        <f>F15/$C15</f>
        <v>0</v>
      </c>
      <c r="G16" s="628">
        <f>G15/$C15</f>
        <v>1.1643089493396819E-2</v>
      </c>
      <c r="H16" s="627"/>
      <c r="I16" s="628"/>
      <c r="J16" s="459"/>
      <c r="K16" s="458"/>
      <c r="L16" s="458"/>
      <c r="M16" s="460"/>
      <c r="N16" s="628"/>
      <c r="O16" s="628"/>
      <c r="P16" s="459"/>
      <c r="Q16" s="458"/>
      <c r="R16" s="462"/>
    </row>
    <row r="17" spans="1:20" ht="4.75" customHeight="1">
      <c r="A17" s="451"/>
      <c r="B17" s="457"/>
      <c r="C17" s="460"/>
      <c r="D17" s="459"/>
      <c r="E17" s="458"/>
      <c r="F17" s="458"/>
      <c r="G17" s="458"/>
      <c r="H17" s="459"/>
      <c r="I17" s="458"/>
      <c r="J17" s="459"/>
      <c r="K17" s="458"/>
      <c r="L17" s="458"/>
      <c r="M17" s="460"/>
      <c r="N17" s="458"/>
      <c r="O17" s="458"/>
      <c r="P17" s="459"/>
      <c r="Q17" s="458"/>
      <c r="R17" s="462"/>
    </row>
    <row r="18" spans="1:20" ht="15" customHeight="1">
      <c r="A18" s="463" t="s">
        <v>387</v>
      </c>
      <c r="B18" s="620">
        <f>TableUK5d!K$21</f>
        <v>6.6894975888217552</v>
      </c>
      <c r="C18" s="860">
        <f>TableUK5b!$F$165</f>
        <v>5.2255482740227084</v>
      </c>
      <c r="D18" s="622">
        <f>$B18/((1+TableUK4b!$B19)^200)</f>
        <v>0.12325662324635607</v>
      </c>
      <c r="E18" s="621">
        <f>E36+E21/(1+TableUK4b!B37)^100</f>
        <v>2.8653509434966256</v>
      </c>
      <c r="F18" s="621">
        <f>F36+F21/(1+TableUK4b!C37)^100</f>
        <v>-4.7748729341195513E-2</v>
      </c>
      <c r="G18" s="621">
        <f>C18-D18-E18-F18</f>
        <v>2.2846894366209218</v>
      </c>
      <c r="H18" s="622">
        <f>B18</f>
        <v>6.6894975888217552</v>
      </c>
      <c r="I18" s="621">
        <f>I36</f>
        <v>5.2740688104854074</v>
      </c>
      <c r="J18" s="459"/>
      <c r="K18" s="458"/>
      <c r="L18" s="458"/>
      <c r="M18" s="460"/>
      <c r="N18" s="621"/>
      <c r="O18" s="621"/>
      <c r="P18" s="459"/>
      <c r="Q18" s="458"/>
      <c r="R18" s="462"/>
    </row>
    <row r="19" spans="1:20" ht="15" customHeight="1">
      <c r="A19" s="448"/>
      <c r="B19" s="625"/>
      <c r="C19" s="888"/>
      <c r="D19" s="627">
        <f>D18/$C18</f>
        <v>2.358730927031915E-2</v>
      </c>
      <c r="E19" s="628">
        <f>E18/$C18</f>
        <v>0.5483349867306524</v>
      </c>
      <c r="F19" s="628">
        <f>F18/$C18</f>
        <v>-9.1375539632012233E-3</v>
      </c>
      <c r="G19" s="628">
        <f>G18/$C18</f>
        <v>0.43721525796222954</v>
      </c>
      <c r="H19" s="627"/>
      <c r="I19" s="628"/>
      <c r="J19" s="459"/>
      <c r="K19" s="458"/>
      <c r="L19" s="458"/>
      <c r="M19" s="460"/>
      <c r="N19" s="628"/>
      <c r="O19" s="628"/>
      <c r="P19" s="459"/>
      <c r="Q19" s="458"/>
      <c r="R19" s="462"/>
    </row>
    <row r="20" spans="1:20" ht="4.75" customHeight="1">
      <c r="A20" s="451"/>
      <c r="B20" s="457"/>
      <c r="C20" s="460"/>
      <c r="D20" s="459"/>
      <c r="E20" s="458"/>
      <c r="F20" s="458"/>
      <c r="G20" s="458"/>
      <c r="H20" s="459"/>
      <c r="I20" s="458"/>
      <c r="J20" s="459"/>
      <c r="K20" s="458"/>
      <c r="L20" s="458"/>
      <c r="M20" s="460"/>
      <c r="N20" s="458"/>
      <c r="O20" s="458"/>
      <c r="P20" s="459"/>
      <c r="Q20" s="458"/>
      <c r="R20" s="462"/>
    </row>
    <row r="21" spans="1:20" ht="15" customHeight="1">
      <c r="A21" s="463" t="s">
        <v>665</v>
      </c>
      <c r="B21" s="620">
        <f>TableUK5d!K$21</f>
        <v>6.6894975888217552</v>
      </c>
      <c r="C21" s="860">
        <f>TableUK5b!$F$65</f>
        <v>7.1864424691487558</v>
      </c>
      <c r="D21" s="622">
        <f>$B21/((1+TableUK4b!$B22)^100)</f>
        <v>0.86170181753111352</v>
      </c>
      <c r="E21" s="621">
        <f>E27+E24/(1+TableUK4b!B28)^55</f>
        <v>4.4202517806486634</v>
      </c>
      <c r="F21" s="621">
        <f>F27+F24/(1+TableUK4b!C28)^55</f>
        <v>0</v>
      </c>
      <c r="G21" s="621">
        <f>C21-D21-E21-F21</f>
        <v>1.9044888709689785</v>
      </c>
      <c r="H21" s="622">
        <f>B21</f>
        <v>6.6894975888217552</v>
      </c>
      <c r="I21" s="621">
        <f>C21</f>
        <v>7.1864424691487558</v>
      </c>
      <c r="J21" s="459"/>
      <c r="K21" s="458"/>
      <c r="L21" s="458"/>
      <c r="M21" s="460"/>
      <c r="N21" s="621"/>
      <c r="O21" s="621"/>
      <c r="P21" s="459"/>
      <c r="Q21" s="458"/>
      <c r="R21" s="462"/>
    </row>
    <row r="22" spans="1:20" ht="15" customHeight="1">
      <c r="A22" s="448"/>
      <c r="B22" s="625"/>
      <c r="C22" s="888"/>
      <c r="D22" s="627">
        <f>D21/$C21</f>
        <v>0.11990659094960839</v>
      </c>
      <c r="E22" s="628">
        <f>E21/$C21</f>
        <v>0.61508205202013511</v>
      </c>
      <c r="F22" s="628">
        <f>F21/$C21</f>
        <v>0</v>
      </c>
      <c r="G22" s="628">
        <f>G21/$C21</f>
        <v>0.26501135703025641</v>
      </c>
      <c r="H22" s="627"/>
      <c r="I22" s="628"/>
      <c r="J22" s="459"/>
      <c r="K22" s="458"/>
      <c r="L22" s="458"/>
      <c r="M22" s="460"/>
      <c r="N22" s="628"/>
      <c r="O22" s="628"/>
      <c r="P22" s="459"/>
      <c r="Q22" s="458"/>
      <c r="R22" s="462"/>
    </row>
    <row r="23" spans="1:20" ht="4.75" customHeight="1">
      <c r="A23" s="451"/>
      <c r="B23" s="457"/>
      <c r="C23" s="460"/>
      <c r="D23" s="459"/>
      <c r="E23" s="458"/>
      <c r="F23" s="458"/>
      <c r="G23" s="458"/>
      <c r="H23" s="459"/>
      <c r="I23" s="458"/>
      <c r="J23" s="459"/>
      <c r="K23" s="458"/>
      <c r="L23" s="458"/>
      <c r="M23" s="460"/>
      <c r="N23" s="458"/>
      <c r="O23" s="458"/>
      <c r="P23" s="459"/>
      <c r="Q23" s="458"/>
      <c r="R23" s="462"/>
    </row>
    <row r="24" spans="1:20" ht="15" customHeight="1">
      <c r="A24" s="463" t="s">
        <v>437</v>
      </c>
      <c r="B24" s="620">
        <f>TableUK5d!K$21</f>
        <v>6.6894975888217552</v>
      </c>
      <c r="C24" s="860">
        <f>TableUK5d!K$25</f>
        <v>6.9432325695831638</v>
      </c>
      <c r="D24" s="622">
        <f>$B24/((1+TableUK4b!$B25)^45)</f>
        <v>2.9973916387211856</v>
      </c>
      <c r="E24" s="621">
        <f>(5*SUMPRODUCT(TableUK5d!B21:B24,TableUK5d!M21:M24)+5*SUMPRODUCT(TableUK5d!B22:B25,TableUK5d!M21:M24)+5*TableUK5d!M24*AVERAGE(TableUK5d!B24,TableUK5d!B25))/TableUK5d!B25</f>
        <v>2.5517528134616061</v>
      </c>
      <c r="F24" s="621">
        <v>0</v>
      </c>
      <c r="G24" s="621">
        <f>C24-D24-E24-F24</f>
        <v>1.3940881174003721</v>
      </c>
      <c r="H24" s="622">
        <f>B24</f>
        <v>6.6894975888217552</v>
      </c>
      <c r="I24" s="621">
        <f>C24</f>
        <v>6.9432325695831638</v>
      </c>
      <c r="J24" s="622"/>
      <c r="K24" s="621"/>
      <c r="L24" s="621"/>
      <c r="M24" s="860"/>
      <c r="N24" s="621"/>
      <c r="O24" s="621"/>
      <c r="P24" s="622"/>
      <c r="Q24" s="621"/>
      <c r="R24" s="623"/>
      <c r="T24" s="624"/>
    </row>
    <row r="25" spans="1:20" ht="15" customHeight="1">
      <c r="A25" s="448"/>
      <c r="B25" s="625"/>
      <c r="C25" s="888"/>
      <c r="D25" s="627">
        <f>D24/$C24</f>
        <v>0.43169973188743893</v>
      </c>
      <c r="E25" s="628">
        <f>E24/$C24</f>
        <v>0.36751654044260257</v>
      </c>
      <c r="F25" s="628">
        <f>F24/$C24</f>
        <v>0</v>
      </c>
      <c r="G25" s="628">
        <f>G24/$C24</f>
        <v>0.2007837276699585</v>
      </c>
      <c r="H25" s="627"/>
      <c r="I25" s="628"/>
      <c r="J25" s="627"/>
      <c r="K25" s="628"/>
      <c r="L25" s="628"/>
      <c r="M25" s="629"/>
      <c r="N25" s="628"/>
      <c r="O25" s="628"/>
      <c r="P25" s="627"/>
      <c r="Q25" s="628"/>
      <c r="R25" s="630"/>
    </row>
    <row r="26" spans="1:20" ht="4.75" customHeight="1">
      <c r="A26" s="451"/>
      <c r="B26" s="631"/>
      <c r="C26" s="1585"/>
      <c r="D26" s="459"/>
      <c r="E26" s="458"/>
      <c r="F26" s="458"/>
      <c r="G26" s="458"/>
      <c r="H26" s="459"/>
      <c r="I26" s="458"/>
      <c r="J26" s="459"/>
      <c r="K26" s="458"/>
      <c r="L26" s="458"/>
      <c r="M26" s="460"/>
      <c r="N26" s="458"/>
      <c r="O26" s="458"/>
      <c r="P26" s="459"/>
      <c r="Q26" s="458"/>
      <c r="R26" s="462"/>
    </row>
    <row r="27" spans="1:20" ht="15" customHeight="1">
      <c r="A27" s="463" t="s">
        <v>442</v>
      </c>
      <c r="B27" s="620">
        <f>TableUK5b!$F$10</f>
        <v>6.9432325695831638</v>
      </c>
      <c r="C27" s="860">
        <f>TableUK5b!$F$65</f>
        <v>7.1864424691487558</v>
      </c>
      <c r="D27" s="622">
        <f>$B27/((1+TableUK4b!$B28)^55)</f>
        <v>1.9960675300020498</v>
      </c>
      <c r="E27" s="621">
        <f>SUMPRODUCT(TableUK5b!$B$10:$B$64,TableUK5b!$G$10:$G$64)/TableUK5b!$B$65</f>
        <v>3.6866639475324989</v>
      </c>
      <c r="F27" s="621">
        <v>0</v>
      </c>
      <c r="G27" s="621">
        <f>C27-D27-E27-F27</f>
        <v>1.5037109916142066</v>
      </c>
      <c r="H27" s="622">
        <f>B27</f>
        <v>6.9432325695831638</v>
      </c>
      <c r="I27" s="621">
        <f>C27</f>
        <v>7.1864424691487558</v>
      </c>
      <c r="J27" s="622"/>
      <c r="K27" s="621"/>
      <c r="L27" s="621"/>
      <c r="M27" s="860"/>
      <c r="N27" s="621"/>
      <c r="O27" s="621"/>
      <c r="P27" s="622"/>
      <c r="Q27" s="621"/>
      <c r="R27" s="623"/>
    </row>
    <row r="28" spans="1:20" ht="15" customHeight="1">
      <c r="A28" s="448"/>
      <c r="B28" s="625"/>
      <c r="C28" s="888"/>
      <c r="D28" s="627">
        <f>D27/$C27</f>
        <v>0.2777546106534805</v>
      </c>
      <c r="E28" s="628">
        <f>E27/$C27</f>
        <v>0.51300263842078586</v>
      </c>
      <c r="F28" s="628">
        <f>F27/$C27</f>
        <v>0</v>
      </c>
      <c r="G28" s="628">
        <f>G27/$C27</f>
        <v>0.20924275092573352</v>
      </c>
      <c r="H28" s="627"/>
      <c r="I28" s="628"/>
      <c r="J28" s="627"/>
      <c r="K28" s="628"/>
      <c r="L28" s="628"/>
      <c r="M28" s="629"/>
      <c r="N28" s="628"/>
      <c r="O28" s="628"/>
      <c r="P28" s="627"/>
      <c r="Q28" s="628"/>
      <c r="R28" s="630"/>
    </row>
    <row r="29" spans="1:20" ht="4.75" customHeight="1">
      <c r="A29" s="451"/>
      <c r="B29" s="631"/>
      <c r="C29" s="1585"/>
      <c r="D29" s="459"/>
      <c r="E29" s="458"/>
      <c r="F29" s="458"/>
      <c r="G29" s="458"/>
      <c r="H29" s="459"/>
      <c r="I29" s="458"/>
      <c r="J29" s="459"/>
      <c r="K29" s="458"/>
      <c r="L29" s="458"/>
      <c r="M29" s="460"/>
      <c r="N29" s="458"/>
      <c r="O29" s="458"/>
      <c r="P29" s="459"/>
      <c r="Q29" s="458"/>
      <c r="R29" s="462"/>
    </row>
    <row r="30" spans="1:20" s="426" customFormat="1" ht="15" customHeight="1">
      <c r="A30" s="463" t="s">
        <v>1041</v>
      </c>
      <c r="B30" s="620">
        <f>B33</f>
        <v>6.558889539047108</v>
      </c>
      <c r="C30" s="860">
        <f>C36</f>
        <v>5.2255482740227084</v>
      </c>
      <c r="D30" s="622">
        <f>$B30/((1+TableUK4b!$B31)^140)</f>
        <v>0.44448878739832548</v>
      </c>
      <c r="E30" s="621">
        <f>SUMPRODUCT(TableUK5b!$B$25:$B$164,TableUK5b!$G$25:$G$164)/TableUK5b!$B$165</f>
        <v>2.6869497236473081</v>
      </c>
      <c r="F30" s="621">
        <f>SUMPRODUCT(TableUK5b!$B$25:$B$164,TableUK5b!$V$25:$V$164)/TableUK5b!$B$165</f>
        <v>-4.7748729341195513E-2</v>
      </c>
      <c r="G30" s="621">
        <f>C30-D30-E30-F30</f>
        <v>2.1418584923182697</v>
      </c>
      <c r="H30" s="622">
        <f>B30</f>
        <v>6.558889539047108</v>
      </c>
      <c r="I30" s="621">
        <f>I36</f>
        <v>5.2740688104854074</v>
      </c>
      <c r="J30" s="622">
        <f>$H30/((1+TableUK4b!$B31)^140)</f>
        <v>0.44448878739832548</v>
      </c>
      <c r="K30" s="621">
        <f>SUMPRODUCT(TableUK5b!$B$25:$B$164,TableUK5b!$G$25:$G$164)/TableUK5b!$B$165</f>
        <v>2.6869497236473081</v>
      </c>
      <c r="L30" s="621">
        <f>SUMPRODUCT(TableUK5b!$B$25:$B$164,TableUK5b!$V$25:$V$164)/TableUK5b!$B$165</f>
        <v>-4.7748729341195513E-2</v>
      </c>
      <c r="M30" s="860">
        <f>I30-J30-K30-L30</f>
        <v>2.1903790287809688</v>
      </c>
      <c r="N30" s="621"/>
      <c r="O30" s="621"/>
      <c r="P30" s="622"/>
      <c r="Q30" s="621"/>
      <c r="R30" s="623"/>
    </row>
    <row r="31" spans="1:20" s="426" customFormat="1" ht="15" customHeight="1">
      <c r="A31" s="448"/>
      <c r="B31" s="625"/>
      <c r="C31" s="888"/>
      <c r="D31" s="627">
        <f>D30/$C30</f>
        <v>8.5060698722844469E-2</v>
      </c>
      <c r="E31" s="628">
        <f>E30/$C30</f>
        <v>0.51419479502365262</v>
      </c>
      <c r="F31" s="628">
        <f>F30/$C30</f>
        <v>-9.1375539632012233E-3</v>
      </c>
      <c r="G31" s="628">
        <f>G30/$C30</f>
        <v>0.40988206021670409</v>
      </c>
      <c r="H31" s="627"/>
      <c r="I31" s="628"/>
      <c r="J31" s="627">
        <f>J30/$I30</f>
        <v>8.4278154754946447E-2</v>
      </c>
      <c r="K31" s="628">
        <f>K30/$I30</f>
        <v>0.50946429032275187</v>
      </c>
      <c r="L31" s="628">
        <f>L30/$I30</f>
        <v>-9.0534900201275307E-3</v>
      </c>
      <c r="M31" s="629">
        <f>M30/$I30</f>
        <v>0.41531104494242915</v>
      </c>
      <c r="N31" s="628"/>
      <c r="O31" s="628"/>
      <c r="P31" s="627"/>
      <c r="Q31" s="628"/>
      <c r="R31" s="630"/>
    </row>
    <row r="32" spans="1:20" s="426" customFormat="1" ht="4.75" customHeight="1">
      <c r="A32" s="451"/>
      <c r="B32" s="631"/>
      <c r="C32" s="1585"/>
      <c r="D32" s="459"/>
      <c r="E32" s="458"/>
      <c r="F32" s="458"/>
      <c r="G32" s="458"/>
      <c r="H32" s="459"/>
      <c r="I32" s="458"/>
      <c r="J32" s="459"/>
      <c r="K32" s="458"/>
      <c r="L32" s="458"/>
      <c r="M32" s="460"/>
      <c r="N32" s="458"/>
      <c r="O32" s="458"/>
      <c r="P32" s="459"/>
      <c r="Q32" s="458"/>
      <c r="R32" s="462"/>
    </row>
    <row r="33" spans="1:18" s="426" customFormat="1" ht="15" customHeight="1">
      <c r="A33" s="463" t="s">
        <v>1042</v>
      </c>
      <c r="B33" s="620">
        <f>TableUK5b!F25</f>
        <v>6.558889539047108</v>
      </c>
      <c r="C33" s="860">
        <f>B27</f>
        <v>6.9432325695831638</v>
      </c>
      <c r="D33" s="622">
        <f>$B33/((1+TableUK4b!$B34)^40)</f>
        <v>3.1074743562282787</v>
      </c>
      <c r="E33" s="621">
        <f>SUMPRODUCT(TableUK5b!$B$25:$B$64,TableUK5b!$G$25:$G$64)/TableUK5b!$B$65</f>
        <v>3.173027482716515</v>
      </c>
      <c r="F33" s="621">
        <v>0</v>
      </c>
      <c r="G33" s="621">
        <f>C33-D33-E33-F33</f>
        <v>0.66273073063837007</v>
      </c>
      <c r="H33" s="622">
        <f>B33</f>
        <v>6.558889539047108</v>
      </c>
      <c r="I33" s="621">
        <f>C33</f>
        <v>6.9432325695831638</v>
      </c>
      <c r="J33" s="622">
        <f>$H33/((1+TableUK4b!$B34)^40)</f>
        <v>3.1074743562282787</v>
      </c>
      <c r="K33" s="621">
        <f>SUMPRODUCT(TableUK5b!$B$25:$B$64,TableUK5b!$G$25:$G$64)/TableUK5b!$B$65</f>
        <v>3.173027482716515</v>
      </c>
      <c r="L33" s="621">
        <v>0</v>
      </c>
      <c r="M33" s="860">
        <f>I33-J33-K33-L33</f>
        <v>0.66273073063837007</v>
      </c>
      <c r="N33" s="621"/>
      <c r="O33" s="621"/>
      <c r="P33" s="622"/>
      <c r="Q33" s="621"/>
      <c r="R33" s="623"/>
    </row>
    <row r="34" spans="1:18" s="426" customFormat="1" ht="15" customHeight="1">
      <c r="A34" s="448"/>
      <c r="B34" s="625"/>
      <c r="C34" s="888"/>
      <c r="D34" s="627">
        <f>D33/$C33</f>
        <v>0.44755441000802249</v>
      </c>
      <c r="E34" s="628">
        <f>E33/$C33</f>
        <v>0.45699570782302162</v>
      </c>
      <c r="F34" s="628">
        <f>F33/$C33</f>
        <v>0</v>
      </c>
      <c r="G34" s="628">
        <f>G33/$C33</f>
        <v>9.5449882168955932E-2</v>
      </c>
      <c r="H34" s="627"/>
      <c r="I34" s="628"/>
      <c r="J34" s="627">
        <f>J33/$I33</f>
        <v>0.44755441000802249</v>
      </c>
      <c r="K34" s="628">
        <f>K33/$I33</f>
        <v>0.45699570782302162</v>
      </c>
      <c r="L34" s="628">
        <f>L33/$I33</f>
        <v>0</v>
      </c>
      <c r="M34" s="629">
        <f>M33/$I33</f>
        <v>9.5449882168955932E-2</v>
      </c>
      <c r="N34" s="628"/>
      <c r="O34" s="628"/>
      <c r="P34" s="627"/>
      <c r="Q34" s="628"/>
      <c r="R34" s="630"/>
    </row>
    <row r="35" spans="1:18" ht="4.75" customHeight="1">
      <c r="A35" s="451"/>
      <c r="B35" s="631"/>
      <c r="C35" s="1585"/>
      <c r="D35" s="459"/>
      <c r="E35" s="458"/>
      <c r="F35" s="458"/>
      <c r="G35" s="458"/>
      <c r="H35" s="459"/>
      <c r="I35" s="458"/>
      <c r="J35" s="459"/>
      <c r="K35" s="458"/>
      <c r="L35" s="458"/>
      <c r="M35" s="460"/>
      <c r="N35" s="458"/>
      <c r="O35" s="458"/>
      <c r="P35" s="459"/>
      <c r="Q35" s="458"/>
      <c r="R35" s="462"/>
    </row>
    <row r="36" spans="1:18" ht="15" customHeight="1">
      <c r="A36" s="463" t="s">
        <v>666</v>
      </c>
      <c r="B36" s="620">
        <f>TableUK5b!$F$65</f>
        <v>7.1864424691487558</v>
      </c>
      <c r="C36" s="860">
        <f>TableUK5b!$F$165</f>
        <v>5.2255482740227084</v>
      </c>
      <c r="D36" s="622">
        <f>$B36/((1+TableUK4b!$B37)^100)</f>
        <v>1.0279386835220252</v>
      </c>
      <c r="E36" s="621">
        <f>SUMPRODUCT(TableUK5b!$B$65:$B$164,TableUK5b!$G$65:$G$164)/TableUK5b!$B$165</f>
        <v>2.2330843086850218</v>
      </c>
      <c r="F36" s="621">
        <f>SUMPRODUCT(TableUK5b!$B$65:$B$164,TableUK5b!$V$65:$V$164)/TableUK5b!$B$165</f>
        <v>-4.7748729341195513E-2</v>
      </c>
      <c r="G36" s="621">
        <f>C36-D36-E36-F36</f>
        <v>2.0122740111568564</v>
      </c>
      <c r="H36" s="622">
        <f>B36</f>
        <v>7.1864424691487558</v>
      </c>
      <c r="I36" s="621">
        <f>I42</f>
        <v>5.2740688104854074</v>
      </c>
      <c r="J36" s="622">
        <f>$H36/((1+TableUK4b!$B37)^100)</f>
        <v>1.0279386835220252</v>
      </c>
      <c r="K36" s="621">
        <f>SUMPRODUCT(TableUK5b!$B$65:$B$164,TableUK5b!$G$65:$G$164)/TableUK5b!$B$165</f>
        <v>2.2330843086850218</v>
      </c>
      <c r="L36" s="621">
        <f>SUMPRODUCT(TableUK5b!$B$65:$B$164,TableUK5b!$V$65:$V$164)/TableUK5b!$B$165</f>
        <v>-4.7748729341195513E-2</v>
      </c>
      <c r="M36" s="860">
        <f>I36-J36-K36-L36</f>
        <v>2.0607945476195555</v>
      </c>
      <c r="N36" s="621"/>
      <c r="O36" s="621"/>
      <c r="P36" s="622"/>
      <c r="Q36" s="621"/>
      <c r="R36" s="623"/>
    </row>
    <row r="37" spans="1:18" ht="15" customHeight="1">
      <c r="A37" s="448"/>
      <c r="B37" s="625"/>
      <c r="C37" s="888"/>
      <c r="D37" s="627">
        <f>D36/$C36</f>
        <v>0.19671403451234448</v>
      </c>
      <c r="E37" s="628">
        <f>E36/$C36</f>
        <v>0.4273397147216399</v>
      </c>
      <c r="F37" s="628">
        <f>F36/$C36</f>
        <v>-9.1375539632012233E-3</v>
      </c>
      <c r="G37" s="628">
        <f>G36/$C36</f>
        <v>0.38508380472921677</v>
      </c>
      <c r="H37" s="627"/>
      <c r="I37" s="628"/>
      <c r="J37" s="627">
        <f>J36/$I36</f>
        <v>0.19490429883629395</v>
      </c>
      <c r="K37" s="628">
        <f>K36/$I36</f>
        <v>0.42340826199411991</v>
      </c>
      <c r="L37" s="628">
        <f>L36/$I36</f>
        <v>-9.0534900201275307E-3</v>
      </c>
      <c r="M37" s="629">
        <f>M36/$I36</f>
        <v>0.39074092918971359</v>
      </c>
      <c r="N37" s="628"/>
      <c r="O37" s="628"/>
      <c r="P37" s="627"/>
      <c r="Q37" s="628"/>
      <c r="R37" s="630"/>
    </row>
    <row r="38" spans="1:18" ht="4.75" customHeight="1">
      <c r="A38" s="448"/>
      <c r="B38" s="625"/>
      <c r="C38" s="888"/>
      <c r="D38" s="473"/>
      <c r="E38" s="472"/>
      <c r="F38" s="472"/>
      <c r="G38" s="472"/>
      <c r="H38" s="473"/>
      <c r="I38" s="472"/>
      <c r="J38" s="473"/>
      <c r="K38" s="472"/>
      <c r="L38" s="472"/>
      <c r="M38" s="493"/>
      <c r="N38" s="472"/>
      <c r="O38" s="472"/>
      <c r="P38" s="473"/>
      <c r="Q38" s="472"/>
      <c r="R38" s="613"/>
    </row>
    <row r="39" spans="1:18" ht="15" customHeight="1">
      <c r="A39" s="463" t="s">
        <v>667</v>
      </c>
      <c r="B39" s="620">
        <f>TableUK5b!$F$65</f>
        <v>7.1864424691487558</v>
      </c>
      <c r="C39" s="860">
        <f>TableUK5b!$F$105</f>
        <v>2.0792088237062449</v>
      </c>
      <c r="D39" s="622">
        <f>$B39/((1+TableUK4b!$B40)^40)</f>
        <v>4.0853693436498233</v>
      </c>
      <c r="E39" s="621">
        <f>SUMPRODUCT(TableUK5b!$B$65:$B$104,TableUK5b!$G$65:$G$104)/TableUK5b!$B$105</f>
        <v>0.74638244421935684</v>
      </c>
      <c r="F39" s="621">
        <f>SUMPRODUCT(TableUK5b!$B$65:$B$104,TableUK5b!$V$65:$V$104)/TableUK5b!$B$105</f>
        <v>-0.18976929088842387</v>
      </c>
      <c r="G39" s="621">
        <f>C39-D39-E39-F39</f>
        <v>-2.5627736732745117</v>
      </c>
      <c r="H39" s="622">
        <f>B39</f>
        <v>7.1864424691487558</v>
      </c>
      <c r="I39" s="621">
        <f>H42</f>
        <v>2.408694463290959</v>
      </c>
      <c r="J39" s="622">
        <f>$H39/((1+TableUK4b!$B40)^40)</f>
        <v>4.0853693436498233</v>
      </c>
      <c r="K39" s="621">
        <f>SUMPRODUCT(TableUK5b!$B$65:$B$104,TableUK5b!$G$65:$G$104)/TableUK5b!$B$105</f>
        <v>0.74638244421935684</v>
      </c>
      <c r="L39" s="621">
        <f>SUMPRODUCT(TableUK5b!$B$65:$B$104,TableUK5b!$V$65:$V$104)/TableUK5b!$B$105</f>
        <v>-0.18976929088842387</v>
      </c>
      <c r="M39" s="860">
        <f>I39-J39-K39-L39</f>
        <v>-2.2332880336897976</v>
      </c>
      <c r="N39" s="621"/>
      <c r="O39" s="621"/>
      <c r="P39" s="622"/>
      <c r="Q39" s="621"/>
      <c r="R39" s="623"/>
    </row>
    <row r="40" spans="1:18" ht="15" customHeight="1">
      <c r="A40" s="448"/>
      <c r="B40" s="625"/>
      <c r="C40" s="888"/>
      <c r="D40" s="627">
        <f>D39/$C39</f>
        <v>1.9648672596375116</v>
      </c>
      <c r="E40" s="628">
        <f>E39/$C39</f>
        <v>0.35897425776065645</v>
      </c>
      <c r="F40" s="628">
        <f>F39/$C39</f>
        <v>-9.1269952649659827E-2</v>
      </c>
      <c r="G40" s="628">
        <f>G39/$C39</f>
        <v>-1.2325715647485083</v>
      </c>
      <c r="H40" s="627"/>
      <c r="I40" s="628"/>
      <c r="J40" s="627">
        <f>J39/$I39</f>
        <v>1.6960928029319464</v>
      </c>
      <c r="K40" s="628">
        <f>K39/$I39</f>
        <v>0.30987012076226012</v>
      </c>
      <c r="L40" s="628">
        <f>L39/$I39</f>
        <v>-7.8785123551596184E-2</v>
      </c>
      <c r="M40" s="629">
        <f>M39/$I39</f>
        <v>-0.92717780014261064</v>
      </c>
      <c r="N40" s="628"/>
      <c r="O40" s="628"/>
      <c r="P40" s="627"/>
      <c r="Q40" s="628"/>
      <c r="R40" s="630"/>
    </row>
    <row r="41" spans="1:18" ht="4" customHeight="1">
      <c r="A41" s="448"/>
      <c r="B41" s="625"/>
      <c r="C41" s="888"/>
      <c r="D41" s="473"/>
      <c r="E41" s="472"/>
      <c r="F41" s="472"/>
      <c r="G41" s="472"/>
      <c r="H41" s="473"/>
      <c r="I41" s="472"/>
      <c r="J41" s="473"/>
      <c r="K41" s="472"/>
      <c r="L41" s="472"/>
      <c r="M41" s="493"/>
      <c r="N41" s="472"/>
      <c r="O41" s="472"/>
      <c r="P41" s="473"/>
      <c r="Q41" s="472"/>
      <c r="R41" s="613"/>
    </row>
    <row r="42" spans="1:18" ht="15" customHeight="1">
      <c r="A42" s="463" t="s">
        <v>374</v>
      </c>
      <c r="B42" s="620">
        <f>TableUK5b!$F$105</f>
        <v>2.0792088237062449</v>
      </c>
      <c r="C42" s="860">
        <f>TableUK5b!$F$165</f>
        <v>5.2255482740227084</v>
      </c>
      <c r="D42" s="622">
        <f>$B42/((1+TableUK4b!$B43)^60)</f>
        <v>0.52315935261278523</v>
      </c>
      <c r="E42" s="621">
        <f>SUMPRODUCT(TableUK5b!$B$105:$B$164,TableUK5b!$G$105:$G$164)/TableUK5b!$B$165</f>
        <v>2.0452835683903019</v>
      </c>
      <c r="F42" s="621">
        <v>0</v>
      </c>
      <c r="G42" s="621">
        <f>C42-D42-E42-F42</f>
        <v>2.6571053530196216</v>
      </c>
      <c r="H42" s="622">
        <f>TableUK5b!L105</f>
        <v>2.408694463290959</v>
      </c>
      <c r="I42" s="621">
        <f>TableUK5b!L165</f>
        <v>5.2740688104854074</v>
      </c>
      <c r="J42" s="622">
        <f>$H42/((1+TableUK4b!$B43)^60)</f>
        <v>0.6060627589157116</v>
      </c>
      <c r="K42" s="621">
        <f>SUMPRODUCT(TableUK5b!$B$105:$B$164,TableUK5b!$G$105:$G$164)/TableUK5b!$B$165</f>
        <v>2.0452835683903019</v>
      </c>
      <c r="L42" s="621">
        <v>0</v>
      </c>
      <c r="M42" s="860">
        <f>I42-J42-K42-L42</f>
        <v>2.6227224831793943</v>
      </c>
      <c r="N42" s="621"/>
      <c r="O42" s="621"/>
      <c r="P42" s="622"/>
      <c r="Q42" s="621"/>
      <c r="R42" s="623"/>
    </row>
    <row r="43" spans="1:18" ht="15" customHeight="1">
      <c r="A43" s="448"/>
      <c r="B43" s="625"/>
      <c r="C43" s="888"/>
      <c r="D43" s="627">
        <f>D42/$C42</f>
        <v>0.10011568646557523</v>
      </c>
      <c r="E43" s="628">
        <f>E42/$C42</f>
        <v>0.39140076048246147</v>
      </c>
      <c r="F43" s="628">
        <f>F42/$C42</f>
        <v>0</v>
      </c>
      <c r="G43" s="628">
        <f>G42/$C42</f>
        <v>0.50848355305196336</v>
      </c>
      <c r="H43" s="627"/>
      <c r="I43" s="628"/>
      <c r="J43" s="627">
        <f>J42/$I42</f>
        <v>0.11491369959201038</v>
      </c>
      <c r="K43" s="628">
        <f>K42/$I42</f>
        <v>0.38779994002430562</v>
      </c>
      <c r="L43" s="628">
        <f>L42/$I42</f>
        <v>0</v>
      </c>
      <c r="M43" s="629">
        <f>M42/$I42</f>
        <v>0.49728636038368407</v>
      </c>
      <c r="N43" s="628"/>
      <c r="O43" s="628"/>
      <c r="P43" s="627"/>
      <c r="Q43" s="628"/>
      <c r="R43" s="630"/>
    </row>
    <row r="44" spans="1:18" ht="4.75" customHeight="1">
      <c r="A44" s="448"/>
      <c r="B44" s="625"/>
      <c r="C44" s="888"/>
      <c r="D44" s="473"/>
      <c r="E44" s="472"/>
      <c r="F44" s="472"/>
      <c r="G44" s="472"/>
      <c r="H44" s="473"/>
      <c r="I44" s="472"/>
      <c r="J44" s="622"/>
      <c r="K44" s="621"/>
      <c r="L44" s="621"/>
      <c r="M44" s="860"/>
      <c r="N44" s="472"/>
      <c r="O44" s="472"/>
      <c r="P44" s="622"/>
      <c r="Q44" s="621"/>
      <c r="R44" s="623"/>
    </row>
    <row r="45" spans="1:18" ht="15">
      <c r="A45" s="479" t="s">
        <v>288</v>
      </c>
      <c r="B45" s="620">
        <f>TableUK5b!$F$105</f>
        <v>2.0792088237062449</v>
      </c>
      <c r="C45" s="860">
        <f>TableUK5b!$F$135</f>
        <v>3.455898538099238</v>
      </c>
      <c r="D45" s="622">
        <f>$B45/((1+TableUK4b!$B46)^30)</f>
        <v>1.1127428001073707</v>
      </c>
      <c r="E45" s="621">
        <f>SUMPRODUCT(TableUK5b!$B$105:$B$134,TableUK5b!$G$105:$G$134)/TableUK5b!$B$135</f>
        <v>2.2716886134306824</v>
      </c>
      <c r="F45" s="621">
        <v>0</v>
      </c>
      <c r="G45" s="621">
        <f>C45-D45-E45-F45</f>
        <v>7.1467124561184647E-2</v>
      </c>
      <c r="H45" s="622">
        <f>H42</f>
        <v>2.408694463290959</v>
      </c>
      <c r="I45" s="621">
        <f>H48</f>
        <v>4.1565420537535545</v>
      </c>
      <c r="J45" s="622">
        <f>$H45/((1+TableUK4b!$B46)^30)</f>
        <v>1.2890756287326024</v>
      </c>
      <c r="K45" s="1977">
        <f>SUMPRODUCT(TableUK5b!$B$105:$B$134,TableUK5b!$G$105:$G$134)/TableUK5b!$B$135</f>
        <v>2.2716886134306824</v>
      </c>
      <c r="L45" s="1977">
        <v>0</v>
      </c>
      <c r="M45" s="860">
        <f>I45-J45-K45-L45</f>
        <v>0.59577781159026966</v>
      </c>
      <c r="N45" s="621"/>
      <c r="O45" s="621"/>
      <c r="P45" s="627"/>
      <c r="Q45" s="628"/>
      <c r="R45" s="630"/>
    </row>
    <row r="46" spans="1:18" ht="15">
      <c r="A46" s="633"/>
      <c r="B46" s="625"/>
      <c r="C46" s="888"/>
      <c r="D46" s="627">
        <f>D45/$C45</f>
        <v>0.32198364270248075</v>
      </c>
      <c r="E46" s="628">
        <f>E45/$C45</f>
        <v>0.6573366053391495</v>
      </c>
      <c r="F46" s="628">
        <f>F45/$C45</f>
        <v>0</v>
      </c>
      <c r="G46" s="628">
        <f>G45/$C45</f>
        <v>2.0679751958369685E-2</v>
      </c>
      <c r="H46" s="627"/>
      <c r="I46" s="628"/>
      <c r="J46" s="627">
        <f>J45/$I45</f>
        <v>0.31013174221791068</v>
      </c>
      <c r="K46" s="628">
        <f>K45/$I45</f>
        <v>0.54653329235036607</v>
      </c>
      <c r="L46" s="628">
        <f>L45/$I45</f>
        <v>0</v>
      </c>
      <c r="M46" s="629">
        <f>M45/$I45</f>
        <v>0.14333496543172325</v>
      </c>
      <c r="N46" s="628"/>
      <c r="O46" s="628"/>
      <c r="P46" s="622"/>
      <c r="Q46" s="621"/>
      <c r="R46" s="623"/>
    </row>
    <row r="47" spans="1:18" ht="4" customHeight="1">
      <c r="A47" s="633"/>
      <c r="B47" s="634"/>
      <c r="C47" s="475"/>
      <c r="D47" s="483"/>
      <c r="E47" s="474"/>
      <c r="F47" s="474"/>
      <c r="G47" s="474"/>
      <c r="H47" s="861"/>
      <c r="I47" s="474"/>
      <c r="J47" s="483"/>
      <c r="K47" s="474"/>
      <c r="L47" s="474"/>
      <c r="M47" s="475"/>
      <c r="N47" s="474"/>
      <c r="O47" s="474"/>
      <c r="P47" s="627"/>
      <c r="Q47" s="628"/>
      <c r="R47" s="630"/>
    </row>
    <row r="48" spans="1:18" ht="15">
      <c r="A48" s="479" t="s">
        <v>289</v>
      </c>
      <c r="B48" s="620">
        <f>TableUK5b!$F$135</f>
        <v>3.455898538099238</v>
      </c>
      <c r="C48" s="860">
        <f>TableUK5b!$F$165</f>
        <v>5.2255482740227084</v>
      </c>
      <c r="D48" s="622">
        <f>$B48/((1+TableUK4b!$B49)^30)</f>
        <v>1.6248010247408522</v>
      </c>
      <c r="E48" s="621">
        <f>SUMPRODUCT(TableUK5b!$B$135:$B$164,TableUK5b!$G$135:$G$164)/TableUK5b!$B$165</f>
        <v>0.97724237843557948</v>
      </c>
      <c r="F48" s="621">
        <v>0</v>
      </c>
      <c r="G48" s="621">
        <f>C48-D48-E48-F48</f>
        <v>2.6235048708462765</v>
      </c>
      <c r="H48" s="622">
        <f>TableUK5b!$L$135</f>
        <v>4.1565420537535545</v>
      </c>
      <c r="I48" s="621">
        <f>TableUK5b!$L$165</f>
        <v>5.2740688104854074</v>
      </c>
      <c r="J48" s="622">
        <f>$H48/((1+TableUK4b!$B49)^30)</f>
        <v>1.954210667316556</v>
      </c>
      <c r="K48" s="621">
        <f>SUMPRODUCT(TableUK5b!$B$135:$B$164,TableUK5b!$G$135:$G$164)/TableUK5b!$B$165</f>
        <v>0.97724237843557948</v>
      </c>
      <c r="L48" s="621">
        <v>0</v>
      </c>
      <c r="M48" s="860">
        <f>I48-J48-K48-L48</f>
        <v>2.3426157647332717</v>
      </c>
      <c r="N48" s="621">
        <f>TableUK5b!$R$135</f>
        <v>5.7976109286914337</v>
      </c>
      <c r="O48" s="621">
        <f>TableUK5b!$R$165</f>
        <v>4.9202106987731469</v>
      </c>
      <c r="P48" s="622">
        <f>$N48/((1+TableUK4b!$B49)^30)</f>
        <v>2.7257641027758974</v>
      </c>
      <c r="Q48" s="621">
        <f>SUMPRODUCT(TableUK5b!$B$135:$B$164,TableUK5b!$G$135:$G$164)/TableUK5b!$B$165</f>
        <v>0.97724237843557948</v>
      </c>
      <c r="R48" s="623">
        <f>O48-P48-Q48</f>
        <v>1.21720421756167</v>
      </c>
    </row>
    <row r="49" spans="1:18" ht="15">
      <c r="A49" s="633"/>
      <c r="B49" s="625"/>
      <c r="C49" s="888"/>
      <c r="D49" s="627">
        <f>D48/$C48</f>
        <v>0.3109340761079708</v>
      </c>
      <c r="E49" s="628">
        <f>E48/$C48</f>
        <v>0.18701241040938335</v>
      </c>
      <c r="F49" s="628">
        <f>F48/$C48</f>
        <v>0</v>
      </c>
      <c r="G49" s="628">
        <f>G48/$C48</f>
        <v>0.50205351348264582</v>
      </c>
      <c r="H49" s="862"/>
      <c r="I49" s="626"/>
      <c r="J49" s="627">
        <f>J48/$I48</f>
        <v>0.37053188677238685</v>
      </c>
      <c r="K49" s="628">
        <f>K48/$I48</f>
        <v>0.18529192802580013</v>
      </c>
      <c r="L49" s="628">
        <f>L48/$I48</f>
        <v>0</v>
      </c>
      <c r="M49" s="629">
        <f>M48/$I48</f>
        <v>0.44417618520181296</v>
      </c>
      <c r="N49" s="628"/>
      <c r="O49" s="628"/>
      <c r="P49" s="627">
        <f>P48/$O48</f>
        <v>0.55399336931964438</v>
      </c>
      <c r="Q49" s="628">
        <f>Q48/$O48</f>
        <v>0.19861799387559859</v>
      </c>
      <c r="R49" s="630">
        <f>R48/$O48</f>
        <v>0.24738863680475706</v>
      </c>
    </row>
    <row r="50" spans="1:18" ht="4" customHeight="1">
      <c r="A50" s="633"/>
      <c r="B50" s="625"/>
      <c r="C50" s="888"/>
      <c r="D50" s="483"/>
      <c r="E50" s="474"/>
      <c r="F50" s="474"/>
      <c r="G50" s="474"/>
      <c r="H50" s="862"/>
      <c r="I50" s="626"/>
      <c r="J50" s="483"/>
      <c r="K50" s="474"/>
      <c r="L50" s="474"/>
      <c r="M50" s="475"/>
      <c r="N50" s="474"/>
      <c r="O50" s="474"/>
      <c r="P50" s="483"/>
      <c r="Q50" s="474"/>
      <c r="R50" s="635"/>
    </row>
    <row r="51" spans="1:18" ht="15">
      <c r="A51" s="479" t="s">
        <v>375</v>
      </c>
      <c r="B51" s="620">
        <f>TableUK5b!$F$105</f>
        <v>2.0792088237062449</v>
      </c>
      <c r="C51" s="860">
        <f>TableUK5b!$F$125</f>
        <v>3.1421656751913973</v>
      </c>
      <c r="D51" s="622">
        <f>$B51/((1+TableUK4b!$B52)^20)</f>
        <v>1.2478478120536931</v>
      </c>
      <c r="E51" s="621">
        <f>SUMPRODUCT(TableUK5b!$B$105:$B$124,TableUK5b!$G$105:$G$124)/TableUK5b!$B$125</f>
        <v>1.5454313315807608</v>
      </c>
      <c r="F51" s="621">
        <v>0</v>
      </c>
      <c r="G51" s="621">
        <f>C51-D51-E51-F51</f>
        <v>0.34888653155694338</v>
      </c>
      <c r="H51" s="622">
        <f>H45</f>
        <v>2.408694463290959</v>
      </c>
      <c r="I51" s="621">
        <f>TableUK5b!L125</f>
        <v>3.6472728843759317</v>
      </c>
      <c r="J51" s="622">
        <f>$H51/((1+TableUK4b!$B52)^20)</f>
        <v>1.445590304183952</v>
      </c>
      <c r="K51" s="621">
        <f>SUMPRODUCT(TableUK5b!$B$105:$B$124,TableUK5b!$G$105:$G$124)/TableUK5b!$B$125</f>
        <v>1.5454313315807608</v>
      </c>
      <c r="L51" s="621">
        <v>0</v>
      </c>
      <c r="M51" s="860">
        <f>I51-J51-K51-L51</f>
        <v>0.65625124861121886</v>
      </c>
      <c r="N51" s="621"/>
      <c r="O51" s="621"/>
      <c r="P51" s="622"/>
      <c r="Q51" s="621"/>
      <c r="R51" s="623"/>
    </row>
    <row r="52" spans="1:18" ht="15">
      <c r="A52" s="633"/>
      <c r="B52" s="625"/>
      <c r="C52" s="888"/>
      <c r="D52" s="627">
        <f>D51/$C51</f>
        <v>0.3971298591624019</v>
      </c>
      <c r="E52" s="628">
        <f>E51/$C51</f>
        <v>0.49183636107495338</v>
      </c>
      <c r="F52" s="628">
        <f>F51/$C51</f>
        <v>0</v>
      </c>
      <c r="G52" s="628">
        <f>G51/$C51</f>
        <v>0.1110337797626447</v>
      </c>
      <c r="H52" s="862"/>
      <c r="I52" s="626"/>
      <c r="J52" s="627">
        <f>J51/$I51</f>
        <v>0.39634827171186571</v>
      </c>
      <c r="K52" s="628">
        <f>K51/$I51</f>
        <v>0.42372243058670739</v>
      </c>
      <c r="L52" s="628">
        <f>L51/$I51</f>
        <v>0</v>
      </c>
      <c r="M52" s="629">
        <f>M51/$I51</f>
        <v>0.17992929770142688</v>
      </c>
      <c r="N52" s="628"/>
      <c r="O52" s="628"/>
      <c r="P52" s="627"/>
      <c r="Q52" s="628"/>
      <c r="R52" s="630"/>
    </row>
    <row r="53" spans="1:18" ht="4" customHeight="1">
      <c r="A53" s="633"/>
      <c r="B53" s="625"/>
      <c r="C53" s="888"/>
      <c r="D53" s="483"/>
      <c r="E53" s="474"/>
      <c r="F53" s="474"/>
      <c r="G53" s="474"/>
      <c r="H53" s="862"/>
      <c r="I53" s="626"/>
      <c r="J53" s="483"/>
      <c r="K53" s="474"/>
      <c r="L53" s="474"/>
      <c r="M53" s="475"/>
      <c r="N53" s="474"/>
      <c r="O53" s="474"/>
      <c r="P53" s="483"/>
      <c r="Q53" s="474"/>
      <c r="R53" s="635"/>
    </row>
    <row r="54" spans="1:18" ht="15">
      <c r="A54" s="479" t="s">
        <v>348</v>
      </c>
      <c r="B54" s="620">
        <f>TableUK5b!$F$125</f>
        <v>3.1421656751913973</v>
      </c>
      <c r="C54" s="860">
        <f>TableUK5b!$F$165</f>
        <v>5.2255482740227084</v>
      </c>
      <c r="D54" s="622">
        <f>$B54/((1+TableUK4b!$B55)^40)</f>
        <v>1.3173508376232221</v>
      </c>
      <c r="E54" s="621">
        <f>SUMPRODUCT(TableUK5b!$B$125:$B$164,TableUK5b!$G$125:$G$164)/TableUK5b!$B$165</f>
        <v>1.3973625261546534</v>
      </c>
      <c r="F54" s="621">
        <v>0</v>
      </c>
      <c r="G54" s="621">
        <f>C54-D54-E54-F54</f>
        <v>2.5108349102448329</v>
      </c>
      <c r="H54" s="622">
        <f>TableUK5b!$L$125</f>
        <v>3.6472728843759317</v>
      </c>
      <c r="I54" s="621">
        <f>TableUK5b!$L$165</f>
        <v>5.2740688104854074</v>
      </c>
      <c r="J54" s="622">
        <f>$H54/((1+TableUK4b!$B55)^40)</f>
        <v>1.5291166940076864</v>
      </c>
      <c r="K54" s="621">
        <f>SUMPRODUCT(TableUK5b!$B$125:$B$164,TableUK5b!$G$125:$G$164)/TableUK5b!$B$165</f>
        <v>1.3973625261546534</v>
      </c>
      <c r="L54" s="621">
        <v>0</v>
      </c>
      <c r="M54" s="860">
        <f>I54-J54-K54-L54</f>
        <v>2.3475895903230679</v>
      </c>
      <c r="N54" s="621">
        <f>TableUK5b!$R$125</f>
        <v>4.4777360505642374</v>
      </c>
      <c r="O54" s="621">
        <f>TableUK5b!$R$165</f>
        <v>4.9202106987731469</v>
      </c>
      <c r="P54" s="622">
        <f>$N54/((1+TableUK4b!$B55)^40)</f>
        <v>1.8772878156741972</v>
      </c>
      <c r="Q54" s="621">
        <f>SUMPRODUCT(TableUK5b!$B$125:$B$164,TableUK5b!$G$125:$G$164)/TableUK5b!$B$165</f>
        <v>1.3973625261546534</v>
      </c>
      <c r="R54" s="623">
        <f>O54-P54-Q54</f>
        <v>1.645560356944296</v>
      </c>
    </row>
    <row r="55" spans="1:18" ht="15">
      <c r="A55" s="633"/>
      <c r="B55" s="625"/>
      <c r="C55" s="888"/>
      <c r="D55" s="627">
        <f>D54/$C54</f>
        <v>0.25209810885721756</v>
      </c>
      <c r="E55" s="628">
        <f>E54/$C54</f>
        <v>0.26740974398824985</v>
      </c>
      <c r="F55" s="628">
        <f>F54/$C54</f>
        <v>0</v>
      </c>
      <c r="G55" s="628">
        <f>G54/$C54</f>
        <v>0.48049214715453259</v>
      </c>
      <c r="H55" s="862"/>
      <c r="I55" s="626"/>
      <c r="J55" s="627">
        <f>J54/$I54</f>
        <v>0.28993112319043701</v>
      </c>
      <c r="K55" s="628">
        <f>K54/$I54</f>
        <v>0.26494961980331933</v>
      </c>
      <c r="L55" s="628">
        <f>L54/$I54</f>
        <v>0</v>
      </c>
      <c r="M55" s="629">
        <f>M54/$I54</f>
        <v>0.44511925700624366</v>
      </c>
      <c r="N55" s="628"/>
      <c r="O55" s="628"/>
      <c r="P55" s="627">
        <f>P54/$O54</f>
        <v>0.38154622446195208</v>
      </c>
      <c r="Q55" s="628">
        <f>Q54/$O54</f>
        <v>0.28400461112429298</v>
      </c>
      <c r="R55" s="630">
        <f>R54/$O54</f>
        <v>0.33444916441375488</v>
      </c>
    </row>
    <row r="56" spans="1:18" ht="4" customHeight="1">
      <c r="A56" s="633"/>
      <c r="B56" s="625"/>
      <c r="C56" s="888"/>
      <c r="D56" s="483"/>
      <c r="E56" s="474"/>
      <c r="F56" s="474"/>
      <c r="G56" s="474"/>
      <c r="H56" s="862"/>
      <c r="I56" s="626"/>
      <c r="J56" s="483"/>
      <c r="K56" s="474"/>
      <c r="L56" s="474"/>
      <c r="M56" s="475"/>
      <c r="N56" s="474"/>
      <c r="O56" s="474"/>
      <c r="P56" s="483"/>
      <c r="Q56" s="474"/>
      <c r="R56" s="635"/>
    </row>
    <row r="57" spans="1:18" ht="15">
      <c r="A57" s="479" t="s">
        <v>376</v>
      </c>
      <c r="B57" s="620">
        <f>TableUK5b!$F$125</f>
        <v>3.1421656751913973</v>
      </c>
      <c r="C57" s="860">
        <f>TableUK5b!$F$145</f>
        <v>4.9411144159813913</v>
      </c>
      <c r="D57" s="622">
        <f>$B57/((1+TableUK4b!$B58)^20)</f>
        <v>2.1248680188603997</v>
      </c>
      <c r="E57" s="621">
        <f>SUMPRODUCT(TableUK5b!$B$125:$B$144,TableUK5b!$G$125:$G$144)/TableUK5b!$B$145</f>
        <v>1.1100449022800885</v>
      </c>
      <c r="F57" s="621">
        <v>0</v>
      </c>
      <c r="G57" s="621">
        <f>C57-D57-E57-F57</f>
        <v>1.7062014948409032</v>
      </c>
      <c r="H57" s="622">
        <f>TableUK5b!$L$125</f>
        <v>3.6472728843759317</v>
      </c>
      <c r="I57" s="621">
        <f>TableUK5b!$L$145</f>
        <v>5.0541955271039383</v>
      </c>
      <c r="J57" s="622">
        <f>$H57/((1+TableUK4b!$B58)^20)</f>
        <v>2.4664433098662344</v>
      </c>
      <c r="K57" s="621">
        <f>SUMPRODUCT(TableUK5b!$B$125:$B$144,TableUK5b!$G$125:$G$144)/TableUK5b!$B$145</f>
        <v>1.1100449022800885</v>
      </c>
      <c r="L57" s="621">
        <v>0</v>
      </c>
      <c r="M57" s="860">
        <f>I57-J57-K57-L57</f>
        <v>1.4777073149576154</v>
      </c>
      <c r="N57" s="621">
        <f>TableUK5b!$R$125</f>
        <v>4.4777360505642374</v>
      </c>
      <c r="O57" s="621">
        <f>TableUK5b!$R$145</f>
        <v>5.3954447680701509</v>
      </c>
      <c r="P57" s="622">
        <f>$N57/((1+TableUK4b!$B58)^20)</f>
        <v>3.0280383386094569</v>
      </c>
      <c r="Q57" s="621">
        <f>SUMPRODUCT(TableUK5b!$B$125:$B$144,TableUK5b!$G$125:$G$144)/TableUK5b!$B$145</f>
        <v>1.1100449022800885</v>
      </c>
      <c r="R57" s="623">
        <f>O57-P57-Q57</f>
        <v>1.2573615271806056</v>
      </c>
    </row>
    <row r="58" spans="1:18" ht="15">
      <c r="A58" s="633"/>
      <c r="B58" s="646"/>
      <c r="C58" s="2173"/>
      <c r="D58" s="627">
        <f>D57/$C57</f>
        <v>0.43003821404899889</v>
      </c>
      <c r="E58" s="628">
        <f>E57/$C57</f>
        <v>0.22465476587423128</v>
      </c>
      <c r="F58" s="628">
        <f>F57/$C57</f>
        <v>0</v>
      </c>
      <c r="G58" s="628">
        <f>G57/$C57</f>
        <v>0.34530702007676983</v>
      </c>
      <c r="H58" s="863"/>
      <c r="I58" s="647"/>
      <c r="J58" s="627">
        <f>J57/$I57</f>
        <v>0.48799918733644843</v>
      </c>
      <c r="K58" s="628">
        <f>K57/$I57</f>
        <v>0.21962840502059996</v>
      </c>
      <c r="L58" s="628">
        <f>L57/$I57</f>
        <v>0</v>
      </c>
      <c r="M58" s="629">
        <f>M57/$I57</f>
        <v>0.29237240764295164</v>
      </c>
      <c r="N58" s="628"/>
      <c r="O58" s="628"/>
      <c r="P58" s="627">
        <f>P57/$O57</f>
        <v>0.5612212651177837</v>
      </c>
      <c r="Q58" s="628">
        <f>Q57/$O57</f>
        <v>0.20573742295524056</v>
      </c>
      <c r="R58" s="630">
        <f>R57/$O57</f>
        <v>0.23304131192697577</v>
      </c>
    </row>
    <row r="59" spans="1:18" ht="4" customHeight="1">
      <c r="A59" s="633"/>
      <c r="B59" s="634"/>
      <c r="C59" s="475"/>
      <c r="D59" s="483"/>
      <c r="E59" s="474"/>
      <c r="F59" s="474"/>
      <c r="G59" s="474"/>
      <c r="H59" s="861"/>
      <c r="I59" s="474"/>
      <c r="J59" s="483"/>
      <c r="K59" s="474"/>
      <c r="L59" s="474"/>
      <c r="M59" s="475"/>
      <c r="N59" s="474"/>
      <c r="O59" s="474"/>
      <c r="P59" s="483"/>
      <c r="Q59" s="474"/>
      <c r="R59" s="635"/>
    </row>
    <row r="60" spans="1:18" ht="15">
      <c r="A60" s="479" t="s">
        <v>377</v>
      </c>
      <c r="B60" s="620">
        <f>TableUK5b!$F$145</f>
        <v>4.9411144159813913</v>
      </c>
      <c r="C60" s="860">
        <f>TableUK5b!$F$165</f>
        <v>5.2255482740227084</v>
      </c>
      <c r="D60" s="622">
        <f>$B60/((1+TableUK4b!$B61)^20)</f>
        <v>3.0633343609624597</v>
      </c>
      <c r="E60" s="621">
        <f>SUMPRODUCT(TableUK5b!$B$145:$B$164,TableUK5b!$G$145:$G$164)/TableUK5b!$B$165</f>
        <v>0.70916986249814562</v>
      </c>
      <c r="F60" s="621">
        <v>0</v>
      </c>
      <c r="G60" s="621">
        <f>C60-D60-E60-F60</f>
        <v>1.4530440505621032</v>
      </c>
      <c r="H60" s="622">
        <f>TableUK5b!$L$145</f>
        <v>5.0541955271039383</v>
      </c>
      <c r="I60" s="621">
        <f>TableUK5b!$L$165</f>
        <v>5.2740688104854074</v>
      </c>
      <c r="J60" s="622">
        <f>$H60/((1+TableUK4b!$B61)^20)</f>
        <v>3.1334410664775376</v>
      </c>
      <c r="K60" s="621">
        <f>SUMPRODUCT(TableUK5b!$B$145:$B$164,TableUK5b!$G$145:$G$164)/TableUK5b!$B$165</f>
        <v>0.70916986249814562</v>
      </c>
      <c r="L60" s="621">
        <v>0</v>
      </c>
      <c r="M60" s="860">
        <f>I60-J60-K60-L60</f>
        <v>1.4314578815097243</v>
      </c>
      <c r="N60" s="621">
        <f>TableUK5b!$R$145</f>
        <v>5.3954447680701509</v>
      </c>
      <c r="O60" s="621">
        <f>TableUK5b!$R$165</f>
        <v>4.9202106987731469</v>
      </c>
      <c r="P60" s="622">
        <f>$N60/((1+TableUK4b!$B61)^20)</f>
        <v>3.3450047821695028</v>
      </c>
      <c r="Q60" s="621">
        <f>SUMPRODUCT(TableUK5b!$B$145:$B$164,TableUK5b!$G$145:$G$164)/TableUK5b!$B$165</f>
        <v>0.70916986249814562</v>
      </c>
      <c r="R60" s="623">
        <f>O60-P60-Q60</f>
        <v>0.86603605410549844</v>
      </c>
    </row>
    <row r="61" spans="1:18" ht="15">
      <c r="A61" s="633"/>
      <c r="B61" s="625"/>
      <c r="C61" s="888"/>
      <c r="D61" s="627">
        <f>D60/$C60</f>
        <v>0.58622257423033186</v>
      </c>
      <c r="E61" s="628">
        <f>E60/$C60</f>
        <v>0.13571204882434579</v>
      </c>
      <c r="F61" s="628">
        <f>F60/$C60</f>
        <v>0</v>
      </c>
      <c r="G61" s="628">
        <f>G60/$C60</f>
        <v>0.27806537694532241</v>
      </c>
      <c r="H61" s="862"/>
      <c r="I61" s="626"/>
      <c r="J61" s="627">
        <f>J60/$I60</f>
        <v>0.59412214346690451</v>
      </c>
      <c r="K61" s="628">
        <f>K60/$I60</f>
        <v>0.13446352104626333</v>
      </c>
      <c r="L61" s="628">
        <f>L60/$I60</f>
        <v>0</v>
      </c>
      <c r="M61" s="629">
        <f>M60/$I60</f>
        <v>0.27141433548683219</v>
      </c>
      <c r="N61" s="628"/>
      <c r="O61" s="628"/>
      <c r="P61" s="627">
        <f>P60/$O60</f>
        <v>0.67984990622527175</v>
      </c>
      <c r="Q61" s="628">
        <f>Q60/$O60</f>
        <v>0.14413404342114391</v>
      </c>
      <c r="R61" s="630">
        <f>R60/$O60</f>
        <v>0.17601605035358431</v>
      </c>
    </row>
    <row r="62" spans="1:18" ht="4.75" customHeight="1">
      <c r="A62" s="407"/>
      <c r="B62" s="625"/>
      <c r="C62" s="888"/>
      <c r="D62" s="473"/>
      <c r="E62" s="472"/>
      <c r="F62" s="472"/>
      <c r="G62" s="472"/>
      <c r="H62" s="862"/>
      <c r="I62" s="626"/>
      <c r="J62" s="473"/>
      <c r="K62" s="472"/>
      <c r="L62" s="472"/>
      <c r="M62" s="493"/>
      <c r="N62" s="472"/>
      <c r="O62" s="472"/>
      <c r="P62" s="473"/>
      <c r="Q62" s="472"/>
      <c r="R62" s="613"/>
    </row>
    <row r="63" spans="1:18" ht="15">
      <c r="A63" s="485" t="s">
        <v>378</v>
      </c>
      <c r="B63" s="636">
        <f>TableUK5b!$F$105</f>
        <v>2.0792088237062449</v>
      </c>
      <c r="C63" s="864">
        <f>TableUK5b!$F$115</f>
        <v>2.6291365324362177</v>
      </c>
      <c r="D63" s="638">
        <f>$B63/((1+TableUK4b!$B64)^10)</f>
        <v>1.6353584668202326</v>
      </c>
      <c r="E63" s="637">
        <f>SUMPRODUCT(TableUK5b!$B$105:$B$114,TableUK5a!$G$105:$G$114)/TableUK5b!$B$115</f>
        <v>0.46570027906198758</v>
      </c>
      <c r="F63" s="637">
        <v>0</v>
      </c>
      <c r="G63" s="637">
        <f>C63-D63-E63-F63</f>
        <v>0.52807778655399762</v>
      </c>
      <c r="H63" s="638">
        <f>H51</f>
        <v>2.408694463290959</v>
      </c>
      <c r="I63" s="637">
        <f>TableUK5b!L115</f>
        <v>2.9626899194121274</v>
      </c>
      <c r="J63" s="638">
        <f>$H63/((1+TableUK4b!$B64)^10)</f>
        <v>1.8945085455651216</v>
      </c>
      <c r="K63" s="637">
        <f>SUMPRODUCT(TableUK5b!$B$105:$B$114,TableUK5a!$G$105:$G$114)/TableUK5b!$B$115</f>
        <v>0.46570027906198758</v>
      </c>
      <c r="L63" s="637">
        <v>0</v>
      </c>
      <c r="M63" s="864">
        <f>I63-J63-K63-L63</f>
        <v>0.60248109478501832</v>
      </c>
      <c r="N63" s="637"/>
      <c r="O63" s="637"/>
      <c r="P63" s="638"/>
      <c r="Q63" s="637"/>
      <c r="R63" s="639"/>
    </row>
    <row r="64" spans="1:18" ht="15">
      <c r="A64" s="492"/>
      <c r="B64" s="625"/>
      <c r="C64" s="888"/>
      <c r="D64" s="627">
        <f>D63/$C63</f>
        <v>0.62201351913240965</v>
      </c>
      <c r="E64" s="628">
        <f>E63/$C63</f>
        <v>0.17713050399495955</v>
      </c>
      <c r="F64" s="628">
        <f>F63/$C63</f>
        <v>0</v>
      </c>
      <c r="G64" s="628">
        <f>G63/$C63</f>
        <v>0.20085597687263076</v>
      </c>
      <c r="H64" s="862"/>
      <c r="I64" s="626"/>
      <c r="J64" s="627">
        <f>J63/$I63</f>
        <v>0.63945556136399184</v>
      </c>
      <c r="K64" s="628">
        <f>K63/$I63</f>
        <v>0.15718832943354202</v>
      </c>
      <c r="L64" s="628">
        <f>L63/$I63</f>
        <v>0</v>
      </c>
      <c r="M64" s="629">
        <f>M63/$I63</f>
        <v>0.20335610920246619</v>
      </c>
      <c r="N64" s="628"/>
      <c r="O64" s="628"/>
      <c r="P64" s="627"/>
      <c r="Q64" s="628"/>
      <c r="R64" s="630"/>
    </row>
    <row r="65" spans="1:18" ht="4.75" customHeight="1">
      <c r="A65" s="448"/>
      <c r="B65" s="625"/>
      <c r="C65" s="888"/>
      <c r="D65" s="473"/>
      <c r="E65" s="472"/>
      <c r="F65" s="472"/>
      <c r="G65" s="472"/>
      <c r="H65" s="862"/>
      <c r="I65" s="626"/>
      <c r="J65" s="473"/>
      <c r="K65" s="472"/>
      <c r="L65" s="472"/>
      <c r="M65" s="493"/>
      <c r="N65" s="472"/>
      <c r="O65" s="472"/>
      <c r="P65" s="473"/>
      <c r="Q65" s="472"/>
      <c r="R65" s="613"/>
    </row>
    <row r="66" spans="1:18" ht="15">
      <c r="A66" s="485" t="s">
        <v>379</v>
      </c>
      <c r="B66" s="636">
        <f>TableUK5b!$F$115</f>
        <v>2.6291365324362177</v>
      </c>
      <c r="C66" s="864">
        <f>TableUK5b!$F$125</f>
        <v>3.1421656751913973</v>
      </c>
      <c r="D66" s="638">
        <f>$B66/((1+TableUK4b!$B67)^10)</f>
        <v>2.0061425896244263</v>
      </c>
      <c r="E66" s="637">
        <f>SUMPRODUCT(TableUK5b!$B$115:$B$124,TableUK5a!$G$115:$G$124)/TableUK5b!$B$125</f>
        <v>0.61132034022582815</v>
      </c>
      <c r="F66" s="637">
        <v>0</v>
      </c>
      <c r="G66" s="637">
        <f>C66-D66-E66-F66</f>
        <v>0.52470274534114292</v>
      </c>
      <c r="H66" s="638">
        <f>I63</f>
        <v>2.9626899194121274</v>
      </c>
      <c r="I66" s="637">
        <f>H57</f>
        <v>3.6472728843759317</v>
      </c>
      <c r="J66" s="638">
        <f>$H66/((1+TableUK4b!$B67)^10)</f>
        <v>2.2606579589368732</v>
      </c>
      <c r="K66" s="637">
        <f>SUMPRODUCT(TableUK5b!$B$115:$B$124,TableUK5a!$G$115:$G$124)/TableUK5b!$B$125</f>
        <v>0.61132034022582815</v>
      </c>
      <c r="L66" s="637">
        <v>0</v>
      </c>
      <c r="M66" s="864">
        <f>I66-J66-K66-L66</f>
        <v>0.77529458521323036</v>
      </c>
      <c r="N66" s="637"/>
      <c r="O66" s="637"/>
      <c r="P66" s="638"/>
      <c r="Q66" s="637"/>
      <c r="R66" s="639"/>
    </row>
    <row r="67" spans="1:18" ht="15">
      <c r="A67" s="492"/>
      <c r="B67" s="625"/>
      <c r="C67" s="888"/>
      <c r="D67" s="627">
        <f>D66/$C66</f>
        <v>0.63845856552494706</v>
      </c>
      <c r="E67" s="628">
        <f>E66/$C66</f>
        <v>0.19455382160540949</v>
      </c>
      <c r="F67" s="628">
        <f>F66/$C66</f>
        <v>0</v>
      </c>
      <c r="G67" s="628">
        <f>G66/$C66</f>
        <v>0.16698761286964345</v>
      </c>
      <c r="H67" s="862"/>
      <c r="I67" s="626"/>
      <c r="J67" s="627">
        <f>J66/$I66</f>
        <v>0.61982144758649838</v>
      </c>
      <c r="K67" s="628">
        <f>K66/$I66</f>
        <v>0.16761025555411063</v>
      </c>
      <c r="L67" s="628">
        <f>L66/$I66</f>
        <v>0</v>
      </c>
      <c r="M67" s="629">
        <f>M66/$I66</f>
        <v>0.21256829685939102</v>
      </c>
      <c r="N67" s="628"/>
      <c r="O67" s="628"/>
      <c r="P67" s="627"/>
      <c r="Q67" s="628"/>
      <c r="R67" s="630"/>
    </row>
    <row r="68" spans="1:18" ht="4.75" customHeight="1">
      <c r="A68" s="448"/>
      <c r="B68" s="625"/>
      <c r="C68" s="888"/>
      <c r="D68" s="473"/>
      <c r="E68" s="472"/>
      <c r="F68" s="472"/>
      <c r="G68" s="472"/>
      <c r="H68" s="862"/>
      <c r="I68" s="626"/>
      <c r="J68" s="473"/>
      <c r="K68" s="472"/>
      <c r="L68" s="472"/>
      <c r="M68" s="493"/>
      <c r="N68" s="472"/>
      <c r="O68" s="472"/>
      <c r="P68" s="473"/>
      <c r="Q68" s="472"/>
      <c r="R68" s="613"/>
    </row>
    <row r="69" spans="1:18" ht="15">
      <c r="A69" s="485" t="s">
        <v>380</v>
      </c>
      <c r="B69" s="636">
        <f>TableUK5b!$F$125</f>
        <v>3.1421656751913973</v>
      </c>
      <c r="C69" s="864">
        <f>TableUK5b!$F$135</f>
        <v>3.455898538099238</v>
      </c>
      <c r="D69" s="638">
        <f>$B69/((1+TableUK4b!$B70)^10)</f>
        <v>2.801962064636212</v>
      </c>
      <c r="E69" s="637">
        <f>SUMPRODUCT(TableUK5b!$B$125:$B$134,TableUK5b!$G$125:$G$134)/TableUK5b!$B$135</f>
        <v>0.8935817876899439</v>
      </c>
      <c r="F69" s="637">
        <v>0</v>
      </c>
      <c r="G69" s="637">
        <f>C69-D69-E69-F69</f>
        <v>-0.23964531422691793</v>
      </c>
      <c r="H69" s="638">
        <f>TableUK5b!$L$125</f>
        <v>3.6472728843759317</v>
      </c>
      <c r="I69" s="637">
        <f>TableUK5b!$L$135</f>
        <v>4.1565420537535545</v>
      </c>
      <c r="J69" s="638">
        <f>$H69/((1+TableUK4b!$B70)^10)</f>
        <v>3.2523811020165767</v>
      </c>
      <c r="K69" s="637">
        <f>SUMPRODUCT(TableUK5b!$B$125:$B$134,TableUK5b!$G$125:$G$134)/TableUK5b!$B$135</f>
        <v>0.8935817876899439</v>
      </c>
      <c r="L69" s="637">
        <v>0</v>
      </c>
      <c r="M69" s="864">
        <f>I69-J69-K69-L69</f>
        <v>1.0579164047033851E-2</v>
      </c>
      <c r="N69" s="637">
        <f>TableUK5b!$R$125</f>
        <v>4.4777360505642374</v>
      </c>
      <c r="O69" s="637">
        <f>TableUK5b!$R$135</f>
        <v>5.7976109286914337</v>
      </c>
      <c r="P69" s="638">
        <f>$N69/((1+TableUK4b!$B70)^10)</f>
        <v>3.9929296689203797</v>
      </c>
      <c r="Q69" s="637">
        <f>SUMPRODUCT(TableUK5b!$B$125:$B$134,TableUK5b!$G$125:$G$134)/TableUK5b!$B$135</f>
        <v>0.8935817876899439</v>
      </c>
      <c r="R69" s="639">
        <f>O69-P69-Q69</f>
        <v>0.91109947208111008</v>
      </c>
    </row>
    <row r="70" spans="1:18" ht="15">
      <c r="A70" s="492"/>
      <c r="B70" s="625"/>
      <c r="C70" s="888"/>
      <c r="D70" s="627">
        <f>D69/$C69</f>
        <v>0.81077671515706751</v>
      </c>
      <c r="E70" s="628">
        <f>E69/$C69</f>
        <v>0.25856713611199317</v>
      </c>
      <c r="F70" s="628">
        <f>F69/$C69</f>
        <v>0</v>
      </c>
      <c r="G70" s="628">
        <f>G69/$C69</f>
        <v>-6.9343851269060716E-2</v>
      </c>
      <c r="H70" s="862"/>
      <c r="I70" s="626"/>
      <c r="J70" s="627">
        <f>J69/$I69</f>
        <v>0.78247280069728209</v>
      </c>
      <c r="K70" s="628">
        <f>K69/$I69</f>
        <v>0.21498201537092526</v>
      </c>
      <c r="L70" s="628">
        <f>L69/$I69</f>
        <v>0</v>
      </c>
      <c r="M70" s="629">
        <f>M69/$I69</f>
        <v>2.5451839317926217E-3</v>
      </c>
      <c r="N70" s="628"/>
      <c r="O70" s="628"/>
      <c r="P70" s="627">
        <f>P69/$O69</f>
        <v>0.68871983960841876</v>
      </c>
      <c r="Q70" s="628">
        <f>Q69/$O69</f>
        <v>0.15412931269115576</v>
      </c>
      <c r="R70" s="630">
        <f>R69/$O69</f>
        <v>0.15715084770042553</v>
      </c>
    </row>
    <row r="71" spans="1:18" ht="4.75" customHeight="1">
      <c r="A71" s="448"/>
      <c r="B71" s="625"/>
      <c r="C71" s="888"/>
      <c r="D71" s="473"/>
      <c r="E71" s="472"/>
      <c r="F71" s="472"/>
      <c r="G71" s="472"/>
      <c r="H71" s="862"/>
      <c r="I71" s="626"/>
      <c r="J71" s="473"/>
      <c r="K71" s="472"/>
      <c r="L71" s="472"/>
      <c r="M71" s="493"/>
      <c r="N71" s="472"/>
      <c r="O71" s="472"/>
      <c r="P71" s="473"/>
      <c r="Q71" s="472"/>
      <c r="R71" s="613"/>
    </row>
    <row r="72" spans="1:18" ht="15">
      <c r="A72" s="485" t="s">
        <v>381</v>
      </c>
      <c r="B72" s="636">
        <f>TableUK5b!$F$135</f>
        <v>3.455898538099238</v>
      </c>
      <c r="C72" s="864">
        <f>TableUK5b!$F$145</f>
        <v>4.9411144159813913</v>
      </c>
      <c r="D72" s="638">
        <f>$B72/((1+TableUK4b!$B73)^10)</f>
        <v>2.6207807638490972</v>
      </c>
      <c r="E72" s="637">
        <f>SUMPRODUCT(TableUK5b!$B$135:$B$144,TableUK5b!$G$135:$G$144)/TableUK5b!$B$145</f>
        <v>0.43239712579422573</v>
      </c>
      <c r="F72" s="637">
        <v>0</v>
      </c>
      <c r="G72" s="637">
        <f>C72-D72-E72-F72</f>
        <v>1.8879365263380685</v>
      </c>
      <c r="H72" s="638">
        <f>TableUK5b!$L$135</f>
        <v>4.1565420537535545</v>
      </c>
      <c r="I72" s="637">
        <f>TableUK5b!$L$145</f>
        <v>5.0541955271039383</v>
      </c>
      <c r="J72" s="638">
        <f>$H72/((1+TableUK4b!$B73)^10)</f>
        <v>3.1521137957361893</v>
      </c>
      <c r="K72" s="637">
        <f>SUMPRODUCT(TableUK5b!$B$135:$B$144,TableUK5b!$G$135:$G$144)/TableUK5b!$B$145</f>
        <v>0.43239712579422573</v>
      </c>
      <c r="L72" s="637">
        <v>0</v>
      </c>
      <c r="M72" s="864">
        <f>I72-J72-K72-L72</f>
        <v>1.4696846055735233</v>
      </c>
      <c r="N72" s="637">
        <f>TableUK5b!$R$135</f>
        <v>5.7976109286914337</v>
      </c>
      <c r="O72" s="637">
        <f>TableUK5b!$R$145</f>
        <v>5.3954447680701509</v>
      </c>
      <c r="P72" s="638">
        <f>$N72/((1+TableUK4b!$B73)^10)</f>
        <v>4.3966184280840421</v>
      </c>
      <c r="Q72" s="637">
        <f>SUMPRODUCT(TableUK5b!$B$135:$B$144,TableUK5b!$G$135:$G$144)/TableUK5b!$B$145</f>
        <v>0.43239712579422573</v>
      </c>
      <c r="R72" s="639">
        <f>O72-P72-Q72</f>
        <v>0.56642921419188308</v>
      </c>
    </row>
    <row r="73" spans="1:18" ht="15">
      <c r="A73" s="492"/>
      <c r="B73" s="625"/>
      <c r="C73" s="888"/>
      <c r="D73" s="627">
        <f>D72/$C72</f>
        <v>0.53040276812302156</v>
      </c>
      <c r="E73" s="628">
        <f>E72/$C72</f>
        <v>8.7510041134788039E-2</v>
      </c>
      <c r="F73" s="628">
        <f>F72/$C72</f>
        <v>0</v>
      </c>
      <c r="G73" s="628">
        <f>G72/$C72</f>
        <v>0.38208719074219039</v>
      </c>
      <c r="H73" s="862"/>
      <c r="I73" s="626"/>
      <c r="J73" s="627">
        <f>J72/$I72</f>
        <v>0.62366281217900477</v>
      </c>
      <c r="K73" s="628">
        <f>K72/$I72</f>
        <v>8.5552116746458753E-2</v>
      </c>
      <c r="L73" s="628">
        <f>L72/$I72</f>
        <v>0</v>
      </c>
      <c r="M73" s="629">
        <f>M72/$I72</f>
        <v>0.29078507107453655</v>
      </c>
      <c r="N73" s="628"/>
      <c r="O73" s="628"/>
      <c r="P73" s="627">
        <f>P72/$O72</f>
        <v>0.81487599578498326</v>
      </c>
      <c r="Q73" s="628">
        <f>Q72/$O72</f>
        <v>8.0141145796380014E-2</v>
      </c>
      <c r="R73" s="630">
        <f>R72/$O72</f>
        <v>0.10498285841863675</v>
      </c>
    </row>
    <row r="74" spans="1:18" ht="4.75" customHeight="1">
      <c r="A74" s="448"/>
      <c r="B74" s="625"/>
      <c r="C74" s="888"/>
      <c r="D74" s="473"/>
      <c r="E74" s="472"/>
      <c r="F74" s="472"/>
      <c r="G74" s="472"/>
      <c r="H74" s="862"/>
      <c r="I74" s="626"/>
      <c r="J74" s="473"/>
      <c r="K74" s="472"/>
      <c r="L74" s="472"/>
      <c r="M74" s="493"/>
      <c r="N74" s="472"/>
      <c r="O74" s="472"/>
      <c r="P74" s="473"/>
      <c r="Q74" s="472"/>
      <c r="R74" s="613"/>
    </row>
    <row r="75" spans="1:18" ht="15">
      <c r="A75" s="485" t="s">
        <v>382</v>
      </c>
      <c r="B75" s="636">
        <f>TableUK5b!$F$145</f>
        <v>4.9411144159813913</v>
      </c>
      <c r="C75" s="864">
        <f>TableUK5b!$F$155</f>
        <v>5.3191827524011313</v>
      </c>
      <c r="D75" s="638">
        <f>$B75/((1+TableUK4b!$B76)^10)</f>
        <v>3.672039966885599</v>
      </c>
      <c r="E75" s="637">
        <f>SUMPRODUCT(TableUK5b!$B$145:$B$154,TableUK5b!$G$145:$G$154)/TableUK5b!$B$155</f>
        <v>0.35351161325249908</v>
      </c>
      <c r="F75" s="637">
        <v>0</v>
      </c>
      <c r="G75" s="637">
        <f>C75-D75-E75-F75</f>
        <v>1.2936311722630331</v>
      </c>
      <c r="H75" s="638">
        <f>TableUK5b!$L$145</f>
        <v>5.0541955271039383</v>
      </c>
      <c r="I75" s="637">
        <f>TableUK5b!$L$155</f>
        <v>5.3762422689428995</v>
      </c>
      <c r="J75" s="638">
        <f>$H75/((1+TableUK4b!$B76)^10)</f>
        <v>3.7560773569526638</v>
      </c>
      <c r="K75" s="637">
        <f>SUMPRODUCT(TableUK5b!$B$145:$B$154,TableUK5b!$G$145:$G$154)/TableUK5b!$B$155</f>
        <v>0.35351161325249908</v>
      </c>
      <c r="L75" s="637">
        <v>0</v>
      </c>
      <c r="M75" s="864">
        <f>I75-J75-K75-L75</f>
        <v>1.2666532987377366</v>
      </c>
      <c r="N75" s="637">
        <f>TableUK5b!$R$145</f>
        <v>5.3954447680701509</v>
      </c>
      <c r="O75" s="637">
        <f>TableUK5b!$R$155</f>
        <v>4.3037716090213705</v>
      </c>
      <c r="P75" s="638">
        <f>$N75/((1+TableUK4b!$B76)^10)</f>
        <v>4.0096802380040275</v>
      </c>
      <c r="Q75" s="637">
        <f>SUMPRODUCT(TableUK5b!$B$145:$B$154,TableUK5b!$G$145:$G$154)/TableUK5b!$B$155</f>
        <v>0.35351161325249908</v>
      </c>
      <c r="R75" s="639">
        <f>O75-P75-Q75</f>
        <v>-5.9420242235156129E-2</v>
      </c>
    </row>
    <row r="76" spans="1:18" ht="15">
      <c r="A76" s="492"/>
      <c r="B76" s="625"/>
      <c r="C76" s="888"/>
      <c r="D76" s="627">
        <f>D75/$C75</f>
        <v>0.6903391249770473</v>
      </c>
      <c r="E76" s="628">
        <f>E75/$C75</f>
        <v>6.6459760776769794E-2</v>
      </c>
      <c r="F76" s="628">
        <f>F75/$C75</f>
        <v>0</v>
      </c>
      <c r="G76" s="628">
        <f>G75/$C75</f>
        <v>0.2432011142461829</v>
      </c>
      <c r="H76" s="862"/>
      <c r="I76" s="626"/>
      <c r="J76" s="627">
        <f>J75/$I75</f>
        <v>0.69864361928972374</v>
      </c>
      <c r="K76" s="628">
        <f>K75/$I75</f>
        <v>6.5754405320355494E-2</v>
      </c>
      <c r="L76" s="628">
        <f>L75/$I75</f>
        <v>0</v>
      </c>
      <c r="M76" s="629">
        <f>M75/$I75</f>
        <v>0.23560197538992073</v>
      </c>
      <c r="N76" s="628"/>
      <c r="O76" s="628"/>
      <c r="P76" s="627">
        <f>P75/$O75</f>
        <v>0.93166659438877242</v>
      </c>
      <c r="Q76" s="628">
        <f>Q75/$O75</f>
        <v>8.2139956616537016E-2</v>
      </c>
      <c r="R76" s="630">
        <f>R75/$O75</f>
        <v>-1.3806551005309416E-2</v>
      </c>
    </row>
    <row r="77" spans="1:18" ht="4.75" customHeight="1">
      <c r="A77" s="448"/>
      <c r="B77" s="625"/>
      <c r="C77" s="888"/>
      <c r="D77" s="473"/>
      <c r="E77" s="472"/>
      <c r="F77" s="472"/>
      <c r="G77" s="472"/>
      <c r="H77" s="862"/>
      <c r="I77" s="626"/>
      <c r="J77" s="473"/>
      <c r="K77" s="472"/>
      <c r="L77" s="472"/>
      <c r="M77" s="493"/>
      <c r="N77" s="472"/>
      <c r="O77" s="472"/>
      <c r="P77" s="473"/>
      <c r="Q77" s="472"/>
      <c r="R77" s="613"/>
    </row>
    <row r="78" spans="1:18" ht="15">
      <c r="A78" s="485" t="s">
        <v>383</v>
      </c>
      <c r="B78" s="636">
        <f>TableUK5b!$F$155</f>
        <v>5.3191827524011313</v>
      </c>
      <c r="C78" s="864">
        <f>TableUK5b!$F$165</f>
        <v>5.2255482740227084</v>
      </c>
      <c r="D78" s="638">
        <f>$B78/((1+TableUK4b!$B79)^10)</f>
        <v>4.4374340814948008</v>
      </c>
      <c r="E78" s="637">
        <f>SUMPRODUCT(TableUK5b!$B$155:$B$164,TableUK5b!$G$155:$G$164)/TableUK5b!$B$165</f>
        <v>0.41425905497931598</v>
      </c>
      <c r="F78" s="637">
        <v>0</v>
      </c>
      <c r="G78" s="637">
        <f>C78-D78-E78-F78</f>
        <v>0.37385513754859162</v>
      </c>
      <c r="H78" s="638">
        <f>TableUK5b!$L$155</f>
        <v>5.3762422689428995</v>
      </c>
      <c r="I78" s="637">
        <f>TableUK5b!$L$165</f>
        <v>5.2740688104854074</v>
      </c>
      <c r="J78" s="638">
        <f>$H78/((1+TableUK4b!$B79)^10)</f>
        <v>4.4850349734291424</v>
      </c>
      <c r="K78" s="637">
        <f>SUMPRODUCT(TableUK5b!$B$155:$B$164,TableUK5b!$G$155:$G$164)/TableUK5b!$B$165</f>
        <v>0.41425905497931598</v>
      </c>
      <c r="L78" s="637">
        <v>0</v>
      </c>
      <c r="M78" s="864">
        <f>I78-J78-K78-L78</f>
        <v>0.37477478207694909</v>
      </c>
      <c r="N78" s="637">
        <f>TableUK5b!$R$155</f>
        <v>4.3037716090213705</v>
      </c>
      <c r="O78" s="637">
        <f>TableUK5b!$R$165</f>
        <v>4.9202106987731469</v>
      </c>
      <c r="P78" s="638">
        <f>$N78/((1+TableUK4b!$B79)^10)</f>
        <v>3.5903453041203099</v>
      </c>
      <c r="Q78" s="637">
        <f>SUMPRODUCT(TableUK5b!$B$155:$B$164,TableUK5b!$G$155:$G$164)/TableUK5b!$B$165</f>
        <v>0.41425905497931598</v>
      </c>
      <c r="R78" s="639">
        <f>O78-P78-Q78</f>
        <v>0.91560633967352101</v>
      </c>
    </row>
    <row r="79" spans="1:18" ht="14" thickBot="1">
      <c r="A79" s="640"/>
      <c r="B79" s="2174"/>
      <c r="C79" s="887"/>
      <c r="D79" s="642">
        <f>D78/$C78</f>
        <v>0.84918057375035882</v>
      </c>
      <c r="E79" s="643">
        <f>E78/$C78</f>
        <v>7.9275711036616819E-2</v>
      </c>
      <c r="F79" s="643">
        <f>F78/$C78</f>
        <v>0</v>
      </c>
      <c r="G79" s="643">
        <f>G78/$C78</f>
        <v>7.1543715213024356E-2</v>
      </c>
      <c r="H79" s="865"/>
      <c r="I79" s="641"/>
      <c r="J79" s="1976">
        <f>J78/$I78</f>
        <v>0.85039371585604229</v>
      </c>
      <c r="K79" s="643">
        <f>K78/$I78</f>
        <v>7.8546387971981921E-2</v>
      </c>
      <c r="L79" s="643">
        <f>L78/$I78</f>
        <v>0</v>
      </c>
      <c r="M79" s="644">
        <f>M78/$I78</f>
        <v>7.105989617197582E-2</v>
      </c>
      <c r="N79" s="643"/>
      <c r="O79" s="643"/>
      <c r="P79" s="1976">
        <f>P78/$O78</f>
        <v>0.72971373055539301</v>
      </c>
      <c r="Q79" s="643">
        <f>Q78/$O78</f>
        <v>8.4195389250832559E-2</v>
      </c>
      <c r="R79" s="645">
        <f>R78/$O78</f>
        <v>0.18609088019377445</v>
      </c>
    </row>
    <row r="80" spans="1:18" ht="13" thickTop="1">
      <c r="B80" s="503"/>
      <c r="C80" s="503"/>
      <c r="D80" s="503"/>
      <c r="E80" s="503"/>
      <c r="F80" s="503"/>
      <c r="G80" s="503"/>
      <c r="H80" s="503"/>
      <c r="I80" s="503"/>
      <c r="J80" s="503"/>
      <c r="K80" s="503"/>
      <c r="L80" s="503"/>
      <c r="M80" s="503"/>
      <c r="N80" s="503"/>
      <c r="O80" s="503"/>
      <c r="P80" s="503"/>
      <c r="Q80" s="503"/>
      <c r="R80" s="503"/>
    </row>
    <row r="81" spans="2:18">
      <c r="B81" s="503"/>
      <c r="C81" s="503"/>
      <c r="D81" s="503"/>
      <c r="E81" s="503"/>
      <c r="F81" s="503"/>
      <c r="G81" s="503"/>
      <c r="H81" s="503"/>
      <c r="I81" s="503"/>
      <c r="J81" s="503"/>
      <c r="K81" s="503"/>
      <c r="L81" s="503"/>
      <c r="M81" s="503"/>
      <c r="N81" s="503"/>
      <c r="O81" s="503"/>
      <c r="P81" s="503"/>
      <c r="Q81" s="503"/>
      <c r="R81" s="503"/>
    </row>
    <row r="82" spans="2:18">
      <c r="B82" s="503"/>
      <c r="C82" s="503"/>
      <c r="D82" s="503"/>
      <c r="E82" s="503"/>
      <c r="F82" s="503"/>
      <c r="G82" s="503"/>
      <c r="H82" s="503"/>
      <c r="I82" s="503"/>
      <c r="J82" s="503"/>
      <c r="K82" s="503"/>
      <c r="L82" s="503"/>
      <c r="M82" s="503"/>
      <c r="N82" s="503"/>
      <c r="O82" s="503"/>
      <c r="P82" s="503"/>
      <c r="Q82" s="503"/>
      <c r="R82" s="503"/>
    </row>
    <row r="83" spans="2:18">
      <c r="B83" s="503"/>
      <c r="C83" s="503"/>
      <c r="D83" s="503"/>
      <c r="E83" s="503"/>
      <c r="F83" s="503"/>
      <c r="G83" s="503"/>
      <c r="H83" s="503"/>
      <c r="I83" s="503"/>
      <c r="J83" s="503"/>
      <c r="K83" s="503"/>
      <c r="L83" s="503"/>
      <c r="M83" s="503"/>
      <c r="N83" s="503"/>
      <c r="O83" s="503"/>
      <c r="P83" s="503"/>
      <c r="Q83" s="503"/>
      <c r="R83" s="503"/>
    </row>
    <row r="84" spans="2:18">
      <c r="B84" s="503"/>
      <c r="C84" s="503"/>
      <c r="D84" s="503"/>
      <c r="E84" s="503"/>
      <c r="F84" s="503"/>
      <c r="G84" s="503"/>
      <c r="H84" s="503"/>
      <c r="I84" s="503"/>
      <c r="J84" s="503"/>
      <c r="K84" s="503"/>
      <c r="L84" s="503"/>
      <c r="M84" s="503"/>
      <c r="N84" s="503"/>
      <c r="O84" s="503"/>
      <c r="P84" s="503"/>
      <c r="Q84" s="503"/>
      <c r="R84" s="503"/>
    </row>
    <row r="85" spans="2:18">
      <c r="B85" s="503"/>
      <c r="C85" s="503"/>
      <c r="D85" s="503"/>
      <c r="E85" s="503"/>
      <c r="F85" s="503"/>
      <c r="G85" s="503"/>
      <c r="H85" s="503"/>
      <c r="I85" s="503"/>
      <c r="J85" s="503"/>
      <c r="K85" s="503"/>
      <c r="L85" s="503"/>
      <c r="M85" s="503"/>
      <c r="N85" s="503"/>
      <c r="O85" s="503"/>
      <c r="P85" s="503"/>
      <c r="Q85" s="503"/>
      <c r="R85" s="503"/>
    </row>
    <row r="86" spans="2:18">
      <c r="B86" s="503"/>
      <c r="C86" s="503"/>
      <c r="D86" s="503"/>
      <c r="E86" s="503"/>
      <c r="F86" s="503"/>
      <c r="G86" s="503"/>
      <c r="H86" s="503"/>
      <c r="I86" s="503"/>
      <c r="J86" s="503"/>
      <c r="K86" s="503"/>
      <c r="L86" s="503"/>
      <c r="M86" s="503"/>
      <c r="N86" s="503"/>
      <c r="O86" s="503"/>
      <c r="P86" s="503"/>
      <c r="Q86" s="503"/>
      <c r="R86" s="503"/>
    </row>
    <row r="87" spans="2:18">
      <c r="B87" s="503"/>
      <c r="C87" s="503"/>
      <c r="D87" s="503"/>
      <c r="E87" s="503"/>
      <c r="F87" s="503"/>
      <c r="G87" s="503"/>
      <c r="H87" s="503"/>
      <c r="I87" s="503"/>
      <c r="J87" s="503"/>
      <c r="K87" s="503"/>
      <c r="L87" s="503"/>
      <c r="M87" s="503"/>
      <c r="N87" s="503"/>
      <c r="O87" s="503"/>
      <c r="P87" s="503"/>
      <c r="Q87" s="503"/>
      <c r="R87" s="503"/>
    </row>
    <row r="88" spans="2:18">
      <c r="B88" s="503"/>
      <c r="C88" s="503"/>
      <c r="D88" s="503"/>
      <c r="E88" s="503"/>
      <c r="F88" s="503"/>
      <c r="G88" s="503"/>
      <c r="H88" s="503"/>
      <c r="I88" s="503"/>
      <c r="J88" s="503"/>
      <c r="K88" s="503"/>
      <c r="L88" s="503"/>
      <c r="M88" s="503"/>
      <c r="N88" s="503"/>
      <c r="O88" s="503"/>
      <c r="P88" s="503"/>
      <c r="Q88" s="503"/>
      <c r="R88" s="503"/>
    </row>
    <row r="89" spans="2:18">
      <c r="B89" s="503"/>
      <c r="C89" s="503"/>
      <c r="D89" s="503"/>
      <c r="E89" s="503"/>
      <c r="F89" s="503"/>
      <c r="G89" s="503"/>
      <c r="H89" s="503"/>
      <c r="I89" s="503"/>
      <c r="J89" s="503"/>
      <c r="K89" s="503"/>
      <c r="L89" s="503"/>
      <c r="M89" s="503"/>
      <c r="N89" s="503"/>
      <c r="O89" s="503"/>
      <c r="P89" s="503"/>
      <c r="Q89" s="503"/>
      <c r="R89" s="503"/>
    </row>
    <row r="90" spans="2:18">
      <c r="B90" s="503"/>
      <c r="C90" s="503"/>
      <c r="D90" s="503"/>
      <c r="E90" s="503"/>
      <c r="F90" s="503"/>
      <c r="G90" s="503"/>
      <c r="H90" s="503"/>
      <c r="I90" s="503"/>
      <c r="J90" s="503"/>
      <c r="K90" s="503"/>
      <c r="L90" s="503"/>
      <c r="M90" s="503"/>
      <c r="N90" s="503"/>
      <c r="O90" s="503"/>
      <c r="P90" s="503"/>
      <c r="Q90" s="503"/>
      <c r="R90" s="503"/>
    </row>
    <row r="91" spans="2:18">
      <c r="B91" s="503"/>
      <c r="C91" s="503"/>
      <c r="D91" s="503"/>
      <c r="E91" s="503"/>
      <c r="F91" s="503"/>
      <c r="G91" s="503"/>
      <c r="H91" s="503"/>
      <c r="I91" s="503"/>
      <c r="J91" s="503"/>
      <c r="K91" s="503"/>
      <c r="L91" s="503"/>
      <c r="M91" s="503"/>
      <c r="N91" s="503"/>
      <c r="O91" s="503"/>
      <c r="P91" s="503"/>
      <c r="Q91" s="503"/>
      <c r="R91" s="503"/>
    </row>
    <row r="92" spans="2:18">
      <c r="B92" s="503"/>
      <c r="C92" s="503"/>
      <c r="D92" s="503"/>
      <c r="E92" s="503"/>
      <c r="F92" s="503"/>
      <c r="G92" s="503"/>
      <c r="H92" s="503"/>
      <c r="I92" s="503"/>
      <c r="J92" s="503"/>
      <c r="K92" s="503"/>
      <c r="L92" s="503"/>
      <c r="M92" s="503"/>
      <c r="N92" s="503"/>
      <c r="O92" s="503"/>
      <c r="P92" s="503"/>
      <c r="Q92" s="503"/>
      <c r="R92" s="503"/>
    </row>
    <row r="93" spans="2:18">
      <c r="B93" s="503"/>
      <c r="C93" s="503"/>
      <c r="D93" s="503"/>
      <c r="E93" s="503"/>
      <c r="F93" s="503"/>
      <c r="G93" s="503"/>
      <c r="H93" s="503"/>
      <c r="I93" s="503"/>
      <c r="J93" s="503"/>
      <c r="K93" s="503"/>
      <c r="L93" s="503"/>
      <c r="M93" s="503"/>
      <c r="N93" s="503"/>
      <c r="O93" s="503"/>
      <c r="P93" s="503"/>
      <c r="Q93" s="503"/>
      <c r="R93" s="503"/>
    </row>
    <row r="94" spans="2:18">
      <c r="B94" s="503"/>
      <c r="C94" s="503"/>
      <c r="D94" s="503"/>
      <c r="E94" s="503"/>
      <c r="F94" s="503"/>
      <c r="G94" s="503"/>
      <c r="H94" s="503"/>
      <c r="I94" s="503"/>
      <c r="J94" s="503"/>
      <c r="K94" s="503"/>
      <c r="L94" s="503"/>
      <c r="M94" s="503"/>
      <c r="N94" s="503"/>
      <c r="O94" s="503"/>
      <c r="P94" s="503"/>
      <c r="Q94" s="503"/>
      <c r="R94" s="503"/>
    </row>
    <row r="95" spans="2:18">
      <c r="B95" s="503"/>
      <c r="C95" s="503"/>
      <c r="D95" s="503"/>
      <c r="E95" s="503"/>
      <c r="F95" s="503"/>
      <c r="G95" s="503"/>
      <c r="H95" s="503"/>
      <c r="I95" s="503"/>
      <c r="J95" s="503"/>
      <c r="K95" s="503"/>
      <c r="L95" s="503"/>
      <c r="M95" s="503"/>
      <c r="N95" s="503"/>
      <c r="O95" s="503"/>
      <c r="P95" s="503"/>
      <c r="Q95" s="503"/>
      <c r="R95" s="503"/>
    </row>
    <row r="96" spans="2:18">
      <c r="B96" s="503"/>
      <c r="C96" s="503"/>
      <c r="D96" s="503"/>
      <c r="E96" s="503"/>
      <c r="F96" s="503"/>
      <c r="G96" s="503"/>
      <c r="H96" s="503"/>
      <c r="I96" s="503"/>
      <c r="J96" s="503"/>
      <c r="K96" s="503"/>
      <c r="L96" s="503"/>
      <c r="M96" s="503"/>
      <c r="N96" s="503"/>
      <c r="O96" s="503"/>
      <c r="P96" s="503"/>
      <c r="Q96" s="503"/>
      <c r="R96" s="503"/>
    </row>
    <row r="97" spans="2:18">
      <c r="B97" s="503"/>
      <c r="C97" s="503"/>
      <c r="D97" s="503"/>
      <c r="E97" s="503"/>
      <c r="F97" s="503"/>
      <c r="G97" s="503"/>
      <c r="H97" s="503"/>
      <c r="I97" s="503"/>
      <c r="J97" s="503"/>
      <c r="K97" s="503"/>
      <c r="L97" s="503"/>
      <c r="M97" s="503"/>
      <c r="N97" s="503"/>
      <c r="O97" s="503"/>
      <c r="P97" s="503"/>
      <c r="Q97" s="503"/>
      <c r="R97" s="503"/>
    </row>
    <row r="98" spans="2:18">
      <c r="B98" s="503"/>
      <c r="C98" s="503"/>
      <c r="D98" s="503"/>
      <c r="E98" s="503"/>
      <c r="F98" s="503"/>
      <c r="G98" s="503"/>
      <c r="H98" s="503"/>
      <c r="I98" s="503"/>
      <c r="J98" s="503"/>
      <c r="K98" s="503"/>
      <c r="L98" s="503"/>
      <c r="M98" s="503"/>
      <c r="N98" s="503"/>
      <c r="O98" s="503"/>
      <c r="P98" s="503"/>
      <c r="Q98" s="503"/>
      <c r="R98" s="503"/>
    </row>
    <row r="99" spans="2:18">
      <c r="B99" s="503"/>
      <c r="C99" s="503"/>
      <c r="D99" s="503"/>
      <c r="E99" s="503"/>
      <c r="F99" s="503"/>
      <c r="G99" s="503"/>
      <c r="H99" s="503"/>
      <c r="I99" s="503"/>
      <c r="J99" s="503"/>
      <c r="K99" s="503"/>
      <c r="L99" s="503"/>
      <c r="M99" s="503"/>
      <c r="N99" s="503"/>
      <c r="O99" s="503"/>
      <c r="P99" s="503"/>
      <c r="Q99" s="503"/>
      <c r="R99" s="503"/>
    </row>
    <row r="100" spans="2:18">
      <c r="B100" s="503"/>
      <c r="C100" s="503"/>
      <c r="D100" s="503"/>
      <c r="E100" s="503"/>
      <c r="F100" s="503"/>
      <c r="G100" s="503"/>
      <c r="H100" s="503"/>
      <c r="I100" s="503"/>
      <c r="J100" s="503"/>
      <c r="K100" s="503"/>
      <c r="L100" s="503"/>
      <c r="M100" s="503"/>
      <c r="N100" s="503"/>
      <c r="O100" s="503"/>
      <c r="P100" s="503"/>
      <c r="Q100" s="503"/>
      <c r="R100" s="503"/>
    </row>
    <row r="101" spans="2:18">
      <c r="B101" s="503"/>
      <c r="C101" s="503"/>
      <c r="D101" s="503"/>
      <c r="E101" s="503"/>
      <c r="F101" s="503"/>
      <c r="G101" s="503"/>
      <c r="H101" s="503"/>
      <c r="I101" s="503"/>
      <c r="J101" s="503"/>
      <c r="K101" s="503"/>
      <c r="L101" s="503"/>
      <c r="M101" s="503"/>
      <c r="N101" s="503"/>
      <c r="O101" s="503"/>
      <c r="P101" s="503"/>
      <c r="Q101" s="503"/>
      <c r="R101" s="503"/>
    </row>
    <row r="102" spans="2:18">
      <c r="B102" s="503"/>
      <c r="C102" s="503"/>
      <c r="D102" s="503"/>
      <c r="E102" s="503"/>
      <c r="F102" s="503"/>
      <c r="G102" s="503"/>
      <c r="H102" s="503"/>
      <c r="I102" s="503"/>
      <c r="J102" s="503"/>
      <c r="K102" s="503"/>
      <c r="L102" s="503"/>
      <c r="M102" s="503"/>
      <c r="N102" s="503"/>
      <c r="O102" s="503"/>
      <c r="P102" s="503"/>
      <c r="Q102" s="503"/>
      <c r="R102" s="503"/>
    </row>
    <row r="103" spans="2:18">
      <c r="B103" s="503"/>
      <c r="C103" s="503"/>
      <c r="D103" s="503"/>
      <c r="E103" s="503"/>
      <c r="F103" s="503"/>
      <c r="G103" s="503"/>
      <c r="H103" s="503"/>
      <c r="I103" s="503"/>
      <c r="J103" s="503"/>
      <c r="K103" s="503"/>
      <c r="L103" s="503"/>
      <c r="M103" s="503"/>
      <c r="N103" s="503"/>
      <c r="O103" s="503"/>
      <c r="P103" s="503"/>
      <c r="Q103" s="503"/>
      <c r="R103" s="503"/>
    </row>
    <row r="104" spans="2:18">
      <c r="B104" s="503"/>
      <c r="C104" s="503"/>
      <c r="D104" s="503"/>
      <c r="E104" s="503"/>
      <c r="F104" s="503"/>
      <c r="G104" s="503"/>
      <c r="H104" s="503"/>
      <c r="I104" s="503"/>
      <c r="J104" s="503"/>
      <c r="K104" s="503"/>
      <c r="L104" s="503"/>
      <c r="M104" s="503"/>
      <c r="N104" s="503"/>
      <c r="O104" s="503"/>
      <c r="P104" s="503"/>
      <c r="Q104" s="503"/>
      <c r="R104" s="503"/>
    </row>
    <row r="105" spans="2:18">
      <c r="B105" s="503"/>
      <c r="C105" s="503"/>
      <c r="D105" s="503"/>
      <c r="E105" s="503"/>
      <c r="F105" s="503"/>
      <c r="G105" s="503"/>
      <c r="H105" s="503"/>
      <c r="I105" s="503"/>
      <c r="J105" s="503"/>
      <c r="K105" s="503"/>
      <c r="L105" s="503"/>
      <c r="M105" s="503"/>
      <c r="N105" s="503"/>
      <c r="O105" s="503"/>
      <c r="P105" s="503"/>
      <c r="Q105" s="503"/>
      <c r="R105" s="503"/>
    </row>
    <row r="106" spans="2:18">
      <c r="B106" s="503"/>
      <c r="C106" s="503"/>
      <c r="D106" s="503"/>
      <c r="E106" s="503"/>
      <c r="F106" s="503"/>
      <c r="G106" s="503"/>
      <c r="H106" s="503"/>
      <c r="I106" s="503"/>
      <c r="J106" s="503"/>
      <c r="K106" s="503"/>
      <c r="L106" s="503"/>
      <c r="M106" s="503"/>
      <c r="N106" s="503"/>
      <c r="O106" s="503"/>
      <c r="P106" s="503"/>
      <c r="Q106" s="503"/>
      <c r="R106" s="503"/>
    </row>
    <row r="107" spans="2:18">
      <c r="B107" s="503"/>
      <c r="C107" s="503"/>
      <c r="D107" s="503"/>
      <c r="E107" s="503"/>
      <c r="F107" s="503"/>
      <c r="G107" s="503"/>
      <c r="H107" s="503"/>
      <c r="I107" s="503"/>
      <c r="J107" s="503"/>
      <c r="K107" s="503"/>
      <c r="L107" s="503"/>
      <c r="M107" s="503"/>
      <c r="N107" s="503"/>
      <c r="O107" s="503"/>
      <c r="P107" s="503"/>
      <c r="Q107" s="503"/>
      <c r="R107" s="503"/>
    </row>
    <row r="108" spans="2:18">
      <c r="B108" s="503"/>
      <c r="C108" s="503"/>
      <c r="D108" s="503"/>
      <c r="E108" s="503"/>
      <c r="F108" s="503"/>
      <c r="G108" s="503"/>
      <c r="H108" s="503"/>
      <c r="I108" s="503"/>
      <c r="J108" s="503"/>
      <c r="K108" s="503"/>
      <c r="L108" s="503"/>
      <c r="M108" s="503"/>
      <c r="N108" s="503"/>
      <c r="O108" s="503"/>
      <c r="P108" s="503"/>
      <c r="Q108" s="503"/>
      <c r="R108" s="503"/>
    </row>
    <row r="109" spans="2:18">
      <c r="B109" s="503"/>
      <c r="C109" s="503"/>
      <c r="D109" s="503"/>
      <c r="E109" s="503"/>
      <c r="F109" s="503"/>
      <c r="G109" s="503"/>
      <c r="H109" s="503"/>
      <c r="I109" s="503"/>
      <c r="J109" s="503"/>
      <c r="K109" s="503"/>
      <c r="L109" s="503"/>
      <c r="M109" s="503"/>
      <c r="N109" s="503"/>
      <c r="O109" s="503"/>
      <c r="P109" s="503"/>
      <c r="Q109" s="503"/>
      <c r="R109" s="503"/>
    </row>
    <row r="110" spans="2:18">
      <c r="B110" s="503"/>
      <c r="C110" s="503"/>
      <c r="D110" s="503"/>
      <c r="E110" s="503"/>
      <c r="F110" s="503"/>
      <c r="G110" s="503"/>
      <c r="H110" s="503"/>
      <c r="I110" s="503"/>
      <c r="J110" s="503"/>
      <c r="K110" s="503"/>
      <c r="L110" s="503"/>
      <c r="M110" s="503"/>
      <c r="N110" s="503"/>
      <c r="O110" s="503"/>
      <c r="P110" s="503"/>
      <c r="Q110" s="503"/>
      <c r="R110" s="503"/>
    </row>
    <row r="111" spans="2:18">
      <c r="B111" s="503"/>
      <c r="C111" s="503"/>
      <c r="D111" s="503"/>
      <c r="E111" s="503"/>
      <c r="F111" s="503"/>
      <c r="G111" s="503"/>
      <c r="H111" s="503"/>
      <c r="I111" s="503"/>
      <c r="J111" s="503"/>
      <c r="K111" s="503"/>
      <c r="L111" s="503"/>
      <c r="M111" s="503"/>
      <c r="N111" s="503"/>
      <c r="O111" s="503"/>
      <c r="P111" s="503"/>
      <c r="Q111" s="503"/>
      <c r="R111" s="503"/>
    </row>
    <row r="112" spans="2:18">
      <c r="B112" s="503"/>
      <c r="C112" s="503"/>
      <c r="D112" s="503"/>
      <c r="E112" s="503"/>
      <c r="F112" s="503"/>
      <c r="G112" s="503"/>
      <c r="H112" s="503"/>
      <c r="I112" s="503"/>
      <c r="J112" s="503"/>
      <c r="K112" s="503"/>
      <c r="L112" s="503"/>
      <c r="M112" s="503"/>
      <c r="N112" s="503"/>
      <c r="O112" s="503"/>
      <c r="P112" s="503"/>
      <c r="Q112" s="503"/>
      <c r="R112" s="503"/>
    </row>
    <row r="113" spans="2:18">
      <c r="B113" s="503"/>
      <c r="C113" s="503"/>
      <c r="D113" s="503"/>
      <c r="E113" s="503"/>
      <c r="F113" s="503"/>
      <c r="G113" s="503"/>
      <c r="H113" s="503"/>
      <c r="I113" s="503"/>
      <c r="J113" s="503"/>
      <c r="K113" s="503"/>
      <c r="L113" s="503"/>
      <c r="M113" s="503"/>
      <c r="N113" s="503"/>
      <c r="O113" s="503"/>
      <c r="P113" s="503"/>
      <c r="Q113" s="503"/>
      <c r="R113" s="503"/>
    </row>
    <row r="114" spans="2:18">
      <c r="B114" s="503"/>
      <c r="C114" s="503"/>
      <c r="D114" s="503"/>
      <c r="E114" s="503"/>
      <c r="F114" s="503"/>
      <c r="G114" s="503"/>
      <c r="H114" s="503"/>
      <c r="I114" s="503"/>
      <c r="J114" s="503"/>
      <c r="K114" s="503"/>
      <c r="L114" s="503"/>
      <c r="M114" s="503"/>
      <c r="N114" s="503"/>
      <c r="O114" s="503"/>
      <c r="P114" s="503"/>
      <c r="Q114" s="503"/>
      <c r="R114" s="503"/>
    </row>
    <row r="115" spans="2:18">
      <c r="B115" s="503"/>
      <c r="C115" s="503"/>
      <c r="D115" s="503"/>
      <c r="E115" s="503"/>
      <c r="F115" s="503"/>
      <c r="G115" s="503"/>
      <c r="H115" s="503"/>
      <c r="I115" s="503"/>
      <c r="J115" s="503"/>
      <c r="K115" s="503"/>
      <c r="L115" s="503"/>
      <c r="M115" s="503"/>
      <c r="N115" s="503"/>
      <c r="O115" s="503"/>
      <c r="P115" s="503"/>
      <c r="Q115" s="503"/>
      <c r="R115" s="503"/>
    </row>
    <row r="116" spans="2:18">
      <c r="B116" s="503"/>
      <c r="C116" s="503"/>
      <c r="D116" s="503"/>
      <c r="E116" s="503"/>
      <c r="F116" s="503"/>
      <c r="G116" s="503"/>
      <c r="H116" s="503"/>
      <c r="I116" s="503"/>
      <c r="J116" s="503"/>
      <c r="K116" s="503"/>
      <c r="L116" s="503"/>
      <c r="M116" s="503"/>
      <c r="N116" s="503"/>
      <c r="O116" s="503"/>
      <c r="P116" s="503"/>
      <c r="Q116" s="503"/>
      <c r="R116" s="503"/>
    </row>
    <row r="117" spans="2:18">
      <c r="B117" s="503"/>
      <c r="C117" s="503"/>
      <c r="D117" s="503"/>
      <c r="E117" s="503"/>
      <c r="F117" s="503"/>
      <c r="G117" s="503"/>
      <c r="H117" s="503"/>
      <c r="I117" s="503"/>
      <c r="J117" s="503"/>
      <c r="K117" s="503"/>
      <c r="L117" s="503"/>
      <c r="M117" s="503"/>
      <c r="N117" s="503"/>
      <c r="O117" s="503"/>
      <c r="P117" s="503"/>
      <c r="Q117" s="503"/>
      <c r="R117" s="503"/>
    </row>
    <row r="118" spans="2:18">
      <c r="B118" s="503"/>
      <c r="C118" s="503"/>
      <c r="D118" s="503"/>
      <c r="E118" s="503"/>
      <c r="F118" s="503"/>
      <c r="G118" s="503"/>
      <c r="H118" s="503"/>
      <c r="I118" s="503"/>
      <c r="J118" s="503"/>
      <c r="K118" s="503"/>
      <c r="L118" s="503"/>
      <c r="M118" s="503"/>
      <c r="N118" s="503"/>
      <c r="O118" s="503"/>
      <c r="P118" s="503"/>
      <c r="Q118" s="503"/>
      <c r="R118" s="503"/>
    </row>
    <row r="119" spans="2:18">
      <c r="B119" s="503"/>
      <c r="C119" s="503"/>
      <c r="D119" s="503"/>
      <c r="E119" s="503"/>
      <c r="F119" s="503"/>
      <c r="G119" s="503"/>
      <c r="H119" s="503"/>
      <c r="I119" s="503"/>
      <c r="J119" s="503"/>
      <c r="K119" s="503"/>
      <c r="L119" s="503"/>
      <c r="M119" s="503"/>
      <c r="N119" s="503"/>
      <c r="O119" s="503"/>
      <c r="P119" s="503"/>
      <c r="Q119" s="503"/>
      <c r="R119" s="503"/>
    </row>
    <row r="120" spans="2:18">
      <c r="B120" s="503"/>
      <c r="C120" s="503"/>
      <c r="D120" s="503"/>
      <c r="E120" s="503"/>
      <c r="F120" s="503"/>
      <c r="G120" s="503"/>
      <c r="H120" s="503"/>
      <c r="I120" s="503"/>
      <c r="J120" s="503"/>
      <c r="K120" s="503"/>
      <c r="L120" s="503"/>
      <c r="M120" s="503"/>
      <c r="N120" s="503"/>
      <c r="O120" s="503"/>
      <c r="P120" s="503"/>
      <c r="Q120" s="503"/>
      <c r="R120" s="503"/>
    </row>
    <row r="121" spans="2:18">
      <c r="B121" s="503"/>
      <c r="C121" s="503"/>
      <c r="D121" s="503"/>
      <c r="E121" s="503"/>
      <c r="F121" s="503"/>
      <c r="G121" s="503"/>
      <c r="H121" s="503"/>
      <c r="I121" s="503"/>
      <c r="J121" s="503"/>
      <c r="K121" s="503"/>
      <c r="L121" s="503"/>
      <c r="M121" s="503"/>
      <c r="N121" s="503"/>
      <c r="O121" s="503"/>
      <c r="P121" s="503"/>
      <c r="Q121" s="503"/>
      <c r="R121" s="503"/>
    </row>
    <row r="122" spans="2:18">
      <c r="B122" s="503"/>
      <c r="C122" s="503"/>
      <c r="D122" s="503"/>
      <c r="E122" s="503"/>
      <c r="F122" s="503"/>
      <c r="G122" s="503"/>
      <c r="H122" s="503"/>
      <c r="I122" s="503"/>
      <c r="J122" s="503"/>
      <c r="K122" s="503"/>
      <c r="L122" s="503"/>
      <c r="M122" s="503"/>
      <c r="N122" s="503"/>
      <c r="O122" s="503"/>
      <c r="P122" s="503"/>
      <c r="Q122" s="503"/>
      <c r="R122" s="503"/>
    </row>
    <row r="123" spans="2:18">
      <c r="B123" s="503"/>
      <c r="C123" s="503"/>
      <c r="D123" s="503"/>
      <c r="E123" s="503"/>
      <c r="F123" s="503"/>
      <c r="G123" s="503"/>
      <c r="H123" s="503"/>
      <c r="I123" s="503"/>
      <c r="J123" s="503"/>
      <c r="K123" s="503"/>
      <c r="L123" s="503"/>
      <c r="M123" s="503"/>
      <c r="N123" s="503"/>
      <c r="O123" s="503"/>
      <c r="P123" s="503"/>
      <c r="Q123" s="503"/>
      <c r="R123" s="503"/>
    </row>
    <row r="124" spans="2:18">
      <c r="B124" s="503"/>
      <c r="C124" s="503"/>
      <c r="D124" s="503"/>
      <c r="E124" s="503"/>
      <c r="F124" s="503"/>
      <c r="G124" s="503"/>
      <c r="H124" s="503"/>
      <c r="I124" s="503"/>
      <c r="J124" s="503"/>
      <c r="K124" s="503"/>
      <c r="L124" s="503"/>
      <c r="M124" s="503"/>
      <c r="N124" s="503"/>
      <c r="O124" s="503"/>
      <c r="P124" s="503"/>
      <c r="Q124" s="503"/>
      <c r="R124" s="503"/>
    </row>
    <row r="125" spans="2:18">
      <c r="B125" s="503"/>
      <c r="C125" s="503"/>
      <c r="D125" s="503"/>
      <c r="E125" s="503"/>
      <c r="F125" s="503"/>
      <c r="G125" s="503"/>
      <c r="H125" s="503"/>
      <c r="I125" s="503"/>
      <c r="J125" s="503"/>
      <c r="K125" s="503"/>
      <c r="L125" s="503"/>
      <c r="M125" s="503"/>
      <c r="N125" s="503"/>
      <c r="O125" s="503"/>
      <c r="P125" s="503"/>
      <c r="Q125" s="503"/>
      <c r="R125" s="503"/>
    </row>
    <row r="126" spans="2:18">
      <c r="B126" s="503"/>
      <c r="C126" s="503"/>
      <c r="D126" s="503"/>
      <c r="E126" s="503"/>
      <c r="F126" s="503"/>
      <c r="G126" s="503"/>
      <c r="H126" s="503"/>
      <c r="I126" s="503"/>
      <c r="J126" s="503"/>
      <c r="K126" s="503"/>
      <c r="L126" s="503"/>
      <c r="M126" s="503"/>
      <c r="N126" s="503"/>
      <c r="O126" s="503"/>
      <c r="P126" s="503"/>
      <c r="Q126" s="503"/>
      <c r="R126" s="503"/>
    </row>
    <row r="127" spans="2:18">
      <c r="B127" s="503"/>
      <c r="C127" s="503"/>
      <c r="D127" s="503"/>
      <c r="E127" s="503"/>
      <c r="F127" s="503"/>
      <c r="G127" s="503"/>
      <c r="H127" s="503"/>
      <c r="I127" s="503"/>
      <c r="J127" s="503"/>
      <c r="K127" s="503"/>
      <c r="L127" s="503"/>
      <c r="M127" s="503"/>
      <c r="N127" s="503"/>
      <c r="O127" s="503"/>
      <c r="P127" s="503"/>
      <c r="Q127" s="503"/>
      <c r="R127" s="503"/>
    </row>
    <row r="128" spans="2:18">
      <c r="B128" s="503"/>
      <c r="C128" s="503"/>
      <c r="D128" s="503"/>
      <c r="E128" s="503"/>
      <c r="F128" s="503"/>
      <c r="G128" s="503"/>
      <c r="H128" s="503"/>
      <c r="I128" s="503"/>
      <c r="J128" s="503"/>
      <c r="K128" s="503"/>
      <c r="L128" s="503"/>
      <c r="M128" s="503"/>
      <c r="N128" s="503"/>
      <c r="O128" s="503"/>
      <c r="P128" s="503"/>
      <c r="Q128" s="503"/>
      <c r="R128" s="503"/>
    </row>
    <row r="129" spans="2:18">
      <c r="B129" s="503"/>
      <c r="C129" s="503"/>
      <c r="D129" s="503"/>
      <c r="E129" s="503"/>
      <c r="F129" s="503"/>
      <c r="G129" s="503"/>
      <c r="H129" s="503"/>
      <c r="I129" s="503"/>
      <c r="J129" s="503"/>
      <c r="K129" s="503"/>
      <c r="L129" s="503"/>
      <c r="M129" s="503"/>
      <c r="N129" s="503"/>
      <c r="O129" s="503"/>
      <c r="P129" s="503"/>
      <c r="Q129" s="503"/>
      <c r="R129" s="503"/>
    </row>
    <row r="130" spans="2:18">
      <c r="B130" s="503"/>
      <c r="C130" s="503"/>
      <c r="D130" s="503"/>
      <c r="E130" s="503"/>
      <c r="F130" s="503"/>
      <c r="G130" s="503"/>
      <c r="H130" s="503"/>
      <c r="I130" s="503"/>
      <c r="J130" s="503"/>
      <c r="K130" s="503"/>
      <c r="L130" s="503"/>
      <c r="M130" s="503"/>
      <c r="N130" s="503"/>
      <c r="O130" s="503"/>
      <c r="P130" s="503"/>
      <c r="Q130" s="503"/>
      <c r="R130" s="503"/>
    </row>
    <row r="131" spans="2:18">
      <c r="B131" s="503"/>
      <c r="C131" s="503"/>
      <c r="D131" s="503"/>
      <c r="E131" s="503"/>
      <c r="F131" s="503"/>
      <c r="G131" s="503"/>
      <c r="H131" s="503"/>
      <c r="I131" s="503"/>
      <c r="J131" s="503"/>
      <c r="K131" s="503"/>
      <c r="L131" s="503"/>
      <c r="M131" s="503"/>
      <c r="N131" s="503"/>
      <c r="O131" s="503"/>
      <c r="P131" s="503"/>
      <c r="Q131" s="503"/>
      <c r="R131" s="503"/>
    </row>
    <row r="132" spans="2:18">
      <c r="B132" s="503"/>
      <c r="C132" s="503"/>
      <c r="D132" s="503"/>
      <c r="E132" s="503"/>
      <c r="F132" s="503"/>
      <c r="G132" s="503"/>
      <c r="H132" s="503"/>
      <c r="I132" s="503"/>
      <c r="J132" s="503"/>
      <c r="K132" s="503"/>
      <c r="L132" s="503"/>
      <c r="M132" s="503"/>
      <c r="N132" s="503"/>
      <c r="O132" s="503"/>
      <c r="P132" s="503"/>
      <c r="Q132" s="503"/>
      <c r="R132" s="503"/>
    </row>
    <row r="133" spans="2:18">
      <c r="B133" s="503"/>
      <c r="C133" s="503"/>
      <c r="D133" s="503"/>
      <c r="E133" s="503"/>
      <c r="F133" s="503"/>
      <c r="G133" s="503"/>
      <c r="H133" s="503"/>
      <c r="I133" s="503"/>
      <c r="J133" s="503"/>
      <c r="K133" s="503"/>
      <c r="L133" s="503"/>
      <c r="M133" s="503"/>
      <c r="N133" s="503"/>
      <c r="O133" s="503"/>
      <c r="P133" s="503"/>
      <c r="Q133" s="503"/>
      <c r="R133" s="503"/>
    </row>
    <row r="134" spans="2:18">
      <c r="B134" s="503"/>
      <c r="C134" s="503"/>
      <c r="D134" s="503"/>
      <c r="E134" s="503"/>
      <c r="F134" s="503"/>
      <c r="G134" s="503"/>
      <c r="H134" s="503"/>
      <c r="I134" s="503"/>
      <c r="J134" s="503"/>
      <c r="K134" s="503"/>
      <c r="L134" s="503"/>
      <c r="M134" s="503"/>
      <c r="N134" s="503"/>
      <c r="O134" s="503"/>
      <c r="P134" s="503"/>
      <c r="Q134" s="503"/>
      <c r="R134" s="503"/>
    </row>
    <row r="135" spans="2:18">
      <c r="B135" s="503"/>
      <c r="C135" s="503"/>
      <c r="D135" s="503"/>
      <c r="E135" s="503"/>
      <c r="F135" s="503"/>
      <c r="G135" s="503"/>
      <c r="H135" s="503"/>
      <c r="I135" s="503"/>
      <c r="J135" s="503"/>
      <c r="K135" s="503"/>
      <c r="L135" s="503"/>
      <c r="M135" s="503"/>
      <c r="N135" s="503"/>
      <c r="O135" s="503"/>
      <c r="P135" s="503"/>
      <c r="Q135" s="503"/>
      <c r="R135" s="503"/>
    </row>
    <row r="136" spans="2:18">
      <c r="B136" s="503"/>
      <c r="C136" s="503"/>
      <c r="D136" s="503"/>
      <c r="E136" s="503"/>
      <c r="F136" s="503"/>
      <c r="G136" s="503"/>
      <c r="H136" s="503"/>
      <c r="I136" s="503"/>
      <c r="J136" s="503"/>
      <c r="K136" s="503"/>
      <c r="L136" s="503"/>
      <c r="M136" s="503"/>
      <c r="N136" s="503"/>
      <c r="O136" s="503"/>
      <c r="P136" s="503"/>
      <c r="Q136" s="503"/>
      <c r="R136" s="503"/>
    </row>
    <row r="137" spans="2:18">
      <c r="B137" s="503"/>
      <c r="C137" s="503"/>
      <c r="D137" s="503"/>
      <c r="E137" s="503"/>
      <c r="F137" s="503"/>
      <c r="G137" s="503"/>
      <c r="H137" s="503"/>
      <c r="I137" s="503"/>
      <c r="J137" s="503"/>
      <c r="K137" s="503"/>
      <c r="L137" s="503"/>
      <c r="M137" s="503"/>
      <c r="N137" s="503"/>
      <c r="O137" s="503"/>
      <c r="P137" s="503"/>
      <c r="Q137" s="503"/>
      <c r="R137" s="503"/>
    </row>
    <row r="138" spans="2:18">
      <c r="B138" s="503"/>
      <c r="C138" s="503"/>
      <c r="D138" s="503"/>
      <c r="E138" s="503"/>
      <c r="F138" s="503"/>
      <c r="G138" s="503"/>
      <c r="H138" s="503"/>
      <c r="I138" s="503"/>
      <c r="J138" s="503"/>
      <c r="K138" s="503"/>
      <c r="L138" s="503"/>
      <c r="M138" s="503"/>
      <c r="N138" s="503"/>
      <c r="O138" s="503"/>
      <c r="P138" s="503"/>
      <c r="Q138" s="503"/>
      <c r="R138" s="503"/>
    </row>
    <row r="139" spans="2:18">
      <c r="B139" s="503"/>
      <c r="C139" s="503"/>
      <c r="D139" s="503"/>
      <c r="E139" s="503"/>
      <c r="F139" s="503"/>
      <c r="G139" s="503"/>
      <c r="H139" s="503"/>
      <c r="I139" s="503"/>
      <c r="J139" s="503"/>
      <c r="K139" s="503"/>
      <c r="L139" s="503"/>
      <c r="M139" s="503"/>
      <c r="N139" s="503"/>
      <c r="O139" s="503"/>
      <c r="P139" s="503"/>
      <c r="Q139" s="503"/>
      <c r="R139" s="503"/>
    </row>
    <row r="140" spans="2:18">
      <c r="B140" s="503"/>
      <c r="C140" s="503"/>
      <c r="D140" s="503"/>
      <c r="E140" s="503"/>
      <c r="F140" s="503"/>
      <c r="G140" s="503"/>
      <c r="H140" s="503"/>
      <c r="I140" s="503"/>
      <c r="J140" s="503"/>
      <c r="K140" s="503"/>
      <c r="L140" s="503"/>
      <c r="M140" s="503"/>
      <c r="N140" s="503"/>
      <c r="O140" s="503"/>
      <c r="P140" s="503"/>
      <c r="Q140" s="503"/>
      <c r="R140" s="503"/>
    </row>
    <row r="141" spans="2:18">
      <c r="B141" s="503"/>
      <c r="C141" s="503"/>
      <c r="D141" s="503"/>
      <c r="E141" s="503"/>
      <c r="F141" s="503"/>
      <c r="G141" s="503"/>
      <c r="H141" s="503"/>
      <c r="I141" s="503"/>
      <c r="J141" s="503"/>
      <c r="K141" s="503"/>
      <c r="L141" s="503"/>
      <c r="M141" s="503"/>
      <c r="N141" s="503"/>
      <c r="O141" s="503"/>
      <c r="P141" s="503"/>
      <c r="Q141" s="503"/>
      <c r="R141" s="503"/>
    </row>
    <row r="142" spans="2:18">
      <c r="B142" s="503"/>
      <c r="C142" s="503"/>
      <c r="D142" s="503"/>
      <c r="E142" s="503"/>
      <c r="F142" s="503"/>
      <c r="G142" s="503"/>
      <c r="H142" s="503"/>
      <c r="I142" s="503"/>
      <c r="J142" s="503"/>
      <c r="K142" s="503"/>
      <c r="L142" s="503"/>
      <c r="M142" s="503"/>
      <c r="N142" s="503"/>
      <c r="O142" s="503"/>
      <c r="P142" s="503"/>
      <c r="Q142" s="503"/>
      <c r="R142" s="503"/>
    </row>
    <row r="143" spans="2:18">
      <c r="B143" s="503"/>
      <c r="C143" s="503"/>
      <c r="D143" s="503"/>
      <c r="E143" s="503"/>
      <c r="F143" s="503"/>
      <c r="G143" s="503"/>
      <c r="H143" s="503"/>
      <c r="I143" s="503"/>
      <c r="J143" s="503"/>
      <c r="K143" s="503"/>
      <c r="L143" s="503"/>
      <c r="M143" s="503"/>
      <c r="N143" s="503"/>
      <c r="O143" s="503"/>
      <c r="P143" s="503"/>
      <c r="Q143" s="503"/>
      <c r="R143" s="503"/>
    </row>
    <row r="144" spans="2:18">
      <c r="B144" s="503"/>
      <c r="C144" s="503"/>
      <c r="D144" s="503"/>
      <c r="E144" s="503"/>
      <c r="F144" s="503"/>
      <c r="G144" s="503"/>
      <c r="H144" s="503"/>
      <c r="I144" s="503"/>
      <c r="J144" s="503"/>
      <c r="K144" s="503"/>
      <c r="L144" s="503"/>
      <c r="M144" s="503"/>
      <c r="N144" s="503"/>
      <c r="O144" s="503"/>
      <c r="P144" s="503"/>
      <c r="Q144" s="503"/>
      <c r="R144" s="503"/>
    </row>
    <row r="145" spans="2:18">
      <c r="B145" s="503"/>
      <c r="C145" s="503"/>
      <c r="D145" s="503"/>
      <c r="E145" s="503"/>
      <c r="F145" s="503"/>
      <c r="G145" s="503"/>
      <c r="H145" s="503"/>
      <c r="I145" s="503"/>
      <c r="J145" s="503"/>
      <c r="K145" s="503"/>
      <c r="L145" s="503"/>
      <c r="M145" s="503"/>
      <c r="N145" s="503"/>
      <c r="O145" s="503"/>
      <c r="P145" s="503"/>
      <c r="Q145" s="503"/>
      <c r="R145" s="503"/>
    </row>
    <row r="146" spans="2:18">
      <c r="B146" s="503"/>
      <c r="C146" s="503"/>
      <c r="D146" s="503"/>
      <c r="E146" s="503"/>
      <c r="F146" s="503"/>
      <c r="G146" s="503"/>
      <c r="H146" s="503"/>
      <c r="I146" s="503"/>
      <c r="J146" s="503"/>
      <c r="K146" s="503"/>
      <c r="L146" s="503"/>
      <c r="M146" s="503"/>
      <c r="N146" s="503"/>
      <c r="O146" s="503"/>
      <c r="P146" s="503"/>
      <c r="Q146" s="503"/>
      <c r="R146" s="503"/>
    </row>
    <row r="147" spans="2:18">
      <c r="B147" s="503"/>
      <c r="C147" s="503"/>
      <c r="D147" s="503"/>
      <c r="E147" s="503"/>
      <c r="F147" s="503"/>
      <c r="G147" s="503"/>
      <c r="H147" s="503"/>
      <c r="I147" s="503"/>
      <c r="J147" s="503"/>
      <c r="K147" s="503"/>
      <c r="L147" s="503"/>
      <c r="M147" s="503"/>
      <c r="N147" s="503"/>
      <c r="O147" s="503"/>
      <c r="P147" s="503"/>
      <c r="Q147" s="503"/>
      <c r="R147" s="503"/>
    </row>
    <row r="148" spans="2:18">
      <c r="B148" s="503"/>
      <c r="C148" s="503"/>
      <c r="D148" s="503"/>
      <c r="E148" s="503"/>
      <c r="F148" s="503"/>
      <c r="G148" s="503"/>
      <c r="H148" s="503"/>
      <c r="I148" s="503"/>
      <c r="J148" s="503"/>
      <c r="K148" s="503"/>
      <c r="L148" s="503"/>
      <c r="M148" s="503"/>
      <c r="N148" s="503"/>
      <c r="O148" s="503"/>
      <c r="P148" s="503"/>
      <c r="Q148" s="503"/>
      <c r="R148" s="503"/>
    </row>
    <row r="149" spans="2:18">
      <c r="B149" s="503"/>
      <c r="C149" s="503"/>
      <c r="D149" s="503"/>
      <c r="E149" s="503"/>
      <c r="F149" s="503"/>
      <c r="G149" s="503"/>
      <c r="H149" s="503"/>
      <c r="I149" s="503"/>
      <c r="J149" s="503"/>
      <c r="K149" s="503"/>
      <c r="L149" s="503"/>
      <c r="M149" s="503"/>
      <c r="N149" s="503"/>
      <c r="O149" s="503"/>
      <c r="P149" s="503"/>
      <c r="Q149" s="503"/>
      <c r="R149" s="503"/>
    </row>
    <row r="150" spans="2:18">
      <c r="B150" s="503"/>
      <c r="C150" s="503"/>
      <c r="D150" s="503"/>
      <c r="E150" s="503"/>
      <c r="F150" s="503"/>
      <c r="G150" s="503"/>
      <c r="H150" s="503"/>
      <c r="I150" s="503"/>
      <c r="J150" s="503"/>
      <c r="K150" s="503"/>
      <c r="L150" s="503"/>
      <c r="M150" s="503"/>
      <c r="N150" s="503"/>
      <c r="O150" s="503"/>
      <c r="P150" s="503"/>
      <c r="Q150" s="503"/>
      <c r="R150" s="503"/>
    </row>
    <row r="151" spans="2:18">
      <c r="B151" s="503"/>
      <c r="C151" s="503"/>
      <c r="D151" s="503"/>
      <c r="E151" s="503"/>
      <c r="F151" s="503"/>
      <c r="G151" s="503"/>
      <c r="H151" s="503"/>
      <c r="I151" s="503"/>
      <c r="J151" s="503"/>
      <c r="K151" s="503"/>
      <c r="L151" s="503"/>
      <c r="M151" s="503"/>
      <c r="N151" s="503"/>
      <c r="O151" s="503"/>
      <c r="P151" s="503"/>
      <c r="Q151" s="503"/>
      <c r="R151" s="503"/>
    </row>
    <row r="152" spans="2:18">
      <c r="B152" s="503"/>
      <c r="C152" s="503"/>
      <c r="D152" s="503"/>
      <c r="E152" s="503"/>
      <c r="F152" s="503"/>
      <c r="G152" s="503"/>
      <c r="H152" s="503"/>
      <c r="I152" s="503"/>
      <c r="J152" s="503"/>
      <c r="K152" s="503"/>
      <c r="L152" s="503"/>
      <c r="M152" s="503"/>
      <c r="N152" s="503"/>
      <c r="O152" s="503"/>
      <c r="P152" s="503"/>
      <c r="Q152" s="503"/>
      <c r="R152" s="503"/>
    </row>
    <row r="153" spans="2:18">
      <c r="B153" s="503"/>
      <c r="C153" s="503"/>
      <c r="D153" s="503"/>
      <c r="E153" s="503"/>
      <c r="F153" s="503"/>
      <c r="G153" s="503"/>
      <c r="H153" s="503"/>
      <c r="I153" s="503"/>
      <c r="J153" s="503"/>
      <c r="K153" s="503"/>
      <c r="L153" s="503"/>
      <c r="M153" s="503"/>
      <c r="N153" s="503"/>
      <c r="O153" s="503"/>
      <c r="P153" s="503"/>
      <c r="Q153" s="503"/>
      <c r="R153" s="503"/>
    </row>
    <row r="154" spans="2:18">
      <c r="B154" s="503"/>
      <c r="C154" s="503"/>
      <c r="D154" s="503"/>
      <c r="E154" s="503"/>
      <c r="F154" s="503"/>
      <c r="G154" s="503"/>
      <c r="H154" s="503"/>
      <c r="I154" s="503"/>
      <c r="J154" s="503"/>
      <c r="K154" s="503"/>
      <c r="L154" s="503"/>
      <c r="M154" s="503"/>
      <c r="N154" s="503"/>
      <c r="O154" s="503"/>
      <c r="P154" s="503"/>
      <c r="Q154" s="503"/>
      <c r="R154" s="503"/>
    </row>
    <row r="155" spans="2:18">
      <c r="B155" s="503"/>
      <c r="C155" s="503"/>
      <c r="D155" s="503"/>
      <c r="E155" s="503"/>
      <c r="F155" s="503"/>
      <c r="G155" s="503"/>
      <c r="H155" s="503"/>
      <c r="I155" s="503"/>
      <c r="J155" s="503"/>
      <c r="K155" s="503"/>
      <c r="L155" s="503"/>
      <c r="M155" s="503"/>
      <c r="N155" s="503"/>
      <c r="O155" s="503"/>
      <c r="P155" s="503"/>
      <c r="Q155" s="503"/>
      <c r="R155" s="503"/>
    </row>
    <row r="156" spans="2:18">
      <c r="B156" s="503"/>
      <c r="C156" s="503"/>
      <c r="D156" s="503"/>
      <c r="E156" s="503"/>
      <c r="F156" s="503"/>
      <c r="G156" s="503"/>
      <c r="H156" s="503"/>
      <c r="I156" s="503"/>
      <c r="J156" s="503"/>
      <c r="K156" s="503"/>
      <c r="L156" s="503"/>
      <c r="M156" s="503"/>
      <c r="N156" s="503"/>
      <c r="O156" s="503"/>
      <c r="P156" s="503"/>
      <c r="Q156" s="503"/>
      <c r="R156" s="503"/>
    </row>
    <row r="157" spans="2:18">
      <c r="B157" s="503"/>
      <c r="C157" s="503"/>
      <c r="D157" s="503"/>
      <c r="E157" s="503"/>
      <c r="F157" s="503"/>
      <c r="G157" s="503"/>
      <c r="H157" s="503"/>
      <c r="I157" s="503"/>
      <c r="J157" s="503"/>
      <c r="K157" s="503"/>
      <c r="L157" s="503"/>
      <c r="M157" s="503"/>
      <c r="N157" s="503"/>
      <c r="O157" s="503"/>
      <c r="P157" s="503"/>
      <c r="Q157" s="503"/>
      <c r="R157" s="503"/>
    </row>
    <row r="158" spans="2:18">
      <c r="B158" s="503"/>
      <c r="C158" s="503"/>
      <c r="D158" s="503"/>
      <c r="E158" s="503"/>
      <c r="F158" s="503"/>
      <c r="G158" s="503"/>
      <c r="H158" s="503"/>
      <c r="I158" s="503"/>
      <c r="J158" s="503"/>
      <c r="K158" s="503"/>
      <c r="L158" s="503"/>
      <c r="M158" s="503"/>
      <c r="N158" s="503"/>
      <c r="O158" s="503"/>
      <c r="P158" s="503"/>
      <c r="Q158" s="503"/>
      <c r="R158" s="503"/>
    </row>
    <row r="159" spans="2:18">
      <c r="B159" s="503"/>
      <c r="C159" s="503"/>
      <c r="D159" s="503"/>
      <c r="E159" s="503"/>
      <c r="F159" s="503"/>
      <c r="G159" s="503"/>
      <c r="H159" s="503"/>
      <c r="I159" s="503"/>
      <c r="J159" s="503"/>
      <c r="K159" s="503"/>
      <c r="L159" s="503"/>
      <c r="M159" s="503"/>
      <c r="N159" s="503"/>
      <c r="O159" s="503"/>
      <c r="P159" s="503"/>
      <c r="Q159" s="503"/>
      <c r="R159" s="503"/>
    </row>
    <row r="160" spans="2:18">
      <c r="B160" s="503"/>
      <c r="C160" s="503"/>
      <c r="D160" s="503"/>
      <c r="E160" s="503"/>
      <c r="F160" s="503"/>
      <c r="G160" s="503"/>
      <c r="H160" s="503"/>
      <c r="I160" s="503"/>
      <c r="J160" s="503"/>
      <c r="K160" s="503"/>
      <c r="L160" s="503"/>
      <c r="M160" s="503"/>
      <c r="N160" s="503"/>
      <c r="O160" s="503"/>
      <c r="P160" s="503"/>
      <c r="Q160" s="503"/>
      <c r="R160" s="503"/>
    </row>
    <row r="161" spans="2:18">
      <c r="B161" s="503"/>
      <c r="C161" s="503"/>
      <c r="D161" s="503"/>
      <c r="E161" s="503"/>
      <c r="F161" s="503"/>
      <c r="G161" s="503"/>
      <c r="H161" s="503"/>
      <c r="I161" s="503"/>
      <c r="J161" s="503"/>
      <c r="K161" s="503"/>
      <c r="L161" s="503"/>
      <c r="M161" s="503"/>
      <c r="N161" s="503"/>
      <c r="O161" s="503"/>
      <c r="P161" s="503"/>
      <c r="Q161" s="503"/>
      <c r="R161" s="503"/>
    </row>
    <row r="162" spans="2:18">
      <c r="B162" s="503"/>
      <c r="C162" s="503"/>
      <c r="D162" s="503"/>
      <c r="E162" s="503"/>
      <c r="F162" s="503"/>
      <c r="G162" s="503"/>
      <c r="H162" s="503"/>
      <c r="I162" s="503"/>
      <c r="J162" s="503"/>
      <c r="K162" s="503"/>
      <c r="L162" s="503"/>
      <c r="M162" s="503"/>
      <c r="N162" s="503"/>
      <c r="O162" s="503"/>
      <c r="P162" s="503"/>
      <c r="Q162" s="503"/>
      <c r="R162" s="503"/>
    </row>
    <row r="163" spans="2:18">
      <c r="B163" s="503"/>
      <c r="C163" s="503"/>
      <c r="D163" s="503"/>
      <c r="E163" s="503"/>
      <c r="F163" s="503"/>
      <c r="G163" s="503"/>
      <c r="H163" s="503"/>
      <c r="I163" s="503"/>
      <c r="J163" s="503"/>
      <c r="K163" s="503"/>
      <c r="L163" s="503"/>
      <c r="M163" s="503"/>
      <c r="N163" s="503"/>
      <c r="O163" s="503"/>
      <c r="P163" s="503"/>
      <c r="Q163" s="503"/>
      <c r="R163" s="503"/>
    </row>
    <row r="164" spans="2:18">
      <c r="B164" s="503"/>
      <c r="C164" s="503"/>
      <c r="D164" s="503"/>
      <c r="E164" s="503"/>
      <c r="F164" s="503"/>
      <c r="G164" s="503"/>
      <c r="H164" s="503"/>
      <c r="I164" s="503"/>
      <c r="J164" s="503"/>
      <c r="K164" s="503"/>
      <c r="L164" s="503"/>
      <c r="M164" s="503"/>
      <c r="N164" s="503"/>
      <c r="O164" s="503"/>
      <c r="P164" s="503"/>
      <c r="Q164" s="503"/>
      <c r="R164" s="503"/>
    </row>
    <row r="165" spans="2:18">
      <c r="B165" s="503"/>
      <c r="C165" s="503"/>
      <c r="D165" s="503"/>
      <c r="E165" s="503"/>
      <c r="F165" s="503"/>
      <c r="G165" s="503"/>
      <c r="H165" s="503"/>
      <c r="I165" s="503"/>
      <c r="J165" s="503"/>
      <c r="K165" s="503"/>
      <c r="L165" s="503"/>
      <c r="M165" s="503"/>
      <c r="N165" s="503"/>
      <c r="O165" s="503"/>
      <c r="P165" s="503"/>
      <c r="Q165" s="503"/>
      <c r="R165" s="503"/>
    </row>
    <row r="166" spans="2:18">
      <c r="B166" s="503"/>
      <c r="C166" s="503"/>
      <c r="D166" s="503"/>
      <c r="E166" s="503"/>
      <c r="F166" s="503"/>
      <c r="G166" s="503"/>
      <c r="H166" s="503"/>
      <c r="I166" s="503"/>
      <c r="J166" s="503"/>
      <c r="K166" s="503"/>
      <c r="L166" s="503"/>
      <c r="M166" s="503"/>
      <c r="N166" s="503"/>
      <c r="O166" s="503"/>
      <c r="P166" s="503"/>
      <c r="Q166" s="503"/>
      <c r="R166" s="503"/>
    </row>
    <row r="167" spans="2:18">
      <c r="B167" s="503"/>
      <c r="C167" s="503"/>
      <c r="D167" s="503"/>
      <c r="E167" s="503"/>
      <c r="F167" s="503"/>
      <c r="G167" s="503"/>
      <c r="H167" s="503"/>
      <c r="I167" s="503"/>
      <c r="J167" s="503"/>
      <c r="K167" s="503"/>
      <c r="L167" s="503"/>
      <c r="M167" s="503"/>
      <c r="N167" s="503"/>
      <c r="O167" s="503"/>
      <c r="P167" s="503"/>
      <c r="Q167" s="503"/>
      <c r="R167" s="503"/>
    </row>
    <row r="168" spans="2:18">
      <c r="B168" s="503"/>
      <c r="C168" s="503"/>
      <c r="D168" s="503"/>
      <c r="E168" s="503"/>
      <c r="F168" s="503"/>
      <c r="G168" s="503"/>
      <c r="H168" s="503"/>
      <c r="I168" s="503"/>
      <c r="J168" s="503"/>
      <c r="K168" s="503"/>
      <c r="L168" s="503"/>
      <c r="M168" s="503"/>
      <c r="N168" s="503"/>
      <c r="O168" s="503"/>
      <c r="P168" s="503"/>
      <c r="Q168" s="503"/>
      <c r="R168" s="503"/>
    </row>
    <row r="169" spans="2:18">
      <c r="B169" s="503"/>
      <c r="C169" s="503"/>
      <c r="D169" s="503"/>
      <c r="E169" s="503"/>
      <c r="F169" s="503"/>
      <c r="G169" s="503"/>
      <c r="H169" s="503"/>
      <c r="I169" s="503"/>
      <c r="J169" s="503"/>
      <c r="K169" s="503"/>
      <c r="L169" s="503"/>
      <c r="M169" s="503"/>
      <c r="N169" s="503"/>
      <c r="O169" s="503"/>
      <c r="P169" s="503"/>
      <c r="Q169" s="503"/>
      <c r="R169" s="503"/>
    </row>
    <row r="170" spans="2:18">
      <c r="B170" s="503"/>
      <c r="C170" s="503"/>
      <c r="D170" s="503"/>
      <c r="E170" s="503"/>
      <c r="F170" s="503"/>
      <c r="G170" s="503"/>
      <c r="H170" s="503"/>
      <c r="I170" s="503"/>
      <c r="J170" s="503"/>
      <c r="K170" s="503"/>
      <c r="L170" s="503"/>
      <c r="M170" s="503"/>
      <c r="N170" s="503"/>
      <c r="O170" s="503"/>
      <c r="P170" s="503"/>
      <c r="Q170" s="503"/>
      <c r="R170" s="503"/>
    </row>
    <row r="171" spans="2:18">
      <c r="B171" s="503"/>
      <c r="C171" s="503"/>
      <c r="D171" s="503"/>
      <c r="E171" s="503"/>
      <c r="F171" s="503"/>
      <c r="G171" s="503"/>
      <c r="H171" s="503"/>
      <c r="I171" s="503"/>
      <c r="J171" s="503"/>
      <c r="K171" s="503"/>
      <c r="L171" s="503"/>
      <c r="M171" s="503"/>
      <c r="N171" s="503"/>
      <c r="O171" s="503"/>
      <c r="P171" s="503"/>
      <c r="Q171" s="503"/>
      <c r="R171" s="503"/>
    </row>
    <row r="172" spans="2:18">
      <c r="B172" s="503"/>
      <c r="C172" s="503"/>
      <c r="D172" s="503"/>
      <c r="E172" s="503"/>
      <c r="F172" s="503"/>
      <c r="G172" s="503"/>
      <c r="H172" s="503"/>
      <c r="I172" s="503"/>
      <c r="J172" s="503"/>
      <c r="K172" s="503"/>
      <c r="L172" s="503"/>
      <c r="M172" s="503"/>
      <c r="N172" s="503"/>
      <c r="O172" s="503"/>
      <c r="P172" s="503"/>
      <c r="Q172" s="503"/>
      <c r="R172" s="503"/>
    </row>
    <row r="173" spans="2:18">
      <c r="B173" s="503"/>
      <c r="C173" s="503"/>
      <c r="D173" s="503"/>
      <c r="E173" s="503"/>
      <c r="F173" s="503"/>
      <c r="G173" s="503"/>
      <c r="H173" s="503"/>
      <c r="I173" s="503"/>
      <c r="J173" s="503"/>
      <c r="K173" s="503"/>
      <c r="L173" s="503"/>
      <c r="M173" s="503"/>
      <c r="N173" s="503"/>
      <c r="O173" s="503"/>
      <c r="P173" s="503"/>
      <c r="Q173" s="503"/>
      <c r="R173" s="503"/>
    </row>
    <row r="174" spans="2:18">
      <c r="B174" s="503"/>
      <c r="C174" s="503"/>
      <c r="D174" s="503"/>
      <c r="E174" s="503"/>
      <c r="F174" s="503"/>
      <c r="G174" s="503"/>
      <c r="H174" s="503"/>
      <c r="I174" s="503"/>
      <c r="J174" s="503"/>
      <c r="K174" s="503"/>
      <c r="L174" s="503"/>
      <c r="M174" s="503"/>
      <c r="N174" s="503"/>
      <c r="O174" s="503"/>
      <c r="P174" s="503"/>
      <c r="Q174" s="503"/>
      <c r="R174" s="503"/>
    </row>
    <row r="175" spans="2:18">
      <c r="B175" s="503"/>
      <c r="C175" s="503"/>
      <c r="D175" s="503"/>
      <c r="E175" s="503"/>
      <c r="F175" s="503"/>
      <c r="G175" s="503"/>
      <c r="H175" s="503"/>
      <c r="I175" s="503"/>
      <c r="J175" s="503"/>
      <c r="K175" s="503"/>
      <c r="L175" s="503"/>
      <c r="M175" s="503"/>
      <c r="N175" s="503"/>
      <c r="O175" s="503"/>
      <c r="P175" s="503"/>
      <c r="Q175" s="503"/>
      <c r="R175" s="503"/>
    </row>
    <row r="176" spans="2:18">
      <c r="B176" s="503"/>
      <c r="C176" s="503"/>
      <c r="D176" s="503"/>
      <c r="E176" s="503"/>
      <c r="F176" s="503"/>
      <c r="G176" s="503"/>
      <c r="H176" s="503"/>
      <c r="I176" s="503"/>
      <c r="J176" s="503"/>
      <c r="K176" s="503"/>
      <c r="L176" s="503"/>
      <c r="M176" s="503"/>
      <c r="N176" s="503"/>
      <c r="O176" s="503"/>
      <c r="P176" s="503"/>
      <c r="Q176" s="503"/>
      <c r="R176" s="503"/>
    </row>
    <row r="177" spans="2:18">
      <c r="B177" s="503"/>
      <c r="C177" s="503"/>
      <c r="D177" s="503"/>
      <c r="E177" s="503"/>
      <c r="F177" s="503"/>
      <c r="G177" s="503"/>
      <c r="H177" s="503"/>
      <c r="I177" s="503"/>
      <c r="J177" s="503"/>
      <c r="K177" s="503"/>
      <c r="L177" s="503"/>
      <c r="M177" s="503"/>
      <c r="N177" s="503"/>
      <c r="O177" s="503"/>
      <c r="P177" s="503"/>
      <c r="Q177" s="503"/>
      <c r="R177" s="503"/>
    </row>
    <row r="178" spans="2:18">
      <c r="B178" s="503"/>
      <c r="C178" s="503"/>
      <c r="D178" s="503"/>
      <c r="E178" s="503"/>
      <c r="F178" s="503"/>
      <c r="G178" s="503"/>
      <c r="H178" s="503"/>
      <c r="I178" s="503"/>
      <c r="J178" s="503"/>
      <c r="K178" s="503"/>
      <c r="L178" s="503"/>
      <c r="M178" s="503"/>
      <c r="N178" s="503"/>
      <c r="O178" s="503"/>
      <c r="P178" s="503"/>
      <c r="Q178" s="503"/>
      <c r="R178" s="503"/>
    </row>
    <row r="179" spans="2:18">
      <c r="B179" s="503"/>
      <c r="C179" s="503"/>
      <c r="D179" s="503"/>
      <c r="E179" s="503"/>
      <c r="F179" s="503"/>
      <c r="G179" s="503"/>
      <c r="H179" s="503"/>
      <c r="I179" s="503"/>
      <c r="J179" s="503"/>
      <c r="K179" s="503"/>
      <c r="L179" s="503"/>
      <c r="M179" s="503"/>
      <c r="N179" s="503"/>
      <c r="O179" s="503"/>
      <c r="P179" s="503"/>
      <c r="Q179" s="503"/>
      <c r="R179" s="503"/>
    </row>
    <row r="180" spans="2:18">
      <c r="B180" s="503"/>
      <c r="C180" s="503"/>
      <c r="D180" s="503"/>
      <c r="E180" s="503"/>
      <c r="F180" s="503"/>
      <c r="G180" s="503"/>
      <c r="H180" s="503"/>
      <c r="I180" s="503"/>
      <c r="J180" s="503"/>
      <c r="K180" s="503"/>
      <c r="L180" s="503"/>
      <c r="M180" s="503"/>
      <c r="N180" s="503"/>
      <c r="O180" s="503"/>
      <c r="P180" s="503"/>
      <c r="Q180" s="503"/>
      <c r="R180" s="503"/>
    </row>
    <row r="181" spans="2:18">
      <c r="B181" s="503"/>
      <c r="C181" s="503"/>
      <c r="D181" s="503"/>
      <c r="E181" s="503"/>
      <c r="F181" s="503"/>
      <c r="G181" s="503"/>
      <c r="H181" s="503"/>
      <c r="I181" s="503"/>
      <c r="J181" s="503"/>
      <c r="K181" s="503"/>
      <c r="L181" s="503"/>
      <c r="M181" s="503"/>
      <c r="N181" s="503"/>
      <c r="O181" s="503"/>
      <c r="P181" s="503"/>
      <c r="Q181" s="503"/>
      <c r="R181" s="503"/>
    </row>
    <row r="182" spans="2:18">
      <c r="B182" s="503"/>
      <c r="C182" s="503"/>
      <c r="D182" s="503"/>
      <c r="E182" s="503"/>
      <c r="F182" s="503"/>
      <c r="G182" s="503"/>
      <c r="H182" s="503"/>
      <c r="I182" s="503"/>
      <c r="J182" s="503"/>
      <c r="K182" s="503"/>
      <c r="L182" s="503"/>
      <c r="M182" s="503"/>
      <c r="N182" s="503"/>
      <c r="O182" s="503"/>
      <c r="P182" s="503"/>
      <c r="Q182" s="503"/>
      <c r="R182" s="503"/>
    </row>
    <row r="183" spans="2:18">
      <c r="B183" s="503"/>
      <c r="C183" s="503"/>
      <c r="D183" s="503"/>
      <c r="E183" s="503"/>
      <c r="F183" s="503"/>
      <c r="G183" s="503"/>
      <c r="H183" s="503"/>
      <c r="I183" s="503"/>
      <c r="J183" s="503"/>
      <c r="K183" s="503"/>
      <c r="L183" s="503"/>
      <c r="M183" s="503"/>
      <c r="N183" s="503"/>
      <c r="O183" s="503"/>
      <c r="P183" s="503"/>
      <c r="Q183" s="503"/>
      <c r="R183" s="503"/>
    </row>
    <row r="184" spans="2:18">
      <c r="B184" s="503"/>
      <c r="C184" s="503"/>
      <c r="D184" s="503"/>
      <c r="E184" s="503"/>
      <c r="F184" s="503"/>
      <c r="G184" s="503"/>
      <c r="H184" s="503"/>
      <c r="I184" s="503"/>
      <c r="J184" s="503"/>
      <c r="K184" s="503"/>
      <c r="L184" s="503"/>
      <c r="M184" s="503"/>
      <c r="N184" s="503"/>
      <c r="O184" s="503"/>
      <c r="P184" s="503"/>
      <c r="Q184" s="503"/>
      <c r="R184" s="503"/>
    </row>
    <row r="185" spans="2:18">
      <c r="B185" s="503"/>
      <c r="C185" s="503"/>
      <c r="D185" s="503"/>
      <c r="E185" s="503"/>
      <c r="F185" s="503"/>
      <c r="G185" s="503"/>
      <c r="H185" s="503"/>
      <c r="I185" s="503"/>
      <c r="J185" s="503"/>
      <c r="K185" s="503"/>
      <c r="L185" s="503"/>
      <c r="M185" s="503"/>
      <c r="N185" s="503"/>
      <c r="O185" s="503"/>
      <c r="P185" s="503"/>
      <c r="Q185" s="503"/>
      <c r="R185" s="503"/>
    </row>
    <row r="186" spans="2:18">
      <c r="B186" s="503"/>
      <c r="C186" s="503"/>
      <c r="D186" s="503"/>
      <c r="E186" s="503"/>
      <c r="F186" s="503"/>
      <c r="G186" s="503"/>
      <c r="H186" s="503"/>
      <c r="I186" s="503"/>
      <c r="J186" s="503"/>
      <c r="K186" s="503"/>
      <c r="L186" s="503"/>
      <c r="M186" s="503"/>
      <c r="N186" s="503"/>
      <c r="O186" s="503"/>
      <c r="P186" s="503"/>
      <c r="Q186" s="503"/>
      <c r="R186" s="503"/>
    </row>
    <row r="187" spans="2:18">
      <c r="B187" s="503"/>
      <c r="C187" s="503"/>
      <c r="D187" s="503"/>
      <c r="E187" s="503"/>
      <c r="F187" s="503"/>
      <c r="G187" s="503"/>
      <c r="H187" s="503"/>
      <c r="I187" s="503"/>
      <c r="J187" s="503"/>
      <c r="K187" s="503"/>
      <c r="L187" s="503"/>
      <c r="M187" s="503"/>
      <c r="N187" s="503"/>
      <c r="O187" s="503"/>
      <c r="P187" s="503"/>
      <c r="Q187" s="503"/>
      <c r="R187" s="503"/>
    </row>
    <row r="188" spans="2:18">
      <c r="B188" s="503"/>
      <c r="C188" s="503"/>
      <c r="D188" s="503"/>
      <c r="E188" s="503"/>
      <c r="F188" s="503"/>
      <c r="G188" s="503"/>
      <c r="H188" s="503"/>
      <c r="I188" s="503"/>
      <c r="J188" s="503"/>
      <c r="K188" s="503"/>
      <c r="L188" s="503"/>
      <c r="M188" s="503"/>
      <c r="N188" s="503"/>
      <c r="O188" s="503"/>
      <c r="P188" s="503"/>
      <c r="Q188" s="503"/>
      <c r="R188" s="503"/>
    </row>
    <row r="189" spans="2:18">
      <c r="B189" s="503"/>
      <c r="C189" s="503"/>
      <c r="D189" s="503"/>
      <c r="E189" s="503"/>
      <c r="F189" s="503"/>
      <c r="G189" s="503"/>
      <c r="H189" s="503"/>
      <c r="I189" s="503"/>
      <c r="J189" s="503"/>
      <c r="K189" s="503"/>
      <c r="L189" s="503"/>
      <c r="M189" s="503"/>
      <c r="N189" s="503"/>
      <c r="O189" s="503"/>
      <c r="P189" s="503"/>
      <c r="Q189" s="503"/>
      <c r="R189" s="503"/>
    </row>
    <row r="190" spans="2:18">
      <c r="B190" s="503"/>
      <c r="C190" s="503"/>
      <c r="D190" s="503"/>
      <c r="E190" s="503"/>
      <c r="F190" s="503"/>
      <c r="G190" s="503"/>
      <c r="H190" s="503"/>
      <c r="I190" s="503"/>
      <c r="J190" s="503"/>
      <c r="K190" s="503"/>
      <c r="L190" s="503"/>
      <c r="M190" s="503"/>
      <c r="N190" s="503"/>
      <c r="O190" s="503"/>
      <c r="P190" s="503"/>
      <c r="Q190" s="503"/>
      <c r="R190" s="503"/>
    </row>
    <row r="191" spans="2:18">
      <c r="B191" s="503"/>
      <c r="C191" s="503"/>
      <c r="D191" s="503"/>
      <c r="E191" s="503"/>
      <c r="F191" s="503"/>
      <c r="G191" s="503"/>
      <c r="H191" s="503"/>
      <c r="I191" s="503"/>
      <c r="J191" s="503"/>
      <c r="K191" s="503"/>
      <c r="L191" s="503"/>
      <c r="M191" s="503"/>
      <c r="N191" s="503"/>
      <c r="O191" s="503"/>
      <c r="P191" s="503"/>
      <c r="Q191" s="503"/>
      <c r="R191" s="503"/>
    </row>
    <row r="192" spans="2:18">
      <c r="B192" s="503"/>
      <c r="C192" s="503"/>
      <c r="D192" s="503"/>
      <c r="E192" s="503"/>
      <c r="F192" s="503"/>
      <c r="G192" s="503"/>
      <c r="H192" s="503"/>
      <c r="I192" s="503"/>
      <c r="J192" s="503"/>
      <c r="K192" s="503"/>
      <c r="L192" s="503"/>
      <c r="M192" s="503"/>
      <c r="N192" s="503"/>
      <c r="O192" s="503"/>
      <c r="P192" s="503"/>
      <c r="Q192" s="503"/>
      <c r="R192" s="503"/>
    </row>
    <row r="193" spans="2:18">
      <c r="B193" s="503"/>
      <c r="C193" s="503"/>
      <c r="D193" s="503"/>
      <c r="E193" s="503"/>
      <c r="F193" s="503"/>
      <c r="G193" s="503"/>
      <c r="H193" s="503"/>
      <c r="I193" s="503"/>
      <c r="J193" s="503"/>
      <c r="K193" s="503"/>
      <c r="L193" s="503"/>
      <c r="M193" s="503"/>
      <c r="N193" s="503"/>
      <c r="O193" s="503"/>
      <c r="P193" s="503"/>
      <c r="Q193" s="503"/>
      <c r="R193" s="503"/>
    </row>
    <row r="194" spans="2:18">
      <c r="B194" s="503"/>
      <c r="C194" s="503"/>
      <c r="D194" s="503"/>
      <c r="E194" s="503"/>
      <c r="F194" s="503"/>
      <c r="G194" s="503"/>
      <c r="H194" s="503"/>
      <c r="I194" s="503"/>
      <c r="J194" s="503"/>
      <c r="K194" s="503"/>
      <c r="L194" s="503"/>
      <c r="M194" s="503"/>
      <c r="N194" s="503"/>
      <c r="O194" s="503"/>
      <c r="P194" s="503"/>
      <c r="Q194" s="503"/>
      <c r="R194" s="503"/>
    </row>
    <row r="195" spans="2:18">
      <c r="B195" s="503"/>
      <c r="C195" s="503"/>
      <c r="D195" s="503"/>
      <c r="E195" s="503"/>
      <c r="F195" s="503"/>
      <c r="G195" s="503"/>
      <c r="H195" s="503"/>
      <c r="I195" s="503"/>
      <c r="J195" s="503"/>
      <c r="K195" s="503"/>
      <c r="L195" s="503"/>
      <c r="M195" s="503"/>
      <c r="N195" s="503"/>
      <c r="O195" s="503"/>
      <c r="P195" s="503"/>
      <c r="Q195" s="503"/>
      <c r="R195" s="503"/>
    </row>
    <row r="196" spans="2:18">
      <c r="B196" s="503"/>
      <c r="C196" s="503"/>
      <c r="D196" s="503"/>
      <c r="E196" s="503"/>
      <c r="F196" s="503"/>
      <c r="G196" s="503"/>
      <c r="H196" s="503"/>
      <c r="I196" s="503"/>
      <c r="J196" s="503"/>
      <c r="K196" s="503"/>
      <c r="L196" s="503"/>
      <c r="M196" s="503"/>
      <c r="N196" s="503"/>
      <c r="O196" s="503"/>
      <c r="P196" s="503"/>
      <c r="Q196" s="503"/>
      <c r="R196" s="503"/>
    </row>
    <row r="197" spans="2:18">
      <c r="B197" s="503"/>
      <c r="C197" s="503"/>
      <c r="D197" s="503"/>
      <c r="E197" s="503"/>
      <c r="F197" s="503"/>
      <c r="G197" s="503"/>
      <c r="H197" s="503"/>
      <c r="I197" s="503"/>
      <c r="J197" s="503"/>
      <c r="K197" s="503"/>
      <c r="L197" s="503"/>
      <c r="M197" s="503"/>
      <c r="N197" s="503"/>
      <c r="O197" s="503"/>
      <c r="P197" s="503"/>
      <c r="Q197" s="503"/>
      <c r="R197" s="503"/>
    </row>
    <row r="198" spans="2:18">
      <c r="B198" s="503"/>
      <c r="C198" s="503"/>
      <c r="D198" s="503"/>
      <c r="E198" s="503"/>
      <c r="F198" s="503"/>
      <c r="G198" s="503"/>
      <c r="H198" s="503"/>
      <c r="I198" s="503"/>
      <c r="J198" s="503"/>
      <c r="K198" s="503"/>
      <c r="L198" s="503"/>
      <c r="M198" s="503"/>
      <c r="N198" s="503"/>
      <c r="O198" s="503"/>
      <c r="P198" s="503"/>
      <c r="Q198" s="503"/>
      <c r="R198" s="503"/>
    </row>
    <row r="199" spans="2:18">
      <c r="B199" s="503"/>
      <c r="C199" s="503"/>
      <c r="D199" s="503"/>
      <c r="E199" s="503"/>
      <c r="F199" s="503"/>
      <c r="G199" s="503"/>
      <c r="H199" s="503"/>
      <c r="I199" s="503"/>
      <c r="J199" s="503"/>
      <c r="K199" s="503"/>
      <c r="L199" s="503"/>
      <c r="M199" s="503"/>
      <c r="N199" s="503"/>
      <c r="O199" s="503"/>
      <c r="P199" s="503"/>
      <c r="Q199" s="503"/>
      <c r="R199" s="503"/>
    </row>
    <row r="200" spans="2:18">
      <c r="B200" s="503"/>
      <c r="C200" s="503"/>
      <c r="D200" s="503"/>
      <c r="E200" s="503"/>
      <c r="F200" s="503"/>
      <c r="G200" s="503"/>
      <c r="H200" s="503"/>
      <c r="I200" s="503"/>
      <c r="J200" s="503"/>
      <c r="K200" s="503"/>
      <c r="L200" s="503"/>
      <c r="M200" s="503"/>
      <c r="N200" s="503"/>
      <c r="O200" s="503"/>
      <c r="P200" s="503"/>
      <c r="Q200" s="503"/>
      <c r="R200" s="503"/>
    </row>
    <row r="201" spans="2:18">
      <c r="B201" s="503"/>
      <c r="C201" s="503"/>
      <c r="D201" s="503"/>
      <c r="E201" s="503"/>
      <c r="F201" s="503"/>
      <c r="G201" s="503"/>
      <c r="H201" s="503"/>
      <c r="I201" s="503"/>
      <c r="J201" s="503"/>
      <c r="K201" s="503"/>
      <c r="L201" s="503"/>
      <c r="M201" s="503"/>
      <c r="N201" s="503"/>
      <c r="O201" s="503"/>
      <c r="P201" s="503"/>
      <c r="Q201" s="503"/>
      <c r="R201" s="503"/>
    </row>
    <row r="202" spans="2:18">
      <c r="B202" s="503"/>
      <c r="C202" s="503"/>
      <c r="D202" s="503"/>
      <c r="E202" s="503"/>
      <c r="F202" s="503"/>
      <c r="G202" s="503"/>
      <c r="H202" s="503"/>
      <c r="I202" s="503"/>
      <c r="J202" s="503"/>
      <c r="K202" s="503"/>
      <c r="L202" s="503"/>
      <c r="M202" s="503"/>
      <c r="N202" s="503"/>
      <c r="O202" s="503"/>
      <c r="P202" s="503"/>
      <c r="Q202" s="503"/>
      <c r="R202" s="503"/>
    </row>
    <row r="203" spans="2:18">
      <c r="B203" s="503"/>
      <c r="C203" s="503"/>
      <c r="D203" s="503"/>
      <c r="E203" s="503"/>
      <c r="F203" s="503"/>
      <c r="G203" s="503"/>
      <c r="H203" s="503"/>
      <c r="I203" s="503"/>
      <c r="J203" s="503"/>
      <c r="K203" s="503"/>
      <c r="L203" s="503"/>
      <c r="M203" s="503"/>
      <c r="N203" s="503"/>
      <c r="O203" s="503"/>
      <c r="P203" s="503"/>
      <c r="Q203" s="503"/>
      <c r="R203" s="503"/>
    </row>
    <row r="204" spans="2:18">
      <c r="B204" s="503"/>
      <c r="C204" s="503"/>
      <c r="D204" s="503"/>
      <c r="E204" s="503"/>
      <c r="F204" s="503"/>
      <c r="G204" s="503"/>
      <c r="H204" s="503"/>
      <c r="I204" s="503"/>
      <c r="J204" s="503"/>
      <c r="K204" s="503"/>
      <c r="L204" s="503"/>
      <c r="M204" s="503"/>
      <c r="N204" s="503"/>
      <c r="O204" s="503"/>
      <c r="P204" s="503"/>
      <c r="Q204" s="503"/>
      <c r="R204" s="503"/>
    </row>
    <row r="205" spans="2:18">
      <c r="B205" s="503"/>
      <c r="C205" s="503"/>
      <c r="D205" s="503"/>
      <c r="E205" s="503"/>
      <c r="F205" s="503"/>
      <c r="G205" s="503"/>
      <c r="H205" s="503"/>
      <c r="I205" s="503"/>
      <c r="J205" s="503"/>
      <c r="K205" s="503"/>
      <c r="L205" s="503"/>
      <c r="M205" s="503"/>
      <c r="N205" s="503"/>
      <c r="O205" s="503"/>
      <c r="P205" s="503"/>
      <c r="Q205" s="503"/>
      <c r="R205" s="503"/>
    </row>
    <row r="206" spans="2:18">
      <c r="B206" s="503"/>
      <c r="C206" s="503"/>
      <c r="D206" s="503"/>
      <c r="E206" s="503"/>
      <c r="F206" s="503"/>
      <c r="G206" s="503"/>
      <c r="H206" s="503"/>
      <c r="I206" s="503"/>
      <c r="J206" s="503"/>
      <c r="K206" s="503"/>
      <c r="L206" s="503"/>
      <c r="M206" s="503"/>
      <c r="N206" s="503"/>
      <c r="O206" s="503"/>
      <c r="P206" s="503"/>
      <c r="Q206" s="503"/>
      <c r="R206" s="503"/>
    </row>
    <row r="207" spans="2:18">
      <c r="B207" s="503"/>
      <c r="C207" s="503"/>
      <c r="D207" s="503"/>
      <c r="E207" s="503"/>
      <c r="F207" s="503"/>
      <c r="G207" s="503"/>
      <c r="H207" s="503"/>
      <c r="I207" s="503"/>
      <c r="J207" s="503"/>
      <c r="K207" s="503"/>
      <c r="L207" s="503"/>
      <c r="M207" s="503"/>
      <c r="N207" s="503"/>
      <c r="O207" s="503"/>
      <c r="P207" s="503"/>
      <c r="Q207" s="503"/>
      <c r="R207" s="503"/>
    </row>
    <row r="208" spans="2:18">
      <c r="B208" s="503"/>
      <c r="C208" s="503"/>
      <c r="D208" s="503"/>
      <c r="E208" s="503"/>
      <c r="F208" s="503"/>
      <c r="G208" s="503"/>
      <c r="H208" s="503"/>
      <c r="I208" s="503"/>
      <c r="J208" s="503"/>
      <c r="K208" s="503"/>
      <c r="L208" s="503"/>
      <c r="M208" s="503"/>
      <c r="N208" s="503"/>
      <c r="O208" s="503"/>
      <c r="P208" s="503"/>
      <c r="Q208" s="503"/>
      <c r="R208" s="503"/>
    </row>
    <row r="209" spans="2:18">
      <c r="B209" s="503"/>
      <c r="C209" s="503"/>
      <c r="D209" s="503"/>
      <c r="E209" s="503"/>
      <c r="F209" s="503"/>
      <c r="G209" s="503"/>
      <c r="H209" s="503"/>
      <c r="I209" s="503"/>
      <c r="J209" s="503"/>
      <c r="K209" s="503"/>
      <c r="L209" s="503"/>
      <c r="M209" s="503"/>
      <c r="N209" s="503"/>
      <c r="O209" s="503"/>
      <c r="P209" s="503"/>
      <c r="Q209" s="503"/>
      <c r="R209" s="503"/>
    </row>
    <row r="210" spans="2:18">
      <c r="B210" s="503"/>
      <c r="C210" s="503"/>
      <c r="D210" s="503"/>
      <c r="E210" s="503"/>
      <c r="F210" s="503"/>
      <c r="G210" s="503"/>
      <c r="H210" s="503"/>
      <c r="I210" s="503"/>
      <c r="J210" s="503"/>
      <c r="K210" s="503"/>
      <c r="L210" s="503"/>
      <c r="M210" s="503"/>
      <c r="N210" s="503"/>
      <c r="O210" s="503"/>
      <c r="P210" s="503"/>
      <c r="Q210" s="503"/>
      <c r="R210" s="503"/>
    </row>
    <row r="211" spans="2:18">
      <c r="B211" s="503"/>
      <c r="C211" s="503"/>
      <c r="D211" s="503"/>
      <c r="E211" s="503"/>
      <c r="F211" s="503"/>
      <c r="G211" s="503"/>
      <c r="H211" s="503"/>
      <c r="I211" s="503"/>
      <c r="J211" s="503"/>
      <c r="K211" s="503"/>
      <c r="L211" s="503"/>
      <c r="M211" s="503"/>
      <c r="N211" s="503"/>
      <c r="O211" s="503"/>
      <c r="P211" s="503"/>
      <c r="Q211" s="503"/>
      <c r="R211" s="503"/>
    </row>
    <row r="212" spans="2:18">
      <c r="B212" s="503"/>
      <c r="C212" s="503"/>
      <c r="D212" s="503"/>
      <c r="E212" s="503"/>
      <c r="F212" s="503"/>
      <c r="G212" s="503"/>
      <c r="H212" s="503"/>
      <c r="I212" s="503"/>
      <c r="J212" s="503"/>
      <c r="K212" s="503"/>
      <c r="L212" s="503"/>
      <c r="M212" s="503"/>
      <c r="N212" s="503"/>
      <c r="O212" s="503"/>
      <c r="P212" s="503"/>
      <c r="Q212" s="503"/>
      <c r="R212" s="503"/>
    </row>
    <row r="213" spans="2:18">
      <c r="B213" s="503"/>
      <c r="C213" s="503"/>
      <c r="D213" s="503"/>
      <c r="E213" s="503"/>
      <c r="F213" s="503"/>
      <c r="G213" s="503"/>
      <c r="H213" s="503"/>
      <c r="I213" s="503"/>
      <c r="J213" s="503"/>
      <c r="K213" s="503"/>
      <c r="L213" s="503"/>
      <c r="M213" s="503"/>
      <c r="N213" s="503"/>
      <c r="O213" s="503"/>
      <c r="P213" s="503"/>
      <c r="Q213" s="503"/>
      <c r="R213" s="503"/>
    </row>
    <row r="214" spans="2:18">
      <c r="B214" s="503"/>
      <c r="C214" s="503"/>
      <c r="D214" s="503"/>
      <c r="E214" s="503"/>
      <c r="F214" s="503"/>
      <c r="G214" s="503"/>
      <c r="H214" s="503"/>
      <c r="I214" s="503"/>
      <c r="J214" s="503"/>
      <c r="K214" s="503"/>
      <c r="L214" s="503"/>
      <c r="M214" s="503"/>
      <c r="N214" s="503"/>
      <c r="O214" s="503"/>
      <c r="P214" s="503"/>
      <c r="Q214" s="503"/>
      <c r="R214" s="503"/>
    </row>
    <row r="215" spans="2:18">
      <c r="B215" s="503"/>
      <c r="C215" s="503"/>
      <c r="D215" s="503"/>
      <c r="E215" s="503"/>
      <c r="F215" s="503"/>
      <c r="G215" s="503"/>
      <c r="H215" s="503"/>
      <c r="I215" s="503"/>
      <c r="J215" s="503"/>
      <c r="K215" s="503"/>
      <c r="L215" s="503"/>
      <c r="M215" s="503"/>
      <c r="N215" s="503"/>
      <c r="O215" s="503"/>
      <c r="P215" s="503"/>
      <c r="Q215" s="503"/>
      <c r="R215" s="503"/>
    </row>
    <row r="216" spans="2:18">
      <c r="B216" s="503"/>
      <c r="C216" s="503"/>
      <c r="D216" s="503"/>
      <c r="E216" s="503"/>
      <c r="F216" s="503"/>
      <c r="G216" s="503"/>
      <c r="H216" s="503"/>
      <c r="I216" s="503"/>
      <c r="J216" s="503"/>
      <c r="K216" s="503"/>
      <c r="L216" s="503"/>
      <c r="M216" s="503"/>
      <c r="N216" s="503"/>
      <c r="O216" s="503"/>
      <c r="P216" s="503"/>
      <c r="Q216" s="503"/>
      <c r="R216" s="503"/>
    </row>
    <row r="217" spans="2:18">
      <c r="B217" s="503"/>
      <c r="C217" s="503"/>
      <c r="D217" s="503"/>
      <c r="E217" s="503"/>
      <c r="F217" s="503"/>
      <c r="G217" s="503"/>
      <c r="H217" s="503"/>
      <c r="I217" s="503"/>
      <c r="J217" s="503"/>
      <c r="K217" s="503"/>
      <c r="L217" s="503"/>
      <c r="M217" s="503"/>
      <c r="N217" s="503"/>
      <c r="O217" s="503"/>
      <c r="P217" s="503"/>
      <c r="Q217" s="503"/>
      <c r="R217" s="503"/>
    </row>
    <row r="218" spans="2:18">
      <c r="B218" s="503"/>
      <c r="C218" s="503"/>
      <c r="D218" s="503"/>
      <c r="E218" s="503"/>
      <c r="F218" s="503"/>
      <c r="G218" s="503"/>
      <c r="H218" s="503"/>
      <c r="I218" s="503"/>
      <c r="J218" s="503"/>
      <c r="K218" s="503"/>
      <c r="L218" s="503"/>
      <c r="M218" s="503"/>
      <c r="N218" s="503"/>
      <c r="O218" s="503"/>
      <c r="P218" s="503"/>
      <c r="Q218" s="503"/>
      <c r="R218" s="503"/>
    </row>
    <row r="219" spans="2:18">
      <c r="B219" s="503"/>
      <c r="C219" s="503"/>
      <c r="D219" s="503"/>
      <c r="E219" s="503"/>
      <c r="F219" s="503"/>
      <c r="G219" s="503"/>
      <c r="H219" s="503"/>
      <c r="I219" s="503"/>
      <c r="J219" s="503"/>
      <c r="K219" s="503"/>
      <c r="L219" s="503"/>
      <c r="M219" s="503"/>
      <c r="N219" s="503"/>
      <c r="O219" s="503"/>
      <c r="P219" s="503"/>
      <c r="Q219" s="503"/>
      <c r="R219" s="503"/>
    </row>
    <row r="220" spans="2:18">
      <c r="B220" s="503"/>
      <c r="C220" s="503"/>
      <c r="D220" s="503"/>
      <c r="E220" s="503"/>
      <c r="F220" s="503"/>
      <c r="G220" s="503"/>
      <c r="H220" s="503"/>
      <c r="I220" s="503"/>
      <c r="J220" s="503"/>
      <c r="K220" s="503"/>
      <c r="L220" s="503"/>
      <c r="M220" s="503"/>
      <c r="N220" s="503"/>
      <c r="O220" s="503"/>
      <c r="P220" s="503"/>
      <c r="Q220" s="503"/>
      <c r="R220" s="503"/>
    </row>
    <row r="221" spans="2:18">
      <c r="B221" s="503"/>
      <c r="C221" s="503"/>
      <c r="D221" s="503"/>
      <c r="E221" s="503"/>
      <c r="F221" s="503"/>
      <c r="G221" s="503"/>
      <c r="H221" s="503"/>
      <c r="I221" s="503"/>
      <c r="J221" s="503"/>
      <c r="K221" s="503"/>
      <c r="L221" s="503"/>
      <c r="M221" s="503"/>
      <c r="N221" s="503"/>
      <c r="O221" s="503"/>
      <c r="P221" s="503"/>
      <c r="Q221" s="503"/>
      <c r="R221" s="503"/>
    </row>
    <row r="222" spans="2:18">
      <c r="B222" s="503"/>
      <c r="C222" s="503"/>
      <c r="D222" s="503"/>
      <c r="E222" s="503"/>
      <c r="F222" s="503"/>
      <c r="G222" s="503"/>
      <c r="H222" s="503"/>
      <c r="I222" s="503"/>
      <c r="J222" s="503"/>
      <c r="K222" s="503"/>
      <c r="L222" s="503"/>
      <c r="M222" s="503"/>
      <c r="N222" s="503"/>
      <c r="O222" s="503"/>
      <c r="P222" s="503"/>
      <c r="Q222" s="503"/>
      <c r="R222" s="503"/>
    </row>
    <row r="223" spans="2:18">
      <c r="B223" s="503"/>
      <c r="C223" s="503"/>
      <c r="D223" s="503"/>
      <c r="E223" s="503"/>
      <c r="F223" s="503"/>
      <c r="G223" s="503"/>
      <c r="H223" s="503"/>
      <c r="I223" s="503"/>
      <c r="J223" s="503"/>
      <c r="K223" s="503"/>
      <c r="L223" s="503"/>
      <c r="M223" s="503"/>
      <c r="N223" s="503"/>
      <c r="O223" s="503"/>
      <c r="P223" s="503"/>
      <c r="Q223" s="503"/>
      <c r="R223" s="503"/>
    </row>
    <row r="224" spans="2:18">
      <c r="B224" s="503"/>
      <c r="C224" s="503"/>
      <c r="D224" s="503"/>
      <c r="E224" s="503"/>
      <c r="F224" s="503"/>
      <c r="G224" s="503"/>
      <c r="H224" s="503"/>
      <c r="I224" s="503"/>
      <c r="J224" s="503"/>
      <c r="K224" s="503"/>
      <c r="L224" s="503"/>
      <c r="M224" s="503"/>
      <c r="N224" s="503"/>
      <c r="O224" s="503"/>
      <c r="P224" s="503"/>
      <c r="Q224" s="503"/>
      <c r="R224" s="503"/>
    </row>
    <row r="225" spans="2:18">
      <c r="B225" s="503"/>
      <c r="C225" s="503"/>
      <c r="D225" s="503"/>
      <c r="E225" s="503"/>
      <c r="F225" s="503"/>
      <c r="G225" s="503"/>
      <c r="H225" s="503"/>
      <c r="I225" s="503"/>
      <c r="J225" s="503"/>
      <c r="K225" s="503"/>
      <c r="L225" s="503"/>
      <c r="M225" s="503"/>
      <c r="N225" s="503"/>
      <c r="O225" s="503"/>
      <c r="P225" s="503"/>
      <c r="Q225" s="503"/>
      <c r="R225" s="503"/>
    </row>
  </sheetData>
  <mergeCells count="9">
    <mergeCell ref="B1:C1"/>
    <mergeCell ref="A4:R4"/>
    <mergeCell ref="A7:A8"/>
    <mergeCell ref="B7:C7"/>
    <mergeCell ref="D7:G7"/>
    <mergeCell ref="P7:R7"/>
    <mergeCell ref="N7:O7"/>
    <mergeCell ref="H7:I7"/>
    <mergeCell ref="J7:M7"/>
  </mergeCells>
  <phoneticPr fontId="43" type="noConversion"/>
  <hyperlinks>
    <hyperlink ref="B1" location="Index!A1" display="Back to Index"/>
    <hyperlink ref="C1" location="Index!A1" display="Index!A1"/>
  </hyperlinks>
  <printOptions horizontalCentered="1" verticalCentered="1"/>
  <pageMargins left="0.79000000000000015" right="0" top="0.98" bottom="0.98" header="0.51" footer="0.51"/>
  <pageSetup paperSize="9" scale="68" fitToHeight="2" orientation="landscape"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enableFormatConditionsCalculation="0">
    <tabColor theme="5" tint="0.59999389629810485"/>
    <pageSetUpPr fitToPage="1"/>
  </sheetPr>
  <dimension ref="A1:V225"/>
  <sheetViews>
    <sheetView workbookViewId="0">
      <pane xSplit="1" ySplit="8" topLeftCell="B9" activePane="bottomRight" state="frozen"/>
      <selection activeCell="B1" sqref="B1:C1"/>
      <selection pane="topRight" activeCell="B1" sqref="B1:C1"/>
      <selection pane="bottomLeft" activeCell="B1" sqref="B1:C1"/>
      <selection pane="bottomRight" activeCell="A3" sqref="A3:Q3"/>
    </sheetView>
  </sheetViews>
  <sheetFormatPr baseColWidth="10" defaultRowHeight="12" x14ac:dyDescent="0"/>
  <cols>
    <col min="1" max="1" width="13.6640625" style="444" customWidth="1"/>
    <col min="2" max="17" width="9.6640625" style="444" customWidth="1"/>
    <col min="18" max="16384" width="10.83203125" style="444"/>
  </cols>
  <sheetData>
    <row r="1" spans="1:20" ht="15">
      <c r="A1" s="442"/>
      <c r="B1" s="2252" t="s">
        <v>1416</v>
      </c>
      <c r="C1" s="2252"/>
      <c r="D1" s="443"/>
      <c r="E1" s="443"/>
      <c r="F1" s="443"/>
      <c r="G1" s="443"/>
      <c r="H1" s="443"/>
      <c r="I1" s="443"/>
      <c r="J1" s="443"/>
      <c r="K1" s="443"/>
      <c r="L1" s="443"/>
      <c r="M1" s="443"/>
      <c r="N1" s="443"/>
      <c r="O1" s="443"/>
      <c r="P1" s="443"/>
      <c r="Q1" s="443"/>
      <c r="R1" s="685"/>
    </row>
    <row r="2" spans="1:20" ht="13" thickBot="1"/>
    <row r="3" spans="1:20" ht="19.75" customHeight="1" thickTop="1">
      <c r="A3" s="2315" t="s">
        <v>927</v>
      </c>
      <c r="B3" s="2316"/>
      <c r="C3" s="2316"/>
      <c r="D3" s="2316"/>
      <c r="E3" s="2316"/>
      <c r="F3" s="2316"/>
      <c r="G3" s="2316"/>
      <c r="H3" s="2316"/>
      <c r="I3" s="2316"/>
      <c r="J3" s="2316"/>
      <c r="K3" s="2316"/>
      <c r="L3" s="2316"/>
      <c r="M3" s="2316"/>
      <c r="N3" s="2316"/>
      <c r="O3" s="2316"/>
      <c r="P3" s="2316"/>
      <c r="Q3" s="2317"/>
    </row>
    <row r="4" spans="1:20">
      <c r="A4" s="445"/>
      <c r="B4" s="446"/>
      <c r="C4" s="446"/>
      <c r="D4" s="446"/>
      <c r="E4" s="446"/>
      <c r="F4" s="446"/>
      <c r="G4" s="446"/>
      <c r="H4" s="446"/>
      <c r="I4" s="446"/>
      <c r="J4" s="446"/>
      <c r="K4" s="446"/>
      <c r="L4" s="446"/>
      <c r="M4" s="446"/>
      <c r="N4" s="446"/>
      <c r="O4" s="446"/>
      <c r="P4" s="446"/>
      <c r="Q4" s="617"/>
    </row>
    <row r="5" spans="1:20">
      <c r="A5" s="445"/>
      <c r="B5" s="447" t="s">
        <v>952</v>
      </c>
      <c r="C5" s="447" t="s">
        <v>953</v>
      </c>
      <c r="D5" s="447" t="s">
        <v>954</v>
      </c>
      <c r="E5" s="447" t="s">
        <v>955</v>
      </c>
      <c r="F5" s="447" t="s">
        <v>956</v>
      </c>
      <c r="G5" s="447" t="s">
        <v>957</v>
      </c>
      <c r="H5" s="447" t="s">
        <v>958</v>
      </c>
      <c r="I5" s="447" t="s">
        <v>959</v>
      </c>
      <c r="J5" s="447" t="s">
        <v>960</v>
      </c>
      <c r="K5" s="447" t="s">
        <v>961</v>
      </c>
      <c r="L5" s="447" t="s">
        <v>962</v>
      </c>
      <c r="M5" s="447" t="s">
        <v>963</v>
      </c>
      <c r="N5" s="859" t="s">
        <v>964</v>
      </c>
      <c r="O5" s="859" t="s">
        <v>965</v>
      </c>
      <c r="P5" s="859" t="s">
        <v>120</v>
      </c>
      <c r="Q5" s="618" t="s">
        <v>964</v>
      </c>
    </row>
    <row r="6" spans="1:20" ht="34" customHeight="1">
      <c r="A6" s="448"/>
      <c r="B6" s="449"/>
      <c r="C6" s="2319" t="s">
        <v>908</v>
      </c>
      <c r="D6" s="2319"/>
      <c r="E6" s="2319"/>
      <c r="F6" s="2319"/>
      <c r="G6" s="2319"/>
      <c r="H6" s="2320"/>
      <c r="I6" s="2318" t="s">
        <v>899</v>
      </c>
      <c r="J6" s="2319"/>
      <c r="K6" s="2319"/>
      <c r="L6" s="2319"/>
      <c r="M6" s="2320"/>
      <c r="N6" s="2318" t="s">
        <v>898</v>
      </c>
      <c r="O6" s="2319"/>
      <c r="P6" s="2319"/>
      <c r="Q6" s="2321"/>
    </row>
    <row r="7" spans="1:20" ht="99.75" customHeight="1">
      <c r="A7" s="2329"/>
      <c r="B7" s="452" t="s">
        <v>411</v>
      </c>
      <c r="C7" s="453" t="s">
        <v>928</v>
      </c>
      <c r="D7" s="1588" t="s">
        <v>447</v>
      </c>
      <c r="E7" s="1588" t="s">
        <v>1490</v>
      </c>
      <c r="F7" s="453" t="s">
        <v>342</v>
      </c>
      <c r="G7" s="453" t="s">
        <v>1492</v>
      </c>
      <c r="H7" s="453" t="s">
        <v>343</v>
      </c>
      <c r="I7" s="454" t="s">
        <v>1447</v>
      </c>
      <c r="J7" s="1588" t="s">
        <v>447</v>
      </c>
      <c r="K7" s="453" t="s">
        <v>342</v>
      </c>
      <c r="L7" s="453" t="s">
        <v>1492</v>
      </c>
      <c r="M7" s="455" t="s">
        <v>343</v>
      </c>
      <c r="N7" s="456" t="s">
        <v>929</v>
      </c>
      <c r="O7" s="1588" t="s">
        <v>447</v>
      </c>
      <c r="P7" s="453" t="s">
        <v>342</v>
      </c>
      <c r="Q7" s="656" t="s">
        <v>343</v>
      </c>
    </row>
    <row r="8" spans="1:20" ht="24.75" customHeight="1">
      <c r="A8" s="2329"/>
      <c r="B8" s="2165" t="s">
        <v>662</v>
      </c>
      <c r="C8" s="2168" t="s">
        <v>668</v>
      </c>
      <c r="D8" s="2165" t="s">
        <v>663</v>
      </c>
      <c r="E8" s="2165"/>
      <c r="F8" s="2168" t="s">
        <v>669</v>
      </c>
      <c r="G8" s="2168"/>
      <c r="H8" s="2168" t="s">
        <v>386</v>
      </c>
      <c r="I8" s="2167" t="s">
        <v>668</v>
      </c>
      <c r="J8" s="2165" t="s">
        <v>663</v>
      </c>
      <c r="K8" s="2168" t="s">
        <v>669</v>
      </c>
      <c r="L8" s="2168"/>
      <c r="M8" s="2166" t="s">
        <v>386</v>
      </c>
      <c r="N8" s="2167" t="s">
        <v>668</v>
      </c>
      <c r="O8" s="2165" t="s">
        <v>663</v>
      </c>
      <c r="P8" s="2168" t="s">
        <v>669</v>
      </c>
      <c r="Q8" s="2170" t="s">
        <v>386</v>
      </c>
    </row>
    <row r="9" spans="1:20" ht="15" customHeight="1">
      <c r="A9" s="463" t="s">
        <v>444</v>
      </c>
      <c r="B9" s="464">
        <f>(((1+B12)^210)*((1+B36)^100))^(1/310)-1</f>
        <v>1.6473704149230661E-2</v>
      </c>
      <c r="C9" s="467">
        <f>(((1+C12)^210)*((1+C36)^100))^(1/310)-1</f>
        <v>1.5499456867220207E-2</v>
      </c>
      <c r="D9" s="1589">
        <f>TableUK4c!E9*TableUK5a!B165/(SUM(TableUK5a!B10:B164)+(10*SUM(TableUK5d!B$11:B$24)+5*TableUK5d!B10+5*TableUK5d!B25+5*AVERAGE(TableUK5d!B24:B25))*DataUK1!HT169/DataUK1!HT71)</f>
        <v>6.2321224655636172E-2</v>
      </c>
      <c r="E9" s="1589">
        <f>TableUK4c!F9*TableUK5a!B165/(SUM(TableUK5a!B10:B164)+(10*SUM(TableUK5d!B$11:B$24)+5*TableUK5d!B10+5*TableUK5d!B25+5*AVERAGE(TableUK5d!B24:B25))*DataUK1!HT169/DataUK1!HT71)</f>
        <v>-1.0112109537516033E-3</v>
      </c>
      <c r="F9" s="466">
        <f>(((1+F12)^210)*((1+F36)^100))^(1/310)-1</f>
        <v>1.3036802411291237E-2</v>
      </c>
      <c r="G9" s="467">
        <f>(((1+G12)^210)*((1+G36)^100))^(1/310)-1</f>
        <v>-2.6751128219981712E-4</v>
      </c>
      <c r="H9" s="467">
        <f>(((1+H12)^210)*((1+H36)^100))^(1/310)-1</f>
        <v>2.69919582596434E-3</v>
      </c>
      <c r="I9" s="875"/>
      <c r="J9" s="464"/>
      <c r="K9" s="466"/>
      <c r="L9" s="466"/>
      <c r="M9" s="468"/>
      <c r="N9" s="465"/>
      <c r="O9" s="464"/>
      <c r="P9" s="466"/>
      <c r="Q9" s="660"/>
      <c r="T9" s="1586">
        <f>(1+C9)-(1+F9)*(1+H9)*(1+G9)</f>
        <v>0</v>
      </c>
    </row>
    <row r="10" spans="1:20" ht="15" customHeight="1">
      <c r="A10" s="448"/>
      <c r="B10" s="471"/>
      <c r="C10" s="472"/>
      <c r="D10" s="471"/>
      <c r="E10" s="471"/>
      <c r="F10" s="510">
        <f>F9/($F9+$H9+$G9)</f>
        <v>0.84279751789364599</v>
      </c>
      <c r="G10" s="510">
        <f>G9/($F9+$H9+$G9)</f>
        <v>-1.7293952729641928E-2</v>
      </c>
      <c r="H10" s="510">
        <f>H9/($F9+$H9+$G9)</f>
        <v>0.17449643483599589</v>
      </c>
      <c r="I10" s="1992"/>
      <c r="J10" s="471"/>
      <c r="K10" s="474"/>
      <c r="L10" s="474"/>
      <c r="M10" s="475"/>
      <c r="N10" s="1592"/>
      <c r="O10" s="471"/>
      <c r="P10" s="474"/>
      <c r="Q10" s="635"/>
    </row>
    <row r="11" spans="1:20" ht="4.75" customHeight="1">
      <c r="A11" s="451"/>
      <c r="B11" s="457"/>
      <c r="C11" s="458"/>
      <c r="D11" s="457"/>
      <c r="E11" s="457"/>
      <c r="F11" s="458"/>
      <c r="G11" s="458"/>
      <c r="H11" s="458"/>
      <c r="I11" s="1993"/>
      <c r="J11" s="457"/>
      <c r="K11" s="458"/>
      <c r="L11" s="458"/>
      <c r="M11" s="460"/>
      <c r="N11" s="459"/>
      <c r="O11" s="457"/>
      <c r="P11" s="458"/>
      <c r="Q11" s="462"/>
    </row>
    <row r="12" spans="1:20" ht="15" customHeight="1">
      <c r="A12" s="463" t="s">
        <v>443</v>
      </c>
      <c r="B12" s="464">
        <f>(((1+B15)^110)*((1+B21)^100))^(1/210)-1</f>
        <v>1.4970956450995665E-2</v>
      </c>
      <c r="C12" s="467">
        <f>(((1+C15)^110)*((1+C21)^100))^(1/210)-1</f>
        <v>1.5074257219094056E-2</v>
      </c>
      <c r="D12" s="464">
        <f>TableUK4c!E12*(TableUK5d!B27*TableUK1!D65/TableUK1!D68)/(10*SUM(TableUK5d!B$11:B$24)+5*TableUK5d!B10+5*TableUK5d!B25+5*AVERAGE(TableUK5d!B24:B25)+SUM(TableUK5a!B10:B64)*DataUK1!HT71/DataUK1!HT169)</f>
        <v>9.9443532867158041E-2</v>
      </c>
      <c r="E12" s="464">
        <f>TableUK4c!F12*(TableUK5d!B27*TableUK1!D65/TableUK1!D68)/(10*SUM(TableUK5d!B$11:B$24)+5*TableUK5d!B10+5*TableUK5d!B25+5*AVERAGE(TableUK5d!B24:B25)+SUM(TableUK5a!B10:B64)*DataUK1!HT71/DataUK1!HT169)</f>
        <v>0</v>
      </c>
      <c r="F12" s="466">
        <f>(((1+F15)^110)*((1+F21)^100))^(1/210)-1</f>
        <v>1.1515305890855698E-2</v>
      </c>
      <c r="G12" s="467">
        <f>(((1+G15)^110)*((1+G21)^100))^(1/210)-1</f>
        <v>0</v>
      </c>
      <c r="H12" s="467">
        <f>(((1+H15)^110)*((1+H21)^100))^(1/210)-1</f>
        <v>3.5184354675719121E-3</v>
      </c>
      <c r="I12" s="875"/>
      <c r="J12" s="464"/>
      <c r="K12" s="466"/>
      <c r="L12" s="466"/>
      <c r="M12" s="468"/>
      <c r="N12" s="465"/>
      <c r="O12" s="464"/>
      <c r="P12" s="466"/>
      <c r="Q12" s="660"/>
      <c r="T12" s="1586">
        <f>(1+C12)-(1+F12)*(1+H12)*(1+G12)</f>
        <v>0</v>
      </c>
    </row>
    <row r="13" spans="1:20" ht="15" customHeight="1">
      <c r="A13" s="448"/>
      <c r="B13" s="471"/>
      <c r="C13" s="472"/>
      <c r="D13" s="471"/>
      <c r="E13" s="471"/>
      <c r="F13" s="510">
        <f>F12/($F12+$H12+$G12)</f>
        <v>0.76596408148264783</v>
      </c>
      <c r="G13" s="510">
        <f>G12/($F12+$H12+$G12)</f>
        <v>0</v>
      </c>
      <c r="H13" s="510">
        <f>H12/($F12+$H12+$G12)</f>
        <v>0.2340359185173522</v>
      </c>
      <c r="I13" s="1992"/>
      <c r="J13" s="471"/>
      <c r="K13" s="474"/>
      <c r="L13" s="474"/>
      <c r="M13" s="475"/>
      <c r="N13" s="1592"/>
      <c r="O13" s="471"/>
      <c r="P13" s="474"/>
      <c r="Q13" s="635"/>
    </row>
    <row r="14" spans="1:20" ht="4.75" customHeight="1">
      <c r="A14" s="451"/>
      <c r="B14" s="457"/>
      <c r="C14" s="458"/>
      <c r="D14" s="457"/>
      <c r="E14" s="457"/>
      <c r="F14" s="458"/>
      <c r="G14" s="458"/>
      <c r="H14" s="458"/>
      <c r="I14" s="1993"/>
      <c r="J14" s="457"/>
      <c r="K14" s="458"/>
      <c r="L14" s="458"/>
      <c r="M14" s="460"/>
      <c r="N14" s="459"/>
      <c r="O14" s="457"/>
      <c r="P14" s="458"/>
      <c r="Q14" s="462"/>
    </row>
    <row r="15" spans="1:20" ht="15" customHeight="1">
      <c r="A15" s="463" t="s">
        <v>676</v>
      </c>
      <c r="B15" s="464">
        <f>(TableUK2!D21/TableUK2!D10)^(1/110)-1</f>
        <v>9.7858877662369004E-3</v>
      </c>
      <c r="C15" s="467">
        <f>(TableUK5d!J21/TableUK5d!J10)^(1/110)-1</f>
        <v>9.042864866152911E-3</v>
      </c>
      <c r="D15" s="464">
        <f>TableUK4c!E15*TableUK5d!B21/(10*SUM(TableUK5d!B11:B20)+5*TableUK5d!B10+5*TableUK5d!B21)</f>
        <v>6.5857604025392452E-2</v>
      </c>
      <c r="E15" s="464">
        <v>0</v>
      </c>
      <c r="F15" s="466">
        <f>((1+TableUK5d!N11)*(1+TableUK5d!N12)*(1+TableUK5d!N13)*(1+TableUK5d!N14)*(1+TableUK5d!N15)*(1+TableUK5d!N16)*(1+TableUK5d!N17)*(1+TableUK5d!N18)*(1+TableUK5d!N19)*(1+TableUK5d!N20)*(1+TableUK5d!N21))^(1/11)-1</f>
        <v>8.9021338564387875E-3</v>
      </c>
      <c r="G15" s="466">
        <v>0</v>
      </c>
      <c r="H15" s="466">
        <f>((1+TableUK5d!O11)*(1+TableUK5d!O12)*(1+TableUK5d!O13)*(1+TableUK5d!O14)*(1+TableUK5d!O15)*(1+TableUK5d!O16)*(1+TableUK5d!O17)*(1+TableUK5d!O18)*(1+TableUK5d!O19)*(1+TableUK5d!O20)*(1+TableUK5d!O21))^(1/11)-1</f>
        <v>1.3948925767093279E-4</v>
      </c>
      <c r="I15" s="1994"/>
      <c r="J15" s="464"/>
      <c r="K15" s="466"/>
      <c r="L15" s="466"/>
      <c r="M15" s="468"/>
      <c r="N15" s="805"/>
      <c r="O15" s="464"/>
      <c r="P15" s="466"/>
      <c r="Q15" s="660"/>
      <c r="T15" s="1586">
        <f>(1+C15)-(1+F15)*(1+H15)*(1+G15)</f>
        <v>0</v>
      </c>
    </row>
    <row r="16" spans="1:20" ht="15" customHeight="1">
      <c r="A16" s="448"/>
      <c r="B16" s="471"/>
      <c r="C16" s="472"/>
      <c r="D16" s="1590"/>
      <c r="E16" s="1590"/>
      <c r="F16" s="510">
        <f>F15/($F15+$H15+$G15)</f>
        <v>0.98457254235102376</v>
      </c>
      <c r="G16" s="510">
        <f>G15/($F15+$H15+$G15)</f>
        <v>0</v>
      </c>
      <c r="H16" s="510">
        <f>H15/($F15+$H15+$G15)</f>
        <v>1.5427457648976286E-2</v>
      </c>
      <c r="I16" s="1992"/>
      <c r="J16" s="471"/>
      <c r="K16" s="474"/>
      <c r="L16" s="474"/>
      <c r="M16" s="475"/>
      <c r="N16" s="1592"/>
      <c r="O16" s="471"/>
      <c r="P16" s="474"/>
      <c r="Q16" s="635"/>
    </row>
    <row r="17" spans="1:20" ht="4.75" customHeight="1">
      <c r="A17" s="451"/>
      <c r="B17" s="457"/>
      <c r="C17" s="458"/>
      <c r="D17" s="457"/>
      <c r="E17" s="457"/>
      <c r="F17" s="458"/>
      <c r="G17" s="458"/>
      <c r="H17" s="458"/>
      <c r="I17" s="1993"/>
      <c r="J17" s="457"/>
      <c r="K17" s="458"/>
      <c r="L17" s="458"/>
      <c r="M17" s="460"/>
      <c r="N17" s="459"/>
      <c r="O17" s="457"/>
      <c r="P17" s="458"/>
      <c r="Q17" s="462"/>
    </row>
    <row r="18" spans="1:20" ht="15" customHeight="1">
      <c r="A18" s="463" t="s">
        <v>387</v>
      </c>
      <c r="B18" s="464">
        <f>(((1+B21)^100)*((1+B36)^100))^(1/200)-1</f>
        <v>2.0170864526014354E-2</v>
      </c>
      <c r="C18" s="467">
        <f>(((1+C21)^100)*((1+C36)^100))^(1/200)-1</f>
        <v>1.9068175690031275E-2</v>
      </c>
      <c r="D18" s="464">
        <f>TableUK4c!E18*TableUK1!D166/(SUM(TableUK5b!B10:B164)+(10*SUM(TableUK5d!B$22:B$24)+5*TableUK5d!B21+5*TableUK5d!B25+5*AVERAGE(TableUK5d!B24:B25))*DataUK1!HT169/DataUK1!HT71)</f>
        <v>6.2230939073952302E-2</v>
      </c>
      <c r="E18" s="464">
        <f>TableUK4c!F18*TableUK1!D166/(SUM(TableUK5b!B10:B164)+(10*SUM(TableUK5d!B$22:B$24)+5*TableUK5d!B21+5*TableUK5d!B25+5*AVERAGE(TableUK5d!B24:B25))*DataUK1!HT169/DataUK1!HT71)</f>
        <v>-1.0370276887844247E-3</v>
      </c>
      <c r="F18" s="466">
        <f>(((1+F21)^100)*((1+F36)^100))^(1/200)-1</f>
        <v>1.5318088336132352E-2</v>
      </c>
      <c r="G18" s="467">
        <f>(((1+G21)^100)*((1+G36)^100))^(1/200)-1</f>
        <v>-4.146119827611594E-4</v>
      </c>
      <c r="H18" s="467">
        <f>(((1+H21)^100)*((1+H36)^100))^(1/200)-1</f>
        <v>4.109825809629486E-3</v>
      </c>
      <c r="I18" s="875"/>
      <c r="J18" s="464"/>
      <c r="K18" s="466"/>
      <c r="L18" s="466"/>
      <c r="M18" s="468"/>
      <c r="N18" s="465"/>
      <c r="O18" s="464"/>
      <c r="P18" s="466"/>
      <c r="Q18" s="660"/>
      <c r="T18" s="1586">
        <f>(1+C18)-(1+F18)*(1+H18)*(1+G18)</f>
        <v>0</v>
      </c>
    </row>
    <row r="19" spans="1:20" ht="15" customHeight="1">
      <c r="A19" s="448"/>
      <c r="B19" s="471"/>
      <c r="C19" s="472"/>
      <c r="D19" s="471"/>
      <c r="E19" s="471"/>
      <c r="F19" s="510">
        <f>F18/($F18+$H18+$G18)</f>
        <v>0.80565112807920847</v>
      </c>
      <c r="G19" s="510">
        <f>G18/($F18+$H18+$G18)</f>
        <v>-2.1806416329299284E-2</v>
      </c>
      <c r="H19" s="510">
        <f>H18/($F18+$H18+$G18)</f>
        <v>0.21615528825009078</v>
      </c>
      <c r="I19" s="1992"/>
      <c r="J19" s="471"/>
      <c r="K19" s="474"/>
      <c r="L19" s="474"/>
      <c r="M19" s="475"/>
      <c r="N19" s="1592"/>
      <c r="O19" s="471"/>
      <c r="P19" s="474"/>
      <c r="Q19" s="635"/>
    </row>
    <row r="20" spans="1:20" ht="4.75" customHeight="1">
      <c r="A20" s="451"/>
      <c r="B20" s="457"/>
      <c r="C20" s="458"/>
      <c r="D20" s="457"/>
      <c r="E20" s="457"/>
      <c r="F20" s="458"/>
      <c r="G20" s="458"/>
      <c r="H20" s="458"/>
      <c r="I20" s="1993"/>
      <c r="J20" s="457"/>
      <c r="K20" s="458"/>
      <c r="L20" s="458"/>
      <c r="M20" s="460"/>
      <c r="N20" s="459"/>
      <c r="O20" s="457"/>
      <c r="P20" s="458"/>
      <c r="Q20" s="462"/>
    </row>
    <row r="21" spans="1:20" ht="15" customHeight="1">
      <c r="A21" s="463" t="s">
        <v>665</v>
      </c>
      <c r="B21" s="464">
        <f>(((1+B24)^45)*((1+B27)^55))^(1/100)-1</f>
        <v>2.0705288436547287E-2</v>
      </c>
      <c r="C21" s="467">
        <f>(((1+C24)^45)*((1+C27)^55))^(1/100)-1</f>
        <v>2.1750436786797556E-2</v>
      </c>
      <c r="D21" s="464">
        <f>TableUK4c!E21*(TableUK5d!B27*TableUK1!D65/TableUK1!D68)/(10*SUM(TableUK5d!B$22:B$24)+5*TableUK5d!B21+5*TableUK5d!B25+5*AVERAGE(TableUK5d!B24:B25)+SUM(TableUK5a!B10:B64)*DataUK1!HT71/DataUK1!HT169)</f>
        <v>0.10543839553311177</v>
      </c>
      <c r="E21" s="464">
        <v>0</v>
      </c>
      <c r="F21" s="466">
        <f>(((1+F24)^45)*((1+F27)^55))^(1/100)-1</f>
        <v>1.4397613322296943E-2</v>
      </c>
      <c r="G21" s="466">
        <f>(((1+G24)^45)*((1+G27)^55))^(1/100)-1</f>
        <v>0</v>
      </c>
      <c r="H21" s="466">
        <f>(((1+H24)^45)*((1+H27)^55))^(1/100)-1</f>
        <v>7.24846289850678E-3</v>
      </c>
      <c r="I21" s="1994"/>
      <c r="J21" s="464"/>
      <c r="K21" s="466"/>
      <c r="L21" s="466"/>
      <c r="M21" s="468"/>
      <c r="N21" s="805"/>
      <c r="O21" s="464"/>
      <c r="P21" s="466"/>
      <c r="Q21" s="660"/>
      <c r="T21" s="1586">
        <f>(1+C21)-(1+F21)*(1+H21)*(1+G21)</f>
        <v>0</v>
      </c>
    </row>
    <row r="22" spans="1:20" ht="15" customHeight="1">
      <c r="A22" s="448"/>
      <c r="B22" s="471"/>
      <c r="C22" s="472"/>
      <c r="D22" s="471"/>
      <c r="E22" s="471"/>
      <c r="F22" s="510">
        <f>F21/($F21+$H21+$G21)</f>
        <v>0.66513732906750145</v>
      </c>
      <c r="G22" s="510">
        <f>G21/($F21+$H21+$G21)</f>
        <v>0</v>
      </c>
      <c r="H22" s="510">
        <f>H21/($F21+$H21+$G21)</f>
        <v>0.33486267093249861</v>
      </c>
      <c r="I22" s="1992"/>
      <c r="J22" s="471"/>
      <c r="K22" s="474"/>
      <c r="L22" s="474"/>
      <c r="M22" s="475"/>
      <c r="N22" s="1592"/>
      <c r="O22" s="471"/>
      <c r="P22" s="474"/>
      <c r="Q22" s="635"/>
    </row>
    <row r="23" spans="1:20" ht="4.75" customHeight="1">
      <c r="A23" s="448"/>
      <c r="B23" s="471"/>
      <c r="C23" s="472"/>
      <c r="D23" s="471"/>
      <c r="E23" s="471"/>
      <c r="F23" s="474"/>
      <c r="G23" s="474"/>
      <c r="H23" s="474"/>
      <c r="I23" s="1995"/>
      <c r="J23" s="471"/>
      <c r="K23" s="474"/>
      <c r="L23" s="474"/>
      <c r="M23" s="475"/>
      <c r="N23" s="861"/>
      <c r="O23" s="471"/>
      <c r="P23" s="474"/>
      <c r="Q23" s="635"/>
    </row>
    <row r="24" spans="1:20" ht="15" customHeight="1">
      <c r="A24" s="463" t="s">
        <v>437</v>
      </c>
      <c r="B24" s="464">
        <f>(TableUK2!D25/TableUK2!D21)^(1/45)-1</f>
        <v>1.8000000000000016E-2</v>
      </c>
      <c r="C24" s="467">
        <f>(TableUK5d!J25/TableUK5d!J21)^(1/45)-1</f>
        <v>1.9537514847983051E-2</v>
      </c>
      <c r="D24" s="464">
        <f>(5*SUMPRODUCT(TableUK5d!B21:B24,TableUK5d!M21:M24)+5*SUMPRODUCT(TableUK5d!B22:B25,TableUK5d!M21:M24)+5*TableUK5d!M24*AVERAGE(TableUK5d!B24,TableUK5d!B25))/(10*SUM(TableUK5d!B$22:B$24)+5*TableUK5d!B21+5*TableUK5d!B25+5*AVERAGE(TableUK5d!B24:B25))</f>
        <v>8.4074214014626697E-2</v>
      </c>
      <c r="E24" s="464">
        <v>0</v>
      </c>
      <c r="F24" s="466">
        <f>((((1+TableUK5d!N22)*(1+TableUK5d!N23)*(1+TableUK5d!N24))^10)*((1+TableUK5d!N25)^15))^(1/45)-1</f>
        <v>1.2607409436178107E-2</v>
      </c>
      <c r="G24" s="466">
        <v>0</v>
      </c>
      <c r="H24" s="466">
        <f>((((1+TableUK5d!O22)*(1+TableUK5d!O23)*(1+TableUK5d!O24))^10)*((1+TableUK5d!O25)^15))^(1/45)-1</f>
        <v>6.8438225389477747E-3</v>
      </c>
      <c r="I24" s="1994"/>
      <c r="J24" s="464"/>
      <c r="K24" s="466"/>
      <c r="L24" s="466"/>
      <c r="M24" s="468"/>
      <c r="N24" s="805"/>
      <c r="O24" s="464"/>
      <c r="P24" s="466"/>
      <c r="Q24" s="660"/>
      <c r="T24" s="1586">
        <f>(1+C24)-(1+F24)*(1+H24)*(1+G24)</f>
        <v>0</v>
      </c>
    </row>
    <row r="25" spans="1:20" ht="15" customHeight="1">
      <c r="A25" s="448"/>
      <c r="B25" s="494"/>
      <c r="C25" s="649"/>
      <c r="D25" s="471"/>
      <c r="E25" s="471"/>
      <c r="F25" s="510">
        <f>F24/($F24+$H24+$G24)</f>
        <v>0.64815480337185771</v>
      </c>
      <c r="G25" s="510">
        <f>G24/($F24+$H24+$G24)</f>
        <v>0</v>
      </c>
      <c r="H25" s="510">
        <f>H24/($F24+$H24+$G24)</f>
        <v>0.35184519662814229</v>
      </c>
      <c r="I25" s="1992"/>
      <c r="J25" s="471"/>
      <c r="K25" s="474"/>
      <c r="L25" s="474"/>
      <c r="M25" s="475"/>
      <c r="N25" s="1592"/>
      <c r="O25" s="471"/>
      <c r="P25" s="474"/>
      <c r="Q25" s="635"/>
    </row>
    <row r="26" spans="1:20" ht="4.75" customHeight="1">
      <c r="A26" s="448"/>
      <c r="B26" s="494"/>
      <c r="C26" s="649"/>
      <c r="D26" s="471"/>
      <c r="E26" s="471"/>
      <c r="F26" s="474"/>
      <c r="G26" s="474"/>
      <c r="H26" s="474"/>
      <c r="I26" s="1995"/>
      <c r="J26" s="471"/>
      <c r="K26" s="474"/>
      <c r="L26" s="474"/>
      <c r="M26" s="475"/>
      <c r="N26" s="861"/>
      <c r="O26" s="471"/>
      <c r="P26" s="474"/>
      <c r="Q26" s="635"/>
    </row>
    <row r="27" spans="1:20" ht="15" customHeight="1">
      <c r="A27" s="463" t="s">
        <v>442</v>
      </c>
      <c r="B27" s="464">
        <f>TableUK5b!D192</f>
        <v>2.2924052711889908E-2</v>
      </c>
      <c r="C27" s="467">
        <f>TableUK5b!E192</f>
        <v>2.3564581426704256E-2</v>
      </c>
      <c r="D27" s="464">
        <f>TableUK5b!G192</f>
        <v>0.10769780828789059</v>
      </c>
      <c r="E27" s="464">
        <v>0</v>
      </c>
      <c r="F27" s="467">
        <f>TableUK5b!H192</f>
        <v>1.5864679419637762E-2</v>
      </c>
      <c r="G27" s="467">
        <f>TableUK5b!I192</f>
        <v>0</v>
      </c>
      <c r="H27" s="467">
        <f>TableUK5b!J192</f>
        <v>7.5796532383283211E-3</v>
      </c>
      <c r="I27" s="875">
        <f>TableUK5b!K192</f>
        <v>2.3564581426704256E-2</v>
      </c>
      <c r="J27" s="464"/>
      <c r="K27" s="2002">
        <f>TableUK5b!N192</f>
        <v>1.6009219801635277E-2</v>
      </c>
      <c r="L27" s="2000">
        <f>TableUK5b!O192</f>
        <v>0</v>
      </c>
      <c r="M27" s="2007">
        <f>TableUK5b!P192</f>
        <v>7.4363120706169017E-3</v>
      </c>
      <c r="N27" s="465"/>
      <c r="O27" s="464"/>
      <c r="P27" s="466"/>
      <c r="Q27" s="660"/>
      <c r="T27" s="1586">
        <f>(1+C27)-(1+F27)*(1+H27)*(1+G27)</f>
        <v>0</v>
      </c>
    </row>
    <row r="28" spans="1:20" ht="15" customHeight="1">
      <c r="A28" s="448"/>
      <c r="B28" s="471"/>
      <c r="C28" s="472"/>
      <c r="D28" s="471"/>
      <c r="E28" s="471"/>
      <c r="F28" s="510">
        <f>F27/($F27+$H27+$G27)</f>
        <v>0.67669571367590831</v>
      </c>
      <c r="G28" s="510">
        <f>G27/($F27+$H27+$G27)</f>
        <v>0</v>
      </c>
      <c r="H28" s="510">
        <f>H27/($F27+$H27+$G27)</f>
        <v>0.32330428632409175</v>
      </c>
      <c r="I28" s="1992"/>
      <c r="J28" s="471"/>
      <c r="K28" s="510">
        <f>K27/($K27+$L27+$M27)</f>
        <v>0.68282604501637312</v>
      </c>
      <c r="L28" s="2120">
        <f>L27/($K27+$L27+$M27)</f>
        <v>0</v>
      </c>
      <c r="M28" s="2012">
        <f>M27/($K27+$L27+$M27)</f>
        <v>0.31717395498362688</v>
      </c>
      <c r="N28" s="1592"/>
      <c r="O28" s="471"/>
      <c r="P28" s="474"/>
      <c r="Q28" s="635"/>
    </row>
    <row r="29" spans="1:20" ht="4.75" customHeight="1">
      <c r="A29" s="451"/>
      <c r="B29" s="457"/>
      <c r="C29" s="458"/>
      <c r="D29" s="457"/>
      <c r="E29" s="457"/>
      <c r="F29" s="458"/>
      <c r="G29" s="458"/>
      <c r="H29" s="458"/>
      <c r="I29" s="1993"/>
      <c r="J29" s="457"/>
      <c r="K29" s="2001"/>
      <c r="L29" s="2001"/>
      <c r="M29" s="2009"/>
      <c r="N29" s="459"/>
      <c r="O29" s="457"/>
      <c r="P29" s="458"/>
      <c r="Q29" s="462"/>
    </row>
    <row r="30" spans="1:20" s="426" customFormat="1" ht="15" customHeight="1">
      <c r="A30" s="463" t="s">
        <v>1041</v>
      </c>
      <c r="B30" s="464">
        <f>TableUK5b!D195</f>
        <v>1.941209533472299E-2</v>
      </c>
      <c r="C30" s="467">
        <f>TableUK5b!E195</f>
        <v>1.7758629092379907E-2</v>
      </c>
      <c r="D30" s="464">
        <f>TableUK5b!G195</f>
        <v>6.1140305436317925E-2</v>
      </c>
      <c r="E30" s="464">
        <f>TableUK5b!V195</f>
        <v>-1.0865003801239599E-3</v>
      </c>
      <c r="F30" s="467">
        <f>TableUK5b!H195</f>
        <v>1.6357461504665549E-2</v>
      </c>
      <c r="G30" s="467">
        <f>TableUK5b!I195</f>
        <v>-5.9225020496245229E-4</v>
      </c>
      <c r="H30" s="467">
        <f>TableUK5b!J195</f>
        <v>1.9720350577336898E-3</v>
      </c>
      <c r="I30" s="875">
        <f>TableUK5b!K195</f>
        <v>1.7825820898230482E-2</v>
      </c>
      <c r="J30" s="464"/>
      <c r="K30" s="2006">
        <f>TableUK5b!N195</f>
        <v>1.5396279817182945E-2</v>
      </c>
      <c r="L30" s="2000">
        <f>TableUK5b!O195</f>
        <v>-5.5238761551679172E-4</v>
      </c>
      <c r="M30" s="2007">
        <f>TableUK5b!P195</f>
        <v>2.9467177117898924E-3</v>
      </c>
      <c r="N30" s="465"/>
      <c r="O30" s="464"/>
      <c r="P30" s="686"/>
      <c r="Q30" s="660"/>
      <c r="T30" s="1586">
        <f>(1+C30)-(1+F30)*(1+H30)*(1+G30)</f>
        <v>0</v>
      </c>
    </row>
    <row r="31" spans="1:20" s="426" customFormat="1" ht="15" customHeight="1">
      <c r="A31" s="448"/>
      <c r="B31" s="471"/>
      <c r="C31" s="472"/>
      <c r="D31" s="471"/>
      <c r="E31" s="471"/>
      <c r="F31" s="510">
        <f>F30/($F30+$H30+$G30)</f>
        <v>0.92220974862917615</v>
      </c>
      <c r="G31" s="510">
        <f>G30/($F30+$H30+$G30)</f>
        <v>-3.3390200092368705E-2</v>
      </c>
      <c r="H31" s="510">
        <f>H30/($F30+$H30+$G30)</f>
        <v>0.11118045146319257</v>
      </c>
      <c r="I31" s="1992"/>
      <c r="J31" s="471"/>
      <c r="K31" s="510">
        <f>K30/($K30+$L30+$M30)</f>
        <v>0.86541607578826552</v>
      </c>
      <c r="L31" s="2120">
        <f>L30/($K30+$L30+$M30)</f>
        <v>-3.1049391684935417E-2</v>
      </c>
      <c r="M31" s="2012">
        <f>M30/($K30+$L30+$M30)</f>
        <v>0.16563331589666991</v>
      </c>
      <c r="N31" s="1592"/>
      <c r="O31" s="471"/>
      <c r="P31" s="474"/>
      <c r="Q31" s="635"/>
    </row>
    <row r="32" spans="1:20" s="426" customFormat="1" ht="4.75" customHeight="1">
      <c r="A32" s="451"/>
      <c r="B32" s="457"/>
      <c r="C32" s="458"/>
      <c r="D32" s="457"/>
      <c r="E32" s="457"/>
      <c r="F32" s="458"/>
      <c r="G32" s="458"/>
      <c r="H32" s="458"/>
      <c r="I32" s="1993"/>
      <c r="J32" s="457"/>
      <c r="K32" s="2001"/>
      <c r="L32" s="2001"/>
      <c r="M32" s="2009"/>
      <c r="N32" s="459"/>
      <c r="O32" s="457"/>
      <c r="P32" s="458"/>
      <c r="Q32" s="462"/>
    </row>
    <row r="33" spans="1:22" s="426" customFormat="1" ht="15" customHeight="1">
      <c r="A33" s="463" t="s">
        <v>1042</v>
      </c>
      <c r="B33" s="464">
        <f>TableUK5b!D195</f>
        <v>1.941209533472299E-2</v>
      </c>
      <c r="C33" s="467">
        <f>TableUK5b!E198</f>
        <v>2.1180845352891442E-2</v>
      </c>
      <c r="D33" s="464">
        <f>TableUK5b!G198</f>
        <v>0.11105516693330436</v>
      </c>
      <c r="E33" s="464">
        <f>TableUK5b!V198</f>
        <v>0</v>
      </c>
      <c r="F33" s="467">
        <f>TableUK5b!H198</f>
        <v>1.665267878121135E-2</v>
      </c>
      <c r="G33" s="467">
        <f>TableUK5b!I198</f>
        <v>0</v>
      </c>
      <c r="H33" s="467">
        <f>TableUK5b!J198</f>
        <v>4.4539956134366232E-3</v>
      </c>
      <c r="I33" s="875">
        <f>TableUK5b!K198</f>
        <v>2.1180845352891442E-2</v>
      </c>
      <c r="J33" s="464"/>
      <c r="K33" s="2006">
        <f>TableUK5b!N198</f>
        <v>1.6678097572583095E-2</v>
      </c>
      <c r="L33" s="2000">
        <f>TableUK5b!O198</f>
        <v>0</v>
      </c>
      <c r="M33" s="2007">
        <f>TableUK5b!P198</f>
        <v>4.4288824467244581E-3</v>
      </c>
      <c r="N33" s="465"/>
      <c r="O33" s="464"/>
      <c r="P33" s="686"/>
      <c r="Q33" s="660"/>
      <c r="T33" s="1586">
        <f>(1+C33)-(1+F33)*(1+H33)*(1+G33)</f>
        <v>0</v>
      </c>
    </row>
    <row r="34" spans="1:22" s="426" customFormat="1" ht="15" customHeight="1">
      <c r="A34" s="448"/>
      <c r="B34" s="471"/>
      <c r="C34" s="472"/>
      <c r="D34" s="471"/>
      <c r="E34" s="471"/>
      <c r="F34" s="510">
        <f>F33/($F33+$H33+$G33)</f>
        <v>0.78897691175043549</v>
      </c>
      <c r="G34" s="510">
        <f>G33/($F33+$H33+$G33)</f>
        <v>0</v>
      </c>
      <c r="H34" s="510">
        <f>H33/($F33+$H33+$G33)</f>
        <v>0.21102308824956453</v>
      </c>
      <c r="I34" s="1992"/>
      <c r="J34" s="471"/>
      <c r="K34" s="510">
        <f>K33/($K33+$L33+$M33)</f>
        <v>0.7901697712001835</v>
      </c>
      <c r="L34" s="2120">
        <f>L33/($K33+$L33+$M33)</f>
        <v>0</v>
      </c>
      <c r="M34" s="2012">
        <f>M33/($K33+$L33+$M33)</f>
        <v>0.20983022879981644</v>
      </c>
      <c r="N34" s="1592"/>
      <c r="O34" s="471"/>
      <c r="P34" s="474"/>
      <c r="Q34" s="635"/>
    </row>
    <row r="35" spans="1:22" s="426" customFormat="1" ht="4.75" customHeight="1">
      <c r="A35" s="451"/>
      <c r="B35" s="457"/>
      <c r="C35" s="458"/>
      <c r="D35" s="457"/>
      <c r="E35" s="457"/>
      <c r="F35" s="458"/>
      <c r="G35" s="458"/>
      <c r="H35" s="458"/>
      <c r="I35" s="1993"/>
      <c r="J35" s="457"/>
      <c r="K35" s="2001"/>
      <c r="L35" s="2001"/>
      <c r="M35" s="2009"/>
      <c r="N35" s="459"/>
      <c r="O35" s="457"/>
      <c r="P35" s="458"/>
      <c r="Q35" s="462"/>
    </row>
    <row r="36" spans="1:22" ht="15" customHeight="1">
      <c r="A36" s="463" t="s">
        <v>666</v>
      </c>
      <c r="B36" s="464">
        <f>(((1+B39)^40)*((1+B42)^60))^(1/100)-1</f>
        <v>1.9636720430742161E-2</v>
      </c>
      <c r="C36" s="467">
        <f>(((1+C39)^40)*((1+C42)^60))^(1/100)-1</f>
        <v>1.639295596494672E-2</v>
      </c>
      <c r="D36" s="464">
        <f>TableUK5b!G201</f>
        <v>5.6022588697579846E-2</v>
      </c>
      <c r="E36" s="464">
        <f>TableUK5b!V201</f>
        <v>-1.1978980884465884E-3</v>
      </c>
      <c r="F36" s="686">
        <f>(((1+F39)^40)*((1+F42)^60))^(1/100)-1</f>
        <v>1.6239398598631327E-2</v>
      </c>
      <c r="G36" s="467">
        <f>(((1+G39)^40)*((1+G42)^60))^(1/100)-1</f>
        <v>-8.290520624260056E-4</v>
      </c>
      <c r="H36" s="467">
        <f>(((1+H39)^40)*((1+H42)^60))^(1/100)-1</f>
        <v>9.8096887246112985E-4</v>
      </c>
      <c r="I36" s="1993">
        <f>(((1+I39)^40)*((1+I42)^60))^(1/100)-1</f>
        <v>1.648689950825033E-2</v>
      </c>
      <c r="J36" s="457"/>
      <c r="K36" s="2001">
        <f>(((1+K39)^40)*((1+K42)^60))^(1/100)-1</f>
        <v>1.4884005338088757E-2</v>
      </c>
      <c r="L36" s="2001">
        <f>(((1+L39)^40)*((1+L42)^60))^(1/100)-1</f>
        <v>-7.7325721530074887E-4</v>
      </c>
      <c r="M36" s="2009">
        <f>(((1+M39)^40)*((1+M42)^60))^(1/100)-1</f>
        <v>2.3544643938744336E-3</v>
      </c>
      <c r="N36" s="459"/>
      <c r="O36" s="457"/>
      <c r="P36" s="458"/>
      <c r="Q36" s="462"/>
      <c r="T36" s="1586">
        <f>(1+C36)-(1+F36)*(1+H36)*(1+G36)</f>
        <v>0</v>
      </c>
    </row>
    <row r="37" spans="1:22" ht="15" customHeight="1">
      <c r="A37" s="448"/>
      <c r="B37" s="471"/>
      <c r="C37" s="472"/>
      <c r="D37" s="471"/>
      <c r="E37" s="471"/>
      <c r="F37" s="510">
        <f>F36/($F36+$H36+$G36)</f>
        <v>0.99073187195490109</v>
      </c>
      <c r="G37" s="510">
        <f>G36/($F36+$H36+$G36)</f>
        <v>-5.0578738908755756E-2</v>
      </c>
      <c r="H37" s="510">
        <f>H36/($F36+$H36+$G36)</f>
        <v>5.9846866953854716E-2</v>
      </c>
      <c r="I37" s="1993"/>
      <c r="J37" s="457"/>
      <c r="K37" s="510">
        <f>K36/($K36+$L36+$M36)</f>
        <v>0.9039667919880453</v>
      </c>
      <c r="L37" s="2120">
        <f>L36/($K36+$L36+$M36)</f>
        <v>-4.6963087449872216E-2</v>
      </c>
      <c r="M37" s="2012">
        <f>M36/($K36+$L36+$M36)</f>
        <v>0.14299629546182693</v>
      </c>
      <c r="N37" s="459"/>
      <c r="O37" s="457"/>
      <c r="P37" s="458"/>
      <c r="Q37" s="462"/>
    </row>
    <row r="38" spans="1:22" ht="4.75" customHeight="1">
      <c r="A38" s="451"/>
      <c r="B38" s="457"/>
      <c r="C38" s="458"/>
      <c r="D38" s="457"/>
      <c r="E38" s="457"/>
      <c r="F38" s="458"/>
      <c r="G38" s="458"/>
      <c r="H38" s="458"/>
      <c r="I38" s="1993"/>
      <c r="J38" s="457"/>
      <c r="K38" s="2001"/>
      <c r="L38" s="2001"/>
      <c r="M38" s="2009"/>
      <c r="N38" s="459"/>
      <c r="O38" s="457"/>
      <c r="P38" s="458"/>
      <c r="Q38" s="462"/>
    </row>
    <row r="39" spans="1:22" ht="15" customHeight="1">
      <c r="A39" s="463" t="s">
        <v>667</v>
      </c>
      <c r="B39" s="464">
        <f>TableUK5b!D204</f>
        <v>1.4219755454262906E-2</v>
      </c>
      <c r="C39" s="467">
        <f>TableUK5b!E204</f>
        <v>-1.6743854272127656E-2</v>
      </c>
      <c r="D39" s="464">
        <f>TableUK5b!G204</f>
        <v>2.592424178237895E-2</v>
      </c>
      <c r="E39" s="464">
        <f>TableUK5b!V204</f>
        <v>-6.5912924640229853E-3</v>
      </c>
      <c r="F39" s="467">
        <f>TableUK5b!H204</f>
        <v>7.0608097005049331E-3</v>
      </c>
      <c r="G39" s="467">
        <f>TableUK5b!I204</f>
        <v>-2.0713415954261016E-3</v>
      </c>
      <c r="H39" s="467">
        <f>TableUK5b!J204</f>
        <v>-2.1611184782308279E-2</v>
      </c>
      <c r="I39" s="875">
        <f>TableUK5b!K204</f>
        <v>-1.3121336113508186E-2</v>
      </c>
      <c r="J39" s="464"/>
      <c r="K39" s="2002">
        <f>TableUK5b!N204</f>
        <v>7.5607891847120356E-3</v>
      </c>
      <c r="L39" s="2000">
        <f>TableUK5b!O204</f>
        <v>-1.9320220701485313E-3</v>
      </c>
      <c r="M39" s="2007">
        <f>TableUK5b!P204</f>
        <v>-1.8630898779069205E-2</v>
      </c>
      <c r="N39" s="465"/>
      <c r="O39" s="464"/>
      <c r="P39" s="466"/>
      <c r="Q39" s="660"/>
      <c r="T39" s="1586">
        <f>(1+C39)-(1+F39)*(1+H39)*(1+G39)</f>
        <v>0</v>
      </c>
    </row>
    <row r="40" spans="1:22" ht="15" customHeight="1">
      <c r="A40" s="448"/>
      <c r="B40" s="471"/>
      <c r="C40" s="472"/>
      <c r="D40" s="471"/>
      <c r="E40" s="471"/>
      <c r="F40" s="510">
        <f>F39/($F39+$H39+$G39)</f>
        <v>-0.42479425185833741</v>
      </c>
      <c r="G40" s="510">
        <f>G39/($F39+$H39+$G39)</f>
        <v>0.1246165865805961</v>
      </c>
      <c r="H40" s="510">
        <f>H39/($F39+$H39+$G39)</f>
        <v>1.3001776652777413</v>
      </c>
      <c r="I40" s="1992"/>
      <c r="J40" s="471"/>
      <c r="K40" s="510">
        <f>K39/($K39+$L39+$M39)</f>
        <v>-0.58150381643589311</v>
      </c>
      <c r="L40" s="2120">
        <f>L39/($K39+$L39+$M39)</f>
        <v>0.14859271694830822</v>
      </c>
      <c r="M40" s="2012">
        <f>M39/($K39+$L39+$M39)</f>
        <v>1.4329110994875849</v>
      </c>
      <c r="N40" s="1592"/>
      <c r="O40" s="471"/>
      <c r="P40" s="474"/>
      <c r="Q40" s="635"/>
    </row>
    <row r="41" spans="1:22" ht="4" customHeight="1">
      <c r="A41" s="448"/>
      <c r="B41" s="471"/>
      <c r="C41" s="472"/>
      <c r="D41" s="471"/>
      <c r="E41" s="471"/>
      <c r="F41" s="472"/>
      <c r="G41" s="472"/>
      <c r="H41" s="472"/>
      <c r="I41" s="1996"/>
      <c r="J41" s="471"/>
      <c r="K41" s="2004"/>
      <c r="L41" s="2004"/>
      <c r="M41" s="2010"/>
      <c r="N41" s="473"/>
      <c r="O41" s="471"/>
      <c r="P41" s="472"/>
      <c r="Q41" s="613"/>
    </row>
    <row r="42" spans="1:22" ht="15" customHeight="1">
      <c r="A42" s="463" t="s">
        <v>374</v>
      </c>
      <c r="B42" s="464">
        <f>TableUK5b!D210</f>
        <v>2.3264094283384606E-2</v>
      </c>
      <c r="C42" s="467">
        <f>TableUK5b!E210</f>
        <v>3.9102280210516538E-2</v>
      </c>
      <c r="D42" s="464">
        <f>TableUK5b!G210</f>
        <v>6.2707572165206976E-2</v>
      </c>
      <c r="E42" s="464">
        <f>TableUK5b!V210</f>
        <v>0</v>
      </c>
      <c r="F42" s="467">
        <f>TableUK5b!H210</f>
        <v>2.2404886394609802E-2</v>
      </c>
      <c r="G42" s="467">
        <f>TableUK5b!I210</f>
        <v>0</v>
      </c>
      <c r="H42" s="467">
        <f>TableUK5b!J210</f>
        <v>1.6331488667652883E-2</v>
      </c>
      <c r="I42" s="875">
        <f>TableUK5b!K210</f>
        <v>3.6717596228679428E-2</v>
      </c>
      <c r="J42" s="464"/>
      <c r="K42" s="2000">
        <f>TableUK5b!N210</f>
        <v>1.9795696204069069E-2</v>
      </c>
      <c r="L42" s="2000">
        <f>TableUK5b!O210</f>
        <v>0</v>
      </c>
      <c r="M42" s="2007">
        <f>TableUK5b!P210</f>
        <v>1.6593421689852006E-2</v>
      </c>
      <c r="N42" s="465"/>
      <c r="O42" s="464"/>
      <c r="P42" s="467"/>
      <c r="Q42" s="660"/>
      <c r="T42" s="1586">
        <f>(1+C42)-(1+F42)*(1+H42)*(1+G42)</f>
        <v>0</v>
      </c>
    </row>
    <row r="43" spans="1:22" ht="15" customHeight="1">
      <c r="A43" s="448"/>
      <c r="B43" s="471"/>
      <c r="C43" s="472"/>
      <c r="D43" s="471"/>
      <c r="E43" s="471"/>
      <c r="F43" s="510">
        <f>F42/($F42+$H42+$G42)</f>
        <v>0.5783939864945401</v>
      </c>
      <c r="G43" s="510">
        <f>G42/($F42+$H42+$G42)</f>
        <v>0</v>
      </c>
      <c r="H43" s="510">
        <f>H42/($F42+$H42+$G42)</f>
        <v>0.42160601350545995</v>
      </c>
      <c r="I43" s="1992"/>
      <c r="J43" s="508"/>
      <c r="K43" s="510">
        <f>K42/($K42+$L42+$M42)</f>
        <v>0.54400044160938588</v>
      </c>
      <c r="L43" s="2120">
        <f>L42/($K42+$L42+$M42)</f>
        <v>0</v>
      </c>
      <c r="M43" s="2012">
        <f>M42/($K42+$L42+$M42)</f>
        <v>0.45599955839061418</v>
      </c>
      <c r="N43" s="1592"/>
      <c r="O43" s="508"/>
      <c r="P43" s="510"/>
      <c r="Q43" s="661"/>
    </row>
    <row r="44" spans="1:22" ht="4.75" customHeight="1">
      <c r="A44" s="448"/>
      <c r="B44" s="471"/>
      <c r="C44" s="472"/>
      <c r="D44" s="471"/>
      <c r="E44" s="471"/>
      <c r="F44" s="472"/>
      <c r="G44" s="472"/>
      <c r="H44" s="472"/>
      <c r="I44" s="1996"/>
      <c r="J44" s="471"/>
      <c r="K44" s="2004"/>
      <c r="L44" s="2004"/>
      <c r="M44" s="2010"/>
      <c r="N44" s="473"/>
      <c r="O44" s="471"/>
      <c r="P44" s="472"/>
      <c r="Q44" s="613"/>
    </row>
    <row r="45" spans="1:22" ht="15">
      <c r="A45" s="479" t="s">
        <v>288</v>
      </c>
      <c r="B45" s="464">
        <f>TableUK5b!D213</f>
        <v>2.1057290398024175E-2</v>
      </c>
      <c r="C45" s="467">
        <f>TableUK5b!E213</f>
        <v>3.8497701586304167E-2</v>
      </c>
      <c r="D45" s="464">
        <f>TableUK5b!G213</f>
        <v>9.8097433715724699E-2</v>
      </c>
      <c r="E45" s="464">
        <f>TableUK5b!V213</f>
        <v>0</v>
      </c>
      <c r="F45" s="467">
        <f>TableUK5b!H213</f>
        <v>3.482536547199655E-2</v>
      </c>
      <c r="G45" s="467">
        <f>TableUK5b!I213</f>
        <v>0</v>
      </c>
      <c r="H45" s="467">
        <f>TableUK5b!J213</f>
        <v>3.5487496120976125E-3</v>
      </c>
      <c r="I45" s="875">
        <f>TableUK5b!K213</f>
        <v>3.9796758874222293E-2</v>
      </c>
      <c r="J45" s="464"/>
      <c r="K45" s="2000">
        <f>TableUK5b!N213</f>
        <v>3.018592810693832E-2</v>
      </c>
      <c r="L45" s="2000">
        <f>TableUK5b!O213</f>
        <v>0</v>
      </c>
      <c r="M45" s="2007">
        <f>TableUK5b!P213</f>
        <v>9.32921961470079E-3</v>
      </c>
      <c r="N45" s="465"/>
      <c r="O45" s="464"/>
      <c r="P45" s="467"/>
      <c r="Q45" s="660"/>
      <c r="T45" s="1586">
        <f>(1+C45)-(1+F45)*(1+H45)*(1+G45)</f>
        <v>0</v>
      </c>
    </row>
    <row r="46" spans="1:22" ht="15">
      <c r="A46" s="480"/>
      <c r="B46" s="471"/>
      <c r="C46" s="472"/>
      <c r="D46" s="471"/>
      <c r="E46" s="471"/>
      <c r="F46" s="510">
        <f>F45/($F45+$H45+$G45)</f>
        <v>0.90752230756798491</v>
      </c>
      <c r="G46" s="510">
        <f>G45/($F45+$H45+$G45)</f>
        <v>0</v>
      </c>
      <c r="H46" s="510">
        <f>H45/($F45+$H45+$G45)</f>
        <v>9.2477692432015132E-2</v>
      </c>
      <c r="I46" s="1992"/>
      <c r="J46" s="508"/>
      <c r="K46" s="510">
        <f>K45/($K45+$L45+$M45)</f>
        <v>0.76390776315908937</v>
      </c>
      <c r="L46" s="2120">
        <f>L45/($K45+$L45+$M45)</f>
        <v>0</v>
      </c>
      <c r="M46" s="2012">
        <f>M45/($K45+$L45+$M45)</f>
        <v>0.2360922368409106</v>
      </c>
      <c r="N46" s="1592"/>
      <c r="O46" s="508"/>
      <c r="P46" s="510"/>
      <c r="Q46" s="661"/>
    </row>
    <row r="47" spans="1:22" ht="4" customHeight="1">
      <c r="A47" s="480"/>
      <c r="B47" s="481"/>
      <c r="C47" s="482"/>
      <c r="D47" s="494"/>
      <c r="E47" s="494"/>
      <c r="F47" s="474"/>
      <c r="G47" s="474"/>
      <c r="H47" s="474"/>
      <c r="I47" s="1995"/>
      <c r="J47" s="1594"/>
      <c r="K47" s="2003"/>
      <c r="L47" s="2003"/>
      <c r="M47" s="2008"/>
      <c r="N47" s="861"/>
      <c r="O47" s="1594"/>
      <c r="P47" s="474"/>
      <c r="Q47" s="635"/>
    </row>
    <row r="48" spans="1:22" ht="15">
      <c r="A48" s="479" t="s">
        <v>289</v>
      </c>
      <c r="B48" s="464">
        <f>TableUK5b!D216</f>
        <v>2.5475667718342532E-2</v>
      </c>
      <c r="C48" s="467">
        <f>TableUK5b!E216</f>
        <v>3.9707210800180581E-2</v>
      </c>
      <c r="D48" s="464">
        <f>TableUK5b!G216</f>
        <v>4.497481364734067E-2</v>
      </c>
      <c r="E48" s="464">
        <f>TableUK5b!V216</f>
        <v>0</v>
      </c>
      <c r="F48" s="467">
        <f>TableUK5b!H216</f>
        <v>1.0133483968858492E-2</v>
      </c>
      <c r="G48" s="467">
        <f>TableUK5b!I216</f>
        <v>0</v>
      </c>
      <c r="H48" s="467">
        <f>TableUK5b!J216</f>
        <v>2.9277048331400435E-2</v>
      </c>
      <c r="I48" s="875">
        <f>TableUK5b!K216</f>
        <v>3.3647551944505638E-2</v>
      </c>
      <c r="J48" s="464">
        <f>TableUK5b!M216</f>
        <v>4.497481364734067E-2</v>
      </c>
      <c r="K48" s="2000">
        <f>TableUK5b!N216</f>
        <v>9.5102579273307342E-3</v>
      </c>
      <c r="L48" s="2000">
        <f>TableUK5b!O216</f>
        <v>0</v>
      </c>
      <c r="M48" s="2007">
        <f>TableUK5b!P216</f>
        <v>2.390990465687004E-2</v>
      </c>
      <c r="N48" s="465">
        <f>TableUK5b!Q216</f>
        <v>1.9881814080922933E-2</v>
      </c>
      <c r="O48" s="464">
        <f>TableUK5b!S216</f>
        <v>4.497481364734067E-2</v>
      </c>
      <c r="P48" s="467">
        <f>TableUK5b!T216</f>
        <v>9.2165864588202862E-3</v>
      </c>
      <c r="Q48" s="660">
        <f>TableUK5b!U216</f>
        <v>1.0567828318721162E-2</v>
      </c>
      <c r="T48" s="1586">
        <f>(1+C48)-(1+F48)*(1+H48)*(1+G48)</f>
        <v>0</v>
      </c>
      <c r="U48" s="1586">
        <f>(1+I48)-(1+K48)*(1+M48)*(1+L48)</f>
        <v>0</v>
      </c>
      <c r="V48" s="1586">
        <f>(1+N48)-(1+P48)*(1+Q48)</f>
        <v>0</v>
      </c>
    </row>
    <row r="49" spans="1:22" ht="15">
      <c r="A49" s="480"/>
      <c r="B49" s="471"/>
      <c r="C49" s="472"/>
      <c r="D49" s="471"/>
      <c r="E49" s="471"/>
      <c r="F49" s="510">
        <f>F48/($F48+$H48+$G48)</f>
        <v>0.25712629029351919</v>
      </c>
      <c r="G49" s="510">
        <f>G48/($F48+$H48+$G48)</f>
        <v>0</v>
      </c>
      <c r="H49" s="510">
        <f>H48/($F48+$H48+$G48)</f>
        <v>0.74287370970648081</v>
      </c>
      <c r="I49" s="1992"/>
      <c r="J49" s="508"/>
      <c r="K49" s="510">
        <f>K48/($K48+$L48+$M48)</f>
        <v>0.28456647699932686</v>
      </c>
      <c r="L49" s="2120">
        <f>L48/($K48+$L48+$M48)</f>
        <v>0</v>
      </c>
      <c r="M49" s="2012">
        <f>M48/($K48+$L48+$M48)</f>
        <v>0.71543352300067309</v>
      </c>
      <c r="N49" s="1592"/>
      <c r="O49" s="508"/>
      <c r="P49" s="510">
        <f>P48/(P48+Q48)</f>
        <v>0.4658508509072819</v>
      </c>
      <c r="Q49" s="661">
        <f>Q48/(P48+Q48)</f>
        <v>0.53414914909271805</v>
      </c>
    </row>
    <row r="50" spans="1:22" ht="4" customHeight="1">
      <c r="A50" s="480"/>
      <c r="B50" s="481"/>
      <c r="C50" s="482"/>
      <c r="D50" s="494"/>
      <c r="E50" s="494"/>
      <c r="F50" s="474"/>
      <c r="G50" s="474"/>
      <c r="H50" s="474"/>
      <c r="I50" s="1995"/>
      <c r="J50" s="1594"/>
      <c r="K50" s="2003"/>
      <c r="L50" s="2003"/>
      <c r="M50" s="2008"/>
      <c r="N50" s="861"/>
      <c r="O50" s="1594"/>
      <c r="P50" s="474"/>
      <c r="Q50" s="635"/>
    </row>
    <row r="51" spans="1:22" ht="15">
      <c r="A51" s="479" t="s">
        <v>375</v>
      </c>
      <c r="B51" s="464">
        <f>TableUK5b!D219</f>
        <v>2.5856995627983048E-2</v>
      </c>
      <c r="C51" s="467">
        <f>TableUK5b!E219</f>
        <v>4.7257243524253756E-2</v>
      </c>
      <c r="D51" s="464">
        <f>TableUK5b!G219</f>
        <v>0.10163164910115763</v>
      </c>
      <c r="E51" s="464">
        <f>TableUK5b!V219</f>
        <v>0</v>
      </c>
      <c r="F51" s="467">
        <f>TableUK5b!H219</f>
        <v>3.8368919936974333E-2</v>
      </c>
      <c r="G51" s="467">
        <f>TableUK5b!I219</f>
        <v>0</v>
      </c>
      <c r="H51" s="467">
        <f>TableUK5b!J219</f>
        <v>8.5598898586245475E-3</v>
      </c>
      <c r="I51" s="875">
        <f>TableUK5b!K219</f>
        <v>4.7360404993499472E-2</v>
      </c>
      <c r="J51" s="464"/>
      <c r="K51" s="2000">
        <f>TableUK5b!N219</f>
        <v>3.3589247681031553E-2</v>
      </c>
      <c r="L51" s="2000">
        <f>TableUK5b!O219</f>
        <v>0</v>
      </c>
      <c r="M51" s="2007">
        <f>TableUK5b!P219</f>
        <v>1.3323626714736969E-2</v>
      </c>
      <c r="N51" s="465"/>
      <c r="O51" s="464"/>
      <c r="P51" s="467"/>
      <c r="Q51" s="660"/>
      <c r="T51" s="1586">
        <f>(1+C51)-(1+F51)*(1+H51)*(1+G51)</f>
        <v>0</v>
      </c>
      <c r="U51" s="1586">
        <f>(1+I51)-(1+K51)*(1+M51)*(1+L51)</f>
        <v>0</v>
      </c>
    </row>
    <row r="52" spans="1:22" ht="15">
      <c r="A52" s="480"/>
      <c r="B52" s="471"/>
      <c r="C52" s="472"/>
      <c r="D52" s="471"/>
      <c r="E52" s="471"/>
      <c r="F52" s="510">
        <f>F51/($F51+$H51+$G51)</f>
        <v>0.81759840285940266</v>
      </c>
      <c r="G52" s="510">
        <f>G51/($F51+$H51+$G51)</f>
        <v>0</v>
      </c>
      <c r="H52" s="510">
        <f>H51/($F51+$H51+$G51)</f>
        <v>0.18240159714059739</v>
      </c>
      <c r="I52" s="1992"/>
      <c r="J52" s="508"/>
      <c r="K52" s="510">
        <f>K51/($K51+$L51+$M51)</f>
        <v>0.71599210480399078</v>
      </c>
      <c r="L52" s="2120">
        <f>L51/($K51+$L51+$M51)</f>
        <v>0</v>
      </c>
      <c r="M52" s="2012">
        <f>M51/($K51+$L51+$M51)</f>
        <v>0.28400789519600916</v>
      </c>
      <c r="N52" s="1592"/>
      <c r="O52" s="508"/>
      <c r="P52" s="510"/>
      <c r="Q52" s="661"/>
    </row>
    <row r="53" spans="1:22" ht="4" customHeight="1">
      <c r="A53" s="480"/>
      <c r="B53" s="481"/>
      <c r="C53" s="482"/>
      <c r="D53" s="494"/>
      <c r="E53" s="494"/>
      <c r="F53" s="474"/>
      <c r="G53" s="474"/>
      <c r="H53" s="474"/>
      <c r="I53" s="1995"/>
      <c r="J53" s="1594"/>
      <c r="K53" s="2003"/>
      <c r="L53" s="2003"/>
      <c r="M53" s="2008"/>
      <c r="N53" s="861"/>
      <c r="O53" s="1594"/>
      <c r="P53" s="474"/>
      <c r="Q53" s="635"/>
    </row>
    <row r="54" spans="1:22" ht="15">
      <c r="A54" s="479" t="s">
        <v>348</v>
      </c>
      <c r="B54" s="464">
        <f>TableUK5b!D222</f>
        <v>2.1970102276964276E-2</v>
      </c>
      <c r="C54" s="467">
        <f>TableUK5b!E222</f>
        <v>3.5048642978026345E-2</v>
      </c>
      <c r="D54" s="464">
        <f>TableUK5b!G222</f>
        <v>5.3251067147874052E-2</v>
      </c>
      <c r="E54" s="464">
        <f>TableUK5b!V222</f>
        <v>0</v>
      </c>
      <c r="F54" s="467">
        <f>TableUK5b!H222</f>
        <v>1.4515144334443342E-2</v>
      </c>
      <c r="G54" s="467">
        <f>TableUK5b!I222</f>
        <v>0</v>
      </c>
      <c r="H54" s="467">
        <f>TableUK5b!J222</f>
        <v>2.0239716241055694E-2</v>
      </c>
      <c r="I54" s="875">
        <f>TableUK5b!K222</f>
        <v>3.143681609488036E-2</v>
      </c>
      <c r="J54" s="464">
        <f>TableUK5b!M222</f>
        <v>5.3251067147874052E-2</v>
      </c>
      <c r="K54" s="2000">
        <f>TableUK5b!N222</f>
        <v>1.2968104396245073E-2</v>
      </c>
      <c r="L54" s="2000">
        <f>TableUK5b!O222</f>
        <v>0</v>
      </c>
      <c r="M54" s="2007">
        <f>TableUK5b!P222</f>
        <v>1.8232273670298005E-2</v>
      </c>
      <c r="N54" s="465">
        <f>TableUK5b!Q222</f>
        <v>2.4380543162202173E-2</v>
      </c>
      <c r="O54" s="464">
        <f>TableUK5b!S222</f>
        <v>5.3251067147874052E-2</v>
      </c>
      <c r="P54" s="467">
        <f>TableUK5b!T222</f>
        <v>1.1406639271651642E-2</v>
      </c>
      <c r="Q54" s="660">
        <f>TableUK5b!U222</f>
        <v>1.2827584264123004E-2</v>
      </c>
      <c r="T54" s="1586">
        <f>(1+C54)-(1+F54)*(1+H54)*(1+G54)</f>
        <v>0</v>
      </c>
      <c r="U54" s="1586">
        <f>(1+I54)-(1+K54)*(1+M54)*(1+L54)</f>
        <v>0</v>
      </c>
      <c r="V54" s="1586">
        <f>(1+N54)-(1+P54)*(1+Q54)</f>
        <v>0</v>
      </c>
    </row>
    <row r="55" spans="1:22" ht="15">
      <c r="A55" s="480"/>
      <c r="B55" s="471"/>
      <c r="C55" s="472"/>
      <c r="D55" s="471"/>
      <c r="E55" s="471"/>
      <c r="F55" s="510">
        <f>F54/($F54+$H54+$G54)</f>
        <v>0.41764357831077048</v>
      </c>
      <c r="G55" s="510">
        <f>G54/($F54+$H54+$G54)</f>
        <v>0</v>
      </c>
      <c r="H55" s="510">
        <f>H54/($F54+$H54+$G54)</f>
        <v>0.58235642168922952</v>
      </c>
      <c r="I55" s="1992"/>
      <c r="J55" s="508"/>
      <c r="K55" s="510">
        <f>K54/($K54+$L54+$M54)</f>
        <v>0.41563933515764301</v>
      </c>
      <c r="L55" s="2120">
        <f>L54/($K54+$L54+$M54)</f>
        <v>0</v>
      </c>
      <c r="M55" s="2012">
        <f>M54/($K54+$L54+$M54)</f>
        <v>0.58436066484235694</v>
      </c>
      <c r="N55" s="1592"/>
      <c r="O55" s="508"/>
      <c r="P55" s="510">
        <f>P54/(P54+Q54)</f>
        <v>0.47068309223165827</v>
      </c>
      <c r="Q55" s="661">
        <f>Q54/(P54+Q54)</f>
        <v>0.52931690776834173</v>
      </c>
    </row>
    <row r="56" spans="1:22" ht="4" customHeight="1">
      <c r="A56" s="480"/>
      <c r="B56" s="481"/>
      <c r="C56" s="482"/>
      <c r="D56" s="494"/>
      <c r="E56" s="494"/>
      <c r="F56" s="474"/>
      <c r="G56" s="474"/>
      <c r="H56" s="474"/>
      <c r="I56" s="1995"/>
      <c r="J56" s="1594"/>
      <c r="K56" s="2003"/>
      <c r="L56" s="2003"/>
      <c r="M56" s="2008"/>
      <c r="N56" s="861"/>
      <c r="O56" s="1594"/>
      <c r="P56" s="474"/>
      <c r="Q56" s="635"/>
    </row>
    <row r="57" spans="1:22" ht="15">
      <c r="A57" s="479" t="s">
        <v>376</v>
      </c>
      <c r="B57" s="464">
        <f>TableUK5b!D225</f>
        <v>1.9752681521352011E-2</v>
      </c>
      <c r="C57" s="467">
        <f>TableUK5b!E225</f>
        <v>4.3096882719400043E-2</v>
      </c>
      <c r="D57" s="464">
        <f>TableUK5b!G225</f>
        <v>7.0060131381586177E-2</v>
      </c>
      <c r="E57" s="464">
        <f>TableUK5b!V225</f>
        <v>0</v>
      </c>
      <c r="F57" s="467">
        <f>TableUK5b!H225</f>
        <v>2.0370710491457888E-2</v>
      </c>
      <c r="G57" s="467">
        <f>TableUK5b!I225</f>
        <v>0</v>
      </c>
      <c r="H57" s="467">
        <f>TableUK5b!J225</f>
        <v>2.2272466265712332E-2</v>
      </c>
      <c r="I57" s="875">
        <f>TableUK5b!K225</f>
        <v>3.6523242765131858E-2</v>
      </c>
      <c r="J57" s="464">
        <f>TableUK5b!M225</f>
        <v>7.0060131381586177E-2</v>
      </c>
      <c r="K57" s="2000">
        <f>TableUK5b!N225</f>
        <v>1.736524553711849E-2</v>
      </c>
      <c r="L57" s="2000">
        <f>TableUK5b!O225</f>
        <v>0</v>
      </c>
      <c r="M57" s="2007">
        <f>TableUK5b!P225</f>
        <v>1.8830992420916459E-2</v>
      </c>
      <c r="N57" s="465">
        <f>TableUK5b!Q225</f>
        <v>2.930313155929154E-2</v>
      </c>
      <c r="O57" s="464">
        <f>TableUK5b!S225</f>
        <v>7.0060131381586177E-2</v>
      </c>
      <c r="P57" s="467">
        <f>TableUK5b!T225</f>
        <v>1.3402736648679747E-2</v>
      </c>
      <c r="Q57" s="660">
        <f>TableUK5b!U225</f>
        <v>1.5690104571055574E-2</v>
      </c>
      <c r="T57" s="1586">
        <f>(1+C57)-(1+F57)*(1+H57)*(1+G57)</f>
        <v>0</v>
      </c>
      <c r="U57" s="1586">
        <f>(1+I57)-(1+K57)*(1+M57)*(1+L57)</f>
        <v>0</v>
      </c>
      <c r="V57" s="1586">
        <f>(1+N57)-(1+P57)*(1+Q57)</f>
        <v>0</v>
      </c>
    </row>
    <row r="58" spans="1:22" ht="15">
      <c r="A58" s="480"/>
      <c r="B58" s="471"/>
      <c r="C58" s="472"/>
      <c r="D58" s="471"/>
      <c r="E58" s="471"/>
      <c r="F58" s="510">
        <f>F57/($F57+$H57+$G57)</f>
        <v>0.47770152321104131</v>
      </c>
      <c r="G58" s="510">
        <f>G57/($F57+$H57+$G57)</f>
        <v>0</v>
      </c>
      <c r="H58" s="510">
        <f>H57/($F57+$H57+$G57)</f>
        <v>0.52229847678895869</v>
      </c>
      <c r="I58" s="1992"/>
      <c r="J58" s="508"/>
      <c r="K58" s="510">
        <f>K57/($K57+$L57+$M57)</f>
        <v>0.47975277312662545</v>
      </c>
      <c r="L58" s="2120">
        <f>L57/($K57+$L57+$M57)</f>
        <v>0</v>
      </c>
      <c r="M58" s="2012">
        <f>M57/($K57+$L57+$M57)</f>
        <v>0.52024722687337455</v>
      </c>
      <c r="N58" s="1592"/>
      <c r="O58" s="508"/>
      <c r="P58" s="510">
        <f>P57/(P57+Q57)</f>
        <v>0.46068847478492103</v>
      </c>
      <c r="Q58" s="661">
        <f>Q57/(P57+Q57)</f>
        <v>0.53931152521507897</v>
      </c>
    </row>
    <row r="59" spans="1:22" ht="4" customHeight="1">
      <c r="A59" s="480"/>
      <c r="B59" s="481"/>
      <c r="C59" s="482"/>
      <c r="D59" s="494"/>
      <c r="E59" s="494"/>
      <c r="F59" s="474"/>
      <c r="G59" s="474"/>
      <c r="H59" s="474"/>
      <c r="I59" s="1995"/>
      <c r="J59" s="1594"/>
      <c r="K59" s="2003"/>
      <c r="L59" s="2003"/>
      <c r="M59" s="2008"/>
      <c r="N59" s="861"/>
      <c r="O59" s="1594"/>
      <c r="P59" s="474"/>
      <c r="Q59" s="635"/>
    </row>
    <row r="60" spans="1:22" ht="15">
      <c r="A60" s="479" t="s">
        <v>377</v>
      </c>
      <c r="B60" s="464">
        <f>TableUK5b!D228</f>
        <v>2.4192344745621597E-2</v>
      </c>
      <c r="C60" s="467">
        <f>TableUK5b!E228</f>
        <v>2.7062501172144149E-2</v>
      </c>
      <c r="D60" s="464">
        <f>TableUK5b!G228</f>
        <v>4.3194292441081361E-2</v>
      </c>
      <c r="E60" s="464">
        <f>TableUK5b!V228</f>
        <v>0</v>
      </c>
      <c r="F60" s="467">
        <f>TableUK5b!H228</f>
        <v>8.6931813127077984E-3</v>
      </c>
      <c r="G60" s="467">
        <f>TableUK5b!I228</f>
        <v>0</v>
      </c>
      <c r="H60" s="467">
        <f>TableUK5b!J228</f>
        <v>1.8211008262721373E-2</v>
      </c>
      <c r="I60" s="875">
        <f>TableUK5b!K228</f>
        <v>2.6375349536669424E-2</v>
      </c>
      <c r="J60" s="464">
        <f>TableUK5b!M228</f>
        <v>4.3194292441081361E-2</v>
      </c>
      <c r="K60" s="2000">
        <f>TableUK5b!N228</f>
        <v>8.5899680821019953E-3</v>
      </c>
      <c r="L60" s="2000">
        <f>TableUK5b!O228</f>
        <v>0</v>
      </c>
      <c r="M60" s="2007">
        <f>TableUK5b!P228</f>
        <v>1.7633906758350415E-2</v>
      </c>
      <c r="N60" s="465">
        <f>TableUK5b!Q228</f>
        <v>1.948149678668476E-2</v>
      </c>
      <c r="O60" s="464">
        <f>TableUK5b!S228</f>
        <v>4.3194292441081361E-2</v>
      </c>
      <c r="P60" s="467">
        <f>TableUK5b!T228</f>
        <v>9.4144736037007348E-3</v>
      </c>
      <c r="Q60" s="660">
        <f>TableUK5b!U228</f>
        <v>9.9731314006661353E-3</v>
      </c>
      <c r="T60" s="1586">
        <f>(1+C60)-(1+F60)*(1+H60)*(1+G60)</f>
        <v>0</v>
      </c>
      <c r="U60" s="1586">
        <f>(1+I60)-(1+K60)*(1+M60)*(1+L60)</f>
        <v>0</v>
      </c>
      <c r="V60" s="1586">
        <f>(1+N60)-(1+P60)*(1+Q60)</f>
        <v>0</v>
      </c>
    </row>
    <row r="61" spans="1:22" ht="15">
      <c r="A61" s="480"/>
      <c r="B61" s="471"/>
      <c r="C61" s="472"/>
      <c r="D61" s="471"/>
      <c r="E61" s="471"/>
      <c r="F61" s="510">
        <f>F60/($F60+$H60+$G60)</f>
        <v>0.32311626738785071</v>
      </c>
      <c r="G61" s="510">
        <f>G60/($F60+$H60+$G60)</f>
        <v>0</v>
      </c>
      <c r="H61" s="510">
        <f>H60/($F60+$H60+$G60)</f>
        <v>0.67688373261214929</v>
      </c>
      <c r="I61" s="1992"/>
      <c r="J61" s="508"/>
      <c r="K61" s="510">
        <f>K60/($K60+$L60+$M60)</f>
        <v>0.32756288437021086</v>
      </c>
      <c r="L61" s="2120">
        <f>L60/($K60+$L60+$M60)</f>
        <v>0</v>
      </c>
      <c r="M61" s="2012">
        <f>M60/($K60+$L60+$M60)</f>
        <v>0.67243711562978914</v>
      </c>
      <c r="N61" s="1592"/>
      <c r="O61" s="508"/>
      <c r="P61" s="510">
        <f>P60/(P60+Q60)</f>
        <v>0.48559239790475489</v>
      </c>
      <c r="Q61" s="661">
        <f>Q60/(P60+Q60)</f>
        <v>0.51440760209524505</v>
      </c>
    </row>
    <row r="62" spans="1:22" ht="4.75" customHeight="1">
      <c r="A62" s="407"/>
      <c r="B62" s="471"/>
      <c r="C62" s="472"/>
      <c r="D62" s="471"/>
      <c r="E62" s="471"/>
      <c r="F62" s="472"/>
      <c r="G62" s="472"/>
      <c r="H62" s="472"/>
      <c r="I62" s="1996"/>
      <c r="J62" s="471"/>
      <c r="K62" s="2004"/>
      <c r="L62" s="2004"/>
      <c r="M62" s="2010"/>
      <c r="N62" s="473"/>
      <c r="O62" s="471"/>
      <c r="P62" s="472"/>
      <c r="Q62" s="613"/>
    </row>
    <row r="63" spans="1:22" ht="15">
      <c r="A63" s="485" t="s">
        <v>378</v>
      </c>
      <c r="B63" s="504">
        <f>TableUK5b!D231</f>
        <v>2.4303164830828727E-2</v>
      </c>
      <c r="C63" s="506">
        <f>TableUK5b!E231</f>
        <v>4.8624541719136438E-2</v>
      </c>
      <c r="D63" s="504">
        <f>TableUK5b!G231</f>
        <v>8.5686852158308374E-2</v>
      </c>
      <c r="E63" s="504">
        <f>TableUK5b!V231</f>
        <v>0</v>
      </c>
      <c r="F63" s="506">
        <f>TableUK5b!H231</f>
        <v>3.7630000798672736E-2</v>
      </c>
      <c r="G63" s="506">
        <f>TableUK5b!I231</f>
        <v>0</v>
      </c>
      <c r="H63" s="506">
        <f>TableUK5b!J231</f>
        <v>1.0595820197952355E-2</v>
      </c>
      <c r="I63" s="1997">
        <f>TableUK5b!K231</f>
        <v>4.5728545261046749E-2</v>
      </c>
      <c r="J63" s="504"/>
      <c r="K63" s="2005">
        <f>TableUK5b!N231</f>
        <v>3.2794392240141912E-2</v>
      </c>
      <c r="L63" s="2005">
        <f>TableUK5b!O231</f>
        <v>0</v>
      </c>
      <c r="M63" s="2011">
        <f>TableUK5b!P231</f>
        <v>1.252345395955401E-2</v>
      </c>
      <c r="N63" s="505"/>
      <c r="O63" s="504"/>
      <c r="P63" s="506"/>
      <c r="Q63" s="662"/>
      <c r="T63" s="1586">
        <f>(1+C63)-(1+F63)*(1+H63)*(1+G63)</f>
        <v>0</v>
      </c>
      <c r="U63" s="1586">
        <f>(1+I63)-(1+K63)*(1+M63)*(1+L63)</f>
        <v>0</v>
      </c>
      <c r="V63" s="1586"/>
    </row>
    <row r="64" spans="1:22" ht="15">
      <c r="A64" s="492"/>
      <c r="B64" s="508"/>
      <c r="C64" s="1587"/>
      <c r="D64" s="508"/>
      <c r="E64" s="508"/>
      <c r="F64" s="510">
        <f>F63/($F63+$H63+$G63)</f>
        <v>0.78028740664272223</v>
      </c>
      <c r="G64" s="510">
        <f>G63/($F63+$H63+$G63)</f>
        <v>0</v>
      </c>
      <c r="H64" s="510">
        <f>H63/($F63+$H63+$G63)</f>
        <v>0.21971259335727772</v>
      </c>
      <c r="I64" s="1992"/>
      <c r="J64" s="508"/>
      <c r="K64" s="510">
        <f>K63/($K63+$L63+$M63)</f>
        <v>0.72365293124548269</v>
      </c>
      <c r="L64" s="2120">
        <f>L63/($K63+$L63+$M63)</f>
        <v>0</v>
      </c>
      <c r="M64" s="2012">
        <f>M63/($K63+$L63+$M63)</f>
        <v>0.27634706875451731</v>
      </c>
      <c r="N64" s="1592"/>
      <c r="O64" s="508"/>
      <c r="P64" s="510"/>
      <c r="Q64" s="661"/>
    </row>
    <row r="65" spans="1:22" ht="4.75" customHeight="1">
      <c r="A65" s="448"/>
      <c r="B65" s="471"/>
      <c r="C65" s="472"/>
      <c r="D65" s="471"/>
      <c r="E65" s="471"/>
      <c r="F65" s="472"/>
      <c r="G65" s="472"/>
      <c r="H65" s="472"/>
      <c r="I65" s="1996"/>
      <c r="J65" s="471"/>
      <c r="K65" s="2004"/>
      <c r="L65" s="2004"/>
      <c r="M65" s="2010"/>
      <c r="N65" s="473"/>
      <c r="O65" s="471"/>
      <c r="P65" s="472"/>
      <c r="Q65" s="613"/>
    </row>
    <row r="66" spans="1:22" ht="15">
      <c r="A66" s="485" t="s">
        <v>379</v>
      </c>
      <c r="B66" s="504">
        <f>TableUK5b!D234</f>
        <v>2.7413183530171192E-2</v>
      </c>
      <c r="C66" s="506">
        <f>TableUK5b!E234</f>
        <v>4.5891728145125654E-2</v>
      </c>
      <c r="D66" s="504">
        <f>TableUK5b!G234</f>
        <v>0.11368286365197437</v>
      </c>
      <c r="E66" s="504">
        <f>TableUK5b!V234</f>
        <v>0</v>
      </c>
      <c r="F66" s="506">
        <f>TableUK5b!H234</f>
        <v>3.9108365275841495E-2</v>
      </c>
      <c r="G66" s="506">
        <f>TableUK5b!I234</f>
        <v>0</v>
      </c>
      <c r="H66" s="506">
        <f>TableUK5b!J234</f>
        <v>6.5280610723248422E-3</v>
      </c>
      <c r="I66" s="1997">
        <f>TableUK5b!K234</f>
        <v>4.8994811243591396E-2</v>
      </c>
      <c r="J66" s="504"/>
      <c r="K66" s="2005">
        <f>TableUK5b!N234</f>
        <v>3.4384714855657084E-2</v>
      </c>
      <c r="L66" s="2005">
        <f>TableUK5b!O234</f>
        <v>0</v>
      </c>
      <c r="M66" s="2011">
        <f>TableUK5b!P234</f>
        <v>1.4124431827062578E-2</v>
      </c>
      <c r="N66" s="505"/>
      <c r="O66" s="504"/>
      <c r="P66" s="506"/>
      <c r="Q66" s="662"/>
      <c r="T66" s="1586">
        <f>(1+C66)-(1+F66)*(1+H66)*(1+G66)</f>
        <v>0</v>
      </c>
      <c r="U66" s="1586">
        <f>(1+I66)-(1+K66)*(1+M66)*(1+L66)</f>
        <v>0</v>
      </c>
      <c r="V66" s="1586"/>
    </row>
    <row r="67" spans="1:22" ht="15">
      <c r="A67" s="492"/>
      <c r="B67" s="508"/>
      <c r="C67" s="1587"/>
      <c r="D67" s="508"/>
      <c r="E67" s="508"/>
      <c r="F67" s="510">
        <f>F66/($F66+$H66+$G66)</f>
        <v>0.85695503362771219</v>
      </c>
      <c r="G67" s="510">
        <f>G66/($F66+$H66+$G66)</f>
        <v>0</v>
      </c>
      <c r="H67" s="510">
        <f>H66/($F66+$H66+$G66)</f>
        <v>0.14304496637228778</v>
      </c>
      <c r="I67" s="1992"/>
      <c r="J67" s="508"/>
      <c r="K67" s="510">
        <f>K66/($K66+$L66+$M66)</f>
        <v>0.70882951375242187</v>
      </c>
      <c r="L67" s="2120">
        <f>L66/($K66+$L66+$M66)</f>
        <v>0</v>
      </c>
      <c r="M67" s="2012">
        <f>M66/($K66+$L66+$M66)</f>
        <v>0.29117048624757819</v>
      </c>
      <c r="N67" s="1592"/>
      <c r="O67" s="508"/>
      <c r="P67" s="510"/>
      <c r="Q67" s="661"/>
    </row>
    <row r="68" spans="1:22" ht="4.75" customHeight="1">
      <c r="A68" s="448"/>
      <c r="B68" s="494"/>
      <c r="C68" s="472"/>
      <c r="D68" s="471"/>
      <c r="E68" s="471"/>
      <c r="F68" s="472"/>
      <c r="G68" s="472"/>
      <c r="H68" s="472"/>
      <c r="I68" s="1996"/>
      <c r="J68" s="471"/>
      <c r="K68" s="2004"/>
      <c r="L68" s="2004"/>
      <c r="M68" s="2010"/>
      <c r="N68" s="473"/>
      <c r="O68" s="471"/>
      <c r="P68" s="472"/>
      <c r="Q68" s="613"/>
    </row>
    <row r="69" spans="1:22" ht="15">
      <c r="A69" s="485" t="s">
        <v>380</v>
      </c>
      <c r="B69" s="504">
        <f>TableUK5b!D237</f>
        <v>1.1525144407265264E-2</v>
      </c>
      <c r="C69" s="506">
        <f>TableUK5b!E237</f>
        <v>2.1197806395377272E-2</v>
      </c>
      <c r="D69" s="504">
        <f>TableUK5b!G237</f>
        <v>9.3104200065149842E-2</v>
      </c>
      <c r="E69" s="504">
        <f>TableUK5b!V237</f>
        <v>0</v>
      </c>
      <c r="F69" s="506">
        <f>TableUK5b!H237</f>
        <v>2.7774493646747E-2</v>
      </c>
      <c r="G69" s="506">
        <f>TableUK5b!I237</f>
        <v>0</v>
      </c>
      <c r="H69" s="506">
        <f>TableUK5b!J237</f>
        <v>-6.3989593943262202E-3</v>
      </c>
      <c r="I69" s="1998">
        <f>TableUK5b!K237</f>
        <v>2.4832937668981314E-2</v>
      </c>
      <c r="J69" s="504">
        <f>TableUK5b!M237</f>
        <v>9.3104200065149842E-2</v>
      </c>
      <c r="K69" s="2005">
        <f>TableUK5b!N237</f>
        <v>2.3412870591152046E-2</v>
      </c>
      <c r="L69" s="2005">
        <f>TableUK5b!O237</f>
        <v>0</v>
      </c>
      <c r="M69" s="2011">
        <f>TableUK5b!P237</f>
        <v>1.3875798503579784E-3</v>
      </c>
      <c r="N69" s="488">
        <f>TableUK5b!Q237</f>
        <v>3.7996145090966493E-2</v>
      </c>
      <c r="O69" s="504">
        <f>TableUK5b!S237</f>
        <v>9.3104200065149842E-2</v>
      </c>
      <c r="P69" s="506">
        <f>TableUK5b!T237</f>
        <v>1.8005354160834042E-2</v>
      </c>
      <c r="Q69" s="662">
        <f>TableUK5b!U237</f>
        <v>1.9637215903065108E-2</v>
      </c>
      <c r="T69" s="1586">
        <f>(1+C69)-(1+F69)*(1+H69)*(1+G69)</f>
        <v>0</v>
      </c>
      <c r="U69" s="1586">
        <f>(1+I69)-(1+K69)*(1+M69)*(1+L69)</f>
        <v>0</v>
      </c>
      <c r="V69" s="1586">
        <f>(1+N69)-(1+P69)*(1+Q69)</f>
        <v>0</v>
      </c>
    </row>
    <row r="70" spans="1:22" ht="15">
      <c r="A70" s="492"/>
      <c r="B70" s="508"/>
      <c r="C70" s="1587"/>
      <c r="D70" s="508"/>
      <c r="E70" s="508"/>
      <c r="F70" s="510">
        <f>F69/($F69+$H69+$G69)</f>
        <v>1.2993590391127434</v>
      </c>
      <c r="G70" s="510">
        <f>G69/($F69+$H69+$G69)</f>
        <v>0</v>
      </c>
      <c r="H70" s="510">
        <f>H69/($F69+$H69+$G69)</f>
        <v>-0.29935903911274347</v>
      </c>
      <c r="I70" s="1992"/>
      <c r="J70" s="508"/>
      <c r="K70" s="510">
        <f>K69/($K69+$L69+$M69)</f>
        <v>0.94405021579626225</v>
      </c>
      <c r="L70" s="2120">
        <f>L69/($K69+$L69+$M69)</f>
        <v>0</v>
      </c>
      <c r="M70" s="2012">
        <f>M69/($K69+$L69+$M69)</f>
        <v>5.5949784203737744E-2</v>
      </c>
      <c r="N70" s="1592"/>
      <c r="O70" s="508"/>
      <c r="P70" s="510">
        <f>P69/(P69+Q69)</f>
        <v>0.47832425177849253</v>
      </c>
      <c r="Q70" s="661">
        <f>Q69/(P69+Q69)</f>
        <v>0.52167574822150753</v>
      </c>
    </row>
    <row r="71" spans="1:22" ht="4.75" customHeight="1">
      <c r="A71" s="448"/>
      <c r="B71" s="471"/>
      <c r="C71" s="472"/>
      <c r="D71" s="471"/>
      <c r="E71" s="471"/>
      <c r="F71" s="472"/>
      <c r="G71" s="472"/>
      <c r="H71" s="472"/>
      <c r="I71" s="1996"/>
      <c r="J71" s="471"/>
      <c r="K71" s="2004"/>
      <c r="L71" s="2004"/>
      <c r="M71" s="2010"/>
      <c r="N71" s="473"/>
      <c r="O71" s="471"/>
      <c r="P71" s="472"/>
      <c r="Q71" s="613"/>
    </row>
    <row r="72" spans="1:22" ht="15">
      <c r="A72" s="485" t="s">
        <v>381</v>
      </c>
      <c r="B72" s="504">
        <f>TableUK5b!D240</f>
        <v>2.8047139727156445E-2</v>
      </c>
      <c r="C72" s="506">
        <f>TableUK5b!E240</f>
        <v>6.5465573784897702E-2</v>
      </c>
      <c r="D72" s="504">
        <f>TableUK5b!G240</f>
        <v>5.0479517540738067E-2</v>
      </c>
      <c r="E72" s="504">
        <f>TableUK5b!V240</f>
        <v>0</v>
      </c>
      <c r="F72" s="506">
        <f>TableUK5b!H240</f>
        <v>1.3020261997954474E-2</v>
      </c>
      <c r="G72" s="506">
        <f>TableUK5b!I240</f>
        <v>0</v>
      </c>
      <c r="H72" s="506">
        <f>TableUK5b!J240</f>
        <v>5.1771236720879354E-2</v>
      </c>
      <c r="I72" s="1998">
        <f>TableUK5b!K240</f>
        <v>4.8346899579613911E-2</v>
      </c>
      <c r="J72" s="504">
        <f>TableUK5b!M240</f>
        <v>5.0479517540738067E-2</v>
      </c>
      <c r="K72" s="2005">
        <f>TableUK5b!N240</f>
        <v>1.1353357544680698E-2</v>
      </c>
      <c r="L72" s="2005">
        <f>TableUK5b!O240</f>
        <v>0</v>
      </c>
      <c r="M72" s="2011">
        <f>TableUK5b!P240</f>
        <v>3.6578256016022603E-2</v>
      </c>
      <c r="N72" s="488">
        <f>TableUK5b!Q240</f>
        <v>2.0682920305947983E-2</v>
      </c>
      <c r="O72" s="504">
        <f>TableUK5b!S240</f>
        <v>5.0479517540738067E-2</v>
      </c>
      <c r="P72" s="506">
        <f>TableUK5b!T240</f>
        <v>8.820928543741946E-3</v>
      </c>
      <c r="Q72" s="662">
        <f>TableUK5b!U240</f>
        <v>1.1758272877356868E-2</v>
      </c>
      <c r="T72" s="1586">
        <f>(1+C72)-(1+F72)*(1+H72)*(1+G72)</f>
        <v>0</v>
      </c>
      <c r="U72" s="1586">
        <f>(1+I72)-(1+K72)*(1+M72)*(1+L72)</f>
        <v>0</v>
      </c>
      <c r="V72" s="1586">
        <f>(1+N72)-(1+P72)*(1+Q72)</f>
        <v>0</v>
      </c>
    </row>
    <row r="73" spans="1:22" ht="15">
      <c r="A73" s="492"/>
      <c r="B73" s="508"/>
      <c r="C73" s="1587"/>
      <c r="D73" s="508"/>
      <c r="E73" s="508"/>
      <c r="F73" s="510">
        <f>F72/($F72+$H72+$G72)</f>
        <v>0.20095633309018823</v>
      </c>
      <c r="G73" s="510">
        <f>G72/($F72+$H72+$G72)</f>
        <v>0</v>
      </c>
      <c r="H73" s="510">
        <f>H72/($F72+$H72+$G72)</f>
        <v>0.79904366690981177</v>
      </c>
      <c r="I73" s="1992"/>
      <c r="J73" s="508"/>
      <c r="K73" s="510">
        <f>K72/($K72+$L72+$M72)</f>
        <v>0.23686574895506418</v>
      </c>
      <c r="L73" s="2120">
        <f>L72/($K72+$L72+$M72)</f>
        <v>0</v>
      </c>
      <c r="M73" s="2012">
        <f>M72/($K72+$L72+$M72)</f>
        <v>0.76313425104493582</v>
      </c>
      <c r="N73" s="1592"/>
      <c r="O73" s="508"/>
      <c r="P73" s="510">
        <f>P72/(P72+Q72)</f>
        <v>0.42863317984235744</v>
      </c>
      <c r="Q73" s="661">
        <f>Q72/(P72+Q72)</f>
        <v>0.57136682015764251</v>
      </c>
    </row>
    <row r="74" spans="1:22" ht="4.75" customHeight="1">
      <c r="A74" s="448"/>
      <c r="B74" s="471"/>
      <c r="C74" s="472"/>
      <c r="D74" s="471"/>
      <c r="E74" s="471"/>
      <c r="F74" s="472"/>
      <c r="G74" s="472"/>
      <c r="H74" s="472"/>
      <c r="I74" s="1996"/>
      <c r="J74" s="471"/>
      <c r="K74" s="2004"/>
      <c r="L74" s="2004"/>
      <c r="M74" s="2010"/>
      <c r="N74" s="473"/>
      <c r="O74" s="471"/>
      <c r="P74" s="472"/>
      <c r="Q74" s="613"/>
    </row>
    <row r="75" spans="1:22" ht="15">
      <c r="A75" s="485" t="s">
        <v>382</v>
      </c>
      <c r="B75" s="504">
        <f>TableUK5b!D243</f>
        <v>3.0129326338009133E-2</v>
      </c>
      <c r="C75" s="506">
        <f>TableUK5b!E243</f>
        <v>3.7752411437645073E-2</v>
      </c>
      <c r="D75" s="504">
        <f>TableUK5b!G243</f>
        <v>4.2980666668228813E-2</v>
      </c>
      <c r="E75" s="504">
        <f>TableUK5b!V243</f>
        <v>0</v>
      </c>
      <c r="F75" s="506">
        <f>TableUK5b!H243</f>
        <v>9.0424163946130065E-3</v>
      </c>
      <c r="G75" s="506">
        <f>TableUK5b!I243</f>
        <v>0</v>
      </c>
      <c r="H75" s="506">
        <f>TableUK5b!J243</f>
        <v>2.8452713757678216E-2</v>
      </c>
      <c r="I75" s="1998">
        <f>TableUK5b!K243</f>
        <v>3.6512228851948381E-2</v>
      </c>
      <c r="J75" s="504">
        <f>TableUK5b!M243</f>
        <v>4.2980666668228813E-2</v>
      </c>
      <c r="K75" s="2005">
        <f>TableUK5b!N243</f>
        <v>8.9199314401540164E-3</v>
      </c>
      <c r="L75" s="2005">
        <f>TableUK5b!O243</f>
        <v>0</v>
      </c>
      <c r="M75" s="2011">
        <f>TableUK5b!P243</f>
        <v>2.7348351987068531E-2</v>
      </c>
      <c r="N75" s="488">
        <f>TableUK5b!Q243</f>
        <v>7.103134394207844E-3</v>
      </c>
      <c r="O75" s="504">
        <f>TableUK5b!S243</f>
        <v>4.2980666668228813E-2</v>
      </c>
      <c r="P75" s="506">
        <f>TableUK5b!T243</f>
        <v>9.6368008997711474E-3</v>
      </c>
      <c r="Q75" s="662">
        <f>TableUK5b!U243</f>
        <v>-2.5094831164091946E-3</v>
      </c>
      <c r="T75" s="1586">
        <f>(1+C75)-(1+F75)*(1+H75)*(1+G75)</f>
        <v>0</v>
      </c>
      <c r="U75" s="1586">
        <f>(1+I75)-(1+K75)*(1+M75)*(1+L75)</f>
        <v>0</v>
      </c>
      <c r="V75" s="1586">
        <f>(1+N75)-(1+P75)*(1+Q75)</f>
        <v>0</v>
      </c>
    </row>
    <row r="76" spans="1:22" ht="15">
      <c r="A76" s="492"/>
      <c r="B76" s="508"/>
      <c r="C76" s="1587"/>
      <c r="D76" s="508"/>
      <c r="E76" s="508"/>
      <c r="F76" s="510">
        <f>F75/($F75+$H75+$G75)</f>
        <v>0.24116242183681152</v>
      </c>
      <c r="G76" s="510">
        <f>G75/($F75+$H75+$G75)</f>
        <v>0</v>
      </c>
      <c r="H76" s="510">
        <f>H75/($F75+$H75+$G75)</f>
        <v>0.75883757816318853</v>
      </c>
      <c r="I76" s="1992"/>
      <c r="J76" s="508"/>
      <c r="K76" s="510">
        <f>K75/($K75+$L75+$M75)</f>
        <v>0.24594302782631342</v>
      </c>
      <c r="L76" s="2120">
        <f>L75/($K75+$L75+$M75)</f>
        <v>0</v>
      </c>
      <c r="M76" s="2012">
        <f>M75/($K75+$L75+$M75)</f>
        <v>0.75405697217368661</v>
      </c>
      <c r="N76" s="1592"/>
      <c r="O76" s="508"/>
      <c r="P76" s="510">
        <f>P75/(P75+Q75)</f>
        <v>1.3520936196036248</v>
      </c>
      <c r="Q76" s="661">
        <f>Q75/(P75+Q75)</f>
        <v>-0.35209361960362495</v>
      </c>
    </row>
    <row r="77" spans="1:22" ht="4.75" customHeight="1">
      <c r="A77" s="448"/>
      <c r="B77" s="494"/>
      <c r="C77" s="472"/>
      <c r="D77" s="471"/>
      <c r="E77" s="471"/>
      <c r="F77" s="472"/>
      <c r="G77" s="472"/>
      <c r="H77" s="472"/>
      <c r="I77" s="1996"/>
      <c r="J77" s="471"/>
      <c r="K77" s="2004"/>
      <c r="L77" s="2004"/>
      <c r="M77" s="2010"/>
      <c r="N77" s="473"/>
      <c r="O77" s="471"/>
      <c r="P77" s="472"/>
      <c r="Q77" s="613"/>
    </row>
    <row r="78" spans="1:22" ht="15">
      <c r="A78" s="485" t="s">
        <v>383</v>
      </c>
      <c r="B78" s="486">
        <f>TableUK5b!D246</f>
        <v>1.8289579973906456E-2</v>
      </c>
      <c r="C78" s="487">
        <f>TableUK5b!E246</f>
        <v>1.6482707905866922E-2</v>
      </c>
      <c r="D78" s="486">
        <f>TableUK5b!G246</f>
        <v>4.3347671103888534E-2</v>
      </c>
      <c r="E78" s="486">
        <f>TableUK5b!V246</f>
        <v>0</v>
      </c>
      <c r="F78" s="487">
        <f>TableUK5b!H246</f>
        <v>8.3440671029684221E-3</v>
      </c>
      <c r="G78" s="487">
        <f>TableUK5b!I246</f>
        <v>0</v>
      </c>
      <c r="H78" s="487">
        <f>TableUK5b!J246</f>
        <v>8.0712933892508332E-3</v>
      </c>
      <c r="I78" s="1998">
        <f>TableUK5b!K246</f>
        <v>1.6337606844569974E-2</v>
      </c>
      <c r="J78" s="504">
        <f>TableUK5b!M246</f>
        <v>4.3347671103888534E-2</v>
      </c>
      <c r="K78" s="2005">
        <f>TableUK5b!N246</f>
        <v>8.2601126372889855E-3</v>
      </c>
      <c r="L78" s="2005">
        <f>TableUK5b!O246</f>
        <v>0</v>
      </c>
      <c r="M78" s="2011">
        <f>TableUK5b!P246</f>
        <v>8.0113198033320288E-3</v>
      </c>
      <c r="N78" s="488">
        <f>TableUK5b!Q246</f>
        <v>3.2012002341353041E-2</v>
      </c>
      <c r="O78" s="486">
        <f>TableUK5b!S246</f>
        <v>4.3347671103888534E-2</v>
      </c>
      <c r="P78" s="487">
        <f>TableUK5b!T246</f>
        <v>9.1921952652620487E-3</v>
      </c>
      <c r="Q78" s="663">
        <f>TableUK5b!U246</f>
        <v>2.2611953583423272E-2</v>
      </c>
      <c r="T78" s="1586">
        <f>(1+C78)-(1+F78)*(1+H78)*(1+G78)</f>
        <v>0</v>
      </c>
      <c r="U78" s="1586">
        <f>(1+I78)-(1+K78)*(1+M78)*(1+L78)</f>
        <v>0</v>
      </c>
      <c r="V78" s="1586">
        <f>(1+N78)-(1+P78)*(1+Q78)</f>
        <v>0</v>
      </c>
    </row>
    <row r="79" spans="1:22" ht="16" thickBot="1">
      <c r="A79" s="496"/>
      <c r="B79" s="497"/>
      <c r="C79" s="497"/>
      <c r="D79" s="1591"/>
      <c r="E79" s="1591"/>
      <c r="F79" s="499">
        <f>F78/($F78+$H78+$G78)</f>
        <v>0.50830848990026389</v>
      </c>
      <c r="G79" s="499">
        <f>G78/($F78+$H78+$G78)</f>
        <v>0</v>
      </c>
      <c r="H79" s="499">
        <f>H78/($F78+$H78+$G78)</f>
        <v>0.49169151009973611</v>
      </c>
      <c r="I79" s="1999"/>
      <c r="J79" s="1595"/>
      <c r="K79" s="2013">
        <f>K78/($K78+$L78+$M78)</f>
        <v>0.50764508087609594</v>
      </c>
      <c r="L79" s="2013">
        <f>L78/($K78+$L78+$M78)</f>
        <v>0</v>
      </c>
      <c r="M79" s="2014">
        <f>M78/($K78+$L78+$M78)</f>
        <v>0.49235491912390411</v>
      </c>
      <c r="N79" s="1593"/>
      <c r="O79" s="1595"/>
      <c r="P79" s="499">
        <f>P78/(P78+Q78)</f>
        <v>0.28902503597866364</v>
      </c>
      <c r="Q79" s="664">
        <f>Q78/(P78+Q78)</f>
        <v>0.71097496402133631</v>
      </c>
    </row>
    <row r="80" spans="1:22" ht="13" thickTop="1">
      <c r="B80" s="503"/>
      <c r="C80" s="503"/>
      <c r="D80" s="503"/>
      <c r="E80" s="503"/>
      <c r="F80" s="503"/>
      <c r="G80" s="503"/>
      <c r="H80" s="503"/>
      <c r="I80" s="503"/>
      <c r="J80" s="503"/>
      <c r="K80" s="503"/>
      <c r="L80" s="503"/>
      <c r="M80" s="503"/>
      <c r="N80" s="503"/>
      <c r="O80" s="503"/>
      <c r="P80" s="503"/>
      <c r="Q80" s="503"/>
    </row>
    <row r="81" spans="2:21">
      <c r="B81" s="503"/>
      <c r="C81" s="503"/>
      <c r="D81" s="503"/>
      <c r="E81" s="503"/>
      <c r="F81" s="503"/>
      <c r="G81" s="503"/>
      <c r="H81" s="503"/>
      <c r="I81" s="503"/>
      <c r="J81" s="503"/>
      <c r="K81" s="503"/>
      <c r="L81" s="503"/>
      <c r="M81" s="503"/>
      <c r="N81" s="503"/>
      <c r="O81" s="503"/>
      <c r="P81" s="503"/>
      <c r="Q81" s="503"/>
      <c r="T81" s="1586"/>
      <c r="U81" s="1586"/>
    </row>
    <row r="82" spans="2:21">
      <c r="B82" s="503"/>
      <c r="C82" s="503"/>
      <c r="D82" s="503"/>
      <c r="E82" s="503"/>
      <c r="F82" s="503"/>
      <c r="G82" s="503"/>
      <c r="H82" s="503"/>
      <c r="I82" s="503"/>
      <c r="J82" s="503"/>
      <c r="K82" s="503"/>
      <c r="L82" s="503"/>
      <c r="M82" s="503"/>
      <c r="N82" s="503"/>
      <c r="O82" s="503"/>
      <c r="P82" s="503"/>
      <c r="Q82" s="503"/>
    </row>
    <row r="83" spans="2:21">
      <c r="B83" s="503"/>
      <c r="C83" s="503"/>
      <c r="D83" s="503"/>
      <c r="E83" s="503"/>
      <c r="F83" s="503"/>
      <c r="G83" s="503"/>
      <c r="H83" s="503"/>
      <c r="I83" s="503"/>
      <c r="J83" s="503"/>
      <c r="K83" s="503"/>
      <c r="L83" s="503"/>
      <c r="M83" s="503"/>
      <c r="N83" s="503"/>
      <c r="O83" s="503"/>
      <c r="P83" s="503"/>
      <c r="Q83" s="503"/>
    </row>
    <row r="84" spans="2:21">
      <c r="B84" s="503"/>
      <c r="C84" s="503"/>
      <c r="D84" s="503"/>
      <c r="E84" s="503"/>
      <c r="F84" s="503"/>
      <c r="G84" s="503"/>
      <c r="H84" s="503"/>
      <c r="I84" s="503"/>
      <c r="J84" s="503"/>
      <c r="K84" s="503"/>
      <c r="L84" s="503"/>
      <c r="M84" s="503"/>
      <c r="N84" s="503"/>
      <c r="O84" s="503"/>
      <c r="P84" s="503"/>
      <c r="Q84" s="503"/>
    </row>
    <row r="85" spans="2:21">
      <c r="B85" s="503"/>
      <c r="C85" s="503"/>
      <c r="D85" s="503"/>
      <c r="E85" s="503"/>
      <c r="F85" s="503"/>
      <c r="G85" s="503"/>
      <c r="H85" s="503"/>
      <c r="I85" s="503"/>
      <c r="J85" s="503"/>
      <c r="K85" s="503"/>
      <c r="L85" s="503"/>
      <c r="M85" s="503"/>
      <c r="N85" s="503"/>
      <c r="O85" s="503"/>
      <c r="P85" s="503"/>
      <c r="Q85" s="503"/>
    </row>
    <row r="86" spans="2:21">
      <c r="B86" s="503"/>
      <c r="C86" s="503"/>
      <c r="D86" s="503"/>
      <c r="E86" s="503"/>
      <c r="F86" s="503"/>
      <c r="G86" s="503"/>
      <c r="H86" s="503"/>
      <c r="I86" s="503"/>
      <c r="J86" s="503"/>
      <c r="K86" s="503"/>
      <c r="L86" s="503"/>
      <c r="M86" s="503"/>
      <c r="N86" s="503"/>
      <c r="O86" s="503"/>
      <c r="P86" s="503"/>
      <c r="Q86" s="503"/>
    </row>
    <row r="87" spans="2:21">
      <c r="B87" s="503"/>
      <c r="C87" s="503"/>
      <c r="D87" s="503"/>
      <c r="E87" s="503"/>
      <c r="F87" s="503"/>
      <c r="G87" s="503"/>
      <c r="H87" s="503"/>
      <c r="I87" s="503"/>
      <c r="J87" s="503"/>
      <c r="K87" s="503"/>
      <c r="L87" s="503"/>
      <c r="M87" s="503"/>
      <c r="N87" s="503"/>
      <c r="O87" s="503"/>
      <c r="P87" s="503"/>
      <c r="Q87" s="503"/>
    </row>
    <row r="88" spans="2:21">
      <c r="B88" s="503"/>
      <c r="C88" s="503"/>
      <c r="D88" s="503"/>
      <c r="E88" s="503"/>
      <c r="F88" s="503"/>
      <c r="G88" s="503"/>
      <c r="H88" s="503"/>
      <c r="I88" s="503"/>
      <c r="J88" s="503"/>
      <c r="K88" s="503"/>
      <c r="L88" s="503"/>
      <c r="M88" s="503"/>
      <c r="N88" s="503"/>
      <c r="O88" s="503"/>
      <c r="P88" s="503"/>
      <c r="Q88" s="503"/>
    </row>
    <row r="89" spans="2:21">
      <c r="B89" s="503"/>
      <c r="C89" s="503"/>
      <c r="D89" s="503"/>
      <c r="E89" s="503"/>
      <c r="F89" s="503"/>
      <c r="G89" s="503"/>
      <c r="H89" s="503"/>
      <c r="I89" s="503"/>
      <c r="J89" s="503"/>
      <c r="K89" s="503"/>
      <c r="L89" s="503"/>
      <c r="M89" s="503"/>
      <c r="N89" s="503"/>
      <c r="O89" s="503"/>
      <c r="P89" s="503"/>
      <c r="Q89" s="503"/>
    </row>
    <row r="90" spans="2:21">
      <c r="B90" s="503"/>
      <c r="C90" s="503"/>
      <c r="D90" s="503"/>
      <c r="E90" s="503"/>
      <c r="F90" s="503"/>
      <c r="G90" s="503"/>
      <c r="H90" s="503"/>
      <c r="I90" s="503"/>
      <c r="J90" s="503"/>
      <c r="K90" s="503"/>
      <c r="L90" s="503"/>
      <c r="M90" s="503"/>
      <c r="N90" s="503"/>
      <c r="O90" s="503"/>
      <c r="P90" s="503"/>
      <c r="Q90" s="503"/>
    </row>
    <row r="91" spans="2:21">
      <c r="B91" s="503"/>
      <c r="C91" s="503"/>
      <c r="D91" s="503"/>
      <c r="E91" s="503"/>
      <c r="F91" s="503"/>
      <c r="G91" s="503"/>
      <c r="H91" s="503"/>
      <c r="I91" s="503"/>
      <c r="J91" s="503"/>
      <c r="K91" s="503"/>
      <c r="L91" s="503"/>
      <c r="M91" s="503"/>
      <c r="N91" s="503"/>
      <c r="O91" s="503"/>
      <c r="P91" s="503"/>
      <c r="Q91" s="503"/>
    </row>
    <row r="92" spans="2:21">
      <c r="B92" s="503"/>
      <c r="C92" s="503"/>
      <c r="D92" s="503"/>
      <c r="E92" s="503"/>
      <c r="F92" s="503"/>
      <c r="G92" s="503"/>
      <c r="H92" s="503"/>
      <c r="I92" s="503"/>
      <c r="J92" s="503"/>
      <c r="K92" s="503"/>
      <c r="L92" s="503"/>
      <c r="M92" s="503"/>
      <c r="N92" s="503"/>
      <c r="O92" s="503"/>
      <c r="P92" s="503"/>
      <c r="Q92" s="503"/>
    </row>
    <row r="93" spans="2:21">
      <c r="B93" s="503"/>
      <c r="C93" s="503"/>
      <c r="D93" s="503"/>
      <c r="E93" s="503"/>
      <c r="F93" s="503"/>
      <c r="G93" s="503"/>
      <c r="H93" s="503"/>
      <c r="I93" s="503"/>
      <c r="J93" s="503"/>
      <c r="K93" s="503"/>
      <c r="L93" s="503"/>
      <c r="M93" s="503"/>
      <c r="N93" s="503"/>
      <c r="O93" s="503"/>
      <c r="P93" s="503"/>
      <c r="Q93" s="503"/>
    </row>
    <row r="94" spans="2:21">
      <c r="B94" s="503"/>
      <c r="C94" s="503"/>
      <c r="D94" s="503"/>
      <c r="E94" s="503"/>
      <c r="F94" s="503"/>
      <c r="G94" s="503"/>
      <c r="H94" s="503"/>
      <c r="I94" s="503"/>
      <c r="J94" s="503"/>
      <c r="K94" s="503"/>
      <c r="L94" s="503"/>
      <c r="M94" s="503"/>
      <c r="N94" s="503"/>
      <c r="O94" s="503"/>
      <c r="P94" s="503"/>
      <c r="Q94" s="503"/>
    </row>
    <row r="95" spans="2:21">
      <c r="B95" s="503"/>
      <c r="C95" s="503"/>
      <c r="D95" s="503"/>
      <c r="E95" s="503"/>
      <c r="F95" s="503"/>
      <c r="G95" s="503"/>
      <c r="H95" s="503"/>
      <c r="I95" s="503"/>
      <c r="J95" s="503"/>
      <c r="K95" s="503"/>
      <c r="L95" s="503"/>
      <c r="M95" s="503"/>
      <c r="N95" s="503"/>
      <c r="O95" s="503"/>
      <c r="P95" s="503"/>
      <c r="Q95" s="503"/>
    </row>
    <row r="96" spans="2:21">
      <c r="B96" s="503"/>
      <c r="C96" s="503"/>
      <c r="D96" s="503"/>
      <c r="E96" s="503"/>
      <c r="F96" s="503"/>
      <c r="G96" s="503"/>
      <c r="H96" s="503"/>
      <c r="I96" s="503"/>
      <c r="J96" s="503"/>
      <c r="K96" s="503"/>
      <c r="L96" s="503"/>
      <c r="M96" s="503"/>
      <c r="N96" s="503"/>
      <c r="O96" s="503"/>
      <c r="P96" s="503"/>
      <c r="Q96" s="503"/>
    </row>
    <row r="97" spans="2:17">
      <c r="B97" s="503"/>
      <c r="C97" s="503"/>
      <c r="D97" s="503"/>
      <c r="E97" s="503"/>
      <c r="F97" s="503"/>
      <c r="G97" s="503"/>
      <c r="H97" s="503"/>
      <c r="I97" s="503"/>
      <c r="J97" s="503"/>
      <c r="K97" s="503"/>
      <c r="L97" s="503"/>
      <c r="M97" s="503"/>
      <c r="N97" s="503"/>
      <c r="O97" s="503"/>
      <c r="P97" s="503"/>
      <c r="Q97" s="503"/>
    </row>
    <row r="98" spans="2:17">
      <c r="B98" s="503"/>
      <c r="C98" s="503"/>
      <c r="D98" s="503"/>
      <c r="E98" s="503"/>
      <c r="F98" s="503"/>
      <c r="G98" s="503"/>
      <c r="H98" s="503"/>
      <c r="I98" s="503"/>
      <c r="J98" s="503"/>
      <c r="K98" s="503"/>
      <c r="L98" s="503"/>
      <c r="M98" s="503"/>
      <c r="N98" s="503"/>
      <c r="O98" s="503"/>
      <c r="P98" s="503"/>
      <c r="Q98" s="503"/>
    </row>
    <row r="99" spans="2:17">
      <c r="B99" s="503"/>
      <c r="C99" s="503"/>
      <c r="D99" s="503"/>
      <c r="E99" s="503"/>
      <c r="F99" s="503"/>
      <c r="G99" s="503"/>
      <c r="H99" s="503"/>
      <c r="I99" s="503"/>
      <c r="J99" s="503"/>
      <c r="K99" s="503"/>
      <c r="L99" s="503"/>
      <c r="M99" s="503"/>
      <c r="N99" s="503"/>
      <c r="O99" s="503"/>
      <c r="P99" s="503"/>
      <c r="Q99" s="503"/>
    </row>
    <row r="100" spans="2:17">
      <c r="B100" s="503"/>
      <c r="C100" s="503"/>
      <c r="D100" s="503"/>
      <c r="E100" s="503"/>
      <c r="F100" s="503"/>
      <c r="G100" s="503"/>
      <c r="H100" s="503"/>
      <c r="I100" s="503"/>
      <c r="J100" s="503"/>
      <c r="K100" s="503"/>
      <c r="L100" s="503"/>
      <c r="M100" s="503"/>
      <c r="N100" s="503"/>
      <c r="O100" s="503"/>
      <c r="P100" s="503"/>
      <c r="Q100" s="503"/>
    </row>
    <row r="101" spans="2:17">
      <c r="B101" s="503"/>
      <c r="C101" s="503"/>
      <c r="D101" s="503"/>
      <c r="E101" s="503"/>
      <c r="F101" s="503"/>
      <c r="G101" s="503"/>
      <c r="H101" s="503"/>
      <c r="I101" s="503"/>
      <c r="J101" s="503"/>
      <c r="K101" s="503"/>
      <c r="L101" s="503"/>
      <c r="M101" s="503"/>
      <c r="N101" s="503"/>
      <c r="O101" s="503"/>
      <c r="P101" s="503"/>
      <c r="Q101" s="503"/>
    </row>
    <row r="102" spans="2:17">
      <c r="B102" s="503"/>
      <c r="C102" s="503"/>
      <c r="D102" s="503"/>
      <c r="E102" s="503"/>
      <c r="F102" s="503"/>
      <c r="G102" s="503"/>
      <c r="H102" s="503"/>
      <c r="I102" s="503"/>
      <c r="J102" s="503"/>
      <c r="K102" s="503"/>
      <c r="L102" s="503"/>
      <c r="M102" s="503"/>
      <c r="N102" s="503"/>
      <c r="O102" s="503"/>
      <c r="P102" s="503"/>
      <c r="Q102" s="503"/>
    </row>
    <row r="103" spans="2:17">
      <c r="B103" s="503"/>
      <c r="C103" s="503"/>
      <c r="D103" s="503"/>
      <c r="E103" s="503"/>
      <c r="F103" s="503"/>
      <c r="G103" s="503"/>
      <c r="H103" s="503"/>
      <c r="I103" s="503"/>
      <c r="J103" s="503"/>
      <c r="K103" s="503"/>
      <c r="L103" s="503"/>
      <c r="M103" s="503"/>
      <c r="N103" s="503"/>
      <c r="O103" s="503"/>
      <c r="P103" s="503"/>
      <c r="Q103" s="503"/>
    </row>
    <row r="104" spans="2:17">
      <c r="B104" s="503"/>
      <c r="C104" s="503"/>
      <c r="D104" s="503"/>
      <c r="E104" s="503"/>
      <c r="F104" s="503"/>
      <c r="G104" s="503"/>
      <c r="H104" s="503"/>
      <c r="I104" s="503"/>
      <c r="J104" s="503"/>
      <c r="K104" s="503"/>
      <c r="L104" s="503"/>
      <c r="M104" s="503"/>
      <c r="N104" s="503"/>
      <c r="O104" s="503"/>
      <c r="P104" s="503"/>
      <c r="Q104" s="503"/>
    </row>
    <row r="105" spans="2:17">
      <c r="B105" s="503"/>
      <c r="C105" s="503"/>
      <c r="D105" s="503"/>
      <c r="E105" s="503"/>
      <c r="F105" s="503"/>
      <c r="G105" s="503"/>
      <c r="H105" s="503"/>
      <c r="I105" s="503"/>
      <c r="J105" s="503"/>
      <c r="K105" s="503"/>
      <c r="L105" s="503"/>
      <c r="M105" s="503"/>
      <c r="N105" s="503"/>
      <c r="O105" s="503"/>
      <c r="P105" s="503"/>
      <c r="Q105" s="503"/>
    </row>
    <row r="106" spans="2:17">
      <c r="B106" s="503"/>
      <c r="C106" s="503"/>
      <c r="D106" s="503"/>
      <c r="E106" s="503"/>
      <c r="F106" s="503"/>
      <c r="G106" s="503"/>
      <c r="H106" s="503"/>
      <c r="I106" s="503"/>
      <c r="J106" s="503"/>
      <c r="K106" s="503"/>
      <c r="L106" s="503"/>
      <c r="M106" s="503"/>
      <c r="N106" s="503"/>
      <c r="O106" s="503"/>
      <c r="P106" s="503"/>
      <c r="Q106" s="503"/>
    </row>
    <row r="107" spans="2:17">
      <c r="B107" s="503"/>
      <c r="C107" s="503"/>
      <c r="D107" s="503"/>
      <c r="E107" s="503"/>
      <c r="F107" s="503"/>
      <c r="G107" s="503"/>
      <c r="H107" s="503"/>
      <c r="I107" s="503"/>
      <c r="J107" s="503"/>
      <c r="K107" s="503"/>
      <c r="L107" s="503"/>
      <c r="M107" s="503"/>
      <c r="N107" s="503"/>
      <c r="O107" s="503"/>
      <c r="P107" s="503"/>
      <c r="Q107" s="503"/>
    </row>
    <row r="108" spans="2:17">
      <c r="B108" s="503"/>
      <c r="C108" s="503"/>
      <c r="D108" s="503"/>
      <c r="E108" s="503"/>
      <c r="F108" s="503"/>
      <c r="G108" s="503"/>
      <c r="H108" s="503"/>
      <c r="I108" s="503"/>
      <c r="J108" s="503"/>
      <c r="K108" s="503"/>
      <c r="L108" s="503"/>
      <c r="M108" s="503"/>
      <c r="N108" s="503"/>
      <c r="O108" s="503"/>
      <c r="P108" s="503"/>
      <c r="Q108" s="503"/>
    </row>
    <row r="109" spans="2:17">
      <c r="B109" s="503"/>
      <c r="C109" s="503"/>
      <c r="D109" s="503"/>
      <c r="E109" s="503"/>
      <c r="F109" s="503"/>
      <c r="G109" s="503"/>
      <c r="H109" s="503"/>
      <c r="I109" s="503"/>
      <c r="J109" s="503"/>
      <c r="K109" s="503"/>
      <c r="L109" s="503"/>
      <c r="M109" s="503"/>
      <c r="N109" s="503"/>
      <c r="O109" s="503"/>
      <c r="P109" s="503"/>
      <c r="Q109" s="503"/>
    </row>
    <row r="110" spans="2:17">
      <c r="B110" s="503"/>
      <c r="C110" s="503"/>
      <c r="D110" s="503"/>
      <c r="E110" s="503"/>
      <c r="F110" s="503"/>
      <c r="G110" s="503"/>
      <c r="H110" s="503"/>
      <c r="I110" s="503"/>
      <c r="J110" s="503"/>
      <c r="K110" s="503"/>
      <c r="L110" s="503"/>
      <c r="M110" s="503"/>
      <c r="N110" s="503"/>
      <c r="O110" s="503"/>
      <c r="P110" s="503"/>
      <c r="Q110" s="503"/>
    </row>
    <row r="111" spans="2:17">
      <c r="B111" s="503"/>
      <c r="C111" s="503"/>
      <c r="D111" s="503"/>
      <c r="E111" s="503"/>
      <c r="F111" s="503"/>
      <c r="G111" s="503"/>
      <c r="H111" s="503"/>
      <c r="I111" s="503"/>
      <c r="J111" s="503"/>
      <c r="K111" s="503"/>
      <c r="L111" s="503"/>
      <c r="M111" s="503"/>
      <c r="N111" s="503"/>
      <c r="O111" s="503"/>
      <c r="P111" s="503"/>
      <c r="Q111" s="503"/>
    </row>
    <row r="112" spans="2:17">
      <c r="B112" s="503"/>
      <c r="C112" s="503"/>
      <c r="D112" s="503"/>
      <c r="E112" s="503"/>
      <c r="F112" s="503"/>
      <c r="G112" s="503"/>
      <c r="H112" s="503"/>
      <c r="I112" s="503"/>
      <c r="J112" s="503"/>
      <c r="K112" s="503"/>
      <c r="L112" s="503"/>
      <c r="M112" s="503"/>
      <c r="N112" s="503"/>
      <c r="O112" s="503"/>
      <c r="P112" s="503"/>
      <c r="Q112" s="503"/>
    </row>
    <row r="113" spans="2:17">
      <c r="B113" s="503"/>
      <c r="C113" s="503"/>
      <c r="D113" s="503"/>
      <c r="E113" s="503"/>
      <c r="F113" s="503"/>
      <c r="G113" s="503"/>
      <c r="H113" s="503"/>
      <c r="I113" s="503"/>
      <c r="J113" s="503"/>
      <c r="K113" s="503"/>
      <c r="L113" s="503"/>
      <c r="M113" s="503"/>
      <c r="N113" s="503"/>
      <c r="O113" s="503"/>
      <c r="P113" s="503"/>
      <c r="Q113" s="503"/>
    </row>
    <row r="114" spans="2:17">
      <c r="B114" s="503"/>
      <c r="C114" s="503"/>
      <c r="D114" s="503"/>
      <c r="E114" s="503"/>
      <c r="F114" s="503"/>
      <c r="G114" s="503"/>
      <c r="H114" s="503"/>
      <c r="I114" s="503"/>
      <c r="J114" s="503"/>
      <c r="K114" s="503"/>
      <c r="L114" s="503"/>
      <c r="M114" s="503"/>
      <c r="N114" s="503"/>
      <c r="O114" s="503"/>
      <c r="P114" s="503"/>
      <c r="Q114" s="503"/>
    </row>
    <row r="115" spans="2:17">
      <c r="B115" s="503"/>
      <c r="C115" s="503"/>
      <c r="D115" s="503"/>
      <c r="E115" s="503"/>
      <c r="F115" s="503"/>
      <c r="G115" s="503"/>
      <c r="H115" s="503"/>
      <c r="I115" s="503"/>
      <c r="J115" s="503"/>
      <c r="K115" s="503"/>
      <c r="L115" s="503"/>
      <c r="M115" s="503"/>
      <c r="N115" s="503"/>
      <c r="O115" s="503"/>
      <c r="P115" s="503"/>
      <c r="Q115" s="503"/>
    </row>
    <row r="116" spans="2:17">
      <c r="B116" s="503"/>
      <c r="C116" s="503"/>
      <c r="D116" s="503"/>
      <c r="E116" s="503"/>
      <c r="F116" s="503"/>
      <c r="G116" s="503"/>
      <c r="H116" s="503"/>
      <c r="I116" s="503"/>
      <c r="J116" s="503"/>
      <c r="K116" s="503"/>
      <c r="L116" s="503"/>
      <c r="M116" s="503"/>
      <c r="N116" s="503"/>
      <c r="O116" s="503"/>
      <c r="P116" s="503"/>
      <c r="Q116" s="503"/>
    </row>
    <row r="117" spans="2:17">
      <c r="B117" s="503"/>
      <c r="C117" s="503"/>
      <c r="D117" s="503"/>
      <c r="E117" s="503"/>
      <c r="F117" s="503"/>
      <c r="G117" s="503"/>
      <c r="H117" s="503"/>
      <c r="I117" s="503"/>
      <c r="J117" s="503"/>
      <c r="K117" s="503"/>
      <c r="L117" s="503"/>
      <c r="M117" s="503"/>
      <c r="N117" s="503"/>
      <c r="O117" s="503"/>
      <c r="P117" s="503"/>
      <c r="Q117" s="503"/>
    </row>
    <row r="118" spans="2:17">
      <c r="B118" s="503"/>
      <c r="C118" s="503"/>
      <c r="D118" s="503"/>
      <c r="E118" s="503"/>
      <c r="F118" s="503"/>
      <c r="G118" s="503"/>
      <c r="H118" s="503"/>
      <c r="I118" s="503"/>
      <c r="J118" s="503"/>
      <c r="K118" s="503"/>
      <c r="L118" s="503"/>
      <c r="M118" s="503"/>
      <c r="N118" s="503"/>
      <c r="O118" s="503"/>
      <c r="P118" s="503"/>
      <c r="Q118" s="503"/>
    </row>
    <row r="119" spans="2:17">
      <c r="B119" s="503"/>
      <c r="C119" s="503"/>
      <c r="D119" s="503"/>
      <c r="E119" s="503"/>
      <c r="F119" s="503"/>
      <c r="G119" s="503"/>
      <c r="H119" s="503"/>
      <c r="I119" s="503"/>
      <c r="J119" s="503"/>
      <c r="K119" s="503"/>
      <c r="L119" s="503"/>
      <c r="M119" s="503"/>
      <c r="N119" s="503"/>
      <c r="O119" s="503"/>
      <c r="P119" s="503"/>
      <c r="Q119" s="503"/>
    </row>
    <row r="120" spans="2:17">
      <c r="B120" s="503"/>
      <c r="C120" s="503"/>
      <c r="D120" s="503"/>
      <c r="E120" s="503"/>
      <c r="F120" s="503"/>
      <c r="G120" s="503"/>
      <c r="H120" s="503"/>
      <c r="I120" s="503"/>
      <c r="J120" s="503"/>
      <c r="K120" s="503"/>
      <c r="L120" s="503"/>
      <c r="M120" s="503"/>
      <c r="N120" s="503"/>
      <c r="O120" s="503"/>
      <c r="P120" s="503"/>
      <c r="Q120" s="503"/>
    </row>
    <row r="121" spans="2:17">
      <c r="B121" s="503"/>
      <c r="C121" s="503"/>
      <c r="D121" s="503"/>
      <c r="E121" s="503"/>
      <c r="F121" s="503"/>
      <c r="G121" s="503"/>
      <c r="H121" s="503"/>
      <c r="I121" s="503"/>
      <c r="J121" s="503"/>
      <c r="K121" s="503"/>
      <c r="L121" s="503"/>
      <c r="M121" s="503"/>
      <c r="N121" s="503"/>
      <c r="O121" s="503"/>
      <c r="P121" s="503"/>
      <c r="Q121" s="503"/>
    </row>
    <row r="122" spans="2:17">
      <c r="B122" s="503"/>
      <c r="C122" s="503"/>
      <c r="D122" s="503"/>
      <c r="E122" s="503"/>
      <c r="F122" s="503"/>
      <c r="G122" s="503"/>
      <c r="H122" s="503"/>
      <c r="I122" s="503"/>
      <c r="J122" s="503"/>
      <c r="K122" s="503"/>
      <c r="L122" s="503"/>
      <c r="M122" s="503"/>
      <c r="N122" s="503"/>
      <c r="O122" s="503"/>
      <c r="P122" s="503"/>
      <c r="Q122" s="503"/>
    </row>
    <row r="123" spans="2:17">
      <c r="B123" s="503"/>
      <c r="C123" s="503"/>
      <c r="D123" s="503"/>
      <c r="E123" s="503"/>
      <c r="F123" s="503"/>
      <c r="G123" s="503"/>
      <c r="H123" s="503"/>
      <c r="I123" s="503"/>
      <c r="J123" s="503"/>
      <c r="K123" s="503"/>
      <c r="L123" s="503"/>
      <c r="M123" s="503"/>
      <c r="N123" s="503"/>
      <c r="O123" s="503"/>
      <c r="P123" s="503"/>
      <c r="Q123" s="503"/>
    </row>
    <row r="124" spans="2:17">
      <c r="B124" s="503"/>
      <c r="C124" s="503"/>
      <c r="D124" s="503"/>
      <c r="E124" s="503"/>
      <c r="F124" s="503"/>
      <c r="G124" s="503"/>
      <c r="H124" s="503"/>
      <c r="I124" s="503"/>
      <c r="J124" s="503"/>
      <c r="K124" s="503"/>
      <c r="L124" s="503"/>
      <c r="M124" s="503"/>
      <c r="N124" s="503"/>
      <c r="O124" s="503"/>
      <c r="P124" s="503"/>
      <c r="Q124" s="503"/>
    </row>
    <row r="125" spans="2:17">
      <c r="B125" s="503"/>
      <c r="C125" s="503"/>
      <c r="D125" s="503"/>
      <c r="E125" s="503"/>
      <c r="F125" s="503"/>
      <c r="G125" s="503"/>
      <c r="H125" s="503"/>
      <c r="I125" s="503"/>
      <c r="J125" s="503"/>
      <c r="K125" s="503"/>
      <c r="L125" s="503"/>
      <c r="M125" s="503"/>
      <c r="N125" s="503"/>
      <c r="O125" s="503"/>
      <c r="P125" s="503"/>
      <c r="Q125" s="503"/>
    </row>
    <row r="126" spans="2:17">
      <c r="B126" s="503"/>
      <c r="C126" s="503"/>
      <c r="D126" s="503"/>
      <c r="E126" s="503"/>
      <c r="F126" s="503"/>
      <c r="G126" s="503"/>
      <c r="H126" s="503"/>
      <c r="I126" s="503"/>
      <c r="J126" s="503"/>
      <c r="K126" s="503"/>
      <c r="L126" s="503"/>
      <c r="M126" s="503"/>
      <c r="N126" s="503"/>
      <c r="O126" s="503"/>
      <c r="P126" s="503"/>
      <c r="Q126" s="503"/>
    </row>
    <row r="127" spans="2:17">
      <c r="B127" s="503"/>
      <c r="C127" s="503"/>
      <c r="D127" s="503"/>
      <c r="E127" s="503"/>
      <c r="F127" s="503"/>
      <c r="G127" s="503"/>
      <c r="H127" s="503"/>
      <c r="I127" s="503"/>
      <c r="J127" s="503"/>
      <c r="K127" s="503"/>
      <c r="L127" s="503"/>
      <c r="M127" s="503"/>
      <c r="N127" s="503"/>
      <c r="O127" s="503"/>
      <c r="P127" s="503"/>
      <c r="Q127" s="503"/>
    </row>
    <row r="128" spans="2:17">
      <c r="B128" s="503"/>
      <c r="C128" s="503"/>
      <c r="D128" s="503"/>
      <c r="E128" s="503"/>
      <c r="F128" s="503"/>
      <c r="G128" s="503"/>
      <c r="H128" s="503"/>
      <c r="I128" s="503"/>
      <c r="J128" s="503"/>
      <c r="K128" s="503"/>
      <c r="L128" s="503"/>
      <c r="M128" s="503"/>
      <c r="N128" s="503"/>
      <c r="O128" s="503"/>
      <c r="P128" s="503"/>
      <c r="Q128" s="503"/>
    </row>
    <row r="129" spans="2:17">
      <c r="B129" s="503"/>
      <c r="C129" s="503"/>
      <c r="D129" s="503"/>
      <c r="E129" s="503"/>
      <c r="F129" s="503"/>
      <c r="G129" s="503"/>
      <c r="H129" s="503"/>
      <c r="I129" s="503"/>
      <c r="J129" s="503"/>
      <c r="K129" s="503"/>
      <c r="L129" s="503"/>
      <c r="M129" s="503"/>
      <c r="N129" s="503"/>
      <c r="O129" s="503"/>
      <c r="P129" s="503"/>
      <c r="Q129" s="503"/>
    </row>
    <row r="130" spans="2:17">
      <c r="B130" s="503"/>
      <c r="C130" s="503"/>
      <c r="D130" s="503"/>
      <c r="E130" s="503"/>
      <c r="F130" s="503"/>
      <c r="G130" s="503"/>
      <c r="H130" s="503"/>
      <c r="I130" s="503"/>
      <c r="J130" s="503"/>
      <c r="K130" s="503"/>
      <c r="L130" s="503"/>
      <c r="M130" s="503"/>
      <c r="N130" s="503"/>
      <c r="O130" s="503"/>
      <c r="P130" s="503"/>
      <c r="Q130" s="503"/>
    </row>
    <row r="131" spans="2:17">
      <c r="B131" s="503"/>
      <c r="C131" s="503"/>
      <c r="D131" s="503"/>
      <c r="E131" s="503"/>
      <c r="F131" s="503"/>
      <c r="G131" s="503"/>
      <c r="H131" s="503"/>
      <c r="I131" s="503"/>
      <c r="J131" s="503"/>
      <c r="K131" s="503"/>
      <c r="L131" s="503"/>
      <c r="M131" s="503"/>
      <c r="N131" s="503"/>
      <c r="O131" s="503"/>
      <c r="P131" s="503"/>
      <c r="Q131" s="503"/>
    </row>
    <row r="132" spans="2:17">
      <c r="B132" s="503"/>
      <c r="C132" s="503"/>
      <c r="D132" s="503"/>
      <c r="E132" s="503"/>
      <c r="F132" s="503"/>
      <c r="G132" s="503"/>
      <c r="H132" s="503"/>
      <c r="I132" s="503"/>
      <c r="J132" s="503"/>
      <c r="K132" s="503"/>
      <c r="L132" s="503"/>
      <c r="M132" s="503"/>
      <c r="N132" s="503"/>
      <c r="O132" s="503"/>
      <c r="P132" s="503"/>
      <c r="Q132" s="503"/>
    </row>
    <row r="133" spans="2:17">
      <c r="B133" s="503"/>
      <c r="C133" s="503"/>
      <c r="D133" s="503"/>
      <c r="E133" s="503"/>
      <c r="F133" s="503"/>
      <c r="G133" s="503"/>
      <c r="H133" s="503"/>
      <c r="I133" s="503"/>
      <c r="J133" s="503"/>
      <c r="K133" s="503"/>
      <c r="L133" s="503"/>
      <c r="M133" s="503"/>
      <c r="N133" s="503"/>
      <c r="O133" s="503"/>
      <c r="P133" s="503"/>
      <c r="Q133" s="503"/>
    </row>
    <row r="134" spans="2:17">
      <c r="B134" s="503"/>
      <c r="C134" s="503"/>
      <c r="D134" s="503"/>
      <c r="E134" s="503"/>
      <c r="F134" s="503"/>
      <c r="G134" s="503"/>
      <c r="H134" s="503"/>
      <c r="I134" s="503"/>
      <c r="J134" s="503"/>
      <c r="K134" s="503"/>
      <c r="L134" s="503"/>
      <c r="M134" s="503"/>
      <c r="N134" s="503"/>
      <c r="O134" s="503"/>
      <c r="P134" s="503"/>
      <c r="Q134" s="503"/>
    </row>
    <row r="135" spans="2:17">
      <c r="B135" s="503"/>
      <c r="C135" s="503"/>
      <c r="D135" s="503"/>
      <c r="E135" s="503"/>
      <c r="F135" s="503"/>
      <c r="G135" s="503"/>
      <c r="H135" s="503"/>
      <c r="I135" s="503"/>
      <c r="J135" s="503"/>
      <c r="K135" s="503"/>
      <c r="L135" s="503"/>
      <c r="M135" s="503"/>
      <c r="N135" s="503"/>
      <c r="O135" s="503"/>
      <c r="P135" s="503"/>
      <c r="Q135" s="503"/>
    </row>
    <row r="136" spans="2:17">
      <c r="B136" s="503"/>
      <c r="C136" s="503"/>
      <c r="D136" s="503"/>
      <c r="E136" s="503"/>
      <c r="F136" s="503"/>
      <c r="G136" s="503"/>
      <c r="H136" s="503"/>
      <c r="I136" s="503"/>
      <c r="J136" s="503"/>
      <c r="K136" s="503"/>
      <c r="L136" s="503"/>
      <c r="M136" s="503"/>
      <c r="N136" s="503"/>
      <c r="O136" s="503"/>
      <c r="P136" s="503"/>
      <c r="Q136" s="503"/>
    </row>
    <row r="137" spans="2:17">
      <c r="B137" s="503"/>
      <c r="C137" s="503"/>
      <c r="D137" s="503"/>
      <c r="E137" s="503"/>
      <c r="F137" s="503"/>
      <c r="G137" s="503"/>
      <c r="H137" s="503"/>
      <c r="I137" s="503"/>
      <c r="J137" s="503"/>
      <c r="K137" s="503"/>
      <c r="L137" s="503"/>
      <c r="M137" s="503"/>
      <c r="N137" s="503"/>
      <c r="O137" s="503"/>
      <c r="P137" s="503"/>
      <c r="Q137" s="503"/>
    </row>
    <row r="138" spans="2:17">
      <c r="B138" s="503"/>
      <c r="C138" s="503"/>
      <c r="D138" s="503"/>
      <c r="E138" s="503"/>
      <c r="F138" s="503"/>
      <c r="G138" s="503"/>
      <c r="H138" s="503"/>
      <c r="I138" s="503"/>
      <c r="J138" s="503"/>
      <c r="K138" s="503"/>
      <c r="L138" s="503"/>
      <c r="M138" s="503"/>
      <c r="N138" s="503"/>
      <c r="O138" s="503"/>
      <c r="P138" s="503"/>
      <c r="Q138" s="503"/>
    </row>
    <row r="139" spans="2:17">
      <c r="B139" s="503"/>
      <c r="C139" s="503"/>
      <c r="D139" s="503"/>
      <c r="E139" s="503"/>
      <c r="F139" s="503"/>
      <c r="G139" s="503"/>
      <c r="H139" s="503"/>
      <c r="I139" s="503"/>
      <c r="J139" s="503"/>
      <c r="K139" s="503"/>
      <c r="L139" s="503"/>
      <c r="M139" s="503"/>
      <c r="N139" s="503"/>
      <c r="O139" s="503"/>
      <c r="P139" s="503"/>
      <c r="Q139" s="503"/>
    </row>
    <row r="140" spans="2:17">
      <c r="B140" s="503"/>
      <c r="C140" s="503"/>
      <c r="D140" s="503"/>
      <c r="E140" s="503"/>
      <c r="F140" s="503"/>
      <c r="G140" s="503"/>
      <c r="H140" s="503"/>
      <c r="I140" s="503"/>
      <c r="J140" s="503"/>
      <c r="K140" s="503"/>
      <c r="L140" s="503"/>
      <c r="M140" s="503"/>
      <c r="N140" s="503"/>
      <c r="O140" s="503"/>
      <c r="P140" s="503"/>
      <c r="Q140" s="503"/>
    </row>
    <row r="141" spans="2:17">
      <c r="B141" s="503"/>
      <c r="C141" s="503"/>
      <c r="D141" s="503"/>
      <c r="E141" s="503"/>
      <c r="F141" s="503"/>
      <c r="G141" s="503"/>
      <c r="H141" s="503"/>
      <c r="I141" s="503"/>
      <c r="J141" s="503"/>
      <c r="K141" s="503"/>
      <c r="L141" s="503"/>
      <c r="M141" s="503"/>
      <c r="N141" s="503"/>
      <c r="O141" s="503"/>
      <c r="P141" s="503"/>
      <c r="Q141" s="503"/>
    </row>
    <row r="142" spans="2:17">
      <c r="B142" s="503"/>
      <c r="C142" s="503"/>
      <c r="D142" s="503"/>
      <c r="E142" s="503"/>
      <c r="F142" s="503"/>
      <c r="G142" s="503"/>
      <c r="H142" s="503"/>
      <c r="I142" s="503"/>
      <c r="J142" s="503"/>
      <c r="K142" s="503"/>
      <c r="L142" s="503"/>
      <c r="M142" s="503"/>
      <c r="N142" s="503"/>
      <c r="O142" s="503"/>
      <c r="P142" s="503"/>
      <c r="Q142" s="503"/>
    </row>
    <row r="143" spans="2:17">
      <c r="B143" s="503"/>
      <c r="C143" s="503"/>
      <c r="D143" s="503"/>
      <c r="E143" s="503"/>
      <c r="F143" s="503"/>
      <c r="G143" s="503"/>
      <c r="H143" s="503"/>
      <c r="I143" s="503"/>
      <c r="J143" s="503"/>
      <c r="K143" s="503"/>
      <c r="L143" s="503"/>
      <c r="M143" s="503"/>
      <c r="N143" s="503"/>
      <c r="O143" s="503"/>
      <c r="P143" s="503"/>
      <c r="Q143" s="503"/>
    </row>
    <row r="144" spans="2:17">
      <c r="B144" s="503"/>
      <c r="C144" s="503"/>
      <c r="D144" s="503"/>
      <c r="E144" s="503"/>
      <c r="F144" s="503"/>
      <c r="G144" s="503"/>
      <c r="H144" s="503"/>
      <c r="I144" s="503"/>
      <c r="J144" s="503"/>
      <c r="K144" s="503"/>
      <c r="L144" s="503"/>
      <c r="M144" s="503"/>
      <c r="N144" s="503"/>
      <c r="O144" s="503"/>
      <c r="P144" s="503"/>
      <c r="Q144" s="503"/>
    </row>
    <row r="145" spans="2:17">
      <c r="B145" s="503"/>
      <c r="C145" s="503"/>
      <c r="D145" s="503"/>
      <c r="E145" s="503"/>
      <c r="F145" s="503"/>
      <c r="G145" s="503"/>
      <c r="H145" s="503"/>
      <c r="I145" s="503"/>
      <c r="J145" s="503"/>
      <c r="K145" s="503"/>
      <c r="L145" s="503"/>
      <c r="M145" s="503"/>
      <c r="N145" s="503"/>
      <c r="O145" s="503"/>
      <c r="P145" s="503"/>
      <c r="Q145" s="503"/>
    </row>
    <row r="146" spans="2:17">
      <c r="B146" s="503"/>
      <c r="C146" s="503"/>
      <c r="D146" s="503"/>
      <c r="E146" s="503"/>
      <c r="F146" s="503"/>
      <c r="G146" s="503"/>
      <c r="H146" s="503"/>
      <c r="I146" s="503"/>
      <c r="J146" s="503"/>
      <c r="K146" s="503"/>
      <c r="L146" s="503"/>
      <c r="M146" s="503"/>
      <c r="N146" s="503"/>
      <c r="O146" s="503"/>
      <c r="P146" s="503"/>
      <c r="Q146" s="503"/>
    </row>
    <row r="147" spans="2:17">
      <c r="B147" s="503"/>
      <c r="C147" s="503"/>
      <c r="D147" s="503"/>
      <c r="E147" s="503"/>
      <c r="F147" s="503"/>
      <c r="G147" s="503"/>
      <c r="H147" s="503"/>
      <c r="I147" s="503"/>
      <c r="J147" s="503"/>
      <c r="K147" s="503"/>
      <c r="L147" s="503"/>
      <c r="M147" s="503"/>
      <c r="N147" s="503"/>
      <c r="O147" s="503"/>
      <c r="P147" s="503"/>
      <c r="Q147" s="503"/>
    </row>
    <row r="148" spans="2:17">
      <c r="B148" s="503"/>
      <c r="C148" s="503"/>
      <c r="D148" s="503"/>
      <c r="E148" s="503"/>
      <c r="F148" s="503"/>
      <c r="G148" s="503"/>
      <c r="H148" s="503"/>
      <c r="I148" s="503"/>
      <c r="J148" s="503"/>
      <c r="K148" s="503"/>
      <c r="L148" s="503"/>
      <c r="M148" s="503"/>
      <c r="N148" s="503"/>
      <c r="O148" s="503"/>
      <c r="P148" s="503"/>
      <c r="Q148" s="503"/>
    </row>
    <row r="149" spans="2:17">
      <c r="B149" s="503"/>
      <c r="C149" s="503"/>
      <c r="D149" s="503"/>
      <c r="E149" s="503"/>
      <c r="F149" s="503"/>
      <c r="G149" s="503"/>
      <c r="H149" s="503"/>
      <c r="I149" s="503"/>
      <c r="J149" s="503"/>
      <c r="K149" s="503"/>
      <c r="L149" s="503"/>
      <c r="M149" s="503"/>
      <c r="N149" s="503"/>
      <c r="O149" s="503"/>
      <c r="P149" s="503"/>
      <c r="Q149" s="503"/>
    </row>
    <row r="150" spans="2:17">
      <c r="B150" s="503"/>
      <c r="C150" s="503"/>
      <c r="D150" s="503"/>
      <c r="E150" s="503"/>
      <c r="F150" s="503"/>
      <c r="G150" s="503"/>
      <c r="H150" s="503"/>
      <c r="I150" s="503"/>
      <c r="J150" s="503"/>
      <c r="K150" s="503"/>
      <c r="L150" s="503"/>
      <c r="M150" s="503"/>
      <c r="N150" s="503"/>
      <c r="O150" s="503"/>
      <c r="P150" s="503"/>
      <c r="Q150" s="503"/>
    </row>
    <row r="151" spans="2:17">
      <c r="B151" s="503"/>
      <c r="C151" s="503"/>
      <c r="D151" s="503"/>
      <c r="E151" s="503"/>
      <c r="F151" s="503"/>
      <c r="G151" s="503"/>
      <c r="H151" s="503"/>
      <c r="I151" s="503"/>
      <c r="J151" s="503"/>
      <c r="K151" s="503"/>
      <c r="L151" s="503"/>
      <c r="M151" s="503"/>
      <c r="N151" s="503"/>
      <c r="O151" s="503"/>
      <c r="P151" s="503"/>
      <c r="Q151" s="503"/>
    </row>
    <row r="152" spans="2:17">
      <c r="B152" s="503"/>
      <c r="C152" s="503"/>
      <c r="D152" s="503"/>
      <c r="E152" s="503"/>
      <c r="F152" s="503"/>
      <c r="G152" s="503"/>
      <c r="H152" s="503"/>
      <c r="I152" s="503"/>
      <c r="J152" s="503"/>
      <c r="K152" s="503"/>
      <c r="L152" s="503"/>
      <c r="M152" s="503"/>
      <c r="N152" s="503"/>
      <c r="O152" s="503"/>
      <c r="P152" s="503"/>
      <c r="Q152" s="503"/>
    </row>
    <row r="153" spans="2:17">
      <c r="B153" s="503"/>
      <c r="C153" s="503"/>
      <c r="D153" s="503"/>
      <c r="E153" s="503"/>
      <c r="F153" s="503"/>
      <c r="G153" s="503"/>
      <c r="H153" s="503"/>
      <c r="I153" s="503"/>
      <c r="J153" s="503"/>
      <c r="K153" s="503"/>
      <c r="L153" s="503"/>
      <c r="M153" s="503"/>
      <c r="N153" s="503"/>
      <c r="O153" s="503"/>
      <c r="P153" s="503"/>
      <c r="Q153" s="503"/>
    </row>
    <row r="154" spans="2:17">
      <c r="B154" s="503"/>
      <c r="C154" s="503"/>
      <c r="D154" s="503"/>
      <c r="E154" s="503"/>
      <c r="F154" s="503"/>
      <c r="G154" s="503"/>
      <c r="H154" s="503"/>
      <c r="I154" s="503"/>
      <c r="J154" s="503"/>
      <c r="K154" s="503"/>
      <c r="L154" s="503"/>
      <c r="M154" s="503"/>
      <c r="N154" s="503"/>
      <c r="O154" s="503"/>
      <c r="P154" s="503"/>
      <c r="Q154" s="503"/>
    </row>
    <row r="155" spans="2:17">
      <c r="B155" s="503"/>
      <c r="C155" s="503"/>
      <c r="D155" s="503"/>
      <c r="E155" s="503"/>
      <c r="F155" s="503"/>
      <c r="G155" s="503"/>
      <c r="H155" s="503"/>
      <c r="I155" s="503"/>
      <c r="J155" s="503"/>
      <c r="K155" s="503"/>
      <c r="L155" s="503"/>
      <c r="M155" s="503"/>
      <c r="N155" s="503"/>
      <c r="O155" s="503"/>
      <c r="P155" s="503"/>
      <c r="Q155" s="503"/>
    </row>
    <row r="156" spans="2:17">
      <c r="B156" s="503"/>
      <c r="C156" s="503"/>
      <c r="D156" s="503"/>
      <c r="E156" s="503"/>
      <c r="F156" s="503"/>
      <c r="G156" s="503"/>
      <c r="H156" s="503"/>
      <c r="I156" s="503"/>
      <c r="J156" s="503"/>
      <c r="K156" s="503"/>
      <c r="L156" s="503"/>
      <c r="M156" s="503"/>
      <c r="N156" s="503"/>
      <c r="O156" s="503"/>
      <c r="P156" s="503"/>
      <c r="Q156" s="503"/>
    </row>
    <row r="157" spans="2:17">
      <c r="B157" s="503"/>
      <c r="C157" s="503"/>
      <c r="D157" s="503"/>
      <c r="E157" s="503"/>
      <c r="F157" s="503"/>
      <c r="G157" s="503"/>
      <c r="H157" s="503"/>
      <c r="I157" s="503"/>
      <c r="J157" s="503"/>
      <c r="K157" s="503"/>
      <c r="L157" s="503"/>
      <c r="M157" s="503"/>
      <c r="N157" s="503"/>
      <c r="O157" s="503"/>
      <c r="P157" s="503"/>
      <c r="Q157" s="503"/>
    </row>
    <row r="158" spans="2:17">
      <c r="B158" s="503"/>
      <c r="C158" s="503"/>
      <c r="D158" s="503"/>
      <c r="E158" s="503"/>
      <c r="F158" s="503"/>
      <c r="G158" s="503"/>
      <c r="H158" s="503"/>
      <c r="I158" s="503"/>
      <c r="J158" s="503"/>
      <c r="K158" s="503"/>
      <c r="L158" s="503"/>
      <c r="M158" s="503"/>
      <c r="N158" s="503"/>
      <c r="O158" s="503"/>
      <c r="P158" s="503"/>
      <c r="Q158" s="503"/>
    </row>
    <row r="159" spans="2:17">
      <c r="B159" s="503"/>
      <c r="C159" s="503"/>
      <c r="D159" s="503"/>
      <c r="E159" s="503"/>
      <c r="F159" s="503"/>
      <c r="G159" s="503"/>
      <c r="H159" s="503"/>
      <c r="I159" s="503"/>
      <c r="J159" s="503"/>
      <c r="K159" s="503"/>
      <c r="L159" s="503"/>
      <c r="M159" s="503"/>
      <c r="N159" s="503"/>
      <c r="O159" s="503"/>
      <c r="P159" s="503"/>
      <c r="Q159" s="503"/>
    </row>
    <row r="160" spans="2:17">
      <c r="B160" s="503"/>
      <c r="C160" s="503"/>
      <c r="D160" s="503"/>
      <c r="E160" s="503"/>
      <c r="F160" s="503"/>
      <c r="G160" s="503"/>
      <c r="H160" s="503"/>
      <c r="I160" s="503"/>
      <c r="J160" s="503"/>
      <c r="K160" s="503"/>
      <c r="L160" s="503"/>
      <c r="M160" s="503"/>
      <c r="N160" s="503"/>
      <c r="O160" s="503"/>
      <c r="P160" s="503"/>
      <c r="Q160" s="503"/>
    </row>
    <row r="161" spans="2:17">
      <c r="B161" s="503"/>
      <c r="C161" s="503"/>
      <c r="D161" s="503"/>
      <c r="E161" s="503"/>
      <c r="F161" s="503"/>
      <c r="G161" s="503"/>
      <c r="H161" s="503"/>
      <c r="I161" s="503"/>
      <c r="J161" s="503"/>
      <c r="K161" s="503"/>
      <c r="L161" s="503"/>
      <c r="M161" s="503"/>
      <c r="N161" s="503"/>
      <c r="O161" s="503"/>
      <c r="P161" s="503"/>
      <c r="Q161" s="503"/>
    </row>
    <row r="162" spans="2:17">
      <c r="B162" s="503"/>
      <c r="C162" s="503"/>
      <c r="D162" s="503"/>
      <c r="E162" s="503"/>
      <c r="F162" s="503"/>
      <c r="G162" s="503"/>
      <c r="H162" s="503"/>
      <c r="I162" s="503"/>
      <c r="J162" s="503"/>
      <c r="K162" s="503"/>
      <c r="L162" s="503"/>
      <c r="M162" s="503"/>
      <c r="N162" s="503"/>
      <c r="O162" s="503"/>
      <c r="P162" s="503"/>
      <c r="Q162" s="503"/>
    </row>
    <row r="163" spans="2:17">
      <c r="B163" s="503"/>
      <c r="C163" s="503"/>
      <c r="D163" s="503"/>
      <c r="E163" s="503"/>
      <c r="F163" s="503"/>
      <c r="G163" s="503"/>
      <c r="H163" s="503"/>
      <c r="I163" s="503"/>
      <c r="J163" s="503"/>
      <c r="K163" s="503"/>
      <c r="L163" s="503"/>
      <c r="M163" s="503"/>
      <c r="N163" s="503"/>
      <c r="O163" s="503"/>
      <c r="P163" s="503"/>
      <c r="Q163" s="503"/>
    </row>
    <row r="164" spans="2:17">
      <c r="B164" s="503"/>
      <c r="C164" s="503"/>
      <c r="D164" s="503"/>
      <c r="E164" s="503"/>
      <c r="F164" s="503"/>
      <c r="G164" s="503"/>
      <c r="H164" s="503"/>
      <c r="I164" s="503"/>
      <c r="J164" s="503"/>
      <c r="K164" s="503"/>
      <c r="L164" s="503"/>
      <c r="M164" s="503"/>
      <c r="N164" s="503"/>
      <c r="O164" s="503"/>
      <c r="P164" s="503"/>
      <c r="Q164" s="503"/>
    </row>
    <row r="165" spans="2:17">
      <c r="B165" s="503"/>
      <c r="C165" s="503"/>
      <c r="D165" s="503"/>
      <c r="E165" s="503"/>
      <c r="F165" s="503"/>
      <c r="G165" s="503"/>
      <c r="H165" s="503"/>
      <c r="I165" s="503"/>
      <c r="J165" s="503"/>
      <c r="K165" s="503"/>
      <c r="L165" s="503"/>
      <c r="M165" s="503"/>
      <c r="N165" s="503"/>
      <c r="O165" s="503"/>
      <c r="P165" s="503"/>
      <c r="Q165" s="503"/>
    </row>
    <row r="166" spans="2:17">
      <c r="B166" s="503"/>
      <c r="C166" s="503"/>
      <c r="D166" s="503"/>
      <c r="E166" s="503"/>
      <c r="F166" s="503"/>
      <c r="G166" s="503"/>
      <c r="H166" s="503"/>
      <c r="I166" s="503"/>
      <c r="J166" s="503"/>
      <c r="K166" s="503"/>
      <c r="L166" s="503"/>
      <c r="M166" s="503"/>
      <c r="N166" s="503"/>
      <c r="O166" s="503"/>
      <c r="P166" s="503"/>
      <c r="Q166" s="503"/>
    </row>
    <row r="167" spans="2:17">
      <c r="B167" s="503"/>
      <c r="C167" s="503"/>
      <c r="D167" s="503"/>
      <c r="E167" s="503"/>
      <c r="F167" s="503"/>
      <c r="G167" s="503"/>
      <c r="H167" s="503"/>
      <c r="I167" s="503"/>
      <c r="J167" s="503"/>
      <c r="K167" s="503"/>
      <c r="L167" s="503"/>
      <c r="M167" s="503"/>
      <c r="N167" s="503"/>
      <c r="O167" s="503"/>
      <c r="P167" s="503"/>
      <c r="Q167" s="503"/>
    </row>
    <row r="168" spans="2:17">
      <c r="B168" s="503"/>
      <c r="C168" s="503"/>
      <c r="D168" s="503"/>
      <c r="E168" s="503"/>
      <c r="F168" s="503"/>
      <c r="G168" s="503"/>
      <c r="H168" s="503"/>
      <c r="I168" s="503"/>
      <c r="J168" s="503"/>
      <c r="K168" s="503"/>
      <c r="L168" s="503"/>
      <c r="M168" s="503"/>
      <c r="N168" s="503"/>
      <c r="O168" s="503"/>
      <c r="P168" s="503"/>
      <c r="Q168" s="503"/>
    </row>
    <row r="169" spans="2:17">
      <c r="B169" s="503"/>
      <c r="C169" s="503"/>
      <c r="D169" s="503"/>
      <c r="E169" s="503"/>
      <c r="F169" s="503"/>
      <c r="G169" s="503"/>
      <c r="H169" s="503"/>
      <c r="I169" s="503"/>
      <c r="J169" s="503"/>
      <c r="K169" s="503"/>
      <c r="L169" s="503"/>
      <c r="M169" s="503"/>
      <c r="N169" s="503"/>
      <c r="O169" s="503"/>
      <c r="P169" s="503"/>
      <c r="Q169" s="503"/>
    </row>
    <row r="170" spans="2:17">
      <c r="B170" s="503"/>
      <c r="C170" s="503"/>
      <c r="D170" s="503"/>
      <c r="E170" s="503"/>
      <c r="F170" s="503"/>
      <c r="G170" s="503"/>
      <c r="H170" s="503"/>
      <c r="I170" s="503"/>
      <c r="J170" s="503"/>
      <c r="K170" s="503"/>
      <c r="L170" s="503"/>
      <c r="M170" s="503"/>
      <c r="N170" s="503"/>
      <c r="O170" s="503"/>
      <c r="P170" s="503"/>
      <c r="Q170" s="503"/>
    </row>
    <row r="171" spans="2:17">
      <c r="B171" s="503"/>
      <c r="C171" s="503"/>
      <c r="D171" s="503"/>
      <c r="E171" s="503"/>
      <c r="F171" s="503"/>
      <c r="G171" s="503"/>
      <c r="H171" s="503"/>
      <c r="I171" s="503"/>
      <c r="J171" s="503"/>
      <c r="K171" s="503"/>
      <c r="L171" s="503"/>
      <c r="M171" s="503"/>
      <c r="N171" s="503"/>
      <c r="O171" s="503"/>
      <c r="P171" s="503"/>
      <c r="Q171" s="503"/>
    </row>
    <row r="172" spans="2:17">
      <c r="B172" s="503"/>
      <c r="C172" s="503"/>
      <c r="D172" s="503"/>
      <c r="E172" s="503"/>
      <c r="F172" s="503"/>
      <c r="G172" s="503"/>
      <c r="H172" s="503"/>
      <c r="I172" s="503"/>
      <c r="J172" s="503"/>
      <c r="K172" s="503"/>
      <c r="L172" s="503"/>
      <c r="M172" s="503"/>
      <c r="N172" s="503"/>
      <c r="O172" s="503"/>
      <c r="P172" s="503"/>
      <c r="Q172" s="503"/>
    </row>
    <row r="173" spans="2:17">
      <c r="B173" s="503"/>
      <c r="C173" s="503"/>
      <c r="D173" s="503"/>
      <c r="E173" s="503"/>
      <c r="F173" s="503"/>
      <c r="G173" s="503"/>
      <c r="H173" s="503"/>
      <c r="I173" s="503"/>
      <c r="J173" s="503"/>
      <c r="K173" s="503"/>
      <c r="L173" s="503"/>
      <c r="M173" s="503"/>
      <c r="N173" s="503"/>
      <c r="O173" s="503"/>
      <c r="P173" s="503"/>
      <c r="Q173" s="503"/>
    </row>
    <row r="174" spans="2:17">
      <c r="B174" s="503"/>
      <c r="C174" s="503"/>
      <c r="D174" s="503"/>
      <c r="E174" s="503"/>
      <c r="F174" s="503"/>
      <c r="G174" s="503"/>
      <c r="H174" s="503"/>
      <c r="I174" s="503"/>
      <c r="J174" s="503"/>
      <c r="K174" s="503"/>
      <c r="L174" s="503"/>
      <c r="M174" s="503"/>
      <c r="N174" s="503"/>
      <c r="O174" s="503"/>
      <c r="P174" s="503"/>
      <c r="Q174" s="503"/>
    </row>
    <row r="175" spans="2:17">
      <c r="B175" s="503"/>
      <c r="C175" s="503"/>
      <c r="D175" s="503"/>
      <c r="E175" s="503"/>
      <c r="F175" s="503"/>
      <c r="G175" s="503"/>
      <c r="H175" s="503"/>
      <c r="I175" s="503"/>
      <c r="J175" s="503"/>
      <c r="K175" s="503"/>
      <c r="L175" s="503"/>
      <c r="M175" s="503"/>
      <c r="N175" s="503"/>
      <c r="O175" s="503"/>
      <c r="P175" s="503"/>
      <c r="Q175" s="503"/>
    </row>
    <row r="176" spans="2:17">
      <c r="B176" s="503"/>
      <c r="C176" s="503"/>
      <c r="D176" s="503"/>
      <c r="E176" s="503"/>
      <c r="F176" s="503"/>
      <c r="G176" s="503"/>
      <c r="H176" s="503"/>
      <c r="I176" s="503"/>
      <c r="J176" s="503"/>
      <c r="K176" s="503"/>
      <c r="L176" s="503"/>
      <c r="M176" s="503"/>
      <c r="N176" s="503"/>
      <c r="O176" s="503"/>
      <c r="P176" s="503"/>
      <c r="Q176" s="503"/>
    </row>
    <row r="177" spans="2:17">
      <c r="B177" s="503"/>
      <c r="C177" s="503"/>
      <c r="D177" s="503"/>
      <c r="E177" s="503"/>
      <c r="F177" s="503"/>
      <c r="G177" s="503"/>
      <c r="H177" s="503"/>
      <c r="I177" s="503"/>
      <c r="J177" s="503"/>
      <c r="K177" s="503"/>
      <c r="L177" s="503"/>
      <c r="M177" s="503"/>
      <c r="N177" s="503"/>
      <c r="O177" s="503"/>
      <c r="P177" s="503"/>
      <c r="Q177" s="503"/>
    </row>
    <row r="178" spans="2:17">
      <c r="B178" s="503"/>
      <c r="C178" s="503"/>
      <c r="D178" s="503"/>
      <c r="E178" s="503"/>
      <c r="F178" s="503"/>
      <c r="G178" s="503"/>
      <c r="H178" s="503"/>
      <c r="I178" s="503"/>
      <c r="J178" s="503"/>
      <c r="K178" s="503"/>
      <c r="L178" s="503"/>
      <c r="M178" s="503"/>
      <c r="N178" s="503"/>
      <c r="O178" s="503"/>
      <c r="P178" s="503"/>
      <c r="Q178" s="503"/>
    </row>
    <row r="179" spans="2:17">
      <c r="B179" s="503"/>
      <c r="C179" s="503"/>
      <c r="D179" s="503"/>
      <c r="E179" s="503"/>
      <c r="F179" s="503"/>
      <c r="G179" s="503"/>
      <c r="H179" s="503"/>
      <c r="I179" s="503"/>
      <c r="J179" s="503"/>
      <c r="K179" s="503"/>
      <c r="L179" s="503"/>
      <c r="M179" s="503"/>
      <c r="N179" s="503"/>
      <c r="O179" s="503"/>
      <c r="P179" s="503"/>
      <c r="Q179" s="503"/>
    </row>
    <row r="180" spans="2:17">
      <c r="B180" s="503"/>
      <c r="C180" s="503"/>
      <c r="D180" s="503"/>
      <c r="E180" s="503"/>
      <c r="F180" s="503"/>
      <c r="G180" s="503"/>
      <c r="H180" s="503"/>
      <c r="I180" s="503"/>
      <c r="J180" s="503"/>
      <c r="K180" s="503"/>
      <c r="L180" s="503"/>
      <c r="M180" s="503"/>
      <c r="N180" s="503"/>
      <c r="O180" s="503"/>
      <c r="P180" s="503"/>
      <c r="Q180" s="503"/>
    </row>
    <row r="181" spans="2:17">
      <c r="B181" s="503"/>
      <c r="C181" s="503"/>
      <c r="D181" s="503"/>
      <c r="E181" s="503"/>
      <c r="F181" s="503"/>
      <c r="G181" s="503"/>
      <c r="H181" s="503"/>
      <c r="I181" s="503"/>
      <c r="J181" s="503"/>
      <c r="K181" s="503"/>
      <c r="L181" s="503"/>
      <c r="M181" s="503"/>
      <c r="N181" s="503"/>
      <c r="O181" s="503"/>
      <c r="P181" s="503"/>
      <c r="Q181" s="503"/>
    </row>
    <row r="182" spans="2:17">
      <c r="B182" s="503"/>
      <c r="C182" s="503"/>
      <c r="D182" s="503"/>
      <c r="E182" s="503"/>
      <c r="F182" s="503"/>
      <c r="G182" s="503"/>
      <c r="H182" s="503"/>
      <c r="I182" s="503"/>
      <c r="J182" s="503"/>
      <c r="K182" s="503"/>
      <c r="L182" s="503"/>
      <c r="M182" s="503"/>
      <c r="N182" s="503"/>
      <c r="O182" s="503"/>
      <c r="P182" s="503"/>
      <c r="Q182" s="503"/>
    </row>
    <row r="183" spans="2:17">
      <c r="B183" s="503"/>
      <c r="C183" s="503"/>
      <c r="D183" s="503"/>
      <c r="E183" s="503"/>
      <c r="F183" s="503"/>
      <c r="G183" s="503"/>
      <c r="H183" s="503"/>
      <c r="I183" s="503"/>
      <c r="J183" s="503"/>
      <c r="K183" s="503"/>
      <c r="L183" s="503"/>
      <c r="M183" s="503"/>
      <c r="N183" s="503"/>
      <c r="O183" s="503"/>
      <c r="P183" s="503"/>
      <c r="Q183" s="503"/>
    </row>
    <row r="184" spans="2:17">
      <c r="B184" s="503"/>
      <c r="C184" s="503"/>
      <c r="D184" s="503"/>
      <c r="E184" s="503"/>
      <c r="F184" s="503"/>
      <c r="G184" s="503"/>
      <c r="H184" s="503"/>
      <c r="I184" s="503"/>
      <c r="J184" s="503"/>
      <c r="K184" s="503"/>
      <c r="L184" s="503"/>
      <c r="M184" s="503"/>
      <c r="N184" s="503"/>
      <c r="O184" s="503"/>
      <c r="P184" s="503"/>
      <c r="Q184" s="503"/>
    </row>
    <row r="185" spans="2:17">
      <c r="B185" s="503"/>
      <c r="C185" s="503"/>
      <c r="D185" s="503"/>
      <c r="E185" s="503"/>
      <c r="F185" s="503"/>
      <c r="G185" s="503"/>
      <c r="H185" s="503"/>
      <c r="I185" s="503"/>
      <c r="J185" s="503"/>
      <c r="K185" s="503"/>
      <c r="L185" s="503"/>
      <c r="M185" s="503"/>
      <c r="N185" s="503"/>
      <c r="O185" s="503"/>
      <c r="P185" s="503"/>
      <c r="Q185" s="503"/>
    </row>
    <row r="186" spans="2:17">
      <c r="B186" s="503"/>
      <c r="C186" s="503"/>
      <c r="D186" s="503"/>
      <c r="E186" s="503"/>
      <c r="F186" s="503"/>
      <c r="G186" s="503"/>
      <c r="H186" s="503"/>
      <c r="I186" s="503"/>
      <c r="J186" s="503"/>
      <c r="K186" s="503"/>
      <c r="L186" s="503"/>
      <c r="M186" s="503"/>
      <c r="N186" s="503"/>
      <c r="O186" s="503"/>
      <c r="P186" s="503"/>
      <c r="Q186" s="503"/>
    </row>
    <row r="187" spans="2:17">
      <c r="B187" s="503"/>
      <c r="C187" s="503"/>
      <c r="D187" s="503"/>
      <c r="E187" s="503"/>
      <c r="F187" s="503"/>
      <c r="G187" s="503"/>
      <c r="H187" s="503"/>
      <c r="I187" s="503"/>
      <c r="J187" s="503"/>
      <c r="K187" s="503"/>
      <c r="L187" s="503"/>
      <c r="M187" s="503"/>
      <c r="N187" s="503"/>
      <c r="O187" s="503"/>
      <c r="P187" s="503"/>
      <c r="Q187" s="503"/>
    </row>
    <row r="188" spans="2:17">
      <c r="B188" s="503"/>
      <c r="C188" s="503"/>
      <c r="D188" s="503"/>
      <c r="E188" s="503"/>
      <c r="F188" s="503"/>
      <c r="G188" s="503"/>
      <c r="H188" s="503"/>
      <c r="I188" s="503"/>
      <c r="J188" s="503"/>
      <c r="K188" s="503"/>
      <c r="L188" s="503"/>
      <c r="M188" s="503"/>
      <c r="N188" s="503"/>
      <c r="O188" s="503"/>
      <c r="P188" s="503"/>
      <c r="Q188" s="503"/>
    </row>
    <row r="189" spans="2:17">
      <c r="B189" s="503"/>
      <c r="C189" s="503"/>
      <c r="D189" s="503"/>
      <c r="E189" s="503"/>
      <c r="F189" s="503"/>
      <c r="G189" s="503"/>
      <c r="H189" s="503"/>
      <c r="I189" s="503"/>
      <c r="J189" s="503"/>
      <c r="K189" s="503"/>
      <c r="L189" s="503"/>
      <c r="M189" s="503"/>
      <c r="N189" s="503"/>
      <c r="O189" s="503"/>
      <c r="P189" s="503"/>
      <c r="Q189" s="503"/>
    </row>
    <row r="190" spans="2:17">
      <c r="B190" s="503"/>
      <c r="C190" s="503"/>
      <c r="D190" s="503"/>
      <c r="E190" s="503"/>
      <c r="F190" s="503"/>
      <c r="G190" s="503"/>
      <c r="H190" s="503"/>
      <c r="I190" s="503"/>
      <c r="J190" s="503"/>
      <c r="K190" s="503"/>
      <c r="L190" s="503"/>
      <c r="M190" s="503"/>
      <c r="N190" s="503"/>
      <c r="O190" s="503"/>
      <c r="P190" s="503"/>
      <c r="Q190" s="503"/>
    </row>
    <row r="191" spans="2:17">
      <c r="B191" s="503"/>
      <c r="C191" s="503"/>
      <c r="D191" s="503"/>
      <c r="E191" s="503"/>
      <c r="F191" s="503"/>
      <c r="G191" s="503"/>
      <c r="H191" s="503"/>
      <c r="I191" s="503"/>
      <c r="J191" s="503"/>
      <c r="K191" s="503"/>
      <c r="L191" s="503"/>
      <c r="M191" s="503"/>
      <c r="N191" s="503"/>
      <c r="O191" s="503"/>
      <c r="P191" s="503"/>
      <c r="Q191" s="503"/>
    </row>
    <row r="192" spans="2:17">
      <c r="B192" s="503"/>
      <c r="C192" s="503"/>
      <c r="D192" s="503"/>
      <c r="E192" s="503"/>
      <c r="F192" s="503"/>
      <c r="G192" s="503"/>
      <c r="H192" s="503"/>
      <c r="I192" s="503"/>
      <c r="J192" s="503"/>
      <c r="K192" s="503"/>
      <c r="L192" s="503"/>
      <c r="M192" s="503"/>
      <c r="N192" s="503"/>
      <c r="O192" s="503"/>
      <c r="P192" s="503"/>
      <c r="Q192" s="503"/>
    </row>
    <row r="193" spans="2:17">
      <c r="B193" s="503"/>
      <c r="C193" s="503"/>
      <c r="D193" s="503"/>
      <c r="E193" s="503"/>
      <c r="F193" s="503"/>
      <c r="G193" s="503"/>
      <c r="H193" s="503"/>
      <c r="I193" s="503"/>
      <c r="J193" s="503"/>
      <c r="K193" s="503"/>
      <c r="L193" s="503"/>
      <c r="M193" s="503"/>
      <c r="N193" s="503"/>
      <c r="O193" s="503"/>
      <c r="P193" s="503"/>
      <c r="Q193" s="503"/>
    </row>
    <row r="194" spans="2:17">
      <c r="B194" s="503"/>
      <c r="C194" s="503"/>
      <c r="D194" s="503"/>
      <c r="E194" s="503"/>
      <c r="F194" s="503"/>
      <c r="G194" s="503"/>
      <c r="H194" s="503"/>
      <c r="I194" s="503"/>
      <c r="J194" s="503"/>
      <c r="K194" s="503"/>
      <c r="L194" s="503"/>
      <c r="M194" s="503"/>
      <c r="N194" s="503"/>
      <c r="O194" s="503"/>
      <c r="P194" s="503"/>
      <c r="Q194" s="503"/>
    </row>
    <row r="195" spans="2:17">
      <c r="B195" s="503"/>
      <c r="C195" s="503"/>
      <c r="D195" s="503"/>
      <c r="E195" s="503"/>
      <c r="F195" s="503"/>
      <c r="G195" s="503"/>
      <c r="H195" s="503"/>
      <c r="I195" s="503"/>
      <c r="J195" s="503"/>
      <c r="K195" s="503"/>
      <c r="L195" s="503"/>
      <c r="M195" s="503"/>
      <c r="N195" s="503"/>
      <c r="O195" s="503"/>
      <c r="P195" s="503"/>
      <c r="Q195" s="503"/>
    </row>
    <row r="196" spans="2:17">
      <c r="B196" s="503"/>
      <c r="C196" s="503"/>
      <c r="D196" s="503"/>
      <c r="E196" s="503"/>
      <c r="F196" s="503"/>
      <c r="G196" s="503"/>
      <c r="H196" s="503"/>
      <c r="I196" s="503"/>
      <c r="J196" s="503"/>
      <c r="K196" s="503"/>
      <c r="L196" s="503"/>
      <c r="M196" s="503"/>
      <c r="N196" s="503"/>
      <c r="O196" s="503"/>
      <c r="P196" s="503"/>
      <c r="Q196" s="503"/>
    </row>
    <row r="197" spans="2:17">
      <c r="B197" s="503"/>
      <c r="C197" s="503"/>
      <c r="D197" s="503"/>
      <c r="E197" s="503"/>
      <c r="F197" s="503"/>
      <c r="G197" s="503"/>
      <c r="H197" s="503"/>
      <c r="I197" s="503"/>
      <c r="J197" s="503"/>
      <c r="K197" s="503"/>
      <c r="L197" s="503"/>
      <c r="M197" s="503"/>
      <c r="N197" s="503"/>
      <c r="O197" s="503"/>
      <c r="P197" s="503"/>
      <c r="Q197" s="503"/>
    </row>
    <row r="198" spans="2:17">
      <c r="B198" s="503"/>
      <c r="C198" s="503"/>
      <c r="D198" s="503"/>
      <c r="E198" s="503"/>
      <c r="F198" s="503"/>
      <c r="G198" s="503"/>
      <c r="H198" s="503"/>
      <c r="I198" s="503"/>
      <c r="J198" s="503"/>
      <c r="K198" s="503"/>
      <c r="L198" s="503"/>
      <c r="M198" s="503"/>
      <c r="N198" s="503"/>
      <c r="O198" s="503"/>
      <c r="P198" s="503"/>
      <c r="Q198" s="503"/>
    </row>
    <row r="199" spans="2:17">
      <c r="B199" s="503"/>
      <c r="C199" s="503"/>
      <c r="D199" s="503"/>
      <c r="E199" s="503"/>
      <c r="F199" s="503"/>
      <c r="G199" s="503"/>
      <c r="H199" s="503"/>
      <c r="I199" s="503"/>
      <c r="J199" s="503"/>
      <c r="K199" s="503"/>
      <c r="L199" s="503"/>
      <c r="M199" s="503"/>
      <c r="N199" s="503"/>
      <c r="O199" s="503"/>
      <c r="P199" s="503"/>
      <c r="Q199" s="503"/>
    </row>
    <row r="200" spans="2:17">
      <c r="B200" s="503"/>
      <c r="C200" s="503"/>
      <c r="D200" s="503"/>
      <c r="E200" s="503"/>
      <c r="F200" s="503"/>
      <c r="G200" s="503"/>
      <c r="H200" s="503"/>
      <c r="I200" s="503"/>
      <c r="J200" s="503"/>
      <c r="K200" s="503"/>
      <c r="L200" s="503"/>
      <c r="M200" s="503"/>
      <c r="N200" s="503"/>
      <c r="O200" s="503"/>
      <c r="P200" s="503"/>
      <c r="Q200" s="503"/>
    </row>
    <row r="201" spans="2:17">
      <c r="B201" s="503"/>
      <c r="C201" s="503"/>
      <c r="D201" s="503"/>
      <c r="E201" s="503"/>
      <c r="F201" s="503"/>
      <c r="G201" s="503"/>
      <c r="H201" s="503"/>
      <c r="I201" s="503"/>
      <c r="J201" s="503"/>
      <c r="K201" s="503"/>
      <c r="L201" s="503"/>
      <c r="M201" s="503"/>
      <c r="N201" s="503"/>
      <c r="O201" s="503"/>
      <c r="P201" s="503"/>
      <c r="Q201" s="503"/>
    </row>
    <row r="202" spans="2:17">
      <c r="B202" s="503"/>
      <c r="C202" s="503"/>
      <c r="D202" s="503"/>
      <c r="E202" s="503"/>
      <c r="F202" s="503"/>
      <c r="G202" s="503"/>
      <c r="H202" s="503"/>
      <c r="I202" s="503"/>
      <c r="J202" s="503"/>
      <c r="K202" s="503"/>
      <c r="L202" s="503"/>
      <c r="M202" s="503"/>
      <c r="N202" s="503"/>
      <c r="O202" s="503"/>
      <c r="P202" s="503"/>
      <c r="Q202" s="503"/>
    </row>
    <row r="203" spans="2:17">
      <c r="B203" s="503"/>
      <c r="C203" s="503"/>
      <c r="D203" s="503"/>
      <c r="E203" s="503"/>
      <c r="F203" s="503"/>
      <c r="G203" s="503"/>
      <c r="H203" s="503"/>
      <c r="I203" s="503"/>
      <c r="J203" s="503"/>
      <c r="K203" s="503"/>
      <c r="L203" s="503"/>
      <c r="M203" s="503"/>
      <c r="N203" s="503"/>
      <c r="O203" s="503"/>
      <c r="P203" s="503"/>
      <c r="Q203" s="503"/>
    </row>
    <row r="204" spans="2:17">
      <c r="B204" s="503"/>
      <c r="C204" s="503"/>
      <c r="D204" s="503"/>
      <c r="E204" s="503"/>
      <c r="F204" s="503"/>
      <c r="G204" s="503"/>
      <c r="H204" s="503"/>
      <c r="I204" s="503"/>
      <c r="J204" s="503"/>
      <c r="K204" s="503"/>
      <c r="L204" s="503"/>
      <c r="M204" s="503"/>
      <c r="N204" s="503"/>
      <c r="O204" s="503"/>
      <c r="P204" s="503"/>
      <c r="Q204" s="503"/>
    </row>
    <row r="205" spans="2:17">
      <c r="B205" s="503"/>
      <c r="C205" s="503"/>
      <c r="D205" s="503"/>
      <c r="E205" s="503"/>
      <c r="F205" s="503"/>
      <c r="G205" s="503"/>
      <c r="H205" s="503"/>
      <c r="I205" s="503"/>
      <c r="J205" s="503"/>
      <c r="K205" s="503"/>
      <c r="L205" s="503"/>
      <c r="M205" s="503"/>
      <c r="N205" s="503"/>
      <c r="O205" s="503"/>
      <c r="P205" s="503"/>
      <c r="Q205" s="503"/>
    </row>
    <row r="206" spans="2:17">
      <c r="B206" s="503"/>
      <c r="C206" s="503"/>
      <c r="D206" s="503"/>
      <c r="E206" s="503"/>
      <c r="F206" s="503"/>
      <c r="G206" s="503"/>
      <c r="H206" s="503"/>
      <c r="I206" s="503"/>
      <c r="J206" s="503"/>
      <c r="K206" s="503"/>
      <c r="L206" s="503"/>
      <c r="M206" s="503"/>
      <c r="N206" s="503"/>
      <c r="O206" s="503"/>
      <c r="P206" s="503"/>
      <c r="Q206" s="503"/>
    </row>
    <row r="207" spans="2:17">
      <c r="B207" s="503"/>
      <c r="C207" s="503"/>
      <c r="D207" s="503"/>
      <c r="E207" s="503"/>
      <c r="F207" s="503"/>
      <c r="G207" s="503"/>
      <c r="H207" s="503"/>
      <c r="I207" s="503"/>
      <c r="J207" s="503"/>
      <c r="K207" s="503"/>
      <c r="L207" s="503"/>
      <c r="M207" s="503"/>
      <c r="N207" s="503"/>
      <c r="O207" s="503"/>
      <c r="P207" s="503"/>
      <c r="Q207" s="503"/>
    </row>
    <row r="208" spans="2:17">
      <c r="B208" s="503"/>
      <c r="C208" s="503"/>
      <c r="D208" s="503"/>
      <c r="E208" s="503"/>
      <c r="F208" s="503"/>
      <c r="G208" s="503"/>
      <c r="H208" s="503"/>
      <c r="I208" s="503"/>
      <c r="J208" s="503"/>
      <c r="K208" s="503"/>
      <c r="L208" s="503"/>
      <c r="M208" s="503"/>
      <c r="N208" s="503"/>
      <c r="O208" s="503"/>
      <c r="P208" s="503"/>
      <c r="Q208" s="503"/>
    </row>
    <row r="209" spans="2:17">
      <c r="B209" s="503"/>
      <c r="C209" s="503"/>
      <c r="D209" s="503"/>
      <c r="E209" s="503"/>
      <c r="F209" s="503"/>
      <c r="G209" s="503"/>
      <c r="H209" s="503"/>
      <c r="I209" s="503"/>
      <c r="J209" s="503"/>
      <c r="K209" s="503"/>
      <c r="L209" s="503"/>
      <c r="M209" s="503"/>
      <c r="N209" s="503"/>
      <c r="O209" s="503"/>
      <c r="P209" s="503"/>
      <c r="Q209" s="503"/>
    </row>
    <row r="210" spans="2:17">
      <c r="B210" s="503"/>
      <c r="C210" s="503"/>
      <c r="D210" s="503"/>
      <c r="E210" s="503"/>
      <c r="F210" s="503"/>
      <c r="G210" s="503"/>
      <c r="H210" s="503"/>
      <c r="I210" s="503"/>
      <c r="J210" s="503"/>
      <c r="K210" s="503"/>
      <c r="L210" s="503"/>
      <c r="M210" s="503"/>
      <c r="N210" s="503"/>
      <c r="O210" s="503"/>
      <c r="P210" s="503"/>
      <c r="Q210" s="503"/>
    </row>
    <row r="211" spans="2:17">
      <c r="B211" s="503"/>
      <c r="C211" s="503"/>
      <c r="D211" s="503"/>
      <c r="E211" s="503"/>
      <c r="F211" s="503"/>
      <c r="G211" s="503"/>
      <c r="H211" s="503"/>
      <c r="I211" s="503"/>
      <c r="J211" s="503"/>
      <c r="K211" s="503"/>
      <c r="L211" s="503"/>
      <c r="M211" s="503"/>
      <c r="N211" s="503"/>
      <c r="O211" s="503"/>
      <c r="P211" s="503"/>
      <c r="Q211" s="503"/>
    </row>
    <row r="212" spans="2:17">
      <c r="B212" s="503"/>
      <c r="C212" s="503"/>
      <c r="D212" s="503"/>
      <c r="E212" s="503"/>
      <c r="F212" s="503"/>
      <c r="G212" s="503"/>
      <c r="H212" s="503"/>
      <c r="I212" s="503"/>
      <c r="J212" s="503"/>
      <c r="K212" s="503"/>
      <c r="L212" s="503"/>
      <c r="M212" s="503"/>
      <c r="N212" s="503"/>
      <c r="O212" s="503"/>
      <c r="P212" s="503"/>
      <c r="Q212" s="503"/>
    </row>
    <row r="213" spans="2:17">
      <c r="B213" s="503"/>
      <c r="C213" s="503"/>
      <c r="D213" s="503"/>
      <c r="E213" s="503"/>
      <c r="F213" s="503"/>
      <c r="G213" s="503"/>
      <c r="H213" s="503"/>
      <c r="I213" s="503"/>
      <c r="J213" s="503"/>
      <c r="K213" s="503"/>
      <c r="L213" s="503"/>
      <c r="M213" s="503"/>
      <c r="N213" s="503"/>
      <c r="O213" s="503"/>
      <c r="P213" s="503"/>
      <c r="Q213" s="503"/>
    </row>
    <row r="214" spans="2:17">
      <c r="B214" s="503"/>
      <c r="C214" s="503"/>
      <c r="D214" s="503"/>
      <c r="E214" s="503"/>
      <c r="F214" s="503"/>
      <c r="G214" s="503"/>
      <c r="H214" s="503"/>
      <c r="I214" s="503"/>
      <c r="J214" s="503"/>
      <c r="K214" s="503"/>
      <c r="L214" s="503"/>
      <c r="M214" s="503"/>
      <c r="N214" s="503"/>
      <c r="O214" s="503"/>
      <c r="P214" s="503"/>
      <c r="Q214" s="503"/>
    </row>
    <row r="215" spans="2:17">
      <c r="B215" s="503"/>
      <c r="C215" s="503"/>
      <c r="D215" s="503"/>
      <c r="E215" s="503"/>
      <c r="F215" s="503"/>
      <c r="G215" s="503"/>
      <c r="H215" s="503"/>
      <c r="I215" s="503"/>
      <c r="J215" s="503"/>
      <c r="K215" s="503"/>
      <c r="L215" s="503"/>
      <c r="M215" s="503"/>
      <c r="N215" s="503"/>
      <c r="O215" s="503"/>
      <c r="P215" s="503"/>
      <c r="Q215" s="503"/>
    </row>
    <row r="216" spans="2:17">
      <c r="B216" s="503"/>
      <c r="C216" s="503"/>
      <c r="D216" s="503"/>
      <c r="E216" s="503"/>
      <c r="F216" s="503"/>
      <c r="G216" s="503"/>
      <c r="H216" s="503"/>
      <c r="I216" s="503"/>
      <c r="J216" s="503"/>
      <c r="K216" s="503"/>
      <c r="L216" s="503"/>
      <c r="M216" s="503"/>
      <c r="N216" s="503"/>
      <c r="O216" s="503"/>
      <c r="P216" s="503"/>
      <c r="Q216" s="503"/>
    </row>
    <row r="217" spans="2:17">
      <c r="B217" s="503"/>
      <c r="C217" s="503"/>
      <c r="D217" s="503"/>
      <c r="E217" s="503"/>
      <c r="F217" s="503"/>
      <c r="G217" s="503"/>
      <c r="H217" s="503"/>
      <c r="I217" s="503"/>
      <c r="J217" s="503"/>
      <c r="K217" s="503"/>
      <c r="L217" s="503"/>
      <c r="M217" s="503"/>
      <c r="N217" s="503"/>
      <c r="O217" s="503"/>
      <c r="P217" s="503"/>
      <c r="Q217" s="503"/>
    </row>
    <row r="218" spans="2:17">
      <c r="B218" s="503"/>
      <c r="C218" s="503"/>
      <c r="D218" s="503"/>
      <c r="E218" s="503"/>
      <c r="F218" s="503"/>
      <c r="G218" s="503"/>
      <c r="H218" s="503"/>
      <c r="I218" s="503"/>
      <c r="J218" s="503"/>
      <c r="K218" s="503"/>
      <c r="L218" s="503"/>
      <c r="M218" s="503"/>
      <c r="N218" s="503"/>
      <c r="O218" s="503"/>
      <c r="P218" s="503"/>
      <c r="Q218" s="503"/>
    </row>
    <row r="219" spans="2:17">
      <c r="B219" s="503"/>
      <c r="C219" s="503"/>
      <c r="D219" s="503"/>
      <c r="E219" s="503"/>
      <c r="F219" s="503"/>
      <c r="G219" s="503"/>
      <c r="H219" s="503"/>
      <c r="I219" s="503"/>
      <c r="J219" s="503"/>
      <c r="K219" s="503"/>
      <c r="L219" s="503"/>
      <c r="M219" s="503"/>
      <c r="N219" s="503"/>
      <c r="O219" s="503"/>
      <c r="P219" s="503"/>
      <c r="Q219" s="503"/>
    </row>
    <row r="220" spans="2:17">
      <c r="B220" s="503"/>
      <c r="C220" s="503"/>
      <c r="D220" s="503"/>
      <c r="E220" s="503"/>
      <c r="F220" s="503"/>
      <c r="G220" s="503"/>
      <c r="H220" s="503"/>
      <c r="I220" s="503"/>
      <c r="J220" s="503"/>
      <c r="K220" s="503"/>
      <c r="L220" s="503"/>
      <c r="M220" s="503"/>
      <c r="N220" s="503"/>
      <c r="O220" s="503"/>
      <c r="P220" s="503"/>
      <c r="Q220" s="503"/>
    </row>
    <row r="221" spans="2:17">
      <c r="B221" s="503"/>
      <c r="C221" s="503"/>
      <c r="D221" s="503"/>
      <c r="E221" s="503"/>
      <c r="F221" s="503"/>
      <c r="G221" s="503"/>
      <c r="H221" s="503"/>
      <c r="I221" s="503"/>
      <c r="J221" s="503"/>
      <c r="K221" s="503"/>
      <c r="L221" s="503"/>
      <c r="M221" s="503"/>
      <c r="N221" s="503"/>
      <c r="O221" s="503"/>
      <c r="P221" s="503"/>
      <c r="Q221" s="503"/>
    </row>
    <row r="222" spans="2:17">
      <c r="B222" s="503"/>
      <c r="C222" s="503"/>
      <c r="D222" s="503"/>
      <c r="E222" s="503"/>
      <c r="F222" s="503"/>
      <c r="G222" s="503"/>
      <c r="H222" s="503"/>
      <c r="I222" s="503"/>
      <c r="J222" s="503"/>
      <c r="K222" s="503"/>
      <c r="L222" s="503"/>
      <c r="M222" s="503"/>
      <c r="N222" s="503"/>
      <c r="O222" s="503"/>
      <c r="P222" s="503"/>
      <c r="Q222" s="503"/>
    </row>
    <row r="223" spans="2:17">
      <c r="B223" s="503"/>
      <c r="C223" s="503"/>
      <c r="D223" s="503"/>
      <c r="E223" s="503"/>
      <c r="F223" s="503"/>
      <c r="G223" s="503"/>
      <c r="H223" s="503"/>
      <c r="I223" s="503"/>
      <c r="J223" s="503"/>
      <c r="K223" s="503"/>
      <c r="L223" s="503"/>
      <c r="M223" s="503"/>
      <c r="N223" s="503"/>
      <c r="O223" s="503"/>
      <c r="P223" s="503"/>
      <c r="Q223" s="503"/>
    </row>
    <row r="224" spans="2:17">
      <c r="B224" s="503"/>
      <c r="C224" s="503"/>
      <c r="D224" s="503"/>
      <c r="E224" s="503"/>
      <c r="F224" s="503"/>
      <c r="G224" s="503"/>
      <c r="H224" s="503"/>
      <c r="I224" s="503"/>
      <c r="J224" s="503"/>
      <c r="K224" s="503"/>
      <c r="L224" s="503"/>
      <c r="M224" s="503"/>
      <c r="N224" s="503"/>
      <c r="O224" s="503"/>
      <c r="P224" s="503"/>
      <c r="Q224" s="503"/>
    </row>
    <row r="225" spans="2:17">
      <c r="B225" s="503"/>
      <c r="C225" s="503"/>
      <c r="D225" s="503"/>
      <c r="E225" s="503"/>
      <c r="F225" s="503"/>
      <c r="G225" s="503"/>
      <c r="H225" s="503"/>
      <c r="I225" s="503"/>
      <c r="J225" s="503"/>
      <c r="K225" s="503"/>
      <c r="L225" s="503"/>
      <c r="M225" s="503"/>
      <c r="N225" s="503"/>
      <c r="O225" s="503"/>
      <c r="P225" s="503"/>
      <c r="Q225" s="503"/>
    </row>
  </sheetData>
  <mergeCells count="6">
    <mergeCell ref="A7:A8"/>
    <mergeCell ref="A3:Q3"/>
    <mergeCell ref="N6:Q6"/>
    <mergeCell ref="C6:H6"/>
    <mergeCell ref="I6:M6"/>
    <mergeCell ref="B1:C1"/>
  </mergeCells>
  <phoneticPr fontId="24" type="noConversion"/>
  <hyperlinks>
    <hyperlink ref="B1" location="Index!A1" display="Back to Index"/>
    <hyperlink ref="C1" location="Index!A1" display="Index!A1"/>
  </hyperlinks>
  <printOptions horizontalCentered="1" verticalCentered="1"/>
  <pageMargins left="0.79000000000000015" right="0" top="0.98" bottom="0.98" header="0.51" footer="0.51"/>
  <pageSetup paperSize="9" scale="57" fitToHeight="2" orientation="landscape" horizontalDpi="4294967292" verticalDpi="4294967292"/>
  <ignoredErrors>
    <ignoredError sqref="D36 D9 D12 D18 D21" formula="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enableFormatConditionsCalculation="0">
    <tabColor theme="5" tint="0.59999389629810485"/>
    <pageSetUpPr fitToPage="1"/>
  </sheetPr>
  <dimension ref="A1:P225"/>
  <sheetViews>
    <sheetView workbookViewId="0">
      <pane xSplit="1" ySplit="8" topLeftCell="B9" activePane="bottomRight" state="frozen"/>
      <selection activeCell="B1" sqref="B1:C1"/>
      <selection pane="topRight" activeCell="B1" sqref="B1:C1"/>
      <selection pane="bottomLeft" activeCell="B1" sqref="B1:C1"/>
      <selection pane="bottomRight" activeCell="A4" sqref="A4:L4"/>
    </sheetView>
  </sheetViews>
  <sheetFormatPr baseColWidth="10" defaultColWidth="12" defaultRowHeight="12" x14ac:dyDescent="0"/>
  <cols>
    <col min="1" max="1" width="12.83203125" style="444" customWidth="1"/>
    <col min="2" max="2" width="12.83203125" style="443" customWidth="1"/>
    <col min="3" max="6" width="12.83203125" style="444" customWidth="1"/>
    <col min="7" max="8" width="11.83203125" style="444" customWidth="1"/>
    <col min="9" max="9" width="11.83203125" style="442" customWidth="1"/>
    <col min="10" max="10" width="11.83203125" style="444" customWidth="1"/>
    <col min="11" max="11" width="11.83203125" style="442" customWidth="1"/>
    <col min="12" max="12" width="11.83203125" style="444" customWidth="1"/>
    <col min="13" max="16384" width="12" style="444"/>
  </cols>
  <sheetData>
    <row r="1" spans="1:16">
      <c r="B1" s="2252" t="s">
        <v>1416</v>
      </c>
      <c r="C1" s="2252"/>
    </row>
    <row r="2" spans="1:16" ht="15">
      <c r="A2" s="685"/>
      <c r="G2" s="443"/>
      <c r="H2" s="443"/>
      <c r="J2" s="443"/>
      <c r="L2" s="443"/>
    </row>
    <row r="3" spans="1:16" ht="13" thickBot="1"/>
    <row r="4" spans="1:16" ht="19.75" customHeight="1" thickTop="1">
      <c r="A4" s="2315" t="s">
        <v>1321</v>
      </c>
      <c r="B4" s="2316"/>
      <c r="C4" s="2316"/>
      <c r="D4" s="2316"/>
      <c r="E4" s="2316"/>
      <c r="F4" s="2316"/>
      <c r="G4" s="2316"/>
      <c r="H4" s="2316"/>
      <c r="I4" s="2316"/>
      <c r="J4" s="2316"/>
      <c r="K4" s="2316"/>
      <c r="L4" s="2317"/>
    </row>
    <row r="5" spans="1:16">
      <c r="A5" s="445"/>
      <c r="B5" s="1607"/>
      <c r="C5" s="446"/>
      <c r="D5" s="446"/>
      <c r="E5" s="446"/>
      <c r="F5" s="446"/>
      <c r="G5" s="446"/>
      <c r="H5" s="446"/>
      <c r="I5" s="1618"/>
      <c r="J5" s="446"/>
      <c r="K5" s="1618"/>
      <c r="L5" s="617"/>
    </row>
    <row r="6" spans="1:16" ht="13" thickBot="1">
      <c r="A6" s="445"/>
      <c r="B6" s="1608" t="s">
        <v>952</v>
      </c>
      <c r="C6" s="866" t="s">
        <v>953</v>
      </c>
      <c r="D6" s="866" t="s">
        <v>954</v>
      </c>
      <c r="E6" s="866" t="s">
        <v>955</v>
      </c>
      <c r="F6" s="866" t="s">
        <v>956</v>
      </c>
      <c r="G6" s="859" t="s">
        <v>957</v>
      </c>
      <c r="H6" s="867" t="s">
        <v>958</v>
      </c>
      <c r="I6" s="867" t="s">
        <v>959</v>
      </c>
      <c r="J6" s="867" t="s">
        <v>960</v>
      </c>
      <c r="K6" s="867" t="s">
        <v>961</v>
      </c>
      <c r="L6" s="949" t="s">
        <v>962</v>
      </c>
    </row>
    <row r="7" spans="1:16" ht="60" customHeight="1">
      <c r="A7" s="2331"/>
      <c r="B7" s="2332" t="s">
        <v>1101</v>
      </c>
      <c r="C7" s="2334" t="s">
        <v>1102</v>
      </c>
      <c r="D7" s="2334" t="s">
        <v>1103</v>
      </c>
      <c r="E7" s="2336" t="s">
        <v>1104</v>
      </c>
      <c r="F7" s="2338" t="s">
        <v>1105</v>
      </c>
      <c r="G7" s="2340" t="s">
        <v>1106</v>
      </c>
      <c r="H7" s="2341"/>
      <c r="I7" s="2342" t="s">
        <v>1107</v>
      </c>
      <c r="J7" s="2343"/>
      <c r="K7" s="2343"/>
      <c r="L7" s="2344"/>
    </row>
    <row r="8" spans="1:16" ht="49.75" customHeight="1">
      <c r="A8" s="2331"/>
      <c r="B8" s="2333"/>
      <c r="C8" s="2335"/>
      <c r="D8" s="2335"/>
      <c r="E8" s="2337"/>
      <c r="F8" s="2339"/>
      <c r="G8" s="2167" t="s">
        <v>924</v>
      </c>
      <c r="H8" s="2166" t="s">
        <v>925</v>
      </c>
      <c r="I8" s="2167" t="s">
        <v>921</v>
      </c>
      <c r="J8" s="2169" t="s">
        <v>922</v>
      </c>
      <c r="K8" s="2175" t="s">
        <v>1108</v>
      </c>
      <c r="L8" s="2170" t="s">
        <v>923</v>
      </c>
    </row>
    <row r="9" spans="1:16" ht="15" customHeight="1">
      <c r="A9" s="463" t="s">
        <v>444</v>
      </c>
      <c r="B9" s="875">
        <f>TableUK4d!D9-TableUK4b!D10</f>
        <v>-2.3197907211885728E-2</v>
      </c>
      <c r="C9" s="487">
        <f>((5*SUMPRODUCT(TableUK5e!F10:F24,TableUK5e!$B10:$B24)+5*SUMPRODUCT(TableUK5e!F10:F24,TableUK5e!$B11:$B25)+5*AVERAGE(TableUK5e!$B24:$B25)*TableUK5e!F24)*DataUK1!$HU169/DataUK1!$HU71+SUMPRODUCT(TableUK5c!$B10:$B164,TableUK5c!F10:F164))/((10*SUM(TableUK5e!$B11:$B24)+5*TableUK5e!$B10+5*TableUK5e!$B25+5*AVERAGE(TableUK5e!$B24:$B25))*DataUK1!$HU169/DataUK1!$HU71+SUM(TableUK5c!$B10:$B164))</f>
        <v>1.4476094395439723E-2</v>
      </c>
      <c r="D9" s="871">
        <f>B9-C9</f>
        <v>-3.7674001607325452E-2</v>
      </c>
      <c r="E9" s="1605">
        <f>D9-F9</f>
        <v>-8.1742526776166606E-3</v>
      </c>
      <c r="F9" s="487">
        <f>-((5*SUMPRODUCT(TableUK12c!M10:M24,TableUK5e!$B10:$B24)+5*SUMPRODUCT(TableUK12c!M10:M24,TableUK5e!$B11:$B25)+5*AVERAGE(TableUK5e!$B24:$B25)*TableUK12c!M24)*DataUK1!$HU169/DataUK1!$HU71+SUMPRODUCT(TableUK5c!$B10:$B164,TableUK12c!M10:M164))/((10*SUM(TableUK5e!$B11:$B24)+5*TableUK5e!$B10+5*TableUK5e!$B25+5*AVERAGE(TableUK5e!$B24:$B25))*DataUK1!$HU169/DataUK1!$HU71+SUM(TableUK5c!$B10:$B164))</f>
        <v>-2.9499748929708792E-2</v>
      </c>
      <c r="G9" s="950">
        <f>TableUK6f!H31</f>
        <v>0.19473331051928794</v>
      </c>
      <c r="H9" s="951">
        <f>H18</f>
        <v>6.7880819934466041E-3</v>
      </c>
      <c r="I9" s="638">
        <f>$G9/((1+TableUK4b!B10)^310)</f>
        <v>1.2292333899315811E-3</v>
      </c>
      <c r="J9" s="1603">
        <f>J36+J12/(1+TableUK4d!$B36)^100</f>
        <v>-1.0734252770286614</v>
      </c>
      <c r="K9" s="1621">
        <f>K36+K12/(1+TableUK4d!$B36)^100</f>
        <v>-1.2263347639068662</v>
      </c>
      <c r="L9" s="623">
        <f>H9-I9-J9</f>
        <v>1.0789841256321764</v>
      </c>
      <c r="N9" s="682"/>
    </row>
    <row r="10" spans="1:16" ht="15" customHeight="1">
      <c r="A10" s="448"/>
      <c r="B10" s="1609"/>
      <c r="C10" s="472"/>
      <c r="D10" s="477"/>
      <c r="E10" s="477"/>
      <c r="F10" s="1600"/>
      <c r="G10" s="807"/>
      <c r="H10" s="478"/>
      <c r="I10" s="1619"/>
      <c r="J10" s="476"/>
      <c r="K10" s="495"/>
      <c r="L10" s="657"/>
      <c r="N10" s="442"/>
      <c r="O10" s="442"/>
      <c r="P10" s="442"/>
    </row>
    <row r="11" spans="1:16" ht="4.75" customHeight="1">
      <c r="A11" s="451"/>
      <c r="B11" s="1569"/>
      <c r="C11" s="458"/>
      <c r="D11" s="461"/>
      <c r="E11" s="461"/>
      <c r="F11" s="458"/>
      <c r="G11" s="459"/>
      <c r="H11" s="458"/>
      <c r="I11" s="1619"/>
      <c r="J11" s="654"/>
      <c r="K11" s="654"/>
      <c r="L11" s="658"/>
      <c r="N11" s="442"/>
      <c r="O11" s="442"/>
      <c r="P11" s="442"/>
    </row>
    <row r="12" spans="1:16" ht="15" customHeight="1">
      <c r="A12" s="463" t="s">
        <v>443</v>
      </c>
      <c r="B12" s="875">
        <f>TableUK4d!D12-TableUK4b!D13</f>
        <v>-4.3139431933832961E-3</v>
      </c>
      <c r="C12" s="487">
        <f>(C15*(10*SUM(TableUK5e!$B11:$B20)+5*TableUK5e!$B10+5*TableUK5e!$B21)+C21*(10*SUM(TableUK5e!$B22:$B24)+5*TableUK5e!$B21+5*TableUK5e!$B25+5*AVERAGE(TableUK5e!$B24:$B25)+SUM(TableUK5c!$B10:$B64)*DataUK1!$HU71/DataUK1!$HU169))/(10*SUM(TableUK5e!$B11:$B20)+5*TableUK5e!$B10+5*TableUK5e!$B21+10*SUM(TableUK5e!$B22:$B24)+5*TableUK5e!$B21+5*TableUK5e!$B25+5*AVERAGE(TableUK5e!$B24:$B25)+SUM(TableUK5c!$B10:$B64)*DataUK1!$HU71/DataUK1!$HU169)</f>
        <v>9.2768943563753259E-3</v>
      </c>
      <c r="D12" s="871">
        <f>B12-C12</f>
        <v>-1.3590837549758622E-2</v>
      </c>
      <c r="E12" s="1605">
        <f>D12-F12</f>
        <v>9.903332571813795E-3</v>
      </c>
      <c r="F12" s="487">
        <f>(F15*(10*SUM(TableUK5e!$B11:$B20)+5*TableUK5e!$B10+5*TableUK5e!$B21)+F21*(10*SUM(TableUK5e!$B22:$B24)+5*TableUK5e!$B21+5*TableUK5e!$B25+5*AVERAGE(TableUK5e!$B24:$B25)+SUM(TableUK5c!$B10:$B64)*DataUK1!$HU71/DataUK1!$HU169))/(10*SUM(TableUK5e!$B11:$B20)+5*TableUK5e!$B10+5*TableUK5e!$B21+10*SUM(TableUK5e!$B22:B24)+5*TableUK5e!$B21+5*TableUK5e!$B25+5*AVERAGE(TableUK5e!$B24:$B25)+SUM(TableUK5c!$B10:$B64)*DataUK1!$HU71/DataUK1!$HU169)</f>
        <v>-2.3494170121572417E-2</v>
      </c>
      <c r="G12" s="950">
        <f>G9</f>
        <v>0.19473331051928794</v>
      </c>
      <c r="H12" s="951">
        <f>TableUK6a!H65</f>
        <v>0.15976354211172272</v>
      </c>
      <c r="I12" s="638">
        <f>$G12/((1+TableUK4b!B13)^210)</f>
        <v>8.5937178739422821E-3</v>
      </c>
      <c r="J12" s="1603">
        <f>J21+J15/(1+TableUK4d!$B21)^100</f>
        <v>-0.21349449907756962</v>
      </c>
      <c r="K12" s="1621">
        <f>K21+K15/(1+TableUK4d!$B21)^100</f>
        <v>-1.205400400119196</v>
      </c>
      <c r="L12" s="623">
        <f>H12-I12-J12</f>
        <v>0.36466432331535004</v>
      </c>
      <c r="N12" s="682"/>
    </row>
    <row r="13" spans="1:16" ht="15" customHeight="1">
      <c r="A13" s="448"/>
      <c r="B13" s="1609"/>
      <c r="C13" s="487"/>
      <c r="D13" s="477"/>
      <c r="E13" s="477"/>
      <c r="F13" s="487"/>
      <c r="G13" s="807"/>
      <c r="H13" s="478"/>
      <c r="I13" s="1619"/>
      <c r="J13" s="476"/>
      <c r="K13" s="495"/>
      <c r="L13" s="657"/>
      <c r="N13" s="442"/>
      <c r="O13" s="824"/>
      <c r="P13" s="824"/>
    </row>
    <row r="14" spans="1:16" ht="4.75" customHeight="1">
      <c r="A14" s="451"/>
      <c r="B14" s="1569"/>
      <c r="C14" s="458"/>
      <c r="D14" s="461"/>
      <c r="E14" s="461"/>
      <c r="F14" s="458"/>
      <c r="G14" s="459"/>
      <c r="H14" s="458"/>
      <c r="I14" s="1619"/>
      <c r="J14" s="654"/>
      <c r="K14" s="654"/>
      <c r="L14" s="658"/>
      <c r="N14" s="442"/>
      <c r="O14" s="824"/>
      <c r="P14" s="824"/>
    </row>
    <row r="15" spans="1:16" ht="15" customHeight="1">
      <c r="A15" s="463" t="s">
        <v>676</v>
      </c>
      <c r="B15" s="875">
        <f>TableUK4d!D15-TableUK4b!D16</f>
        <v>-3.0952143007860436E-2</v>
      </c>
      <c r="C15" s="487">
        <f>(5*SUMPRODUCT(TableUK5e!F10:F20,TableUK5e!$B10:$B20)+5*SUMPRODUCT(TableUK5e!F10:F20,TableUK5e!$B11:$B21))/(10*SUM(TableUK5e!$B11:$B20)+5*TableUK5e!$B10+5*TableUK5e!$B21)</f>
        <v>6.1092342956978315E-3</v>
      </c>
      <c r="D15" s="871">
        <f>B15-C15</f>
        <v>-3.7061377303558268E-2</v>
      </c>
      <c r="E15" s="1605">
        <f>D15-F15</f>
        <v>-1.1644845736968265E-3</v>
      </c>
      <c r="F15" s="487">
        <f>-(5*SUMPRODUCT(TableUK12c!M10:M20,TableUK5e!$B10:$B20)+5*SUMPRODUCT(TableUK12c!M10:M20,TableUK5e!$B11:$B21))/(10*SUM(TableUK5e!$B11:$B20)+5*TableUK5e!$B10+5*TableUK5e!$B21)</f>
        <v>-3.5896892729861442E-2</v>
      </c>
      <c r="G15" s="622">
        <f>G9</f>
        <v>0.19473331051928794</v>
      </c>
      <c r="H15" s="621">
        <f>G18</f>
        <v>-0.52416579350077064</v>
      </c>
      <c r="I15" s="638">
        <f>$G15/((1+TableUK4b!B16)^110)</f>
        <v>6.6714092772208231E-2</v>
      </c>
      <c r="J15" s="889">
        <f>B15*(10*SUM(TableUK5e!$B11:$B20)+5*TableUK5e!$B10+5*TableUK5e!$B21)/TableUK5e!$B21</f>
        <v>-1.9747175138161903</v>
      </c>
      <c r="K15" s="1622">
        <f>F15*(10*SUM(TableUK5e!$B11:$B20)+5*TableUK5e!$B10+5*TableUK5e!$B21)/TableUK5e!$B21</f>
        <v>-2.2901878796320045</v>
      </c>
      <c r="L15" s="623">
        <f>H15-I15-J15</f>
        <v>1.3838376275432114</v>
      </c>
      <c r="N15" s="682"/>
      <c r="P15" s="823"/>
    </row>
    <row r="16" spans="1:16" ht="15" customHeight="1">
      <c r="A16" s="448"/>
      <c r="B16" s="1610"/>
      <c r="C16" s="472"/>
      <c r="D16" s="477"/>
      <c r="E16" s="477"/>
      <c r="F16" s="472"/>
      <c r="G16" s="807"/>
      <c r="H16" s="478"/>
      <c r="I16" s="459"/>
      <c r="J16" s="476"/>
      <c r="K16" s="495"/>
      <c r="L16" s="657"/>
      <c r="N16" s="442"/>
      <c r="O16" s="824"/>
      <c r="P16" s="824"/>
    </row>
    <row r="17" spans="1:16" ht="4.75" customHeight="1">
      <c r="A17" s="451"/>
      <c r="B17" s="1569"/>
      <c r="C17" s="458"/>
      <c r="D17" s="461"/>
      <c r="E17" s="461"/>
      <c r="F17" s="458"/>
      <c r="G17" s="459"/>
      <c r="H17" s="458"/>
      <c r="I17" s="459"/>
      <c r="J17" s="461"/>
      <c r="K17" s="461"/>
      <c r="L17" s="658"/>
      <c r="N17" s="442"/>
      <c r="O17" s="824"/>
      <c r="P17" s="824"/>
    </row>
    <row r="18" spans="1:16" ht="15" customHeight="1">
      <c r="A18" s="463" t="s">
        <v>387</v>
      </c>
      <c r="B18" s="875">
        <f>TableUK4d!D18-TableUK4b!D19</f>
        <v>-2.2933659897142633E-2</v>
      </c>
      <c r="C18" s="1598">
        <f>(C36*SUM(TableUK5c!$B65:$B164)+C21*((10*SUM(TableUK5e!$B22:$B24)+5*TableUK5e!$B21+5*TableUK5e!$B25+5*AVERAGE(TableUK5e!$B24:$B25))*DataUK1!$HU169/DataUK1!$HU71+SUM(TableUK5c!$B10:$B64)))/(SUM(TableUK5c!$B65:$B164)+((10*SUM(TableUK5e!$B22:$B24)+5*TableUK5e!$B21+5*TableUK5e!$B25+5*AVERAGE(TableUK5e!$B24:$B25))*DataUK1!$HU169/DataUK1!$HU71+SUM(TableUK5c!$B10:$B64)))</f>
        <v>1.4728709531838179E-2</v>
      </c>
      <c r="D18" s="871">
        <f>B18-C18</f>
        <v>-3.766236942898081E-2</v>
      </c>
      <c r="E18" s="1605">
        <f>D18-F18</f>
        <v>-1.1923022652604365E-2</v>
      </c>
      <c r="F18" s="1598">
        <f>(F36*SUM(TableUK5c!$B65:$B164)+F21*((10*SUM(TableUK5e!$B22:$B24)+5*TableUK5e!$B21+5*TableUK5e!$B25+5*AVERAGE(TableUK5e!$B24:$B25))*DataUK1!$HU169/DataUK1!$HU71+SUM(TableUK5c!$B10:$B64)))/(SUM(TableUK5c!$B65:$B164)+((10*SUM(TableUK5e!$B22:$B24)+5*TableUK5e!$B21+5*TableUK5e!$B25+5*AVERAGE(TableUK5e!$B24:$B25))*DataUK1!$HU169/DataUK1!$HU71+SUM(TableUK5c!$B10:$B64)))</f>
        <v>-2.5739346776376446E-2</v>
      </c>
      <c r="G18" s="622">
        <f>G21</f>
        <v>-0.52416579350077064</v>
      </c>
      <c r="H18" s="860">
        <f>H78</f>
        <v>6.7880819934466041E-3</v>
      </c>
      <c r="I18" s="638">
        <f>$G18/((1+TableUK4b!B19)^200)</f>
        <v>-9.6579608364177928E-3</v>
      </c>
      <c r="J18" s="1604">
        <f>J36+J21/(1+TableUK4b!$B37)^100</f>
        <v>-1.0370403304184497</v>
      </c>
      <c r="K18" s="1623">
        <f>K36+K21/(1+TableUK4b!$B37)^100</f>
        <v>-1.1841371517700647</v>
      </c>
      <c r="L18" s="623">
        <f>H18-I18-J18</f>
        <v>1.0534863732483142</v>
      </c>
      <c r="N18" s="682"/>
    </row>
    <row r="19" spans="1:16" ht="15" customHeight="1">
      <c r="A19" s="448"/>
      <c r="B19" s="1611"/>
      <c r="C19" s="868"/>
      <c r="D19" s="868"/>
      <c r="E19" s="868"/>
      <c r="F19" s="868"/>
      <c r="G19" s="627"/>
      <c r="H19" s="629"/>
      <c r="I19" s="627"/>
      <c r="J19" s="628"/>
      <c r="K19" s="628"/>
      <c r="L19" s="630"/>
    </row>
    <row r="20" spans="1:16" ht="4.75" customHeight="1">
      <c r="A20" s="451"/>
      <c r="B20" s="1612"/>
      <c r="C20" s="869"/>
      <c r="D20" s="869"/>
      <c r="E20" s="869"/>
      <c r="F20" s="869"/>
      <c r="G20" s="459"/>
      <c r="H20" s="460"/>
      <c r="I20" s="459"/>
      <c r="J20" s="458"/>
      <c r="K20" s="458"/>
      <c r="L20" s="462"/>
    </row>
    <row r="21" spans="1:16" ht="15" customHeight="1">
      <c r="A21" s="463" t="s">
        <v>665</v>
      </c>
      <c r="B21" s="875">
        <f>TableUK4d!D21-TableUK4b!D22</f>
        <v>9.5157910958593162E-4</v>
      </c>
      <c r="C21" s="1598">
        <f>(C24*(10*SUM(TableUK5e!$B22:$B24)+5*TableUK5e!$B21+5*TableUK5e!$B25+5*AVERAGE(TableUK5e!$B24:$B25))+SUMPRODUCT(TableUK5c!F10:F64,TableUK5c!$B10:$B64)*DataUK1!$HU71/DataUK1!$HU169)/(10*SUM(TableUK5e!$B22:$B24)+5*TableUK5e!$B21+5*TableUK5e!$B25+5*AVERAGE(TableUK5e!$B24:$B25)+SUM(TableUK5c!$B10:$B64)*DataUK1!$HU71/DataUK1!$HU169)</f>
        <v>9.8645944114712E-3</v>
      </c>
      <c r="D21" s="871">
        <f>B21-C21</f>
        <v>-8.9130153018852683E-3</v>
      </c>
      <c r="E21" s="1605">
        <f>D21-F21</f>
        <v>1.2280061703441798E-2</v>
      </c>
      <c r="F21" s="1598">
        <f>(F24*(10*SUM(TableUK5e!$B22:$B24)+5*TableUK5e!$B21+5*TableUK5e!$B25+5*AVERAGE(TableUK5e!$B24:$B25))+F27*SUM(TableUK5c!$B10:$B64)*DataUK1!$HU71/DataUK1!$HU169)/(10*SUM(TableUK5e!$B22:$B24)+5*TableUK5e!$B21+5*TableUK5e!$B25+5*AVERAGE(TableUK5e!$B24:$B25)+SUM(TableUK5c!$B10:$B64)*DataUK1!$HU71/DataUK1!$HU169)</f>
        <v>-2.1193077005327066E-2</v>
      </c>
      <c r="G21" s="622">
        <f>TableUK6f!H33</f>
        <v>-0.52416579350077064</v>
      </c>
      <c r="H21" s="860">
        <f>H12</f>
        <v>0.15976354211172272</v>
      </c>
      <c r="I21" s="638">
        <f>$G21/((1+TableUK4b!B22)^100)</f>
        <v>-6.751996109573416E-2</v>
      </c>
      <c r="J21" s="621">
        <f>B21*((10*SUM(TableUK5e!$B22:$B24)+5*TableUK5e!$B21+5*TableUK5e!$B25+5*AVERAGE(TableUK5e!$B24:$B25))*DataUK1!$HU169/DataUK1!$HU71+SUM(TableUK5c!$B10:$B64))/TableUK5c!$B65</f>
        <v>4.0877021081038419E-2</v>
      </c>
      <c r="K21" s="637">
        <f>F21*((10*SUM(TableUK5e!$B22:$B24)+5*TableUK5e!$B21+5*TableUK5e!$B25+5*AVERAGE(TableUK5e!$B24:$B25))*DataUK1!$HU169/DataUK1!$HU71+SUM(TableUK5c!$B10:$B64))/TableUK5c!$B65</f>
        <v>-0.91039183898834164</v>
      </c>
      <c r="L21" s="623">
        <f>H21-I21-J21</f>
        <v>0.18640648212641847</v>
      </c>
      <c r="N21" s="682"/>
    </row>
    <row r="22" spans="1:16" ht="15" customHeight="1">
      <c r="A22" s="448"/>
      <c r="B22" s="1611"/>
      <c r="C22" s="868"/>
      <c r="D22" s="868"/>
      <c r="E22" s="428"/>
      <c r="F22" s="868"/>
      <c r="G22" s="627"/>
      <c r="H22" s="629"/>
      <c r="I22" s="627"/>
      <c r="J22" s="628"/>
      <c r="K22" s="628"/>
      <c r="L22" s="630"/>
    </row>
    <row r="23" spans="1:16" ht="4.75" customHeight="1">
      <c r="A23" s="451"/>
      <c r="B23" s="1612"/>
      <c r="C23" s="869"/>
      <c r="D23" s="869"/>
      <c r="E23" s="428"/>
      <c r="F23" s="869"/>
      <c r="G23" s="459"/>
      <c r="H23" s="460"/>
      <c r="I23" s="459"/>
      <c r="J23" s="458"/>
      <c r="K23" s="458"/>
      <c r="L23" s="462"/>
    </row>
    <row r="24" spans="1:16" ht="15" customHeight="1">
      <c r="A24" s="463" t="s">
        <v>437</v>
      </c>
      <c r="B24" s="875">
        <f>TableUK4d!D24-TableUK4b!D25</f>
        <v>4.1044972882655073E-3</v>
      </c>
      <c r="C24" s="1598">
        <f>(5*SUMPRODUCT(TableUK5e!$B21:$B24,TableUK5e!F21:F24)+5*SUMPRODUCT(TableUK5e!$B22:$B25,TableUK5e!F21:F24)+5*TableUK5e!F24*AVERAGE(TableUK5e!$B24,TableUK5e!$B25))/(10*SUM(TableUK5e!$B22:$B24)+5*TableUK5e!$B21+5*TableUK5e!$B25+5*AVERAGE(TableUK5e!$B24:$B25))</f>
        <v>1.02735E-2</v>
      </c>
      <c r="D24" s="871">
        <f>B24-C24</f>
        <v>-6.1690027117344923E-3</v>
      </c>
      <c r="E24" s="1605">
        <f>D24-F24</f>
        <v>4.9821712774503417E-2</v>
      </c>
      <c r="F24" s="1598">
        <f>-(5*SUMPRODUCT(TableUK5e!$B21:$B24,TableUK12c!M21:M24)+5*SUMPRODUCT(TableUK5e!$B22:$B25,TableUK12c!M21:M24)+5*TableUK12c!M24*AVERAGE(TableUK5e!$B24,TableUK5e!$B25))/(10*SUM(TableUK5e!$B22:$B24)+5*TableUK5e!$B21+5*TableUK5e!$B25+5*AVERAGE(TableUK5e!$B24:$B25))</f>
        <v>-5.5990715486237908E-2</v>
      </c>
      <c r="G24" s="953">
        <f>G18</f>
        <v>-0.52416579350077064</v>
      </c>
      <c r="H24" s="952">
        <f>TableUK6f!H34</f>
        <v>-0.61780677862957878</v>
      </c>
      <c r="I24" s="638">
        <f>$G24/((1+TableUK4b!B25)^45)</f>
        <v>-0.23486519665815356</v>
      </c>
      <c r="J24" s="1602">
        <f>B24*(10*SUM(TableUK5e!$B22:$B24)+5*TableUK5e!$B21+5*TableUK5e!$B25+5*AVERAGE(TableUK5e!$B24:$B25))/TableUK5e!$B25</f>
        <v>0.12457639510438835</v>
      </c>
      <c r="K24" s="1601">
        <f>F24*(10*SUM(TableUK5e!$B22:$B24)+5*TableUK5e!$B21+5*TableUK5e!$B25+5*AVERAGE(TableUK5e!$B24:$B25))/TableUK5e!$B25</f>
        <v>-1.6993850902356278</v>
      </c>
      <c r="L24" s="623">
        <f>H24-I24-J24</f>
        <v>-0.50751797707581359</v>
      </c>
      <c r="N24" s="682"/>
    </row>
    <row r="25" spans="1:16" ht="15" customHeight="1">
      <c r="A25" s="451"/>
      <c r="B25" s="1612"/>
      <c r="C25" s="869"/>
      <c r="D25" s="869"/>
      <c r="E25" s="428"/>
      <c r="F25" s="1599"/>
      <c r="G25" s="459"/>
      <c r="H25" s="460"/>
      <c r="I25" s="459"/>
      <c r="J25" s="458"/>
      <c r="K25" s="458"/>
      <c r="L25" s="462"/>
    </row>
    <row r="26" spans="1:16" ht="4.75" customHeight="1">
      <c r="A26" s="451"/>
      <c r="B26" s="1612"/>
      <c r="C26" s="869"/>
      <c r="D26" s="869"/>
      <c r="E26" s="428"/>
      <c r="F26" s="869"/>
      <c r="G26" s="459"/>
      <c r="H26" s="460"/>
      <c r="I26" s="459"/>
      <c r="J26" s="458"/>
      <c r="K26" s="458"/>
      <c r="L26" s="462"/>
    </row>
    <row r="27" spans="1:16" ht="15" customHeight="1">
      <c r="A27" s="463" t="s">
        <v>442</v>
      </c>
      <c r="B27" s="875">
        <f>TableUK4d!D27-TableUK4b!D28</f>
        <v>-3.0383129792400793E-3</v>
      </c>
      <c r="C27" s="871">
        <f>SUMPRODUCT(TableUK12d!F25:F79,TableUK1!$D10:$D64)/SUM(TableUK1!$D10:$D64)</f>
        <v>9.760366109325588E-3</v>
      </c>
      <c r="D27" s="871">
        <f>B27-C27</f>
        <v>-1.2798679088565667E-2</v>
      </c>
      <c r="E27" s="1605">
        <f>D27-F27</f>
        <v>-4.7537270826568563E-4</v>
      </c>
      <c r="F27" s="871">
        <f>-SUMPRODUCT(TableUK12c!M25:M79,TableUK1!$D10:$D64)/SUM(TableUK1!$D10:$D64)</f>
        <v>-1.2323306380299982E-2</v>
      </c>
      <c r="G27" s="953">
        <f>H24</f>
        <v>-0.61780677862957878</v>
      </c>
      <c r="H27" s="1585">
        <f>H21</f>
        <v>0.15976354211172272</v>
      </c>
      <c r="I27" s="638">
        <f>$G27/((1+TableUK4b!B28)^55)</f>
        <v>-0.17760949792175845</v>
      </c>
      <c r="J27" s="1602">
        <f>B27*SUM(TableUK5c!$B10:$B64)/TableUK5c!$B65</f>
        <v>-0.10400619195464082</v>
      </c>
      <c r="K27" s="1601">
        <f>F27*SUM(TableUK5c!$B10:$B64)/TableUK5c!$B65</f>
        <v>-0.42184599732246797</v>
      </c>
      <c r="L27" s="623">
        <f>H27-I27-J27</f>
        <v>0.44137923198812201</v>
      </c>
      <c r="N27" s="682"/>
    </row>
    <row r="28" spans="1:16" ht="15" customHeight="1">
      <c r="A28" s="451"/>
      <c r="B28" s="1613"/>
      <c r="C28" s="869"/>
      <c r="D28" s="869"/>
      <c r="E28" s="428"/>
      <c r="F28" s="869"/>
      <c r="G28" s="459"/>
      <c r="H28" s="460"/>
      <c r="I28" s="459"/>
      <c r="J28" s="458"/>
      <c r="K28" s="458"/>
      <c r="L28" s="462"/>
    </row>
    <row r="29" spans="1:16" ht="4.75" customHeight="1">
      <c r="A29" s="451"/>
      <c r="B29" s="1612"/>
      <c r="C29" s="869"/>
      <c r="D29" s="869"/>
      <c r="E29" s="428"/>
      <c r="F29" s="869"/>
      <c r="G29" s="459"/>
      <c r="H29" s="460"/>
      <c r="I29" s="459"/>
      <c r="J29" s="458"/>
      <c r="K29" s="458"/>
      <c r="L29" s="462"/>
    </row>
    <row r="30" spans="1:16" ht="15" customHeight="1">
      <c r="A30" s="463" t="s">
        <v>1041</v>
      </c>
      <c r="B30" s="875">
        <f>TableUK4d!D30-TableUK4b!D31</f>
        <v>-2.3993675055611861E-2</v>
      </c>
      <c r="C30" s="871">
        <f>SUMPRODUCT(TableUK12d!F40:F180,TableUK1!$D25:$D165)/SUM(TableUK1!$D25:$D165)</f>
        <v>1.5082930237215873E-2</v>
      </c>
      <c r="D30" s="871">
        <f>B30-C30</f>
        <v>-3.9076605292827735E-2</v>
      </c>
      <c r="E30" s="1605">
        <f>D30-F30</f>
        <v>-1.3986098575345079E-2</v>
      </c>
      <c r="F30" s="871">
        <f>-SUMPRODUCT(TableUK12c!M40:M180,TableUK1!$D25:$D165)/SUM(TableUK1!$D25:$D165)</f>
        <v>-2.5090506717482655E-2</v>
      </c>
      <c r="G30" s="622">
        <f>TableUK6a!H25</f>
        <v>-0.38847781017394312</v>
      </c>
      <c r="H30" s="860">
        <f>TableUK6a!H165</f>
        <v>6.7880819934466041E-3</v>
      </c>
      <c r="I30" s="638">
        <f>$G30/((1+TableUK4b!B31)^140)</f>
        <v>-2.6326717312037451E-2</v>
      </c>
      <c r="J30" s="621">
        <f>B30*SUM(TableUK5c!$B25:$B164)/TableUK5c!$B165</f>
        <v>-1.0544565994540145</v>
      </c>
      <c r="K30" s="637">
        <f>F30*SUM(TableUK5c!$B25:$B164)/TableUK5c!$B165</f>
        <v>-1.1026593604595349</v>
      </c>
      <c r="L30" s="623">
        <f>H30-I30-J30</f>
        <v>1.0875713987594986</v>
      </c>
      <c r="N30" s="682"/>
    </row>
    <row r="31" spans="1:16" ht="15" customHeight="1">
      <c r="A31" s="448"/>
      <c r="B31" s="1611"/>
      <c r="C31" s="868"/>
      <c r="D31" s="868"/>
      <c r="E31" s="428"/>
      <c r="F31" s="868"/>
      <c r="G31" s="627"/>
      <c r="H31" s="629"/>
      <c r="I31" s="627"/>
      <c r="J31" s="628"/>
      <c r="K31" s="628"/>
      <c r="L31" s="630"/>
    </row>
    <row r="32" spans="1:16" ht="4.75" customHeight="1">
      <c r="A32" s="451"/>
      <c r="B32" s="1612"/>
      <c r="C32" s="869"/>
      <c r="D32" s="1606"/>
      <c r="E32" s="428"/>
      <c r="F32" s="869"/>
      <c r="G32" s="459"/>
      <c r="H32" s="460"/>
      <c r="I32" s="459"/>
      <c r="J32" s="458"/>
      <c r="K32" s="458"/>
      <c r="L32" s="462"/>
    </row>
    <row r="33" spans="1:16" ht="15" customHeight="1">
      <c r="A33" s="463" t="s">
        <v>1042</v>
      </c>
      <c r="B33" s="875">
        <f>TableUK4d!D33-TableUK4b!D34</f>
        <v>-2.83085680499294E-3</v>
      </c>
      <c r="C33" s="871">
        <f>SUMPRODUCT(TableUK12d!F40:F79,TableUK1!$D25:$D64)/SUM(TableUK1!$D25:$D64)</f>
        <v>1.1065230595892307E-2</v>
      </c>
      <c r="D33" s="871">
        <f>B33-C33</f>
        <v>-1.3896087400885247E-2</v>
      </c>
      <c r="E33" s="1605">
        <f>D33-F33</f>
        <v>-3.6899193648230084E-3</v>
      </c>
      <c r="F33" s="871">
        <f>-SUMPRODUCT(TableUK12c!M40:M79,TableUK1!$D25:$D64)/SUM(TableUK1!$D25:$D64)</f>
        <v>-1.0206168036062238E-2</v>
      </c>
      <c r="G33" s="622">
        <f>G30</f>
        <v>-0.38847781017394312</v>
      </c>
      <c r="H33" s="860">
        <f>H21</f>
        <v>0.15976354211172272</v>
      </c>
      <c r="I33" s="638">
        <f>$G33/((1+TableUK4b!B34)^40)</f>
        <v>-0.18405323430018128</v>
      </c>
      <c r="J33" s="621">
        <f>B33*SUM(TableUK1!$D25:$D64)/TableUK1!$D65</f>
        <v>-8.0882201971495427E-2</v>
      </c>
      <c r="K33" s="637">
        <f>F33*SUM(TableUK1!$D25:$D64)/TableUK1!$D65</f>
        <v>-0.29160688841337051</v>
      </c>
      <c r="L33" s="623">
        <f>H33-I33-J33</f>
        <v>0.42469897838339943</v>
      </c>
      <c r="N33" s="682"/>
    </row>
    <row r="34" spans="1:16" ht="15" customHeight="1">
      <c r="A34" s="448"/>
      <c r="B34" s="1611"/>
      <c r="C34" s="868"/>
      <c r="D34" s="868"/>
      <c r="E34" s="868"/>
      <c r="F34" s="868"/>
      <c r="G34" s="627"/>
      <c r="H34" s="629"/>
      <c r="I34" s="627"/>
      <c r="J34" s="628"/>
      <c r="K34" s="628"/>
      <c r="L34" s="630"/>
    </row>
    <row r="35" spans="1:16" ht="4.75" customHeight="1">
      <c r="A35" s="451"/>
      <c r="B35" s="1612"/>
      <c r="C35" s="869"/>
      <c r="D35" s="869"/>
      <c r="E35" s="869"/>
      <c r="F35" s="869"/>
      <c r="G35" s="459"/>
      <c r="H35" s="460"/>
      <c r="I35" s="459"/>
      <c r="J35" s="458"/>
      <c r="K35" s="458"/>
      <c r="L35" s="462"/>
    </row>
    <row r="36" spans="1:16" ht="15" customHeight="1">
      <c r="A36" s="463" t="s">
        <v>666</v>
      </c>
      <c r="B36" s="875">
        <f>TableUK4d!D36-TableUK4b!D37</f>
        <v>-2.6163475911547322E-2</v>
      </c>
      <c r="C36" s="871">
        <f>(SUMPRODUCT(TableUK12d!F80:F180,TableUK1!$D65:$D165)-TableUK12d!F90*TableUK1!$D75)/(SUM(TableUK1!$D65:$D165)-TableUK1!$D75)</f>
        <v>1.5478516538319047E-2</v>
      </c>
      <c r="D36" s="871">
        <f>B36-C36</f>
        <v>-4.1641992449866369E-2</v>
      </c>
      <c r="E36" s="1605">
        <f>D36-F36</f>
        <v>-1.5201834766813065E-2</v>
      </c>
      <c r="F36" s="871">
        <f>-(SUMPRODUCT(TableUK12c!M80:M180,TableUK1!$D65:$D165)-TableUK12d!L90*TableUK1!$D75)/(SUM(TableUK1!$D65:$D165)-TableUK1!$D75)</f>
        <v>-2.6440157683053304E-2</v>
      </c>
      <c r="G36" s="622">
        <f>H33</f>
        <v>0.15976354211172272</v>
      </c>
      <c r="H36" s="860">
        <f>H18</f>
        <v>6.7880819934466041E-3</v>
      </c>
      <c r="I36" s="638">
        <f>$G36/((1+TableUK4b!B37)^100)</f>
        <v>2.2852353700480235E-2</v>
      </c>
      <c r="J36" s="621">
        <f>B36*(SUM(TableUK1!$D65:$D165)-TableUK1!$D75)/TableUK1!$D166</f>
        <v>-1.0428873223642883</v>
      </c>
      <c r="K36" s="637">
        <f>F36*(SUM(TableUK1!$D65:$D165)-TableUK1!$D75)/TableUK1!$D166</f>
        <v>-1.0539159759273085</v>
      </c>
      <c r="L36" s="623">
        <f>H36-I36-J36</f>
        <v>1.0268230506572547</v>
      </c>
      <c r="N36" s="682"/>
    </row>
    <row r="37" spans="1:16" ht="15" customHeight="1">
      <c r="A37" s="448"/>
      <c r="B37" s="1611"/>
      <c r="C37" s="868"/>
      <c r="D37" s="868"/>
      <c r="E37" s="868"/>
      <c r="F37" s="868"/>
      <c r="G37" s="627"/>
      <c r="H37" s="629"/>
      <c r="I37" s="627"/>
      <c r="J37" s="628"/>
      <c r="K37" s="628"/>
      <c r="L37" s="630"/>
    </row>
    <row r="38" spans="1:16" ht="4.75" customHeight="1">
      <c r="A38" s="448"/>
      <c r="B38" s="1611"/>
      <c r="C38" s="868"/>
      <c r="D38" s="868"/>
      <c r="E38" s="868"/>
      <c r="F38" s="868"/>
      <c r="G38" s="473"/>
      <c r="H38" s="493"/>
      <c r="I38" s="473"/>
      <c r="J38" s="472"/>
      <c r="K38" s="472"/>
      <c r="L38" s="613"/>
    </row>
    <row r="39" spans="1:16" ht="15" customHeight="1">
      <c r="A39" s="463" t="s">
        <v>667</v>
      </c>
      <c r="B39" s="875">
        <f>TableUK4d!D39-TableUK4b!D40</f>
        <v>-0.10426327245033853</v>
      </c>
      <c r="C39" s="871">
        <f>(SUMPRODUCT(TableUK12d!F80:F120,TableUK1!$D65:$D105)-TableUK12d!F90*TableUK1!$D75)/(SUM(TableUK1!$D65:$D105)-TableUK1!$D75)</f>
        <v>1.4050845762187118E-2</v>
      </c>
      <c r="D39" s="871">
        <f>B39-C39</f>
        <v>-0.11831411821252566</v>
      </c>
      <c r="E39" s="1605">
        <f>D39-F39</f>
        <v>-7.9906350012074148E-2</v>
      </c>
      <c r="F39" s="871">
        <f>-(SUMPRODUCT(TableUK12c!M80:M120,TableUK1!$D65:$D105)-TableUK12c!M90*TableUK1!$D75)/(SUM(TableUK1!$D65:$D105)-TableUK1!$D75)</f>
        <v>-3.8407768200451511E-2</v>
      </c>
      <c r="G39" s="622">
        <f>G36</f>
        <v>0.15976354211172272</v>
      </c>
      <c r="H39" s="860">
        <f>TableUK6a!H105</f>
        <v>-1.4663142889110803</v>
      </c>
      <c r="I39" s="638">
        <f>$G39/((1+TableUK4b!B40)^40)</f>
        <v>9.0822834800130522E-2</v>
      </c>
      <c r="J39" s="621">
        <f>B39*(SUM(TableUK1!$D65:$D105)-TableUK1!$D75)/TableUK1!$D106</f>
        <v>-3.001834220921666</v>
      </c>
      <c r="K39" s="637">
        <f>F39*(SUM(TableUK1!$D65:$D105)-TableUK1!$D75)/TableUK1!$D106</f>
        <v>-1.105794497177879</v>
      </c>
      <c r="L39" s="623">
        <f>H39-I39-J39</f>
        <v>1.4446970972104551</v>
      </c>
      <c r="N39" s="682"/>
    </row>
    <row r="40" spans="1:16" ht="15" customHeight="1">
      <c r="A40" s="448"/>
      <c r="B40" s="1611"/>
      <c r="C40" s="868"/>
      <c r="D40" s="487"/>
      <c r="E40" s="428"/>
      <c r="F40" s="868"/>
      <c r="G40" s="627"/>
      <c r="H40" s="629"/>
      <c r="I40" s="627"/>
      <c r="J40" s="628"/>
      <c r="K40" s="628"/>
      <c r="L40" s="630"/>
    </row>
    <row r="41" spans="1:16" ht="4" customHeight="1">
      <c r="A41" s="448"/>
      <c r="B41" s="1611"/>
      <c r="C41" s="868"/>
      <c r="D41" s="868"/>
      <c r="E41" s="868"/>
      <c r="F41" s="868"/>
      <c r="G41" s="473"/>
      <c r="H41" s="493"/>
      <c r="I41" s="473"/>
      <c r="J41" s="472"/>
      <c r="K41" s="472"/>
      <c r="L41" s="613"/>
    </row>
    <row r="42" spans="1:16" ht="15" customHeight="1">
      <c r="A42" s="463" t="s">
        <v>374</v>
      </c>
      <c r="B42" s="875">
        <f>TableUK4d!D42-TableUK4b!D43</f>
        <v>-8.8171462224844871E-3</v>
      </c>
      <c r="C42" s="871">
        <f>SUMPRODUCT(TableUK12d!F121:F180,TableUK1!$D106:$D165)/SUM(TableUK1!$D106:$D165)</f>
        <v>1.5795608887694431E-2</v>
      </c>
      <c r="D42" s="871">
        <f>B42-C42</f>
        <v>-2.4612755110178918E-2</v>
      </c>
      <c r="E42" s="871">
        <f>D42-F42</f>
        <v>-7.1823194740401608E-4</v>
      </c>
      <c r="F42" s="871">
        <f>-SUMPRODUCT(TableUK12c!M121:M180,TableUK1!$D106:$D165)/SUM(TableUK1!$D106:$D165)</f>
        <v>-2.3894523162774902E-2</v>
      </c>
      <c r="G42" s="622">
        <f>H39</f>
        <v>-1.4663142889110803</v>
      </c>
      <c r="H42" s="860">
        <f>H18</f>
        <v>6.7880819934466041E-3</v>
      </c>
      <c r="I42" s="638">
        <f>$G42/((1+TableUK4b!B43)^60)</f>
        <v>-0.36894612285561224</v>
      </c>
      <c r="J42" s="621">
        <f>B42*SUM(TableUK1!$D106:$D165)/TableUK1!$D166</f>
        <v>-0.28758192457892651</v>
      </c>
      <c r="K42" s="637">
        <f>F42*SUM(TableUK1!$D106:$D165)/TableUK1!$D166</f>
        <v>-0.77934887146628962</v>
      </c>
      <c r="L42" s="623">
        <f>H42-I42-J42</f>
        <v>0.66331612942798535</v>
      </c>
      <c r="N42" s="682"/>
    </row>
    <row r="43" spans="1:16" ht="15" customHeight="1">
      <c r="A43" s="448"/>
      <c r="B43" s="1611"/>
      <c r="C43" s="868"/>
      <c r="D43" s="868"/>
      <c r="E43" s="868"/>
      <c r="F43" s="868"/>
      <c r="G43" s="627"/>
      <c r="H43" s="629"/>
      <c r="I43" s="627"/>
      <c r="J43" s="628"/>
      <c r="K43" s="628"/>
      <c r="L43" s="630"/>
    </row>
    <row r="44" spans="1:16" ht="4.75" customHeight="1">
      <c r="A44" s="448"/>
      <c r="B44" s="1611"/>
      <c r="C44" s="868"/>
      <c r="D44" s="868"/>
      <c r="E44" s="868"/>
      <c r="F44" s="868"/>
      <c r="G44" s="473"/>
      <c r="H44" s="493"/>
      <c r="I44" s="638"/>
      <c r="J44" s="621"/>
      <c r="K44" s="637"/>
      <c r="L44" s="623"/>
    </row>
    <row r="45" spans="1:16" ht="15">
      <c r="A45" s="479" t="s">
        <v>288</v>
      </c>
      <c r="B45" s="875">
        <f>TableUK4d!D45-TableUK4b!D46</f>
        <v>2.6492099970071278E-2</v>
      </c>
      <c r="C45" s="871">
        <f>SUMPRODUCT(TableUK12d!F121:F150,TableUK1!$D106:$D135)/SUM(TableUK1!$D106:$D135)</f>
        <v>3.038959559109251E-2</v>
      </c>
      <c r="D45" s="871">
        <f>B45-C45</f>
        <v>-3.8974956210212318E-3</v>
      </c>
      <c r="E45" s="871">
        <f>D45-F45</f>
        <v>2.4077444596652682E-2</v>
      </c>
      <c r="F45" s="871">
        <f>-SUMPRODUCT(TableUK12c!M121:M150,TableUK1!$D106:$D135)/SUM(TableUK1!$D106:$D135)</f>
        <v>-2.7974940217673914E-2</v>
      </c>
      <c r="G45" s="622">
        <f>TableUK6a!H105</f>
        <v>-1.4663142889110803</v>
      </c>
      <c r="H45" s="860">
        <f>G48</f>
        <v>0.36451181046460912</v>
      </c>
      <c r="I45" s="638">
        <f>$G45/((1+TableUK4b!B46)^30)</f>
        <v>-0.78473631367720853</v>
      </c>
      <c r="J45" s="621">
        <f>B45*SUM(TableUK1!$D106:$D135)/TableUK1!$D136</f>
        <v>0.6134900737798944</v>
      </c>
      <c r="K45" s="637">
        <f>F45*SUM(TableUK1!$D106:$D135)/TableUK1!$D136</f>
        <v>-0.64782890588204012</v>
      </c>
      <c r="L45" s="623">
        <f>H45-I45-J45</f>
        <v>0.53575805036192337</v>
      </c>
      <c r="N45" s="682"/>
    </row>
    <row r="46" spans="1:16" ht="15">
      <c r="A46" s="633"/>
      <c r="B46" s="1614"/>
      <c r="C46" s="870"/>
      <c r="D46" s="870"/>
      <c r="E46" s="870"/>
      <c r="F46" s="870"/>
      <c r="G46" s="862"/>
      <c r="H46" s="888"/>
      <c r="I46" s="627"/>
      <c r="J46" s="628"/>
      <c r="K46" s="628"/>
      <c r="L46" s="630"/>
    </row>
    <row r="47" spans="1:16" ht="4" customHeight="1">
      <c r="A47" s="633"/>
      <c r="B47" s="1614"/>
      <c r="C47" s="870"/>
      <c r="D47" s="870"/>
      <c r="E47" s="870"/>
      <c r="F47" s="870"/>
      <c r="G47" s="861"/>
      <c r="H47" s="475"/>
      <c r="I47" s="483"/>
      <c r="J47" s="474"/>
      <c r="K47" s="474"/>
      <c r="L47" s="635"/>
    </row>
    <row r="48" spans="1:16" ht="15">
      <c r="A48" s="479" t="s">
        <v>289</v>
      </c>
      <c r="B48" s="875">
        <f>TableUK4d!D48-TableUK4b!D49</f>
        <v>-2.6509510892707991E-2</v>
      </c>
      <c r="C48" s="871">
        <f>SUMPRODUCT(TableUK12d!F151:F180,TableUK1!$D136:$D165)/SUM(TableUK1!$D136:$D165)</f>
        <v>8.4830162217159454E-3</v>
      </c>
      <c r="D48" s="871">
        <f>B48-C48</f>
        <v>-3.4992527114423938E-2</v>
      </c>
      <c r="E48" s="871">
        <f>D48-F48</f>
        <v>-1.3142573981498418E-2</v>
      </c>
      <c r="F48" s="871">
        <f>-SUMPRODUCT(TableUK12c!M151:M180,TableUK1!$D136:$D165)/SUM(TableUK1!$D136:$D165)</f>
        <v>-2.184995313292552E-2</v>
      </c>
      <c r="G48" s="622">
        <f>TableUK6a!H135</f>
        <v>0.36451181046460912</v>
      </c>
      <c r="H48" s="860">
        <f>TableUK6a!H165</f>
        <v>6.7880819934466041E-3</v>
      </c>
      <c r="I48" s="638">
        <f>$G48/((1+TableUK4b!B49)^30)</f>
        <v>0.17137631693862918</v>
      </c>
      <c r="J48" s="621">
        <f>B48*SUM(TableUK1!$D136:$D165)/TableUK1!$D166</f>
        <v>-0.57601611602198766</v>
      </c>
      <c r="K48" s="637">
        <f>F48*SUM(TableUK1!$D136:$D165)/TableUK1!$D166</f>
        <v>-0.47477017549773992</v>
      </c>
      <c r="L48" s="623">
        <f>H48-I48-J48</f>
        <v>0.41142788107680506</v>
      </c>
      <c r="N48" s="682"/>
      <c r="P48" s="621"/>
    </row>
    <row r="49" spans="1:16" ht="15">
      <c r="A49" s="633"/>
      <c r="B49" s="1614"/>
      <c r="C49" s="871"/>
      <c r="D49" s="871"/>
      <c r="E49" s="871"/>
      <c r="F49" s="871"/>
      <c r="G49" s="862"/>
      <c r="H49" s="888"/>
      <c r="I49" s="627"/>
      <c r="J49" s="628"/>
      <c r="K49" s="628"/>
      <c r="L49" s="630"/>
      <c r="P49" s="621"/>
    </row>
    <row r="50" spans="1:16" ht="4" customHeight="1">
      <c r="A50" s="633"/>
      <c r="B50" s="1614"/>
      <c r="C50" s="871"/>
      <c r="D50" s="871"/>
      <c r="E50" s="871"/>
      <c r="F50" s="871"/>
      <c r="G50" s="862"/>
      <c r="H50" s="888"/>
      <c r="I50" s="483"/>
      <c r="J50" s="474"/>
      <c r="K50" s="474"/>
      <c r="L50" s="635"/>
    </row>
    <row r="51" spans="1:16" ht="15">
      <c r="A51" s="479" t="s">
        <v>375</v>
      </c>
      <c r="B51" s="875">
        <f>TableUK4d!D51-TableUK4b!D52</f>
        <v>3.8060915124205175E-2</v>
      </c>
      <c r="C51" s="871">
        <f>SUMPRODUCT(TableUK12d!F121:F140,TableUK1!$D106:$D125)/SUM(TableUK1!$D106:$D125)</f>
        <v>2.986419375374599E-2</v>
      </c>
      <c r="D51" s="871">
        <f>B51-C51</f>
        <v>8.1967213704591847E-3</v>
      </c>
      <c r="E51" s="871">
        <f>D51-F51</f>
        <v>3.9315998165282112E-2</v>
      </c>
      <c r="F51" s="871">
        <f>-SUMPRODUCT(TableUK12c!M121:M140,TableUK1!$D106:$D125)/SUM(TableUK1!$D106:$D125)</f>
        <v>-3.1119276794822927E-2</v>
      </c>
      <c r="G51" s="622">
        <f>G45</f>
        <v>-1.4663142889110803</v>
      </c>
      <c r="H51" s="860">
        <f>G54</f>
        <v>8.6105014350835729E-2</v>
      </c>
      <c r="I51" s="638">
        <f>$G51/((1+TableUK4b!B52)^20)</f>
        <v>-0.88001602164192594</v>
      </c>
      <c r="J51" s="621">
        <f>B51*SUM(TableUK1!$D106:$D125)/TableUK1!$D126</f>
        <v>0.57876194336900444</v>
      </c>
      <c r="K51" s="637">
        <f>F51*SUM(TableUK1!$D106:$D125)/TableUK1!$D126</f>
        <v>-0.47320599242648387</v>
      </c>
      <c r="L51" s="623">
        <f>H51-I51-J51</f>
        <v>0.38735909262375723</v>
      </c>
      <c r="N51" s="682"/>
    </row>
    <row r="52" spans="1:16" ht="15">
      <c r="A52" s="633"/>
      <c r="B52" s="1614"/>
      <c r="C52" s="871"/>
      <c r="D52" s="871"/>
      <c r="E52" s="871"/>
      <c r="F52" s="871"/>
      <c r="G52" s="862"/>
      <c r="H52" s="888"/>
      <c r="I52" s="627"/>
      <c r="J52" s="628"/>
      <c r="K52" s="628"/>
      <c r="L52" s="630"/>
    </row>
    <row r="53" spans="1:16" ht="4" customHeight="1">
      <c r="A53" s="633"/>
      <c r="B53" s="1614"/>
      <c r="C53" s="871"/>
      <c r="D53" s="871"/>
      <c r="E53" s="871"/>
      <c r="F53" s="871"/>
      <c r="G53" s="862"/>
      <c r="H53" s="888"/>
      <c r="I53" s="483"/>
      <c r="J53" s="474"/>
      <c r="K53" s="474"/>
      <c r="L53" s="635"/>
    </row>
    <row r="54" spans="1:16" ht="15">
      <c r="A54" s="479" t="s">
        <v>348</v>
      </c>
      <c r="B54" s="875">
        <f>TableUK4d!D54-TableUK4b!D55</f>
        <v>-2.0206051425227321E-2</v>
      </c>
      <c r="C54" s="871">
        <f>SUMPRODUCT(TableUK12d!F141:F180,TableUK1!$D126:$D165)/SUM(TableUK1!$D126:$D165)</f>
        <v>1.2377682148121209E-2</v>
      </c>
      <c r="D54" s="871">
        <f>B54-C54</f>
        <v>-3.2583733573348532E-2</v>
      </c>
      <c r="E54" s="871">
        <f>D54-F54</f>
        <v>-1.0444445841920617E-2</v>
      </c>
      <c r="F54" s="871">
        <f>-SUMPRODUCT(TableUK12c!M141:M180,TableUK1!$D126:$D165)/SUM(TableUK1!$D126:$D165)</f>
        <v>-2.2139287731427915E-2</v>
      </c>
      <c r="G54" s="622">
        <f>TableUK6a!H125</f>
        <v>8.6105014350835729E-2</v>
      </c>
      <c r="H54" s="860">
        <f>H48</f>
        <v>6.7880819934466041E-3</v>
      </c>
      <c r="I54" s="638">
        <f>$G54/((1+TableUK4b!B55)^40)</f>
        <v>3.6099469125453955E-2</v>
      </c>
      <c r="J54" s="621">
        <f>B54*SUM(TableUK1!$D126:$D165)/TableUK1!$D166</f>
        <v>-0.53022747853596253</v>
      </c>
      <c r="K54" s="637">
        <f>F54*SUM(TableUK1!$D126:$D165)/TableUK1!$D166</f>
        <v>-0.58095757866681419</v>
      </c>
      <c r="L54" s="623">
        <f>H54-I54-J54</f>
        <v>0.50091609140395521</v>
      </c>
      <c r="N54" s="682"/>
    </row>
    <row r="55" spans="1:16" ht="15">
      <c r="A55" s="633"/>
      <c r="B55" s="1614"/>
      <c r="C55" s="871"/>
      <c r="D55" s="871"/>
      <c r="E55" s="871"/>
      <c r="F55" s="871"/>
      <c r="G55" s="862"/>
      <c r="H55" s="888"/>
      <c r="I55" s="627"/>
      <c r="J55" s="628"/>
      <c r="K55" s="628"/>
      <c r="L55" s="630"/>
    </row>
    <row r="56" spans="1:16" ht="4" customHeight="1">
      <c r="A56" s="633"/>
      <c r="B56" s="1614"/>
      <c r="C56" s="871"/>
      <c r="D56" s="871"/>
      <c r="E56" s="871"/>
      <c r="F56" s="871"/>
      <c r="G56" s="862"/>
      <c r="H56" s="888"/>
      <c r="I56" s="483"/>
      <c r="J56" s="474"/>
      <c r="K56" s="474"/>
      <c r="L56" s="635"/>
    </row>
    <row r="57" spans="1:16" ht="15">
      <c r="A57" s="479" t="s">
        <v>376</v>
      </c>
      <c r="B57" s="875">
        <f>TableUK4d!D57-TableUK4b!D58</f>
        <v>-1.8741366575596718E-3</v>
      </c>
      <c r="C57" s="871">
        <f>SUMPRODUCT(TableUK12d!F141:F160,TableUK1!$D126:$D145)/SUM(TableUK1!$D126:$D145)</f>
        <v>1.9331463354665179E-2</v>
      </c>
      <c r="D57" s="871">
        <f>B57-C57</f>
        <v>-2.1205600012224851E-2</v>
      </c>
      <c r="E57" s="871">
        <f>D57-F57</f>
        <v>5.8207875284283679E-3</v>
      </c>
      <c r="F57" s="871">
        <f>-SUMPRODUCT(TableUK12c!M141:M160,TableUK1!$D126:$D145)/SUM(TableUK1!$D126:$D145)</f>
        <v>-2.7026387540653219E-2</v>
      </c>
      <c r="G57" s="622">
        <f>G54</f>
        <v>8.6105014350835729E-2</v>
      </c>
      <c r="H57" s="860">
        <f>TableUK6a!H145</f>
        <v>0.65036485081769813</v>
      </c>
      <c r="I57" s="638">
        <f>$G57/((1+TableUK4b!B58)^20)</f>
        <v>5.8227926268229604E-2</v>
      </c>
      <c r="J57" s="621">
        <f>B57*SUM(TableUK1!$D126:$D145)/TableUK1!$D146</f>
        <v>-2.9694147040197249E-2</v>
      </c>
      <c r="K57" s="637">
        <f>F57*SUM(TableUK1!$D126:$D145)/TableUK1!$D146</f>
        <v>-0.42821078300794052</v>
      </c>
      <c r="L57" s="623">
        <f>H57-I57-J57</f>
        <v>0.62183107158966577</v>
      </c>
      <c r="N57" s="682"/>
    </row>
    <row r="58" spans="1:16" ht="15">
      <c r="A58" s="633"/>
      <c r="B58" s="1614"/>
      <c r="C58" s="871"/>
      <c r="D58" s="871"/>
      <c r="E58" s="871"/>
      <c r="F58" s="871"/>
      <c r="G58" s="862"/>
      <c r="H58" s="888"/>
      <c r="I58" s="627"/>
      <c r="J58" s="628"/>
      <c r="K58" s="628"/>
      <c r="L58" s="630"/>
    </row>
    <row r="59" spans="1:16" ht="4" customHeight="1">
      <c r="A59" s="633"/>
      <c r="B59" s="1614"/>
      <c r="C59" s="871"/>
      <c r="D59" s="871"/>
      <c r="E59" s="871"/>
      <c r="F59" s="871"/>
      <c r="G59" s="861"/>
      <c r="H59" s="475"/>
      <c r="I59" s="483"/>
      <c r="J59" s="474"/>
      <c r="K59" s="474"/>
      <c r="L59" s="635"/>
    </row>
    <row r="60" spans="1:16" ht="15">
      <c r="A60" s="479" t="s">
        <v>377</v>
      </c>
      <c r="B60" s="875">
        <f>TableUK4d!D60-TableUK4b!D61</f>
        <v>-3.1173939595516342E-2</v>
      </c>
      <c r="C60" s="871">
        <f>SUMPRODUCT(TableUK12d!F161:F180,TableUK1!$D146:$D165)/SUM(TableUK1!$D146:$D165)</f>
        <v>8.217271432676072E-3</v>
      </c>
      <c r="D60" s="871">
        <f>B60-C60</f>
        <v>-3.9391211028192416E-2</v>
      </c>
      <c r="E60" s="871">
        <f>D60-F60</f>
        <v>-2.0175849403990424E-2</v>
      </c>
      <c r="F60" s="871">
        <f>-SUMPRODUCT(TableUK12c!M161:M180,TableUK1!$D146:$D165)/SUM(TableUK1!$D146:$D165)</f>
        <v>-1.9215361624201992E-2</v>
      </c>
      <c r="G60" s="622">
        <f>H57</f>
        <v>0.65036485081769813</v>
      </c>
      <c r="H60" s="860">
        <f>H48</f>
        <v>6.7880819934466041E-3</v>
      </c>
      <c r="I60" s="638">
        <f>$G60/((1+TableUK4b!B61)^20)</f>
        <v>0.4032055983622424</v>
      </c>
      <c r="J60" s="621">
        <f>B60*SUM(TableUK1!$D146:$D165)/TableUK1!$D166</f>
        <v>-0.51181804833667432</v>
      </c>
      <c r="K60" s="637">
        <f>F60*SUM(TableUK1!$D146:$D165)/TableUK1!$D166</f>
        <v>-0.31548046259757934</v>
      </c>
      <c r="L60" s="623">
        <f>H60-I60-J60</f>
        <v>0.11540053196787853</v>
      </c>
      <c r="N60" s="682"/>
    </row>
    <row r="61" spans="1:16" ht="15">
      <c r="A61" s="633"/>
      <c r="B61" s="1614"/>
      <c r="C61" s="871"/>
      <c r="D61" s="871"/>
      <c r="E61" s="871"/>
      <c r="F61" s="871"/>
      <c r="G61" s="862"/>
      <c r="H61" s="888"/>
      <c r="I61" s="627"/>
      <c r="J61" s="628"/>
      <c r="K61" s="628"/>
      <c r="L61" s="630"/>
    </row>
    <row r="62" spans="1:16" ht="4.75" customHeight="1">
      <c r="A62" s="407"/>
      <c r="B62" s="1615"/>
      <c r="C62" s="1328"/>
      <c r="D62" s="1328"/>
      <c r="E62" s="1328"/>
      <c r="F62" s="1328"/>
      <c r="G62" s="862"/>
      <c r="H62" s="888"/>
      <c r="I62" s="473"/>
      <c r="J62" s="472"/>
      <c r="K62" s="472"/>
      <c r="L62" s="613"/>
    </row>
    <row r="63" spans="1:16" ht="15">
      <c r="A63" s="485" t="s">
        <v>378</v>
      </c>
      <c r="B63" s="875">
        <f>TableUK4d!D63-TableUK4b!D64</f>
        <v>3.1399362343208254E-2</v>
      </c>
      <c r="C63" s="871">
        <f>SUMPRODUCT(TableUK12d!F121:F130,TableUK1!$D106:$D115)/SUM(TableUK1!$D106:$D115)</f>
        <v>2.5987606534509832E-2</v>
      </c>
      <c r="D63" s="871">
        <f>B63-C63</f>
        <v>5.4117558086984215E-3</v>
      </c>
      <c r="E63" s="871">
        <f>D63-F63</f>
        <v>4.0345438478251769E-2</v>
      </c>
      <c r="F63" s="871">
        <f>-SUMPRODUCT(TableUK12c!M121:M130,TableUK1!$D106:$D115)/SUM(TableUK1!$D106:$D115)</f>
        <v>-3.4933682669553351E-2</v>
      </c>
      <c r="G63" s="638">
        <f>G45</f>
        <v>-1.4663142889110803</v>
      </c>
      <c r="H63" s="864">
        <f>TableUK6a!H115</f>
        <v>-0.4041168656473958</v>
      </c>
      <c r="I63" s="638">
        <f>$G63/((1+TableUK4b!B64)^10)</f>
        <v>-1.1532990145337183</v>
      </c>
      <c r="J63" s="637">
        <f>B63*SUM(TableUK1!$D106:$D115)/TableUK1!$D116</f>
        <v>0.26935656548874415</v>
      </c>
      <c r="K63" s="637">
        <f>F63*SUM(TableUK1!$D106:$D115)/TableUK1!$D116</f>
        <v>-0.29967540999379161</v>
      </c>
      <c r="L63" s="639">
        <f>H63-I63-J63</f>
        <v>0.47982558339757836</v>
      </c>
      <c r="N63" s="682"/>
    </row>
    <row r="64" spans="1:16" ht="15">
      <c r="A64" s="492"/>
      <c r="B64" s="1616"/>
      <c r="C64" s="872"/>
      <c r="D64" s="872"/>
      <c r="E64" s="872"/>
      <c r="F64" s="872"/>
      <c r="G64" s="862"/>
      <c r="H64" s="888"/>
      <c r="I64" s="627"/>
      <c r="J64" s="628"/>
      <c r="K64" s="628"/>
      <c r="L64" s="630"/>
    </row>
    <row r="65" spans="1:14" ht="4.75" customHeight="1">
      <c r="A65" s="448"/>
      <c r="B65" s="1611"/>
      <c r="C65" s="873"/>
      <c r="D65" s="873"/>
      <c r="E65" s="873"/>
      <c r="F65" s="873"/>
      <c r="G65" s="862"/>
      <c r="H65" s="888"/>
      <c r="I65" s="473"/>
      <c r="J65" s="472"/>
      <c r="K65" s="472"/>
      <c r="L65" s="613"/>
    </row>
    <row r="66" spans="1:14" ht="15">
      <c r="A66" s="485" t="s">
        <v>379</v>
      </c>
      <c r="B66" s="875">
        <f>TableUK4d!D66-TableUK4b!D67</f>
        <v>4.3095773962052386E-2</v>
      </c>
      <c r="C66" s="871">
        <f>SUMPRODUCT(TableUK12d!F131:F140,TableUK1!$D116:$D125)/SUM(TableUK1!$D116:$D125)</f>
        <v>3.2794151687448009E-2</v>
      </c>
      <c r="D66" s="871">
        <f>B66-C66</f>
        <v>1.0301622274604377E-2</v>
      </c>
      <c r="E66" s="871">
        <f>D66-F66</f>
        <v>3.8537938330257301E-2</v>
      </c>
      <c r="F66" s="871">
        <f>-SUMPRODUCT(TableUK12c!M131:M140,TableUK1!$D116:$D125)/SUM(TableUK1!$D116:$D125)</f>
        <v>-2.8236316055652924E-2</v>
      </c>
      <c r="G66" s="638">
        <f>H63</f>
        <v>-0.4041168656473958</v>
      </c>
      <c r="H66" s="864">
        <f>G69</f>
        <v>8.6105014350835729E-2</v>
      </c>
      <c r="I66" s="638">
        <f>$G66/((1+TableUK4b!B67)^10)</f>
        <v>-0.30835829381958529</v>
      </c>
      <c r="J66" s="637">
        <f>B66*SUM(TableUK1!$D116:$D125)/TableUK1!$D126</f>
        <v>0.37323146933112161</v>
      </c>
      <c r="K66" s="637">
        <f>F66*SUM(TableUK1!$D116:$D125)/TableUK1!$D126</f>
        <v>-0.24454095520430905</v>
      </c>
      <c r="L66" s="639">
        <f>H66-I66-J66</f>
        <v>2.1231838839299411E-2</v>
      </c>
      <c r="N66" s="682"/>
    </row>
    <row r="67" spans="1:14" ht="15">
      <c r="A67" s="492"/>
      <c r="B67" s="1616"/>
      <c r="C67" s="872"/>
      <c r="D67" s="872"/>
      <c r="E67" s="872"/>
      <c r="F67" s="872"/>
      <c r="G67" s="862"/>
      <c r="H67" s="888"/>
      <c r="I67" s="627"/>
      <c r="J67" s="628"/>
      <c r="K67" s="628"/>
      <c r="L67" s="630"/>
    </row>
    <row r="68" spans="1:14" ht="4.75" customHeight="1">
      <c r="A68" s="448"/>
      <c r="B68" s="1611"/>
      <c r="C68" s="873"/>
      <c r="D68" s="873"/>
      <c r="E68" s="873"/>
      <c r="F68" s="873"/>
      <c r="G68" s="862"/>
      <c r="H68" s="888"/>
      <c r="I68" s="473"/>
      <c r="J68" s="472"/>
      <c r="K68" s="472"/>
      <c r="L68" s="613"/>
    </row>
    <row r="69" spans="1:14" ht="15">
      <c r="A69" s="485" t="s">
        <v>380</v>
      </c>
      <c r="B69" s="875">
        <f>TableUK4d!D69-TableUK4b!D70</f>
        <v>1.0147369718769478E-2</v>
      </c>
      <c r="C69" s="871">
        <f>SUMPRODUCT(TableUK12d!F141:F150,TableUK1!$D126:$D135)/SUM(TableUK1!$D126:$D135)</f>
        <v>3.1131897303977824E-2</v>
      </c>
      <c r="D69" s="871">
        <f>B69-C69</f>
        <v>-2.0984527585208346E-2</v>
      </c>
      <c r="E69" s="871">
        <f>D69-F69</f>
        <v>2.5480101488855669E-3</v>
      </c>
      <c r="F69" s="871">
        <f>-SUMPRODUCT(TableUK12c!M141:M150,TableUK1!$D126:$D135)/SUM(TableUK1!$D126:$D135)</f>
        <v>-2.3532537734093913E-2</v>
      </c>
      <c r="G69" s="638">
        <f>G54</f>
        <v>8.6105014350835729E-2</v>
      </c>
      <c r="H69" s="864">
        <f>G48</f>
        <v>0.36451181046460912</v>
      </c>
      <c r="I69" s="638">
        <f>$G69/((1+TableUK4b!B70)^10)</f>
        <v>7.6782387921446052E-2</v>
      </c>
      <c r="J69" s="637">
        <f>B69*SUM(TableUK1!$D126:$D135)/TableUK1!$D136</f>
        <v>9.7390931529445821E-2</v>
      </c>
      <c r="K69" s="637">
        <f>F69*SUM(TableUK1!$D126:$D135)/TableUK1!$D136</f>
        <v>-0.22585712698888066</v>
      </c>
      <c r="L69" s="639">
        <f>H69-I69-J69</f>
        <v>0.19033849101371725</v>
      </c>
      <c r="N69" s="682"/>
    </row>
    <row r="70" spans="1:14" ht="15">
      <c r="A70" s="492"/>
      <c r="B70" s="1616"/>
      <c r="C70" s="872"/>
      <c r="D70" s="872"/>
      <c r="E70" s="872"/>
      <c r="F70" s="872"/>
      <c r="G70" s="862"/>
      <c r="H70" s="888"/>
      <c r="I70" s="627"/>
      <c r="J70" s="628"/>
      <c r="K70" s="628"/>
      <c r="L70" s="630"/>
    </row>
    <row r="71" spans="1:14" ht="4.75" customHeight="1">
      <c r="A71" s="448"/>
      <c r="B71" s="1611"/>
      <c r="C71" s="873"/>
      <c r="D71" s="873"/>
      <c r="E71" s="873"/>
      <c r="F71" s="873"/>
      <c r="G71" s="862"/>
      <c r="H71" s="888"/>
      <c r="I71" s="473"/>
      <c r="J71" s="472"/>
      <c r="K71" s="472"/>
      <c r="L71" s="613"/>
    </row>
    <row r="72" spans="1:14" ht="15">
      <c r="A72" s="485" t="s">
        <v>381</v>
      </c>
      <c r="B72" s="875">
        <f>TableUK4d!D72-TableUK4b!D73</f>
        <v>-1.2088846454362451E-2</v>
      </c>
      <c r="C72" s="871">
        <f>SUMPRODUCT(TableUK12d!F151:F160,TableUK1!$D136:$D145)/SUM(TableUK1!$D136:$D145)</f>
        <v>9.3045994579814308E-3</v>
      </c>
      <c r="D72" s="871">
        <f>B72-C72</f>
        <v>-2.1393445912343882E-2</v>
      </c>
      <c r="E72" s="871">
        <f>D72-F72</f>
        <v>8.6016762219948209E-3</v>
      </c>
      <c r="F72" s="871">
        <f>-SUMPRODUCT(TableUK12c!M151:M160,TableUK1!$D136:$D145)/SUM(TableUK1!$D136:$D145)</f>
        <v>-2.9995122134338702E-2</v>
      </c>
      <c r="G72" s="638">
        <f>H69</f>
        <v>0.36451181046460912</v>
      </c>
      <c r="H72" s="864">
        <f>G60</f>
        <v>0.65036485081769813</v>
      </c>
      <c r="I72" s="638">
        <f>$G72/((1+TableUK4b!B73)^10)</f>
        <v>0.27642754280248016</v>
      </c>
      <c r="J72" s="637">
        <f>B72*SUM(TableUK1!$D136:$D145)/TableUK1!$D146</f>
        <v>-0.10355056299449752</v>
      </c>
      <c r="K72" s="637">
        <f>F72*SUM(TableUK1!$D136:$D145)/TableUK1!$D146</f>
        <v>-0.25693202373156404</v>
      </c>
      <c r="L72" s="639">
        <f>H72-I72-J72</f>
        <v>0.47748787100971546</v>
      </c>
      <c r="N72" s="682"/>
    </row>
    <row r="73" spans="1:14" ht="15">
      <c r="A73" s="492"/>
      <c r="B73" s="1616"/>
      <c r="C73" s="872"/>
      <c r="D73" s="872"/>
      <c r="E73" s="872"/>
      <c r="F73" s="872"/>
      <c r="G73" s="862"/>
      <c r="H73" s="888"/>
      <c r="I73" s="627"/>
      <c r="J73" s="628"/>
      <c r="K73" s="628"/>
      <c r="L73" s="630"/>
    </row>
    <row r="74" spans="1:14" ht="4.75" customHeight="1">
      <c r="A74" s="448"/>
      <c r="B74" s="1611"/>
      <c r="C74" s="873"/>
      <c r="D74" s="873"/>
      <c r="E74" s="873"/>
      <c r="F74" s="873"/>
      <c r="G74" s="862"/>
      <c r="H74" s="888"/>
      <c r="I74" s="473"/>
      <c r="J74" s="472"/>
      <c r="K74" s="472"/>
      <c r="L74" s="613"/>
    </row>
    <row r="75" spans="1:14" ht="15">
      <c r="A75" s="485" t="s">
        <v>382</v>
      </c>
      <c r="B75" s="875">
        <f>TableUK4d!D75-TableUK4b!D76</f>
        <v>-3.459684413108894E-2</v>
      </c>
      <c r="C75" s="871">
        <f>SUMPRODUCT(TableUK12d!F161:F170,TableUK1!$D146:$D155)/SUM(TableUK1!$D146:$D155)</f>
        <v>8.1924734436775795E-3</v>
      </c>
      <c r="D75" s="871">
        <f>B75-C75</f>
        <v>-4.2789317574766519E-2</v>
      </c>
      <c r="E75" s="871">
        <f>D75-F75</f>
        <v>-1.9083225866070069E-2</v>
      </c>
      <c r="F75" s="871">
        <f>-SUMPRODUCT(TableUK12c!M161:M170,TableUK1!$D146:$D155)/SUM(TableUK1!$D146:$D155)</f>
        <v>-2.3706091708696451E-2</v>
      </c>
      <c r="G75" s="638">
        <f>H72</f>
        <v>0.65036485081769813</v>
      </c>
      <c r="H75" s="864">
        <f>TableUK6a!H155</f>
        <v>0.17363267878304856</v>
      </c>
      <c r="I75" s="638">
        <f>$G75/((1+TableUK4b!B76)^10)</f>
        <v>0.48332532384515658</v>
      </c>
      <c r="J75" s="637">
        <f>B75*SUM(TableUK1!$D146:$D155)/TableUK1!$D156</f>
        <v>-0.28455552531639006</v>
      </c>
      <c r="K75" s="637">
        <f>F75*SUM(TableUK1!$D146:$D155)/TableUK1!$D156</f>
        <v>-0.19498019396818075</v>
      </c>
      <c r="L75" s="639">
        <f>H75-I75-J75</f>
        <v>-2.5137119745717973E-2</v>
      </c>
      <c r="N75" s="682"/>
    </row>
    <row r="76" spans="1:14" ht="15">
      <c r="A76" s="492"/>
      <c r="B76" s="1616"/>
      <c r="C76" s="872"/>
      <c r="D76" s="872"/>
      <c r="E76" s="872"/>
      <c r="F76" s="872"/>
      <c r="G76" s="862"/>
      <c r="H76" s="888"/>
      <c r="I76" s="627"/>
      <c r="J76" s="628"/>
      <c r="K76" s="628"/>
      <c r="L76" s="630"/>
    </row>
    <row r="77" spans="1:14" ht="4.75" customHeight="1">
      <c r="A77" s="448"/>
      <c r="B77" s="1611"/>
      <c r="C77" s="873"/>
      <c r="D77" s="873"/>
      <c r="E77" s="873"/>
      <c r="F77" s="873"/>
      <c r="G77" s="862"/>
      <c r="H77" s="888"/>
      <c r="I77" s="473"/>
      <c r="J77" s="472"/>
      <c r="K77" s="472"/>
      <c r="L77" s="613"/>
    </row>
    <row r="78" spans="1:14" ht="15">
      <c r="A78" s="485" t="s">
        <v>383</v>
      </c>
      <c r="B78" s="875">
        <f>TableUK4d!D78-TableUK4b!D79</f>
        <v>-2.8716368518897729E-2</v>
      </c>
      <c r="C78" s="871">
        <f>SUMPRODUCT(TableUK12d!F171:F180,TableUK1!$D156:$D165)/SUM(TableUK1!$D156:$D165)</f>
        <v>8.23507584991519E-3</v>
      </c>
      <c r="D78" s="871">
        <f>B78-C78</f>
        <v>-3.6951444368812918E-2</v>
      </c>
      <c r="E78" s="871">
        <f>D78-F78</f>
        <v>-2.0960329361441713E-2</v>
      </c>
      <c r="F78" s="871">
        <f>-SUMPRODUCT(TableUK12c!M171:M180,TableUK1!$D156:$D165)/SUM(TableUK1!$D156:$D165)</f>
        <v>-1.5991115007371205E-2</v>
      </c>
      <c r="G78" s="638">
        <f>H75</f>
        <v>0.17363267878304856</v>
      </c>
      <c r="H78" s="864">
        <f>H60</f>
        <v>6.7880819934466041E-3</v>
      </c>
      <c r="I78" s="638">
        <f>$G78/((1+TableUK4b!B79)^10)</f>
        <v>0.14484998962393894</v>
      </c>
      <c r="J78" s="637">
        <f>B78*SUM(TableUK1!$D156:$D165)/TableUK1!$D166</f>
        <v>-0.27443263691297159</v>
      </c>
      <c r="K78" s="637">
        <f>F78*SUM(TableUK1!$D156:$D165)/TableUK1!$D166</f>
        <v>-0.15282168620184303</v>
      </c>
      <c r="L78" s="639">
        <f>H78-I78-J78</f>
        <v>0.13637072928247926</v>
      </c>
      <c r="N78" s="682"/>
    </row>
    <row r="79" spans="1:14" ht="14" thickBot="1">
      <c r="A79" s="640"/>
      <c r="B79" s="1617"/>
      <c r="C79" s="874"/>
      <c r="D79" s="874"/>
      <c r="E79" s="874"/>
      <c r="F79" s="874"/>
      <c r="G79" s="865"/>
      <c r="H79" s="887"/>
      <c r="I79" s="642"/>
      <c r="J79" s="643"/>
      <c r="K79" s="643"/>
      <c r="L79" s="645"/>
    </row>
    <row r="80" spans="1:14" ht="13" thickTop="1">
      <c r="G80" s="503"/>
      <c r="H80" s="503"/>
      <c r="I80" s="1620"/>
      <c r="J80" s="890"/>
      <c r="K80" s="1620"/>
      <c r="L80" s="890"/>
    </row>
    <row r="81" spans="7:14">
      <c r="G81" s="503"/>
      <c r="H81" s="503"/>
      <c r="I81" s="1620"/>
      <c r="J81" s="890"/>
      <c r="K81" s="1620"/>
      <c r="L81" s="890"/>
      <c r="N81" s="682"/>
    </row>
    <row r="82" spans="7:14">
      <c r="G82" s="503"/>
      <c r="H82" s="503"/>
      <c r="I82" s="1620"/>
      <c r="J82" s="890"/>
      <c r="K82" s="1620"/>
      <c r="L82" s="890"/>
    </row>
    <row r="83" spans="7:14">
      <c r="G83" s="503"/>
      <c r="H83" s="503"/>
      <c r="I83" s="1620"/>
      <c r="J83" s="503"/>
      <c r="K83" s="1620"/>
      <c r="L83" s="890"/>
    </row>
    <row r="84" spans="7:14">
      <c r="G84" s="503"/>
      <c r="H84" s="503"/>
      <c r="I84" s="1620"/>
      <c r="J84" s="503"/>
      <c r="K84" s="1620"/>
      <c r="L84" s="890"/>
      <c r="N84" s="682"/>
    </row>
    <row r="85" spans="7:14">
      <c r="G85" s="503"/>
      <c r="H85" s="503"/>
      <c r="I85" s="1620"/>
      <c r="J85" s="503"/>
      <c r="K85" s="1620"/>
      <c r="L85" s="890"/>
    </row>
    <row r="86" spans="7:14">
      <c r="G86" s="503"/>
      <c r="H86" s="503"/>
      <c r="I86" s="1620"/>
      <c r="J86" s="503"/>
      <c r="K86" s="1620"/>
      <c r="L86" s="503"/>
    </row>
    <row r="87" spans="7:14">
      <c r="G87" s="503"/>
      <c r="H87" s="503"/>
      <c r="I87" s="1620"/>
      <c r="J87" s="503"/>
      <c r="K87" s="1620"/>
      <c r="L87" s="503"/>
      <c r="N87" s="682"/>
    </row>
    <row r="88" spans="7:14">
      <c r="G88" s="503"/>
      <c r="H88" s="503"/>
      <c r="I88" s="1620"/>
      <c r="J88" s="503"/>
      <c r="K88" s="1620"/>
      <c r="L88" s="503"/>
    </row>
    <row r="89" spans="7:14">
      <c r="G89" s="503"/>
      <c r="H89" s="503"/>
      <c r="I89" s="1620"/>
      <c r="J89" s="503"/>
      <c r="K89" s="1620"/>
      <c r="L89" s="503"/>
    </row>
    <row r="90" spans="7:14">
      <c r="G90" s="503"/>
      <c r="H90" s="503"/>
      <c r="I90" s="1620"/>
      <c r="J90" s="503"/>
      <c r="K90" s="1620"/>
      <c r="L90" s="503"/>
      <c r="N90" s="682"/>
    </row>
    <row r="91" spans="7:14">
      <c r="G91" s="503"/>
      <c r="H91" s="503"/>
      <c r="I91" s="1620"/>
      <c r="J91" s="503"/>
      <c r="K91" s="1620"/>
      <c r="L91" s="503"/>
    </row>
    <row r="92" spans="7:14">
      <c r="G92" s="503"/>
      <c r="H92" s="503"/>
      <c r="I92" s="1620"/>
      <c r="J92" s="503"/>
      <c r="K92" s="1620"/>
      <c r="L92" s="503"/>
    </row>
    <row r="93" spans="7:14">
      <c r="G93" s="503"/>
      <c r="H93" s="503"/>
      <c r="I93" s="1620"/>
      <c r="J93" s="503"/>
      <c r="K93" s="1620"/>
      <c r="L93" s="503"/>
      <c r="N93" s="682"/>
    </row>
    <row r="94" spans="7:14">
      <c r="G94" s="503"/>
      <c r="H94" s="503"/>
      <c r="I94" s="1620"/>
      <c r="J94" s="503"/>
      <c r="K94" s="1620"/>
      <c r="L94" s="503"/>
    </row>
    <row r="95" spans="7:14">
      <c r="G95" s="503"/>
      <c r="H95" s="503"/>
      <c r="I95" s="1620"/>
      <c r="J95" s="503"/>
      <c r="K95" s="1620"/>
      <c r="L95" s="503"/>
    </row>
    <row r="96" spans="7:14">
      <c r="G96" s="503"/>
      <c r="H96" s="503"/>
      <c r="I96" s="1620"/>
      <c r="J96" s="503"/>
      <c r="K96" s="1620"/>
      <c r="L96" s="503"/>
      <c r="N96" s="682"/>
    </row>
    <row r="97" spans="7:12">
      <c r="G97" s="503"/>
      <c r="H97" s="503"/>
      <c r="I97" s="1620"/>
      <c r="J97" s="503"/>
      <c r="K97" s="1620"/>
      <c r="L97" s="503"/>
    </row>
    <row r="98" spans="7:12">
      <c r="G98" s="503"/>
      <c r="H98" s="503"/>
      <c r="I98" s="1620"/>
      <c r="J98" s="503"/>
      <c r="K98" s="1620"/>
      <c r="L98" s="503"/>
    </row>
    <row r="99" spans="7:12">
      <c r="G99" s="503"/>
      <c r="H99" s="503"/>
      <c r="I99" s="1620"/>
      <c r="J99" s="503"/>
      <c r="K99" s="1620"/>
      <c r="L99" s="503"/>
    </row>
    <row r="100" spans="7:12">
      <c r="G100" s="503"/>
      <c r="H100" s="503"/>
      <c r="I100" s="1620"/>
      <c r="J100" s="503"/>
      <c r="K100" s="1620"/>
      <c r="L100" s="503"/>
    </row>
    <row r="101" spans="7:12">
      <c r="G101" s="503"/>
      <c r="H101" s="503"/>
      <c r="I101" s="1620"/>
      <c r="J101" s="503"/>
      <c r="K101" s="1620"/>
      <c r="L101" s="503"/>
    </row>
    <row r="102" spans="7:12">
      <c r="G102" s="503"/>
      <c r="H102" s="503"/>
      <c r="I102" s="1620"/>
      <c r="J102" s="503"/>
      <c r="K102" s="1620"/>
      <c r="L102" s="503"/>
    </row>
    <row r="103" spans="7:12">
      <c r="G103" s="503"/>
      <c r="H103" s="503"/>
      <c r="I103" s="1620"/>
      <c r="J103" s="503"/>
      <c r="K103" s="1620"/>
      <c r="L103" s="503"/>
    </row>
    <row r="104" spans="7:12">
      <c r="G104" s="503"/>
      <c r="H104" s="503"/>
      <c r="I104" s="1620"/>
      <c r="J104" s="503"/>
      <c r="K104" s="1620"/>
      <c r="L104" s="503"/>
    </row>
    <row r="105" spans="7:12">
      <c r="G105" s="503"/>
      <c r="H105" s="503"/>
      <c r="I105" s="1620"/>
      <c r="J105" s="503"/>
      <c r="K105" s="1620"/>
      <c r="L105" s="503"/>
    </row>
    <row r="106" spans="7:12">
      <c r="G106" s="503"/>
      <c r="H106" s="503"/>
      <c r="I106" s="1620"/>
      <c r="J106" s="503"/>
      <c r="K106" s="1620"/>
      <c r="L106" s="503"/>
    </row>
    <row r="107" spans="7:12">
      <c r="G107" s="503"/>
      <c r="H107" s="503"/>
      <c r="I107" s="1620"/>
      <c r="J107" s="503"/>
      <c r="K107" s="1620"/>
      <c r="L107" s="503"/>
    </row>
    <row r="108" spans="7:12">
      <c r="G108" s="503"/>
      <c r="H108" s="503"/>
      <c r="I108" s="1620"/>
      <c r="J108" s="503"/>
      <c r="K108" s="1620"/>
      <c r="L108" s="503"/>
    </row>
    <row r="109" spans="7:12">
      <c r="G109" s="503"/>
      <c r="H109" s="503"/>
      <c r="I109" s="1620"/>
      <c r="J109" s="503"/>
      <c r="K109" s="1620"/>
      <c r="L109" s="503"/>
    </row>
    <row r="110" spans="7:12">
      <c r="G110" s="503"/>
      <c r="H110" s="503"/>
      <c r="I110" s="1620"/>
      <c r="J110" s="503"/>
      <c r="K110" s="1620"/>
      <c r="L110" s="503"/>
    </row>
    <row r="111" spans="7:12">
      <c r="G111" s="503"/>
      <c r="H111" s="503"/>
      <c r="I111" s="1620"/>
      <c r="J111" s="503"/>
      <c r="K111" s="1620"/>
      <c r="L111" s="503"/>
    </row>
    <row r="112" spans="7:12">
      <c r="G112" s="503"/>
      <c r="H112" s="503"/>
      <c r="I112" s="1620"/>
      <c r="J112" s="503"/>
      <c r="K112" s="1620"/>
      <c r="L112" s="503"/>
    </row>
    <row r="113" spans="7:12">
      <c r="G113" s="503"/>
      <c r="H113" s="503"/>
      <c r="I113" s="1620"/>
      <c r="J113" s="503"/>
      <c r="K113" s="1620"/>
      <c r="L113" s="503"/>
    </row>
    <row r="114" spans="7:12">
      <c r="G114" s="503"/>
      <c r="H114" s="503"/>
      <c r="I114" s="1620"/>
      <c r="J114" s="503"/>
      <c r="K114" s="1620"/>
      <c r="L114" s="503"/>
    </row>
    <row r="115" spans="7:12">
      <c r="G115" s="503"/>
      <c r="H115" s="503"/>
      <c r="I115" s="1620"/>
      <c r="J115" s="503"/>
      <c r="K115" s="1620"/>
      <c r="L115" s="503"/>
    </row>
    <row r="116" spans="7:12">
      <c r="G116" s="503"/>
      <c r="H116" s="503"/>
      <c r="I116" s="1620"/>
      <c r="J116" s="503"/>
      <c r="K116" s="1620"/>
      <c r="L116" s="503"/>
    </row>
    <row r="117" spans="7:12">
      <c r="G117" s="503"/>
      <c r="H117" s="503"/>
      <c r="I117" s="1620"/>
      <c r="J117" s="503"/>
      <c r="K117" s="1620"/>
      <c r="L117" s="503"/>
    </row>
    <row r="118" spans="7:12">
      <c r="G118" s="503"/>
      <c r="H118" s="503"/>
      <c r="I118" s="1620"/>
      <c r="J118" s="503"/>
      <c r="K118" s="1620"/>
      <c r="L118" s="503"/>
    </row>
    <row r="119" spans="7:12">
      <c r="G119" s="503"/>
      <c r="H119" s="503"/>
      <c r="I119" s="1620"/>
      <c r="J119" s="503"/>
      <c r="K119" s="1620"/>
      <c r="L119" s="503"/>
    </row>
    <row r="120" spans="7:12">
      <c r="G120" s="503"/>
      <c r="H120" s="503"/>
      <c r="I120" s="1620"/>
      <c r="J120" s="503"/>
      <c r="K120" s="1620"/>
      <c r="L120" s="503"/>
    </row>
    <row r="121" spans="7:12">
      <c r="G121" s="503"/>
      <c r="H121" s="503"/>
      <c r="I121" s="1620"/>
      <c r="J121" s="503"/>
      <c r="K121" s="1620"/>
      <c r="L121" s="503"/>
    </row>
    <row r="122" spans="7:12">
      <c r="G122" s="503"/>
      <c r="H122" s="503"/>
      <c r="I122" s="1620"/>
      <c r="J122" s="503"/>
      <c r="K122" s="1620"/>
      <c r="L122" s="503"/>
    </row>
    <row r="123" spans="7:12">
      <c r="G123" s="503"/>
      <c r="H123" s="503"/>
      <c r="I123" s="1620"/>
      <c r="J123" s="503"/>
      <c r="K123" s="1620"/>
      <c r="L123" s="503"/>
    </row>
    <row r="124" spans="7:12">
      <c r="G124" s="503"/>
      <c r="H124" s="503"/>
      <c r="I124" s="1620"/>
      <c r="J124" s="503"/>
      <c r="K124" s="1620"/>
      <c r="L124" s="503"/>
    </row>
    <row r="125" spans="7:12">
      <c r="G125" s="503"/>
      <c r="H125" s="503"/>
      <c r="I125" s="1620"/>
      <c r="J125" s="503"/>
      <c r="K125" s="1620"/>
      <c r="L125" s="503"/>
    </row>
    <row r="126" spans="7:12">
      <c r="G126" s="503"/>
      <c r="H126" s="503"/>
      <c r="I126" s="1620"/>
      <c r="J126" s="503"/>
      <c r="K126" s="1620"/>
      <c r="L126" s="503"/>
    </row>
    <row r="127" spans="7:12">
      <c r="G127" s="503"/>
      <c r="H127" s="503"/>
      <c r="I127" s="1620"/>
      <c r="J127" s="503"/>
      <c r="K127" s="1620"/>
      <c r="L127" s="503"/>
    </row>
    <row r="128" spans="7:12">
      <c r="G128" s="503"/>
      <c r="H128" s="503"/>
      <c r="I128" s="1620"/>
      <c r="J128" s="503"/>
      <c r="K128" s="1620"/>
      <c r="L128" s="503"/>
    </row>
    <row r="129" spans="7:12">
      <c r="G129" s="503"/>
      <c r="H129" s="503"/>
      <c r="I129" s="1620"/>
      <c r="J129" s="503"/>
      <c r="K129" s="1620"/>
      <c r="L129" s="503"/>
    </row>
    <row r="130" spans="7:12">
      <c r="G130" s="503"/>
      <c r="H130" s="503"/>
      <c r="I130" s="1620"/>
      <c r="J130" s="503"/>
      <c r="K130" s="1620"/>
      <c r="L130" s="503"/>
    </row>
    <row r="131" spans="7:12">
      <c r="G131" s="503"/>
      <c r="H131" s="503"/>
      <c r="I131" s="1620"/>
      <c r="J131" s="503"/>
      <c r="K131" s="1620"/>
      <c r="L131" s="503"/>
    </row>
    <row r="132" spans="7:12">
      <c r="G132" s="503"/>
      <c r="H132" s="503"/>
      <c r="I132" s="1620"/>
      <c r="J132" s="503"/>
      <c r="K132" s="1620"/>
      <c r="L132" s="503"/>
    </row>
    <row r="133" spans="7:12">
      <c r="G133" s="503"/>
      <c r="H133" s="503"/>
      <c r="I133" s="1620"/>
      <c r="J133" s="503"/>
      <c r="K133" s="1620"/>
      <c r="L133" s="503"/>
    </row>
    <row r="134" spans="7:12">
      <c r="G134" s="503"/>
      <c r="H134" s="503"/>
      <c r="I134" s="1620"/>
      <c r="J134" s="503"/>
      <c r="K134" s="1620"/>
      <c r="L134" s="503"/>
    </row>
    <row r="135" spans="7:12">
      <c r="G135" s="503"/>
      <c r="H135" s="503"/>
      <c r="I135" s="1620"/>
      <c r="J135" s="503"/>
      <c r="K135" s="1620"/>
      <c r="L135" s="503"/>
    </row>
    <row r="136" spans="7:12">
      <c r="G136" s="503"/>
      <c r="H136" s="503"/>
      <c r="I136" s="1620"/>
      <c r="J136" s="503"/>
      <c r="K136" s="1620"/>
      <c r="L136" s="503"/>
    </row>
    <row r="137" spans="7:12">
      <c r="G137" s="503"/>
      <c r="H137" s="503"/>
      <c r="I137" s="1620"/>
      <c r="J137" s="503"/>
      <c r="K137" s="1620"/>
      <c r="L137" s="503"/>
    </row>
    <row r="138" spans="7:12">
      <c r="G138" s="503"/>
      <c r="H138" s="503"/>
      <c r="I138" s="1620"/>
      <c r="J138" s="503"/>
      <c r="K138" s="1620"/>
      <c r="L138" s="503"/>
    </row>
    <row r="139" spans="7:12">
      <c r="G139" s="503"/>
      <c r="H139" s="503"/>
      <c r="I139" s="1620"/>
      <c r="J139" s="503"/>
      <c r="K139" s="1620"/>
      <c r="L139" s="503"/>
    </row>
    <row r="140" spans="7:12">
      <c r="G140" s="503"/>
      <c r="H140" s="503"/>
      <c r="I140" s="1620"/>
      <c r="J140" s="503"/>
      <c r="K140" s="1620"/>
      <c r="L140" s="503"/>
    </row>
    <row r="141" spans="7:12">
      <c r="G141" s="503"/>
      <c r="H141" s="503"/>
      <c r="I141" s="1620"/>
      <c r="J141" s="503"/>
      <c r="K141" s="1620"/>
      <c r="L141" s="503"/>
    </row>
    <row r="142" spans="7:12">
      <c r="G142" s="503"/>
      <c r="H142" s="503"/>
      <c r="I142" s="1620"/>
      <c r="J142" s="503"/>
      <c r="K142" s="1620"/>
      <c r="L142" s="503"/>
    </row>
    <row r="143" spans="7:12">
      <c r="G143" s="503"/>
      <c r="H143" s="503"/>
      <c r="I143" s="1620"/>
      <c r="J143" s="503"/>
      <c r="K143" s="1620"/>
      <c r="L143" s="503"/>
    </row>
    <row r="144" spans="7:12">
      <c r="G144" s="503"/>
      <c r="H144" s="503"/>
      <c r="I144" s="1620"/>
      <c r="J144" s="503"/>
      <c r="K144" s="1620"/>
      <c r="L144" s="503"/>
    </row>
    <row r="145" spans="7:12">
      <c r="G145" s="503"/>
      <c r="H145" s="503"/>
      <c r="I145" s="1620"/>
      <c r="J145" s="503"/>
      <c r="K145" s="1620"/>
      <c r="L145" s="503"/>
    </row>
    <row r="146" spans="7:12">
      <c r="G146" s="503"/>
      <c r="H146" s="503"/>
      <c r="I146" s="1620"/>
      <c r="J146" s="503"/>
      <c r="K146" s="1620"/>
      <c r="L146" s="503"/>
    </row>
    <row r="147" spans="7:12">
      <c r="G147" s="503"/>
      <c r="H147" s="503"/>
      <c r="I147" s="1620"/>
      <c r="J147" s="503"/>
      <c r="K147" s="1620"/>
      <c r="L147" s="503"/>
    </row>
    <row r="148" spans="7:12">
      <c r="G148" s="503"/>
      <c r="H148" s="503"/>
      <c r="I148" s="1620"/>
      <c r="J148" s="503"/>
      <c r="K148" s="1620"/>
      <c r="L148" s="503"/>
    </row>
    <row r="149" spans="7:12">
      <c r="G149" s="503"/>
      <c r="H149" s="503"/>
      <c r="I149" s="1620"/>
      <c r="J149" s="503"/>
      <c r="K149" s="1620"/>
      <c r="L149" s="503"/>
    </row>
    <row r="150" spans="7:12">
      <c r="G150" s="503"/>
      <c r="H150" s="503"/>
      <c r="I150" s="1620"/>
      <c r="J150" s="503"/>
      <c r="K150" s="1620"/>
      <c r="L150" s="503"/>
    </row>
    <row r="151" spans="7:12">
      <c r="G151" s="503"/>
      <c r="H151" s="503"/>
      <c r="I151" s="1620"/>
      <c r="J151" s="503"/>
      <c r="K151" s="1620"/>
      <c r="L151" s="503"/>
    </row>
    <row r="152" spans="7:12">
      <c r="G152" s="503"/>
      <c r="H152" s="503"/>
      <c r="I152" s="1620"/>
      <c r="J152" s="503"/>
      <c r="K152" s="1620"/>
      <c r="L152" s="503"/>
    </row>
    <row r="153" spans="7:12">
      <c r="G153" s="503"/>
      <c r="H153" s="503"/>
      <c r="I153" s="1620"/>
      <c r="J153" s="503"/>
      <c r="K153" s="1620"/>
      <c r="L153" s="503"/>
    </row>
    <row r="154" spans="7:12">
      <c r="G154" s="503"/>
      <c r="H154" s="503"/>
      <c r="I154" s="1620"/>
      <c r="J154" s="503"/>
      <c r="K154" s="1620"/>
      <c r="L154" s="503"/>
    </row>
    <row r="155" spans="7:12">
      <c r="G155" s="503"/>
      <c r="H155" s="503"/>
      <c r="I155" s="1620"/>
      <c r="J155" s="503"/>
      <c r="K155" s="1620"/>
      <c r="L155" s="503"/>
    </row>
    <row r="156" spans="7:12">
      <c r="G156" s="503"/>
      <c r="H156" s="503"/>
      <c r="I156" s="1620"/>
      <c r="J156" s="503"/>
      <c r="K156" s="1620"/>
      <c r="L156" s="503"/>
    </row>
    <row r="157" spans="7:12">
      <c r="G157" s="503"/>
      <c r="H157" s="503"/>
      <c r="I157" s="1620"/>
      <c r="J157" s="503"/>
      <c r="K157" s="1620"/>
      <c r="L157" s="503"/>
    </row>
    <row r="158" spans="7:12">
      <c r="G158" s="503"/>
      <c r="H158" s="503"/>
      <c r="I158" s="1620"/>
      <c r="J158" s="503"/>
      <c r="K158" s="1620"/>
      <c r="L158" s="503"/>
    </row>
    <row r="159" spans="7:12">
      <c r="G159" s="503"/>
      <c r="H159" s="503"/>
      <c r="I159" s="1620"/>
      <c r="J159" s="503"/>
      <c r="K159" s="1620"/>
      <c r="L159" s="503"/>
    </row>
    <row r="160" spans="7:12">
      <c r="G160" s="503"/>
      <c r="H160" s="503"/>
      <c r="I160" s="1620"/>
      <c r="J160" s="503"/>
      <c r="K160" s="1620"/>
      <c r="L160" s="503"/>
    </row>
    <row r="161" spans="7:12">
      <c r="G161" s="503"/>
      <c r="H161" s="503"/>
      <c r="I161" s="1620"/>
      <c r="J161" s="503"/>
      <c r="K161" s="1620"/>
      <c r="L161" s="503"/>
    </row>
    <row r="162" spans="7:12">
      <c r="G162" s="503"/>
      <c r="H162" s="503"/>
      <c r="I162" s="1620"/>
      <c r="J162" s="503"/>
      <c r="K162" s="1620"/>
      <c r="L162" s="503"/>
    </row>
    <row r="163" spans="7:12">
      <c r="G163" s="503"/>
      <c r="H163" s="503"/>
      <c r="I163" s="1620"/>
      <c r="J163" s="503"/>
      <c r="K163" s="1620"/>
      <c r="L163" s="503"/>
    </row>
    <row r="164" spans="7:12">
      <c r="G164" s="503"/>
      <c r="H164" s="503"/>
      <c r="I164" s="1620"/>
      <c r="J164" s="503"/>
      <c r="K164" s="1620"/>
      <c r="L164" s="503"/>
    </row>
    <row r="165" spans="7:12">
      <c r="G165" s="503"/>
      <c r="H165" s="503"/>
      <c r="I165" s="1620"/>
      <c r="J165" s="503"/>
      <c r="K165" s="1620"/>
      <c r="L165" s="503"/>
    </row>
    <row r="166" spans="7:12">
      <c r="G166" s="503"/>
      <c r="H166" s="503"/>
      <c r="I166" s="1620"/>
      <c r="J166" s="503"/>
      <c r="K166" s="1620"/>
      <c r="L166" s="503"/>
    </row>
    <row r="167" spans="7:12">
      <c r="G167" s="503"/>
      <c r="H167" s="503"/>
      <c r="I167" s="1620"/>
      <c r="J167" s="503"/>
      <c r="K167" s="1620"/>
      <c r="L167" s="503"/>
    </row>
    <row r="168" spans="7:12">
      <c r="G168" s="503"/>
      <c r="H168" s="503"/>
      <c r="I168" s="1620"/>
      <c r="J168" s="503"/>
      <c r="K168" s="1620"/>
      <c r="L168" s="503"/>
    </row>
    <row r="169" spans="7:12">
      <c r="G169" s="503"/>
      <c r="H169" s="503"/>
      <c r="I169" s="1620"/>
      <c r="J169" s="503"/>
      <c r="K169" s="1620"/>
      <c r="L169" s="503"/>
    </row>
    <row r="170" spans="7:12">
      <c r="G170" s="503"/>
      <c r="H170" s="503"/>
      <c r="I170" s="1620"/>
      <c r="J170" s="503"/>
      <c r="K170" s="1620"/>
      <c r="L170" s="503"/>
    </row>
    <row r="171" spans="7:12">
      <c r="G171" s="503"/>
      <c r="H171" s="503"/>
      <c r="I171" s="1620"/>
      <c r="J171" s="503"/>
      <c r="K171" s="1620"/>
      <c r="L171" s="503"/>
    </row>
    <row r="172" spans="7:12">
      <c r="G172" s="503"/>
      <c r="H172" s="503"/>
      <c r="I172" s="1620"/>
      <c r="J172" s="503"/>
      <c r="K172" s="1620"/>
      <c r="L172" s="503"/>
    </row>
    <row r="173" spans="7:12">
      <c r="G173" s="503"/>
      <c r="H173" s="503"/>
      <c r="I173" s="1620"/>
      <c r="J173" s="503"/>
      <c r="K173" s="1620"/>
      <c r="L173" s="503"/>
    </row>
    <row r="174" spans="7:12">
      <c r="G174" s="503"/>
      <c r="H174" s="503"/>
      <c r="I174" s="1620"/>
      <c r="J174" s="503"/>
      <c r="K174" s="1620"/>
      <c r="L174" s="503"/>
    </row>
    <row r="175" spans="7:12">
      <c r="G175" s="503"/>
      <c r="H175" s="503"/>
      <c r="I175" s="1620"/>
      <c r="J175" s="503"/>
      <c r="K175" s="1620"/>
      <c r="L175" s="503"/>
    </row>
    <row r="176" spans="7:12">
      <c r="G176" s="503"/>
      <c r="H176" s="503"/>
      <c r="I176" s="1620"/>
      <c r="J176" s="503"/>
      <c r="K176" s="1620"/>
      <c r="L176" s="503"/>
    </row>
    <row r="177" spans="7:12">
      <c r="G177" s="503"/>
      <c r="H177" s="503"/>
      <c r="I177" s="1620"/>
      <c r="J177" s="503"/>
      <c r="K177" s="1620"/>
      <c r="L177" s="503"/>
    </row>
    <row r="178" spans="7:12">
      <c r="G178" s="503"/>
      <c r="H178" s="503"/>
      <c r="I178" s="1620"/>
      <c r="J178" s="503"/>
      <c r="K178" s="1620"/>
      <c r="L178" s="503"/>
    </row>
    <row r="179" spans="7:12">
      <c r="G179" s="503"/>
      <c r="H179" s="503"/>
      <c r="I179" s="1620"/>
      <c r="J179" s="503"/>
      <c r="K179" s="1620"/>
      <c r="L179" s="503"/>
    </row>
    <row r="180" spans="7:12">
      <c r="G180" s="503"/>
      <c r="H180" s="503"/>
      <c r="I180" s="1620"/>
      <c r="J180" s="503"/>
      <c r="K180" s="1620"/>
      <c r="L180" s="503"/>
    </row>
    <row r="181" spans="7:12">
      <c r="G181" s="503"/>
      <c r="H181" s="503"/>
      <c r="I181" s="1620"/>
      <c r="J181" s="503"/>
      <c r="K181" s="1620"/>
      <c r="L181" s="503"/>
    </row>
    <row r="182" spans="7:12">
      <c r="G182" s="503"/>
      <c r="H182" s="503"/>
      <c r="I182" s="1620"/>
      <c r="J182" s="503"/>
      <c r="K182" s="1620"/>
      <c r="L182" s="503"/>
    </row>
    <row r="183" spans="7:12">
      <c r="G183" s="503"/>
      <c r="H183" s="503"/>
      <c r="I183" s="1620"/>
      <c r="J183" s="503"/>
      <c r="K183" s="1620"/>
      <c r="L183" s="503"/>
    </row>
    <row r="184" spans="7:12">
      <c r="G184" s="503"/>
      <c r="H184" s="503"/>
      <c r="I184" s="1620"/>
      <c r="J184" s="503"/>
      <c r="K184" s="1620"/>
      <c r="L184" s="503"/>
    </row>
    <row r="185" spans="7:12">
      <c r="G185" s="503"/>
      <c r="H185" s="503"/>
      <c r="I185" s="1620"/>
      <c r="J185" s="503"/>
      <c r="K185" s="1620"/>
      <c r="L185" s="503"/>
    </row>
    <row r="186" spans="7:12">
      <c r="G186" s="503"/>
      <c r="H186" s="503"/>
      <c r="I186" s="1620"/>
      <c r="J186" s="503"/>
      <c r="K186" s="1620"/>
      <c r="L186" s="503"/>
    </row>
    <row r="187" spans="7:12">
      <c r="G187" s="503"/>
      <c r="H187" s="503"/>
      <c r="I187" s="1620"/>
      <c r="J187" s="503"/>
      <c r="K187" s="1620"/>
      <c r="L187" s="503"/>
    </row>
    <row r="188" spans="7:12">
      <c r="G188" s="503"/>
      <c r="H188" s="503"/>
      <c r="I188" s="1620"/>
      <c r="J188" s="503"/>
      <c r="K188" s="1620"/>
      <c r="L188" s="503"/>
    </row>
    <row r="189" spans="7:12">
      <c r="G189" s="503"/>
      <c r="H189" s="503"/>
      <c r="I189" s="1620"/>
      <c r="J189" s="503"/>
      <c r="K189" s="1620"/>
      <c r="L189" s="503"/>
    </row>
    <row r="190" spans="7:12">
      <c r="G190" s="503"/>
      <c r="H190" s="503"/>
      <c r="I190" s="1620"/>
      <c r="J190" s="503"/>
      <c r="K190" s="1620"/>
      <c r="L190" s="503"/>
    </row>
    <row r="191" spans="7:12">
      <c r="G191" s="503"/>
      <c r="H191" s="503"/>
      <c r="I191" s="1620"/>
      <c r="J191" s="503"/>
      <c r="K191" s="1620"/>
      <c r="L191" s="503"/>
    </row>
    <row r="192" spans="7:12">
      <c r="G192" s="503"/>
      <c r="H192" s="503"/>
      <c r="I192" s="1620"/>
      <c r="J192" s="503"/>
      <c r="K192" s="1620"/>
      <c r="L192" s="503"/>
    </row>
    <row r="193" spans="7:12">
      <c r="G193" s="503"/>
      <c r="H193" s="503"/>
      <c r="I193" s="1620"/>
      <c r="J193" s="503"/>
      <c r="K193" s="1620"/>
      <c r="L193" s="503"/>
    </row>
    <row r="194" spans="7:12">
      <c r="G194" s="503"/>
      <c r="H194" s="503"/>
      <c r="I194" s="1620"/>
      <c r="J194" s="503"/>
      <c r="K194" s="1620"/>
      <c r="L194" s="503"/>
    </row>
    <row r="195" spans="7:12">
      <c r="G195" s="503"/>
      <c r="H195" s="503"/>
      <c r="I195" s="1620"/>
      <c r="J195" s="503"/>
      <c r="K195" s="1620"/>
      <c r="L195" s="503"/>
    </row>
    <row r="196" spans="7:12">
      <c r="G196" s="503"/>
      <c r="H196" s="503"/>
      <c r="I196" s="1620"/>
      <c r="J196" s="503"/>
      <c r="K196" s="1620"/>
      <c r="L196" s="503"/>
    </row>
    <row r="197" spans="7:12">
      <c r="G197" s="503"/>
      <c r="H197" s="503"/>
      <c r="I197" s="1620"/>
      <c r="J197" s="503"/>
      <c r="K197" s="1620"/>
      <c r="L197" s="503"/>
    </row>
    <row r="198" spans="7:12">
      <c r="G198" s="503"/>
      <c r="H198" s="503"/>
      <c r="I198" s="1620"/>
      <c r="J198" s="503"/>
      <c r="K198" s="1620"/>
      <c r="L198" s="503"/>
    </row>
    <row r="199" spans="7:12">
      <c r="G199" s="503"/>
      <c r="H199" s="503"/>
      <c r="I199" s="1620"/>
      <c r="J199" s="503"/>
      <c r="K199" s="1620"/>
      <c r="L199" s="503"/>
    </row>
    <row r="200" spans="7:12">
      <c r="G200" s="503"/>
      <c r="H200" s="503"/>
      <c r="I200" s="1620"/>
      <c r="J200" s="503"/>
      <c r="K200" s="1620"/>
      <c r="L200" s="503"/>
    </row>
    <row r="201" spans="7:12">
      <c r="G201" s="503"/>
      <c r="H201" s="503"/>
      <c r="I201" s="1620"/>
      <c r="J201" s="503"/>
      <c r="K201" s="1620"/>
      <c r="L201" s="503"/>
    </row>
    <row r="202" spans="7:12">
      <c r="G202" s="503"/>
      <c r="H202" s="503"/>
      <c r="I202" s="1620"/>
      <c r="J202" s="503"/>
      <c r="K202" s="1620"/>
      <c r="L202" s="503"/>
    </row>
    <row r="203" spans="7:12">
      <c r="G203" s="503"/>
      <c r="H203" s="503"/>
      <c r="I203" s="1620"/>
      <c r="J203" s="503"/>
      <c r="K203" s="1620"/>
      <c r="L203" s="503"/>
    </row>
    <row r="204" spans="7:12">
      <c r="G204" s="503"/>
      <c r="H204" s="503"/>
      <c r="I204" s="1620"/>
      <c r="J204" s="503"/>
      <c r="K204" s="1620"/>
      <c r="L204" s="503"/>
    </row>
    <row r="205" spans="7:12">
      <c r="G205" s="503"/>
      <c r="H205" s="503"/>
      <c r="I205" s="1620"/>
      <c r="J205" s="503"/>
      <c r="K205" s="1620"/>
      <c r="L205" s="503"/>
    </row>
    <row r="206" spans="7:12">
      <c r="G206" s="503"/>
      <c r="H206" s="503"/>
      <c r="I206" s="1620"/>
      <c r="J206" s="503"/>
      <c r="K206" s="1620"/>
      <c r="L206" s="503"/>
    </row>
    <row r="207" spans="7:12">
      <c r="G207" s="503"/>
      <c r="H207" s="503"/>
      <c r="I207" s="1620"/>
      <c r="J207" s="503"/>
      <c r="K207" s="1620"/>
      <c r="L207" s="503"/>
    </row>
    <row r="208" spans="7:12">
      <c r="G208" s="503"/>
      <c r="H208" s="503"/>
      <c r="I208" s="1620"/>
      <c r="J208" s="503"/>
      <c r="K208" s="1620"/>
      <c r="L208" s="503"/>
    </row>
    <row r="209" spans="7:12">
      <c r="G209" s="503"/>
      <c r="H209" s="503"/>
      <c r="I209" s="1620"/>
      <c r="J209" s="503"/>
      <c r="K209" s="1620"/>
      <c r="L209" s="503"/>
    </row>
    <row r="210" spans="7:12">
      <c r="G210" s="503"/>
      <c r="H210" s="503"/>
      <c r="I210" s="1620"/>
      <c r="J210" s="503"/>
      <c r="K210" s="1620"/>
      <c r="L210" s="503"/>
    </row>
    <row r="211" spans="7:12">
      <c r="G211" s="503"/>
      <c r="H211" s="503"/>
      <c r="I211" s="1620"/>
      <c r="J211" s="503"/>
      <c r="K211" s="1620"/>
      <c r="L211" s="503"/>
    </row>
    <row r="212" spans="7:12">
      <c r="G212" s="503"/>
      <c r="H212" s="503"/>
      <c r="I212" s="1620"/>
      <c r="J212" s="503"/>
      <c r="K212" s="1620"/>
      <c r="L212" s="503"/>
    </row>
    <row r="213" spans="7:12">
      <c r="G213" s="503"/>
      <c r="H213" s="503"/>
      <c r="I213" s="1620"/>
      <c r="J213" s="503"/>
      <c r="K213" s="1620"/>
      <c r="L213" s="503"/>
    </row>
    <row r="214" spans="7:12">
      <c r="G214" s="503"/>
      <c r="H214" s="503"/>
      <c r="I214" s="1620"/>
      <c r="J214" s="503"/>
      <c r="K214" s="1620"/>
      <c r="L214" s="503"/>
    </row>
    <row r="215" spans="7:12">
      <c r="G215" s="503"/>
      <c r="H215" s="503"/>
      <c r="I215" s="1620"/>
      <c r="J215" s="503"/>
      <c r="K215" s="1620"/>
      <c r="L215" s="503"/>
    </row>
    <row r="216" spans="7:12">
      <c r="G216" s="503"/>
      <c r="H216" s="503"/>
      <c r="I216" s="1620"/>
      <c r="J216" s="503"/>
      <c r="K216" s="1620"/>
      <c r="L216" s="503"/>
    </row>
    <row r="217" spans="7:12">
      <c r="G217" s="503"/>
      <c r="H217" s="503"/>
      <c r="I217" s="1620"/>
      <c r="J217" s="503"/>
      <c r="K217" s="1620"/>
      <c r="L217" s="503"/>
    </row>
    <row r="218" spans="7:12">
      <c r="G218" s="503"/>
      <c r="H218" s="503"/>
      <c r="I218" s="1620"/>
      <c r="J218" s="503"/>
      <c r="K218" s="1620"/>
      <c r="L218" s="503"/>
    </row>
    <row r="219" spans="7:12">
      <c r="G219" s="503"/>
      <c r="H219" s="503"/>
      <c r="I219" s="1620"/>
      <c r="J219" s="503"/>
      <c r="K219" s="1620"/>
      <c r="L219" s="503"/>
    </row>
    <row r="220" spans="7:12">
      <c r="G220" s="503"/>
      <c r="H220" s="503"/>
      <c r="I220" s="1620"/>
      <c r="J220" s="503"/>
      <c r="K220" s="1620"/>
      <c r="L220" s="503"/>
    </row>
    <row r="221" spans="7:12">
      <c r="G221" s="503"/>
      <c r="H221" s="503"/>
      <c r="I221" s="1620"/>
      <c r="J221" s="503"/>
      <c r="K221" s="1620"/>
      <c r="L221" s="503"/>
    </row>
    <row r="222" spans="7:12">
      <c r="G222" s="503"/>
      <c r="H222" s="503"/>
      <c r="I222" s="1620"/>
      <c r="J222" s="503"/>
      <c r="K222" s="1620"/>
      <c r="L222" s="503"/>
    </row>
    <row r="223" spans="7:12">
      <c r="G223" s="503"/>
      <c r="H223" s="503"/>
      <c r="I223" s="1620"/>
      <c r="J223" s="503"/>
      <c r="K223" s="1620"/>
      <c r="L223" s="503"/>
    </row>
    <row r="224" spans="7:12">
      <c r="G224" s="503"/>
      <c r="H224" s="503"/>
      <c r="I224" s="1620"/>
      <c r="J224" s="503"/>
      <c r="K224" s="1620"/>
      <c r="L224" s="503"/>
    </row>
    <row r="225" spans="7:12">
      <c r="G225" s="503"/>
      <c r="H225" s="503"/>
      <c r="I225" s="1620"/>
      <c r="J225" s="503"/>
      <c r="K225" s="1620"/>
      <c r="L225" s="503"/>
    </row>
  </sheetData>
  <mergeCells count="10">
    <mergeCell ref="B1:C1"/>
    <mergeCell ref="A4:L4"/>
    <mergeCell ref="A7:A8"/>
    <mergeCell ref="B7:B8"/>
    <mergeCell ref="C7:C8"/>
    <mergeCell ref="D7:D8"/>
    <mergeCell ref="E7:E8"/>
    <mergeCell ref="F7:F8"/>
    <mergeCell ref="G7:H7"/>
    <mergeCell ref="I7:L7"/>
  </mergeCells>
  <phoneticPr fontId="24" type="noConversion"/>
  <hyperlinks>
    <hyperlink ref="B1" location="Index!A1" display="Back to Index"/>
    <hyperlink ref="C1" location="Index!A1" display="Index!A1"/>
  </hyperlinks>
  <printOptions horizontalCentered="1" verticalCentered="1"/>
  <pageMargins left="0.79000000000000015" right="0.79000000000000015" top="0.98" bottom="0.98" header="0.51" footer="0.51"/>
  <pageSetup paperSize="9" scale="54"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35</vt:i4>
      </vt:variant>
    </vt:vector>
  </HeadingPairs>
  <TitlesOfParts>
    <vt:vector size="35" baseType="lpstr">
      <vt:lpstr>Index</vt:lpstr>
      <vt:lpstr>TableUK1</vt:lpstr>
      <vt:lpstr>TableUK2</vt:lpstr>
      <vt:lpstr>TableUK3</vt:lpstr>
      <vt:lpstr>TableUK4a</vt:lpstr>
      <vt:lpstr>TableUK4b</vt:lpstr>
      <vt:lpstr>TableUK4c</vt:lpstr>
      <vt:lpstr>TableUK4d</vt:lpstr>
      <vt:lpstr>TableUK4e</vt:lpstr>
      <vt:lpstr>TableUK4f</vt:lpstr>
      <vt:lpstr>TableUK5a</vt:lpstr>
      <vt:lpstr>TableUK5b</vt:lpstr>
      <vt:lpstr>TableUK5c</vt:lpstr>
      <vt:lpstr>TableUK5d</vt:lpstr>
      <vt:lpstr>TableUK5e</vt:lpstr>
      <vt:lpstr>TableUK6a</vt:lpstr>
      <vt:lpstr>TableUK6b</vt:lpstr>
      <vt:lpstr>TableUK6c</vt:lpstr>
      <vt:lpstr>TableUK6d</vt:lpstr>
      <vt:lpstr>TableUK6e</vt:lpstr>
      <vt:lpstr>TableUK6f</vt:lpstr>
      <vt:lpstr>TableUK6g</vt:lpstr>
      <vt:lpstr>TableUK7</vt:lpstr>
      <vt:lpstr>TableUK8</vt:lpstr>
      <vt:lpstr>TableUK9</vt:lpstr>
      <vt:lpstr>TableUK10</vt:lpstr>
      <vt:lpstr>TableUK11a</vt:lpstr>
      <vt:lpstr>TableUK12b</vt:lpstr>
      <vt:lpstr>TableUK12c</vt:lpstr>
      <vt:lpstr>TableUK12d</vt:lpstr>
      <vt:lpstr>TableUK15a</vt:lpstr>
      <vt:lpstr>DataUK1</vt:lpstr>
      <vt:lpstr>DataUK2</vt:lpstr>
      <vt:lpstr>DataUK3</vt:lpstr>
      <vt:lpstr>DataUK4</vt:lpstr>
    </vt:vector>
  </TitlesOfParts>
  <Manager/>
  <Company>PSE</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Zucman</dc:creator>
  <cp:keywords/>
  <dc:description/>
  <cp:lastModifiedBy>Gabriel Zucman</cp:lastModifiedBy>
  <cp:lastPrinted>2013-06-12T16:49:01Z</cp:lastPrinted>
  <dcterms:created xsi:type="dcterms:W3CDTF">2012-04-10T09:30:01Z</dcterms:created>
  <dcterms:modified xsi:type="dcterms:W3CDTF">2015-03-01T15:11:02Z</dcterms:modified>
  <cp:category/>
</cp:coreProperties>
</file>